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287F21BD-1C8E-46EF-9835-ABC62214D8D3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</calcChain>
</file>

<file path=xl/sharedStrings.xml><?xml version="1.0" encoding="utf-8"?>
<sst xmlns="http://schemas.openxmlformats.org/spreadsheetml/2006/main" count="14948" uniqueCount="103">
  <si>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</si>
  <si>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</si>
  <si>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</si>
  <si>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</si>
  <si>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</si>
  <si>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</si>
  <si>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</si>
  <si>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</si>
  <si>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</si>
  <si>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</si>
  <si>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</si>
  <si>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</si>
  <si>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</si>
  <si>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</si>
  <si>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</si>
  <si>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</si>
  <si>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</si>
  <si>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</si>
  <si>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</si>
  <si>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</si>
  <si>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</si>
  <si>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</si>
  <si>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</si>
  <si>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</si>
  <si>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</si>
  <si>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</si>
  <si>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</si>
  <si>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</si>
  <si>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</si>
  <si>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</si>
  <si>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</si>
  <si>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</si>
  <si>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</si>
  <si>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</si>
  <si>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</si>
  <si>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</si>
  <si>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</si>
  <si>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</si>
  <si>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</si>
  <si>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</si>
  <si>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</si>
  <si>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mcp_road_part_02</t>
  </si>
  <si>
    <t>Kooper</t>
  </si>
  <si>
    <t>Building 07 (16)</t>
  </si>
  <si>
    <t>Plane_01</t>
  </si>
  <si>
    <t>mcp_roads_turn_01 (1)</t>
  </si>
  <si>
    <t>FAR</t>
  </si>
  <si>
    <t>Box001</t>
  </si>
  <si>
    <t>Tree 04 (24)</t>
  </si>
  <si>
    <t>Building 18 (9)</t>
  </si>
  <si>
    <t>Tree 04 (25)</t>
  </si>
  <si>
    <t>Plane_01 (1)</t>
  </si>
  <si>
    <t>Building 15 (22)</t>
  </si>
  <si>
    <t>mcp_roads_T_cross_01</t>
  </si>
  <si>
    <t>Building 15 (34)</t>
  </si>
  <si>
    <t>mcp_road_part_01</t>
  </si>
  <si>
    <t>Stand 03 (2)</t>
  </si>
  <si>
    <t>Building 18 (5)</t>
  </si>
  <si>
    <t>Building 18 (4)</t>
  </si>
  <si>
    <t>Floor 01</t>
  </si>
  <si>
    <t>Building 01 (9)</t>
  </si>
  <si>
    <t>Tree 01 (6)</t>
  </si>
  <si>
    <t>Building 15 (18)</t>
  </si>
  <si>
    <t>Building 02 (7)</t>
  </si>
  <si>
    <t>mcp_roads_cross_01</t>
  </si>
  <si>
    <t>Building 15 (31)</t>
  </si>
  <si>
    <t>Building 15 (33)</t>
  </si>
  <si>
    <t>Building 07 (15)</t>
  </si>
  <si>
    <t>Tong (3)</t>
  </si>
  <si>
    <t>Building 24</t>
  </si>
  <si>
    <t>Tree 02 (2)</t>
  </si>
  <si>
    <t>Tree 02 (3)</t>
  </si>
  <si>
    <t>Canopi 01 (5)</t>
  </si>
  <si>
    <t>Building 07 (18)</t>
  </si>
  <si>
    <t>Building 11 (3)</t>
  </si>
  <si>
    <t>Building 21 (2)</t>
  </si>
  <si>
    <t>Tree 02 (7)</t>
  </si>
  <si>
    <t>Stand 03 (4)</t>
  </si>
  <si>
    <t>mcp_roads_cross_02</t>
  </si>
  <si>
    <t>Building 15 (32)</t>
  </si>
  <si>
    <t>Building 02 (11)</t>
  </si>
  <si>
    <t>Building 15 (30)</t>
  </si>
  <si>
    <t>Building 09 (4)</t>
  </si>
  <si>
    <t>Building 13 (1)</t>
  </si>
  <si>
    <t>mcp_roads_turn_01</t>
  </si>
  <si>
    <t>mcp_road_part_02 (1)</t>
  </si>
  <si>
    <t>mcp_road_part_02 (2)</t>
  </si>
  <si>
    <t>mcp_road_part_02 (3)</t>
  </si>
  <si>
    <t>Shurbs (1)</t>
  </si>
  <si>
    <t>Building 30 (4)</t>
  </si>
  <si>
    <t>Building 07 (14)</t>
  </si>
  <si>
    <t>Building 14 (17)</t>
  </si>
  <si>
    <t>mcp_road_part_02 (6)</t>
  </si>
  <si>
    <t>mcp_road_part_02 (9)</t>
  </si>
  <si>
    <t>mcp_road_part_02 (8)</t>
  </si>
  <si>
    <t>mcp_road_part_02 (12)</t>
  </si>
  <si>
    <t>mcp_road_part_02 (10)</t>
  </si>
  <si>
    <t>mcp_road_part_02 (11)</t>
  </si>
  <si>
    <t>Building 07 (17)</t>
  </si>
  <si>
    <t>Building 18 (11)</t>
  </si>
  <si>
    <t>Canopi 01 (4)</t>
  </si>
  <si>
    <t>Canopi 01 (3)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</si>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</sst>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455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"20190304155556854"</f>
        <v>20190304155556854</v>
      </c>
      <c r="B2" t="str">
        <f>"1551686156844548"</f>
        <v>1551686156844548</v>
      </c>
      <c r="C2" t="s">
        <v>40</v>
      </c>
      <c r="D2">
        <v>4.4417450000000001</v>
      </c>
      <c r="E2">
        <v>0.5176885</v>
      </c>
      <c r="F2" t="s">
        <v>41</v>
      </c>
      <c r="G2">
        <v>-451.87430000000001</v>
      </c>
      <c r="H2" s="1">
        <v>-3.8200790000000001E-6</v>
      </c>
      <c r="I2">
        <v>367.6327</v>
      </c>
      <c r="J2">
        <v>-476.59949999999998</v>
      </c>
      <c r="K2">
        <v>1.109513</v>
      </c>
      <c r="L2">
        <v>367.2183</v>
      </c>
      <c r="M2">
        <v>0.99996390000000002</v>
      </c>
      <c r="N2">
        <v>-8.5009669999999999E-3</v>
      </c>
      <c r="O2">
        <v>-1.2543720000000001E-4</v>
      </c>
      <c r="P2">
        <v>0.98692380000000002</v>
      </c>
      <c r="Q2">
        <v>0.1443942</v>
      </c>
      <c r="R2">
        <v>7.1637740000000005E-2</v>
      </c>
      <c r="S2">
        <v>3.05545</v>
      </c>
      <c r="T2">
        <v>-0.13708709999999999</v>
      </c>
      <c r="U2">
        <v>5.1208499999999997E-2</v>
      </c>
      <c r="V2">
        <v>-7.1754399999999996E-2</v>
      </c>
      <c r="W2">
        <v>0.1527819</v>
      </c>
      <c r="X2">
        <v>0.98565159999999996</v>
      </c>
      <c r="Y2">
        <v>-1.6862530000000001E-2</v>
      </c>
      <c r="Z2">
        <v>4.54346E-4</v>
      </c>
      <c r="AA2">
        <v>0.99985769999999996</v>
      </c>
      <c r="AB2">
        <v>1</v>
      </c>
      <c r="AC2">
        <v>24.725199999999901</v>
      </c>
      <c r="AD2">
        <v>-1.109516820079</v>
      </c>
      <c r="AE2">
        <v>0.41439999999999999</v>
      </c>
      <c r="AF2">
        <v>-0.41666278309333399</v>
      </c>
      <c r="AG2">
        <v>-1.109516820079</v>
      </c>
      <c r="AH2">
        <v>24.675473532047999</v>
      </c>
      <c r="AI2">
        <v>92.574167342227796</v>
      </c>
      <c r="AJ2">
        <v>90.967387732625895</v>
      </c>
      <c r="AK2">
        <v>24.703919314142301</v>
      </c>
      <c r="AL2">
        <v>81.211824037686796</v>
      </c>
      <c r="AM2">
        <v>94.163727380695306</v>
      </c>
      <c r="AN2">
        <v>1.0000000397347599</v>
      </c>
    </row>
    <row r="3" spans="1:40" x14ac:dyDescent="0.25">
      <c r="A3" t="str">
        <f>"20190304155556877"</f>
        <v>20190304155556877</v>
      </c>
      <c r="B3" t="str">
        <f>"1551686156874805"</f>
        <v>1551686156874805</v>
      </c>
      <c r="C3" t="s">
        <v>40</v>
      </c>
      <c r="D3">
        <v>4.4729279999999996</v>
      </c>
      <c r="E3">
        <v>0.51918599999999904</v>
      </c>
      <c r="F3" t="s">
        <v>41</v>
      </c>
      <c r="G3">
        <v>-452.4486</v>
      </c>
      <c r="H3" s="1">
        <v>-3.57621E-6</v>
      </c>
      <c r="I3">
        <v>367.61849999999998</v>
      </c>
      <c r="J3">
        <v>-476.59089999999998</v>
      </c>
      <c r="K3">
        <v>1.109567</v>
      </c>
      <c r="L3">
        <v>367.2183</v>
      </c>
      <c r="M3">
        <v>0.99996600000000002</v>
      </c>
      <c r="N3">
        <v>-8.2413499999999997E-3</v>
      </c>
      <c r="O3">
        <v>-1.2924259999999999E-4</v>
      </c>
      <c r="P3">
        <v>0.98691870000000004</v>
      </c>
      <c r="Q3">
        <v>0.144306399999999</v>
      </c>
      <c r="R3">
        <v>7.188456E-2</v>
      </c>
      <c r="S3">
        <v>3.0565799999999999</v>
      </c>
      <c r="T3">
        <v>-0.14042170000000001</v>
      </c>
      <c r="U3">
        <v>5.0659179999999998E-2</v>
      </c>
      <c r="V3">
        <v>-7.2004540000000006E-2</v>
      </c>
      <c r="W3">
        <v>0.15243880000000001</v>
      </c>
      <c r="X3">
        <v>0.98568639999999996</v>
      </c>
      <c r="Y3">
        <v>-1.6679929999999999E-2</v>
      </c>
      <c r="Z3">
        <v>4.5656700000000001E-4</v>
      </c>
      <c r="AA3">
        <v>0.99986079999999999</v>
      </c>
      <c r="AB3">
        <v>1</v>
      </c>
      <c r="AC3">
        <v>24.142299999999899</v>
      </c>
      <c r="AD3">
        <v>-1.1095705762100001</v>
      </c>
      <c r="AE3">
        <v>0.40019999999998301</v>
      </c>
      <c r="AF3">
        <v>-0.402470417535567</v>
      </c>
      <c r="AG3">
        <v>-1.1095705762100001</v>
      </c>
      <c r="AH3">
        <v>24.091374197428902</v>
      </c>
      <c r="AI3">
        <v>92.636626932847904</v>
      </c>
      <c r="AJ3">
        <v>90.957094070804203</v>
      </c>
      <c r="AK3">
        <v>24.120270314014501</v>
      </c>
      <c r="AL3">
        <v>81.231714513831605</v>
      </c>
      <c r="AM3">
        <v>94.178044070728703</v>
      </c>
      <c r="AN3">
        <v>0.99999996033550498</v>
      </c>
    </row>
    <row r="4" spans="1:40" x14ac:dyDescent="0.25">
      <c r="A4" t="str">
        <f>"20190304155556899"</f>
        <v>20190304155556899</v>
      </c>
      <c r="B4" t="str">
        <f>"1551686156895300"</f>
        <v>1551686156895300</v>
      </c>
      <c r="C4" t="s">
        <v>40</v>
      </c>
      <c r="D4">
        <v>4.4509809999999996</v>
      </c>
      <c r="E4">
        <v>0.52012209999999903</v>
      </c>
      <c r="F4" t="s">
        <v>41</v>
      </c>
      <c r="G4">
        <v>-451.63900000000001</v>
      </c>
      <c r="H4" s="1">
        <v>-3.93681E-6</v>
      </c>
      <c r="I4">
        <v>367.54349999999999</v>
      </c>
      <c r="J4">
        <v>-476.58580000000001</v>
      </c>
      <c r="K4">
        <v>1.109972</v>
      </c>
      <c r="L4">
        <v>367.2183</v>
      </c>
      <c r="M4">
        <v>0.99995670000000003</v>
      </c>
      <c r="N4">
        <v>-9.3210949999999997E-3</v>
      </c>
      <c r="O4">
        <v>-1.2814940000000001E-4</v>
      </c>
      <c r="P4">
        <v>0.98708370000000001</v>
      </c>
      <c r="Q4">
        <v>0.1429049</v>
      </c>
      <c r="R4">
        <v>7.2417780000000001E-2</v>
      </c>
      <c r="S4">
        <v>3.0567319999999998</v>
      </c>
      <c r="T4">
        <v>-0.13592779999999999</v>
      </c>
      <c r="U4">
        <v>3.9855960000000003E-2</v>
      </c>
      <c r="V4">
        <v>-7.2537560000000001E-2</v>
      </c>
      <c r="W4">
        <v>0.15210279999999901</v>
      </c>
      <c r="X4">
        <v>0.9856992</v>
      </c>
      <c r="Y4">
        <v>-1.314998E-2</v>
      </c>
      <c r="Z4">
        <v>3.5805039999999998E-4</v>
      </c>
      <c r="AA4">
        <v>0.99991350000000001</v>
      </c>
      <c r="AB4">
        <v>1</v>
      </c>
      <c r="AC4">
        <v>24.9468</v>
      </c>
      <c r="AD4">
        <v>-1.10997593681</v>
      </c>
      <c r="AE4">
        <v>0.32519999999999499</v>
      </c>
      <c r="AF4">
        <v>-0.32774832297916401</v>
      </c>
      <c r="AG4">
        <v>-1.10997593681</v>
      </c>
      <c r="AH4">
        <v>24.897477178779098</v>
      </c>
      <c r="AI4">
        <v>92.552441506973693</v>
      </c>
      <c r="AJ4">
        <v>90.754193323320195</v>
      </c>
      <c r="AK4">
        <v>24.924362286954</v>
      </c>
      <c r="AL4">
        <v>81.251192825981605</v>
      </c>
      <c r="AM4">
        <v>94.208807217636206</v>
      </c>
      <c r="AN4">
        <v>0.99999993612961402</v>
      </c>
    </row>
    <row r="5" spans="1:40" x14ac:dyDescent="0.25">
      <c r="A5" t="str">
        <f>"20190304155556920"</f>
        <v>20190304155556920</v>
      </c>
      <c r="B5" t="str">
        <f>"1551686156914821"</f>
        <v>1551686156914821</v>
      </c>
      <c r="C5" t="s">
        <v>40</v>
      </c>
      <c r="D5">
        <v>4.4871850000000002</v>
      </c>
      <c r="E5">
        <v>0.52094629999999997</v>
      </c>
      <c r="F5" t="s">
        <v>41</v>
      </c>
      <c r="G5">
        <v>-451.77769999999998</v>
      </c>
      <c r="H5" s="1">
        <v>-3.8865519999999997E-6</v>
      </c>
      <c r="I5">
        <v>367.4914</v>
      </c>
      <c r="J5">
        <v>-476.58319999999998</v>
      </c>
      <c r="K5">
        <v>1.110366</v>
      </c>
      <c r="L5">
        <v>367.2183</v>
      </c>
      <c r="M5">
        <v>0.99994360000000004</v>
      </c>
      <c r="N5">
        <v>-1.062541E-2</v>
      </c>
      <c r="O5">
        <v>-1.258245E-4</v>
      </c>
      <c r="P5">
        <v>0.98731250000000004</v>
      </c>
      <c r="Q5">
        <v>0.14119779999999901</v>
      </c>
      <c r="R5">
        <v>7.2644669999999995E-2</v>
      </c>
      <c r="S5">
        <v>3.056549</v>
      </c>
      <c r="T5">
        <v>-0.13675760000000001</v>
      </c>
      <c r="U5">
        <v>3.3660889999999999E-2</v>
      </c>
      <c r="V5">
        <v>-7.2762759999999996E-2</v>
      </c>
      <c r="W5">
        <v>0.1516834</v>
      </c>
      <c r="X5">
        <v>0.98574729999999999</v>
      </c>
      <c r="Y5">
        <v>-1.112402E-2</v>
      </c>
      <c r="Z5">
        <v>3.1215520000000001E-4</v>
      </c>
      <c r="AA5">
        <v>0.99993810000000005</v>
      </c>
      <c r="AB5">
        <v>1</v>
      </c>
      <c r="AC5">
        <v>24.805499999999899</v>
      </c>
      <c r="AD5">
        <v>-1.110369886552</v>
      </c>
      <c r="AE5">
        <v>0.27309999999999901</v>
      </c>
      <c r="AF5">
        <v>-0.27566901393507198</v>
      </c>
      <c r="AG5">
        <v>-1.110369886552</v>
      </c>
      <c r="AH5">
        <v>24.755867356398401</v>
      </c>
      <c r="AI5">
        <v>92.567995696612897</v>
      </c>
      <c r="AJ5">
        <v>90.637990906111796</v>
      </c>
      <c r="AK5">
        <v>24.782289709746301</v>
      </c>
      <c r="AL5">
        <v>81.275505387629096</v>
      </c>
      <c r="AM5">
        <v>94.221621440557897</v>
      </c>
      <c r="AN5">
        <v>1.00000000626783</v>
      </c>
    </row>
    <row r="6" spans="1:40" x14ac:dyDescent="0.25">
      <c r="A6" t="str">
        <f>"20190304155556979"</f>
        <v>20190304155556979</v>
      </c>
      <c r="B6" t="str">
        <f>"1551686156974864"</f>
        <v>1551686156974864</v>
      </c>
      <c r="C6" t="s">
        <v>40</v>
      </c>
      <c r="D6">
        <v>4.54406</v>
      </c>
      <c r="E6">
        <v>0.52284370000000002</v>
      </c>
      <c r="F6" t="s">
        <v>41</v>
      </c>
      <c r="G6">
        <v>-451.85160000000002</v>
      </c>
      <c r="H6" s="1">
        <v>-3.8792169999999999E-6</v>
      </c>
      <c r="I6">
        <v>367.35419999999999</v>
      </c>
      <c r="J6">
        <v>-476.56029999999998</v>
      </c>
      <c r="K6">
        <v>1.109753</v>
      </c>
      <c r="L6">
        <v>367.2183</v>
      </c>
      <c r="M6">
        <v>0.99996220000000002</v>
      </c>
      <c r="N6">
        <v>-8.7032519999999999E-3</v>
      </c>
      <c r="O6">
        <v>-1.3487190000000001E-4</v>
      </c>
      <c r="P6">
        <v>0.98737719999999995</v>
      </c>
      <c r="Q6">
        <v>0.1411531</v>
      </c>
      <c r="R6">
        <v>7.1848560000000006E-2</v>
      </c>
      <c r="S6">
        <v>3.056305</v>
      </c>
      <c r="T6">
        <v>-0.1372497</v>
      </c>
      <c r="U6">
        <v>1.6815190000000001E-2</v>
      </c>
      <c r="V6">
        <v>-7.1975319999999995E-2</v>
      </c>
      <c r="W6">
        <v>0.14974399999999999</v>
      </c>
      <c r="X6">
        <v>0.98610160000000002</v>
      </c>
      <c r="Y6">
        <v>-5.6297309999999998E-3</v>
      </c>
      <c r="Z6">
        <v>1.557369E-4</v>
      </c>
      <c r="AA6">
        <v>0.99998410000000004</v>
      </c>
      <c r="AB6">
        <v>1</v>
      </c>
      <c r="AC6">
        <v>24.708699999999901</v>
      </c>
      <c r="AD6">
        <v>-1.1097568792170001</v>
      </c>
      <c r="AE6">
        <v>0.135899999999992</v>
      </c>
      <c r="AF6">
        <v>-0.13895234335606699</v>
      </c>
      <c r="AG6">
        <v>-1.1097568792170001</v>
      </c>
      <c r="AH6">
        <v>24.658940141338299</v>
      </c>
      <c r="AI6">
        <v>92.576773462817599</v>
      </c>
      <c r="AJ6">
        <v>90.322856477940704</v>
      </c>
      <c r="AK6">
        <v>24.684290489677899</v>
      </c>
      <c r="AL6">
        <v>81.387909056663503</v>
      </c>
      <c r="AM6">
        <v>94.174602344298805</v>
      </c>
      <c r="AN6">
        <v>1.0000000388738299</v>
      </c>
    </row>
    <row r="7" spans="1:40" x14ac:dyDescent="0.25">
      <c r="A7" t="str">
        <f>"20190304155557000"</f>
        <v>20190304155557000</v>
      </c>
      <c r="B7" t="str">
        <f>"1551686156994385"</f>
        <v>1551686156994385</v>
      </c>
      <c r="C7" t="s">
        <v>40</v>
      </c>
      <c r="D7">
        <v>4.5615779999999999</v>
      </c>
      <c r="E7">
        <v>0.52328019999999997</v>
      </c>
      <c r="F7" t="s">
        <v>41</v>
      </c>
      <c r="G7">
        <v>-451.04149999999998</v>
      </c>
      <c r="H7" s="1">
        <v>-4.2359350000000003E-6</v>
      </c>
      <c r="I7">
        <v>367.3023</v>
      </c>
      <c r="J7">
        <v>-476.5471</v>
      </c>
      <c r="K7">
        <v>1.1095159999999999</v>
      </c>
      <c r="L7">
        <v>367.2183</v>
      </c>
      <c r="M7">
        <v>0.99997069999999999</v>
      </c>
      <c r="N7">
        <v>-7.654536E-3</v>
      </c>
      <c r="O7">
        <v>-1.4393070000000001E-4</v>
      </c>
      <c r="P7">
        <v>0.98733800000000005</v>
      </c>
      <c r="Q7">
        <v>0.1414154</v>
      </c>
      <c r="R7">
        <v>7.1871299999999999E-2</v>
      </c>
      <c r="S7">
        <v>3.056549</v>
      </c>
      <c r="T7">
        <v>-0.1329224</v>
      </c>
      <c r="U7">
        <v>1.00708E-2</v>
      </c>
      <c r="V7">
        <v>-7.200637E-2</v>
      </c>
      <c r="W7">
        <v>0.14897270000000001</v>
      </c>
      <c r="X7">
        <v>0.98621610000000004</v>
      </c>
      <c r="Y7">
        <v>-3.434833E-3</v>
      </c>
      <c r="Z7" s="1">
        <v>9.2959590000000003E-5</v>
      </c>
      <c r="AA7">
        <v>0.9999941</v>
      </c>
      <c r="AB7">
        <v>1</v>
      </c>
      <c r="AC7">
        <v>25.505600000000001</v>
      </c>
      <c r="AD7">
        <v>-1.109520235935</v>
      </c>
      <c r="AE7">
        <v>8.40000000000031E-2</v>
      </c>
      <c r="AF7">
        <v>-8.7505556973759696E-2</v>
      </c>
      <c r="AG7">
        <v>-1.109520235935</v>
      </c>
      <c r="AH7">
        <v>25.457414063039199</v>
      </c>
      <c r="AI7">
        <v>92.495549880022693</v>
      </c>
      <c r="AJ7">
        <v>90.196943779923402</v>
      </c>
      <c r="AK7">
        <v>25.4817311647674</v>
      </c>
      <c r="AL7">
        <v>81.432602184469005</v>
      </c>
      <c r="AM7">
        <v>94.175913722309303</v>
      </c>
      <c r="AN7">
        <v>0.99999998928253797</v>
      </c>
    </row>
    <row r="8" spans="1:40" x14ac:dyDescent="0.25">
      <c r="A8" t="str">
        <f>"20190304155557034"</f>
        <v>20190304155557034</v>
      </c>
      <c r="B8" t="str">
        <f>"1551686157024640"</f>
        <v>1551686157024640</v>
      </c>
      <c r="C8" t="s">
        <v>40</v>
      </c>
      <c r="D8">
        <v>4.5866790000000002</v>
      </c>
      <c r="E8">
        <v>0.52376109999999998</v>
      </c>
      <c r="F8" t="s">
        <v>41</v>
      </c>
      <c r="G8">
        <v>-450.673</v>
      </c>
      <c r="H8" s="1">
        <v>-4.399139E-6</v>
      </c>
      <c r="I8">
        <v>367.27350000000001</v>
      </c>
      <c r="J8">
        <v>-476.52289999999999</v>
      </c>
      <c r="K8">
        <v>1.1093249999999999</v>
      </c>
      <c r="L8">
        <v>367.2183</v>
      </c>
      <c r="M8">
        <v>0.99997930000000002</v>
      </c>
      <c r="N8">
        <v>-6.4369579999999996E-3</v>
      </c>
      <c r="O8">
        <v>-1.6072969999999999E-4</v>
      </c>
      <c r="P8">
        <v>0.9873381</v>
      </c>
      <c r="Q8">
        <v>0.14182510000000001</v>
      </c>
      <c r="R8">
        <v>7.1056960000000002E-2</v>
      </c>
      <c r="S8">
        <v>3.0567319999999998</v>
      </c>
      <c r="T8">
        <v>-0.13107679999999999</v>
      </c>
      <c r="U8">
        <v>6.5307619999999999E-3</v>
      </c>
      <c r="V8">
        <v>-7.1207930000000003E-2</v>
      </c>
      <c r="W8">
        <v>0.14818139999999999</v>
      </c>
      <c r="X8">
        <v>0.98639330000000003</v>
      </c>
      <c r="Y8">
        <v>-2.294712E-3</v>
      </c>
      <c r="Z8" s="1">
        <v>6.2421919999999906E-5</v>
      </c>
      <c r="AA8">
        <v>0.99999740000000004</v>
      </c>
      <c r="AB8">
        <v>1</v>
      </c>
      <c r="AC8">
        <v>25.849899999999899</v>
      </c>
      <c r="AD8">
        <v>-1.1093293991390001</v>
      </c>
      <c r="AE8">
        <v>5.5200000000013398E-2</v>
      </c>
      <c r="AF8">
        <v>-5.9245823290846399E-2</v>
      </c>
      <c r="AG8">
        <v>-1.1093293991390001</v>
      </c>
      <c r="AH8">
        <v>25.802372485339301</v>
      </c>
      <c r="AI8">
        <v>92.461812646798506</v>
      </c>
      <c r="AJ8">
        <v>90.131558819433096</v>
      </c>
      <c r="AK8">
        <v>25.826276302548301</v>
      </c>
      <c r="AL8">
        <v>81.478449459132193</v>
      </c>
      <c r="AM8">
        <v>94.129031034106603</v>
      </c>
      <c r="AN8">
        <v>1.00000001944286</v>
      </c>
    </row>
    <row r="9" spans="1:40" x14ac:dyDescent="0.25">
      <c r="A9" t="str">
        <f>"20190304155557056"</f>
        <v>20190304155557056</v>
      </c>
      <c r="B9" t="str">
        <f>"1551686157054897"</f>
        <v>1551686157054897</v>
      </c>
      <c r="C9" t="s">
        <v>40</v>
      </c>
      <c r="D9">
        <v>4.5795469999999998</v>
      </c>
      <c r="E9">
        <v>0.52412939999999997</v>
      </c>
      <c r="F9" t="s">
        <v>41</v>
      </c>
      <c r="G9">
        <v>-449.93639999999999</v>
      </c>
      <c r="H9" s="1">
        <v>-6.4332989999999999E-7</v>
      </c>
      <c r="I9">
        <v>367.23099999999999</v>
      </c>
      <c r="J9">
        <v>-476.50189999999998</v>
      </c>
      <c r="K9">
        <v>1.109167</v>
      </c>
      <c r="L9">
        <v>367.2183</v>
      </c>
      <c r="M9">
        <v>0.99998549999999997</v>
      </c>
      <c r="N9">
        <v>-5.4185819999999999E-3</v>
      </c>
      <c r="O9">
        <v>-1.772415E-4</v>
      </c>
      <c r="P9">
        <v>0.98735899999999999</v>
      </c>
      <c r="Q9">
        <v>0.14182049999999999</v>
      </c>
      <c r="R9">
        <v>7.0778439999999998E-2</v>
      </c>
      <c r="S9">
        <v>3.0566710000000001</v>
      </c>
      <c r="T9">
        <v>-0.12753980000000001</v>
      </c>
      <c r="U9">
        <v>1.4648440000000001E-3</v>
      </c>
      <c r="V9">
        <v>-7.0945460000000002E-2</v>
      </c>
      <c r="W9">
        <v>0.14717269999999999</v>
      </c>
      <c r="X9">
        <v>0.98656319999999997</v>
      </c>
      <c r="Y9">
        <v>-6.5571100000000001E-4</v>
      </c>
      <c r="Z9" s="1">
        <v>2.1883390000000001E-5</v>
      </c>
      <c r="AA9">
        <v>0.99999979999999999</v>
      </c>
      <c r="AB9">
        <v>2</v>
      </c>
      <c r="AC9">
        <v>26.565499999999901</v>
      </c>
      <c r="AD9">
        <v>-1.10916764332989</v>
      </c>
      <c r="AE9">
        <v>1.26999999999952E-2</v>
      </c>
      <c r="AF9">
        <v>-1.73782824743791E-2</v>
      </c>
      <c r="AG9">
        <v>-1.10916764332989</v>
      </c>
      <c r="AH9">
        <v>26.519267764887601</v>
      </c>
      <c r="AI9">
        <v>92.394997989919801</v>
      </c>
      <c r="AJ9">
        <v>90.037546364675904</v>
      </c>
      <c r="AK9">
        <v>26.542458771777699</v>
      </c>
      <c r="AL9">
        <v>81.536884290395193</v>
      </c>
      <c r="AM9">
        <v>94.113157882982605</v>
      </c>
      <c r="AN9">
        <v>1.0000000047570701</v>
      </c>
    </row>
    <row r="10" spans="1:40" x14ac:dyDescent="0.25">
      <c r="A10" t="str">
        <f>"20190304155557077"</f>
        <v>20190304155557077</v>
      </c>
      <c r="B10" t="str">
        <f>"1551686157074418"</f>
        <v>1551686157074418</v>
      </c>
      <c r="C10" t="s">
        <v>40</v>
      </c>
      <c r="D10">
        <v>4.5633869999999996</v>
      </c>
      <c r="E10">
        <v>0.52432840000000003</v>
      </c>
      <c r="F10" t="s">
        <v>41</v>
      </c>
      <c r="G10">
        <v>-449.70710000000003</v>
      </c>
      <c r="H10" s="1">
        <v>-7.4050939999999899E-7</v>
      </c>
      <c r="I10">
        <v>367.19659999999999</v>
      </c>
      <c r="J10">
        <v>-476.48039999999997</v>
      </c>
      <c r="K10">
        <v>1.109008</v>
      </c>
      <c r="L10">
        <v>367.21820000000002</v>
      </c>
      <c r="M10">
        <v>0.9999903</v>
      </c>
      <c r="N10">
        <v>-4.4336660000000002E-3</v>
      </c>
      <c r="O10">
        <v>-1.9446289999999999E-4</v>
      </c>
      <c r="P10">
        <v>0.98730070000000003</v>
      </c>
      <c r="Q10">
        <v>0.142347</v>
      </c>
      <c r="R10">
        <v>7.0533509999999994E-2</v>
      </c>
      <c r="S10">
        <v>3.0567630000000001</v>
      </c>
      <c r="T10">
        <v>-0.1265346</v>
      </c>
      <c r="U10">
        <v>-2.4719239999999999E-3</v>
      </c>
      <c r="V10">
        <v>-7.0717329999999995E-2</v>
      </c>
      <c r="W10">
        <v>0.146727</v>
      </c>
      <c r="X10">
        <v>0.98664589999999996</v>
      </c>
      <c r="Y10">
        <v>6.1375950000000002E-4</v>
      </c>
      <c r="Z10" s="1">
        <v>-6.8746140000000002E-6</v>
      </c>
      <c r="AA10">
        <v>0.99999979999999999</v>
      </c>
      <c r="AB10">
        <v>2</v>
      </c>
      <c r="AC10">
        <v>26.7732999999999</v>
      </c>
      <c r="AD10">
        <v>-1.1090087405094</v>
      </c>
      <c r="AE10">
        <v>-2.16000000000349E-2</v>
      </c>
      <c r="AF10">
        <v>1.63654558304949E-2</v>
      </c>
      <c r="AG10">
        <v>-1.1090087405094</v>
      </c>
      <c r="AH10">
        <v>26.7274448306237</v>
      </c>
      <c r="AI10">
        <v>92.376025098347796</v>
      </c>
      <c r="AJ10">
        <v>89.964917281182196</v>
      </c>
      <c r="AK10">
        <v>26.750448134352901</v>
      </c>
      <c r="AL10">
        <v>81.562700762301404</v>
      </c>
      <c r="AM10">
        <v>94.099634432057996</v>
      </c>
      <c r="AN10">
        <v>0.999999942639067</v>
      </c>
    </row>
    <row r="11" spans="1:40" x14ac:dyDescent="0.25">
      <c r="A11" t="str">
        <f>"20190304155557099"</f>
        <v>20190304155557099</v>
      </c>
      <c r="B11" t="str">
        <f>"1551686157094912"</f>
        <v>1551686157094912</v>
      </c>
      <c r="C11" t="s">
        <v>40</v>
      </c>
      <c r="D11">
        <v>4.4910649999999999</v>
      </c>
      <c r="E11">
        <v>0.52468239999999999</v>
      </c>
      <c r="F11" t="s">
        <v>41</v>
      </c>
      <c r="G11">
        <v>-449.40780000000001</v>
      </c>
      <c r="H11" s="1">
        <v>-8.6186689999999995E-7</v>
      </c>
      <c r="I11">
        <v>367.17250000000001</v>
      </c>
      <c r="J11">
        <v>-476.45370000000003</v>
      </c>
      <c r="K11">
        <v>1.1088629999999999</v>
      </c>
      <c r="L11">
        <v>367.21820000000002</v>
      </c>
      <c r="M11">
        <v>0.99999420000000006</v>
      </c>
      <c r="N11">
        <v>-3.408487E-3</v>
      </c>
      <c r="O11">
        <v>-2.1591110000000001E-4</v>
      </c>
      <c r="P11">
        <v>0.98727480000000001</v>
      </c>
      <c r="Q11">
        <v>0.14265249999999999</v>
      </c>
      <c r="R11">
        <v>7.0275359999999995E-2</v>
      </c>
      <c r="S11">
        <v>3.0569760000000001</v>
      </c>
      <c r="T11">
        <v>-0.12522659999999999</v>
      </c>
      <c r="U11">
        <v>-5.1574709999999899E-3</v>
      </c>
      <c r="V11">
        <v>-7.0480119999999993E-2</v>
      </c>
      <c r="W11">
        <v>0.14602079999999901</v>
      </c>
      <c r="X11">
        <v>0.98676770000000003</v>
      </c>
      <c r="Y11">
        <v>1.4700169999999999E-3</v>
      </c>
      <c r="Z11" s="1">
        <v>-2.4497550000000001E-5</v>
      </c>
      <c r="AA11">
        <v>0.99999890000000002</v>
      </c>
      <c r="AB11">
        <v>2</v>
      </c>
      <c r="AC11">
        <v>27.0459</v>
      </c>
      <c r="AD11">
        <v>-1.10886386186689</v>
      </c>
      <c r="AE11">
        <v>-4.5700000000010697E-2</v>
      </c>
      <c r="AF11">
        <v>3.9793564567274002E-2</v>
      </c>
      <c r="AG11">
        <v>-1.10886386186689</v>
      </c>
      <c r="AH11">
        <v>27.0005229638952</v>
      </c>
      <c r="AI11">
        <v>92.351712530362306</v>
      </c>
      <c r="AJ11">
        <v>89.915557129995804</v>
      </c>
      <c r="AK11">
        <v>27.023312212158</v>
      </c>
      <c r="AL11">
        <v>81.603604144711198</v>
      </c>
      <c r="AM11">
        <v>94.085426883792493</v>
      </c>
      <c r="AN11">
        <v>1.0000000075555699</v>
      </c>
    </row>
    <row r="12" spans="1:40" x14ac:dyDescent="0.25">
      <c r="A12" t="str">
        <f>"20190304155557122"</f>
        <v>20190304155557122</v>
      </c>
      <c r="B12" t="str">
        <f>"1551686157114432"</f>
        <v>1551686157114432</v>
      </c>
      <c r="C12" t="s">
        <v>40</v>
      </c>
      <c r="D12">
        <v>4.603872</v>
      </c>
      <c r="E12">
        <v>0.52485079999999995</v>
      </c>
      <c r="F12" t="s">
        <v>41</v>
      </c>
      <c r="G12">
        <v>-449.11529999999999</v>
      </c>
      <c r="H12" s="1">
        <v>-9.8294489999999997E-7</v>
      </c>
      <c r="I12">
        <v>367.13959999999997</v>
      </c>
      <c r="J12">
        <v>-476.42739999999998</v>
      </c>
      <c r="K12">
        <v>1.1089580000000001</v>
      </c>
      <c r="L12">
        <v>367.21809999999999</v>
      </c>
      <c r="M12">
        <v>0.99999490000000002</v>
      </c>
      <c r="N12">
        <v>-3.2353E-3</v>
      </c>
      <c r="O12">
        <v>-2.301568E-4</v>
      </c>
      <c r="P12">
        <v>0.98730759999999995</v>
      </c>
      <c r="Q12">
        <v>0.1425524</v>
      </c>
      <c r="R12">
        <v>7.0020120000000005E-2</v>
      </c>
      <c r="S12">
        <v>3.05722</v>
      </c>
      <c r="T12">
        <v>-0.1240031</v>
      </c>
      <c r="U12">
        <v>-8.7890629999999997E-3</v>
      </c>
      <c r="V12">
        <v>-7.0239689999999994E-2</v>
      </c>
      <c r="W12">
        <v>0.14574999999999999</v>
      </c>
      <c r="X12">
        <v>0.9868249</v>
      </c>
      <c r="Y12">
        <v>2.642499E-3</v>
      </c>
      <c r="Z12" s="1">
        <v>-4.9258129999999997E-5</v>
      </c>
      <c r="AA12">
        <v>0.99999649999999995</v>
      </c>
      <c r="AB12">
        <v>3</v>
      </c>
      <c r="AC12">
        <v>27.312099999999901</v>
      </c>
      <c r="AD12">
        <v>-1.10895898294489</v>
      </c>
      <c r="AE12">
        <v>-7.8500000000019499E-2</v>
      </c>
      <c r="AF12">
        <v>7.2095044082545606E-2</v>
      </c>
      <c r="AG12">
        <v>-1.10895898294489</v>
      </c>
      <c r="AH12">
        <v>27.2671645004142</v>
      </c>
      <c r="AI12">
        <v>92.328934867315098</v>
      </c>
      <c r="AJ12">
        <v>89.848508922741104</v>
      </c>
      <c r="AK12">
        <v>27.289801164791999</v>
      </c>
      <c r="AL12">
        <v>81.619287820238497</v>
      </c>
      <c r="AM12">
        <v>94.071301942255104</v>
      </c>
      <c r="AN12">
        <v>1.00000002990565</v>
      </c>
    </row>
    <row r="13" spans="1:40" x14ac:dyDescent="0.25">
      <c r="A13" t="str">
        <f>"20190304155557144"</f>
        <v>20190304155557144</v>
      </c>
      <c r="B13" t="str">
        <f>"1551686157134931"</f>
        <v>1551686157134931</v>
      </c>
      <c r="C13" t="s">
        <v>40</v>
      </c>
      <c r="D13">
        <v>4.911924</v>
      </c>
      <c r="E13">
        <v>0.525092</v>
      </c>
      <c r="F13" t="s">
        <v>41</v>
      </c>
      <c r="G13">
        <v>-449.26870000000002</v>
      </c>
      <c r="H13" s="1">
        <v>-9.2830189999999998E-7</v>
      </c>
      <c r="I13">
        <v>367.12349999999998</v>
      </c>
      <c r="J13">
        <v>-476.40289999999999</v>
      </c>
      <c r="K13">
        <v>1.1094349999999999</v>
      </c>
      <c r="L13">
        <v>367.21809999999999</v>
      </c>
      <c r="M13">
        <v>0.99998980000000004</v>
      </c>
      <c r="N13">
        <v>-4.5102420000000002E-3</v>
      </c>
      <c r="O13">
        <v>-2.3561860000000001E-4</v>
      </c>
      <c r="P13">
        <v>0.9876104</v>
      </c>
      <c r="Q13">
        <v>0.1402979</v>
      </c>
      <c r="R13">
        <v>7.0300219999999997E-2</v>
      </c>
      <c r="S13">
        <v>3.0573429999999999</v>
      </c>
      <c r="T13">
        <v>-0.12483909999999999</v>
      </c>
      <c r="U13">
        <v>-1.0650629999999999E-2</v>
      </c>
      <c r="V13">
        <v>-7.0526320000000003E-2</v>
      </c>
      <c r="W13">
        <v>0.1447541</v>
      </c>
      <c r="X13">
        <v>0.98695100000000002</v>
      </c>
      <c r="Y13">
        <v>3.2451369999999999E-3</v>
      </c>
      <c r="Z13" s="1">
        <v>-6.4992839999999995E-5</v>
      </c>
      <c r="AA13">
        <v>0.99999479999999996</v>
      </c>
      <c r="AB13">
        <v>3</v>
      </c>
      <c r="AC13">
        <v>27.1341999999999</v>
      </c>
      <c r="AD13">
        <v>-1.1094359283019</v>
      </c>
      <c r="AE13">
        <v>-9.4600000000014006E-2</v>
      </c>
      <c r="AF13">
        <v>8.8059398924961299E-2</v>
      </c>
      <c r="AG13">
        <v>-1.1094359283019</v>
      </c>
      <c r="AH13">
        <v>27.088936254057</v>
      </c>
      <c r="AI13">
        <v>92.345243667469802</v>
      </c>
      <c r="AJ13">
        <v>89.813746317488693</v>
      </c>
      <c r="AK13">
        <v>27.111788393853899</v>
      </c>
      <c r="AL13">
        <v>81.676960020653695</v>
      </c>
      <c r="AM13">
        <v>94.087339138633396</v>
      </c>
      <c r="AN13">
        <v>0.99999999384027605</v>
      </c>
    </row>
    <row r="14" spans="1:40" x14ac:dyDescent="0.25">
      <c r="A14" t="str">
        <f>"20190304155557168"</f>
        <v>20190304155557168</v>
      </c>
      <c r="B14" t="str">
        <f>"1551686157165184"</f>
        <v>1551686157165184</v>
      </c>
      <c r="C14" t="s">
        <v>40</v>
      </c>
      <c r="D14">
        <v>4.5919840000000001</v>
      </c>
      <c r="E14">
        <v>0.52527049999999997</v>
      </c>
      <c r="F14" t="s">
        <v>41</v>
      </c>
      <c r="G14">
        <v>-450.91289999999998</v>
      </c>
      <c r="H14" s="1">
        <v>-4.3228819999999997E-6</v>
      </c>
      <c r="I14">
        <v>367.1232</v>
      </c>
      <c r="J14">
        <v>-476.37619999999998</v>
      </c>
      <c r="K14">
        <v>1.109534</v>
      </c>
      <c r="L14">
        <v>367.21809999999999</v>
      </c>
      <c r="M14">
        <v>0.99998849999999995</v>
      </c>
      <c r="N14">
        <v>-4.8148030000000003E-3</v>
      </c>
      <c r="O14">
        <v>-2.4252369999999999E-4</v>
      </c>
      <c r="P14">
        <v>0.98773639999999996</v>
      </c>
      <c r="Q14">
        <v>0.13964209999999999</v>
      </c>
      <c r="R14">
        <v>6.9835350000000004E-2</v>
      </c>
      <c r="S14">
        <v>3.0573429999999999</v>
      </c>
      <c r="T14">
        <v>-0.13306879999999999</v>
      </c>
      <c r="U14">
        <v>-1.138306E-2</v>
      </c>
      <c r="V14">
        <v>-7.0069259999999994E-2</v>
      </c>
      <c r="W14">
        <v>0.14439929999999901</v>
      </c>
      <c r="X14">
        <v>0.98703549999999995</v>
      </c>
      <c r="Y14">
        <v>3.4771609999999999E-3</v>
      </c>
      <c r="Z14" s="1">
        <v>-7.4626470000000006E-5</v>
      </c>
      <c r="AA14">
        <v>0.99999400000000005</v>
      </c>
      <c r="AB14">
        <v>3</v>
      </c>
      <c r="AC14">
        <v>25.4633</v>
      </c>
      <c r="AD14">
        <v>-1.1095383228819999</v>
      </c>
      <c r="AE14">
        <v>-9.4899999999995502E-2</v>
      </c>
      <c r="AF14">
        <v>8.8556333496581305E-2</v>
      </c>
      <c r="AG14">
        <v>-1.1095383228819999</v>
      </c>
      <c r="AH14">
        <v>25.415067471851401</v>
      </c>
      <c r="AI14">
        <v>92.499742986569402</v>
      </c>
      <c r="AJ14">
        <v>89.8003592305989</v>
      </c>
      <c r="AK14">
        <v>25.439429476953801</v>
      </c>
      <c r="AL14">
        <v>81.697504200493398</v>
      </c>
      <c r="AM14">
        <v>94.060592731522902</v>
      </c>
      <c r="AN14">
        <v>0.999999968648843</v>
      </c>
    </row>
    <row r="15" spans="1:40" x14ac:dyDescent="0.25">
      <c r="A15" t="str">
        <f>"20190304155557192"</f>
        <v>20190304155557192</v>
      </c>
      <c r="B15" t="str">
        <f>"1551686157184706"</f>
        <v>1551686157184706</v>
      </c>
      <c r="C15" t="s">
        <v>40</v>
      </c>
      <c r="D15">
        <v>4.5829760000000004</v>
      </c>
      <c r="E15">
        <v>0.52534910000000001</v>
      </c>
      <c r="F15" t="s">
        <v>41</v>
      </c>
      <c r="G15">
        <v>-451.1438</v>
      </c>
      <c r="H15" s="1">
        <v>-4.2274130000000001E-6</v>
      </c>
      <c r="I15">
        <v>367.10289999999998</v>
      </c>
      <c r="J15">
        <v>-476.3433</v>
      </c>
      <c r="K15">
        <v>1.109286</v>
      </c>
      <c r="L15">
        <v>367.21800000000002</v>
      </c>
      <c r="M15">
        <v>0.9999924</v>
      </c>
      <c r="N15">
        <v>-3.9507750000000001E-3</v>
      </c>
      <c r="O15">
        <v>-2.5646700000000002E-4</v>
      </c>
      <c r="P15">
        <v>0.98772979999999999</v>
      </c>
      <c r="Q15">
        <v>0.13989019999999999</v>
      </c>
      <c r="R15">
        <v>6.9433899999999896E-2</v>
      </c>
      <c r="S15">
        <v>3.05722</v>
      </c>
      <c r="T15">
        <v>-0.1344342</v>
      </c>
      <c r="U15">
        <v>-1.394653E-2</v>
      </c>
      <c r="V15">
        <v>-6.9681519999999997E-2</v>
      </c>
      <c r="W15">
        <v>0.14379439999999999</v>
      </c>
      <c r="X15">
        <v>0.98715129999999995</v>
      </c>
      <c r="Y15">
        <v>4.300997E-3</v>
      </c>
      <c r="Z15" s="1">
        <v>-9.2758480000000002E-5</v>
      </c>
      <c r="AA15">
        <v>0.99999079999999996</v>
      </c>
      <c r="AB15">
        <v>2</v>
      </c>
      <c r="AC15">
        <v>25.1995</v>
      </c>
      <c r="AD15">
        <v>-1.1092902274130001</v>
      </c>
      <c r="AE15">
        <v>-0.11510000000004</v>
      </c>
      <c r="AF15">
        <v>0.108427002853137</v>
      </c>
      <c r="AG15">
        <v>-1.1092902274130001</v>
      </c>
      <c r="AH15">
        <v>25.150792773476201</v>
      </c>
      <c r="AI15">
        <v>92.5254032542408</v>
      </c>
      <c r="AJ15">
        <v>89.752995016163197</v>
      </c>
      <c r="AK15">
        <v>25.1754773213523</v>
      </c>
      <c r="AL15">
        <v>81.732528338851594</v>
      </c>
      <c r="AM15">
        <v>94.037725161337306</v>
      </c>
      <c r="AN15">
        <v>1.0000000163962799</v>
      </c>
    </row>
    <row r="16" spans="1:40" x14ac:dyDescent="0.25">
      <c r="A16" t="str">
        <f>"20190304155557212"</f>
        <v>20190304155557212</v>
      </c>
      <c r="B16" t="str">
        <f>"1551686157205201"</f>
        <v>1551686157205201</v>
      </c>
      <c r="C16" t="s">
        <v>40</v>
      </c>
      <c r="D16">
        <v>4.6199909999999997</v>
      </c>
      <c r="E16">
        <v>0.52544519999999995</v>
      </c>
      <c r="F16" t="s">
        <v>41</v>
      </c>
      <c r="G16">
        <v>-450.93540000000002</v>
      </c>
      <c r="H16" s="1">
        <v>-4.3201749999999997E-6</v>
      </c>
      <c r="I16">
        <v>367.084</v>
      </c>
      <c r="J16">
        <v>-476.3125</v>
      </c>
      <c r="K16">
        <v>1.109103</v>
      </c>
      <c r="L16">
        <v>367.21800000000002</v>
      </c>
      <c r="M16">
        <v>0.99999479999999996</v>
      </c>
      <c r="N16">
        <v>-3.217297E-3</v>
      </c>
      <c r="O16">
        <v>-2.7159230000000002E-4</v>
      </c>
      <c r="P16">
        <v>0.98771900000000001</v>
      </c>
      <c r="Q16">
        <v>0.140351</v>
      </c>
      <c r="R16">
        <v>6.8650619999999996E-2</v>
      </c>
      <c r="S16">
        <v>3.0572810000000001</v>
      </c>
      <c r="T16">
        <v>-0.1334784</v>
      </c>
      <c r="U16">
        <v>-1.6113280000000001E-2</v>
      </c>
      <c r="V16">
        <v>-6.8912660000000001E-2</v>
      </c>
      <c r="W16">
        <v>0.14353099999999999</v>
      </c>
      <c r="X16">
        <v>0.9872436</v>
      </c>
      <c r="Y16">
        <v>4.9939110000000002E-3</v>
      </c>
      <c r="Z16">
        <v>-1.0602159999999999E-4</v>
      </c>
      <c r="AA16">
        <v>0.99998750000000003</v>
      </c>
      <c r="AB16">
        <v>3</v>
      </c>
      <c r="AC16">
        <v>25.377099999999899</v>
      </c>
      <c r="AD16">
        <v>-1.1091073201749999</v>
      </c>
      <c r="AE16">
        <v>-0.134000000000014</v>
      </c>
      <c r="AF16">
        <v>0.12686541171207599</v>
      </c>
      <c r="AG16">
        <v>-1.1091073201749999</v>
      </c>
      <c r="AH16">
        <v>25.3287555644186</v>
      </c>
      <c r="AI16">
        <v>92.507261110832701</v>
      </c>
      <c r="AJ16">
        <v>89.713022147742393</v>
      </c>
      <c r="AK16">
        <v>25.353344401132201</v>
      </c>
      <c r="AL16">
        <v>81.747778220367493</v>
      </c>
      <c r="AM16">
        <v>93.992946042153093</v>
      </c>
      <c r="AN16">
        <v>1.00000001420511</v>
      </c>
    </row>
    <row r="17" spans="1:40" x14ac:dyDescent="0.25">
      <c r="A17" t="str">
        <f>"20190304155557235"</f>
        <v>20190304155557235</v>
      </c>
      <c r="B17" t="str">
        <f>"1551686157224724"</f>
        <v>1551686157224724</v>
      </c>
      <c r="C17" t="s">
        <v>40</v>
      </c>
      <c r="D17">
        <v>5.5681089999999998</v>
      </c>
      <c r="E17">
        <v>0.5255784</v>
      </c>
      <c r="F17" t="s">
        <v>41</v>
      </c>
      <c r="G17">
        <v>-450.70960000000002</v>
      </c>
      <c r="H17" s="1">
        <v>-4.4218410000000002E-6</v>
      </c>
      <c r="I17">
        <v>367.05689999999998</v>
      </c>
      <c r="J17">
        <v>-476.27600000000001</v>
      </c>
      <c r="K17">
        <v>1.1091489999999999</v>
      </c>
      <c r="L17">
        <v>367.21800000000002</v>
      </c>
      <c r="M17">
        <v>0.99999499999999997</v>
      </c>
      <c r="N17">
        <v>-3.173426E-3</v>
      </c>
      <c r="O17">
        <v>-2.8988130000000002E-4</v>
      </c>
      <c r="P17">
        <v>0.9877783</v>
      </c>
      <c r="Q17">
        <v>0.1402389</v>
      </c>
      <c r="R17">
        <v>6.8023070000000005E-2</v>
      </c>
      <c r="S17">
        <v>3.0574650000000001</v>
      </c>
      <c r="T17">
        <v>-0.1324477</v>
      </c>
      <c r="U17">
        <v>-1.9226070000000001E-2</v>
      </c>
      <c r="V17">
        <v>-6.8303169999999996E-2</v>
      </c>
      <c r="W17">
        <v>0.143375799999999</v>
      </c>
      <c r="X17">
        <v>0.98730850000000003</v>
      </c>
      <c r="Y17">
        <v>5.9924409999999899E-3</v>
      </c>
      <c r="Z17">
        <v>-1.2761369999999999E-4</v>
      </c>
      <c r="AA17">
        <v>0.99998209999999998</v>
      </c>
      <c r="AB17">
        <v>3</v>
      </c>
      <c r="AC17">
        <v>25.566399999999899</v>
      </c>
      <c r="AD17">
        <v>-1.109153421841</v>
      </c>
      <c r="AE17">
        <v>-0.16110000000003299</v>
      </c>
      <c r="AF17">
        <v>0.15340003155558099</v>
      </c>
      <c r="AG17">
        <v>-1.109153421841</v>
      </c>
      <c r="AH17">
        <v>25.518419162047898</v>
      </c>
      <c r="AI17">
        <v>92.488739194333107</v>
      </c>
      <c r="AJ17">
        <v>89.655579428237502</v>
      </c>
      <c r="AK17">
        <v>25.5429729947952</v>
      </c>
      <c r="AL17">
        <v>81.756763412493797</v>
      </c>
      <c r="AM17">
        <v>93.957484290199105</v>
      </c>
      <c r="AN17">
        <v>1.0000000086149601</v>
      </c>
    </row>
    <row r="18" spans="1:40" x14ac:dyDescent="0.25">
      <c r="A18" t="str">
        <f>"20190304155557255"</f>
        <v>20190304155557255</v>
      </c>
      <c r="B18" t="str">
        <f>"1551686157245220"</f>
        <v>1551686157245220</v>
      </c>
      <c r="C18" t="s">
        <v>40</v>
      </c>
      <c r="D18">
        <v>4.5644770000000001</v>
      </c>
      <c r="E18">
        <v>0.52561309999999895</v>
      </c>
      <c r="F18" t="s">
        <v>41</v>
      </c>
      <c r="G18">
        <v>-450.64780000000002</v>
      </c>
      <c r="H18" s="1">
        <v>-4.4529880000000001E-6</v>
      </c>
      <c r="I18">
        <v>367.03089999999997</v>
      </c>
      <c r="J18">
        <v>-476.24549999999999</v>
      </c>
      <c r="K18">
        <v>1.109437</v>
      </c>
      <c r="L18">
        <v>367.21800000000002</v>
      </c>
      <c r="M18">
        <v>0.99999179999999999</v>
      </c>
      <c r="N18">
        <v>-4.0833190000000002E-3</v>
      </c>
      <c r="O18">
        <v>-3.0311139999999998E-4</v>
      </c>
      <c r="P18">
        <v>0.98784419999999995</v>
      </c>
      <c r="Q18">
        <v>0.13979349999999999</v>
      </c>
      <c r="R18">
        <v>6.7984550000000005E-2</v>
      </c>
      <c r="S18">
        <v>3.057404</v>
      </c>
      <c r="T18">
        <v>-0.13231960000000001</v>
      </c>
      <c r="U18">
        <v>-2.2308350000000001E-2</v>
      </c>
      <c r="V18">
        <v>-6.8278370000000005E-2</v>
      </c>
      <c r="W18">
        <v>0.14382879999999901</v>
      </c>
      <c r="X18">
        <v>0.98724429999999996</v>
      </c>
      <c r="Y18">
        <v>6.9862759999999996E-3</v>
      </c>
      <c r="Z18">
        <v>-1.5350119999999999E-4</v>
      </c>
      <c r="AA18">
        <v>0.99997559999999996</v>
      </c>
      <c r="AB18">
        <v>4</v>
      </c>
      <c r="AC18">
        <v>25.5976999999999</v>
      </c>
      <c r="AD18">
        <v>-1.1094414529879999</v>
      </c>
      <c r="AE18">
        <v>-0.18710000000004301</v>
      </c>
      <c r="AF18">
        <v>0.17900473436209899</v>
      </c>
      <c r="AG18">
        <v>-1.1094414529879999</v>
      </c>
      <c r="AH18">
        <v>25.5497633467143</v>
      </c>
      <c r="AI18">
        <v>92.486318477217907</v>
      </c>
      <c r="AJ18">
        <v>89.598585401896301</v>
      </c>
      <c r="AK18">
        <v>25.574465978894601</v>
      </c>
      <c r="AL18">
        <v>81.730536388477603</v>
      </c>
      <c r="AM18">
        <v>93.956308385160696</v>
      </c>
      <c r="AN18">
        <v>0.99999998370089305</v>
      </c>
    </row>
    <row r="19" spans="1:40" x14ac:dyDescent="0.25">
      <c r="A19" t="str">
        <f>"20190304155557279"</f>
        <v>20190304155557279</v>
      </c>
      <c r="B19" t="str">
        <f>"1551686157274496"</f>
        <v>1551686157274496</v>
      </c>
      <c r="C19" t="s">
        <v>40</v>
      </c>
      <c r="D19">
        <v>4.6633829999999996</v>
      </c>
      <c r="E19">
        <v>0.52573380000000003</v>
      </c>
      <c r="F19" t="s">
        <v>41</v>
      </c>
      <c r="G19">
        <v>-450.95670000000001</v>
      </c>
      <c r="H19" s="1">
        <v>-4.3210489999999997E-6</v>
      </c>
      <c r="I19">
        <v>367.02760000000001</v>
      </c>
      <c r="J19">
        <v>-476.20859999999999</v>
      </c>
      <c r="K19">
        <v>1.1093379999999999</v>
      </c>
      <c r="L19">
        <v>367.21789999999999</v>
      </c>
      <c r="M19">
        <v>0.99999280000000002</v>
      </c>
      <c r="N19">
        <v>-3.7899969999999998E-3</v>
      </c>
      <c r="O19">
        <v>-3.1958209999999998E-4</v>
      </c>
      <c r="P19">
        <v>0.98780979999999996</v>
      </c>
      <c r="Q19">
        <v>0.1401297</v>
      </c>
      <c r="R19">
        <v>6.7789730000000006E-2</v>
      </c>
      <c r="S19">
        <v>3.0574650000000001</v>
      </c>
      <c r="T19">
        <v>-0.13413320000000001</v>
      </c>
      <c r="U19">
        <v>-2.3010249999999999E-2</v>
      </c>
      <c r="V19">
        <v>-6.8099030000000005E-2</v>
      </c>
      <c r="W19">
        <v>0.14387549999999999</v>
      </c>
      <c r="X19">
        <v>0.98724990000000001</v>
      </c>
      <c r="Y19">
        <v>7.1988719999999898E-3</v>
      </c>
      <c r="Z19">
        <v>-1.5867830000000001E-4</v>
      </c>
      <c r="AA19">
        <v>0.99997409999999998</v>
      </c>
      <c r="AB19">
        <v>3</v>
      </c>
      <c r="AC19">
        <v>25.2518999999999</v>
      </c>
      <c r="AD19">
        <v>-1.1093423210490001</v>
      </c>
      <c r="AE19">
        <v>-0.19029999999997901</v>
      </c>
      <c r="AF19">
        <v>0.18187888258052001</v>
      </c>
      <c r="AG19">
        <v>-1.1093423210490001</v>
      </c>
      <c r="AH19">
        <v>25.203321477178399</v>
      </c>
      <c r="AI19">
        <v>92.520222656322204</v>
      </c>
      <c r="AJ19">
        <v>89.586534200582605</v>
      </c>
      <c r="AK19">
        <v>25.228379531694099</v>
      </c>
      <c r="AL19">
        <v>81.727832699382802</v>
      </c>
      <c r="AM19">
        <v>93.945927302206798</v>
      </c>
      <c r="AN19">
        <v>1.0000000012186001</v>
      </c>
    </row>
    <row r="20" spans="1:40" x14ac:dyDescent="0.25">
      <c r="A20" t="str">
        <f>"20190304155557300"</f>
        <v>20190304155557300</v>
      </c>
      <c r="B20" t="str">
        <f>"1551686157294993"</f>
        <v>1551686157294993</v>
      </c>
      <c r="C20" t="s">
        <v>40</v>
      </c>
      <c r="D20">
        <v>4.6877509999999996</v>
      </c>
      <c r="E20">
        <v>0.52569379999999999</v>
      </c>
      <c r="F20" t="s">
        <v>41</v>
      </c>
      <c r="G20">
        <v>-450.49</v>
      </c>
      <c r="H20" s="1">
        <v>-4.5232789999999996E-6</v>
      </c>
      <c r="I20">
        <v>367.0163</v>
      </c>
      <c r="J20">
        <v>-476.16829999999999</v>
      </c>
      <c r="K20">
        <v>1.1090979999999999</v>
      </c>
      <c r="L20">
        <v>367.21789999999999</v>
      </c>
      <c r="M20">
        <v>0.99999559999999998</v>
      </c>
      <c r="N20">
        <v>-2.9603979999999999E-3</v>
      </c>
      <c r="O20">
        <v>-3.3998559999999999E-4</v>
      </c>
      <c r="P20">
        <v>0.98765049999999999</v>
      </c>
      <c r="Q20">
        <v>0.14123189999999999</v>
      </c>
      <c r="R20">
        <v>6.7824140000000005E-2</v>
      </c>
      <c r="S20">
        <v>3.0573730000000001</v>
      </c>
      <c r="T20">
        <v>-0.13187560000000001</v>
      </c>
      <c r="U20">
        <v>-2.39563E-2</v>
      </c>
      <c r="V20">
        <v>-6.8152210000000005E-2</v>
      </c>
      <c r="W20">
        <v>0.14415819999999999</v>
      </c>
      <c r="X20">
        <v>0.987205</v>
      </c>
      <c r="Y20">
        <v>7.4881979999999997E-3</v>
      </c>
      <c r="Z20">
        <v>-1.5885709999999999E-4</v>
      </c>
      <c r="AA20">
        <v>0.99997190000000002</v>
      </c>
      <c r="AB20">
        <v>4</v>
      </c>
      <c r="AC20">
        <v>25.678299999999901</v>
      </c>
      <c r="AD20">
        <v>-1.1091025232789999</v>
      </c>
      <c r="AE20">
        <v>-0.20159999999998399</v>
      </c>
      <c r="AF20">
        <v>0.192510578960224</v>
      </c>
      <c r="AG20">
        <v>-1.1091025232789999</v>
      </c>
      <c r="AH20">
        <v>25.630554487846599</v>
      </c>
      <c r="AI20">
        <v>92.477725744777203</v>
      </c>
      <c r="AJ20">
        <v>89.569660645500704</v>
      </c>
      <c r="AK20">
        <v>25.655262463764199</v>
      </c>
      <c r="AL20">
        <v>81.7114646315882</v>
      </c>
      <c r="AM20">
        <v>93.949178056012599</v>
      </c>
      <c r="AN20">
        <v>1.00000001119006</v>
      </c>
    </row>
    <row r="21" spans="1:40" x14ac:dyDescent="0.25">
      <c r="A21" t="str">
        <f>"20190304155557323"</f>
        <v>20190304155557323</v>
      </c>
      <c r="B21" t="str">
        <f>"1551686157315488"</f>
        <v>1551686157315488</v>
      </c>
      <c r="C21" t="s">
        <v>40</v>
      </c>
      <c r="D21">
        <v>4.6148989999999896</v>
      </c>
      <c r="E21">
        <v>0.52565299999999904</v>
      </c>
      <c r="F21" t="s">
        <v>41</v>
      </c>
      <c r="G21">
        <v>-449.73079999999999</v>
      </c>
      <c r="H21" s="1">
        <v>-7.7911559999999897E-7</v>
      </c>
      <c r="I21">
        <v>367.01729999999998</v>
      </c>
      <c r="J21">
        <v>-476.1277</v>
      </c>
      <c r="K21">
        <v>1.1090899999999999</v>
      </c>
      <c r="L21">
        <v>367.21780000000001</v>
      </c>
      <c r="M21">
        <v>0.99999590000000005</v>
      </c>
      <c r="N21">
        <v>-2.8317030000000001E-3</v>
      </c>
      <c r="O21">
        <v>-3.5827530000000002E-4</v>
      </c>
      <c r="P21">
        <v>0.98759439999999998</v>
      </c>
      <c r="Q21">
        <v>0.14152219999999999</v>
      </c>
      <c r="R21">
        <v>6.8037E-2</v>
      </c>
      <c r="S21">
        <v>3.0574340000000002</v>
      </c>
      <c r="T21">
        <v>-0.12826480000000001</v>
      </c>
      <c r="U21">
        <v>-2.319336E-2</v>
      </c>
      <c r="V21">
        <v>-6.8383589999999994E-2</v>
      </c>
      <c r="W21">
        <v>0.1443219</v>
      </c>
      <c r="X21">
        <v>0.98716510000000002</v>
      </c>
      <c r="Y21">
        <v>7.2208990000000002E-3</v>
      </c>
      <c r="Z21">
        <v>-1.476153E-4</v>
      </c>
      <c r="AA21">
        <v>0.99997389999999997</v>
      </c>
      <c r="AB21">
        <v>4</v>
      </c>
      <c r="AC21">
        <v>26.396899999999999</v>
      </c>
      <c r="AD21">
        <v>-1.1090907791155999</v>
      </c>
      <c r="AE21">
        <v>-0.20050000000003301</v>
      </c>
      <c r="AF21">
        <v>0.19070595029720999</v>
      </c>
      <c r="AG21">
        <v>-1.1090907791155999</v>
      </c>
      <c r="AH21">
        <v>26.350455313981001</v>
      </c>
      <c r="AI21">
        <v>92.410093985487507</v>
      </c>
      <c r="AJ21">
        <v>89.585340929314299</v>
      </c>
      <c r="AK21">
        <v>26.374475281413801</v>
      </c>
      <c r="AL21">
        <v>81.701986354739503</v>
      </c>
      <c r="AM21">
        <v>93.962702714563505</v>
      </c>
      <c r="AN21">
        <v>1.0000000304294501</v>
      </c>
    </row>
    <row r="22" spans="1:40" x14ac:dyDescent="0.25">
      <c r="A22" t="str">
        <f>"20190304155557345"</f>
        <v>20190304155557345</v>
      </c>
      <c r="B22" t="str">
        <f>"1551686157335012"</f>
        <v>1551686157335012</v>
      </c>
      <c r="C22" t="s">
        <v>40</v>
      </c>
      <c r="D22">
        <v>4.6743920000000001</v>
      </c>
      <c r="E22">
        <v>0.52568119999999996</v>
      </c>
      <c r="F22" t="s">
        <v>41</v>
      </c>
      <c r="G22">
        <v>-449.46</v>
      </c>
      <c r="H22" s="1">
        <v>-8.8173359999999998E-7</v>
      </c>
      <c r="I22">
        <v>367.02249999999998</v>
      </c>
      <c r="J22">
        <v>-476.08949999999999</v>
      </c>
      <c r="K22">
        <v>1.1095079999999999</v>
      </c>
      <c r="L22">
        <v>367.21780000000001</v>
      </c>
      <c r="M22">
        <v>0.99999110000000002</v>
      </c>
      <c r="N22">
        <v>-4.237602E-3</v>
      </c>
      <c r="O22">
        <v>-3.7175370000000003E-4</v>
      </c>
      <c r="P22">
        <v>0.98789579999999999</v>
      </c>
      <c r="Q22">
        <v>0.13950379999999901</v>
      </c>
      <c r="R22">
        <v>6.7831580000000002E-2</v>
      </c>
      <c r="S22">
        <v>3.0574650000000001</v>
      </c>
      <c r="T22">
        <v>-0.12715799999999999</v>
      </c>
      <c r="U22">
        <v>-2.23999E-2</v>
      </c>
      <c r="V22">
        <v>-6.8192180000000005E-2</v>
      </c>
      <c r="W22">
        <v>0.14369199999999999</v>
      </c>
      <c r="X22">
        <v>0.98727019999999999</v>
      </c>
      <c r="Y22">
        <v>6.9479969999999896E-3</v>
      </c>
      <c r="Z22">
        <v>-1.4526639999999999E-4</v>
      </c>
      <c r="AA22">
        <v>0.99997590000000003</v>
      </c>
      <c r="AB22">
        <v>4</v>
      </c>
      <c r="AC22">
        <v>26.6295</v>
      </c>
      <c r="AD22">
        <v>-1.1095088817335901</v>
      </c>
      <c r="AE22">
        <v>-0.195300000000031</v>
      </c>
      <c r="AF22">
        <v>0.185079014527499</v>
      </c>
      <c r="AG22">
        <v>-1.1095088817335901</v>
      </c>
      <c r="AH22">
        <v>26.5834259252259</v>
      </c>
      <c r="AI22">
        <v>92.389901310989302</v>
      </c>
      <c r="AJ22">
        <v>89.601102013459993</v>
      </c>
      <c r="AK22">
        <v>26.607213272386101</v>
      </c>
      <c r="AL22">
        <v>81.738456909410402</v>
      </c>
      <c r="AM22">
        <v>93.951226707902407</v>
      </c>
      <c r="AN22">
        <v>1.00000000604259</v>
      </c>
    </row>
    <row r="23" spans="1:40" x14ac:dyDescent="0.25">
      <c r="A23" t="str">
        <f>"20190304155557368"</f>
        <v>20190304155557368</v>
      </c>
      <c r="B23" t="str">
        <f>"1551686157365265"</f>
        <v>1551686157365265</v>
      </c>
      <c r="C23" t="s">
        <v>40</v>
      </c>
      <c r="D23">
        <v>4.6496079999999997</v>
      </c>
      <c r="E23">
        <v>0.52566740000000001</v>
      </c>
      <c r="F23" t="s">
        <v>41</v>
      </c>
      <c r="G23">
        <v>-450.65480000000002</v>
      </c>
      <c r="H23" s="1">
        <v>-4.4506999999999996E-6</v>
      </c>
      <c r="I23">
        <v>367.02679999999998</v>
      </c>
      <c r="J23">
        <v>-476.05540000000002</v>
      </c>
      <c r="K23">
        <v>1.1100939999999999</v>
      </c>
      <c r="L23">
        <v>367.21780000000001</v>
      </c>
      <c r="M23">
        <v>0.99997840000000005</v>
      </c>
      <c r="N23">
        <v>-6.5598929999999998E-3</v>
      </c>
      <c r="O23">
        <v>-3.82102E-4</v>
      </c>
      <c r="P23">
        <v>0.98822160000000003</v>
      </c>
      <c r="Q23">
        <v>0.13725989999999999</v>
      </c>
      <c r="R23">
        <v>6.7660880000000007E-2</v>
      </c>
      <c r="S23">
        <v>3.0571290000000002</v>
      </c>
      <c r="T23">
        <v>-0.1333578</v>
      </c>
      <c r="U23">
        <v>-2.2949219999999999E-2</v>
      </c>
      <c r="V23">
        <v>-6.8033029999999994E-2</v>
      </c>
      <c r="W23">
        <v>0.14374200000000001</v>
      </c>
      <c r="X23">
        <v>0.98727390000000004</v>
      </c>
      <c r="Y23">
        <v>7.1169529999999996E-3</v>
      </c>
      <c r="Z23">
        <v>-1.6435380000000001E-4</v>
      </c>
      <c r="AA23">
        <v>0.99997469999999999</v>
      </c>
      <c r="AB23">
        <v>4</v>
      </c>
      <c r="AC23">
        <v>25.400600000000001</v>
      </c>
      <c r="AD23">
        <v>-1.1100984507</v>
      </c>
      <c r="AE23">
        <v>-0.19100000000003001</v>
      </c>
      <c r="AF23">
        <v>0.180948563509331</v>
      </c>
      <c r="AG23">
        <v>-1.1100984507</v>
      </c>
      <c r="AH23">
        <v>25.352250880592599</v>
      </c>
      <c r="AI23">
        <v>92.507143720339201</v>
      </c>
      <c r="AJ23">
        <v>89.591065384956295</v>
      </c>
      <c r="AK23">
        <v>25.3771882931382</v>
      </c>
      <c r="AL23">
        <v>81.735562057254995</v>
      </c>
      <c r="AM23">
        <v>93.9420195363125</v>
      </c>
      <c r="AN23">
        <v>1.0000000046780899</v>
      </c>
    </row>
    <row r="24" spans="1:40" x14ac:dyDescent="0.25">
      <c r="A24" t="str">
        <f>"20190304155557391"</f>
        <v>20190304155557391</v>
      </c>
      <c r="B24" t="str">
        <f>"1551686157384785"</f>
        <v>1551686157384785</v>
      </c>
      <c r="C24" t="s">
        <v>40</v>
      </c>
      <c r="D24">
        <v>4.676088</v>
      </c>
      <c r="E24">
        <v>0.52562259999999905</v>
      </c>
      <c r="F24" t="s">
        <v>41</v>
      </c>
      <c r="G24">
        <v>-451.86860000000001</v>
      </c>
      <c r="H24" s="1">
        <v>-3.9289409999999901E-6</v>
      </c>
      <c r="I24">
        <v>367.03269999999998</v>
      </c>
      <c r="J24">
        <v>-476.01650000000001</v>
      </c>
      <c r="K24">
        <v>1.110025</v>
      </c>
      <c r="L24">
        <v>367.21769999999998</v>
      </c>
      <c r="M24">
        <v>0.99997610000000003</v>
      </c>
      <c r="N24">
        <v>-6.910205E-3</v>
      </c>
      <c r="O24">
        <v>-3.9533040000000003E-4</v>
      </c>
      <c r="P24">
        <v>0.98827200000000004</v>
      </c>
      <c r="Q24">
        <v>0.13679849999999999</v>
      </c>
      <c r="R24">
        <v>6.7857589999999995E-2</v>
      </c>
      <c r="S24">
        <v>3.056854</v>
      </c>
      <c r="T24">
        <v>-0.14029929999999999</v>
      </c>
      <c r="U24">
        <v>-2.3376460000000002E-2</v>
      </c>
      <c r="V24">
        <v>-6.8242269999999994E-2</v>
      </c>
      <c r="W24">
        <v>0.14362730000000001</v>
      </c>
      <c r="X24">
        <v>0.98727609999999999</v>
      </c>
      <c r="Y24">
        <v>7.2432030000000001E-3</v>
      </c>
      <c r="Z24">
        <v>-1.7576739999999999E-4</v>
      </c>
      <c r="AA24">
        <v>0.99997380000000002</v>
      </c>
      <c r="AB24">
        <v>4</v>
      </c>
      <c r="AC24">
        <v>24.1479</v>
      </c>
      <c r="AD24">
        <v>-1.1100289289409999</v>
      </c>
      <c r="AE24">
        <v>-0.185000000000002</v>
      </c>
      <c r="AF24">
        <v>0.175083420777675</v>
      </c>
      <c r="AG24">
        <v>-1.1100289289409999</v>
      </c>
      <c r="AH24">
        <v>24.097055945295502</v>
      </c>
      <c r="AI24">
        <v>92.637391433634605</v>
      </c>
      <c r="AJ24">
        <v>89.583709952961797</v>
      </c>
      <c r="AK24">
        <v>24.123244467898999</v>
      </c>
      <c r="AL24">
        <v>81.742202362273702</v>
      </c>
      <c r="AM24">
        <v>93.954096290471696</v>
      </c>
      <c r="AN24">
        <v>0.99999995317562496</v>
      </c>
    </row>
    <row r="25" spans="1:40" x14ac:dyDescent="0.25">
      <c r="A25" t="str">
        <f>"20190304155557413"</f>
        <v>20190304155557413</v>
      </c>
      <c r="B25" t="str">
        <f>"1551686157405281"</f>
        <v>1551686157405281</v>
      </c>
      <c r="C25" t="s">
        <v>40</v>
      </c>
      <c r="D25">
        <v>4.7239389999999997</v>
      </c>
      <c r="E25">
        <v>0.52562929999999997</v>
      </c>
      <c r="F25" t="s">
        <v>41</v>
      </c>
      <c r="G25">
        <v>-452.16669999999999</v>
      </c>
      <c r="H25" s="1">
        <v>-3.798809E-6</v>
      </c>
      <c r="I25">
        <v>367.0455</v>
      </c>
      <c r="J25">
        <v>-475.97410000000002</v>
      </c>
      <c r="K25">
        <v>1.109613</v>
      </c>
      <c r="L25">
        <v>367.21769999999998</v>
      </c>
      <c r="M25">
        <v>0.99998260000000005</v>
      </c>
      <c r="N25">
        <v>-5.8985219999999998E-3</v>
      </c>
      <c r="O25">
        <v>-4.1306630000000001E-4</v>
      </c>
      <c r="P25">
        <v>0.98814150000000001</v>
      </c>
      <c r="Q25">
        <v>0.13778699999999999</v>
      </c>
      <c r="R25">
        <v>6.7758410000000005E-2</v>
      </c>
      <c r="S25">
        <v>3.0568240000000002</v>
      </c>
      <c r="T25">
        <v>-0.1422715</v>
      </c>
      <c r="U25">
        <v>-2.2064210000000001E-2</v>
      </c>
      <c r="V25">
        <v>-6.8159999999999998E-2</v>
      </c>
      <c r="W25">
        <v>0.14361599999999999</v>
      </c>
      <c r="X25">
        <v>0.98728349999999998</v>
      </c>
      <c r="Y25">
        <v>6.7968179999999996E-3</v>
      </c>
      <c r="Z25">
        <v>-1.6136119999999999E-4</v>
      </c>
      <c r="AA25">
        <v>0.99997689999999995</v>
      </c>
      <c r="AB25">
        <v>4</v>
      </c>
      <c r="AC25">
        <v>23.807400000000001</v>
      </c>
      <c r="AD25">
        <v>-1.109616798809</v>
      </c>
      <c r="AE25">
        <v>-0.17219999999997501</v>
      </c>
      <c r="AF25">
        <v>0.16201385424914999</v>
      </c>
      <c r="AG25">
        <v>-1.109616798809</v>
      </c>
      <c r="AH25">
        <v>23.7558666566295</v>
      </c>
      <c r="AI25">
        <v>92.674232420606401</v>
      </c>
      <c r="AJ25">
        <v>89.609251630723804</v>
      </c>
      <c r="AK25">
        <v>23.782319031934801</v>
      </c>
      <c r="AL25">
        <v>81.742857186163306</v>
      </c>
      <c r="AM25">
        <v>93.949314984729995</v>
      </c>
      <c r="AN25">
        <v>1.0000000252141199</v>
      </c>
    </row>
    <row r="26" spans="1:40" x14ac:dyDescent="0.25">
      <c r="A26" t="str">
        <f>"20190304155557435"</f>
        <v>20190304155557435</v>
      </c>
      <c r="B26" t="str">
        <f>"1551686157424800"</f>
        <v>1551686157424800</v>
      </c>
      <c r="C26" t="s">
        <v>40</v>
      </c>
      <c r="D26">
        <v>4.7084929999999998</v>
      </c>
      <c r="E26">
        <v>0.52556619999999998</v>
      </c>
      <c r="F26" t="s">
        <v>41</v>
      </c>
      <c r="G26">
        <v>-451.6035</v>
      </c>
      <c r="H26" s="1">
        <v>-4.041906E-6</v>
      </c>
      <c r="I26">
        <v>367.03710000000001</v>
      </c>
      <c r="J26">
        <v>-475.92959999999999</v>
      </c>
      <c r="K26">
        <v>1.1093850000000001</v>
      </c>
      <c r="L26">
        <v>367.21769999999998</v>
      </c>
      <c r="M26">
        <v>0.99998609999999999</v>
      </c>
      <c r="N26">
        <v>-5.2614999999999997E-3</v>
      </c>
      <c r="O26">
        <v>-4.3226849999999998E-4</v>
      </c>
      <c r="P26">
        <v>0.98803879999999999</v>
      </c>
      <c r="Q26">
        <v>0.1384145</v>
      </c>
      <c r="R26">
        <v>6.7976209999999995E-2</v>
      </c>
      <c r="S26">
        <v>3.0569760000000001</v>
      </c>
      <c r="T26">
        <v>-0.13918659999999999</v>
      </c>
      <c r="U26">
        <v>-2.2644040000000001E-2</v>
      </c>
      <c r="V26">
        <v>-6.8395880000000006E-2</v>
      </c>
      <c r="W26">
        <v>0.14361460000000001</v>
      </c>
      <c r="X26">
        <v>0.98726740000000002</v>
      </c>
      <c r="Y26">
        <v>6.9671660000000003E-3</v>
      </c>
      <c r="Z26">
        <v>-1.594682E-4</v>
      </c>
      <c r="AA26">
        <v>0.99997570000000002</v>
      </c>
      <c r="AB26">
        <v>4</v>
      </c>
      <c r="AC26">
        <v>24.3261</v>
      </c>
      <c r="AD26">
        <v>-1.109389041906</v>
      </c>
      <c r="AE26">
        <v>-0.18059999999996901</v>
      </c>
      <c r="AF26">
        <v>0.169731442216497</v>
      </c>
      <c r="AG26">
        <v>-1.109389041906</v>
      </c>
      <c r="AH26">
        <v>24.275689860022101</v>
      </c>
      <c r="AI26">
        <v>92.616509176440999</v>
      </c>
      <c r="AJ26">
        <v>89.599404306073097</v>
      </c>
      <c r="AK26">
        <v>24.301618690711901</v>
      </c>
      <c r="AL26">
        <v>81.742938317026102</v>
      </c>
      <c r="AM26">
        <v>93.963003250265899</v>
      </c>
      <c r="AN26">
        <v>1.0000000344184401</v>
      </c>
    </row>
    <row r="27" spans="1:40" x14ac:dyDescent="0.25">
      <c r="A27" t="str">
        <f>"20190304155557457"</f>
        <v>20190304155557457</v>
      </c>
      <c r="B27" t="str">
        <f>"1551686157455057"</f>
        <v>1551686157455057</v>
      </c>
      <c r="C27" t="s">
        <v>40</v>
      </c>
      <c r="D27">
        <v>4.6437879999999998</v>
      </c>
      <c r="E27">
        <v>0.52549029999999997</v>
      </c>
      <c r="F27" t="s">
        <v>41</v>
      </c>
      <c r="G27">
        <v>-451.24770000000001</v>
      </c>
      <c r="H27" s="1">
        <v>-4.1932550000000004E-6</v>
      </c>
      <c r="I27">
        <v>367.04419999999999</v>
      </c>
      <c r="J27">
        <v>-475.88920000000002</v>
      </c>
      <c r="K27">
        <v>1.109666</v>
      </c>
      <c r="L27">
        <v>367.21769999999998</v>
      </c>
      <c r="M27">
        <v>0.99997999999999998</v>
      </c>
      <c r="N27">
        <v>-6.328144E-3</v>
      </c>
      <c r="O27">
        <v>-4.4861089999999998E-4</v>
      </c>
      <c r="P27">
        <v>0.98821619999999999</v>
      </c>
      <c r="Q27">
        <v>0.13707810000000001</v>
      </c>
      <c r="R27">
        <v>6.8107870000000001E-2</v>
      </c>
      <c r="S27">
        <v>3.057007</v>
      </c>
      <c r="T27">
        <v>-0.13740469999999999</v>
      </c>
      <c r="U27">
        <v>-2.1484380000000001E-2</v>
      </c>
      <c r="V27">
        <v>-6.8544640000000004E-2</v>
      </c>
      <c r="W27">
        <v>0.14333189999999901</v>
      </c>
      <c r="X27">
        <v>0.98729809999999996</v>
      </c>
      <c r="Y27">
        <v>6.571894E-3</v>
      </c>
      <c r="Z27">
        <v>-1.511091E-4</v>
      </c>
      <c r="AA27">
        <v>0.99997840000000005</v>
      </c>
      <c r="AB27">
        <v>5</v>
      </c>
      <c r="AC27">
        <v>24.641500000000001</v>
      </c>
      <c r="AD27">
        <v>-1.1096701932549999</v>
      </c>
      <c r="AE27">
        <v>-0.173499999999989</v>
      </c>
      <c r="AF27">
        <v>0.16211657185192199</v>
      </c>
      <c r="AG27">
        <v>-1.1096701932549999</v>
      </c>
      <c r="AH27">
        <v>24.5917074978865</v>
      </c>
      <c r="AI27">
        <v>92.583592058514796</v>
      </c>
      <c r="AJ27">
        <v>89.6222929699547</v>
      </c>
      <c r="AK27">
        <v>24.617264823336399</v>
      </c>
      <c r="AL27">
        <v>81.759304624915302</v>
      </c>
      <c r="AM27">
        <v>93.971472066527198</v>
      </c>
      <c r="AN27">
        <v>0.99999996974697403</v>
      </c>
    </row>
    <row r="28" spans="1:40" x14ac:dyDescent="0.25">
      <c r="A28" t="str">
        <f>"20190304155557480"</f>
        <v>20190304155557480</v>
      </c>
      <c r="B28" t="str">
        <f>"1551686157474577"</f>
        <v>1551686157474577</v>
      </c>
      <c r="C28" t="s">
        <v>40</v>
      </c>
      <c r="D28">
        <v>4.5639849999999997</v>
      </c>
      <c r="E28">
        <v>0.52560469999999904</v>
      </c>
      <c r="F28" t="s">
        <v>41</v>
      </c>
      <c r="G28">
        <v>-451.99239999999998</v>
      </c>
      <c r="H28" s="1">
        <v>-3.8718309999999997E-6</v>
      </c>
      <c r="I28">
        <v>367.05540000000002</v>
      </c>
      <c r="J28">
        <v>-475.85</v>
      </c>
      <c r="K28">
        <v>1.109928</v>
      </c>
      <c r="L28">
        <v>367.2176</v>
      </c>
      <c r="M28">
        <v>0.99997199999999997</v>
      </c>
      <c r="N28">
        <v>-7.4840890000000002E-3</v>
      </c>
      <c r="O28">
        <v>-4.6358759999999999E-4</v>
      </c>
      <c r="P28">
        <v>0.98831930000000001</v>
      </c>
      <c r="Q28">
        <v>0.1365083</v>
      </c>
      <c r="R28">
        <v>6.7753960000000002E-2</v>
      </c>
      <c r="S28">
        <v>3.0568849999999999</v>
      </c>
      <c r="T28">
        <v>-0.14194870000000001</v>
      </c>
      <c r="U28">
        <v>-2.0751950000000002E-2</v>
      </c>
      <c r="V28">
        <v>-6.8205600000000005E-2</v>
      </c>
      <c r="W28">
        <v>0.143903799999999</v>
      </c>
      <c r="X28">
        <v>0.98723839999999996</v>
      </c>
      <c r="Y28">
        <v>6.3172940000000002E-3</v>
      </c>
      <c r="Z28">
        <v>-1.5220119999999999E-4</v>
      </c>
      <c r="AA28">
        <v>0.99997999999999998</v>
      </c>
      <c r="AB28">
        <v>4</v>
      </c>
      <c r="AC28">
        <v>23.857600000000001</v>
      </c>
      <c r="AD28">
        <v>-1.1099318718310001</v>
      </c>
      <c r="AE28">
        <v>-0.162199999999984</v>
      </c>
      <c r="AF28">
        <v>0.15081318036781699</v>
      </c>
      <c r="AG28">
        <v>-1.1099318718310001</v>
      </c>
      <c r="AH28">
        <v>23.8061487938194</v>
      </c>
      <c r="AI28">
        <v>92.669357362136793</v>
      </c>
      <c r="AJ28">
        <v>89.637033137441605</v>
      </c>
      <c r="AK28">
        <v>23.832486520901401</v>
      </c>
      <c r="AL28">
        <v>81.726194025984199</v>
      </c>
      <c r="AM28">
        <v>93.9521287275834</v>
      </c>
      <c r="AN28">
        <v>0.999999982980179</v>
      </c>
    </row>
    <row r="29" spans="1:40" x14ac:dyDescent="0.25">
      <c r="A29" t="str">
        <f>"20190304155557501"</f>
        <v>20190304155557501</v>
      </c>
      <c r="B29" t="str">
        <f>"1551686157485316"</f>
        <v>1551686157485316</v>
      </c>
      <c r="C29" t="s">
        <v>40</v>
      </c>
      <c r="D29">
        <v>4.3078149999999997</v>
      </c>
      <c r="E29">
        <v>0.54583429999999999</v>
      </c>
      <c r="F29" t="s">
        <v>41</v>
      </c>
      <c r="G29">
        <v>-452.09820000000002</v>
      </c>
      <c r="H29" s="1">
        <v>-3.828759E-6</v>
      </c>
      <c r="I29">
        <v>367.04230000000001</v>
      </c>
      <c r="J29">
        <v>-475.80689999999998</v>
      </c>
      <c r="K29">
        <v>1.109704</v>
      </c>
      <c r="L29">
        <v>367.2176</v>
      </c>
      <c r="M29">
        <v>0.99997530000000001</v>
      </c>
      <c r="N29">
        <v>-7.0292870000000004E-3</v>
      </c>
      <c r="O29">
        <v>-4.8256250000000003E-4</v>
      </c>
      <c r="P29">
        <v>0.98825339999999995</v>
      </c>
      <c r="Q29">
        <v>0.13705809999999999</v>
      </c>
      <c r="R29">
        <v>6.7606239999999998E-2</v>
      </c>
      <c r="S29">
        <v>3.056702</v>
      </c>
      <c r="T29">
        <v>-0.14284040000000001</v>
      </c>
      <c r="U29">
        <v>-2.2552490000000001E-2</v>
      </c>
      <c r="V29">
        <v>-6.8076079999999997E-2</v>
      </c>
      <c r="W29">
        <v>0.1440043</v>
      </c>
      <c r="X29">
        <v>0.98723269999999996</v>
      </c>
      <c r="Y29">
        <v>6.8870190000000003E-3</v>
      </c>
      <c r="Z29">
        <v>-1.65900099999999E-4</v>
      </c>
      <c r="AA29">
        <v>0.99997630000000004</v>
      </c>
      <c r="AB29">
        <v>4</v>
      </c>
      <c r="AC29">
        <v>23.708699999999901</v>
      </c>
      <c r="AD29">
        <v>-1.1097078287590001</v>
      </c>
      <c r="AE29">
        <v>-0.17529999999999199</v>
      </c>
      <c r="AF29">
        <v>0.16350059201797801</v>
      </c>
      <c r="AG29">
        <v>-1.1097078287590001</v>
      </c>
      <c r="AH29">
        <v>23.656957115474899</v>
      </c>
      <c r="AI29">
        <v>92.685615329337594</v>
      </c>
      <c r="AJ29">
        <v>89.604017343702694</v>
      </c>
      <c r="AK29">
        <v>23.683534446366298</v>
      </c>
      <c r="AL29">
        <v>81.720375314462103</v>
      </c>
      <c r="AM29">
        <v>93.944670194763702</v>
      </c>
      <c r="AN29">
        <v>0.99999999751797297</v>
      </c>
    </row>
    <row r="30" spans="1:40" x14ac:dyDescent="0.25">
      <c r="A30" t="str">
        <f>"20190304155557569"</f>
        <v>20190304155557569</v>
      </c>
      <c r="B30" t="str">
        <f>"1551686157564368"</f>
        <v>1551686157564368</v>
      </c>
      <c r="C30" t="s">
        <v>40</v>
      </c>
      <c r="D30">
        <v>4.2186389999999996</v>
      </c>
      <c r="E30">
        <v>0.53368000000000004</v>
      </c>
      <c r="F30" t="s">
        <v>41</v>
      </c>
      <c r="G30">
        <v>-459.31670000000003</v>
      </c>
      <c r="H30" s="1">
        <v>-1.1237079999999999E-6</v>
      </c>
      <c r="I30">
        <v>366.21449999999999</v>
      </c>
      <c r="J30">
        <v>-475.66899999999998</v>
      </c>
      <c r="K30">
        <v>1.1099330000000001</v>
      </c>
      <c r="L30">
        <v>367.21749999999997</v>
      </c>
      <c r="M30">
        <v>0.99996839999999998</v>
      </c>
      <c r="N30">
        <v>-7.9447930000000003E-3</v>
      </c>
      <c r="O30">
        <v>-5.433355E-4</v>
      </c>
      <c r="P30">
        <v>0.98836679999999999</v>
      </c>
      <c r="Q30">
        <v>0.13615940000000001</v>
      </c>
      <c r="R30">
        <v>6.7764359999999996E-2</v>
      </c>
      <c r="S30">
        <v>3.0771480000000002</v>
      </c>
      <c r="T30">
        <v>-0.20707610000000001</v>
      </c>
      <c r="U30">
        <v>-0.18716430000000001</v>
      </c>
      <c r="V30">
        <v>-6.8294919999999995E-2</v>
      </c>
      <c r="W30">
        <v>0.14401050000000001</v>
      </c>
      <c r="X30">
        <v>0.98721669999999995</v>
      </c>
      <c r="Y30">
        <v>6.0019049999999997E-2</v>
      </c>
      <c r="Z30">
        <v>-2.2221110000000001E-3</v>
      </c>
      <c r="AA30">
        <v>0.99819480000000005</v>
      </c>
      <c r="AB30">
        <v>5</v>
      </c>
      <c r="AC30">
        <v>16.3523</v>
      </c>
      <c r="AD30">
        <v>-1.109934123708</v>
      </c>
      <c r="AE30">
        <v>-1.0029999999999799</v>
      </c>
      <c r="AF30">
        <v>0.98957271989142204</v>
      </c>
      <c r="AG30">
        <v>-1.109934123708</v>
      </c>
      <c r="AH30">
        <v>16.278127137881999</v>
      </c>
      <c r="AI30">
        <v>93.893544611412906</v>
      </c>
      <c r="AJ30">
        <v>86.521181503044303</v>
      </c>
      <c r="AK30">
        <v>16.345905635478701</v>
      </c>
      <c r="AL30">
        <v>81.720016497022499</v>
      </c>
      <c r="AM30">
        <v>93.957374591910295</v>
      </c>
      <c r="AN30">
        <v>1.0000000164834699</v>
      </c>
    </row>
    <row r="31" spans="1:40" x14ac:dyDescent="0.25">
      <c r="A31" t="str">
        <f>"20190304155557616"</f>
        <v>20190304155557616</v>
      </c>
      <c r="B31" t="str">
        <f>"1551686157604385"</f>
        <v>1551686157604385</v>
      </c>
      <c r="C31" t="s">
        <v>40</v>
      </c>
      <c r="D31">
        <v>4.5506250000000001</v>
      </c>
      <c r="E31">
        <v>0.53440730000000003</v>
      </c>
      <c r="F31" t="s">
        <v>42</v>
      </c>
      <c r="G31">
        <v>-474.94260000000003</v>
      </c>
      <c r="H31">
        <v>1.035677</v>
      </c>
      <c r="I31">
        <v>367.19510000000002</v>
      </c>
      <c r="J31">
        <v>-475.58420000000001</v>
      </c>
      <c r="K31">
        <v>1.1101989999999999</v>
      </c>
      <c r="L31">
        <v>367.21730000000002</v>
      </c>
      <c r="M31">
        <v>0.99995149999999999</v>
      </c>
      <c r="N31">
        <v>-9.8433140000000006E-3</v>
      </c>
      <c r="O31">
        <v>-5.7289709999999998E-4</v>
      </c>
      <c r="P31">
        <v>0.98860890000000001</v>
      </c>
      <c r="Q31">
        <v>0.13425799999999999</v>
      </c>
      <c r="R31">
        <v>6.8025219999999997E-2</v>
      </c>
      <c r="S31">
        <v>3.0852659999999998</v>
      </c>
      <c r="T31">
        <v>-0.31546600000000002</v>
      </c>
      <c r="U31">
        <v>-9.4757079999999994E-2</v>
      </c>
      <c r="V31">
        <v>-6.8586099999999997E-2</v>
      </c>
      <c r="W31">
        <v>0.143985</v>
      </c>
      <c r="X31">
        <v>0.98720019999999997</v>
      </c>
      <c r="Y31">
        <v>2.9956920000000001E-2</v>
      </c>
      <c r="Z31">
        <v>-1.6223050000000001E-3</v>
      </c>
      <c r="AA31">
        <v>0.99954989999999999</v>
      </c>
      <c r="AB31">
        <v>4</v>
      </c>
      <c r="AC31">
        <v>0.64159999999998196</v>
      </c>
      <c r="AD31">
        <v>-7.4521999999999894E-2</v>
      </c>
      <c r="AE31">
        <v>-2.2199999999997999E-2</v>
      </c>
      <c r="AF31">
        <v>2.15421329944189E-2</v>
      </c>
      <c r="AG31">
        <v>-7.4521999999999894E-2</v>
      </c>
      <c r="AH31">
        <v>0.63308199326276804</v>
      </c>
      <c r="AI31">
        <v>96.709717168346202</v>
      </c>
      <c r="AJ31">
        <v>88.051125647822801</v>
      </c>
      <c r="AK31">
        <v>0.63781690332846197</v>
      </c>
      <c r="AL31">
        <v>81.721492656811293</v>
      </c>
      <c r="AM31">
        <v>93.974259385315605</v>
      </c>
      <c r="AN31">
        <v>0.99999998410912405</v>
      </c>
    </row>
    <row r="32" spans="1:40" x14ac:dyDescent="0.25">
      <c r="A32" t="str">
        <f>"20190304155557637"</f>
        <v>20190304155557637</v>
      </c>
      <c r="B32" t="str">
        <f>"1551686157634640"</f>
        <v>1551686157634640</v>
      </c>
      <c r="C32" t="s">
        <v>40</v>
      </c>
      <c r="D32">
        <v>4.7682060000000002</v>
      </c>
      <c r="E32">
        <v>0.52856969999999903</v>
      </c>
      <c r="F32" t="s">
        <v>42</v>
      </c>
      <c r="G32">
        <v>-474.8177</v>
      </c>
      <c r="H32">
        <v>1.0510820000000001</v>
      </c>
      <c r="I32">
        <v>367.19299999999998</v>
      </c>
      <c r="J32">
        <v>-475.53829999999999</v>
      </c>
      <c r="K32">
        <v>1.1097509999999999</v>
      </c>
      <c r="L32">
        <v>367.21730000000002</v>
      </c>
      <c r="M32">
        <v>0.99996320000000005</v>
      </c>
      <c r="N32">
        <v>-8.5650869999999903E-3</v>
      </c>
      <c r="O32">
        <v>-5.9228619999999999E-4</v>
      </c>
      <c r="P32">
        <v>0.98838649999999995</v>
      </c>
      <c r="Q32">
        <v>0.1356523</v>
      </c>
      <c r="R32">
        <v>6.848754E-2</v>
      </c>
      <c r="S32">
        <v>3.0733950000000001</v>
      </c>
      <c r="T32">
        <v>-0.2372744</v>
      </c>
      <c r="U32">
        <v>-9.6282960000000001E-2</v>
      </c>
      <c r="V32">
        <v>-6.9066310000000006E-2</v>
      </c>
      <c r="W32">
        <v>0.14411570000000001</v>
      </c>
      <c r="X32">
        <v>0.98714769999999996</v>
      </c>
      <c r="Y32">
        <v>3.0620729999999999E-2</v>
      </c>
      <c r="Z32">
        <v>-1.270761E-3</v>
      </c>
      <c r="AA32">
        <v>0.99953029999999998</v>
      </c>
      <c r="AB32">
        <v>4</v>
      </c>
      <c r="AC32">
        <v>0.72059999999999003</v>
      </c>
      <c r="AD32">
        <v>-5.8668999999999798E-2</v>
      </c>
      <c r="AE32">
        <v>-2.4299999999982402E-2</v>
      </c>
      <c r="AF32">
        <v>2.3716149817313199E-2</v>
      </c>
      <c r="AG32">
        <v>-5.8668999999999798E-2</v>
      </c>
      <c r="AH32">
        <v>0.71587433518980603</v>
      </c>
      <c r="AI32">
        <v>94.682608992764997</v>
      </c>
      <c r="AJ32">
        <v>88.102546170211696</v>
      </c>
      <c r="AK32">
        <v>0.71866582714541505</v>
      </c>
      <c r="AL32">
        <v>81.7139256042299</v>
      </c>
      <c r="AM32">
        <v>94.002207464109304</v>
      </c>
      <c r="AN32">
        <v>1.0000000358893899</v>
      </c>
    </row>
    <row r="33" spans="1:40" x14ac:dyDescent="0.25">
      <c r="A33" t="str">
        <f>"20190304155557660"</f>
        <v>20190304155557660</v>
      </c>
      <c r="B33" t="str">
        <f>"1551686157655137"</f>
        <v>1551686157655137</v>
      </c>
      <c r="C33" t="s">
        <v>40</v>
      </c>
      <c r="D33">
        <v>4.5366499999999998</v>
      </c>
      <c r="E33">
        <v>0.52849190000000001</v>
      </c>
      <c r="F33" t="s">
        <v>41</v>
      </c>
      <c r="G33">
        <v>-457.57150000000001</v>
      </c>
      <c r="H33" s="1">
        <v>-1.523673E-6</v>
      </c>
      <c r="I33">
        <v>366.94349999999997</v>
      </c>
      <c r="J33">
        <v>-475.48759999999999</v>
      </c>
      <c r="K33">
        <v>1.10938799999999</v>
      </c>
      <c r="L33">
        <v>367.21730000000002</v>
      </c>
      <c r="M33">
        <v>0.99997320000000001</v>
      </c>
      <c r="N33">
        <v>-7.2963159999999997E-3</v>
      </c>
      <c r="O33">
        <v>-6.1585449999999897E-4</v>
      </c>
      <c r="P33">
        <v>0.98816700000000002</v>
      </c>
      <c r="Q33">
        <v>0.13698299999999999</v>
      </c>
      <c r="R33">
        <v>6.9005059999999993E-2</v>
      </c>
      <c r="S33">
        <v>3.0644529999999999</v>
      </c>
      <c r="T33">
        <v>-0.1892807</v>
      </c>
      <c r="U33">
        <v>-4.669189E-2</v>
      </c>
      <c r="V33">
        <v>-6.9606360000000006E-2</v>
      </c>
      <c r="W33">
        <v>0.1441926</v>
      </c>
      <c r="X33">
        <v>0.98709849999999999</v>
      </c>
      <c r="Y33">
        <v>1.458887E-2</v>
      </c>
      <c r="Z33">
        <v>-4.6986899999999998E-4</v>
      </c>
      <c r="AA33">
        <v>0.99989349999999999</v>
      </c>
      <c r="AB33">
        <v>5</v>
      </c>
      <c r="AC33">
        <v>17.916099999999901</v>
      </c>
      <c r="AD33">
        <v>-1.10938952367299</v>
      </c>
      <c r="AE33">
        <v>-0.273800000000051</v>
      </c>
      <c r="AF33">
        <v>0.2617625133748</v>
      </c>
      <c r="AG33">
        <v>-1.10938952367299</v>
      </c>
      <c r="AH33">
        <v>17.8478479790008</v>
      </c>
      <c r="AI33">
        <v>93.556443112238398</v>
      </c>
      <c r="AJ33">
        <v>89.159741160271494</v>
      </c>
      <c r="AK33">
        <v>17.884209297874101</v>
      </c>
      <c r="AL33">
        <v>81.709472753289006</v>
      </c>
      <c r="AM33">
        <v>94.033599399099401</v>
      </c>
      <c r="AN33">
        <v>0.99999999997472899</v>
      </c>
    </row>
    <row r="34" spans="1:40" x14ac:dyDescent="0.25">
      <c r="A34" t="str">
        <f>"20190304155557683"</f>
        <v>20190304155557683</v>
      </c>
      <c r="B34" t="str">
        <f>"1551686157674658"</f>
        <v>1551686157674658</v>
      </c>
      <c r="C34" t="s">
        <v>40</v>
      </c>
      <c r="D34">
        <v>4.4392310000000004</v>
      </c>
      <c r="E34">
        <v>0.52782830000000003</v>
      </c>
      <c r="F34" t="s">
        <v>41</v>
      </c>
      <c r="G34">
        <v>-455.18130000000002</v>
      </c>
      <c r="H34" s="1">
        <v>-2.5265389999999999E-6</v>
      </c>
      <c r="I34">
        <v>366.92700000000002</v>
      </c>
      <c r="J34">
        <v>-475.43650000000002</v>
      </c>
      <c r="K34">
        <v>1.109445</v>
      </c>
      <c r="L34">
        <v>367.21719999999999</v>
      </c>
      <c r="M34">
        <v>0.99997329999999995</v>
      </c>
      <c r="N34">
        <v>-7.3002279999999998E-3</v>
      </c>
      <c r="O34">
        <v>-6.3851890000000001E-4</v>
      </c>
      <c r="P34">
        <v>0.98817310000000003</v>
      </c>
      <c r="Q34">
        <v>0.13690840000000001</v>
      </c>
      <c r="R34">
        <v>6.9068640000000001E-2</v>
      </c>
      <c r="S34">
        <v>3.0621640000000001</v>
      </c>
      <c r="T34">
        <v>-0.16729430000000001</v>
      </c>
      <c r="U34">
        <v>-4.3762210000000003E-2</v>
      </c>
      <c r="V34">
        <v>-6.9692279999999995E-2</v>
      </c>
      <c r="W34">
        <v>0.1441219</v>
      </c>
      <c r="X34">
        <v>0.9871027</v>
      </c>
      <c r="Y34">
        <v>1.362901E-2</v>
      </c>
      <c r="Z34">
        <v>-3.915929E-4</v>
      </c>
      <c r="AA34">
        <v>0.99990699999999999</v>
      </c>
      <c r="AB34">
        <v>5</v>
      </c>
      <c r="AC34">
        <v>20.255199999999999</v>
      </c>
      <c r="AD34">
        <v>-1.109447526539</v>
      </c>
      <c r="AE34">
        <v>-0.29020000000002699</v>
      </c>
      <c r="AF34">
        <v>0.27643709237345698</v>
      </c>
      <c r="AG34">
        <v>-1.109447526539</v>
      </c>
      <c r="AH34">
        <v>20.194806508967901</v>
      </c>
      <c r="AI34">
        <v>93.144218760576393</v>
      </c>
      <c r="AJ34">
        <v>89.2157543308507</v>
      </c>
      <c r="AK34">
        <v>20.227147629234199</v>
      </c>
      <c r="AL34">
        <v>81.713565807172898</v>
      </c>
      <c r="AM34">
        <v>94.038544761490499</v>
      </c>
      <c r="AN34">
        <v>0.99999993814924704</v>
      </c>
    </row>
    <row r="35" spans="1:40" x14ac:dyDescent="0.25">
      <c r="A35" t="str">
        <f>"20190304155557702"</f>
        <v>20190304155557702</v>
      </c>
      <c r="B35" t="str">
        <f>"1551686157695153"</f>
        <v>1551686157695153</v>
      </c>
      <c r="C35" t="s">
        <v>40</v>
      </c>
      <c r="D35">
        <v>4.563898</v>
      </c>
      <c r="E35">
        <v>0.52741939999999998</v>
      </c>
      <c r="F35" t="s">
        <v>41</v>
      </c>
      <c r="G35">
        <v>-454.20150000000001</v>
      </c>
      <c r="H35" s="1">
        <v>-2.9415320000000002E-6</v>
      </c>
      <c r="I35">
        <v>366.9572</v>
      </c>
      <c r="J35">
        <v>-475.3954</v>
      </c>
      <c r="K35">
        <v>1.1098889999999999</v>
      </c>
      <c r="L35">
        <v>367.21710000000002</v>
      </c>
      <c r="M35">
        <v>0.99996169999999995</v>
      </c>
      <c r="N35">
        <v>-8.7389459999999992E-3</v>
      </c>
      <c r="O35">
        <v>-6.5454969999999995E-4</v>
      </c>
      <c r="P35">
        <v>0.9884522</v>
      </c>
      <c r="Q35">
        <v>0.1351088</v>
      </c>
      <c r="R35">
        <v>6.8616910000000003E-2</v>
      </c>
      <c r="S35">
        <v>3.0606990000000001</v>
      </c>
      <c r="T35">
        <v>-0.1599092</v>
      </c>
      <c r="U35">
        <v>-3.7475590000000003E-2</v>
      </c>
      <c r="V35">
        <v>-6.925742E-2</v>
      </c>
      <c r="W35">
        <v>0.14374479999999901</v>
      </c>
      <c r="X35">
        <v>0.98718830000000002</v>
      </c>
      <c r="Y35">
        <v>1.157088E-2</v>
      </c>
      <c r="Z35">
        <v>-3.2419419999999999E-4</v>
      </c>
      <c r="AA35">
        <v>0.99993299999999996</v>
      </c>
      <c r="AB35">
        <v>5</v>
      </c>
      <c r="AC35">
        <v>21.1938999999999</v>
      </c>
      <c r="AD35">
        <v>-1.1098919415320001</v>
      </c>
      <c r="AE35">
        <v>-0.25990000000001601</v>
      </c>
      <c r="AF35">
        <v>0.24535418324230299</v>
      </c>
      <c r="AG35">
        <v>-1.1098919415320001</v>
      </c>
      <c r="AH35">
        <v>21.136109453279602</v>
      </c>
      <c r="AI35">
        <v>93.005732774253701</v>
      </c>
      <c r="AJ35">
        <v>89.334923589964404</v>
      </c>
      <c r="AK35">
        <v>21.166652584150501</v>
      </c>
      <c r="AL35">
        <v>81.735399479707098</v>
      </c>
      <c r="AM35">
        <v>94.013081126319406</v>
      </c>
      <c r="AN35">
        <v>0.99999994870449105</v>
      </c>
    </row>
    <row r="36" spans="1:40" x14ac:dyDescent="0.25">
      <c r="A36" t="str">
        <f>"20190304155557726"</f>
        <v>20190304155557726</v>
      </c>
      <c r="B36" t="str">
        <f>"1551686157714676"</f>
        <v>1551686157714676</v>
      </c>
      <c r="C36" t="s">
        <v>40</v>
      </c>
      <c r="D36">
        <v>4.4853199999999998</v>
      </c>
      <c r="E36">
        <v>0.52720730000000005</v>
      </c>
      <c r="F36" t="s">
        <v>41</v>
      </c>
      <c r="G36">
        <v>-453.55810000000002</v>
      </c>
      <c r="H36" s="1">
        <v>-3.215856E-6</v>
      </c>
      <c r="I36">
        <v>366.9667</v>
      </c>
      <c r="J36">
        <v>-475.35379999999998</v>
      </c>
      <c r="K36">
        <v>1.1104400000000001</v>
      </c>
      <c r="L36">
        <v>367.21710000000002</v>
      </c>
      <c r="M36">
        <v>0.99994059999999996</v>
      </c>
      <c r="N36">
        <v>-1.088604E-2</v>
      </c>
      <c r="O36">
        <v>-6.6902270000000004E-4</v>
      </c>
      <c r="P36">
        <v>0.98883960000000004</v>
      </c>
      <c r="Q36">
        <v>0.13254360000000001</v>
      </c>
      <c r="R36">
        <v>6.8033070000000001E-2</v>
      </c>
      <c r="S36">
        <v>3.058716</v>
      </c>
      <c r="T36">
        <v>-0.1554604</v>
      </c>
      <c r="U36">
        <v>-3.5064699999999997E-2</v>
      </c>
      <c r="V36">
        <v>-6.8688990000000005E-2</v>
      </c>
      <c r="W36">
        <v>0.14330219999999999</v>
      </c>
      <c r="X36">
        <v>0.98729239999999996</v>
      </c>
      <c r="Y36">
        <v>1.0777729999999999E-2</v>
      </c>
      <c r="Z36">
        <v>-3.0571750000000001E-4</v>
      </c>
      <c r="AA36">
        <v>0.99994190000000005</v>
      </c>
      <c r="AB36">
        <v>5</v>
      </c>
      <c r="AC36">
        <v>21.795699999999901</v>
      </c>
      <c r="AD36">
        <v>-1.11044321585599</v>
      </c>
      <c r="AE36">
        <v>-0.250400000000013</v>
      </c>
      <c r="AF36">
        <v>0.23520682198840201</v>
      </c>
      <c r="AG36">
        <v>-1.11044321585599</v>
      </c>
      <c r="AH36">
        <v>21.739441479035701</v>
      </c>
      <c r="AI36">
        <v>92.923936576012693</v>
      </c>
      <c r="AJ36">
        <v>89.380120578458502</v>
      </c>
      <c r="AK36">
        <v>21.769054233134899</v>
      </c>
      <c r="AL36">
        <v>81.761024231687301</v>
      </c>
      <c r="AM36">
        <v>93.979831751527897</v>
      </c>
      <c r="AN36">
        <v>0.99999999048490995</v>
      </c>
    </row>
    <row r="37" spans="1:40" x14ac:dyDescent="0.25">
      <c r="A37" t="str">
        <f>"20190304155557747"</f>
        <v>20190304155557747</v>
      </c>
      <c r="B37" t="str">
        <f>"1551686157744929"</f>
        <v>1551686157744929</v>
      </c>
      <c r="C37" t="s">
        <v>40</v>
      </c>
      <c r="D37">
        <v>4.5864520000000004</v>
      </c>
      <c r="E37">
        <v>0.52726099999999998</v>
      </c>
      <c r="F37" t="s">
        <v>41</v>
      </c>
      <c r="G37">
        <v>-453.69209999999998</v>
      </c>
      <c r="H37" s="1">
        <v>-3.158302E-6</v>
      </c>
      <c r="I37">
        <v>366.96710000000002</v>
      </c>
      <c r="J37">
        <v>-475.31099999999998</v>
      </c>
      <c r="K37">
        <v>1.1104210000000001</v>
      </c>
      <c r="L37">
        <v>367.21710000000002</v>
      </c>
      <c r="M37">
        <v>0.99993650000000001</v>
      </c>
      <c r="N37">
        <v>-1.126427E-2</v>
      </c>
      <c r="O37">
        <v>-6.80637E-4</v>
      </c>
      <c r="P37">
        <v>0.98903240000000003</v>
      </c>
      <c r="Q37">
        <v>0.13155</v>
      </c>
      <c r="R37">
        <v>6.7154790000000006E-2</v>
      </c>
      <c r="S37">
        <v>3.05722</v>
      </c>
      <c r="T37">
        <v>-0.15672159999999999</v>
      </c>
      <c r="U37">
        <v>-3.5278320000000002E-2</v>
      </c>
      <c r="V37">
        <v>-6.7823209999999995E-2</v>
      </c>
      <c r="W37">
        <v>0.1426839</v>
      </c>
      <c r="X37">
        <v>0.98744180000000004</v>
      </c>
      <c r="Y37">
        <v>1.0841119999999999E-2</v>
      </c>
      <c r="Z37">
        <v>-3.1158850000000002E-4</v>
      </c>
      <c r="AA37">
        <v>0.99994119999999997</v>
      </c>
      <c r="AB37">
        <v>4</v>
      </c>
      <c r="AC37">
        <v>21.6189</v>
      </c>
      <c r="AD37">
        <v>-1.11042415830199</v>
      </c>
      <c r="AE37">
        <v>-0.25</v>
      </c>
      <c r="AF37">
        <v>0.23466537227199599</v>
      </c>
      <c r="AG37">
        <v>-1.11042415830199</v>
      </c>
      <c r="AH37">
        <v>21.562187025823601</v>
      </c>
      <c r="AI37">
        <v>92.947878368299101</v>
      </c>
      <c r="AJ37">
        <v>89.376463778385997</v>
      </c>
      <c r="AK37">
        <v>21.592036008326801</v>
      </c>
      <c r="AL37">
        <v>81.796818084883398</v>
      </c>
      <c r="AM37">
        <v>93.929234017196293</v>
      </c>
      <c r="AN37">
        <v>0.99999999576057697</v>
      </c>
    </row>
    <row r="38" spans="1:40" x14ac:dyDescent="0.25">
      <c r="A38" t="str">
        <f>"20190304155557772"</f>
        <v>20190304155557772</v>
      </c>
      <c r="B38" t="str">
        <f>"1551686157764449"</f>
        <v>1551686157764449</v>
      </c>
      <c r="C38" t="s">
        <v>40</v>
      </c>
      <c r="D38">
        <v>4.6025229999999997</v>
      </c>
      <c r="E38">
        <v>0.52702099999999996</v>
      </c>
      <c r="F38" t="s">
        <v>41</v>
      </c>
      <c r="G38">
        <v>-452.68119999999999</v>
      </c>
      <c r="H38" s="1">
        <v>-3.5970180000000001E-6</v>
      </c>
      <c r="I38">
        <v>366.93860000000001</v>
      </c>
      <c r="J38">
        <v>-475.25889999999998</v>
      </c>
      <c r="K38">
        <v>1.109915</v>
      </c>
      <c r="L38">
        <v>367.21699999999998</v>
      </c>
      <c r="M38">
        <v>0.99995160000000005</v>
      </c>
      <c r="N38">
        <v>-9.8292859999999996E-3</v>
      </c>
      <c r="O38">
        <v>-6.9128630000000004E-4</v>
      </c>
      <c r="P38">
        <v>0.9890063</v>
      </c>
      <c r="Q38">
        <v>0.13210920000000001</v>
      </c>
      <c r="R38">
        <v>6.643781E-2</v>
      </c>
      <c r="S38">
        <v>3.0557560000000001</v>
      </c>
      <c r="T38">
        <v>-0.1499432</v>
      </c>
      <c r="U38">
        <v>-3.7597659999999998E-2</v>
      </c>
      <c r="V38">
        <v>-6.7116800000000004E-2</v>
      </c>
      <c r="W38">
        <v>0.1418259</v>
      </c>
      <c r="X38">
        <v>0.98761370000000004</v>
      </c>
      <c r="Y38">
        <v>1.159547E-2</v>
      </c>
      <c r="Z38">
        <v>-3.1423250000000002E-4</v>
      </c>
      <c r="AA38">
        <v>0.99993270000000001</v>
      </c>
      <c r="AB38">
        <v>4</v>
      </c>
      <c r="AC38">
        <v>22.5777</v>
      </c>
      <c r="AD38">
        <v>-1.1099185970180001</v>
      </c>
      <c r="AE38">
        <v>-0.278399999999976</v>
      </c>
      <c r="AF38">
        <v>0.26215806580652401</v>
      </c>
      <c r="AG38">
        <v>-1.1099185970180001</v>
      </c>
      <c r="AH38">
        <v>22.5234628756943</v>
      </c>
      <c r="AI38">
        <v>92.820967348682302</v>
      </c>
      <c r="AJ38">
        <v>89.333145503613096</v>
      </c>
      <c r="AK38">
        <v>22.552317531824901</v>
      </c>
      <c r="AL38">
        <v>81.846483281365494</v>
      </c>
      <c r="AM38">
        <v>93.8877607064464</v>
      </c>
      <c r="AN38">
        <v>1.00000003559036</v>
      </c>
    </row>
    <row r="39" spans="1:40" x14ac:dyDescent="0.25">
      <c r="A39" t="str">
        <f>"20190304155557794"</f>
        <v>20190304155557794</v>
      </c>
      <c r="B39" t="str">
        <f>"1551686157784944"</f>
        <v>1551686157784944</v>
      </c>
      <c r="C39" t="s">
        <v>40</v>
      </c>
      <c r="D39">
        <v>4.5934589999999904</v>
      </c>
      <c r="E39">
        <v>0.52689019999999898</v>
      </c>
      <c r="F39" t="s">
        <v>41</v>
      </c>
      <c r="G39">
        <v>-452.0881</v>
      </c>
      <c r="H39" s="1">
        <v>-3.8526689999999998E-6</v>
      </c>
      <c r="I39">
        <v>366.93180000000001</v>
      </c>
      <c r="J39">
        <v>-475.20600000000002</v>
      </c>
      <c r="K39">
        <v>1.1094889999999999</v>
      </c>
      <c r="L39">
        <v>367.21699999999998</v>
      </c>
      <c r="M39">
        <v>0.9999652</v>
      </c>
      <c r="N39">
        <v>-8.3115749999999999E-3</v>
      </c>
      <c r="O39">
        <v>-7.0070619999999903E-4</v>
      </c>
      <c r="P39">
        <v>0.98888949999999998</v>
      </c>
      <c r="Q39">
        <v>0.133266299999999</v>
      </c>
      <c r="R39">
        <v>6.5860639999999998E-2</v>
      </c>
      <c r="S39">
        <v>3.0553889999999999</v>
      </c>
      <c r="T39">
        <v>-0.14635799999999999</v>
      </c>
      <c r="U39">
        <v>-3.7597659999999998E-2</v>
      </c>
      <c r="V39">
        <v>-6.6548860000000001E-2</v>
      </c>
      <c r="W39">
        <v>0.1414832</v>
      </c>
      <c r="X39">
        <v>0.98770119999999895</v>
      </c>
      <c r="Y39">
        <v>1.15887E-2</v>
      </c>
      <c r="Z39">
        <v>-2.9786100000000001E-4</v>
      </c>
      <c r="AA39">
        <v>0.99993279999999995</v>
      </c>
      <c r="AB39">
        <v>5</v>
      </c>
      <c r="AC39">
        <v>23.117899999999899</v>
      </c>
      <c r="AD39">
        <v>-1.109492852669</v>
      </c>
      <c r="AE39">
        <v>-0.28519999999997397</v>
      </c>
      <c r="AF39">
        <v>0.26838244066015998</v>
      </c>
      <c r="AG39">
        <v>-1.109492852669</v>
      </c>
      <c r="AH39">
        <v>23.0649764826587</v>
      </c>
      <c r="AI39">
        <v>92.753785678966494</v>
      </c>
      <c r="AJ39">
        <v>89.333340434311395</v>
      </c>
      <c r="AK39">
        <v>23.0932055737219</v>
      </c>
      <c r="AL39">
        <v>81.866317888646606</v>
      </c>
      <c r="AM39">
        <v>93.854621746627302</v>
      </c>
      <c r="AN39">
        <v>0.99999995356548799</v>
      </c>
    </row>
    <row r="40" spans="1:40" x14ac:dyDescent="0.25">
      <c r="A40" t="str">
        <f>"20190304155557818"</f>
        <v>20190304155557818</v>
      </c>
      <c r="B40" t="str">
        <f>"1551686157815201"</f>
        <v>1551686157815201</v>
      </c>
      <c r="C40" t="s">
        <v>40</v>
      </c>
      <c r="D40">
        <v>4.6224480000000003</v>
      </c>
      <c r="E40">
        <v>0.52672949999999996</v>
      </c>
      <c r="F40" t="s">
        <v>41</v>
      </c>
      <c r="G40">
        <v>-450.73630000000003</v>
      </c>
      <c r="H40" s="1">
        <v>-4.4359820000000003E-6</v>
      </c>
      <c r="I40">
        <v>366.9128</v>
      </c>
      <c r="J40">
        <v>-475.15069999999997</v>
      </c>
      <c r="K40">
        <v>1.1094120000000001</v>
      </c>
      <c r="L40">
        <v>367.21690000000001</v>
      </c>
      <c r="M40">
        <v>0.99996969999999996</v>
      </c>
      <c r="N40">
        <v>-7.7558359999999899E-3</v>
      </c>
      <c r="O40">
        <v>-7.0882919999999997E-4</v>
      </c>
      <c r="P40">
        <v>0.98888549999999997</v>
      </c>
      <c r="Q40">
        <v>0.13352990000000001</v>
      </c>
      <c r="R40">
        <v>6.5387260000000003E-2</v>
      </c>
      <c r="S40">
        <v>3.0548709999999999</v>
      </c>
      <c r="T40">
        <v>-0.13851169999999999</v>
      </c>
      <c r="U40">
        <v>-3.7963869999999997E-2</v>
      </c>
      <c r="V40">
        <v>-6.6083900000000001E-2</v>
      </c>
      <c r="W40">
        <v>0.14119709999999999</v>
      </c>
      <c r="X40">
        <v>0.98777340000000002</v>
      </c>
      <c r="Y40">
        <v>1.1703979999999999E-2</v>
      </c>
      <c r="Z40">
        <v>-2.839807E-4</v>
      </c>
      <c r="AA40">
        <v>0.99993149999999997</v>
      </c>
      <c r="AB40">
        <v>5</v>
      </c>
      <c r="AC40">
        <v>24.414399999999901</v>
      </c>
      <c r="AD40">
        <v>-1.109416435982</v>
      </c>
      <c r="AE40">
        <v>-0.30410000000000498</v>
      </c>
      <c r="AF40">
        <v>0.28620287794698501</v>
      </c>
      <c r="AG40">
        <v>-1.109416435982</v>
      </c>
      <c r="AH40">
        <v>24.3643075983016</v>
      </c>
      <c r="AI40">
        <v>92.606953888016804</v>
      </c>
      <c r="AJ40">
        <v>89.326988352231396</v>
      </c>
      <c r="AK40">
        <v>24.3912320652407</v>
      </c>
      <c r="AL40">
        <v>81.882876791172905</v>
      </c>
      <c r="AM40">
        <v>93.827491870186293</v>
      </c>
      <c r="AN40">
        <v>0.99999999631758996</v>
      </c>
    </row>
    <row r="41" spans="1:40" x14ac:dyDescent="0.25">
      <c r="A41" t="str">
        <f>"20190304155557836"</f>
        <v>20190304155557836</v>
      </c>
      <c r="B41" t="str">
        <f>"1551686157834722"</f>
        <v>1551686157834722</v>
      </c>
      <c r="C41" t="s">
        <v>40</v>
      </c>
      <c r="D41">
        <v>4.7253280000000002</v>
      </c>
      <c r="E41">
        <v>0.52634530000000002</v>
      </c>
      <c r="F41" t="s">
        <v>41</v>
      </c>
      <c r="G41">
        <v>-449.6277</v>
      </c>
      <c r="H41" s="1">
        <v>-8.4928189999999995E-7</v>
      </c>
      <c r="I41">
        <v>366.90249999999997</v>
      </c>
      <c r="J41">
        <v>-475.10879999999997</v>
      </c>
      <c r="K41">
        <v>1.1097859999999999</v>
      </c>
      <c r="L41">
        <v>367.21690000000001</v>
      </c>
      <c r="M41">
        <v>0.99996050000000003</v>
      </c>
      <c r="N41">
        <v>-8.8577580000000003E-3</v>
      </c>
      <c r="O41">
        <v>-7.1400550000000004E-4</v>
      </c>
      <c r="P41">
        <v>0.98907210000000001</v>
      </c>
      <c r="Q41">
        <v>0.13233420000000001</v>
      </c>
      <c r="R41">
        <v>6.4993399999999896E-2</v>
      </c>
      <c r="S41">
        <v>3.0541689999999999</v>
      </c>
      <c r="T41">
        <v>-0.13275600000000001</v>
      </c>
      <c r="U41">
        <v>-3.7628170000000002E-2</v>
      </c>
      <c r="V41">
        <v>-6.5695379999999998E-2</v>
      </c>
      <c r="W41">
        <v>0.14109189999999999</v>
      </c>
      <c r="X41">
        <v>0.98781439999999998</v>
      </c>
      <c r="Y41">
        <v>1.15926E-2</v>
      </c>
      <c r="Z41">
        <v>-2.7849660000000003E-4</v>
      </c>
      <c r="AA41">
        <v>0.99993279999999995</v>
      </c>
      <c r="AB41">
        <v>5</v>
      </c>
      <c r="AC41">
        <v>25.481099999999898</v>
      </c>
      <c r="AD41">
        <v>-1.1097868492818901</v>
      </c>
      <c r="AE41">
        <v>-0.31440000000003399</v>
      </c>
      <c r="AF41">
        <v>0.29564483904442401</v>
      </c>
      <c r="AG41">
        <v>-1.1097868492818901</v>
      </c>
      <c r="AH41">
        <v>25.433081509009501</v>
      </c>
      <c r="AI41">
        <v>92.498380065920003</v>
      </c>
      <c r="AJ41">
        <v>89.333999752020603</v>
      </c>
      <c r="AK41">
        <v>25.458999740084401</v>
      </c>
      <c r="AL41">
        <v>81.888965681032005</v>
      </c>
      <c r="AM41">
        <v>93.804898138617602</v>
      </c>
      <c r="AN41">
        <v>1.0000000480231499</v>
      </c>
    </row>
    <row r="42" spans="1:40" x14ac:dyDescent="0.25">
      <c r="A42" t="str">
        <f>"20190304155557860"</f>
        <v>20190304155557860</v>
      </c>
      <c r="B42" t="str">
        <f>"1551686157855217"</f>
        <v>1551686157855217</v>
      </c>
      <c r="C42" t="s">
        <v>40</v>
      </c>
      <c r="D42">
        <v>4.6217370000000004</v>
      </c>
      <c r="E42">
        <v>0.52637860000000003</v>
      </c>
      <c r="F42" t="s">
        <v>41</v>
      </c>
      <c r="G42">
        <v>-449.73570000000001</v>
      </c>
      <c r="H42" s="1">
        <v>-8.0248030000000005E-7</v>
      </c>
      <c r="I42">
        <v>366.92250000000001</v>
      </c>
      <c r="J42">
        <v>-475.0634</v>
      </c>
      <c r="K42">
        <v>1.1103700000000001</v>
      </c>
      <c r="L42">
        <v>367.21690000000001</v>
      </c>
      <c r="M42">
        <v>0.99993989999999999</v>
      </c>
      <c r="N42">
        <v>-1.095002E-2</v>
      </c>
      <c r="O42">
        <v>-7.1889740000000005E-4</v>
      </c>
      <c r="P42">
        <v>0.9893111</v>
      </c>
      <c r="Q42">
        <v>0.1307846</v>
      </c>
      <c r="R42">
        <v>6.4492289999999994E-2</v>
      </c>
      <c r="S42">
        <v>3.0533450000000002</v>
      </c>
      <c r="T42">
        <v>-0.13354949999999999</v>
      </c>
      <c r="U42">
        <v>-3.5430910000000003E-2</v>
      </c>
      <c r="V42">
        <v>-6.5199649999999998E-2</v>
      </c>
      <c r="W42">
        <v>0.14161109999999999</v>
      </c>
      <c r="X42">
        <v>0.98777289999999995</v>
      </c>
      <c r="Y42">
        <v>1.087168E-2</v>
      </c>
      <c r="Z42">
        <v>-2.7363860000000003E-4</v>
      </c>
      <c r="AA42">
        <v>0.99994090000000002</v>
      </c>
      <c r="AB42">
        <v>5</v>
      </c>
      <c r="AC42">
        <v>25.3277</v>
      </c>
      <c r="AD42">
        <v>-1.1103708024803001</v>
      </c>
      <c r="AE42">
        <v>-0.294399999999996</v>
      </c>
      <c r="AF42">
        <v>0.27566107832026499</v>
      </c>
      <c r="AG42">
        <v>-1.1103708024803001</v>
      </c>
      <c r="AH42">
        <v>25.279325796868001</v>
      </c>
      <c r="AI42">
        <v>92.514897721102599</v>
      </c>
      <c r="AJ42">
        <v>89.375236883173699</v>
      </c>
      <c r="AK42">
        <v>25.305201542238301</v>
      </c>
      <c r="AL42">
        <v>81.858915604981703</v>
      </c>
      <c r="AM42">
        <v>93.776428386703301</v>
      </c>
      <c r="AN42">
        <v>0.99999999998887101</v>
      </c>
    </row>
    <row r="43" spans="1:40" x14ac:dyDescent="0.25">
      <c r="A43" t="str">
        <f>"20190304155557881"</f>
        <v>20190304155557881</v>
      </c>
      <c r="B43" t="str">
        <f>"1551686157874737"</f>
        <v>1551686157874737</v>
      </c>
      <c r="C43" t="s">
        <v>40</v>
      </c>
      <c r="D43">
        <v>4.8348829999999996</v>
      </c>
      <c r="E43">
        <v>0.52611260000000004</v>
      </c>
      <c r="F43" t="s">
        <v>41</v>
      </c>
      <c r="G43">
        <v>-450.45420000000001</v>
      </c>
      <c r="H43" s="1">
        <v>-4.5563069999999999E-6</v>
      </c>
      <c r="I43">
        <v>366.91669999999999</v>
      </c>
      <c r="J43">
        <v>-475.02050000000003</v>
      </c>
      <c r="K43">
        <v>1.1105560000000001</v>
      </c>
      <c r="L43">
        <v>367.21690000000001</v>
      </c>
      <c r="M43">
        <v>0.99992879999999995</v>
      </c>
      <c r="N43">
        <v>-1.192782E-2</v>
      </c>
      <c r="O43">
        <v>-7.2091129999999996E-4</v>
      </c>
      <c r="P43">
        <v>0.98942399999999997</v>
      </c>
      <c r="Q43">
        <v>0.13010099999999999</v>
      </c>
      <c r="R43">
        <v>6.4142499999999894E-2</v>
      </c>
      <c r="S43">
        <v>3.0530400000000002</v>
      </c>
      <c r="T43">
        <v>-0.1377536</v>
      </c>
      <c r="U43">
        <v>-3.7231449999999999E-2</v>
      </c>
      <c r="V43">
        <v>-6.4852229999999997E-2</v>
      </c>
      <c r="W43">
        <v>0.14189479999999999</v>
      </c>
      <c r="X43">
        <v>0.9877551</v>
      </c>
      <c r="Y43">
        <v>1.145872E-2</v>
      </c>
      <c r="Z43">
        <v>-3.02842E-4</v>
      </c>
      <c r="AA43">
        <v>0.99993430000000005</v>
      </c>
      <c r="AB43">
        <v>4</v>
      </c>
      <c r="AC43">
        <v>24.566299999999998</v>
      </c>
      <c r="AD43">
        <v>-1.11056055630699</v>
      </c>
      <c r="AE43">
        <v>-0.30020000000001801</v>
      </c>
      <c r="AF43">
        <v>0.281912499835487</v>
      </c>
      <c r="AG43">
        <v>-1.11056055630699</v>
      </c>
      <c r="AH43">
        <v>24.5164147347813</v>
      </c>
      <c r="AI43">
        <v>92.5934773366982</v>
      </c>
      <c r="AJ43">
        <v>89.341188964823402</v>
      </c>
      <c r="AK43">
        <v>24.543174424971799</v>
      </c>
      <c r="AL43">
        <v>81.842495321184998</v>
      </c>
      <c r="AM43">
        <v>93.756430740130398</v>
      </c>
      <c r="AN43">
        <v>1.0000000417895101</v>
      </c>
    </row>
    <row r="44" spans="1:40" x14ac:dyDescent="0.25">
      <c r="A44" t="str">
        <f>"20190304155557904"</f>
        <v>20190304155557904</v>
      </c>
      <c r="B44" t="str">
        <f>"1551686157895237"</f>
        <v>1551686157895237</v>
      </c>
      <c r="C44" t="s">
        <v>40</v>
      </c>
      <c r="D44">
        <v>4.6142440000000002</v>
      </c>
      <c r="E44">
        <v>0.52599770000000001</v>
      </c>
      <c r="F44" t="s">
        <v>41</v>
      </c>
      <c r="G44">
        <v>-450.6884</v>
      </c>
      <c r="H44" s="1">
        <v>-4.4534340000000001E-6</v>
      </c>
      <c r="I44">
        <v>366.93020000000001</v>
      </c>
      <c r="J44">
        <v>-474.9708</v>
      </c>
      <c r="K44">
        <v>1.1101890000000001</v>
      </c>
      <c r="L44">
        <v>367.21679999999998</v>
      </c>
      <c r="M44">
        <v>0.99993960000000004</v>
      </c>
      <c r="N44">
        <v>-1.098736E-2</v>
      </c>
      <c r="O44">
        <v>-7.1837759999999996E-4</v>
      </c>
      <c r="P44">
        <v>0.98931650000000004</v>
      </c>
      <c r="Q44">
        <v>0.13095499999999999</v>
      </c>
      <c r="R44">
        <v>6.4061690000000004E-2</v>
      </c>
      <c r="S44">
        <v>3.0527039999999999</v>
      </c>
      <c r="T44">
        <v>-0.13933010000000001</v>
      </c>
      <c r="U44">
        <v>-3.5949710000000003E-2</v>
      </c>
      <c r="V44">
        <v>-6.4768629999999994E-2</v>
      </c>
      <c r="W44">
        <v>0.14181830000000001</v>
      </c>
      <c r="X44">
        <v>0.98777150000000002</v>
      </c>
      <c r="Y44">
        <v>1.1043330000000001E-2</v>
      </c>
      <c r="Z44">
        <v>-2.8770940000000001E-4</v>
      </c>
      <c r="AA44">
        <v>0.99993900000000002</v>
      </c>
      <c r="AB44">
        <v>4</v>
      </c>
      <c r="AC44">
        <v>24.282399999999999</v>
      </c>
      <c r="AD44">
        <v>-1.1101934534340001</v>
      </c>
      <c r="AE44">
        <v>-0.28659999999996399</v>
      </c>
      <c r="AF44">
        <v>0.26859357459053901</v>
      </c>
      <c r="AG44">
        <v>-1.1101934534340001</v>
      </c>
      <c r="AH44">
        <v>24.2319539949644</v>
      </c>
      <c r="AI44">
        <v>92.623026194760797</v>
      </c>
      <c r="AJ44">
        <v>89.364943989651493</v>
      </c>
      <c r="AK44">
        <v>24.258859545049301</v>
      </c>
      <c r="AL44">
        <v>81.846922644882795</v>
      </c>
      <c r="AM44">
        <v>93.751540111244196</v>
      </c>
      <c r="AN44">
        <v>0.99999997092960802</v>
      </c>
    </row>
    <row r="45" spans="1:40" x14ac:dyDescent="0.25">
      <c r="A45" t="str">
        <f>"20190304155557926"</f>
        <v>20190304155557926</v>
      </c>
      <c r="B45" t="str">
        <f>"1551686157914756"</f>
        <v>1551686157914756</v>
      </c>
      <c r="C45" t="s">
        <v>40</v>
      </c>
      <c r="D45">
        <v>4.653886</v>
      </c>
      <c r="E45">
        <v>0.5260049</v>
      </c>
      <c r="F45" t="s">
        <v>41</v>
      </c>
      <c r="G45">
        <v>-449.98270000000002</v>
      </c>
      <c r="H45" s="1">
        <v>-4.7566749999999997E-6</v>
      </c>
      <c r="I45">
        <v>366.92750000000001</v>
      </c>
      <c r="J45">
        <v>-474.91829999999999</v>
      </c>
      <c r="K45">
        <v>1.109718</v>
      </c>
      <c r="L45">
        <v>367.21679999999998</v>
      </c>
      <c r="M45">
        <v>0.9999555</v>
      </c>
      <c r="N45">
        <v>-9.4044709999999993E-3</v>
      </c>
      <c r="O45">
        <v>-7.1435439999999997E-4</v>
      </c>
      <c r="P45">
        <v>0.98898569999999997</v>
      </c>
      <c r="Q45">
        <v>0.1333106</v>
      </c>
      <c r="R45">
        <v>6.4311119999999999E-2</v>
      </c>
      <c r="S45">
        <v>3.052673</v>
      </c>
      <c r="T45">
        <v>-0.13562639999999901</v>
      </c>
      <c r="U45">
        <v>-3.533936E-2</v>
      </c>
      <c r="V45">
        <v>-6.5014099999999894E-2</v>
      </c>
      <c r="W45">
        <v>0.14260699999999901</v>
      </c>
      <c r="X45">
        <v>0.98764189999999996</v>
      </c>
      <c r="Y45">
        <v>1.084888E-2</v>
      </c>
      <c r="Z45">
        <v>-2.669158E-4</v>
      </c>
      <c r="AA45">
        <v>0.99994110000000003</v>
      </c>
      <c r="AB45">
        <v>5</v>
      </c>
      <c r="AC45">
        <v>24.935599999999901</v>
      </c>
      <c r="AD45">
        <v>-1.1097227566750001</v>
      </c>
      <c r="AE45">
        <v>-0.28929999999996803</v>
      </c>
      <c r="AF45">
        <v>0.27094972083421698</v>
      </c>
      <c r="AG45">
        <v>-1.1097227566750001</v>
      </c>
      <c r="AH45">
        <v>24.886517549885099</v>
      </c>
      <c r="AI45">
        <v>92.5530521794565</v>
      </c>
      <c r="AJ45">
        <v>89.376222001212199</v>
      </c>
      <c r="AK45">
        <v>24.912720728749001</v>
      </c>
      <c r="AL45">
        <v>81.801270151200995</v>
      </c>
      <c r="AM45">
        <v>93.766210156950606</v>
      </c>
      <c r="AN45">
        <v>1.0000000561417</v>
      </c>
    </row>
    <row r="46" spans="1:40" x14ac:dyDescent="0.25">
      <c r="A46" t="str">
        <f>"20190304155557939"</f>
        <v>20190304155557939</v>
      </c>
      <c r="B46" t="str">
        <f>"1551686157935250"</f>
        <v>1551686157935250</v>
      </c>
      <c r="C46" t="s">
        <v>40</v>
      </c>
      <c r="D46">
        <v>4.6132109999999997</v>
      </c>
      <c r="E46">
        <v>0.52594849999999904</v>
      </c>
      <c r="F46" t="s">
        <v>41</v>
      </c>
      <c r="G46">
        <v>-448.17039999999997</v>
      </c>
      <c r="H46" s="1">
        <v>-1.4055839999999999E-6</v>
      </c>
      <c r="I46">
        <v>366.91489999999999</v>
      </c>
      <c r="J46">
        <v>-474.88679999999999</v>
      </c>
      <c r="K46">
        <v>1.1095189999999999</v>
      </c>
      <c r="L46">
        <v>367.2167</v>
      </c>
      <c r="M46">
        <v>0.99996269999999998</v>
      </c>
      <c r="N46">
        <v>-8.6222759999999999E-3</v>
      </c>
      <c r="O46">
        <v>-7.121362E-4</v>
      </c>
      <c r="P46">
        <v>0.98888819999999999</v>
      </c>
      <c r="Q46">
        <v>0.1339447</v>
      </c>
      <c r="R46">
        <v>6.4493839999999997E-2</v>
      </c>
      <c r="S46">
        <v>3.0527340000000001</v>
      </c>
      <c r="T46">
        <v>-0.12665209999999999</v>
      </c>
      <c r="U46">
        <v>-3.4454350000000002E-2</v>
      </c>
      <c r="V46">
        <v>-6.51944E-2</v>
      </c>
      <c r="W46">
        <v>0.14246779999999901</v>
      </c>
      <c r="X46">
        <v>0.98765000000000003</v>
      </c>
      <c r="Y46">
        <v>1.056296E-2</v>
      </c>
      <c r="Z46">
        <v>-2.411882E-4</v>
      </c>
      <c r="AA46">
        <v>0.99994419999999995</v>
      </c>
      <c r="AB46">
        <v>5</v>
      </c>
      <c r="AC46">
        <v>26.7164</v>
      </c>
      <c r="AD46">
        <v>-1.109520405584</v>
      </c>
      <c r="AE46">
        <v>-0.301800000000014</v>
      </c>
      <c r="AF46">
        <v>0.28228670398510602</v>
      </c>
      <c r="AG46">
        <v>-1.109520405584</v>
      </c>
      <c r="AH46">
        <v>26.6706150931862</v>
      </c>
      <c r="AI46">
        <v>92.382046588248201</v>
      </c>
      <c r="AJ46">
        <v>89.393593556905003</v>
      </c>
      <c r="AK46">
        <v>26.695176170284899</v>
      </c>
      <c r="AL46">
        <v>81.809327149331494</v>
      </c>
      <c r="AM46">
        <v>93.7765937104882</v>
      </c>
      <c r="AN46">
        <v>0.99999995316409895</v>
      </c>
    </row>
    <row r="47" spans="1:40" x14ac:dyDescent="0.25">
      <c r="A47" t="str">
        <f>"20190304155557960"</f>
        <v>20190304155557960</v>
      </c>
      <c r="B47" t="str">
        <f>"1551686157954769"</f>
        <v>1551686157954769</v>
      </c>
      <c r="C47" t="s">
        <v>40</v>
      </c>
      <c r="D47">
        <v>4.6191089999999999</v>
      </c>
      <c r="E47">
        <v>0.52580569999999904</v>
      </c>
      <c r="F47" t="s">
        <v>41</v>
      </c>
      <c r="G47">
        <v>-447.65480000000002</v>
      </c>
      <c r="H47" s="1">
        <v>-1.601927E-6</v>
      </c>
      <c r="I47">
        <v>366.92110000000002</v>
      </c>
      <c r="J47">
        <v>-474.83609999999999</v>
      </c>
      <c r="K47">
        <v>1.1095299999999999</v>
      </c>
      <c r="L47">
        <v>367.2167</v>
      </c>
      <c r="M47">
        <v>0.99996490000000005</v>
      </c>
      <c r="N47">
        <v>-8.3772740000000005E-3</v>
      </c>
      <c r="O47">
        <v>-7.0942819999999997E-4</v>
      </c>
      <c r="P47">
        <v>0.98885040000000002</v>
      </c>
      <c r="Q47">
        <v>0.13409740000000001</v>
      </c>
      <c r="R47">
        <v>6.4754629999999994E-2</v>
      </c>
      <c r="S47">
        <v>3.0527039999999999</v>
      </c>
      <c r="T47">
        <v>-0.1243771</v>
      </c>
      <c r="U47">
        <v>-3.3142089999999999E-2</v>
      </c>
      <c r="V47">
        <v>-6.5452389999999999E-2</v>
      </c>
      <c r="W47">
        <v>0.14237810000000001</v>
      </c>
      <c r="X47">
        <v>0.98764589999999997</v>
      </c>
      <c r="Y47">
        <v>1.013681E-2</v>
      </c>
      <c r="Z47">
        <v>-2.259439E-4</v>
      </c>
      <c r="AA47">
        <v>0.99994859999999997</v>
      </c>
      <c r="AB47">
        <v>6</v>
      </c>
      <c r="AC47">
        <v>27.181299999999901</v>
      </c>
      <c r="AD47">
        <v>-1.1095316019269901</v>
      </c>
      <c r="AE47">
        <v>-0.29559999999997899</v>
      </c>
      <c r="AF47">
        <v>0.27585648268716401</v>
      </c>
      <c r="AG47">
        <v>-1.1095316019269901</v>
      </c>
      <c r="AH47">
        <v>27.136292504269001</v>
      </c>
      <c r="AI47">
        <v>92.3412486710575</v>
      </c>
      <c r="AJ47">
        <v>89.417574534152806</v>
      </c>
      <c r="AK47">
        <v>27.160366861512799</v>
      </c>
      <c r="AL47">
        <v>81.814519744000293</v>
      </c>
      <c r="AM47">
        <v>93.791510792870298</v>
      </c>
      <c r="AN47">
        <v>0.99999998125156497</v>
      </c>
    </row>
    <row r="48" spans="1:40" x14ac:dyDescent="0.25">
      <c r="A48" t="str">
        <f>"20190304155557982"</f>
        <v>20190304155557982</v>
      </c>
      <c r="B48" t="str">
        <f>"1551686157975265"</f>
        <v>1551686157975265</v>
      </c>
      <c r="C48" t="s">
        <v>40</v>
      </c>
      <c r="D48">
        <v>4.65144</v>
      </c>
      <c r="E48">
        <v>0.52565909999999905</v>
      </c>
      <c r="F48" t="s">
        <v>41</v>
      </c>
      <c r="G48">
        <v>-447.68130000000002</v>
      </c>
      <c r="H48" s="1">
        <v>-1.5862529999999999E-6</v>
      </c>
      <c r="I48">
        <v>366.94170000000003</v>
      </c>
      <c r="J48">
        <v>-474.78739999999999</v>
      </c>
      <c r="K48">
        <v>1.109996</v>
      </c>
      <c r="L48">
        <v>367.2167</v>
      </c>
      <c r="M48">
        <v>0.99995179999999995</v>
      </c>
      <c r="N48">
        <v>-9.7974519999999999E-3</v>
      </c>
      <c r="O48">
        <v>-7.0779359999999995E-4</v>
      </c>
      <c r="P48">
        <v>0.98907339999999999</v>
      </c>
      <c r="Q48">
        <v>0.13220489999999999</v>
      </c>
      <c r="R48">
        <v>6.5239000000000005E-2</v>
      </c>
      <c r="S48">
        <v>3.0527340000000001</v>
      </c>
      <c r="T48">
        <v>-0.124733399999999</v>
      </c>
      <c r="U48">
        <v>-3.091431E-2</v>
      </c>
      <c r="V48">
        <v>-6.5935049999999995E-2</v>
      </c>
      <c r="W48">
        <v>0.1418905</v>
      </c>
      <c r="X48">
        <v>0.98768400000000001</v>
      </c>
      <c r="Y48">
        <v>9.4090530000000006E-3</v>
      </c>
      <c r="Z48">
        <v>-2.1628350000000001E-4</v>
      </c>
      <c r="AA48">
        <v>0.9999557</v>
      </c>
      <c r="AB48">
        <v>6</v>
      </c>
      <c r="AC48">
        <v>27.106099999999898</v>
      </c>
      <c r="AD48">
        <v>-1.109997586253</v>
      </c>
      <c r="AE48">
        <v>-0.27499999999997699</v>
      </c>
      <c r="AF48">
        <v>0.25538527274718797</v>
      </c>
      <c r="AG48">
        <v>-1.109997586253</v>
      </c>
      <c r="AH48">
        <v>27.0609137902544</v>
      </c>
      <c r="AI48">
        <v>92.348764637740302</v>
      </c>
      <c r="AJ48">
        <v>89.459291581923694</v>
      </c>
      <c r="AK48">
        <v>27.084873480276901</v>
      </c>
      <c r="AL48">
        <v>81.842743985783102</v>
      </c>
      <c r="AM48">
        <v>93.819240858369398</v>
      </c>
      <c r="AN48">
        <v>1.00000001433237</v>
      </c>
    </row>
    <row r="49" spans="1:40" x14ac:dyDescent="0.25">
      <c r="A49" t="str">
        <f>"20190304155557997"</f>
        <v>20190304155557997</v>
      </c>
      <c r="B49" t="str">
        <f>"1551686157994785"</f>
        <v>1551686157994785</v>
      </c>
      <c r="C49" t="s">
        <v>40</v>
      </c>
      <c r="D49">
        <v>5.7744999999999997</v>
      </c>
      <c r="E49">
        <v>0.52558590000000005</v>
      </c>
      <c r="F49" t="s">
        <v>41</v>
      </c>
      <c r="G49">
        <v>-449.32369999999997</v>
      </c>
      <c r="H49" s="1">
        <v>-9.4622989999999998E-7</v>
      </c>
      <c r="I49">
        <v>366.9769</v>
      </c>
      <c r="J49">
        <v>-474.75729999999999</v>
      </c>
      <c r="K49">
        <v>1.110363</v>
      </c>
      <c r="L49">
        <v>367.2167</v>
      </c>
      <c r="M49">
        <v>0.99993799999999999</v>
      </c>
      <c r="N49">
        <v>-1.112134E-2</v>
      </c>
      <c r="O49">
        <v>-7.0746310000000001E-4</v>
      </c>
      <c r="P49">
        <v>0.98925469999999904</v>
      </c>
      <c r="Q49">
        <v>0.13082849999999999</v>
      </c>
      <c r="R49">
        <v>6.5263280000000007E-2</v>
      </c>
      <c r="S49">
        <v>3.0527950000000001</v>
      </c>
      <c r="T49">
        <v>-0.13307539999999901</v>
      </c>
      <c r="U49">
        <v>-2.8747559999999998E-2</v>
      </c>
      <c r="V49">
        <v>-6.5958749999999997E-2</v>
      </c>
      <c r="W49">
        <v>0.14182349999999999</v>
      </c>
      <c r="X49">
        <v>0.98769200000000001</v>
      </c>
      <c r="Y49">
        <v>8.6989059999999993E-3</v>
      </c>
      <c r="Z49">
        <v>-2.1494870000000001E-4</v>
      </c>
      <c r="AA49">
        <v>0.99996220000000002</v>
      </c>
      <c r="AB49">
        <v>5</v>
      </c>
      <c r="AC49">
        <v>25.433599999999998</v>
      </c>
      <c r="AD49">
        <v>-1.1103639462299</v>
      </c>
      <c r="AE49">
        <v>-0.23980000000000201</v>
      </c>
      <c r="AF49">
        <v>0.22138358336915101</v>
      </c>
      <c r="AG49">
        <v>-1.1103639462299</v>
      </c>
      <c r="AH49">
        <v>25.385383929883499</v>
      </c>
      <c r="AI49">
        <v>92.504442229493193</v>
      </c>
      <c r="AJ49">
        <v>89.500341477433295</v>
      </c>
      <c r="AK49">
        <v>25.4106205365328</v>
      </c>
      <c r="AL49">
        <v>81.846621692763094</v>
      </c>
      <c r="AM49">
        <v>93.820578744775304</v>
      </c>
      <c r="AN49">
        <v>0.99999997435890597</v>
      </c>
    </row>
    <row r="50" spans="1:40" x14ac:dyDescent="0.25">
      <c r="A50" t="str">
        <f>"20190304155558019"</f>
        <v>20190304155558019</v>
      </c>
      <c r="B50" t="str">
        <f>"1551686158015281"</f>
        <v>1551686158015281</v>
      </c>
      <c r="C50" t="s">
        <v>40</v>
      </c>
      <c r="D50">
        <v>4.6547029999999996</v>
      </c>
      <c r="E50">
        <v>0.5253814</v>
      </c>
      <c r="F50" t="s">
        <v>41</v>
      </c>
      <c r="G50">
        <v>-450.01080000000002</v>
      </c>
      <c r="H50" s="1">
        <v>-4.7335730000000002E-6</v>
      </c>
      <c r="I50">
        <v>366.98970000000003</v>
      </c>
      <c r="J50">
        <v>-474.71420000000001</v>
      </c>
      <c r="K50">
        <v>1.1106400000000001</v>
      </c>
      <c r="L50">
        <v>367.21660000000003</v>
      </c>
      <c r="M50">
        <v>0.99992320000000001</v>
      </c>
      <c r="N50">
        <v>-1.238276E-2</v>
      </c>
      <c r="O50">
        <v>-7.0798559999999896E-4</v>
      </c>
      <c r="P50">
        <v>0.98942229999999998</v>
      </c>
      <c r="Q50">
        <v>0.12953619999999999</v>
      </c>
      <c r="R50">
        <v>6.5301040000000005E-2</v>
      </c>
      <c r="S50">
        <v>3.0525509999999998</v>
      </c>
      <c r="T50">
        <v>-0.13696659999999999</v>
      </c>
      <c r="U50">
        <v>-2.7984620000000002E-2</v>
      </c>
      <c r="V50">
        <v>-6.5997319999999998E-2</v>
      </c>
      <c r="W50">
        <v>0.14177909999999999</v>
      </c>
      <c r="X50">
        <v>0.98769580000000001</v>
      </c>
      <c r="Y50">
        <v>8.448746E-3</v>
      </c>
      <c r="Z50">
        <v>-2.1880590000000001E-4</v>
      </c>
      <c r="AA50">
        <v>0.99996430000000003</v>
      </c>
      <c r="AB50">
        <v>5</v>
      </c>
      <c r="AC50">
        <v>24.703399999999899</v>
      </c>
      <c r="AD50">
        <v>-1.1106447335730001</v>
      </c>
      <c r="AE50">
        <v>-0.22689999999999999</v>
      </c>
      <c r="AF50">
        <v>0.20898655791552501</v>
      </c>
      <c r="AG50">
        <v>-1.1106447335730001</v>
      </c>
      <c r="AH50">
        <v>24.653725392352602</v>
      </c>
      <c r="AI50">
        <v>92.579325300966303</v>
      </c>
      <c r="AJ50">
        <v>89.514322449962805</v>
      </c>
      <c r="AK50">
        <v>24.6796147220157</v>
      </c>
      <c r="AL50">
        <v>81.849191610602006</v>
      </c>
      <c r="AM50">
        <v>93.822791577651699</v>
      </c>
      <c r="AN50">
        <v>0.99999997639081495</v>
      </c>
    </row>
    <row r="51" spans="1:40" x14ac:dyDescent="0.25">
      <c r="A51" t="str">
        <f>"20190304155558039"</f>
        <v>20190304155558039</v>
      </c>
      <c r="B51" t="str">
        <f>"1551686158034801"</f>
        <v>1551686158034801</v>
      </c>
      <c r="C51" t="s">
        <v>40</v>
      </c>
      <c r="D51">
        <v>4.6819569999999997</v>
      </c>
      <c r="E51">
        <v>0.52530730000000003</v>
      </c>
      <c r="F51" t="s">
        <v>41</v>
      </c>
      <c r="G51">
        <v>-450.62759999999997</v>
      </c>
      <c r="H51" s="1">
        <v>-4.465299E-6</v>
      </c>
      <c r="I51">
        <v>367.0104</v>
      </c>
      <c r="J51">
        <v>-474.66719999999998</v>
      </c>
      <c r="K51">
        <v>1.1103700000000001</v>
      </c>
      <c r="L51">
        <v>367.21660000000003</v>
      </c>
      <c r="M51">
        <v>0.9999304</v>
      </c>
      <c r="N51">
        <v>-1.179358E-2</v>
      </c>
      <c r="O51">
        <v>-7.0872830000000004E-4</v>
      </c>
      <c r="P51">
        <v>0.9893305</v>
      </c>
      <c r="Q51">
        <v>0.130138</v>
      </c>
      <c r="R51">
        <v>6.5495429999999993E-2</v>
      </c>
      <c r="S51">
        <v>3.0521850000000001</v>
      </c>
      <c r="T51">
        <v>-0.1407368</v>
      </c>
      <c r="U51">
        <v>-2.6123049999999998E-2</v>
      </c>
      <c r="V51">
        <v>-6.6191659999999999E-2</v>
      </c>
      <c r="W51">
        <v>0.14179849999999999</v>
      </c>
      <c r="X51">
        <v>0.98768</v>
      </c>
      <c r="Y51">
        <v>7.8396899999999999E-3</v>
      </c>
      <c r="Z51">
        <v>-2.0260149999999999E-4</v>
      </c>
      <c r="AA51">
        <v>0.9999692</v>
      </c>
      <c r="AB51">
        <v>4</v>
      </c>
      <c r="AC51">
        <v>24.0396</v>
      </c>
      <c r="AD51">
        <v>-1.110374465299</v>
      </c>
      <c r="AE51">
        <v>-0.206200000000023</v>
      </c>
      <c r="AF51">
        <v>0.188758542619409</v>
      </c>
      <c r="AG51">
        <v>-1.110374465299</v>
      </c>
      <c r="AH51">
        <v>23.9885652378406</v>
      </c>
      <c r="AI51">
        <v>92.650113788154201</v>
      </c>
      <c r="AJ51">
        <v>89.549166674592797</v>
      </c>
      <c r="AK51">
        <v>24.0149916387813</v>
      </c>
      <c r="AL51">
        <v>81.848068646122897</v>
      </c>
      <c r="AM51">
        <v>93.8340760438346</v>
      </c>
      <c r="AN51">
        <v>0.99999996642790201</v>
      </c>
    </row>
    <row r="52" spans="1:40" x14ac:dyDescent="0.25">
      <c r="A52" t="str">
        <f>"20190304155558072"</f>
        <v>20190304155558072</v>
      </c>
      <c r="B52" t="str">
        <f>"1551686158065058"</f>
        <v>1551686158065058</v>
      </c>
      <c r="C52" t="s">
        <v>40</v>
      </c>
      <c r="D52">
        <v>4.7031619999999998</v>
      </c>
      <c r="E52">
        <v>0.52486750000000004</v>
      </c>
      <c r="F52" t="s">
        <v>41</v>
      </c>
      <c r="G52">
        <v>-450.3537</v>
      </c>
      <c r="H52" s="1">
        <v>-4.5810239999999997E-6</v>
      </c>
      <c r="I52">
        <v>367.0204</v>
      </c>
      <c r="J52">
        <v>-474.5872</v>
      </c>
      <c r="K52">
        <v>1.1096600000000001</v>
      </c>
      <c r="L52">
        <v>367.21660000000003</v>
      </c>
      <c r="M52">
        <v>0.99995520000000004</v>
      </c>
      <c r="N52">
        <v>-9.4365820000000007E-3</v>
      </c>
      <c r="O52">
        <v>-7.0646149999999998E-4</v>
      </c>
      <c r="P52">
        <v>0.98906269999999996</v>
      </c>
      <c r="Q52">
        <v>0.13235259999999999</v>
      </c>
      <c r="R52">
        <v>6.5098890000000006E-2</v>
      </c>
      <c r="S52">
        <v>3.0523380000000002</v>
      </c>
      <c r="T52">
        <v>-0.13939699999999999</v>
      </c>
      <c r="U52">
        <v>-2.4627690000000001E-2</v>
      </c>
      <c r="V52">
        <v>-6.5791970000000005E-2</v>
      </c>
      <c r="W52">
        <v>0.14168239999999999</v>
      </c>
      <c r="X52">
        <v>0.98772340000000003</v>
      </c>
      <c r="Y52">
        <v>7.3529479999999998E-3</v>
      </c>
      <c r="Z52">
        <v>-1.7694480000000001E-4</v>
      </c>
      <c r="AA52">
        <v>0.99997290000000005</v>
      </c>
      <c r="AB52">
        <v>5</v>
      </c>
      <c r="AC52">
        <v>24.2334999999999</v>
      </c>
      <c r="AD52">
        <v>-1.109664581024</v>
      </c>
      <c r="AE52">
        <v>-0.19620000000003299</v>
      </c>
      <c r="AF52">
        <v>0.17870447559463301</v>
      </c>
      <c r="AG52">
        <v>-1.109664581024</v>
      </c>
      <c r="AH52">
        <v>24.182929804870302</v>
      </c>
      <c r="AI52">
        <v>92.627175397753405</v>
      </c>
      <c r="AJ52">
        <v>89.576609370971198</v>
      </c>
      <c r="AK52">
        <v>24.2090351876993</v>
      </c>
      <c r="AL52">
        <v>81.854788809435902</v>
      </c>
      <c r="AM52">
        <v>93.810825929341604</v>
      </c>
      <c r="AN52">
        <v>1.0000000003469001</v>
      </c>
    </row>
    <row r="53" spans="1:40" x14ac:dyDescent="0.25">
      <c r="A53" t="str">
        <f>"20190304155558095"</f>
        <v>20190304155558095</v>
      </c>
      <c r="B53" t="str">
        <f>"1551686158084577"</f>
        <v>1551686158084577</v>
      </c>
      <c r="C53" t="s">
        <v>40</v>
      </c>
      <c r="D53">
        <v>4.7473219999999996</v>
      </c>
      <c r="E53">
        <v>0.52466709999999905</v>
      </c>
      <c r="F53" t="s">
        <v>41</v>
      </c>
      <c r="G53">
        <v>-449.76369999999997</v>
      </c>
      <c r="H53" s="1">
        <v>-7.6251740000000002E-7</v>
      </c>
      <c r="I53">
        <v>367.03219999999999</v>
      </c>
      <c r="J53">
        <v>-474.52839999999998</v>
      </c>
      <c r="K53">
        <v>1.1095010000000001</v>
      </c>
      <c r="L53">
        <v>367.2165</v>
      </c>
      <c r="M53">
        <v>0.9999633</v>
      </c>
      <c r="N53">
        <v>-8.5608419999999904E-3</v>
      </c>
      <c r="O53">
        <v>-7.0501389999999998E-4</v>
      </c>
      <c r="P53">
        <v>0.98891709999999999</v>
      </c>
      <c r="Q53">
        <v>0.13358589999999901</v>
      </c>
      <c r="R53">
        <v>6.4792450000000001E-2</v>
      </c>
      <c r="S53">
        <v>3.0528870000000001</v>
      </c>
      <c r="T53">
        <v>-0.13647029999999999</v>
      </c>
      <c r="U53">
        <v>-2.267456E-2</v>
      </c>
      <c r="V53">
        <v>-6.5483760000000002E-2</v>
      </c>
      <c r="W53">
        <v>0.14204910000000001</v>
      </c>
      <c r="X53">
        <v>0.98769119999999999</v>
      </c>
      <c r="Y53">
        <v>6.714495E-3</v>
      </c>
      <c r="Z53">
        <v>-1.5329149999999999E-4</v>
      </c>
      <c r="AA53">
        <v>0.99997749999999996</v>
      </c>
      <c r="AB53">
        <v>6</v>
      </c>
      <c r="AC53">
        <v>24.764700000000001</v>
      </c>
      <c r="AD53">
        <v>-1.1095017625174</v>
      </c>
      <c r="AE53">
        <v>-0.18430000000000701</v>
      </c>
      <c r="AF53">
        <v>0.166505668962767</v>
      </c>
      <c r="AG53">
        <v>-1.1095017625174</v>
      </c>
      <c r="AH53">
        <v>24.715218236228299</v>
      </c>
      <c r="AI53">
        <v>92.570306150373696</v>
      </c>
      <c r="AJ53">
        <v>89.614005926294496</v>
      </c>
      <c r="AK53">
        <v>24.740669569824099</v>
      </c>
      <c r="AL53">
        <v>81.833563674267893</v>
      </c>
      <c r="AM53">
        <v>93.793149211639502</v>
      </c>
      <c r="AN53">
        <v>0.999999988095993</v>
      </c>
    </row>
    <row r="54" spans="1:40" x14ac:dyDescent="0.25">
      <c r="A54" t="str">
        <f>"20190304155558116"</f>
        <v>20190304155558116</v>
      </c>
      <c r="B54" t="str">
        <f>"1551686158105076"</f>
        <v>1551686158105076</v>
      </c>
      <c r="C54" t="s">
        <v>40</v>
      </c>
      <c r="D54">
        <v>4.6831430000000003</v>
      </c>
      <c r="E54">
        <v>0.52461459999999904</v>
      </c>
      <c r="F54" t="s">
        <v>41</v>
      </c>
      <c r="G54">
        <v>-449.35680000000002</v>
      </c>
      <c r="H54" s="1">
        <v>-9.1776469999999998E-7</v>
      </c>
      <c r="I54">
        <v>367.03609999999998</v>
      </c>
      <c r="J54">
        <v>-474.47879999999998</v>
      </c>
      <c r="K54">
        <v>1.1098950000000001</v>
      </c>
      <c r="L54">
        <v>367.2165</v>
      </c>
      <c r="M54">
        <v>0.99995319999999999</v>
      </c>
      <c r="N54">
        <v>-9.6643400000000004E-3</v>
      </c>
      <c r="O54">
        <v>-7.0433679999999904E-4</v>
      </c>
      <c r="P54">
        <v>0.98899749999999997</v>
      </c>
      <c r="Q54">
        <v>0.1329255</v>
      </c>
      <c r="R54">
        <v>6.4923449999999994E-2</v>
      </c>
      <c r="S54">
        <v>3.0531920000000001</v>
      </c>
      <c r="T54">
        <v>-0.134577</v>
      </c>
      <c r="U54">
        <v>-2.1881100000000001E-2</v>
      </c>
      <c r="V54">
        <v>-6.5614359999999997E-2</v>
      </c>
      <c r="W54">
        <v>0.14247960000000001</v>
      </c>
      <c r="X54">
        <v>0.98762050000000001</v>
      </c>
      <c r="Y54">
        <v>6.4548690000000002E-3</v>
      </c>
      <c r="Z54">
        <v>-1.4917150000000001E-4</v>
      </c>
      <c r="AA54">
        <v>0.99997910000000001</v>
      </c>
      <c r="AB54">
        <v>6</v>
      </c>
      <c r="AC54">
        <v>25.1219999999999</v>
      </c>
      <c r="AD54">
        <v>-1.1098959177646901</v>
      </c>
      <c r="AE54">
        <v>-0.18040000000001999</v>
      </c>
      <c r="AF54">
        <v>0.16238783502187401</v>
      </c>
      <c r="AG54">
        <v>-1.1098959177646901</v>
      </c>
      <c r="AH54">
        <v>25.073183180192402</v>
      </c>
      <c r="AI54">
        <v>92.5345618304287</v>
      </c>
      <c r="AJ54">
        <v>89.628925954964203</v>
      </c>
      <c r="AK54">
        <v>25.0982619626283</v>
      </c>
      <c r="AL54">
        <v>81.8086441995885</v>
      </c>
      <c r="AM54">
        <v>93.800963350423004</v>
      </c>
      <c r="AN54">
        <v>0.99999996633730903</v>
      </c>
    </row>
    <row r="55" spans="1:40" x14ac:dyDescent="0.25">
      <c r="A55" t="str">
        <f>"20190304155558138"</f>
        <v>20190304155558138</v>
      </c>
      <c r="B55" t="str">
        <f>"1551686158135330"</f>
        <v>1551686158135330</v>
      </c>
      <c r="C55" t="s">
        <v>40</v>
      </c>
      <c r="D55">
        <v>4.714658</v>
      </c>
      <c r="E55">
        <v>0.524393</v>
      </c>
      <c r="F55" t="s">
        <v>41</v>
      </c>
      <c r="G55">
        <v>-449.7242</v>
      </c>
      <c r="H55" s="1">
        <v>-7.747395E-7</v>
      </c>
      <c r="I55">
        <v>367.04329999999999</v>
      </c>
      <c r="J55">
        <v>-474.43270000000001</v>
      </c>
      <c r="K55">
        <v>1.1104350000000001</v>
      </c>
      <c r="L55">
        <v>367.21640000000002</v>
      </c>
      <c r="M55">
        <v>0.99993279999999995</v>
      </c>
      <c r="N55">
        <v>-1.1564619999999999E-2</v>
      </c>
      <c r="O55">
        <v>-7.0538789999999903E-4</v>
      </c>
      <c r="P55">
        <v>0.98916859999999995</v>
      </c>
      <c r="Q55">
        <v>0.13111539999999999</v>
      </c>
      <c r="R55">
        <v>6.5986210000000003E-2</v>
      </c>
      <c r="S55">
        <v>3.053131</v>
      </c>
      <c r="T55">
        <v>-0.1368904</v>
      </c>
      <c r="U55">
        <v>-2.1362300000000001E-2</v>
      </c>
      <c r="V55">
        <v>-6.6678440000000005E-2</v>
      </c>
      <c r="W55">
        <v>0.14254800000000001</v>
      </c>
      <c r="X55">
        <v>0.98753939999999996</v>
      </c>
      <c r="Y55">
        <v>6.2837079999999998E-3</v>
      </c>
      <c r="Z55">
        <v>-1.5369900000000001E-4</v>
      </c>
      <c r="AA55">
        <v>0.99998030000000004</v>
      </c>
      <c r="AB55">
        <v>5</v>
      </c>
      <c r="AC55">
        <v>24.708500000000001</v>
      </c>
      <c r="AD55">
        <v>-1.1104357747394999</v>
      </c>
      <c r="AE55">
        <v>-0.17310000000003301</v>
      </c>
      <c r="AF55">
        <v>0.15535595076526099</v>
      </c>
      <c r="AG55">
        <v>-1.1104357747394999</v>
      </c>
      <c r="AH55">
        <v>24.658814167340601</v>
      </c>
      <c r="AI55">
        <v>92.578350613841906</v>
      </c>
      <c r="AJ55">
        <v>89.639028767893606</v>
      </c>
      <c r="AK55">
        <v>24.684292965784898</v>
      </c>
      <c r="AL55">
        <v>81.804685085639505</v>
      </c>
      <c r="AM55">
        <v>93.862735403507997</v>
      </c>
      <c r="AN55">
        <v>1.0000000066085899</v>
      </c>
    </row>
    <row r="56" spans="1:40" x14ac:dyDescent="0.25">
      <c r="A56" t="str">
        <f>"20190304155558160"</f>
        <v>20190304155558160</v>
      </c>
      <c r="B56" t="str">
        <f>"1551686158154849"</f>
        <v>1551686158154849</v>
      </c>
      <c r="C56" t="s">
        <v>40</v>
      </c>
      <c r="D56">
        <v>5.4938289999999999</v>
      </c>
      <c r="E56">
        <v>0.52430810000000005</v>
      </c>
      <c r="F56" t="s">
        <v>41</v>
      </c>
      <c r="G56">
        <v>-450.59730000000002</v>
      </c>
      <c r="H56" s="1">
        <v>-4.4639380000000004E-6</v>
      </c>
      <c r="I56">
        <v>367.09129999999999</v>
      </c>
      <c r="J56">
        <v>-474.38650000000001</v>
      </c>
      <c r="K56">
        <v>1.1106720000000001</v>
      </c>
      <c r="L56">
        <v>367.21640000000002</v>
      </c>
      <c r="M56">
        <v>0.99991949999999996</v>
      </c>
      <c r="N56">
        <v>-1.2673230000000001E-2</v>
      </c>
      <c r="O56">
        <v>-7.0770849999999999E-4</v>
      </c>
      <c r="P56">
        <v>0.98921409999999999</v>
      </c>
      <c r="Q56">
        <v>0.12996830000000001</v>
      </c>
      <c r="R56">
        <v>6.7556640000000001E-2</v>
      </c>
      <c r="S56">
        <v>3.052765</v>
      </c>
      <c r="T56">
        <v>-0.14222129999999999</v>
      </c>
      <c r="U56">
        <v>-1.6021730000000001E-2</v>
      </c>
      <c r="V56">
        <v>-6.8251199999999998E-2</v>
      </c>
      <c r="W56">
        <v>0.1424966</v>
      </c>
      <c r="X56">
        <v>0.98743930000000002</v>
      </c>
      <c r="Y56">
        <v>4.534588E-3</v>
      </c>
      <c r="Z56">
        <v>-1.1033849999999999E-4</v>
      </c>
      <c r="AA56">
        <v>0.99998969999999998</v>
      </c>
      <c r="AB56">
        <v>5</v>
      </c>
      <c r="AC56">
        <v>23.789199999999902</v>
      </c>
      <c r="AD56">
        <v>-1.11067646393799</v>
      </c>
      <c r="AE56">
        <v>-0.12510000000003099</v>
      </c>
      <c r="AF56">
        <v>0.10802732762878001</v>
      </c>
      <c r="AG56">
        <v>-1.11067646393799</v>
      </c>
      <c r="AH56">
        <v>23.737541063128798</v>
      </c>
      <c r="AI56">
        <v>92.678880552366707</v>
      </c>
      <c r="AJ56">
        <v>89.739254070188593</v>
      </c>
      <c r="AK56">
        <v>23.7637566019093</v>
      </c>
      <c r="AL56">
        <v>81.8076599069244</v>
      </c>
      <c r="AM56">
        <v>93.953960542170293</v>
      </c>
      <c r="AN56">
        <v>0.99999993924874298</v>
      </c>
    </row>
    <row r="57" spans="1:40" x14ac:dyDescent="0.25">
      <c r="A57" t="str">
        <f>"20190304155558183"</f>
        <v>20190304155558183</v>
      </c>
      <c r="B57" t="str">
        <f>"1551686158175345"</f>
        <v>1551686158175345</v>
      </c>
      <c r="C57" t="s">
        <v>40</v>
      </c>
      <c r="D57">
        <v>4.5543339999999999</v>
      </c>
      <c r="E57">
        <v>0.48744480000000001</v>
      </c>
      <c r="F57" t="s">
        <v>41</v>
      </c>
      <c r="G57">
        <v>-451.12569999999999</v>
      </c>
      <c r="H57" s="1">
        <v>-4.228644E-6</v>
      </c>
      <c r="I57">
        <v>367.13990000000001</v>
      </c>
      <c r="J57">
        <v>-474.3329</v>
      </c>
      <c r="K57">
        <v>1.1103259999999999</v>
      </c>
      <c r="L57">
        <v>367.21640000000002</v>
      </c>
      <c r="M57">
        <v>0.9999304</v>
      </c>
      <c r="N57">
        <v>-1.178249E-2</v>
      </c>
      <c r="O57">
        <v>-7.0905060000000001E-4</v>
      </c>
      <c r="P57">
        <v>0.98877939999999998</v>
      </c>
      <c r="Q57">
        <v>0.13227809999999901</v>
      </c>
      <c r="R57">
        <v>6.941058E-2</v>
      </c>
      <c r="S57">
        <v>3.052521</v>
      </c>
      <c r="T57">
        <v>-0.14575389999999999</v>
      </c>
      <c r="U57">
        <v>-1.004028E-2</v>
      </c>
      <c r="V57">
        <v>-7.0106189999999999E-2</v>
      </c>
      <c r="W57">
        <v>0.14392179999999999</v>
      </c>
      <c r="X57">
        <v>0.98710260000000005</v>
      </c>
      <c r="Y57">
        <v>2.5768599999999998E-3</v>
      </c>
      <c r="Z57" s="1">
        <v>-5.1192130000000003E-5</v>
      </c>
      <c r="AA57">
        <v>0.99999669999999896</v>
      </c>
      <c r="AB57">
        <v>4</v>
      </c>
      <c r="AC57">
        <v>23.2072</v>
      </c>
      <c r="AD57">
        <v>-1.110330228644</v>
      </c>
      <c r="AE57">
        <v>-7.6500000000009893E-2</v>
      </c>
      <c r="AF57">
        <v>5.9906631558427799E-2</v>
      </c>
      <c r="AG57">
        <v>-1.110330228644</v>
      </c>
      <c r="AH57">
        <v>23.154247323442</v>
      </c>
      <c r="AI57">
        <v>92.745428349457498</v>
      </c>
      <c r="AJ57">
        <v>89.851759832813499</v>
      </c>
      <c r="AK57">
        <v>23.180931627876099</v>
      </c>
      <c r="AL57">
        <v>81.725151600645006</v>
      </c>
      <c r="AM57">
        <v>94.0624504560747</v>
      </c>
      <c r="AN57">
        <v>0.99999995265915598</v>
      </c>
    </row>
    <row r="58" spans="1:40" x14ac:dyDescent="0.25">
      <c r="A58" t="str">
        <f>"20190304155558207"</f>
        <v>20190304155558207</v>
      </c>
      <c r="B58" t="str">
        <f>"1551686158204625"</f>
        <v>1551686158204625</v>
      </c>
      <c r="C58" t="s">
        <v>40</v>
      </c>
      <c r="D58">
        <v>4.7601339999999999</v>
      </c>
      <c r="E58">
        <v>0.47349459999999999</v>
      </c>
      <c r="F58" t="s">
        <v>41</v>
      </c>
      <c r="G58">
        <v>-448.54180000000002</v>
      </c>
      <c r="H58" s="1">
        <v>-6.8708209999999897E-7</v>
      </c>
      <c r="I58">
        <v>369.6814</v>
      </c>
      <c r="J58">
        <v>-474.27210000000002</v>
      </c>
      <c r="K58">
        <v>1.1097919999999999</v>
      </c>
      <c r="L58">
        <v>367.21629999999999</v>
      </c>
      <c r="M58">
        <v>0.99995009999999995</v>
      </c>
      <c r="N58">
        <v>-9.9743929999999998E-3</v>
      </c>
      <c r="O58">
        <v>-7.0861100000000005E-4</v>
      </c>
      <c r="P58">
        <v>0.9884058</v>
      </c>
      <c r="Q58">
        <v>0.134492</v>
      </c>
      <c r="R58">
        <v>7.0470500000000005E-2</v>
      </c>
      <c r="S58">
        <v>3.031158</v>
      </c>
      <c r="T58">
        <v>-0.13049379999999999</v>
      </c>
      <c r="U58">
        <v>0.2897034</v>
      </c>
      <c r="V58">
        <v>-7.116451E-2</v>
      </c>
      <c r="W58">
        <v>0.14434649999999999</v>
      </c>
      <c r="X58">
        <v>0.98696490000000003</v>
      </c>
      <c r="Y58">
        <v>-9.5738190000000001E-2</v>
      </c>
      <c r="Z58">
        <v>2.5573779999999999E-3</v>
      </c>
      <c r="AA58">
        <v>0.99540329999999999</v>
      </c>
      <c r="AB58">
        <v>5</v>
      </c>
      <c r="AC58">
        <v>25.7303</v>
      </c>
      <c r="AD58">
        <v>-1.1097926870821</v>
      </c>
      <c r="AE58">
        <v>2.4651000000000001</v>
      </c>
      <c r="AF58">
        <v>-2.4787636399636801</v>
      </c>
      <c r="AG58">
        <v>-1.1097926870821</v>
      </c>
      <c r="AH58">
        <v>25.681205227013599</v>
      </c>
      <c r="AI58">
        <v>92.463019391809297</v>
      </c>
      <c r="AJ58">
        <v>95.513141023143902</v>
      </c>
      <c r="AK58">
        <v>25.824411143394801</v>
      </c>
      <c r="AL58">
        <v>81.700561765384506</v>
      </c>
      <c r="AM58">
        <v>94.124140377961197</v>
      </c>
      <c r="AN58">
        <v>1.0000000066889001</v>
      </c>
    </row>
    <row r="59" spans="1:40" x14ac:dyDescent="0.25">
      <c r="A59" t="str">
        <f>"20190304155558230"</f>
        <v>20190304155558230</v>
      </c>
      <c r="B59" t="str">
        <f>"1551686158225121"</f>
        <v>1551686158225121</v>
      </c>
      <c r="C59" t="s">
        <v>40</v>
      </c>
      <c r="D59">
        <v>4.7633609999999997</v>
      </c>
      <c r="E59">
        <v>0.4701092</v>
      </c>
      <c r="F59" t="s">
        <v>41</v>
      </c>
      <c r="G59">
        <v>-457.37529999999998</v>
      </c>
      <c r="H59" s="1">
        <v>-1.1372089999999999E-6</v>
      </c>
      <c r="I59">
        <v>369.45330000000001</v>
      </c>
      <c r="J59">
        <v>-474.214</v>
      </c>
      <c r="K59">
        <v>1.1094619999999999</v>
      </c>
      <c r="L59">
        <v>367.21629999999999</v>
      </c>
      <c r="M59">
        <v>0.99996309999999999</v>
      </c>
      <c r="N59">
        <v>-8.5781950000000003E-3</v>
      </c>
      <c r="O59">
        <v>-7.0795199999999997E-4</v>
      </c>
      <c r="P59">
        <v>0.98831329999999995</v>
      </c>
      <c r="Q59">
        <v>0.13472690000000001</v>
      </c>
      <c r="R59">
        <v>7.1317050000000007E-2</v>
      </c>
      <c r="S59">
        <v>3.03363</v>
      </c>
      <c r="T59">
        <v>-0.19925029999999999</v>
      </c>
      <c r="U59">
        <v>0.40164179999999999</v>
      </c>
      <c r="V59">
        <v>-7.2010989999999997E-2</v>
      </c>
      <c r="W59">
        <v>0.14320260000000001</v>
      </c>
      <c r="X59">
        <v>0.98707009999999995</v>
      </c>
      <c r="Y59">
        <v>-0.13163610000000001</v>
      </c>
      <c r="Z59">
        <v>4.9075560000000004E-3</v>
      </c>
      <c r="AA59">
        <v>0.991286</v>
      </c>
      <c r="AB59">
        <v>6</v>
      </c>
      <c r="AC59">
        <v>16.838699999999999</v>
      </c>
      <c r="AD59">
        <v>-1.109463137209</v>
      </c>
      <c r="AE59">
        <v>2.2370000000000201</v>
      </c>
      <c r="AF59">
        <v>-2.2393679469069099</v>
      </c>
      <c r="AG59">
        <v>-1.109463137209</v>
      </c>
      <c r="AH59">
        <v>16.765591688245902</v>
      </c>
      <c r="AI59">
        <v>93.752796653459896</v>
      </c>
      <c r="AJ59">
        <v>97.607925356887904</v>
      </c>
      <c r="AK59">
        <v>16.950833074260402</v>
      </c>
      <c r="AL59">
        <v>81.766790232311905</v>
      </c>
      <c r="AM59">
        <v>94.172580295806796</v>
      </c>
      <c r="AN59">
        <v>0.99999997482077396</v>
      </c>
    </row>
    <row r="60" spans="1:40" x14ac:dyDescent="0.25">
      <c r="A60" t="str">
        <f>"20190304155558251"</f>
        <v>20190304155558251</v>
      </c>
      <c r="B60" t="str">
        <f>"1551686158244642"</f>
        <v>1551686158244642</v>
      </c>
      <c r="C60" t="s">
        <v>40</v>
      </c>
      <c r="D60">
        <v>4.8942809999999897</v>
      </c>
      <c r="E60">
        <v>0.46951999999999999</v>
      </c>
      <c r="F60" t="s">
        <v>41</v>
      </c>
      <c r="G60">
        <v>-459.77179999999998</v>
      </c>
      <c r="H60" s="1">
        <v>-1.5883060000000001E-7</v>
      </c>
      <c r="I60">
        <v>369.25889999999998</v>
      </c>
      <c r="J60">
        <v>-474.15629999999999</v>
      </c>
      <c r="K60">
        <v>1.109313</v>
      </c>
      <c r="L60">
        <v>367.21629999999999</v>
      </c>
      <c r="M60">
        <v>0.99997080000000005</v>
      </c>
      <c r="N60">
        <v>-7.6266669999999898E-3</v>
      </c>
      <c r="O60">
        <v>-7.0753329999999998E-4</v>
      </c>
      <c r="P60">
        <v>0.98831999999999998</v>
      </c>
      <c r="Q60">
        <v>0.1344477</v>
      </c>
      <c r="R60">
        <v>7.1746980000000002E-2</v>
      </c>
      <c r="S60">
        <v>3.0362849999999999</v>
      </c>
      <c r="T60">
        <v>-0.2332476</v>
      </c>
      <c r="U60">
        <v>0.42944339999999998</v>
      </c>
      <c r="V60">
        <v>-7.2440370000000004E-2</v>
      </c>
      <c r="W60">
        <v>0.141984</v>
      </c>
      <c r="X60">
        <v>0.9872147</v>
      </c>
      <c r="Y60">
        <v>-0.140295899999999</v>
      </c>
      <c r="Z60">
        <v>5.9414610000000003E-3</v>
      </c>
      <c r="AA60">
        <v>0.99009179999999997</v>
      </c>
      <c r="AB60">
        <v>6</v>
      </c>
      <c r="AC60">
        <v>14.384499999999999</v>
      </c>
      <c r="AD60">
        <v>-1.1093131588306</v>
      </c>
      <c r="AE60">
        <v>2.04259999999999</v>
      </c>
      <c r="AF60">
        <v>-2.04087951015067</v>
      </c>
      <c r="AG60">
        <v>-1.1093131588306</v>
      </c>
      <c r="AH60">
        <v>14.2996877650366</v>
      </c>
      <c r="AI60">
        <v>94.391570516901695</v>
      </c>
      <c r="AJ60">
        <v>98.122511887966695</v>
      </c>
      <c r="AK60">
        <v>14.4871265279504</v>
      </c>
      <c r="AL60">
        <v>81.837331621774297</v>
      </c>
      <c r="AM60">
        <v>94.196758882818102</v>
      </c>
      <c r="AN60">
        <v>0.99999996367891197</v>
      </c>
    </row>
    <row r="61" spans="1:40" x14ac:dyDescent="0.25">
      <c r="A61" t="str">
        <f>"20190304155558272"</f>
        <v>20190304155558272</v>
      </c>
      <c r="B61" t="str">
        <f>"1551686158265137"</f>
        <v>1551686158265137</v>
      </c>
      <c r="C61" t="s">
        <v>40</v>
      </c>
      <c r="D61">
        <v>4.7379179999999996</v>
      </c>
      <c r="E61">
        <v>0.4689953</v>
      </c>
      <c r="F61" t="s">
        <v>41</v>
      </c>
      <c r="G61">
        <v>-460.69830000000002</v>
      </c>
      <c r="H61" s="1">
        <v>-4.0573449999999999E-6</v>
      </c>
      <c r="I61">
        <v>369.13909999999998</v>
      </c>
      <c r="J61">
        <v>-474.10059999999999</v>
      </c>
      <c r="K61">
        <v>1.1097250000000001</v>
      </c>
      <c r="L61">
        <v>367.21629999999999</v>
      </c>
      <c r="M61">
        <v>0.99996229999999997</v>
      </c>
      <c r="N61">
        <v>-8.6509209999999902E-3</v>
      </c>
      <c r="O61">
        <v>-7.0825670000000001E-4</v>
      </c>
      <c r="P61">
        <v>0.98845439999999996</v>
      </c>
      <c r="Q61">
        <v>0.1335016</v>
      </c>
      <c r="R61">
        <v>7.1661550000000004E-2</v>
      </c>
      <c r="S61">
        <v>3.0380250000000002</v>
      </c>
      <c r="T61">
        <v>-0.250416799999999</v>
      </c>
      <c r="U61">
        <v>0.43408200000000002</v>
      </c>
      <c r="V61">
        <v>-7.2355890000000006E-2</v>
      </c>
      <c r="W61">
        <v>0.1420506</v>
      </c>
      <c r="X61">
        <v>0.98721130000000001</v>
      </c>
      <c r="Y61">
        <v>-0.14162459999999999</v>
      </c>
      <c r="Z61">
        <v>6.4664319999999898E-3</v>
      </c>
      <c r="AA61">
        <v>0.98989930000000004</v>
      </c>
      <c r="AB61">
        <v>6</v>
      </c>
      <c r="AC61">
        <v>13.402299999999901</v>
      </c>
      <c r="AD61">
        <v>-1.109729057345</v>
      </c>
      <c r="AE61">
        <v>1.9227999999999901</v>
      </c>
      <c r="AF61">
        <v>-1.9193980150882299</v>
      </c>
      <c r="AG61">
        <v>-1.109729057345</v>
      </c>
      <c r="AH61">
        <v>13.311510720030601</v>
      </c>
      <c r="AI61">
        <v>94.716948261702797</v>
      </c>
      <c r="AJ61">
        <v>98.204975677560299</v>
      </c>
      <c r="AK61">
        <v>13.494884400043199</v>
      </c>
      <c r="AL61">
        <v>81.833476531272396</v>
      </c>
      <c r="AM61">
        <v>94.191896462278805</v>
      </c>
      <c r="AN61">
        <v>0.99999994931286895</v>
      </c>
    </row>
    <row r="62" spans="1:40" x14ac:dyDescent="0.25">
      <c r="A62" t="str">
        <f>"20190304155558296"</f>
        <v>20190304155558296</v>
      </c>
      <c r="B62" t="str">
        <f>"1551686158284661"</f>
        <v>1551686158284661</v>
      </c>
      <c r="C62" t="s">
        <v>40</v>
      </c>
      <c r="D62">
        <v>4.7278779999999996</v>
      </c>
      <c r="E62">
        <v>0.46863090000000002</v>
      </c>
      <c r="F62" t="s">
        <v>41</v>
      </c>
      <c r="G62">
        <v>-461.17099999999999</v>
      </c>
      <c r="H62" s="1">
        <v>-3.8661189999999996E-6</v>
      </c>
      <c r="I62">
        <v>369.07400000000001</v>
      </c>
      <c r="J62">
        <v>-474.04719999999998</v>
      </c>
      <c r="K62">
        <v>1.1102749999999999</v>
      </c>
      <c r="L62">
        <v>367.21620000000001</v>
      </c>
      <c r="M62">
        <v>0.99994470000000002</v>
      </c>
      <c r="N62">
        <v>-1.0492919999999999E-2</v>
      </c>
      <c r="O62">
        <v>-7.1078119999999905E-4</v>
      </c>
      <c r="P62">
        <v>0.98880440000000003</v>
      </c>
      <c r="Q62">
        <v>0.1310173</v>
      </c>
      <c r="R62">
        <v>7.1417120000000001E-2</v>
      </c>
      <c r="S62">
        <v>3.038605</v>
      </c>
      <c r="T62">
        <v>-0.26079770000000002</v>
      </c>
      <c r="U62">
        <v>0.43661499999999998</v>
      </c>
      <c r="V62">
        <v>-7.2114709999999999E-2</v>
      </c>
      <c r="W62">
        <v>0.14138829999999999</v>
      </c>
      <c r="X62">
        <v>0.98732410000000004</v>
      </c>
      <c r="Y62">
        <v>-0.14235339999999999</v>
      </c>
      <c r="Z62">
        <v>6.8721429999999998E-3</v>
      </c>
      <c r="AA62">
        <v>0.98979200000000001</v>
      </c>
      <c r="AB62">
        <v>6</v>
      </c>
      <c r="AC62">
        <v>12.8761999999999</v>
      </c>
      <c r="AD62">
        <v>-1.110278866119</v>
      </c>
      <c r="AE62">
        <v>1.8577999999999899</v>
      </c>
      <c r="AF62">
        <v>-1.8534525546774401</v>
      </c>
      <c r="AG62">
        <v>-1.110278866119</v>
      </c>
      <c r="AH62">
        <v>12.781779959562099</v>
      </c>
      <c r="AI62">
        <v>94.913357036886197</v>
      </c>
      <c r="AJ62">
        <v>98.250801939272407</v>
      </c>
      <c r="AK62">
        <v>12.9630977959612</v>
      </c>
      <c r="AL62">
        <v>81.871811103381603</v>
      </c>
      <c r="AM62">
        <v>94.177497763199398</v>
      </c>
      <c r="AN62">
        <v>1.0000000306080401</v>
      </c>
    </row>
    <row r="63" spans="1:40" x14ac:dyDescent="0.25">
      <c r="A63" t="str">
        <f>"20190304155558316"</f>
        <v>20190304155558316</v>
      </c>
      <c r="B63" t="str">
        <f>"1551686158314914"</f>
        <v>1551686158314914</v>
      </c>
      <c r="C63" t="s">
        <v>40</v>
      </c>
      <c r="D63">
        <v>4.761927</v>
      </c>
      <c r="E63">
        <v>0.46861510000000001</v>
      </c>
      <c r="F63" t="s">
        <v>41</v>
      </c>
      <c r="G63">
        <v>-461.80059999999997</v>
      </c>
      <c r="H63" s="1">
        <v>-3.6120849999999999E-6</v>
      </c>
      <c r="I63">
        <v>368.98340000000002</v>
      </c>
      <c r="J63">
        <v>-473.9991</v>
      </c>
      <c r="K63">
        <v>1.110608</v>
      </c>
      <c r="L63">
        <v>367.21620000000001</v>
      </c>
      <c r="M63">
        <v>0.9999287</v>
      </c>
      <c r="N63">
        <v>-1.1930639999999999E-2</v>
      </c>
      <c r="O63">
        <v>-7.1170079999999995E-4</v>
      </c>
      <c r="P63">
        <v>0.98911170000000004</v>
      </c>
      <c r="Q63">
        <v>0.12866749999999999</v>
      </c>
      <c r="R63">
        <v>7.1434419999999998E-2</v>
      </c>
      <c r="S63">
        <v>3.0387569999999999</v>
      </c>
      <c r="T63">
        <v>-0.2754915</v>
      </c>
      <c r="U63">
        <v>0.43850709999999998</v>
      </c>
      <c r="V63">
        <v>-7.2133269999999999E-2</v>
      </c>
      <c r="W63">
        <v>0.14046110000000001</v>
      </c>
      <c r="X63">
        <v>0.98745510000000003</v>
      </c>
      <c r="Y63">
        <v>-0.14287639999999999</v>
      </c>
      <c r="Z63">
        <v>7.3444749999999996E-3</v>
      </c>
      <c r="AA63">
        <v>0.98971330000000002</v>
      </c>
      <c r="AB63">
        <v>5</v>
      </c>
      <c r="AC63">
        <v>12.198499999999999</v>
      </c>
      <c r="AD63">
        <v>-1.110611612085</v>
      </c>
      <c r="AE63">
        <v>1.7672000000000001</v>
      </c>
      <c r="AF63">
        <v>-1.7615799579622899</v>
      </c>
      <c r="AG63">
        <v>-1.110611612085</v>
      </c>
      <c r="AH63">
        <v>12.0990098126452</v>
      </c>
      <c r="AI63">
        <v>95.190267038088393</v>
      </c>
      <c r="AJ63">
        <v>98.283887579023201</v>
      </c>
      <c r="AK63">
        <v>12.2769157587595</v>
      </c>
      <c r="AL63">
        <v>81.925471434843502</v>
      </c>
      <c r="AM63">
        <v>94.178016724950794</v>
      </c>
      <c r="AN63">
        <v>1.00000005188505</v>
      </c>
    </row>
    <row r="64" spans="1:40" x14ac:dyDescent="0.25">
      <c r="A64" t="str">
        <f>"20190304155558339"</f>
        <v>20190304155558339</v>
      </c>
      <c r="B64" t="str">
        <f>"1551686158335409"</f>
        <v>1551686158335409</v>
      </c>
      <c r="C64" t="s">
        <v>40</v>
      </c>
      <c r="D64">
        <v>4.7357230000000001</v>
      </c>
      <c r="E64">
        <v>0.46892149999999999</v>
      </c>
      <c r="F64" t="s">
        <v>41</v>
      </c>
      <c r="G64">
        <v>-462.1943</v>
      </c>
      <c r="H64" s="1">
        <v>-3.4547320000000002E-6</v>
      </c>
      <c r="I64">
        <v>368.91829999999999</v>
      </c>
      <c r="J64">
        <v>-473.94529999999997</v>
      </c>
      <c r="K64">
        <v>1.11046</v>
      </c>
      <c r="L64">
        <v>367.21609999999998</v>
      </c>
      <c r="M64">
        <v>0.9999306</v>
      </c>
      <c r="N64">
        <v>-1.177184E-2</v>
      </c>
      <c r="O64">
        <v>-7.0488470000000004E-4</v>
      </c>
      <c r="P64">
        <v>0.98924009999999996</v>
      </c>
      <c r="Q64">
        <v>0.1273233</v>
      </c>
      <c r="R64">
        <v>7.2061990000000006E-2</v>
      </c>
      <c r="S64">
        <v>3.038605</v>
      </c>
      <c r="T64">
        <v>-0.28587289999999999</v>
      </c>
      <c r="U64">
        <v>0.43817139999999999</v>
      </c>
      <c r="V64">
        <v>-7.2754780000000005E-2</v>
      </c>
      <c r="W64">
        <v>0.13896149999999999</v>
      </c>
      <c r="X64">
        <v>0.98762159999999999</v>
      </c>
      <c r="Y64">
        <v>-0.1427243</v>
      </c>
      <c r="Z64">
        <v>7.56879199999999E-3</v>
      </c>
      <c r="AA64">
        <v>0.98973359999999999</v>
      </c>
      <c r="AB64">
        <v>5</v>
      </c>
      <c r="AC64">
        <v>11.7509999999999</v>
      </c>
      <c r="AD64">
        <v>-1.110463454732</v>
      </c>
      <c r="AE64">
        <v>1.7021999999999999</v>
      </c>
      <c r="AF64">
        <v>-1.69565202479579</v>
      </c>
      <c r="AG64">
        <v>-1.110463454732</v>
      </c>
      <c r="AH64">
        <v>11.647917227911201</v>
      </c>
      <c r="AI64">
        <v>95.3894117646702</v>
      </c>
      <c r="AJ64">
        <v>98.282682443637498</v>
      </c>
      <c r="AK64">
        <v>11.8229582009648</v>
      </c>
      <c r="AL64">
        <v>82.012242730906806</v>
      </c>
      <c r="AM64">
        <v>94.213178114151304</v>
      </c>
      <c r="AN64">
        <v>0.99999999064082901</v>
      </c>
    </row>
    <row r="65" spans="1:40" x14ac:dyDescent="0.25">
      <c r="A65" t="str">
        <f>"20190304155558361"</f>
        <v>20190304155558361</v>
      </c>
      <c r="B65" t="str">
        <f>"1551686158354929"</f>
        <v>1551686158354929</v>
      </c>
      <c r="C65" t="s">
        <v>40</v>
      </c>
      <c r="D65">
        <v>5.0033450000000004</v>
      </c>
      <c r="E65">
        <v>0.46912520000000002</v>
      </c>
      <c r="F65" t="s">
        <v>41</v>
      </c>
      <c r="G65">
        <v>-462.34019999999998</v>
      </c>
      <c r="H65" s="1">
        <v>-3.397673E-6</v>
      </c>
      <c r="I65">
        <v>368.88720000000001</v>
      </c>
      <c r="J65">
        <v>-473.8877</v>
      </c>
      <c r="K65">
        <v>1.1100030000000001</v>
      </c>
      <c r="L65">
        <v>367.21609999999998</v>
      </c>
      <c r="M65">
        <v>0.9999458</v>
      </c>
      <c r="N65">
        <v>-1.0381710000000001E-2</v>
      </c>
      <c r="O65">
        <v>-6.9069949999999998E-4</v>
      </c>
      <c r="P65">
        <v>0.98913680000000004</v>
      </c>
      <c r="Q65">
        <v>0.12757950000000001</v>
      </c>
      <c r="R65">
        <v>7.3018509999999995E-2</v>
      </c>
      <c r="S65">
        <v>3.038208</v>
      </c>
      <c r="T65">
        <v>-0.29071619999999998</v>
      </c>
      <c r="U65">
        <v>0.4375</v>
      </c>
      <c r="V65">
        <v>-7.3698369999999999E-2</v>
      </c>
      <c r="W65">
        <v>0.13784279999999999</v>
      </c>
      <c r="X65">
        <v>0.98770840000000004</v>
      </c>
      <c r="Y65">
        <v>-0.14250209999999999</v>
      </c>
      <c r="Z65">
        <v>7.5714199999999997E-3</v>
      </c>
      <c r="AA65">
        <v>0.98976549999999996</v>
      </c>
      <c r="AB65">
        <v>5</v>
      </c>
      <c r="AC65">
        <v>11.547499999999999</v>
      </c>
      <c r="AD65">
        <v>-1.1100063976729999</v>
      </c>
      <c r="AE65">
        <v>1.67110000000002</v>
      </c>
      <c r="AF65">
        <v>-1.6640156702623701</v>
      </c>
      <c r="AG65">
        <v>-1.1100063976729999</v>
      </c>
      <c r="AH65">
        <v>11.442779800366401</v>
      </c>
      <c r="AI65">
        <v>95.483321195785507</v>
      </c>
      <c r="AJ65">
        <v>98.273987035708203</v>
      </c>
      <c r="AK65">
        <v>11.6162933809984</v>
      </c>
      <c r="AL65">
        <v>82.076962335994097</v>
      </c>
      <c r="AM65">
        <v>94.267246502006003</v>
      </c>
      <c r="AN65">
        <v>0.99999998534152801</v>
      </c>
    </row>
    <row r="66" spans="1:40" x14ac:dyDescent="0.25">
      <c r="A66" t="str">
        <f>"20190304155558385"</f>
        <v>20190304155558385</v>
      </c>
      <c r="B66" t="str">
        <f>"1551686158375425"</f>
        <v>1551686158375425</v>
      </c>
      <c r="C66" t="s">
        <v>40</v>
      </c>
      <c r="D66">
        <v>4.7655729999999998</v>
      </c>
      <c r="E66">
        <v>0.46884360000000003</v>
      </c>
      <c r="F66" t="s">
        <v>41</v>
      </c>
      <c r="G66">
        <v>-462.41329999999999</v>
      </c>
      <c r="H66" s="1">
        <v>-3.3680280000000001E-6</v>
      </c>
      <c r="I66">
        <v>368.87759999999997</v>
      </c>
      <c r="J66">
        <v>-473.82279999999997</v>
      </c>
      <c r="K66">
        <v>1.10959599999999</v>
      </c>
      <c r="L66">
        <v>367.21600000000001</v>
      </c>
      <c r="M66">
        <v>0.99996050000000003</v>
      </c>
      <c r="N66">
        <v>-8.8636540000000003E-3</v>
      </c>
      <c r="O66">
        <v>-6.7047449999999996E-4</v>
      </c>
      <c r="P66">
        <v>0.98905960000000004</v>
      </c>
      <c r="Q66">
        <v>0.12780459999999999</v>
      </c>
      <c r="R66">
        <v>7.3670310000000003E-2</v>
      </c>
      <c r="S66">
        <v>3.0383610000000001</v>
      </c>
      <c r="T66">
        <v>-0.29392059999999998</v>
      </c>
      <c r="U66">
        <v>0.43997190000000003</v>
      </c>
      <c r="V66">
        <v>-7.4331419999999995E-2</v>
      </c>
      <c r="W66">
        <v>0.1365671</v>
      </c>
      <c r="X66">
        <v>0.9878382</v>
      </c>
      <c r="Y66">
        <v>-0.14325570000000001</v>
      </c>
      <c r="Z66">
        <v>7.5755329999999997E-3</v>
      </c>
      <c r="AA66">
        <v>0.98965669999999994</v>
      </c>
      <c r="AB66">
        <v>6</v>
      </c>
      <c r="AC66">
        <v>11.4094999999999</v>
      </c>
      <c r="AD66">
        <v>-1.1095993680280001</v>
      </c>
      <c r="AE66">
        <v>1.66159999999996</v>
      </c>
      <c r="AF66">
        <v>-1.65393170369128</v>
      </c>
      <c r="AG66">
        <v>-1.1095993680280001</v>
      </c>
      <c r="AH66">
        <v>11.303693398338901</v>
      </c>
      <c r="AI66">
        <v>95.547642878068899</v>
      </c>
      <c r="AJ66">
        <v>98.324323702315596</v>
      </c>
      <c r="AK66">
        <v>11.4778127394401</v>
      </c>
      <c r="AL66">
        <v>82.150752707176906</v>
      </c>
      <c r="AM66">
        <v>94.303200530240801</v>
      </c>
      <c r="AN66">
        <v>1.0000000210904301</v>
      </c>
    </row>
    <row r="67" spans="1:40" x14ac:dyDescent="0.25">
      <c r="A67" t="str">
        <f>"20190304155558409"</f>
        <v>20190304155558409</v>
      </c>
      <c r="B67" t="str">
        <f>"1551686158404705"</f>
        <v>1551686158404705</v>
      </c>
      <c r="C67" t="s">
        <v>40</v>
      </c>
      <c r="D67">
        <v>4.715192</v>
      </c>
      <c r="E67">
        <v>0.46870650000000003</v>
      </c>
      <c r="F67" t="s">
        <v>41</v>
      </c>
      <c r="G67">
        <v>-462.4359</v>
      </c>
      <c r="H67" s="1">
        <v>-3.3570190000000001E-6</v>
      </c>
      <c r="I67">
        <v>368.88499999999999</v>
      </c>
      <c r="J67">
        <v>-473.75380000000001</v>
      </c>
      <c r="K67">
        <v>1.1093550000000001</v>
      </c>
      <c r="L67">
        <v>367.21600000000001</v>
      </c>
      <c r="M67">
        <v>0.99997069999999999</v>
      </c>
      <c r="N67">
        <v>-7.6489959999999999E-3</v>
      </c>
      <c r="O67">
        <v>-6.4527919999999997E-4</v>
      </c>
      <c r="P67">
        <v>0.98901550000000005</v>
      </c>
      <c r="Q67">
        <v>0.12762029999999999</v>
      </c>
      <c r="R67">
        <v>7.4576899999999904E-2</v>
      </c>
      <c r="S67">
        <v>3.0382690000000001</v>
      </c>
      <c r="T67">
        <v>-0.29606100000000002</v>
      </c>
      <c r="U67">
        <v>0.44534299999999999</v>
      </c>
      <c r="V67">
        <v>-7.5213450000000001E-2</v>
      </c>
      <c r="W67">
        <v>0.13518189999999999</v>
      </c>
      <c r="X67">
        <v>0.98796189999999995</v>
      </c>
      <c r="Y67">
        <v>-0.14493809999999999</v>
      </c>
      <c r="Z67">
        <v>7.6239680000000001E-3</v>
      </c>
      <c r="AA67">
        <v>0.98941140000000005</v>
      </c>
      <c r="AB67">
        <v>6</v>
      </c>
      <c r="AC67">
        <v>11.3179</v>
      </c>
      <c r="AD67">
        <v>-1.10935835701899</v>
      </c>
      <c r="AE67">
        <v>1.6689999999999801</v>
      </c>
      <c r="AF67">
        <v>-1.66068753215817</v>
      </c>
      <c r="AG67">
        <v>-1.10935835701899</v>
      </c>
      <c r="AH67">
        <v>11.2113992237225</v>
      </c>
      <c r="AI67">
        <v>95.590369806124301</v>
      </c>
      <c r="AJ67">
        <v>98.425666320006698</v>
      </c>
      <c r="AK67">
        <v>11.387889690255999</v>
      </c>
      <c r="AL67">
        <v>82.230861294788696</v>
      </c>
      <c r="AM67">
        <v>94.353524800475</v>
      </c>
      <c r="AN67">
        <v>0.99999996250005996</v>
      </c>
    </row>
    <row r="68" spans="1:40" x14ac:dyDescent="0.25">
      <c r="A68" t="str">
        <f>"20190304155558431"</f>
        <v>20190304155558431</v>
      </c>
      <c r="B68" t="str">
        <f>"1551686158425201"</f>
        <v>1551686158425201</v>
      </c>
      <c r="C68" t="s">
        <v>40</v>
      </c>
      <c r="D68">
        <v>4.7385489999999999</v>
      </c>
      <c r="E68">
        <v>0.4688599</v>
      </c>
      <c r="F68" t="s">
        <v>41</v>
      </c>
      <c r="G68">
        <v>-462.51339999999999</v>
      </c>
      <c r="H68" s="1">
        <v>-3.3254139999999999E-6</v>
      </c>
      <c r="I68">
        <v>368.87560000000002</v>
      </c>
      <c r="J68">
        <v>-473.6918</v>
      </c>
      <c r="K68">
        <v>1.1092379999999999</v>
      </c>
      <c r="L68">
        <v>367.21600000000001</v>
      </c>
      <c r="M68">
        <v>0.99997670000000005</v>
      </c>
      <c r="N68">
        <v>-6.8107130000000004E-3</v>
      </c>
      <c r="O68">
        <v>-6.198194E-4</v>
      </c>
      <c r="P68">
        <v>0.98882309999999995</v>
      </c>
      <c r="Q68">
        <v>0.12891430000000001</v>
      </c>
      <c r="R68">
        <v>7.4900690000000006E-2</v>
      </c>
      <c r="S68">
        <v>3.038208</v>
      </c>
      <c r="T68">
        <v>-0.29985129999999999</v>
      </c>
      <c r="U68">
        <v>0.44860840000000002</v>
      </c>
      <c r="V68">
        <v>-7.5512480000000007E-2</v>
      </c>
      <c r="W68">
        <v>0.1356463</v>
      </c>
      <c r="X68">
        <v>0.98787550000000002</v>
      </c>
      <c r="Y68">
        <v>-0.1459396</v>
      </c>
      <c r="Z68">
        <v>7.70316199999999E-3</v>
      </c>
      <c r="AA68">
        <v>0.98926349999999996</v>
      </c>
      <c r="AB68">
        <v>6</v>
      </c>
      <c r="AC68">
        <v>11.1784</v>
      </c>
      <c r="AD68">
        <v>-1.1092413254139999</v>
      </c>
      <c r="AE68">
        <v>1.65960000000001</v>
      </c>
      <c r="AF68">
        <v>-1.6506256628221601</v>
      </c>
      <c r="AG68">
        <v>-1.1092413254139999</v>
      </c>
      <c r="AH68">
        <v>11.070709667031</v>
      </c>
      <c r="AI68">
        <v>95.659565842764394</v>
      </c>
      <c r="AJ68">
        <v>98.480240649596894</v>
      </c>
      <c r="AK68">
        <v>11.2479150925168</v>
      </c>
      <c r="AL68">
        <v>82.204006286798801</v>
      </c>
      <c r="AM68">
        <v>94.371147182733296</v>
      </c>
      <c r="AN68">
        <v>1.00000002841984</v>
      </c>
    </row>
    <row r="69" spans="1:40" x14ac:dyDescent="0.25">
      <c r="A69" t="str">
        <f>"20190304155558451"</f>
        <v>20190304155558451</v>
      </c>
      <c r="B69" t="str">
        <f>"1551686158444722"</f>
        <v>1551686158444722</v>
      </c>
      <c r="C69" t="s">
        <v>40</v>
      </c>
      <c r="D69">
        <v>4.7303230000000003</v>
      </c>
      <c r="E69">
        <v>0.4691784</v>
      </c>
      <c r="F69" t="s">
        <v>41</v>
      </c>
      <c r="G69">
        <v>-462.30340000000001</v>
      </c>
      <c r="H69" s="1">
        <v>-3.4110270000000001E-6</v>
      </c>
      <c r="I69">
        <v>368.9008</v>
      </c>
      <c r="J69">
        <v>-473.6345</v>
      </c>
      <c r="K69">
        <v>1.1096079999999999</v>
      </c>
      <c r="L69">
        <v>367.21600000000001</v>
      </c>
      <c r="M69">
        <v>0.99997049999999998</v>
      </c>
      <c r="N69">
        <v>-7.6754249999999996E-3</v>
      </c>
      <c r="O69">
        <v>-6.0066749999999999E-4</v>
      </c>
      <c r="P69">
        <v>0.98839670000000002</v>
      </c>
      <c r="Q69">
        <v>0.13256860000000001</v>
      </c>
      <c r="R69">
        <v>7.4146480000000001E-2</v>
      </c>
      <c r="S69">
        <v>3.0384829999999998</v>
      </c>
      <c r="T69">
        <v>-0.29594949999999998</v>
      </c>
      <c r="U69">
        <v>0.44952389999999998</v>
      </c>
      <c r="V69">
        <v>-7.4739230000000004E-2</v>
      </c>
      <c r="W69">
        <v>0.14015139999999901</v>
      </c>
      <c r="X69">
        <v>0.98730519999999999</v>
      </c>
      <c r="Y69">
        <v>-0.1462108</v>
      </c>
      <c r="Z69">
        <v>7.6845450000000001E-3</v>
      </c>
      <c r="AA69">
        <v>0.98922359999999998</v>
      </c>
      <c r="AB69">
        <v>7</v>
      </c>
      <c r="AC69">
        <v>11.3310999999999</v>
      </c>
      <c r="AD69">
        <v>-1.1096114110269999</v>
      </c>
      <c r="AE69">
        <v>1.6847999999999901</v>
      </c>
      <c r="AF69">
        <v>-1.6758827912429399</v>
      </c>
      <c r="AG69">
        <v>-1.1096114110269999</v>
      </c>
      <c r="AH69">
        <v>11.2247737842389</v>
      </c>
      <c r="AI69">
        <v>95.584066043066102</v>
      </c>
      <c r="AJ69">
        <v>98.491657253505807</v>
      </c>
      <c r="AK69">
        <v>11.4033050963658</v>
      </c>
      <c r="AL69">
        <v>81.943392492979001</v>
      </c>
      <c r="AM69">
        <v>94.3290470071843</v>
      </c>
      <c r="AN69">
        <v>0.99999996268499503</v>
      </c>
    </row>
    <row r="70" spans="1:40" x14ac:dyDescent="0.25">
      <c r="A70" t="str">
        <f>"20190304155558474"</f>
        <v>20190304155558474</v>
      </c>
      <c r="B70" t="str">
        <f>"1551686158465221"</f>
        <v>1551686158465221</v>
      </c>
      <c r="C70" t="s">
        <v>40</v>
      </c>
      <c r="D70">
        <v>4.7148209999999997</v>
      </c>
      <c r="E70">
        <v>0.46941349999999998</v>
      </c>
      <c r="F70" t="s">
        <v>41</v>
      </c>
      <c r="G70">
        <v>-461.7056</v>
      </c>
      <c r="H70" s="1">
        <v>-3.6551840000000002E-6</v>
      </c>
      <c r="I70">
        <v>368.9701</v>
      </c>
      <c r="J70">
        <v>-473.57389999999998</v>
      </c>
      <c r="K70">
        <v>1.110171</v>
      </c>
      <c r="L70">
        <v>367.21600000000001</v>
      </c>
      <c r="M70">
        <v>0.99995509999999999</v>
      </c>
      <c r="N70">
        <v>-9.4517500000000001E-3</v>
      </c>
      <c r="O70">
        <v>-5.828017E-4</v>
      </c>
      <c r="P70">
        <v>0.9879426</v>
      </c>
      <c r="Q70">
        <v>0.13609479999999999</v>
      </c>
      <c r="R70">
        <v>7.3806880000000005E-2</v>
      </c>
      <c r="S70">
        <v>3.0396420000000002</v>
      </c>
      <c r="T70">
        <v>-0.2827423</v>
      </c>
      <c r="U70">
        <v>0.44699100000000003</v>
      </c>
      <c r="V70">
        <v>-7.4380699999999994E-2</v>
      </c>
      <c r="W70">
        <v>0.14542729999999901</v>
      </c>
      <c r="X70">
        <v>0.98656900000000003</v>
      </c>
      <c r="Y70">
        <v>-0.1453856</v>
      </c>
      <c r="Z70">
        <v>7.4520400000000001E-3</v>
      </c>
      <c r="AA70">
        <v>0.98934699999999998</v>
      </c>
      <c r="AB70">
        <v>6</v>
      </c>
      <c r="AC70">
        <v>11.8682999999999</v>
      </c>
      <c r="AD70">
        <v>-1.1101746551839999</v>
      </c>
      <c r="AE70">
        <v>1.75409999999999</v>
      </c>
      <c r="AF70">
        <v>-1.7460654884339799</v>
      </c>
      <c r="AG70">
        <v>-1.1101746551839999</v>
      </c>
      <c r="AH70">
        <v>11.7665200822982</v>
      </c>
      <c r="AI70">
        <v>95.331874606942193</v>
      </c>
      <c r="AJ70">
        <v>98.440678465110807</v>
      </c>
      <c r="AK70">
        <v>11.9470593579358</v>
      </c>
      <c r="AL70">
        <v>81.637975952929196</v>
      </c>
      <c r="AM70">
        <v>94.311561481372493</v>
      </c>
      <c r="AN70">
        <v>0.99999998993938999</v>
      </c>
    </row>
    <row r="71" spans="1:40" x14ac:dyDescent="0.25">
      <c r="A71" t="str">
        <f>"20190304155558495"</f>
        <v>20190304155558495</v>
      </c>
      <c r="B71" t="str">
        <f>"1551686158484737"</f>
        <v>1551686158484737</v>
      </c>
      <c r="C71" t="s">
        <v>40</v>
      </c>
      <c r="D71">
        <v>4.6782459999999997</v>
      </c>
      <c r="E71">
        <v>0.46940850000000001</v>
      </c>
      <c r="F71" t="s">
        <v>41</v>
      </c>
      <c r="G71">
        <v>-461.06110000000001</v>
      </c>
      <c r="H71" s="1">
        <v>-3.9178E-6</v>
      </c>
      <c r="I71">
        <v>369.04840000000002</v>
      </c>
      <c r="J71">
        <v>-473.52199999999999</v>
      </c>
      <c r="K71">
        <v>1.110598</v>
      </c>
      <c r="L71">
        <v>367.21600000000001</v>
      </c>
      <c r="M71">
        <v>0.99993840000000001</v>
      </c>
      <c r="N71">
        <v>-1.109634E-2</v>
      </c>
      <c r="O71">
        <v>-5.7007809999999896E-4</v>
      </c>
      <c r="P71">
        <v>0.98762419999999995</v>
      </c>
      <c r="Q71">
        <v>0.1385739</v>
      </c>
      <c r="R71">
        <v>7.3457019999999998E-2</v>
      </c>
      <c r="S71">
        <v>3.040527</v>
      </c>
      <c r="T71">
        <v>-0.26976409999999901</v>
      </c>
      <c r="U71">
        <v>0.44528200000000001</v>
      </c>
      <c r="V71">
        <v>-7.401692E-2</v>
      </c>
      <c r="W71">
        <v>0.1495253</v>
      </c>
      <c r="X71">
        <v>0.98598359999999996</v>
      </c>
      <c r="Y71">
        <v>-0.14483750000000001</v>
      </c>
      <c r="Z71">
        <v>7.2323200000000004E-3</v>
      </c>
      <c r="AA71">
        <v>0.989429</v>
      </c>
      <c r="AB71">
        <v>6</v>
      </c>
      <c r="AC71">
        <v>12.460899999999899</v>
      </c>
      <c r="AD71">
        <v>-1.1106019177999999</v>
      </c>
      <c r="AE71">
        <v>1.8324</v>
      </c>
      <c r="AF71">
        <v>-1.8253111674511999</v>
      </c>
      <c r="AG71">
        <v>-1.1106019177999999</v>
      </c>
      <c r="AH71">
        <v>12.3637195341508</v>
      </c>
      <c r="AI71">
        <v>95.078208486147105</v>
      </c>
      <c r="AJ71">
        <v>98.398167317206003</v>
      </c>
      <c r="AK71">
        <v>12.546982035413301</v>
      </c>
      <c r="AL71">
        <v>81.400581900298107</v>
      </c>
      <c r="AM71">
        <v>94.293091372240099</v>
      </c>
      <c r="AN71">
        <v>0.99999998962766801</v>
      </c>
    </row>
    <row r="72" spans="1:40" x14ac:dyDescent="0.25">
      <c r="A72" t="str">
        <f>"20190304155558518"</f>
        <v>20190304155558518</v>
      </c>
      <c r="B72" t="str">
        <f>"1551686158514994"</f>
        <v>1551686158514994</v>
      </c>
      <c r="C72" t="s">
        <v>40</v>
      </c>
      <c r="D72">
        <v>5.5592540000000001</v>
      </c>
      <c r="E72">
        <v>0.47112579999999998</v>
      </c>
      <c r="F72" t="s">
        <v>41</v>
      </c>
      <c r="G72">
        <v>-460.6789</v>
      </c>
      <c r="H72" s="1">
        <v>-4.0736939999999999E-6</v>
      </c>
      <c r="I72">
        <v>369.09390000000002</v>
      </c>
      <c r="J72">
        <v>-473.46300000000002</v>
      </c>
      <c r="K72">
        <v>1.110662</v>
      </c>
      <c r="L72">
        <v>367.21589999999998</v>
      </c>
      <c r="M72">
        <v>0.99993169999999998</v>
      </c>
      <c r="N72">
        <v>-1.168341E-2</v>
      </c>
      <c r="O72">
        <v>-5.5543819999999996E-4</v>
      </c>
      <c r="P72">
        <v>0.98733000000000004</v>
      </c>
      <c r="Q72">
        <v>0.14118349999999999</v>
      </c>
      <c r="R72">
        <v>7.2438230000000006E-2</v>
      </c>
      <c r="S72">
        <v>3.0414119999999998</v>
      </c>
      <c r="T72">
        <v>-0.26300390000000001</v>
      </c>
      <c r="U72">
        <v>0.44473269999999998</v>
      </c>
      <c r="V72">
        <v>-7.2983270000000003E-2</v>
      </c>
      <c r="W72">
        <v>0.15271080000000001</v>
      </c>
      <c r="X72">
        <v>0.98557229999999996</v>
      </c>
      <c r="Y72">
        <v>-0.14463380000000001</v>
      </c>
      <c r="Z72">
        <v>7.1014769999999897E-3</v>
      </c>
      <c r="AA72">
        <v>0.9894598</v>
      </c>
      <c r="AB72">
        <v>5</v>
      </c>
      <c r="AC72">
        <v>12.7841</v>
      </c>
      <c r="AD72">
        <v>-1.1106660736939999</v>
      </c>
      <c r="AE72">
        <v>1.8780000000000401</v>
      </c>
      <c r="AF72">
        <v>-1.8712751176564499</v>
      </c>
      <c r="AG72">
        <v>-1.1106660736939999</v>
      </c>
      <c r="AH72">
        <v>12.6893003695619</v>
      </c>
      <c r="AI72">
        <v>94.948970054948404</v>
      </c>
      <c r="AJ72">
        <v>98.388873991036803</v>
      </c>
      <c r="AK72">
        <v>12.8745327512177</v>
      </c>
      <c r="AL72">
        <v>81.215945364718607</v>
      </c>
      <c r="AM72">
        <v>94.235117870081993</v>
      </c>
      <c r="AN72">
        <v>0.99999995233190997</v>
      </c>
    </row>
    <row r="73" spans="1:40" x14ac:dyDescent="0.25">
      <c r="A73" t="str">
        <f>"20190304155558540"</f>
        <v>20190304155558540</v>
      </c>
      <c r="B73" t="str">
        <f>"1551686158535489"</f>
        <v>1551686158535489</v>
      </c>
      <c r="C73" t="s">
        <v>40</v>
      </c>
      <c r="D73">
        <v>4.8109739999999999</v>
      </c>
      <c r="E73">
        <v>0.53946629999999995</v>
      </c>
      <c r="F73" t="s">
        <v>41</v>
      </c>
      <c r="G73">
        <v>-459.72379999999998</v>
      </c>
      <c r="H73" s="1">
        <v>-2.0341539999999999E-7</v>
      </c>
      <c r="I73">
        <v>369.15269999999998</v>
      </c>
      <c r="J73">
        <v>-473.4033</v>
      </c>
      <c r="K73">
        <v>1.1102890000000001</v>
      </c>
      <c r="L73">
        <v>367.21589999999998</v>
      </c>
      <c r="M73">
        <v>0.99994320000000003</v>
      </c>
      <c r="N73">
        <v>-1.064199E-2</v>
      </c>
      <c r="O73">
        <v>-5.3257059999999999E-4</v>
      </c>
      <c r="P73">
        <v>0.98647589999999996</v>
      </c>
      <c r="Q73">
        <v>0.1472281</v>
      </c>
      <c r="R73">
        <v>7.2033410000000006E-2</v>
      </c>
      <c r="S73">
        <v>3.0422359999999999</v>
      </c>
      <c r="T73">
        <v>-0.24593039999999999</v>
      </c>
      <c r="U73">
        <v>0.42886350000000001</v>
      </c>
      <c r="V73">
        <v>-7.2554629999999995E-2</v>
      </c>
      <c r="W73">
        <v>0.15771949999999901</v>
      </c>
      <c r="X73">
        <v>0.98481490000000005</v>
      </c>
      <c r="Y73">
        <v>-0.13960919999999999</v>
      </c>
      <c r="Z73">
        <v>6.391168E-3</v>
      </c>
      <c r="AA73">
        <v>0.99018600000000001</v>
      </c>
      <c r="AB73">
        <v>5</v>
      </c>
      <c r="AC73">
        <v>13.679500000000001</v>
      </c>
      <c r="AD73">
        <v>-1.1102892034153999</v>
      </c>
      <c r="AE73">
        <v>1.9368000000000001</v>
      </c>
      <c r="AF73">
        <v>-1.93161069474118</v>
      </c>
      <c r="AG73">
        <v>-1.1102892034153999</v>
      </c>
      <c r="AH73">
        <v>13.5906949889067</v>
      </c>
      <c r="AI73">
        <v>94.624129806596002</v>
      </c>
      <c r="AJ73">
        <v>98.0891254925412</v>
      </c>
      <c r="AK73">
        <v>13.772104133818999</v>
      </c>
      <c r="AL73">
        <v>80.925447456661203</v>
      </c>
      <c r="AM73">
        <v>94.213560614697599</v>
      </c>
      <c r="AN73">
        <v>1.0000000011383401</v>
      </c>
    </row>
    <row r="74" spans="1:40" x14ac:dyDescent="0.25">
      <c r="A74" t="str">
        <f>"20190304155558563"</f>
        <v>20190304155558563</v>
      </c>
      <c r="B74" t="str">
        <f>"1551686158555009"</f>
        <v>1551686158555009</v>
      </c>
      <c r="C74" t="s">
        <v>40</v>
      </c>
      <c r="D74">
        <v>4.7806480000000002</v>
      </c>
      <c r="E74">
        <v>0.54263989999999995</v>
      </c>
      <c r="F74" t="s">
        <v>43</v>
      </c>
      <c r="G74">
        <v>-169.2955</v>
      </c>
      <c r="H74">
        <v>1.915629</v>
      </c>
      <c r="I74">
        <v>356.26069999999999</v>
      </c>
      <c r="J74">
        <v>-473.3365</v>
      </c>
      <c r="K74">
        <v>1.109866</v>
      </c>
      <c r="L74">
        <v>367.21589999999998</v>
      </c>
      <c r="M74">
        <v>0.99995750000000005</v>
      </c>
      <c r="N74">
        <v>-9.2146420000000003E-3</v>
      </c>
      <c r="O74">
        <v>-5.0245450000000001E-4</v>
      </c>
      <c r="P74">
        <v>0.98593600000000003</v>
      </c>
      <c r="Q74">
        <v>0.15124779999999999</v>
      </c>
      <c r="R74">
        <v>7.1096699999999999E-2</v>
      </c>
      <c r="S74">
        <v>3.0480040000000002</v>
      </c>
      <c r="T74">
        <v>8.072615E-3</v>
      </c>
      <c r="U74">
        <v>-0.1098022</v>
      </c>
      <c r="V74">
        <v>-7.1588230000000003E-2</v>
      </c>
      <c r="W74">
        <v>0.160328</v>
      </c>
      <c r="X74">
        <v>0.98446429999999996</v>
      </c>
      <c r="Y74">
        <v>3.5499139999999998E-2</v>
      </c>
      <c r="Z74">
        <v>-1.2257629999999999E-4</v>
      </c>
      <c r="AA74">
        <v>0.99936970000000003</v>
      </c>
      <c r="AB74">
        <v>6</v>
      </c>
      <c r="AC74">
        <v>304.041</v>
      </c>
      <c r="AD74">
        <v>0.80576300000000001</v>
      </c>
      <c r="AE74">
        <v>-10.9551999999999</v>
      </c>
      <c r="AF74">
        <v>10.8023496034324</v>
      </c>
      <c r="AG74">
        <v>0.80576300000000001</v>
      </c>
      <c r="AH74">
        <v>304.04433366981698</v>
      </c>
      <c r="AI74">
        <v>89.848253706554999</v>
      </c>
      <c r="AJ74">
        <v>87.965201962623297</v>
      </c>
      <c r="AK74">
        <v>304.237237772909</v>
      </c>
      <c r="AL74">
        <v>80.774064515704296</v>
      </c>
      <c r="AM74">
        <v>94.159111197220099</v>
      </c>
      <c r="AN74">
        <v>0.99999995011650999</v>
      </c>
    </row>
    <row r="75" spans="1:40" x14ac:dyDescent="0.25">
      <c r="A75" t="str">
        <f>"20190304155558585"</f>
        <v>20190304155558585</v>
      </c>
      <c r="B75" t="str">
        <f>"1551686158575505"</f>
        <v>1551686158575505</v>
      </c>
      <c r="C75" t="s">
        <v>40</v>
      </c>
      <c r="D75">
        <v>4.6620599999999897</v>
      </c>
      <c r="E75">
        <v>0.543798</v>
      </c>
      <c r="F75" t="s">
        <v>41</v>
      </c>
      <c r="G75">
        <v>-385.1336</v>
      </c>
      <c r="H75" s="1">
        <v>-3.3485129999999999E-6</v>
      </c>
      <c r="I75">
        <v>363.20310000000001</v>
      </c>
      <c r="J75">
        <v>-473.2697</v>
      </c>
      <c r="K75">
        <v>1.109607</v>
      </c>
      <c r="L75">
        <v>367.21589999999998</v>
      </c>
      <c r="M75">
        <v>0.99996739999999995</v>
      </c>
      <c r="N75">
        <v>-8.0725369999999994E-3</v>
      </c>
      <c r="O75">
        <v>-4.7067039999999999E-4</v>
      </c>
      <c r="P75">
        <v>0.98516890000000001</v>
      </c>
      <c r="Q75">
        <v>0.156199799999999</v>
      </c>
      <c r="R75">
        <v>7.1021050000000002E-2</v>
      </c>
      <c r="S75">
        <v>3.0587770000000001</v>
      </c>
      <c r="T75">
        <v>-3.8488979999999999E-2</v>
      </c>
      <c r="U75">
        <v>-0.13916020000000001</v>
      </c>
      <c r="V75">
        <v>-7.1481669999999997E-2</v>
      </c>
      <c r="W75">
        <v>0.16414860000000001</v>
      </c>
      <c r="X75">
        <v>0.98384229999999995</v>
      </c>
      <c r="Y75">
        <v>4.4972320000000003E-2</v>
      </c>
      <c r="Z75">
        <v>-4.6229609999999999E-4</v>
      </c>
      <c r="AA75">
        <v>0.99898819999999999</v>
      </c>
      <c r="AB75">
        <v>6</v>
      </c>
      <c r="AC75">
        <v>88.136099999999999</v>
      </c>
      <c r="AD75">
        <v>-1.109610348513</v>
      </c>
      <c r="AE75">
        <v>-4.0127999999999702</v>
      </c>
      <c r="AF75">
        <v>3.9706870963768601</v>
      </c>
      <c r="AG75">
        <v>-1.109610348513</v>
      </c>
      <c r="AH75">
        <v>88.124040107708893</v>
      </c>
      <c r="AI75">
        <v>90.720668298924195</v>
      </c>
      <c r="AJ75">
        <v>87.420115569008004</v>
      </c>
      <c r="AK75">
        <v>88.2204286775345</v>
      </c>
      <c r="AL75">
        <v>80.552221809160997</v>
      </c>
      <c r="AM75">
        <v>94.155558341355999</v>
      </c>
      <c r="AN75">
        <v>1.00000003164861</v>
      </c>
    </row>
    <row r="76" spans="1:40" x14ac:dyDescent="0.25">
      <c r="A76" t="str">
        <f>"20190304155558598"</f>
        <v>20190304155558598</v>
      </c>
      <c r="B76" t="str">
        <f>"1551686158595025"</f>
        <v>1551686158595025</v>
      </c>
      <c r="C76" t="s">
        <v>40</v>
      </c>
      <c r="D76">
        <v>4.6384809999999996</v>
      </c>
      <c r="E76">
        <v>0.54435880000000003</v>
      </c>
      <c r="F76" t="s">
        <v>44</v>
      </c>
      <c r="G76">
        <v>-407.28140000000002</v>
      </c>
      <c r="H76">
        <v>-0.05</v>
      </c>
      <c r="I76">
        <v>363.99459999999999</v>
      </c>
      <c r="J76">
        <v>-473.2296</v>
      </c>
      <c r="K76">
        <v>1.1095010000000001</v>
      </c>
      <c r="L76">
        <v>367.21589999999998</v>
      </c>
      <c r="M76">
        <v>0.99997199999999997</v>
      </c>
      <c r="N76">
        <v>-7.4914809999999899E-3</v>
      </c>
      <c r="O76">
        <v>-4.5230269999999999E-4</v>
      </c>
      <c r="P76">
        <v>0.98478359999999998</v>
      </c>
      <c r="Q76">
        <v>0.15850259999999999</v>
      </c>
      <c r="R76">
        <v>7.126391E-2</v>
      </c>
      <c r="S76">
        <v>3.0644840000000002</v>
      </c>
      <c r="T76">
        <v>-5.3851959999999997E-2</v>
      </c>
      <c r="U76">
        <v>-0.14959720000000001</v>
      </c>
      <c r="V76">
        <v>-7.1706480000000003E-2</v>
      </c>
      <c r="W76">
        <v>0.16587650000000001</v>
      </c>
      <c r="X76">
        <v>0.98353610000000002</v>
      </c>
      <c r="Y76">
        <v>4.8295999999999999E-2</v>
      </c>
      <c r="Z76">
        <v>-6.0054369999999995E-4</v>
      </c>
      <c r="AA76">
        <v>0.99883290000000002</v>
      </c>
      <c r="AB76">
        <v>7</v>
      </c>
      <c r="AC76">
        <v>65.9481999999999</v>
      </c>
      <c r="AD76">
        <v>-1.1595009999999999</v>
      </c>
      <c r="AE76">
        <v>-3.2212999999999798</v>
      </c>
      <c r="AF76">
        <v>3.1904863727653998</v>
      </c>
      <c r="AG76">
        <v>-1.1595009999999999</v>
      </c>
      <c r="AH76">
        <v>65.929318302459805</v>
      </c>
      <c r="AI76">
        <v>91.006381350393497</v>
      </c>
      <c r="AJ76">
        <v>87.229473751429893</v>
      </c>
      <c r="AK76">
        <v>66.016654396378399</v>
      </c>
      <c r="AL76">
        <v>80.451844535018296</v>
      </c>
      <c r="AM76">
        <v>94.169874790689704</v>
      </c>
      <c r="AN76">
        <v>1.0000000462647201</v>
      </c>
    </row>
    <row r="77" spans="1:40" x14ac:dyDescent="0.25">
      <c r="A77" t="str">
        <f>"20190304155558622"</f>
        <v>20190304155558622</v>
      </c>
      <c r="B77" t="str">
        <f>"1551686158615522"</f>
        <v>1551686158615522</v>
      </c>
      <c r="C77" t="s">
        <v>40</v>
      </c>
      <c r="D77">
        <v>4.620641</v>
      </c>
      <c r="E77">
        <v>0.54499359999999997</v>
      </c>
      <c r="F77" t="s">
        <v>44</v>
      </c>
      <c r="G77">
        <v>-426.54090000000002</v>
      </c>
      <c r="H77">
        <v>-0.05</v>
      </c>
      <c r="I77">
        <v>364.86590000000001</v>
      </c>
      <c r="J77">
        <v>-473.15649999999999</v>
      </c>
      <c r="K77">
        <v>1.1093489999999999</v>
      </c>
      <c r="L77">
        <v>367.21589999999998</v>
      </c>
      <c r="M77">
        <v>0.9999789</v>
      </c>
      <c r="N77">
        <v>-6.5009849999999999E-3</v>
      </c>
      <c r="O77">
        <v>-4.2032579999999999E-4</v>
      </c>
      <c r="P77">
        <v>0.98439010000000005</v>
      </c>
      <c r="Q77">
        <v>0.1607558</v>
      </c>
      <c r="R77">
        <v>7.1653999999999995E-2</v>
      </c>
      <c r="S77">
        <v>3.069763</v>
      </c>
      <c r="T77">
        <v>-7.6236719999999994E-2</v>
      </c>
      <c r="U77">
        <v>-0.1545105</v>
      </c>
      <c r="V77">
        <v>-7.2065439999999995E-2</v>
      </c>
      <c r="W77">
        <v>0.16715260000000001</v>
      </c>
      <c r="X77">
        <v>0.98329370000000005</v>
      </c>
      <c r="Y77">
        <v>4.9830310000000003E-2</v>
      </c>
      <c r="Z77">
        <v>-7.7268330000000002E-4</v>
      </c>
      <c r="AA77">
        <v>0.99875740000000002</v>
      </c>
      <c r="AB77">
        <v>7</v>
      </c>
      <c r="AC77">
        <v>46.615599999999901</v>
      </c>
      <c r="AD77">
        <v>-1.159349</v>
      </c>
      <c r="AE77">
        <v>-2.3499999999999601</v>
      </c>
      <c r="AF77">
        <v>2.32896873926444</v>
      </c>
      <c r="AG77">
        <v>-1.159349</v>
      </c>
      <c r="AH77">
        <v>46.587840403969402</v>
      </c>
      <c r="AI77">
        <v>91.423747090216906</v>
      </c>
      <c r="AJ77">
        <v>87.138114045494106</v>
      </c>
      <c r="AK77">
        <v>46.660422833467699</v>
      </c>
      <c r="AL77">
        <v>80.377693336383103</v>
      </c>
      <c r="AM77">
        <v>94.191704244791694</v>
      </c>
      <c r="AN77">
        <v>0.99999995989442103</v>
      </c>
    </row>
    <row r="78" spans="1:40" x14ac:dyDescent="0.25">
      <c r="A78" t="str">
        <f>"20190304155558643"</f>
        <v>20190304155558643</v>
      </c>
      <c r="B78" t="str">
        <f>"1551686158635042"</f>
        <v>1551686158635042</v>
      </c>
      <c r="C78" t="s">
        <v>40</v>
      </c>
      <c r="D78">
        <v>4.7227990000000002</v>
      </c>
      <c r="E78">
        <v>0.54495579999999999</v>
      </c>
      <c r="F78" t="s">
        <v>44</v>
      </c>
      <c r="G78">
        <v>-428.94330000000002</v>
      </c>
      <c r="H78">
        <v>-0.05</v>
      </c>
      <c r="I78">
        <v>364.93430000000001</v>
      </c>
      <c r="J78">
        <v>-473.08850000000001</v>
      </c>
      <c r="K78">
        <v>1.1094930000000001</v>
      </c>
      <c r="L78">
        <v>367.21589999999998</v>
      </c>
      <c r="M78">
        <v>0.99997809999999998</v>
      </c>
      <c r="N78">
        <v>-6.61621E-3</v>
      </c>
      <c r="O78">
        <v>-3.9436099999999997E-4</v>
      </c>
      <c r="P78">
        <v>0.98443720000000001</v>
      </c>
      <c r="Q78">
        <v>0.16038810000000001</v>
      </c>
      <c r="R78">
        <v>7.1827950000000002E-2</v>
      </c>
      <c r="S78">
        <v>3.0722659999999999</v>
      </c>
      <c r="T78">
        <v>-8.0560209999999993E-2</v>
      </c>
      <c r="U78">
        <v>-0.15853879999999901</v>
      </c>
      <c r="V78">
        <v>-7.2213959999999994E-2</v>
      </c>
      <c r="W78">
        <v>0.16689870000000001</v>
      </c>
      <c r="X78">
        <v>0.98332600000000003</v>
      </c>
      <c r="Y78">
        <v>5.111893E-2</v>
      </c>
      <c r="Z78">
        <v>-8.311859E-4</v>
      </c>
      <c r="AA78">
        <v>0.99869220000000003</v>
      </c>
      <c r="AB78">
        <v>7</v>
      </c>
      <c r="AC78">
        <v>44.145199999999903</v>
      </c>
      <c r="AD78">
        <v>-1.1594930000000001</v>
      </c>
      <c r="AE78">
        <v>-2.2815999999999601</v>
      </c>
      <c r="AF78">
        <v>2.2626335256754002</v>
      </c>
      <c r="AG78">
        <v>-1.1594930000000001</v>
      </c>
      <c r="AH78">
        <v>44.115743171620899</v>
      </c>
      <c r="AI78">
        <v>91.503581568851303</v>
      </c>
      <c r="AJ78">
        <v>87.063953851914107</v>
      </c>
      <c r="AK78">
        <v>44.188943527459102</v>
      </c>
      <c r="AL78">
        <v>80.392448653407101</v>
      </c>
      <c r="AM78">
        <v>94.2001745845388</v>
      </c>
      <c r="AN78">
        <v>1.0000000271782801</v>
      </c>
    </row>
    <row r="79" spans="1:40" x14ac:dyDescent="0.25">
      <c r="A79" t="str">
        <f>"20190304155558665"</f>
        <v>20190304155558665</v>
      </c>
      <c r="B79" t="str">
        <f>"1551686158654562"</f>
        <v>1551686158654562</v>
      </c>
      <c r="C79" t="s">
        <v>40</v>
      </c>
      <c r="D79">
        <v>4.7416260000000001</v>
      </c>
      <c r="E79">
        <v>0.5457265</v>
      </c>
      <c r="F79" t="s">
        <v>44</v>
      </c>
      <c r="G79">
        <v>-431.79090000000002</v>
      </c>
      <c r="H79">
        <v>-0.05</v>
      </c>
      <c r="I79">
        <v>365.09309999999999</v>
      </c>
      <c r="J79">
        <v>-473.0247</v>
      </c>
      <c r="K79">
        <v>1.1099220000000001</v>
      </c>
      <c r="L79">
        <v>367.21589999999998</v>
      </c>
      <c r="M79">
        <v>0.99996890000000005</v>
      </c>
      <c r="N79">
        <v>-7.8878090000000008E-3</v>
      </c>
      <c r="O79">
        <v>-3.7337109999999998E-4</v>
      </c>
      <c r="P79">
        <v>0.9848285</v>
      </c>
      <c r="Q79">
        <v>0.157641</v>
      </c>
      <c r="R79">
        <v>7.2540830000000001E-2</v>
      </c>
      <c r="S79">
        <v>3.0729980000000001</v>
      </c>
      <c r="T79">
        <v>-8.6279149999999999E-2</v>
      </c>
      <c r="U79">
        <v>-0.15795899999999999</v>
      </c>
      <c r="V79">
        <v>-7.2905380000000006E-2</v>
      </c>
      <c r="W79">
        <v>0.16540529999999901</v>
      </c>
      <c r="X79">
        <v>0.98352720000000005</v>
      </c>
      <c r="Y79">
        <v>5.093599E-2</v>
      </c>
      <c r="Z79">
        <v>-9.0798280000000005E-4</v>
      </c>
      <c r="AA79">
        <v>0.99870150000000002</v>
      </c>
      <c r="AB79">
        <v>7</v>
      </c>
      <c r="AC79">
        <v>41.233799999999903</v>
      </c>
      <c r="AD79">
        <v>-1.1599219999999999</v>
      </c>
      <c r="AE79">
        <v>-2.1227999999999798</v>
      </c>
      <c r="AF79">
        <v>2.1057419589630002</v>
      </c>
      <c r="AG79">
        <v>-1.1599219999999999</v>
      </c>
      <c r="AH79">
        <v>41.202072000809302</v>
      </c>
      <c r="AI79">
        <v>91.610465850486605</v>
      </c>
      <c r="AJ79">
        <v>87.074291664146301</v>
      </c>
      <c r="AK79">
        <v>41.272149270466798</v>
      </c>
      <c r="AL79">
        <v>80.479219359644205</v>
      </c>
      <c r="AM79">
        <v>94.239379341699106</v>
      </c>
      <c r="AN79">
        <v>0.999999930420434</v>
      </c>
    </row>
    <row r="80" spans="1:40" x14ac:dyDescent="0.25">
      <c r="A80" t="str">
        <f>"20190304155558686"</f>
        <v>20190304155558686</v>
      </c>
      <c r="B80" t="str">
        <f>"1551686158675058"</f>
        <v>1551686158675058</v>
      </c>
      <c r="C80" t="s">
        <v>40</v>
      </c>
      <c r="D80">
        <v>4.8205850000000003</v>
      </c>
      <c r="E80">
        <v>0.54644199999999998</v>
      </c>
      <c r="F80" t="s">
        <v>44</v>
      </c>
      <c r="G80">
        <v>-436.21499999999997</v>
      </c>
      <c r="H80">
        <v>-0.05</v>
      </c>
      <c r="I80">
        <v>365.26499999999999</v>
      </c>
      <c r="J80">
        <v>-472.96269999999998</v>
      </c>
      <c r="K80">
        <v>1.1103719999999999</v>
      </c>
      <c r="L80">
        <v>367.21589999999998</v>
      </c>
      <c r="M80">
        <v>0.99995440000000002</v>
      </c>
      <c r="N80">
        <v>-9.5466839999999997E-3</v>
      </c>
      <c r="O80">
        <v>-3.5550160000000003E-4</v>
      </c>
      <c r="P80">
        <v>0.98525799999999997</v>
      </c>
      <c r="Q80">
        <v>0.15454599999999999</v>
      </c>
      <c r="R80">
        <v>7.3364070000000003E-2</v>
      </c>
      <c r="S80">
        <v>3.0737299999999999</v>
      </c>
      <c r="T80">
        <v>-9.6857189999999996E-2</v>
      </c>
      <c r="U80">
        <v>-0.16290279999999999</v>
      </c>
      <c r="V80">
        <v>-7.3710020000000001E-2</v>
      </c>
      <c r="W80">
        <v>0.16394629999999999</v>
      </c>
      <c r="X80">
        <v>0.98371149999999996</v>
      </c>
      <c r="Y80">
        <v>5.25353E-2</v>
      </c>
      <c r="Z80">
        <v>-1.070173E-3</v>
      </c>
      <c r="AA80">
        <v>0.99861849999999996</v>
      </c>
      <c r="AB80">
        <v>7</v>
      </c>
      <c r="AC80">
        <v>36.747700000000002</v>
      </c>
      <c r="AD80">
        <v>-1.160372</v>
      </c>
      <c r="AE80">
        <v>-1.9508999999999801</v>
      </c>
      <c r="AF80">
        <v>1.9359105645794801</v>
      </c>
      <c r="AG80">
        <v>-1.160372</v>
      </c>
      <c r="AH80">
        <v>36.711889096375302</v>
      </c>
      <c r="AI80">
        <v>91.807864974681493</v>
      </c>
      <c r="AJ80">
        <v>86.981444790945801</v>
      </c>
      <c r="AK80">
        <v>36.7812046284103</v>
      </c>
      <c r="AL80">
        <v>80.563971017501004</v>
      </c>
      <c r="AM80">
        <v>94.285194999405704</v>
      </c>
      <c r="AN80">
        <v>0.99999993578216795</v>
      </c>
    </row>
    <row r="81" spans="1:40" x14ac:dyDescent="0.25">
      <c r="A81" t="str">
        <f>"20190304155558708"</f>
        <v>20190304155558708</v>
      </c>
      <c r="B81" t="str">
        <f>"1551686158705313"</f>
        <v>1551686158705313</v>
      </c>
      <c r="C81" t="s">
        <v>40</v>
      </c>
      <c r="D81">
        <v>4.6535149999999996</v>
      </c>
      <c r="E81">
        <v>0.54579699999999998</v>
      </c>
      <c r="F81" t="s">
        <v>41</v>
      </c>
      <c r="G81">
        <v>-441.83800000000002</v>
      </c>
      <c r="H81" s="1">
        <v>-4.564436E-6</v>
      </c>
      <c r="I81">
        <v>365.52499999999998</v>
      </c>
      <c r="J81">
        <v>-472.89859999999999</v>
      </c>
      <c r="K81">
        <v>1.110325</v>
      </c>
      <c r="L81">
        <v>367.21589999999998</v>
      </c>
      <c r="M81">
        <v>0.99995310000000004</v>
      </c>
      <c r="N81">
        <v>-9.685585E-3</v>
      </c>
      <c r="O81">
        <v>-3.3747019999999999E-4</v>
      </c>
      <c r="P81">
        <v>0.98549770000000003</v>
      </c>
      <c r="Q81">
        <v>0.15274380000000001</v>
      </c>
      <c r="R81">
        <v>7.3916090000000004E-2</v>
      </c>
      <c r="S81">
        <v>3.0744929999999999</v>
      </c>
      <c r="T81">
        <v>-0.1096829</v>
      </c>
      <c r="U81">
        <v>-0.1670227</v>
      </c>
      <c r="V81">
        <v>-7.4243890000000007E-2</v>
      </c>
      <c r="W81">
        <v>0.16228380000000001</v>
      </c>
      <c r="X81">
        <v>0.98394700000000002</v>
      </c>
      <c r="Y81">
        <v>5.386494E-2</v>
      </c>
      <c r="Z81">
        <v>-1.212206E-3</v>
      </c>
      <c r="AA81">
        <v>0.99854750000000003</v>
      </c>
      <c r="AB81">
        <v>6</v>
      </c>
      <c r="AC81">
        <v>31.060599999999901</v>
      </c>
      <c r="AD81">
        <v>-1.1103295644360001</v>
      </c>
      <c r="AE81">
        <v>-1.6908999999999901</v>
      </c>
      <c r="AF81">
        <v>1.6782791127694701</v>
      </c>
      <c r="AG81">
        <v>-1.1103295644360001</v>
      </c>
      <c r="AH81">
        <v>31.021644623027701</v>
      </c>
      <c r="AI81">
        <v>92.046870091896693</v>
      </c>
      <c r="AJ81">
        <v>86.903302120228602</v>
      </c>
      <c r="AK81">
        <v>31.086844285637</v>
      </c>
      <c r="AL81">
        <v>80.660518389040206</v>
      </c>
      <c r="AM81">
        <v>94.315085997827097</v>
      </c>
      <c r="AN81">
        <v>0.99999994287688398</v>
      </c>
    </row>
    <row r="82" spans="1:40" x14ac:dyDescent="0.25">
      <c r="A82" t="str">
        <f>"20190304155558731"</f>
        <v>20190304155558731</v>
      </c>
      <c r="B82" t="str">
        <f>"1551686158724834"</f>
        <v>1551686158724834</v>
      </c>
      <c r="C82" t="s">
        <v>40</v>
      </c>
      <c r="D82">
        <v>5.2597480000000001</v>
      </c>
      <c r="E82">
        <v>0.54636779999999996</v>
      </c>
      <c r="F82" t="s">
        <v>41</v>
      </c>
      <c r="G82">
        <v>-443.62959999999998</v>
      </c>
      <c r="H82" s="1">
        <v>-3.688472E-6</v>
      </c>
      <c r="I82">
        <v>365.68880000000001</v>
      </c>
      <c r="J82">
        <v>-472.82569999999998</v>
      </c>
      <c r="K82">
        <v>1.109928</v>
      </c>
      <c r="L82">
        <v>367.21589999999998</v>
      </c>
      <c r="M82">
        <v>0.99996350000000001</v>
      </c>
      <c r="N82">
        <v>-8.5353219999999997E-3</v>
      </c>
      <c r="O82">
        <v>-3.1170870000000003E-4</v>
      </c>
      <c r="P82">
        <v>0.98546900000000004</v>
      </c>
      <c r="Q82">
        <v>0.15272079999999999</v>
      </c>
      <c r="R82">
        <v>7.4344750000000001E-2</v>
      </c>
      <c r="S82">
        <v>3.0742799999999999</v>
      </c>
      <c r="T82">
        <v>-0.11662400000000001</v>
      </c>
      <c r="U82">
        <v>-0.1604004</v>
      </c>
      <c r="V82">
        <v>-7.4647149999999995E-2</v>
      </c>
      <c r="W82">
        <v>0.16112860000000001</v>
      </c>
      <c r="X82">
        <v>0.98410640000000005</v>
      </c>
      <c r="Y82">
        <v>5.1747420000000002E-2</v>
      </c>
      <c r="Z82">
        <v>-1.1924469999999999E-3</v>
      </c>
      <c r="AA82">
        <v>0.99865950000000003</v>
      </c>
      <c r="AB82">
        <v>6</v>
      </c>
      <c r="AC82">
        <v>29.196100000000001</v>
      </c>
      <c r="AD82">
        <v>-1.1099316884720001</v>
      </c>
      <c r="AE82">
        <v>-1.5270999999999599</v>
      </c>
      <c r="AF82">
        <v>1.51581416314074</v>
      </c>
      <c r="AG82">
        <v>-1.1099316884720001</v>
      </c>
      <c r="AH82">
        <v>29.154553966115301</v>
      </c>
      <c r="AI82">
        <v>92.177294413997302</v>
      </c>
      <c r="AJ82">
        <v>87.023736899883403</v>
      </c>
      <c r="AK82">
        <v>29.215024523237801</v>
      </c>
      <c r="AL82">
        <v>80.727589875338396</v>
      </c>
      <c r="AM82">
        <v>94.337734361418299</v>
      </c>
      <c r="AN82">
        <v>1.00000001463102</v>
      </c>
    </row>
    <row r="83" spans="1:40" x14ac:dyDescent="0.25">
      <c r="A83" t="str">
        <f>"20190304155558753"</f>
        <v>20190304155558753</v>
      </c>
      <c r="B83" t="str">
        <f>"1551686158745330"</f>
        <v>1551686158745330</v>
      </c>
      <c r="C83" t="s">
        <v>40</v>
      </c>
      <c r="D83">
        <v>4.6103430000000003</v>
      </c>
      <c r="E83">
        <v>0.54679919999999904</v>
      </c>
      <c r="F83" t="s">
        <v>41</v>
      </c>
      <c r="G83">
        <v>-442.30709999999999</v>
      </c>
      <c r="H83" s="1">
        <v>-4.330736E-6</v>
      </c>
      <c r="I83">
        <v>365.59249999999997</v>
      </c>
      <c r="J83">
        <v>-472.75369999999998</v>
      </c>
      <c r="K83">
        <v>1.1096140000000001</v>
      </c>
      <c r="L83">
        <v>367.21589999999998</v>
      </c>
      <c r="M83">
        <v>0.99997259999999999</v>
      </c>
      <c r="N83">
        <v>-7.4053169999999998E-3</v>
      </c>
      <c r="O83">
        <v>-2.8274190000000002E-4</v>
      </c>
      <c r="P83">
        <v>0.98534330000000003</v>
      </c>
      <c r="Q83">
        <v>0.15345029999999901</v>
      </c>
      <c r="R83">
        <v>7.4511530000000006E-2</v>
      </c>
      <c r="S83">
        <v>3.073944</v>
      </c>
      <c r="T83">
        <v>-0.1117964</v>
      </c>
      <c r="U83">
        <v>-0.1635132</v>
      </c>
      <c r="V83">
        <v>-7.4785630000000006E-2</v>
      </c>
      <c r="W83">
        <v>0.16074449999999901</v>
      </c>
      <c r="X83">
        <v>0.98415870000000005</v>
      </c>
      <c r="Y83">
        <v>5.279404E-2</v>
      </c>
      <c r="Z83">
        <v>-1.146556E-3</v>
      </c>
      <c r="AA83">
        <v>0.99860479999999996</v>
      </c>
      <c r="AB83">
        <v>7</v>
      </c>
      <c r="AC83">
        <v>30.446599999999901</v>
      </c>
      <c r="AD83">
        <v>-1.1096183307359999</v>
      </c>
      <c r="AE83">
        <v>-1.6234</v>
      </c>
      <c r="AF83">
        <v>1.61265528315898</v>
      </c>
      <c r="AG83">
        <v>-1.1096183307359999</v>
      </c>
      <c r="AH83">
        <v>30.406785426350101</v>
      </c>
      <c r="AI83">
        <v>92.087005890188607</v>
      </c>
      <c r="AJ83">
        <v>86.964103477857293</v>
      </c>
      <c r="AK83">
        <v>30.4697310435505</v>
      </c>
      <c r="AL83">
        <v>80.749887854092705</v>
      </c>
      <c r="AM83">
        <v>94.345520557744905</v>
      </c>
      <c r="AN83">
        <v>1.00000001576021</v>
      </c>
    </row>
    <row r="84" spans="1:40" x14ac:dyDescent="0.25">
      <c r="A84" t="str">
        <f>"20190304155558776"</f>
        <v>20190304155558776</v>
      </c>
      <c r="B84" t="str">
        <f>"1551686158764863"</f>
        <v>1551686158764863</v>
      </c>
      <c r="C84" t="s">
        <v>40</v>
      </c>
      <c r="D84">
        <v>4.7004239999999999</v>
      </c>
      <c r="E84">
        <v>0.54708419999999902</v>
      </c>
      <c r="F84" t="s">
        <v>44</v>
      </c>
      <c r="G84">
        <v>-437.41559999999998</v>
      </c>
      <c r="H84">
        <v>-0.05</v>
      </c>
      <c r="I84">
        <v>365.3</v>
      </c>
      <c r="J84">
        <v>-472.6755</v>
      </c>
      <c r="K84">
        <v>1.109424</v>
      </c>
      <c r="L84">
        <v>367.21589999999998</v>
      </c>
      <c r="M84">
        <v>0.9999789</v>
      </c>
      <c r="N84">
        <v>-6.5149429999999996E-3</v>
      </c>
      <c r="O84">
        <v>-2.5017339999999999E-4</v>
      </c>
      <c r="P84">
        <v>0.98514650000000004</v>
      </c>
      <c r="Q84">
        <v>0.15481310000000001</v>
      </c>
      <c r="R84">
        <v>7.4292810000000001E-2</v>
      </c>
      <c r="S84">
        <v>3.0729060000000001</v>
      </c>
      <c r="T84">
        <v>-0.10083689999999999</v>
      </c>
      <c r="U84">
        <v>-0.16659549999999901</v>
      </c>
      <c r="V84">
        <v>-7.4536099999999994E-2</v>
      </c>
      <c r="W84">
        <v>0.16122929999999999</v>
      </c>
      <c r="X84">
        <v>0.98409829999999998</v>
      </c>
      <c r="Y84">
        <v>5.3850420000000003E-2</v>
      </c>
      <c r="Z84">
        <v>-1.051691E-3</v>
      </c>
      <c r="AA84">
        <v>0.9985484</v>
      </c>
      <c r="AB84">
        <v>7</v>
      </c>
      <c r="AC84">
        <v>35.259900000000002</v>
      </c>
      <c r="AD84">
        <v>-1.159424</v>
      </c>
      <c r="AE84">
        <v>-1.91589999999996</v>
      </c>
      <c r="AF84">
        <v>1.90502493800239</v>
      </c>
      <c r="AG84">
        <v>-1.159424</v>
      </c>
      <c r="AH84">
        <v>35.222406421543099</v>
      </c>
      <c r="AI84">
        <v>91.882587986382106</v>
      </c>
      <c r="AJ84">
        <v>86.904139836105102</v>
      </c>
      <c r="AK84">
        <v>35.2929355275323</v>
      </c>
      <c r="AL84">
        <v>80.721743529748395</v>
      </c>
      <c r="AM84">
        <v>94.331341352932597</v>
      </c>
      <c r="AN84">
        <v>0.99999999072229495</v>
      </c>
    </row>
    <row r="85" spans="1:40" x14ac:dyDescent="0.25">
      <c r="A85" t="str">
        <f>"20190304155558799"</f>
        <v>20190304155558799</v>
      </c>
      <c r="B85" t="str">
        <f>"1551686158795117"</f>
        <v>1551686158795117</v>
      </c>
      <c r="C85" t="s">
        <v>40</v>
      </c>
      <c r="D85">
        <v>4.6980589999999998</v>
      </c>
      <c r="E85">
        <v>0.54671910000000001</v>
      </c>
      <c r="F85" t="s">
        <v>44</v>
      </c>
      <c r="G85">
        <v>-432.75819999999999</v>
      </c>
      <c r="H85">
        <v>-0.05</v>
      </c>
      <c r="I85">
        <v>365.0179</v>
      </c>
      <c r="J85">
        <v>-472.59809999999999</v>
      </c>
      <c r="K85">
        <v>1.1093230000000001</v>
      </c>
      <c r="L85">
        <v>367.21589999999998</v>
      </c>
      <c r="M85">
        <v>0.99998299999999996</v>
      </c>
      <c r="N85">
        <v>-5.8359809999999996E-3</v>
      </c>
      <c r="O85">
        <v>-2.193292E-4</v>
      </c>
      <c r="P85">
        <v>0.98497389999999996</v>
      </c>
      <c r="Q85">
        <v>0.1560896</v>
      </c>
      <c r="R85">
        <v>7.391143E-2</v>
      </c>
      <c r="S85">
        <v>3.0719910000000001</v>
      </c>
      <c r="T85">
        <v>-8.9228150000000006E-2</v>
      </c>
      <c r="U85">
        <v>-0.1691589</v>
      </c>
      <c r="V85">
        <v>-7.4125070000000001E-2</v>
      </c>
      <c r="W85">
        <v>0.16183629999999999</v>
      </c>
      <c r="X85">
        <v>0.98402970000000001</v>
      </c>
      <c r="Y85">
        <v>5.4735029999999997E-2</v>
      </c>
      <c r="Z85">
        <v>-9.4893349999999996E-4</v>
      </c>
      <c r="AA85">
        <v>0.99850050000000001</v>
      </c>
      <c r="AB85">
        <v>8</v>
      </c>
      <c r="AC85">
        <v>39.8399</v>
      </c>
      <c r="AD85">
        <v>-1.1593229999999899</v>
      </c>
      <c r="AE85">
        <v>-2.1979999999999702</v>
      </c>
      <c r="AF85">
        <v>2.1874150990799301</v>
      </c>
      <c r="AG85">
        <v>-1.1593229999999899</v>
      </c>
      <c r="AH85">
        <v>39.806775700579799</v>
      </c>
      <c r="AI85">
        <v>91.665685481385395</v>
      </c>
      <c r="AJ85">
        <v>86.854713025753</v>
      </c>
      <c r="AK85">
        <v>39.883683459658997</v>
      </c>
      <c r="AL85">
        <v>80.686502098417606</v>
      </c>
      <c r="AM85">
        <v>94.307845442960499</v>
      </c>
      <c r="AN85">
        <v>0.99999998224114195</v>
      </c>
    </row>
    <row r="86" spans="1:40" x14ac:dyDescent="0.25">
      <c r="A86" t="str">
        <f>"20190304155558823"</f>
        <v>20190304155558823</v>
      </c>
      <c r="B86" t="str">
        <f>"1551686158814636"</f>
        <v>1551686158814636</v>
      </c>
      <c r="C86" t="s">
        <v>40</v>
      </c>
      <c r="D86">
        <v>4.6960009999999999</v>
      </c>
      <c r="E86">
        <v>0.54646830000000002</v>
      </c>
      <c r="F86" t="s">
        <v>44</v>
      </c>
      <c r="G86">
        <v>-434.64609999999999</v>
      </c>
      <c r="H86">
        <v>-0.05</v>
      </c>
      <c r="I86">
        <v>365.14240000000001</v>
      </c>
      <c r="J86">
        <v>-472.512</v>
      </c>
      <c r="K86">
        <v>1.1092550000000001</v>
      </c>
      <c r="L86">
        <v>367.21600000000001</v>
      </c>
      <c r="M86">
        <v>0.99998659999999995</v>
      </c>
      <c r="N86">
        <v>-5.1987300000000004E-3</v>
      </c>
      <c r="O86">
        <v>-1.8716119999999999E-4</v>
      </c>
      <c r="P86">
        <v>0.98481940000000001</v>
      </c>
      <c r="Q86">
        <v>0.1572482</v>
      </c>
      <c r="R86">
        <v>7.3512670000000002E-2</v>
      </c>
      <c r="S86">
        <v>3.0732119999999998</v>
      </c>
      <c r="T86">
        <v>-9.3877790000000003E-2</v>
      </c>
      <c r="U86">
        <v>-0.16790769999999999</v>
      </c>
      <c r="V86">
        <v>-7.3694380000000004E-2</v>
      </c>
      <c r="W86">
        <v>0.1623666</v>
      </c>
      <c r="X86">
        <v>0.98397469999999998</v>
      </c>
      <c r="Y86">
        <v>5.4338150000000002E-2</v>
      </c>
      <c r="Z86">
        <v>-9.6577559999999998E-4</v>
      </c>
      <c r="AA86">
        <v>0.99852209999999997</v>
      </c>
      <c r="AB86">
        <v>8</v>
      </c>
      <c r="AC86">
        <v>37.865899999999897</v>
      </c>
      <c r="AD86">
        <v>-1.1592549999999999</v>
      </c>
      <c r="AE86">
        <v>-2.0735999999999901</v>
      </c>
      <c r="AF86">
        <v>2.0645835697201602</v>
      </c>
      <c r="AG86">
        <v>-1.1592549999999999</v>
      </c>
      <c r="AH86">
        <v>37.8309359234147</v>
      </c>
      <c r="AI86">
        <v>91.752561542677796</v>
      </c>
      <c r="AJ86">
        <v>86.876241768330999</v>
      </c>
      <c r="AK86">
        <v>37.904961288898498</v>
      </c>
      <c r="AL86">
        <v>80.6557109994759</v>
      </c>
      <c r="AM86">
        <v>94.283147415946502</v>
      </c>
      <c r="AN86">
        <v>0.99999999233961701</v>
      </c>
    </row>
    <row r="87" spans="1:40" x14ac:dyDescent="0.25">
      <c r="A87" t="str">
        <f>"20190304155558843"</f>
        <v>20190304155558843</v>
      </c>
      <c r="B87" t="str">
        <f>"1551686158835132"</f>
        <v>1551686158835132</v>
      </c>
      <c r="C87" t="s">
        <v>40</v>
      </c>
      <c r="D87">
        <v>4.7001010000000001</v>
      </c>
      <c r="E87">
        <v>0.54656070000000001</v>
      </c>
      <c r="F87" t="s">
        <v>44</v>
      </c>
      <c r="G87">
        <v>-434.36829999999998</v>
      </c>
      <c r="H87">
        <v>-0.05</v>
      </c>
      <c r="I87">
        <v>365.13940000000002</v>
      </c>
      <c r="J87">
        <v>-472.435</v>
      </c>
      <c r="K87">
        <v>1.109235</v>
      </c>
      <c r="L87">
        <v>367.21600000000001</v>
      </c>
      <c r="M87">
        <v>0.9999884</v>
      </c>
      <c r="N87">
        <v>-4.8245149999999997E-3</v>
      </c>
      <c r="O87">
        <v>-1.597569E-4</v>
      </c>
      <c r="P87">
        <v>0.98486839999999998</v>
      </c>
      <c r="Q87">
        <v>0.15736149999999999</v>
      </c>
      <c r="R87">
        <v>7.2606710000000005E-2</v>
      </c>
      <c r="S87">
        <v>3.073639</v>
      </c>
      <c r="T87">
        <v>-9.3413469999999998E-2</v>
      </c>
      <c r="U87">
        <v>-0.1673279</v>
      </c>
      <c r="V87">
        <v>-7.2761380000000001E-2</v>
      </c>
      <c r="W87">
        <v>0.16211249999999999</v>
      </c>
      <c r="X87">
        <v>0.98408600000000002</v>
      </c>
      <c r="Y87">
        <v>5.417081E-2</v>
      </c>
      <c r="Z87">
        <v>-9.4910190000000003E-4</v>
      </c>
      <c r="AA87">
        <v>0.99853119999999995</v>
      </c>
      <c r="AB87">
        <v>8</v>
      </c>
      <c r="AC87">
        <v>38.066699999999997</v>
      </c>
      <c r="AD87">
        <v>-1.159235</v>
      </c>
      <c r="AE87">
        <v>-2.07659999999998</v>
      </c>
      <c r="AF87">
        <v>2.0686058162889198</v>
      </c>
      <c r="AG87">
        <v>-1.159235</v>
      </c>
      <c r="AH87">
        <v>38.031866347051697</v>
      </c>
      <c r="AI87">
        <v>91.743295336787696</v>
      </c>
      <c r="AJ87">
        <v>86.886671063270995</v>
      </c>
      <c r="AK87">
        <v>38.105718910006303</v>
      </c>
      <c r="AL87">
        <v>80.670465104542501</v>
      </c>
      <c r="AM87">
        <v>94.228642495261795</v>
      </c>
      <c r="AN87">
        <v>0.999999968235876</v>
      </c>
    </row>
    <row r="88" spans="1:40" x14ac:dyDescent="0.25">
      <c r="A88" t="str">
        <f>"20190304155558865"</f>
        <v>20190304155558865</v>
      </c>
      <c r="B88" t="str">
        <f>"1551686158854555"</f>
        <v>1551686158854555</v>
      </c>
      <c r="C88" t="s">
        <v>40</v>
      </c>
      <c r="D88">
        <v>4.7345420000000003</v>
      </c>
      <c r="E88">
        <v>0.54654159999999996</v>
      </c>
      <c r="F88" t="s">
        <v>44</v>
      </c>
      <c r="G88">
        <v>-435.77370000000002</v>
      </c>
      <c r="H88">
        <v>-0.05</v>
      </c>
      <c r="I88">
        <v>365.17610000000002</v>
      </c>
      <c r="J88">
        <v>-472.35579999999999</v>
      </c>
      <c r="K88">
        <v>1.1094999999999999</v>
      </c>
      <c r="L88">
        <v>367.21600000000001</v>
      </c>
      <c r="M88">
        <v>0.99998529999999997</v>
      </c>
      <c r="N88">
        <v>-5.4668590000000001E-3</v>
      </c>
      <c r="O88">
        <v>-1.330549E-4</v>
      </c>
      <c r="P88">
        <v>0.98501989999999995</v>
      </c>
      <c r="Q88">
        <v>0.1568975</v>
      </c>
      <c r="R88">
        <v>7.1550059999999999E-2</v>
      </c>
      <c r="S88">
        <v>3.0742189999999998</v>
      </c>
      <c r="T88">
        <v>-9.7207310000000005E-2</v>
      </c>
      <c r="U88">
        <v>-0.17105100000000001</v>
      </c>
      <c r="V88">
        <v>-7.1678160000000005E-2</v>
      </c>
      <c r="W88">
        <v>0.1622815</v>
      </c>
      <c r="X88">
        <v>0.9841377</v>
      </c>
      <c r="Y88">
        <v>5.5389359999999999E-2</v>
      </c>
      <c r="Z88">
        <v>-1.022905E-3</v>
      </c>
      <c r="AA88">
        <v>0.99846429999999997</v>
      </c>
      <c r="AB88">
        <v>8</v>
      </c>
      <c r="AC88">
        <v>36.582099999999897</v>
      </c>
      <c r="AD88">
        <v>-1.1595</v>
      </c>
      <c r="AE88">
        <v>-2.0398999999999798</v>
      </c>
      <c r="AF88">
        <v>2.0329964135446299</v>
      </c>
      <c r="AG88">
        <v>-1.1595</v>
      </c>
      <c r="AH88">
        <v>36.545770090835802</v>
      </c>
      <c r="AI88">
        <v>91.814429586115395</v>
      </c>
      <c r="AJ88">
        <v>86.815987652724999</v>
      </c>
      <c r="AK88">
        <v>36.620633885826102</v>
      </c>
      <c r="AL88">
        <v>80.660652743756799</v>
      </c>
      <c r="AM88">
        <v>94.165694677429798</v>
      </c>
      <c r="AN88">
        <v>1.0000000282122601</v>
      </c>
    </row>
    <row r="89" spans="1:40" x14ac:dyDescent="0.25">
      <c r="A89" t="str">
        <f>"20190304155558886"</f>
        <v>20190304155558886</v>
      </c>
      <c r="B89" t="str">
        <f>"1551686158875054"</f>
        <v>1551686158875054</v>
      </c>
      <c r="C89" t="s">
        <v>40</v>
      </c>
      <c r="D89">
        <v>4.767741</v>
      </c>
      <c r="E89">
        <v>0.54663689999999998</v>
      </c>
      <c r="F89" t="s">
        <v>44</v>
      </c>
      <c r="G89">
        <v>-436.87779999999998</v>
      </c>
      <c r="H89">
        <v>-0.05</v>
      </c>
      <c r="I89">
        <v>365.20440000000002</v>
      </c>
      <c r="J89">
        <v>-472.28440000000001</v>
      </c>
      <c r="K89">
        <v>1.1099399999999999</v>
      </c>
      <c r="L89">
        <v>367.21609999999998</v>
      </c>
      <c r="M89">
        <v>0.99997570000000002</v>
      </c>
      <c r="N89">
        <v>-6.9685370000000003E-3</v>
      </c>
      <c r="O89">
        <v>-1.098686E-4</v>
      </c>
      <c r="P89">
        <v>0.98541279999999998</v>
      </c>
      <c r="Q89">
        <v>0.15476870000000001</v>
      </c>
      <c r="R89">
        <v>7.0772450000000001E-2</v>
      </c>
      <c r="S89">
        <v>3.0743100000000001</v>
      </c>
      <c r="T89">
        <v>-0.10047540000000001</v>
      </c>
      <c r="U89">
        <v>-0.17431640000000001</v>
      </c>
      <c r="V89">
        <v>-7.0876289999999995E-2</v>
      </c>
      <c r="W89">
        <v>0.16163350000000001</v>
      </c>
      <c r="X89">
        <v>0.98430229999999996</v>
      </c>
      <c r="Y89">
        <v>5.6463920000000001E-2</v>
      </c>
      <c r="Z89">
        <v>-1.115836E-3</v>
      </c>
      <c r="AA89">
        <v>0.99840399999999996</v>
      </c>
      <c r="AB89">
        <v>8</v>
      </c>
      <c r="AC89">
        <v>35.406599999999997</v>
      </c>
      <c r="AD89">
        <v>-1.15994</v>
      </c>
      <c r="AE89">
        <v>-2.0116999999999599</v>
      </c>
      <c r="AF89">
        <v>2.00566415885713</v>
      </c>
      <c r="AG89">
        <v>-1.15994</v>
      </c>
      <c r="AH89">
        <v>35.368983051513503</v>
      </c>
      <c r="AI89">
        <v>91.875354186794496</v>
      </c>
      <c r="AJ89">
        <v>86.754411880734395</v>
      </c>
      <c r="AK89">
        <v>35.444789625838901</v>
      </c>
      <c r="AL89">
        <v>80.698276188719603</v>
      </c>
      <c r="AM89">
        <v>94.118567527463895</v>
      </c>
      <c r="AN89">
        <v>0.99999992729584897</v>
      </c>
    </row>
    <row r="90" spans="1:40" x14ac:dyDescent="0.25">
      <c r="A90" t="str">
        <f>"20190304155558909"</f>
        <v>20190304155558909</v>
      </c>
      <c r="B90" t="str">
        <f>"1551686158905307"</f>
        <v>1551686158905307</v>
      </c>
      <c r="C90" t="s">
        <v>40</v>
      </c>
      <c r="D90">
        <v>4.7183570000000001</v>
      </c>
      <c r="E90">
        <v>0.54647800000000002</v>
      </c>
      <c r="F90" t="s">
        <v>41</v>
      </c>
      <c r="G90">
        <v>-441.7903</v>
      </c>
      <c r="H90" s="1">
        <v>-4.6001509999999997E-6</v>
      </c>
      <c r="I90">
        <v>365.45069999999998</v>
      </c>
      <c r="J90">
        <v>-472.20859999999999</v>
      </c>
      <c r="K90">
        <v>1.110198</v>
      </c>
      <c r="L90">
        <v>367.21609999999998</v>
      </c>
      <c r="M90">
        <v>0.99996719999999895</v>
      </c>
      <c r="N90">
        <v>-8.1096999999999992E-3</v>
      </c>
      <c r="O90" s="1">
        <v>-8.4758059999999995E-5</v>
      </c>
      <c r="P90">
        <v>0.98598839999999999</v>
      </c>
      <c r="Q90">
        <v>0.15143000000000001</v>
      </c>
      <c r="R90">
        <v>6.9971480000000003E-2</v>
      </c>
      <c r="S90">
        <v>3.0747680000000002</v>
      </c>
      <c r="T90">
        <v>-0.11191769999999999</v>
      </c>
      <c r="U90">
        <v>-0.178009</v>
      </c>
      <c r="V90">
        <v>-7.0050360000000006E-2</v>
      </c>
      <c r="W90">
        <v>0.15942329999999999</v>
      </c>
      <c r="X90">
        <v>0.98472179999999998</v>
      </c>
      <c r="Y90">
        <v>5.7665559999999998E-2</v>
      </c>
      <c r="Z90">
        <v>-1.2799770000000001E-3</v>
      </c>
      <c r="AA90">
        <v>0.99833510000000003</v>
      </c>
      <c r="AB90">
        <v>8</v>
      </c>
      <c r="AC90">
        <v>30.418299999999899</v>
      </c>
      <c r="AD90">
        <v>-1.1102026001509999</v>
      </c>
      <c r="AE90">
        <v>-1.7653999999999901</v>
      </c>
      <c r="AF90">
        <v>1.7604844563603801</v>
      </c>
      <c r="AG90">
        <v>-1.1102026001509999</v>
      </c>
      <c r="AH90">
        <v>30.378118890161701</v>
      </c>
      <c r="AI90">
        <v>92.089504640985197</v>
      </c>
      <c r="AJ90">
        <v>86.683282621080394</v>
      </c>
      <c r="AK90">
        <v>30.4493343546171</v>
      </c>
      <c r="AL90">
        <v>80.8265752883093</v>
      </c>
      <c r="AM90">
        <v>94.0690073107845</v>
      </c>
      <c r="AN90">
        <v>0.99999993245712704</v>
      </c>
    </row>
    <row r="91" spans="1:40" x14ac:dyDescent="0.25">
      <c r="A91" t="str">
        <f>"20190304155558932"</f>
        <v>20190304155558932</v>
      </c>
      <c r="B91" t="str">
        <f>"1551686158924828"</f>
        <v>1551686158924828</v>
      </c>
      <c r="C91" t="s">
        <v>40</v>
      </c>
      <c r="D91">
        <v>4.7337490000000004</v>
      </c>
      <c r="E91">
        <v>0.54638419999999999</v>
      </c>
      <c r="F91" t="s">
        <v>41</v>
      </c>
      <c r="G91">
        <v>-445.154</v>
      </c>
      <c r="H91" s="1">
        <v>-2.97766E-6</v>
      </c>
      <c r="I91">
        <v>365.63369999999998</v>
      </c>
      <c r="J91">
        <v>-472.12540000000001</v>
      </c>
      <c r="K91">
        <v>1.11002</v>
      </c>
      <c r="L91">
        <v>367.21609999999998</v>
      </c>
      <c r="M91">
        <v>0.9999692</v>
      </c>
      <c r="N91">
        <v>-7.8406410000000006E-3</v>
      </c>
      <c r="O91" s="1">
        <v>-5.5775659999999999E-5</v>
      </c>
      <c r="P91">
        <v>0.98619429999999997</v>
      </c>
      <c r="Q91">
        <v>0.14999119999999999</v>
      </c>
      <c r="R91">
        <v>7.0168620000000001E-2</v>
      </c>
      <c r="S91">
        <v>3.074738</v>
      </c>
      <c r="T91">
        <v>-0.12617349999999999</v>
      </c>
      <c r="U91">
        <v>-0.1798401</v>
      </c>
      <c r="V91">
        <v>-7.0219130000000005E-2</v>
      </c>
      <c r="W91">
        <v>0.15772139999999901</v>
      </c>
      <c r="X91">
        <v>0.98498390000000002</v>
      </c>
      <c r="Y91">
        <v>5.8275880000000002E-2</v>
      </c>
      <c r="Z91">
        <v>-1.42109299999999E-3</v>
      </c>
      <c r="AA91">
        <v>0.99829950000000001</v>
      </c>
      <c r="AB91">
        <v>7</v>
      </c>
      <c r="AC91">
        <v>26.971399999999999</v>
      </c>
      <c r="AD91">
        <v>-1.1100229776599999</v>
      </c>
      <c r="AE91">
        <v>-1.5824</v>
      </c>
      <c r="AF91">
        <v>1.57823159654022</v>
      </c>
      <c r="AG91">
        <v>-1.1100229776599999</v>
      </c>
      <c r="AH91">
        <v>26.9260378855322</v>
      </c>
      <c r="AI91">
        <v>92.356635427048005</v>
      </c>
      <c r="AJ91">
        <v>86.645526962804396</v>
      </c>
      <c r="AK91">
        <v>26.995082555835399</v>
      </c>
      <c r="AL91">
        <v>80.925337430927499</v>
      </c>
      <c r="AM91">
        <v>94.0776959036275</v>
      </c>
      <c r="AN91">
        <v>1.00000002474756</v>
      </c>
    </row>
    <row r="92" spans="1:40" x14ac:dyDescent="0.25">
      <c r="A92" t="str">
        <f>"20190304155558945"</f>
        <v>20190304155558945</v>
      </c>
      <c r="B92" t="str">
        <f>"1551686158934587"</f>
        <v>1551686158934587</v>
      </c>
      <c r="C92" t="s">
        <v>40</v>
      </c>
      <c r="D92">
        <v>4.2480890000000002</v>
      </c>
      <c r="E92">
        <v>0.54638419999999999</v>
      </c>
      <c r="F92" t="s">
        <v>41</v>
      </c>
      <c r="G92">
        <v>-446.82889999999998</v>
      </c>
      <c r="H92" s="1">
        <v>-2.2318259999999998E-6</v>
      </c>
      <c r="I92">
        <v>365.74579999999997</v>
      </c>
      <c r="J92">
        <v>-472.07530000000003</v>
      </c>
      <c r="K92">
        <v>1.1098490000000001</v>
      </c>
      <c r="L92">
        <v>367.21609999999998</v>
      </c>
      <c r="M92">
        <v>0.99997290000000005</v>
      </c>
      <c r="N92">
        <v>-7.3731609999999996E-3</v>
      </c>
      <c r="O92" s="1">
        <v>-3.7052499999999998E-5</v>
      </c>
      <c r="P92">
        <v>0.9862592</v>
      </c>
      <c r="Q92">
        <v>0.1496557</v>
      </c>
      <c r="R92">
        <v>6.9972160000000005E-2</v>
      </c>
      <c r="S92">
        <v>3.0751949999999999</v>
      </c>
      <c r="T92">
        <v>-0.13494110000000001</v>
      </c>
      <c r="U92">
        <v>-0.1787415</v>
      </c>
      <c r="V92">
        <v>-7.0004540000000004E-2</v>
      </c>
      <c r="W92">
        <v>0.1569256</v>
      </c>
      <c r="X92">
        <v>0.98512630000000001</v>
      </c>
      <c r="Y92">
        <v>5.7923790000000003E-2</v>
      </c>
      <c r="Z92">
        <v>-1.4816740000000001E-3</v>
      </c>
      <c r="AA92">
        <v>0.99831990000000004</v>
      </c>
      <c r="AB92">
        <v>8</v>
      </c>
      <c r="AC92">
        <v>25.246400000000001</v>
      </c>
      <c r="AD92">
        <v>-1.1098512318260001</v>
      </c>
      <c r="AE92">
        <v>-1.4702999999999999</v>
      </c>
      <c r="AF92">
        <v>1.46653995043876</v>
      </c>
      <c r="AG92">
        <v>-1.1098512318260001</v>
      </c>
      <c r="AH92">
        <v>25.197922833154198</v>
      </c>
      <c r="AI92">
        <v>92.5177273119765</v>
      </c>
      <c r="AJ92">
        <v>86.669095815177499</v>
      </c>
      <c r="AK92">
        <v>25.2649524893401</v>
      </c>
      <c r="AL92">
        <v>80.971508633113501</v>
      </c>
      <c r="AM92">
        <v>94.064690623752597</v>
      </c>
      <c r="AN92">
        <v>1.00000005325382</v>
      </c>
    </row>
    <row r="93" spans="1:40" x14ac:dyDescent="0.25">
      <c r="A93" t="str">
        <f>"20190304155558966"</f>
        <v>20190304155558966</v>
      </c>
      <c r="B93" t="str">
        <f>"1551686158955083"</f>
        <v>1551686158955083</v>
      </c>
      <c r="C93" t="s">
        <v>40</v>
      </c>
      <c r="D93">
        <v>4.7506789999999999</v>
      </c>
      <c r="E93">
        <v>0.50643070000000001</v>
      </c>
      <c r="F93" t="s">
        <v>41</v>
      </c>
      <c r="G93">
        <v>-446.99349999999998</v>
      </c>
      <c r="H93" s="1">
        <v>-2.166486E-6</v>
      </c>
      <c r="I93">
        <v>365.75380000000001</v>
      </c>
      <c r="J93">
        <v>-471.99770000000001</v>
      </c>
      <c r="K93">
        <v>1.1096410000000001</v>
      </c>
      <c r="L93">
        <v>367.21620000000001</v>
      </c>
      <c r="M93">
        <v>0.99997740000000002</v>
      </c>
      <c r="N93">
        <v>-6.7480369999999897E-3</v>
      </c>
      <c r="O93" s="1">
        <v>-7.7006030000000003E-6</v>
      </c>
      <c r="P93">
        <v>0.98634710000000003</v>
      </c>
      <c r="Q93">
        <v>0.14879129999999999</v>
      </c>
      <c r="R93">
        <v>7.0573759999999999E-2</v>
      </c>
      <c r="S93">
        <v>3.0751339999999998</v>
      </c>
      <c r="T93">
        <v>-0.13607250000000001</v>
      </c>
      <c r="U93">
        <v>-0.1792908</v>
      </c>
      <c r="V93">
        <v>-7.0578360000000007E-2</v>
      </c>
      <c r="W93">
        <v>0.15544530000000001</v>
      </c>
      <c r="X93">
        <v>0.98531999999999997</v>
      </c>
      <c r="Y93">
        <v>5.8131509999999997E-2</v>
      </c>
      <c r="Z93">
        <v>-1.4805479999999999E-3</v>
      </c>
      <c r="AA93">
        <v>0.99830779999999997</v>
      </c>
      <c r="AB93">
        <v>8</v>
      </c>
      <c r="AC93">
        <v>25.004200000000001</v>
      </c>
      <c r="AD93">
        <v>-1.10964316648599</v>
      </c>
      <c r="AE93">
        <v>-1.4623999999999999</v>
      </c>
      <c r="AF93">
        <v>1.4593431702286499</v>
      </c>
      <c r="AG93">
        <v>-1.10964316648599</v>
      </c>
      <c r="AH93">
        <v>24.955231199064901</v>
      </c>
      <c r="AI93">
        <v>92.541663511640706</v>
      </c>
      <c r="AJ93">
        <v>86.653243309804694</v>
      </c>
      <c r="AK93">
        <v>25.022480984990299</v>
      </c>
      <c r="AL93">
        <v>81.057377121233301</v>
      </c>
      <c r="AM93">
        <v>94.097092582332095</v>
      </c>
      <c r="AN93">
        <v>1.00000002429618</v>
      </c>
    </row>
    <row r="94" spans="1:40" x14ac:dyDescent="0.25">
      <c r="A94" t="str">
        <f>"20190304155558989"</f>
        <v>20190304155558989</v>
      </c>
      <c r="B94" t="str">
        <f>"1551686158985339"</f>
        <v>1551686158985339</v>
      </c>
      <c r="C94" t="s">
        <v>40</v>
      </c>
      <c r="D94">
        <v>4.8483960000000002</v>
      </c>
      <c r="E94">
        <v>0.49366139999999997</v>
      </c>
      <c r="F94" t="s">
        <v>41</v>
      </c>
      <c r="G94">
        <v>-398.14389999999997</v>
      </c>
      <c r="H94" s="1">
        <v>-1.0692789999999999E-6</v>
      </c>
      <c r="I94">
        <v>370.70870000000002</v>
      </c>
      <c r="J94">
        <v>-471.91250000000002</v>
      </c>
      <c r="K94">
        <v>1.109524</v>
      </c>
      <c r="L94">
        <v>367.21620000000001</v>
      </c>
      <c r="M94">
        <v>0.99998019999999999</v>
      </c>
      <c r="N94">
        <v>-6.3029549999999998E-3</v>
      </c>
      <c r="O94" s="1">
        <v>2.5478529999999999E-5</v>
      </c>
      <c r="P94">
        <v>0.98638400000000004</v>
      </c>
      <c r="Q94">
        <v>0.14828849999999999</v>
      </c>
      <c r="R94">
        <v>7.1112590000000003E-2</v>
      </c>
      <c r="S94">
        <v>3.0381469999999999</v>
      </c>
      <c r="T94">
        <v>-4.564762E-2</v>
      </c>
      <c r="U94">
        <v>0.14367679999999999</v>
      </c>
      <c r="V94">
        <v>-7.1084640000000004E-2</v>
      </c>
      <c r="W94">
        <v>0.154504</v>
      </c>
      <c r="X94">
        <v>0.98543159999999996</v>
      </c>
      <c r="Y94">
        <v>-4.7205120000000003E-2</v>
      </c>
      <c r="Z94">
        <v>5.0304660000000004E-4</v>
      </c>
      <c r="AA94">
        <v>0.99888509999999997</v>
      </c>
      <c r="AB94">
        <v>8</v>
      </c>
      <c r="AC94">
        <v>73.768600000000006</v>
      </c>
      <c r="AD94">
        <v>-1.109525069279</v>
      </c>
      <c r="AE94">
        <v>3.4925000000000002</v>
      </c>
      <c r="AF94">
        <v>-3.48983274151712</v>
      </c>
      <c r="AG94">
        <v>-1.109525069279</v>
      </c>
      <c r="AH94">
        <v>73.752042081763094</v>
      </c>
      <c r="AI94">
        <v>90.860929041399004</v>
      </c>
      <c r="AJ94">
        <v>92.709127070212304</v>
      </c>
      <c r="AK94">
        <v>73.842898708496506</v>
      </c>
      <c r="AL94">
        <v>81.111968756209905</v>
      </c>
      <c r="AM94">
        <v>94.125915413593106</v>
      </c>
      <c r="AN94">
        <v>0.99999997516924399</v>
      </c>
    </row>
    <row r="95" spans="1:40" x14ac:dyDescent="0.25">
      <c r="A95" t="str">
        <f>"20190304155559011"</f>
        <v>20190304155559011</v>
      </c>
      <c r="B95" t="str">
        <f>"1551686159004860"</f>
        <v>1551686159004860</v>
      </c>
      <c r="C95" t="s">
        <v>40</v>
      </c>
      <c r="D95">
        <v>4.751925</v>
      </c>
      <c r="E95">
        <v>0.48958780000000002</v>
      </c>
      <c r="F95" t="s">
        <v>44</v>
      </c>
      <c r="G95">
        <v>-413.55329999999998</v>
      </c>
      <c r="H95">
        <v>-0.05</v>
      </c>
      <c r="I95">
        <v>371.96469999999999</v>
      </c>
      <c r="J95">
        <v>-471.82819999999998</v>
      </c>
      <c r="K95">
        <v>1.109475</v>
      </c>
      <c r="L95">
        <v>367.21620000000001</v>
      </c>
      <c r="M95">
        <v>0.99998180000000003</v>
      </c>
      <c r="N95">
        <v>-6.0449950000000001E-3</v>
      </c>
      <c r="O95" s="1">
        <v>5.6743280000000001E-5</v>
      </c>
      <c r="P95">
        <v>0.98630850000000003</v>
      </c>
      <c r="Q95">
        <v>0.14861669999999999</v>
      </c>
      <c r="R95">
        <v>7.147655E-2</v>
      </c>
      <c r="S95">
        <v>3.032715</v>
      </c>
      <c r="T95">
        <v>-6.0256240000000003E-2</v>
      </c>
      <c r="U95">
        <v>0.24676509999999999</v>
      </c>
      <c r="V95">
        <v>-7.1418389999999998E-2</v>
      </c>
      <c r="W95">
        <v>0.1545771</v>
      </c>
      <c r="X95">
        <v>0.98539600000000005</v>
      </c>
      <c r="Y95">
        <v>-8.1022430000000006E-2</v>
      </c>
      <c r="Z95">
        <v>1.0480450000000001E-3</v>
      </c>
      <c r="AA95">
        <v>0.99671169999999998</v>
      </c>
      <c r="AB95">
        <v>8</v>
      </c>
      <c r="AC95">
        <v>58.274900000000002</v>
      </c>
      <c r="AD95">
        <v>-1.159475</v>
      </c>
      <c r="AE95">
        <v>4.7484999999999697</v>
      </c>
      <c r="AF95">
        <v>-4.7433278369078904</v>
      </c>
      <c r="AG95">
        <v>-1.159475</v>
      </c>
      <c r="AH95">
        <v>58.252260763045399</v>
      </c>
      <c r="AI95">
        <v>91.136525662079805</v>
      </c>
      <c r="AJ95">
        <v>94.655173644016202</v>
      </c>
      <c r="AK95">
        <v>58.456560155810102</v>
      </c>
      <c r="AL95">
        <v>81.107729473676201</v>
      </c>
      <c r="AM95">
        <v>94.1453688943825</v>
      </c>
      <c r="AN95">
        <v>0.99999997154529996</v>
      </c>
    </row>
    <row r="96" spans="1:40" x14ac:dyDescent="0.25">
      <c r="A96" t="str">
        <f>"20190304155559034"</f>
        <v>20190304155559034</v>
      </c>
      <c r="B96" t="str">
        <f>"1551686159025357"</f>
        <v>1551686159025357</v>
      </c>
      <c r="C96" t="s">
        <v>40</v>
      </c>
      <c r="D96">
        <v>4.8286600000000002</v>
      </c>
      <c r="E96">
        <v>0.48683870000000001</v>
      </c>
      <c r="F96" t="s">
        <v>44</v>
      </c>
      <c r="G96">
        <v>-434.0256</v>
      </c>
      <c r="H96">
        <v>-0.05</v>
      </c>
      <c r="I96">
        <v>370.6884</v>
      </c>
      <c r="J96">
        <v>-471.73919999999998</v>
      </c>
      <c r="K96">
        <v>1.109442</v>
      </c>
      <c r="L96">
        <v>367.21629999999999</v>
      </c>
      <c r="M96">
        <v>0.99998310000000001</v>
      </c>
      <c r="N96">
        <v>-5.8163579999999998E-3</v>
      </c>
      <c r="O96" s="1">
        <v>9.0144409999999903E-5</v>
      </c>
      <c r="P96">
        <v>0.986375</v>
      </c>
      <c r="Q96">
        <v>0.1479963</v>
      </c>
      <c r="R96">
        <v>7.1846980000000005E-2</v>
      </c>
      <c r="S96">
        <v>3.035431</v>
      </c>
      <c r="T96">
        <v>-9.3102099999999993E-2</v>
      </c>
      <c r="U96">
        <v>0.27880860000000002</v>
      </c>
      <c r="V96">
        <v>-7.1755940000000004E-2</v>
      </c>
      <c r="W96">
        <v>0.1537319</v>
      </c>
      <c r="X96">
        <v>0.98550369999999998</v>
      </c>
      <c r="Y96">
        <v>-9.1325920000000005E-2</v>
      </c>
      <c r="Z96">
        <v>1.661287E-3</v>
      </c>
      <c r="AA96">
        <v>0.99581969999999997</v>
      </c>
      <c r="AB96">
        <v>9</v>
      </c>
      <c r="AC96">
        <v>37.7135999999999</v>
      </c>
      <c r="AD96">
        <v>-1.1594420000000001</v>
      </c>
      <c r="AE96">
        <v>3.47210000000001</v>
      </c>
      <c r="AF96">
        <v>-3.4654524044579</v>
      </c>
      <c r="AG96">
        <v>-1.1594420000000001</v>
      </c>
      <c r="AH96">
        <v>37.678600112917202</v>
      </c>
      <c r="AI96">
        <v>91.755140376375707</v>
      </c>
      <c r="AJ96">
        <v>95.254939013705695</v>
      </c>
      <c r="AK96">
        <v>37.855390271242101</v>
      </c>
      <c r="AL96">
        <v>81.156741776780507</v>
      </c>
      <c r="AM96">
        <v>94.164439117427705</v>
      </c>
      <c r="AN96">
        <v>0.99999997735829105</v>
      </c>
    </row>
    <row r="97" spans="1:40" x14ac:dyDescent="0.25">
      <c r="A97" t="str">
        <f>"20190304155559055"</f>
        <v>20190304155559055</v>
      </c>
      <c r="B97" t="str">
        <f>"1551686159044875"</f>
        <v>1551686159044875</v>
      </c>
      <c r="C97" t="s">
        <v>40</v>
      </c>
      <c r="D97">
        <v>4.8354189999999999</v>
      </c>
      <c r="E97">
        <v>0.48517389999999999</v>
      </c>
      <c r="F97" t="s">
        <v>41</v>
      </c>
      <c r="G97">
        <v>-442.16149999999999</v>
      </c>
      <c r="H97" s="1">
        <v>-3.8276020000000001E-6</v>
      </c>
      <c r="I97">
        <v>370.14929999999998</v>
      </c>
      <c r="J97">
        <v>-471.65089999999998</v>
      </c>
      <c r="K97">
        <v>1.1094109999999999</v>
      </c>
      <c r="L97">
        <v>367.21629999999999</v>
      </c>
      <c r="M97">
        <v>0.99998430000000005</v>
      </c>
      <c r="N97">
        <v>-5.6160209999999997E-3</v>
      </c>
      <c r="O97">
        <v>1.2290049999999999E-4</v>
      </c>
      <c r="P97">
        <v>0.98653190000000002</v>
      </c>
      <c r="Q97">
        <v>0.1466479</v>
      </c>
      <c r="R97">
        <v>7.2451109999999999E-2</v>
      </c>
      <c r="S97">
        <v>3.0366209999999998</v>
      </c>
      <c r="T97">
        <v>-0.11390210000000001</v>
      </c>
      <c r="U97">
        <v>0.30111690000000002</v>
      </c>
      <c r="V97">
        <v>-7.2327440000000007E-2</v>
      </c>
      <c r="W97">
        <v>0.15218719999999999</v>
      </c>
      <c r="X97">
        <v>0.98570170000000001</v>
      </c>
      <c r="Y97">
        <v>-9.8476729999999998E-2</v>
      </c>
      <c r="Z97">
        <v>2.1151500000000001E-3</v>
      </c>
      <c r="AA97">
        <v>0.9951371</v>
      </c>
      <c r="AB97">
        <v>9</v>
      </c>
      <c r="AC97">
        <v>29.4893999999999</v>
      </c>
      <c r="AD97">
        <v>-1.1094148276019999</v>
      </c>
      <c r="AE97">
        <v>2.9329999999999901</v>
      </c>
      <c r="AF97">
        <v>-2.9252759984506498</v>
      </c>
      <c r="AG97">
        <v>-1.1094148276019999</v>
      </c>
      <c r="AH97">
        <v>29.4484893378424</v>
      </c>
      <c r="AI97">
        <v>92.146930814696404</v>
      </c>
      <c r="AJ97">
        <v>95.672886073623999</v>
      </c>
      <c r="AK97">
        <v>29.614212216566401</v>
      </c>
      <c r="AL97">
        <v>81.246300858395898</v>
      </c>
      <c r="AM97">
        <v>94.196648554803801</v>
      </c>
      <c r="AN97">
        <v>1.0000000219018399</v>
      </c>
    </row>
    <row r="98" spans="1:40" x14ac:dyDescent="0.25">
      <c r="A98" t="str">
        <f>"20190304155559088"</f>
        <v>20190304155559088</v>
      </c>
      <c r="B98" t="str">
        <f>"1551686159085244"</f>
        <v>1551686159085244</v>
      </c>
      <c r="C98" t="s">
        <v>40</v>
      </c>
      <c r="D98">
        <v>4.792662</v>
      </c>
      <c r="E98">
        <v>0.4828752</v>
      </c>
      <c r="F98" t="s">
        <v>41</v>
      </c>
      <c r="G98">
        <v>-441.71089999999998</v>
      </c>
      <c r="H98" s="1">
        <v>-4.0895649999999999E-6</v>
      </c>
      <c r="I98">
        <v>370.33330000000001</v>
      </c>
      <c r="J98">
        <v>-471.5213</v>
      </c>
      <c r="K98">
        <v>1.109421</v>
      </c>
      <c r="L98">
        <v>367.21640000000002</v>
      </c>
      <c r="M98">
        <v>0.99998529999999997</v>
      </c>
      <c r="N98">
        <v>-5.455087E-3</v>
      </c>
      <c r="O98">
        <v>1.7126199999999999E-4</v>
      </c>
      <c r="P98">
        <v>0.98619540000000006</v>
      </c>
      <c r="Q98">
        <v>0.14873259999999999</v>
      </c>
      <c r="R98">
        <v>7.2784559999999998E-2</v>
      </c>
      <c r="S98">
        <v>3.0344850000000001</v>
      </c>
      <c r="T98">
        <v>-0.1124415</v>
      </c>
      <c r="U98">
        <v>0.31591799999999998</v>
      </c>
      <c r="V98">
        <v>-7.2612930000000006E-2</v>
      </c>
      <c r="W98">
        <v>0.15411159999999999</v>
      </c>
      <c r="X98">
        <v>0.98538170000000003</v>
      </c>
      <c r="Y98">
        <v>-0.1032988</v>
      </c>
      <c r="Z98">
        <v>2.1852659999999999E-3</v>
      </c>
      <c r="AA98">
        <v>0.99464799999999998</v>
      </c>
      <c r="AB98">
        <v>9</v>
      </c>
      <c r="AC98">
        <v>29.810400000000001</v>
      </c>
      <c r="AD98">
        <v>-1.109425089565</v>
      </c>
      <c r="AE98">
        <v>3.1168999999999798</v>
      </c>
      <c r="AF98">
        <v>-3.1075369910559898</v>
      </c>
      <c r="AG98">
        <v>-1.109425089565</v>
      </c>
      <c r="AH98">
        <v>29.770146610797099</v>
      </c>
      <c r="AI98">
        <v>92.122695124498406</v>
      </c>
      <c r="AJ98">
        <v>95.959200447479901</v>
      </c>
      <c r="AK98">
        <v>29.952449639528499</v>
      </c>
      <c r="AL98">
        <v>81.134724913521097</v>
      </c>
      <c r="AM98">
        <v>94.214517264640705</v>
      </c>
      <c r="AN98">
        <v>1.00000005877631</v>
      </c>
    </row>
    <row r="99" spans="1:40" x14ac:dyDescent="0.25">
      <c r="A99" t="str">
        <f>"20190304155559110"</f>
        <v>20190304155559110</v>
      </c>
      <c r="B99" t="str">
        <f>"1551686159104764"</f>
        <v>1551686159104764</v>
      </c>
      <c r="C99" t="s">
        <v>40</v>
      </c>
      <c r="D99">
        <v>4.7495719999999997</v>
      </c>
      <c r="E99">
        <v>0.48217729999999998</v>
      </c>
      <c r="F99" t="s">
        <v>41</v>
      </c>
      <c r="G99">
        <v>-446.18259999999998</v>
      </c>
      <c r="H99" s="1">
        <v>-1.8906909999999999E-6</v>
      </c>
      <c r="I99">
        <v>370.0136</v>
      </c>
      <c r="J99">
        <v>-471.428</v>
      </c>
      <c r="K99">
        <v>1.109442</v>
      </c>
      <c r="L99">
        <v>367.2165</v>
      </c>
      <c r="M99">
        <v>0.99998529999999997</v>
      </c>
      <c r="N99">
        <v>-5.4289000000000004E-3</v>
      </c>
      <c r="O99">
        <v>2.0602129999999999E-4</v>
      </c>
      <c r="P99">
        <v>0.98604130000000001</v>
      </c>
      <c r="Q99">
        <v>0.15000849999999999</v>
      </c>
      <c r="R99">
        <v>7.2251460000000003E-2</v>
      </c>
      <c r="S99">
        <v>3.0372919999999999</v>
      </c>
      <c r="T99">
        <v>-0.13298399999999999</v>
      </c>
      <c r="U99">
        <v>0.3352966</v>
      </c>
      <c r="V99">
        <v>-7.2045150000000002E-2</v>
      </c>
      <c r="W99">
        <v>0.1553609</v>
      </c>
      <c r="X99">
        <v>0.98522710000000002</v>
      </c>
      <c r="Y99">
        <v>-0.1094055</v>
      </c>
      <c r="Z99">
        <v>2.6768669999999999E-3</v>
      </c>
      <c r="AA99">
        <v>0.99399360000000003</v>
      </c>
      <c r="AB99">
        <v>9</v>
      </c>
      <c r="AC99">
        <v>25.2454</v>
      </c>
      <c r="AD99">
        <v>-1.109443890691</v>
      </c>
      <c r="AE99">
        <v>2.7970999999999999</v>
      </c>
      <c r="AF99">
        <v>-2.7865823554062898</v>
      </c>
      <c r="AG99">
        <v>-1.109443890691</v>
      </c>
      <c r="AH99">
        <v>25.1979015782338</v>
      </c>
      <c r="AI99">
        <v>92.505803724304698</v>
      </c>
      <c r="AJ99">
        <v>96.310576349486098</v>
      </c>
      <c r="AK99">
        <v>25.375778823839202</v>
      </c>
      <c r="AL99">
        <v>81.062271918809202</v>
      </c>
      <c r="AM99">
        <v>94.182334034062706</v>
      </c>
      <c r="AN99">
        <v>0.99999997573087096</v>
      </c>
    </row>
    <row r="100" spans="1:40" x14ac:dyDescent="0.25">
      <c r="A100" t="str">
        <f>"20190304155559133"</f>
        <v>20190304155559133</v>
      </c>
      <c r="B100" t="str">
        <f>"1551686159125260"</f>
        <v>1551686159125260</v>
      </c>
      <c r="C100" t="s">
        <v>40</v>
      </c>
      <c r="D100">
        <v>4.9108049999999999</v>
      </c>
      <c r="E100">
        <v>0.48169010000000001</v>
      </c>
      <c r="F100" t="s">
        <v>41</v>
      </c>
      <c r="G100">
        <v>-447.71039999999999</v>
      </c>
      <c r="H100" s="1">
        <v>-1.127299E-6</v>
      </c>
      <c r="I100">
        <v>369.85879999999997</v>
      </c>
      <c r="J100">
        <v>-471.33479999999997</v>
      </c>
      <c r="K100">
        <v>1.109461</v>
      </c>
      <c r="L100">
        <v>367.2165</v>
      </c>
      <c r="M100">
        <v>0.99998529999999997</v>
      </c>
      <c r="N100">
        <v>-5.4104610000000001E-3</v>
      </c>
      <c r="O100">
        <v>2.4111870000000001E-4</v>
      </c>
      <c r="P100">
        <v>0.98617449999999995</v>
      </c>
      <c r="Q100">
        <v>0.14942929999999999</v>
      </c>
      <c r="R100">
        <v>7.1628730000000002E-2</v>
      </c>
      <c r="S100">
        <v>3.0392459999999999</v>
      </c>
      <c r="T100">
        <v>-0.14216719999999999</v>
      </c>
      <c r="U100">
        <v>0.33859250000000002</v>
      </c>
      <c r="V100">
        <v>-7.1387599999999996E-2</v>
      </c>
      <c r="W100">
        <v>0.1547646</v>
      </c>
      <c r="X100">
        <v>0.98536880000000004</v>
      </c>
      <c r="Y100">
        <v>-0.11034919999999999</v>
      </c>
      <c r="Z100">
        <v>2.8612429999999999E-3</v>
      </c>
      <c r="AA100">
        <v>0.99388869999999896</v>
      </c>
      <c r="AB100">
        <v>9</v>
      </c>
      <c r="AC100">
        <v>23.624399999999898</v>
      </c>
      <c r="AD100">
        <v>-1.109462127299</v>
      </c>
      <c r="AE100">
        <v>2.6422999999999699</v>
      </c>
      <c r="AF100">
        <v>-2.6308729019478099</v>
      </c>
      <c r="AG100">
        <v>-1.109462127299</v>
      </c>
      <c r="AH100">
        <v>23.573687456618298</v>
      </c>
      <c r="AI100">
        <v>92.677955249178297</v>
      </c>
      <c r="AJ100">
        <v>96.367978474088204</v>
      </c>
      <c r="AK100">
        <v>23.745971000160001</v>
      </c>
      <c r="AL100">
        <v>81.096855658788698</v>
      </c>
      <c r="AM100">
        <v>94.143701943745597</v>
      </c>
      <c r="AN100">
        <v>0.99999997143017905</v>
      </c>
    </row>
    <row r="101" spans="1:40" x14ac:dyDescent="0.25">
      <c r="A101" t="str">
        <f>"20190304155559155"</f>
        <v>20190304155559155</v>
      </c>
      <c r="B101" t="str">
        <f>"1551686159144784"</f>
        <v>1551686159144784</v>
      </c>
      <c r="C101" t="s">
        <v>40</v>
      </c>
      <c r="D101">
        <v>4.7667479999999998</v>
      </c>
      <c r="E101">
        <v>0.48121029999999998</v>
      </c>
      <c r="F101" t="s">
        <v>41</v>
      </c>
      <c r="G101">
        <v>-449.22129999999999</v>
      </c>
      <c r="H101" s="1">
        <v>-3.6774939999999999E-7</v>
      </c>
      <c r="I101">
        <v>369.6884</v>
      </c>
      <c r="J101">
        <v>-471.24</v>
      </c>
      <c r="K101">
        <v>1.1094619999999999</v>
      </c>
      <c r="L101">
        <v>367.21660000000003</v>
      </c>
      <c r="M101">
        <v>0.99998560000000003</v>
      </c>
      <c r="N101">
        <v>-5.3640519999999898E-3</v>
      </c>
      <c r="O101">
        <v>2.7617599999999999E-4</v>
      </c>
      <c r="P101">
        <v>0.98596790000000001</v>
      </c>
      <c r="Q101">
        <v>0.15081159999999999</v>
      </c>
      <c r="R101">
        <v>7.1576899999999902E-2</v>
      </c>
      <c r="S101">
        <v>3.040527</v>
      </c>
      <c r="T101">
        <v>-0.1525466</v>
      </c>
      <c r="U101">
        <v>0.33987430000000002</v>
      </c>
      <c r="V101">
        <v>-7.1301970000000006E-2</v>
      </c>
      <c r="W101">
        <v>0.1560995</v>
      </c>
      <c r="X101">
        <v>0.9851645</v>
      </c>
      <c r="Y101">
        <v>-0.11066289999999999</v>
      </c>
      <c r="Z101">
        <v>3.0512999999999998E-3</v>
      </c>
      <c r="AA101">
        <v>0.99385330000000005</v>
      </c>
      <c r="AB101">
        <v>9</v>
      </c>
      <c r="AC101">
        <v>22.018699999999999</v>
      </c>
      <c r="AD101">
        <v>-1.1094623677494</v>
      </c>
      <c r="AE101">
        <v>2.4717999999999698</v>
      </c>
      <c r="AF101">
        <v>-2.45955199441886</v>
      </c>
      <c r="AG101">
        <v>-1.1094623677494</v>
      </c>
      <c r="AH101">
        <v>21.9643111263916</v>
      </c>
      <c r="AI101">
        <v>92.873738618816304</v>
      </c>
      <c r="AJ101">
        <v>96.389333796834705</v>
      </c>
      <c r="AK101">
        <v>22.129420824224699</v>
      </c>
      <c r="AL101">
        <v>81.019431322541493</v>
      </c>
      <c r="AM101">
        <v>94.139604118156797</v>
      </c>
      <c r="AN101">
        <v>1.0000000584431801</v>
      </c>
    </row>
    <row r="102" spans="1:40" x14ac:dyDescent="0.25">
      <c r="A102" t="str">
        <f>"20190304155559176"</f>
        <v>20190304155559176</v>
      </c>
      <c r="B102" t="str">
        <f>"1551686159165279"</f>
        <v>1551686159165279</v>
      </c>
      <c r="C102" t="s">
        <v>40</v>
      </c>
      <c r="D102">
        <v>4.7597009999999997</v>
      </c>
      <c r="E102">
        <v>0.48084349999999998</v>
      </c>
      <c r="F102" t="s">
        <v>41</v>
      </c>
      <c r="G102">
        <v>-449.48079999999999</v>
      </c>
      <c r="H102" s="1">
        <v>-2.4097869999999997E-7</v>
      </c>
      <c r="I102">
        <v>369.67290000000003</v>
      </c>
      <c r="J102">
        <v>-471.1472</v>
      </c>
      <c r="K102">
        <v>1.109456</v>
      </c>
      <c r="L102">
        <v>367.21660000000003</v>
      </c>
      <c r="M102">
        <v>0.99998600000000004</v>
      </c>
      <c r="N102">
        <v>-5.2980049999999997E-3</v>
      </c>
      <c r="O102">
        <v>3.1003399999999999E-4</v>
      </c>
      <c r="P102">
        <v>0.98582760000000003</v>
      </c>
      <c r="Q102">
        <v>0.15173439999999999</v>
      </c>
      <c r="R102">
        <v>7.1561399999999997E-2</v>
      </c>
      <c r="S102">
        <v>3.0415040000000002</v>
      </c>
      <c r="T102">
        <v>-0.15508079999999999</v>
      </c>
      <c r="U102">
        <v>0.34335329999999997</v>
      </c>
      <c r="V102">
        <v>-7.1253170000000005E-2</v>
      </c>
      <c r="W102">
        <v>0.15695619999999999</v>
      </c>
      <c r="X102">
        <v>0.98503180000000001</v>
      </c>
      <c r="Y102">
        <v>-0.1117107</v>
      </c>
      <c r="Z102">
        <v>3.1200809999999998E-3</v>
      </c>
      <c r="AA102">
        <v>0.99373579999999995</v>
      </c>
      <c r="AB102">
        <v>9</v>
      </c>
      <c r="AC102">
        <v>21.666399999999999</v>
      </c>
      <c r="AD102">
        <v>-1.1094562409786899</v>
      </c>
      <c r="AE102">
        <v>2.4563000000000001</v>
      </c>
      <c r="AF102">
        <v>-2.4432573321705302</v>
      </c>
      <c r="AG102">
        <v>-1.1094562409786899</v>
      </c>
      <c r="AH102">
        <v>21.611213124707898</v>
      </c>
      <c r="AI102">
        <v>92.920246463709702</v>
      </c>
      <c r="AJ102">
        <v>96.450190793661903</v>
      </c>
      <c r="AK102">
        <v>21.7771653863261</v>
      </c>
      <c r="AL102">
        <v>80.969732488616103</v>
      </c>
      <c r="AM102">
        <v>94.137336115583295</v>
      </c>
      <c r="AN102">
        <v>0.99999995498236305</v>
      </c>
    </row>
    <row r="103" spans="1:40" x14ac:dyDescent="0.25">
      <c r="A103" t="str">
        <f>"20190304155559199"</f>
        <v>20190304155559199</v>
      </c>
      <c r="B103" t="str">
        <f>"1551686159194556"</f>
        <v>1551686159194556</v>
      </c>
      <c r="C103" t="s">
        <v>40</v>
      </c>
      <c r="D103">
        <v>4.8535680000000001</v>
      </c>
      <c r="E103">
        <v>0.48004570000000002</v>
      </c>
      <c r="F103" t="s">
        <v>41</v>
      </c>
      <c r="G103">
        <v>-449.94799999999998</v>
      </c>
      <c r="H103" s="1">
        <v>-8.009828E-9</v>
      </c>
      <c r="I103">
        <v>369.6275</v>
      </c>
      <c r="J103">
        <v>-471.04719999999998</v>
      </c>
      <c r="K103">
        <v>1.1094459999999999</v>
      </c>
      <c r="L103">
        <v>367.2167</v>
      </c>
      <c r="M103">
        <v>0.99998629999999999</v>
      </c>
      <c r="N103">
        <v>-5.2225609999999997E-3</v>
      </c>
      <c r="O103">
        <v>3.464788E-4</v>
      </c>
      <c r="P103">
        <v>0.98583679999999996</v>
      </c>
      <c r="Q103">
        <v>0.1516932</v>
      </c>
      <c r="R103">
        <v>7.1518540000000005E-2</v>
      </c>
      <c r="S103">
        <v>3.0425110000000002</v>
      </c>
      <c r="T103">
        <v>-0.15922990000000001</v>
      </c>
      <c r="U103">
        <v>0.34600829999999999</v>
      </c>
      <c r="V103">
        <v>-7.1174650000000006E-2</v>
      </c>
      <c r="W103">
        <v>0.1568408</v>
      </c>
      <c r="X103">
        <v>0.98505589999999998</v>
      </c>
      <c r="Y103">
        <v>-0.112485</v>
      </c>
      <c r="Z103">
        <v>3.2106439999999999E-3</v>
      </c>
      <c r="AA103">
        <v>0.99364819999999998</v>
      </c>
      <c r="AB103">
        <v>10</v>
      </c>
      <c r="AC103">
        <v>21.0991999999999</v>
      </c>
      <c r="AD103">
        <v>-1.1094460080098201</v>
      </c>
      <c r="AE103">
        <v>2.4107999999999898</v>
      </c>
      <c r="AF103">
        <v>-2.3969474034068501</v>
      </c>
      <c r="AG103">
        <v>-1.1094460080098201</v>
      </c>
      <c r="AH103">
        <v>21.042603002829999</v>
      </c>
      <c r="AI103">
        <v>92.9987006883796</v>
      </c>
      <c r="AJ103">
        <v>96.498509874946095</v>
      </c>
      <c r="AK103">
        <v>21.2077195481763</v>
      </c>
      <c r="AL103">
        <v>80.976427719309598</v>
      </c>
      <c r="AM103">
        <v>94.132691874308605</v>
      </c>
      <c r="AN103">
        <v>0.99999999673603601</v>
      </c>
    </row>
    <row r="104" spans="1:40" x14ac:dyDescent="0.25">
      <c r="A104" t="str">
        <f>"20190304155559223"</f>
        <v>20190304155559223</v>
      </c>
      <c r="B104" t="str">
        <f>"1551686159215053"</f>
        <v>1551686159215053</v>
      </c>
      <c r="C104" t="s">
        <v>40</v>
      </c>
      <c r="D104">
        <v>4.7835269999999896</v>
      </c>
      <c r="E104">
        <v>0.47963699999999998</v>
      </c>
      <c r="F104" t="s">
        <v>41</v>
      </c>
      <c r="G104">
        <v>-451.08940000000001</v>
      </c>
      <c r="H104" s="1">
        <v>-3.8199870000000001E-6</v>
      </c>
      <c r="I104">
        <v>369.53160000000003</v>
      </c>
      <c r="J104">
        <v>-470.94299999999998</v>
      </c>
      <c r="K104">
        <v>1.1094329999999999</v>
      </c>
      <c r="L104">
        <v>367.21679999999998</v>
      </c>
      <c r="M104">
        <v>0.99998670000000001</v>
      </c>
      <c r="N104">
        <v>-5.1516409999999898E-3</v>
      </c>
      <c r="O104">
        <v>3.8493229999999999E-4</v>
      </c>
      <c r="P104">
        <v>0.98587380000000002</v>
      </c>
      <c r="Q104">
        <v>0.1509472</v>
      </c>
      <c r="R104">
        <v>7.2580790000000006E-2</v>
      </c>
      <c r="S104">
        <v>3.0435490000000001</v>
      </c>
      <c r="T104">
        <v>-0.16918859999999999</v>
      </c>
      <c r="U104">
        <v>0.35302729999999999</v>
      </c>
      <c r="V104">
        <v>-7.2199100000000002E-2</v>
      </c>
      <c r="W104">
        <v>0.1560251</v>
      </c>
      <c r="X104">
        <v>0.98511090000000001</v>
      </c>
      <c r="Y104">
        <v>-0.1146466</v>
      </c>
      <c r="Z104">
        <v>3.4506960000000001E-3</v>
      </c>
      <c r="AA104">
        <v>0.99340030000000001</v>
      </c>
      <c r="AB104">
        <v>10</v>
      </c>
      <c r="AC104">
        <v>19.8536</v>
      </c>
      <c r="AD104">
        <v>-1.1094368199869999</v>
      </c>
      <c r="AE104">
        <v>2.3148000000000399</v>
      </c>
      <c r="AF104">
        <v>-2.30007139086104</v>
      </c>
      <c r="AG104">
        <v>-1.1094368199869999</v>
      </c>
      <c r="AH104">
        <v>19.793509868534301</v>
      </c>
      <c r="AI104">
        <v>93.186703741624598</v>
      </c>
      <c r="AJ104">
        <v>96.628231848957299</v>
      </c>
      <c r="AK104">
        <v>19.9575602561126</v>
      </c>
      <c r="AL104">
        <v>81.023746601460005</v>
      </c>
      <c r="AM104">
        <v>94.191731880160106</v>
      </c>
      <c r="AN104">
        <v>1.0000000135848099</v>
      </c>
    </row>
    <row r="105" spans="1:40" x14ac:dyDescent="0.25">
      <c r="A105" t="str">
        <f>"20190304155559245"</f>
        <v>20190304155559245</v>
      </c>
      <c r="B105" t="str">
        <f>"1551686159234572"</f>
        <v>1551686159234572</v>
      </c>
      <c r="C105" t="s">
        <v>40</v>
      </c>
      <c r="D105">
        <v>4.5449029999999997</v>
      </c>
      <c r="E105">
        <v>0.47935139999999998</v>
      </c>
      <c r="F105" t="s">
        <v>41</v>
      </c>
      <c r="G105">
        <v>-451.73410000000001</v>
      </c>
      <c r="H105" s="1">
        <v>-3.5513810000000001E-6</v>
      </c>
      <c r="I105">
        <v>369.48649999999998</v>
      </c>
      <c r="J105">
        <v>-470.84739999999999</v>
      </c>
      <c r="K105">
        <v>1.1094310000000001</v>
      </c>
      <c r="L105">
        <v>367.21690000000001</v>
      </c>
      <c r="M105">
        <v>0.99998699999999996</v>
      </c>
      <c r="N105">
        <v>-5.0945900000000004E-3</v>
      </c>
      <c r="O105">
        <v>4.203063E-4</v>
      </c>
      <c r="P105">
        <v>0.98573200000000005</v>
      </c>
      <c r="Q105">
        <v>0.15125820000000001</v>
      </c>
      <c r="R105">
        <v>7.3848919999999998E-2</v>
      </c>
      <c r="S105">
        <v>3.0434269999999999</v>
      </c>
      <c r="T105">
        <v>-0.1757765</v>
      </c>
      <c r="U105">
        <v>0.35961910000000002</v>
      </c>
      <c r="V105">
        <v>-7.3432880000000006E-2</v>
      </c>
      <c r="W105">
        <v>0.15627939999999901</v>
      </c>
      <c r="X105">
        <v>0.98497939999999995</v>
      </c>
      <c r="Y105">
        <v>-0.1167204</v>
      </c>
      <c r="Z105">
        <v>3.6327880000000001E-3</v>
      </c>
      <c r="AA105">
        <v>0.99315819999999999</v>
      </c>
      <c r="AB105">
        <v>10</v>
      </c>
      <c r="AC105">
        <v>19.113299999999899</v>
      </c>
      <c r="AD105">
        <v>-1.109434551381</v>
      </c>
      <c r="AE105">
        <v>2.2695999999999601</v>
      </c>
      <c r="AF105">
        <v>-2.25407732257767</v>
      </c>
      <c r="AG105">
        <v>-1.109434551381</v>
      </c>
      <c r="AH105">
        <v>19.050957465739099</v>
      </c>
      <c r="AI105">
        <v>93.3098265377036</v>
      </c>
      <c r="AJ105">
        <v>96.747769343911102</v>
      </c>
      <c r="AK105">
        <v>19.215896803463501</v>
      </c>
      <c r="AL105">
        <v>81.008995466933001</v>
      </c>
      <c r="AM105">
        <v>94.263667795127802</v>
      </c>
      <c r="AN105">
        <v>1.0000000285769</v>
      </c>
    </row>
    <row r="106" spans="1:40" x14ac:dyDescent="0.25">
      <c r="A106" t="str">
        <f>"20190304155559266"</f>
        <v>20190304155559266</v>
      </c>
      <c r="B106" t="str">
        <f>"1551686159255072"</f>
        <v>1551686159255072</v>
      </c>
      <c r="C106" t="s">
        <v>40</v>
      </c>
      <c r="D106">
        <v>4.7865929999999999</v>
      </c>
      <c r="E106">
        <v>0.47907369999999999</v>
      </c>
      <c r="F106" t="s">
        <v>41</v>
      </c>
      <c r="G106">
        <v>-451.55290000000002</v>
      </c>
      <c r="H106" s="1">
        <v>-3.6202769999999999E-6</v>
      </c>
      <c r="I106">
        <v>369.53640000000001</v>
      </c>
      <c r="J106">
        <v>-470.75099999999998</v>
      </c>
      <c r="K106">
        <v>1.1094219999999999</v>
      </c>
      <c r="L106">
        <v>367.21699999999998</v>
      </c>
      <c r="M106">
        <v>0.99998719999999996</v>
      </c>
      <c r="N106">
        <v>-5.0416970000000004E-3</v>
      </c>
      <c r="O106">
        <v>4.5638159999999999E-4</v>
      </c>
      <c r="P106">
        <v>0.98574010000000001</v>
      </c>
      <c r="Q106">
        <v>0.1508864</v>
      </c>
      <c r="R106">
        <v>7.4498469999999997E-2</v>
      </c>
      <c r="S106">
        <v>3.0429080000000002</v>
      </c>
      <c r="T106">
        <v>-0.1749667</v>
      </c>
      <c r="U106">
        <v>0.36581419999999998</v>
      </c>
      <c r="V106">
        <v>-7.4046580000000001E-2</v>
      </c>
      <c r="W106">
        <v>0.15585550000000001</v>
      </c>
      <c r="X106">
        <v>0.9850006</v>
      </c>
      <c r="Y106">
        <v>-0.1186963</v>
      </c>
      <c r="Z106">
        <v>3.6742110000000001E-3</v>
      </c>
      <c r="AA106">
        <v>0.99292380000000002</v>
      </c>
      <c r="AB106">
        <v>10</v>
      </c>
      <c r="AC106">
        <v>19.198099999999901</v>
      </c>
      <c r="AD106">
        <v>-1.1094256202770001</v>
      </c>
      <c r="AE106">
        <v>2.3194000000000199</v>
      </c>
      <c r="AF106">
        <v>-2.3030575980870198</v>
      </c>
      <c r="AG106">
        <v>-1.1094256202770001</v>
      </c>
      <c r="AH106">
        <v>19.1361708740612</v>
      </c>
      <c r="AI106">
        <v>93.294307714908498</v>
      </c>
      <c r="AJ106">
        <v>96.862598799699001</v>
      </c>
      <c r="AK106">
        <v>19.306163141036201</v>
      </c>
      <c r="AL106">
        <v>81.033584259889494</v>
      </c>
      <c r="AM106">
        <v>94.299075282102507</v>
      </c>
      <c r="AN106">
        <v>1.0000000074451501</v>
      </c>
    </row>
    <row r="107" spans="1:40" x14ac:dyDescent="0.25">
      <c r="A107" t="str">
        <f>"20190304155559289"</f>
        <v>20190304155559289</v>
      </c>
      <c r="B107" t="str">
        <f>"1551686159285324"</f>
        <v>1551686159285324</v>
      </c>
      <c r="C107" t="s">
        <v>40</v>
      </c>
      <c r="D107">
        <v>4.7990019999999998</v>
      </c>
      <c r="E107">
        <v>0.47863129999999998</v>
      </c>
      <c r="F107" t="s">
        <v>41</v>
      </c>
      <c r="G107">
        <v>-451.96449999999999</v>
      </c>
      <c r="H107" s="1">
        <v>-3.4507100000000001E-6</v>
      </c>
      <c r="I107">
        <v>369.49680000000001</v>
      </c>
      <c r="J107">
        <v>-470.649</v>
      </c>
      <c r="K107">
        <v>1.109413</v>
      </c>
      <c r="L107">
        <v>367.21710000000002</v>
      </c>
      <c r="M107">
        <v>0.99998750000000003</v>
      </c>
      <c r="N107">
        <v>-4.9883640000000003E-3</v>
      </c>
      <c r="O107">
        <v>4.9424590000000002E-4</v>
      </c>
      <c r="P107">
        <v>0.98593070000000005</v>
      </c>
      <c r="Q107">
        <v>0.14930399999999999</v>
      </c>
      <c r="R107">
        <v>7.5160710000000006E-2</v>
      </c>
      <c r="S107">
        <v>3.0430299999999999</v>
      </c>
      <c r="T107">
        <v>-0.17970349999999999</v>
      </c>
      <c r="U107">
        <v>0.36929319999999999</v>
      </c>
      <c r="V107">
        <v>-7.4671860000000007E-2</v>
      </c>
      <c r="W107">
        <v>0.15422139999999901</v>
      </c>
      <c r="X107">
        <v>0.98521060000000005</v>
      </c>
      <c r="Y107">
        <v>-0.11976000000000001</v>
      </c>
      <c r="Z107">
        <v>3.793678E-3</v>
      </c>
      <c r="AA107">
        <v>0.9927956</v>
      </c>
      <c r="AB107">
        <v>10</v>
      </c>
      <c r="AC107">
        <v>18.6845</v>
      </c>
      <c r="AD107">
        <v>-1.1094164507099999</v>
      </c>
      <c r="AE107">
        <v>2.2796999999999898</v>
      </c>
      <c r="AF107">
        <v>-2.2626049609846701</v>
      </c>
      <c r="AG107">
        <v>-1.1094164507099999</v>
      </c>
      <c r="AH107">
        <v>18.620938458652098</v>
      </c>
      <c r="AI107">
        <v>93.384756614213302</v>
      </c>
      <c r="AJ107">
        <v>96.927969963807399</v>
      </c>
      <c r="AK107">
        <v>18.7906768146198</v>
      </c>
      <c r="AL107">
        <v>81.128357429167707</v>
      </c>
      <c r="AM107">
        <v>94.3343200853746</v>
      </c>
      <c r="AN107">
        <v>1.00000002662308</v>
      </c>
    </row>
    <row r="108" spans="1:40" x14ac:dyDescent="0.25">
      <c r="A108" t="str">
        <f>"20190304155559312"</f>
        <v>20190304155559312</v>
      </c>
      <c r="B108" t="str">
        <f>"1551686159304845"</f>
        <v>1551686159304845</v>
      </c>
      <c r="C108" t="s">
        <v>40</v>
      </c>
      <c r="D108">
        <v>4.7169140000000001</v>
      </c>
      <c r="E108">
        <v>0.47844039999999999</v>
      </c>
      <c r="F108" t="s">
        <v>41</v>
      </c>
      <c r="G108">
        <v>-452.68279999999999</v>
      </c>
      <c r="H108" s="1">
        <v>-3.1543480000000001E-6</v>
      </c>
      <c r="I108">
        <v>369.43040000000002</v>
      </c>
      <c r="J108">
        <v>-470.5403</v>
      </c>
      <c r="K108">
        <v>1.1093949999999999</v>
      </c>
      <c r="L108">
        <v>367.21719999999999</v>
      </c>
      <c r="M108">
        <v>0.99998779999999998</v>
      </c>
      <c r="N108">
        <v>-4.9339550000000003E-3</v>
      </c>
      <c r="O108">
        <v>5.348525E-4</v>
      </c>
      <c r="P108">
        <v>0.98617060000000001</v>
      </c>
      <c r="Q108">
        <v>0.14764730000000001</v>
      </c>
      <c r="R108">
        <v>7.5287190000000004E-2</v>
      </c>
      <c r="S108">
        <v>3.0426639999999998</v>
      </c>
      <c r="T108">
        <v>-0.18788350000000001</v>
      </c>
      <c r="U108">
        <v>0.3748474</v>
      </c>
      <c r="V108">
        <v>-7.4758130000000006E-2</v>
      </c>
      <c r="W108">
        <v>0.15251229999999999</v>
      </c>
      <c r="X108">
        <v>0.98547010000000002</v>
      </c>
      <c r="Y108">
        <v>-0.1214963</v>
      </c>
      <c r="Z108">
        <v>4.0044549999999996E-3</v>
      </c>
      <c r="AA108">
        <v>0.99258380000000002</v>
      </c>
      <c r="AB108">
        <v>10</v>
      </c>
      <c r="AC108">
        <v>17.857500000000002</v>
      </c>
      <c r="AD108">
        <v>-1.109398154348</v>
      </c>
      <c r="AE108">
        <v>2.21320000000002</v>
      </c>
      <c r="AF108">
        <v>-2.1953037920796801</v>
      </c>
      <c r="AG108">
        <v>-1.109398154348</v>
      </c>
      <c r="AH108">
        <v>17.791054980854501</v>
      </c>
      <c r="AI108">
        <v>93.541387579161807</v>
      </c>
      <c r="AJ108">
        <v>97.034379226241299</v>
      </c>
      <c r="AK108">
        <v>17.9602828579111</v>
      </c>
      <c r="AL108">
        <v>81.227454232670596</v>
      </c>
      <c r="AM108">
        <v>94.338170212407704</v>
      </c>
      <c r="AN108">
        <v>1.0000000488231899</v>
      </c>
    </row>
    <row r="109" spans="1:40" x14ac:dyDescent="0.25">
      <c r="A109" t="str">
        <f>"20190304155559334"</f>
        <v>20190304155559334</v>
      </c>
      <c r="B109" t="str">
        <f>"1551686159325340"</f>
        <v>1551686159325340</v>
      </c>
      <c r="C109" t="s">
        <v>40</v>
      </c>
      <c r="D109">
        <v>4.7534910000000004</v>
      </c>
      <c r="E109">
        <v>0.47813529999999999</v>
      </c>
      <c r="F109" t="s">
        <v>41</v>
      </c>
      <c r="G109">
        <v>-453.3723</v>
      </c>
      <c r="H109" s="1">
        <v>-2.874301E-6</v>
      </c>
      <c r="I109">
        <v>369.3417</v>
      </c>
      <c r="J109">
        <v>-470.43639999999999</v>
      </c>
      <c r="K109">
        <v>1.10938</v>
      </c>
      <c r="L109">
        <v>367.21730000000002</v>
      </c>
      <c r="M109">
        <v>0.99998799999999999</v>
      </c>
      <c r="N109">
        <v>-4.8834259999999997E-3</v>
      </c>
      <c r="O109">
        <v>5.7288849999999998E-4</v>
      </c>
      <c r="P109">
        <v>0.98649160000000002</v>
      </c>
      <c r="Q109">
        <v>0.1454975</v>
      </c>
      <c r="R109">
        <v>7.5266990000000006E-2</v>
      </c>
      <c r="S109">
        <v>3.042786</v>
      </c>
      <c r="T109">
        <v>-0.19662399999999999</v>
      </c>
      <c r="U109">
        <v>0.37655640000000001</v>
      </c>
      <c r="V109">
        <v>-7.4700399999999903E-2</v>
      </c>
      <c r="W109">
        <v>0.15031449999999999</v>
      </c>
      <c r="X109">
        <v>0.98581209999999997</v>
      </c>
      <c r="Y109">
        <v>-0.12197959999999999</v>
      </c>
      <c r="Z109">
        <v>4.187372E-3</v>
      </c>
      <c r="AA109">
        <v>0.99252379999999996</v>
      </c>
      <c r="AB109">
        <v>10</v>
      </c>
      <c r="AC109">
        <v>17.0640999999999</v>
      </c>
      <c r="AD109">
        <v>-1.1093828743009999</v>
      </c>
      <c r="AE109">
        <v>2.1243999999999801</v>
      </c>
      <c r="AF109">
        <v>-2.1058588313003099</v>
      </c>
      <c r="AG109">
        <v>-1.1093828743009999</v>
      </c>
      <c r="AH109">
        <v>16.994580447962001</v>
      </c>
      <c r="AI109">
        <v>93.706622206963303</v>
      </c>
      <c r="AJ109">
        <v>97.063716976401693</v>
      </c>
      <c r="AK109">
        <v>17.160452685795001</v>
      </c>
      <c r="AL109">
        <v>81.354847687146702</v>
      </c>
      <c r="AM109">
        <v>94.333334828377403</v>
      </c>
      <c r="AN109">
        <v>1.0000000475884001</v>
      </c>
    </row>
    <row r="110" spans="1:40" x14ac:dyDescent="0.25">
      <c r="A110" t="str">
        <f>"20190304155559355"</f>
        <v>20190304155559355</v>
      </c>
      <c r="B110" t="str">
        <f>"1551686159344864"</f>
        <v>1551686159344864</v>
      </c>
      <c r="C110" t="s">
        <v>40</v>
      </c>
      <c r="D110">
        <v>5.0163479999999998</v>
      </c>
      <c r="E110">
        <v>0.4783018</v>
      </c>
      <c r="F110" t="s">
        <v>41</v>
      </c>
      <c r="G110">
        <v>-453.99439999999998</v>
      </c>
      <c r="H110" s="1">
        <v>-2.6210110000000001E-6</v>
      </c>
      <c r="I110">
        <v>369.26490000000001</v>
      </c>
      <c r="J110">
        <v>-470.33460000000002</v>
      </c>
      <c r="K110">
        <v>1.1093679999999999</v>
      </c>
      <c r="L110">
        <v>367.21730000000002</v>
      </c>
      <c r="M110">
        <v>0.99998819999999999</v>
      </c>
      <c r="N110">
        <v>-4.8347370000000004E-3</v>
      </c>
      <c r="O110">
        <v>6.1008349999999896E-4</v>
      </c>
      <c r="P110">
        <v>0.98653299999999999</v>
      </c>
      <c r="Q110">
        <v>0.14519840000000001</v>
      </c>
      <c r="R110">
        <v>7.5299859999999996E-2</v>
      </c>
      <c r="S110">
        <v>3.0424190000000002</v>
      </c>
      <c r="T110">
        <v>-0.20527960000000001</v>
      </c>
      <c r="U110">
        <v>0.37890629999999997</v>
      </c>
      <c r="V110">
        <v>-7.4696849999999995E-2</v>
      </c>
      <c r="W110">
        <v>0.1499675</v>
      </c>
      <c r="X110">
        <v>0.9858652</v>
      </c>
      <c r="Y110">
        <v>-0.1226874</v>
      </c>
      <c r="Z110">
        <v>4.378514E-3</v>
      </c>
      <c r="AA110">
        <v>0.99243570000000003</v>
      </c>
      <c r="AB110">
        <v>10</v>
      </c>
      <c r="AC110">
        <v>16.340199999999999</v>
      </c>
      <c r="AD110">
        <v>-1.1093706210109999</v>
      </c>
      <c r="AE110">
        <v>2.0475999999999801</v>
      </c>
      <c r="AF110">
        <v>-2.0284254636914598</v>
      </c>
      <c r="AG110">
        <v>-1.1093706210109999</v>
      </c>
      <c r="AH110">
        <v>16.267622440316899</v>
      </c>
      <c r="AI110">
        <v>93.871358567859303</v>
      </c>
      <c r="AJ110">
        <v>97.107581425437601</v>
      </c>
      <c r="AK110">
        <v>16.431091044030399</v>
      </c>
      <c r="AL110">
        <v>81.374957132378796</v>
      </c>
      <c r="AM110">
        <v>94.3328971796453</v>
      </c>
      <c r="AN110">
        <v>1.0000000315136</v>
      </c>
    </row>
    <row r="111" spans="1:40" x14ac:dyDescent="0.25">
      <c r="A111" t="str">
        <f>"20190304155559379"</f>
        <v>20190304155559379</v>
      </c>
      <c r="B111" t="str">
        <f>"1551686159375116"</f>
        <v>1551686159375116</v>
      </c>
      <c r="C111" t="s">
        <v>40</v>
      </c>
      <c r="D111">
        <v>4.6301249999999996</v>
      </c>
      <c r="E111">
        <v>0.54394379999999998</v>
      </c>
      <c r="F111" t="s">
        <v>41</v>
      </c>
      <c r="G111">
        <v>-453.9624</v>
      </c>
      <c r="H111" s="1">
        <v>-2.6377179999999998E-6</v>
      </c>
      <c r="I111">
        <v>369.24810000000002</v>
      </c>
      <c r="J111">
        <v>-470.21969999999999</v>
      </c>
      <c r="K111">
        <v>1.1093470000000001</v>
      </c>
      <c r="L111">
        <v>367.21749999999997</v>
      </c>
      <c r="M111">
        <v>0.9999884</v>
      </c>
      <c r="N111">
        <v>-4.7806109999999997E-3</v>
      </c>
      <c r="O111">
        <v>6.5199940000000003E-4</v>
      </c>
      <c r="P111">
        <v>0.9866606</v>
      </c>
      <c r="Q111">
        <v>0.14499519999999999</v>
      </c>
      <c r="R111">
        <v>7.4011149999999998E-2</v>
      </c>
      <c r="S111">
        <v>3.0425110000000002</v>
      </c>
      <c r="T111">
        <v>-0.20615820000000001</v>
      </c>
      <c r="U111">
        <v>0.37741089999999999</v>
      </c>
      <c r="V111">
        <v>-7.3366940000000005E-2</v>
      </c>
      <c r="W111">
        <v>0.1497115</v>
      </c>
      <c r="X111">
        <v>0.98600390000000004</v>
      </c>
      <c r="Y111">
        <v>-0.1221609</v>
      </c>
      <c r="Z111">
        <v>4.3709109999999999E-3</v>
      </c>
      <c r="AA111">
        <v>0.99250070000000001</v>
      </c>
      <c r="AB111">
        <v>11</v>
      </c>
      <c r="AC111">
        <v>16.257299999999901</v>
      </c>
      <c r="AD111">
        <v>-1.1093496377180001</v>
      </c>
      <c r="AE111">
        <v>2.0306000000000402</v>
      </c>
      <c r="AF111">
        <v>-2.0107807436308298</v>
      </c>
      <c r="AG111">
        <v>-1.1093496377180001</v>
      </c>
      <c r="AH111">
        <v>16.184418776657299</v>
      </c>
      <c r="AI111">
        <v>93.891340338869</v>
      </c>
      <c r="AJ111">
        <v>97.0822370261033</v>
      </c>
      <c r="AK111">
        <v>16.346538072505702</v>
      </c>
      <c r="AL111">
        <v>81.389791767337599</v>
      </c>
      <c r="AM111">
        <v>94.255443378312606</v>
      </c>
      <c r="AN111">
        <v>0.99999996596621099</v>
      </c>
    </row>
    <row r="112" spans="1:40" x14ac:dyDescent="0.25">
      <c r="A112" t="str">
        <f>"20190304155559400"</f>
        <v>20190304155559400</v>
      </c>
      <c r="B112" t="str">
        <f>"1551686159394637"</f>
        <v>1551686159394637</v>
      </c>
      <c r="C112" t="s">
        <v>40</v>
      </c>
      <c r="D112">
        <v>4.6784160000000004</v>
      </c>
      <c r="E112">
        <v>0.55136629999999998</v>
      </c>
      <c r="F112" t="s">
        <v>44</v>
      </c>
      <c r="G112">
        <v>-432.56700000000001</v>
      </c>
      <c r="H112">
        <v>-0.05</v>
      </c>
      <c r="I112">
        <v>365.42910000000001</v>
      </c>
      <c r="J112">
        <v>-470.12020000000001</v>
      </c>
      <c r="K112">
        <v>1.109327</v>
      </c>
      <c r="L112">
        <v>367.2176</v>
      </c>
      <c r="M112">
        <v>0.99998869999999895</v>
      </c>
      <c r="N112">
        <v>-4.7345E-3</v>
      </c>
      <c r="O112">
        <v>6.8870759999999998E-4</v>
      </c>
      <c r="P112">
        <v>0.9869694</v>
      </c>
      <c r="Q112">
        <v>0.1434194</v>
      </c>
      <c r="R112">
        <v>7.2955329999999999E-2</v>
      </c>
      <c r="S112">
        <v>3.065369</v>
      </c>
      <c r="T112">
        <v>-9.4384309999999999E-2</v>
      </c>
      <c r="U112">
        <v>-0.14559939999999999</v>
      </c>
      <c r="V112">
        <v>-7.2274199999999997E-2</v>
      </c>
      <c r="W112">
        <v>0.14809129999999901</v>
      </c>
      <c r="X112">
        <v>0.98632929999999996</v>
      </c>
      <c r="Y112">
        <v>4.8106120000000002E-2</v>
      </c>
      <c r="Z112">
        <v>-8.7191949999999895E-4</v>
      </c>
      <c r="AA112">
        <v>0.9988418</v>
      </c>
      <c r="AB112">
        <v>11</v>
      </c>
      <c r="AC112">
        <v>37.553199999999997</v>
      </c>
      <c r="AD112">
        <v>-1.159327</v>
      </c>
      <c r="AE112">
        <v>-1.78849999999999</v>
      </c>
      <c r="AF112">
        <v>1.81263940058489</v>
      </c>
      <c r="AG112">
        <v>-1.159327</v>
      </c>
      <c r="AH112">
        <v>37.516285157054398</v>
      </c>
      <c r="AI112">
        <v>91.767927966984502</v>
      </c>
      <c r="AJ112">
        <v>87.2338443355235</v>
      </c>
      <c r="AK112">
        <v>37.577937046555697</v>
      </c>
      <c r="AL112">
        <v>81.483669582005803</v>
      </c>
      <c r="AM112">
        <v>94.190911586845104</v>
      </c>
      <c r="AN112">
        <v>1.0000000405799001</v>
      </c>
    </row>
    <row r="113" spans="1:40" x14ac:dyDescent="0.25">
      <c r="A113" t="str">
        <f>"20190304155559424"</f>
        <v>20190304155559424</v>
      </c>
      <c r="B113" t="str">
        <f>"1551686159415132"</f>
        <v>1551686159415132</v>
      </c>
      <c r="C113" t="s">
        <v>40</v>
      </c>
      <c r="D113">
        <v>4.6779400000000004</v>
      </c>
      <c r="E113">
        <v>0.55602819999999997</v>
      </c>
      <c r="F113" t="s">
        <v>44</v>
      </c>
      <c r="G113">
        <v>-414.2296</v>
      </c>
      <c r="H113">
        <v>-0.05</v>
      </c>
      <c r="I113">
        <v>363.44959999999998</v>
      </c>
      <c r="J113">
        <v>-469.9975</v>
      </c>
      <c r="K113">
        <v>1.1093170000000001</v>
      </c>
      <c r="L113">
        <v>367.21769999999998</v>
      </c>
      <c r="M113">
        <v>0.99998880000000001</v>
      </c>
      <c r="N113">
        <v>-4.6788849999999998E-3</v>
      </c>
      <c r="O113">
        <v>7.3384209999999999E-4</v>
      </c>
      <c r="P113">
        <v>0.9872147</v>
      </c>
      <c r="Q113">
        <v>0.14208129999999999</v>
      </c>
      <c r="R113">
        <v>7.2248240000000005E-2</v>
      </c>
      <c r="S113">
        <v>3.0641479999999999</v>
      </c>
      <c r="T113">
        <v>-6.3558939999999994E-2</v>
      </c>
      <c r="U113">
        <v>-0.20657349999999999</v>
      </c>
      <c r="V113">
        <v>-7.1523030000000001E-2</v>
      </c>
      <c r="W113">
        <v>0.14669960000000001</v>
      </c>
      <c r="X113">
        <v>0.98659189999999997</v>
      </c>
      <c r="Y113">
        <v>6.7977850000000006E-2</v>
      </c>
      <c r="Z113">
        <v>-8.7515589999999995E-4</v>
      </c>
      <c r="AA113">
        <v>0.99768639999999997</v>
      </c>
      <c r="AB113">
        <v>11</v>
      </c>
      <c r="AC113">
        <v>55.767899999999997</v>
      </c>
      <c r="AD113">
        <v>-1.1593169999999999</v>
      </c>
      <c r="AE113">
        <v>-3.7681</v>
      </c>
      <c r="AF113">
        <v>3.8073863761559501</v>
      </c>
      <c r="AG113">
        <v>-1.1593169999999999</v>
      </c>
      <c r="AH113">
        <v>55.741140629979803</v>
      </c>
      <c r="AI113">
        <v>91.188709992759101</v>
      </c>
      <c r="AJ113">
        <v>86.092493693680794</v>
      </c>
      <c r="AK113">
        <v>55.883047211609799</v>
      </c>
      <c r="AL113">
        <v>81.564287875815893</v>
      </c>
      <c r="AM113">
        <v>94.146406745541398</v>
      </c>
      <c r="AN113">
        <v>0.99999994680307402</v>
      </c>
    </row>
    <row r="114" spans="1:40" x14ac:dyDescent="0.25">
      <c r="A114" t="str">
        <f>"20190304155559446"</f>
        <v>20190304155559446</v>
      </c>
      <c r="B114" t="str">
        <f>"1551686159434652"</f>
        <v>1551686159434652</v>
      </c>
      <c r="C114" t="s">
        <v>40</v>
      </c>
      <c r="D114">
        <v>4.5425779999999998</v>
      </c>
      <c r="E114">
        <v>0.55654490000000001</v>
      </c>
      <c r="F114" t="s">
        <v>44</v>
      </c>
      <c r="G114">
        <v>-421.20339999999999</v>
      </c>
      <c r="H114">
        <v>-0.05</v>
      </c>
      <c r="I114">
        <v>363.29520000000002</v>
      </c>
      <c r="J114">
        <v>-469.8879</v>
      </c>
      <c r="K114">
        <v>1.1093090000000001</v>
      </c>
      <c r="L114">
        <v>367.21789999999999</v>
      </c>
      <c r="M114">
        <v>0.99998900000000002</v>
      </c>
      <c r="N114">
        <v>-4.6310429999999996E-3</v>
      </c>
      <c r="O114">
        <v>7.745448E-4</v>
      </c>
      <c r="P114">
        <v>0.98743369999999997</v>
      </c>
      <c r="Q114">
        <v>0.14093810000000001</v>
      </c>
      <c r="R114">
        <v>7.1493909999999994E-2</v>
      </c>
      <c r="S114">
        <v>3.067383</v>
      </c>
      <c r="T114">
        <v>-7.2879079999999999E-2</v>
      </c>
      <c r="U114">
        <v>-0.246582</v>
      </c>
      <c r="V114">
        <v>-7.0728289999999999E-2</v>
      </c>
      <c r="W114">
        <v>0.14551040000000001</v>
      </c>
      <c r="X114">
        <v>0.98682530000000002</v>
      </c>
      <c r="Y114">
        <v>8.0874699999999994E-2</v>
      </c>
      <c r="Z114">
        <v>-1.1614749999999999E-3</v>
      </c>
      <c r="AA114">
        <v>0.99672360000000004</v>
      </c>
      <c r="AB114">
        <v>11</v>
      </c>
      <c r="AC114">
        <v>48.6845</v>
      </c>
      <c r="AD114">
        <v>-1.1593089999999999</v>
      </c>
      <c r="AE114">
        <v>-3.9226999999999599</v>
      </c>
      <c r="AF114">
        <v>3.9581775685089302</v>
      </c>
      <c r="AG114">
        <v>-1.1593089999999999</v>
      </c>
      <c r="AH114">
        <v>48.6540360199105</v>
      </c>
      <c r="AI114">
        <v>91.360469798957595</v>
      </c>
      <c r="AJ114">
        <v>85.349028706097798</v>
      </c>
      <c r="AK114">
        <v>48.828540711842699</v>
      </c>
      <c r="AL114">
        <v>81.633163315508696</v>
      </c>
      <c r="AM114">
        <v>94.099524772851794</v>
      </c>
      <c r="AN114">
        <v>0.99999997011728603</v>
      </c>
    </row>
    <row r="115" spans="1:40" x14ac:dyDescent="0.25">
      <c r="A115" t="str">
        <f>"20190304155559467"</f>
        <v>20190304155559467</v>
      </c>
      <c r="B115" t="str">
        <f>"1551686159464908"</f>
        <v>1551686159464908</v>
      </c>
      <c r="C115" t="s">
        <v>40</v>
      </c>
      <c r="D115">
        <v>4.555078</v>
      </c>
      <c r="E115">
        <v>0.55926529999999997</v>
      </c>
      <c r="F115" t="s">
        <v>44</v>
      </c>
      <c r="G115">
        <v>-423.37799999999999</v>
      </c>
      <c r="H115">
        <v>-0.05</v>
      </c>
      <c r="I115">
        <v>363.38549999999998</v>
      </c>
      <c r="J115">
        <v>-469.78059999999999</v>
      </c>
      <c r="K115">
        <v>1.1093040000000001</v>
      </c>
      <c r="L115">
        <v>367.21800000000002</v>
      </c>
      <c r="M115">
        <v>0.99998929999999997</v>
      </c>
      <c r="N115">
        <v>-4.5858510000000002E-3</v>
      </c>
      <c r="O115">
        <v>8.1357369999999997E-4</v>
      </c>
      <c r="P115">
        <v>0.98733130000000002</v>
      </c>
      <c r="Q115">
        <v>0.14176629999999901</v>
      </c>
      <c r="R115">
        <v>7.127008E-2</v>
      </c>
      <c r="S115">
        <v>3.067383</v>
      </c>
      <c r="T115">
        <v>-7.6457739999999996E-2</v>
      </c>
      <c r="U115">
        <v>-0.25274659999999999</v>
      </c>
      <c r="V115">
        <v>-7.0465970000000003E-2</v>
      </c>
      <c r="W115">
        <v>0.14629300000000001</v>
      </c>
      <c r="X115">
        <v>0.98672839999999995</v>
      </c>
      <c r="Y115">
        <v>8.2900150000000006E-2</v>
      </c>
      <c r="Z115">
        <v>-1.238238E-3</v>
      </c>
      <c r="AA115">
        <v>0.99655709999999997</v>
      </c>
      <c r="AB115">
        <v>11</v>
      </c>
      <c r="AC115">
        <v>46.4025999999999</v>
      </c>
      <c r="AD115">
        <v>-1.1593039999999999</v>
      </c>
      <c r="AE115">
        <v>-3.8325000000000302</v>
      </c>
      <c r="AF115">
        <v>3.8678531775179401</v>
      </c>
      <c r="AG115">
        <v>-1.1593039999999999</v>
      </c>
      <c r="AH115">
        <v>46.370719002737097</v>
      </c>
      <c r="AI115">
        <v>91.4271865204812</v>
      </c>
      <c r="AJ115">
        <v>85.231908212924296</v>
      </c>
      <c r="AK115">
        <v>46.5461905508717</v>
      </c>
      <c r="AL115">
        <v>81.5878390013726</v>
      </c>
      <c r="AM115">
        <v>94.084771579693296</v>
      </c>
      <c r="AN115">
        <v>1.0000000150718</v>
      </c>
    </row>
    <row r="116" spans="1:40" x14ac:dyDescent="0.25">
      <c r="A116" t="str">
        <f>"20190304155559490"</f>
        <v>20190304155559490</v>
      </c>
      <c r="B116" t="str">
        <f>"1551686159485405"</f>
        <v>1551686159485405</v>
      </c>
      <c r="C116" t="s">
        <v>40</v>
      </c>
      <c r="D116">
        <v>4.6422639999999999</v>
      </c>
      <c r="E116">
        <v>0.56012249999999997</v>
      </c>
      <c r="F116" t="s">
        <v>44</v>
      </c>
      <c r="G116">
        <v>-432.00380000000001</v>
      </c>
      <c r="H116">
        <v>-0.05</v>
      </c>
      <c r="I116">
        <v>363.8272</v>
      </c>
      <c r="J116">
        <v>-469.66719999999998</v>
      </c>
      <c r="K116">
        <v>1.1092930000000001</v>
      </c>
      <c r="L116">
        <v>367.21809999999999</v>
      </c>
      <c r="M116">
        <v>0.99998949999999998</v>
      </c>
      <c r="N116">
        <v>-4.5396120000000002E-3</v>
      </c>
      <c r="O116">
        <v>8.5498740000000001E-4</v>
      </c>
      <c r="P116">
        <v>0.98722220000000005</v>
      </c>
      <c r="Q116">
        <v>0.14277629999999999</v>
      </c>
      <c r="R116">
        <v>7.0764789999999994E-2</v>
      </c>
      <c r="S116">
        <v>3.0718990000000002</v>
      </c>
      <c r="T116">
        <v>-9.4271060000000004E-2</v>
      </c>
      <c r="U116">
        <v>-0.27572629999999998</v>
      </c>
      <c r="V116">
        <v>-6.991994E-2</v>
      </c>
      <c r="W116">
        <v>0.14725659999999999</v>
      </c>
      <c r="X116">
        <v>0.9866239</v>
      </c>
      <c r="Y116">
        <v>9.020106E-2</v>
      </c>
      <c r="Z116">
        <v>-1.6084669999999999E-3</v>
      </c>
      <c r="AA116">
        <v>0.99592230000000004</v>
      </c>
      <c r="AB116">
        <v>11</v>
      </c>
      <c r="AC116">
        <v>37.663399999999903</v>
      </c>
      <c r="AD116">
        <v>-1.1592929999999999</v>
      </c>
      <c r="AE116">
        <v>-3.3908999999999798</v>
      </c>
      <c r="AF116">
        <v>3.419886766381</v>
      </c>
      <c r="AG116">
        <v>-1.1592929999999999</v>
      </c>
      <c r="AH116">
        <v>37.625126455941</v>
      </c>
      <c r="AI116">
        <v>91.757579580214795</v>
      </c>
      <c r="AJ116">
        <v>84.806445986679094</v>
      </c>
      <c r="AK116">
        <v>37.798012204086398</v>
      </c>
      <c r="AL116">
        <v>81.532024285053495</v>
      </c>
      <c r="AM116">
        <v>94.053653089737196</v>
      </c>
      <c r="AN116">
        <v>1.0000000121521799</v>
      </c>
    </row>
    <row r="117" spans="1:40" x14ac:dyDescent="0.25">
      <c r="A117" t="str">
        <f>"20190304155559512"</f>
        <v>20190304155559512</v>
      </c>
      <c r="B117" t="str">
        <f>"1551686159504925"</f>
        <v>1551686159504925</v>
      </c>
      <c r="C117" t="s">
        <v>40</v>
      </c>
      <c r="D117">
        <v>4.7000299999999999</v>
      </c>
      <c r="E117">
        <v>0.56079109999999999</v>
      </c>
      <c r="F117" t="s">
        <v>44</v>
      </c>
      <c r="G117">
        <v>-431.71170000000001</v>
      </c>
      <c r="H117">
        <v>-0.05</v>
      </c>
      <c r="I117">
        <v>363.71199999999999</v>
      </c>
      <c r="J117">
        <v>-469.5496</v>
      </c>
      <c r="K117">
        <v>1.1092789999999999</v>
      </c>
      <c r="L117">
        <v>367.2183</v>
      </c>
      <c r="M117">
        <v>0.99998960000000003</v>
      </c>
      <c r="N117">
        <v>-4.4933819999999998E-3</v>
      </c>
      <c r="O117">
        <v>8.9806849999999998E-4</v>
      </c>
      <c r="P117">
        <v>0.98732869999999995</v>
      </c>
      <c r="Q117">
        <v>0.14238960000000001</v>
      </c>
      <c r="R117">
        <v>7.0052980000000001E-2</v>
      </c>
      <c r="S117">
        <v>3.072784</v>
      </c>
      <c r="T117">
        <v>-9.3853590000000001E-2</v>
      </c>
      <c r="U117">
        <v>-0.28384399999999999</v>
      </c>
      <c r="V117">
        <v>-6.9165539999999998E-2</v>
      </c>
      <c r="W117">
        <v>0.1468255</v>
      </c>
      <c r="X117">
        <v>0.98674130000000004</v>
      </c>
      <c r="Y117">
        <v>9.2826599999999995E-2</v>
      </c>
      <c r="Z117">
        <v>-1.6466779999999999E-3</v>
      </c>
      <c r="AA117">
        <v>0.99568089999999998</v>
      </c>
      <c r="AB117">
        <v>11</v>
      </c>
      <c r="AC117">
        <v>37.837899999999898</v>
      </c>
      <c r="AD117">
        <v>-1.1592789999999999</v>
      </c>
      <c r="AE117">
        <v>-3.5063</v>
      </c>
      <c r="AF117">
        <v>3.5369880862046799</v>
      </c>
      <c r="AG117">
        <v>-1.1592789999999999</v>
      </c>
      <c r="AH117">
        <v>37.799555863761903</v>
      </c>
      <c r="AI117">
        <v>91.749024777776896</v>
      </c>
      <c r="AJ117">
        <v>84.654272828949701</v>
      </c>
      <c r="AK117">
        <v>37.9823727012867</v>
      </c>
      <c r="AL117">
        <v>81.556995792257695</v>
      </c>
      <c r="AM117">
        <v>94.009584180158598</v>
      </c>
      <c r="AN117">
        <v>0.99999999624971503</v>
      </c>
    </row>
    <row r="118" spans="1:40" x14ac:dyDescent="0.25">
      <c r="A118" t="str">
        <f>"20190304155559536"</f>
        <v>20190304155559536</v>
      </c>
      <c r="B118" t="str">
        <f>"1551686159525420"</f>
        <v>1551686159525420</v>
      </c>
      <c r="C118" t="s">
        <v>40</v>
      </c>
      <c r="D118">
        <v>5.3633870000000003</v>
      </c>
      <c r="E118">
        <v>0.56091089999999999</v>
      </c>
      <c r="F118" t="s">
        <v>44</v>
      </c>
      <c r="G118">
        <v>-434.62720000000002</v>
      </c>
      <c r="H118">
        <v>-0.05</v>
      </c>
      <c r="I118">
        <v>363.90550000000002</v>
      </c>
      <c r="J118">
        <v>-469.4273</v>
      </c>
      <c r="K118">
        <v>1.1092649999999999</v>
      </c>
      <c r="L118">
        <v>367.21839999999997</v>
      </c>
      <c r="M118">
        <v>0.99998969999999998</v>
      </c>
      <c r="N118">
        <v>-4.4470150000000003E-3</v>
      </c>
      <c r="O118">
        <v>9.4281740000000001E-4</v>
      </c>
      <c r="P118">
        <v>0.98762609999999995</v>
      </c>
      <c r="Q118">
        <v>0.1406966</v>
      </c>
      <c r="R118">
        <v>6.9276160000000003E-2</v>
      </c>
      <c r="S118">
        <v>3.0738829999999999</v>
      </c>
      <c r="T118">
        <v>-0.1020402</v>
      </c>
      <c r="U118">
        <v>-0.29159550000000001</v>
      </c>
      <c r="V118">
        <v>-6.8344299999999997E-2</v>
      </c>
      <c r="W118">
        <v>0.14508760000000001</v>
      </c>
      <c r="X118">
        <v>0.98705549999999997</v>
      </c>
      <c r="Y118">
        <v>9.5317410000000005E-2</v>
      </c>
      <c r="Z118">
        <v>-1.8176139999999999E-3</v>
      </c>
      <c r="AA118">
        <v>0.99544529999999998</v>
      </c>
      <c r="AB118">
        <v>12</v>
      </c>
      <c r="AC118">
        <v>34.800099999999901</v>
      </c>
      <c r="AD118">
        <v>-1.159265</v>
      </c>
      <c r="AE118">
        <v>-3.3128999999999502</v>
      </c>
      <c r="AF118">
        <v>3.3420336538717899</v>
      </c>
      <c r="AG118">
        <v>-1.159265</v>
      </c>
      <c r="AH118">
        <v>34.7587357950814</v>
      </c>
      <c r="AI118">
        <v>91.901444549199596</v>
      </c>
      <c r="AJ118">
        <v>84.507924486622599</v>
      </c>
      <c r="AK118">
        <v>34.938271255975302</v>
      </c>
      <c r="AL118">
        <v>81.657647700960993</v>
      </c>
      <c r="AM118">
        <v>93.960871535254</v>
      </c>
      <c r="AN118">
        <v>0.999999957548249</v>
      </c>
    </row>
    <row r="119" spans="1:40" x14ac:dyDescent="0.25">
      <c r="A119" t="str">
        <f>"20190304155559614"</f>
        <v>20190304155559614</v>
      </c>
      <c r="B119" t="str">
        <f>"1551686159605453"</f>
        <v>1551686159605453</v>
      </c>
      <c r="C119" t="s">
        <v>40</v>
      </c>
      <c r="D119">
        <v>3.408007</v>
      </c>
      <c r="E119">
        <v>0.61758150000000001</v>
      </c>
      <c r="F119" t="s">
        <v>44</v>
      </c>
      <c r="G119">
        <v>-437.50850000000003</v>
      </c>
      <c r="H119">
        <v>-0.05</v>
      </c>
      <c r="I119">
        <v>364.15809999999999</v>
      </c>
      <c r="J119">
        <v>-469.00450000000001</v>
      </c>
      <c r="K119">
        <v>1.1092420000000001</v>
      </c>
      <c r="L119">
        <v>367.21899999999999</v>
      </c>
      <c r="M119">
        <v>0.99999009999999999</v>
      </c>
      <c r="N119">
        <v>-4.2993459999999999E-3</v>
      </c>
      <c r="O119">
        <v>1.097998E-3</v>
      </c>
      <c r="P119">
        <v>0.98778299999999997</v>
      </c>
      <c r="Q119">
        <v>0.14005819999999999</v>
      </c>
      <c r="R119">
        <v>6.8325549999999999E-2</v>
      </c>
      <c r="S119">
        <v>3.0741580000000002</v>
      </c>
      <c r="T119">
        <v>-0.11165079999999999</v>
      </c>
      <c r="U119">
        <v>-0.29473880000000002</v>
      </c>
      <c r="V119">
        <v>-6.7240800000000003E-2</v>
      </c>
      <c r="W119">
        <v>0.1443045</v>
      </c>
      <c r="X119">
        <v>0.98724610000000002</v>
      </c>
      <c r="Y119">
        <v>9.6460459999999998E-2</v>
      </c>
      <c r="Z119">
        <v>-1.9900780000000002E-3</v>
      </c>
      <c r="AA119">
        <v>0.99533479999999996</v>
      </c>
      <c r="AB119">
        <v>12</v>
      </c>
      <c r="AC119">
        <v>31.495999999999899</v>
      </c>
      <c r="AD119">
        <v>-1.1592420000000001</v>
      </c>
      <c r="AE119">
        <v>-3.0609000000000002</v>
      </c>
      <c r="AF119">
        <v>3.0913324306269399</v>
      </c>
      <c r="AG119">
        <v>-1.1592420000000001</v>
      </c>
      <c r="AH119">
        <v>31.450413435390001</v>
      </c>
      <c r="AI119">
        <v>92.100815084614595</v>
      </c>
      <c r="AJ119">
        <v>84.386300282602306</v>
      </c>
      <c r="AK119">
        <v>31.623230123884699</v>
      </c>
      <c r="AL119">
        <v>81.702993492584397</v>
      </c>
      <c r="AM119">
        <v>93.896367159170296</v>
      </c>
      <c r="AN119">
        <v>0.99999998793504996</v>
      </c>
    </row>
    <row r="120" spans="1:40" x14ac:dyDescent="0.25">
      <c r="A120" t="str">
        <f>"20190304155559660"</f>
        <v>20190304155559660</v>
      </c>
      <c r="B120" t="str">
        <f>"1551686159655229"</f>
        <v>1551686159655229</v>
      </c>
      <c r="C120" t="s">
        <v>40</v>
      </c>
      <c r="D120">
        <v>4.9468239999999897</v>
      </c>
      <c r="E120">
        <v>0.52839519999999995</v>
      </c>
      <c r="F120" t="s">
        <v>42</v>
      </c>
      <c r="G120">
        <v>-468.19839999999999</v>
      </c>
      <c r="H120">
        <v>1.0103869999999999</v>
      </c>
      <c r="I120">
        <v>367.02429999999998</v>
      </c>
      <c r="J120">
        <v>-468.75040000000001</v>
      </c>
      <c r="K120">
        <v>1.109232</v>
      </c>
      <c r="L120">
        <v>367.21940000000001</v>
      </c>
      <c r="M120">
        <v>0.9999905</v>
      </c>
      <c r="N120">
        <v>-4.2200229999999998E-3</v>
      </c>
      <c r="O120">
        <v>1.1906760000000001E-3</v>
      </c>
      <c r="P120">
        <v>0.98778940000000004</v>
      </c>
      <c r="Q120">
        <v>0.1401809</v>
      </c>
      <c r="R120">
        <v>6.798353E-2</v>
      </c>
      <c r="S120">
        <v>3.1441650000000001</v>
      </c>
      <c r="T120">
        <v>-0.38596239999999998</v>
      </c>
      <c r="U120">
        <v>-0.757019</v>
      </c>
      <c r="V120">
        <v>-6.6807740000000004E-2</v>
      </c>
      <c r="W120">
        <v>0.144348799999999</v>
      </c>
      <c r="X120">
        <v>0.98726899999999995</v>
      </c>
      <c r="Y120">
        <v>0.23351279999999999</v>
      </c>
      <c r="Z120">
        <v>-1.472E-2</v>
      </c>
      <c r="AA120">
        <v>0.9722423</v>
      </c>
      <c r="AB120">
        <v>12</v>
      </c>
      <c r="AC120">
        <v>0.55200000000002003</v>
      </c>
      <c r="AD120">
        <v>-9.8844999999999794E-2</v>
      </c>
      <c r="AE120">
        <v>-0.195100000000024</v>
      </c>
      <c r="AF120">
        <v>0.19033185983574899</v>
      </c>
      <c r="AG120">
        <v>-9.8844999999999794E-2</v>
      </c>
      <c r="AH120">
        <v>0.53647549150083396</v>
      </c>
      <c r="AI120">
        <v>99.850862878324605</v>
      </c>
      <c r="AJ120">
        <v>70.466229838668795</v>
      </c>
      <c r="AK120">
        <v>0.57775643992481496</v>
      </c>
      <c r="AL120">
        <v>81.700428235839894</v>
      </c>
      <c r="AM120">
        <v>93.871259889309599</v>
      </c>
      <c r="AN120">
        <v>0.99999996427317295</v>
      </c>
    </row>
    <row r="121" spans="1:40" x14ac:dyDescent="0.25">
      <c r="A121" t="str">
        <f>"20190304155559682"</f>
        <v>20190304155559682</v>
      </c>
      <c r="B121" t="str">
        <f>"1551686159674749"</f>
        <v>1551686159674749</v>
      </c>
      <c r="C121" t="s">
        <v>40</v>
      </c>
      <c r="D121">
        <v>4.5502310000000001</v>
      </c>
      <c r="E121">
        <v>0.52513359999999998</v>
      </c>
      <c r="F121" t="s">
        <v>41</v>
      </c>
      <c r="G121">
        <v>-450.1524</v>
      </c>
      <c r="H121" s="1">
        <v>-4.6757449999999997E-6</v>
      </c>
      <c r="I121">
        <v>366.97309999999999</v>
      </c>
      <c r="J121">
        <v>-468.62349999999998</v>
      </c>
      <c r="K121">
        <v>1.109224</v>
      </c>
      <c r="L121">
        <v>367.21960000000001</v>
      </c>
      <c r="M121">
        <v>0.99999059999999995</v>
      </c>
      <c r="N121">
        <v>-4.1829409999999999E-3</v>
      </c>
      <c r="O121">
        <v>1.23689E-3</v>
      </c>
      <c r="P121">
        <v>0.98781989999999997</v>
      </c>
      <c r="Q121">
        <v>0.14023649999999999</v>
      </c>
      <c r="R121">
        <v>6.7419999999999994E-2</v>
      </c>
      <c r="S121">
        <v>3.0658259999999999</v>
      </c>
      <c r="T121">
        <v>-0.18285419999999999</v>
      </c>
      <c r="U121">
        <v>-4.058838E-2</v>
      </c>
      <c r="V121">
        <v>-6.6198359999999998E-2</v>
      </c>
      <c r="W121">
        <v>0.14436769999999999</v>
      </c>
      <c r="X121">
        <v>0.9873073</v>
      </c>
      <c r="Y121">
        <v>1.444522E-2</v>
      </c>
      <c r="Z121">
        <v>-5.291502E-4</v>
      </c>
      <c r="AA121">
        <v>0.99989550000000005</v>
      </c>
      <c r="AB121">
        <v>13</v>
      </c>
      <c r="AC121">
        <v>18.4710999999999</v>
      </c>
      <c r="AD121">
        <v>-1.1092286757449901</v>
      </c>
      <c r="AE121">
        <v>-0.246500000000025</v>
      </c>
      <c r="AF121">
        <v>0.26837905612138702</v>
      </c>
      <c r="AG121">
        <v>-1.1092286757449901</v>
      </c>
      <c r="AH121">
        <v>18.404421720195</v>
      </c>
      <c r="AI121">
        <v>93.448660661153397</v>
      </c>
      <c r="AJ121">
        <v>89.164554167606198</v>
      </c>
      <c r="AK121">
        <v>18.439770997158501</v>
      </c>
      <c r="AL121">
        <v>81.699334015487096</v>
      </c>
      <c r="AM121">
        <v>93.835906132139698</v>
      </c>
      <c r="AN121">
        <v>0.99999998015163405</v>
      </c>
    </row>
    <row r="122" spans="1:40" x14ac:dyDescent="0.25">
      <c r="A122" t="str">
        <f>"20190304155559703"</f>
        <v>20190304155559703</v>
      </c>
      <c r="B122" t="str">
        <f>"1551686159695245"</f>
        <v>1551686159695245</v>
      </c>
      <c r="C122" t="s">
        <v>40</v>
      </c>
      <c r="D122">
        <v>4.7396729999999998</v>
      </c>
      <c r="E122">
        <v>0.5255379</v>
      </c>
      <c r="F122" t="s">
        <v>41</v>
      </c>
      <c r="G122">
        <v>-444.50599999999997</v>
      </c>
      <c r="H122" s="1">
        <v>-3.0237040000000001E-6</v>
      </c>
      <c r="I122">
        <v>367.101</v>
      </c>
      <c r="J122">
        <v>-468.50409999999999</v>
      </c>
      <c r="K122">
        <v>1.10921</v>
      </c>
      <c r="L122">
        <v>367.21980000000002</v>
      </c>
      <c r="M122">
        <v>0.99999070000000001</v>
      </c>
      <c r="N122">
        <v>-4.1496229999999999E-3</v>
      </c>
      <c r="O122">
        <v>1.280294E-3</v>
      </c>
      <c r="P122">
        <v>0.98787579999999997</v>
      </c>
      <c r="Q122">
        <v>0.14005889999999999</v>
      </c>
      <c r="R122">
        <v>6.6970039999999995E-2</v>
      </c>
      <c r="S122">
        <v>3.058014</v>
      </c>
      <c r="T122">
        <v>-0.1406461</v>
      </c>
      <c r="U122">
        <v>-1.504517E-2</v>
      </c>
      <c r="V122">
        <v>-6.5705600000000003E-2</v>
      </c>
      <c r="W122">
        <v>0.14415720000000001</v>
      </c>
      <c r="X122">
        <v>0.987371</v>
      </c>
      <c r="Y122">
        <v>6.1918839999999999E-3</v>
      </c>
      <c r="Z122">
        <v>-2.0871139999999999E-4</v>
      </c>
      <c r="AA122">
        <v>0.9999808</v>
      </c>
      <c r="AB122">
        <v>13</v>
      </c>
      <c r="AC122">
        <v>23.998100000000001</v>
      </c>
      <c r="AD122">
        <v>-1.1092130237039901</v>
      </c>
      <c r="AE122">
        <v>-0.118800000000021</v>
      </c>
      <c r="AF122">
        <v>0.14920603534417101</v>
      </c>
      <c r="AG122">
        <v>-1.1092130237039901</v>
      </c>
      <c r="AH122">
        <v>23.946770354629699</v>
      </c>
      <c r="AI122">
        <v>92.651990202846605</v>
      </c>
      <c r="AJ122">
        <v>89.643009668916804</v>
      </c>
      <c r="AK122">
        <v>23.9729102611741</v>
      </c>
      <c r="AL122">
        <v>81.711522504793905</v>
      </c>
      <c r="AM122">
        <v>93.807192225049704</v>
      </c>
      <c r="AN122">
        <v>1.0000000079120901</v>
      </c>
    </row>
    <row r="123" spans="1:40" x14ac:dyDescent="0.25">
      <c r="A123" t="str">
        <f>"20190304155559725"</f>
        <v>20190304155559725</v>
      </c>
      <c r="B123" t="str">
        <f>"1551686159714765"</f>
        <v>1551686159714765</v>
      </c>
      <c r="C123" t="s">
        <v>40</v>
      </c>
      <c r="D123">
        <v>4.8380619999999999</v>
      </c>
      <c r="E123">
        <v>0.52443609999999996</v>
      </c>
      <c r="F123" t="s">
        <v>44</v>
      </c>
      <c r="G123">
        <v>-436.10770000000002</v>
      </c>
      <c r="H123">
        <v>-0.05</v>
      </c>
      <c r="I123">
        <v>367.02620000000002</v>
      </c>
      <c r="J123">
        <v>-468.3689</v>
      </c>
      <c r="K123">
        <v>1.1091979999999999</v>
      </c>
      <c r="L123">
        <v>367.22</v>
      </c>
      <c r="M123">
        <v>0.99999079999999996</v>
      </c>
      <c r="N123">
        <v>-4.1135240000000003E-3</v>
      </c>
      <c r="O123">
        <v>1.3299010000000001E-3</v>
      </c>
      <c r="P123">
        <v>0.98802579999999995</v>
      </c>
      <c r="Q123">
        <v>0.13928279999999901</v>
      </c>
      <c r="R123">
        <v>6.6371669999999994E-2</v>
      </c>
      <c r="S123">
        <v>3.0535890000000001</v>
      </c>
      <c r="T123">
        <v>-0.1092635</v>
      </c>
      <c r="U123">
        <v>-1.824951E-2</v>
      </c>
      <c r="V123">
        <v>-6.5057970000000007E-2</v>
      </c>
      <c r="W123">
        <v>0.1433461</v>
      </c>
      <c r="X123">
        <v>0.98753199999999997</v>
      </c>
      <c r="Y123">
        <v>7.3003149999999999E-3</v>
      </c>
      <c r="Z123">
        <v>-1.8768950000000001E-4</v>
      </c>
      <c r="AA123">
        <v>0.99997340000000001</v>
      </c>
      <c r="AB123">
        <v>13</v>
      </c>
      <c r="AC123">
        <v>32.261199999999903</v>
      </c>
      <c r="AD123">
        <v>-1.159198</v>
      </c>
      <c r="AE123">
        <v>-0.19380000000000999</v>
      </c>
      <c r="AF123">
        <v>0.23639918754498601</v>
      </c>
      <c r="AG123">
        <v>-1.159198</v>
      </c>
      <c r="AH123">
        <v>32.219317416818299</v>
      </c>
      <c r="AI123">
        <v>92.060463643712595</v>
      </c>
      <c r="AJ123">
        <v>89.579617640463596</v>
      </c>
      <c r="AK123">
        <v>32.241030371015903</v>
      </c>
      <c r="AL123">
        <v>81.758483180357203</v>
      </c>
      <c r="AM123">
        <v>93.769162391650397</v>
      </c>
      <c r="AN123">
        <v>1.00000004743486</v>
      </c>
    </row>
    <row r="124" spans="1:40" x14ac:dyDescent="0.25">
      <c r="A124" t="str">
        <f>"20190304155559746"</f>
        <v>20190304155559746</v>
      </c>
      <c r="B124" t="str">
        <f>"1551686159745021"</f>
        <v>1551686159745021</v>
      </c>
      <c r="C124" t="s">
        <v>40</v>
      </c>
      <c r="D124">
        <v>4.9959519999999999</v>
      </c>
      <c r="E124">
        <v>0.52435080000000001</v>
      </c>
      <c r="F124" t="s">
        <v>44</v>
      </c>
      <c r="G124">
        <v>-435.57319999999999</v>
      </c>
      <c r="H124">
        <v>-0.05</v>
      </c>
      <c r="I124">
        <v>367.10649999999998</v>
      </c>
      <c r="J124">
        <v>-468.24610000000001</v>
      </c>
      <c r="K124">
        <v>1.1091869999999999</v>
      </c>
      <c r="L124">
        <v>367.22019999999998</v>
      </c>
      <c r="M124">
        <v>0.99999090000000002</v>
      </c>
      <c r="N124">
        <v>-4.0823959999999899E-3</v>
      </c>
      <c r="O124">
        <v>1.3747900000000001E-3</v>
      </c>
      <c r="P124">
        <v>0.98822560000000004</v>
      </c>
      <c r="Q124">
        <v>0.138340299999999</v>
      </c>
      <c r="R124">
        <v>6.5364290000000005E-2</v>
      </c>
      <c r="S124">
        <v>3.0522770000000001</v>
      </c>
      <c r="T124">
        <v>-0.107886</v>
      </c>
      <c r="U124">
        <v>-1.055908E-2</v>
      </c>
      <c r="V124">
        <v>-6.4006069999999998E-2</v>
      </c>
      <c r="W124">
        <v>0.14237339999999901</v>
      </c>
      <c r="X124">
        <v>0.98774139999999999</v>
      </c>
      <c r="Y124">
        <v>4.8301450000000001E-3</v>
      </c>
      <c r="Z124">
        <v>-1.3816640000000001E-4</v>
      </c>
      <c r="AA124">
        <v>0.99998830000000005</v>
      </c>
      <c r="AB124">
        <v>13</v>
      </c>
      <c r="AC124">
        <v>32.672899999999998</v>
      </c>
      <c r="AD124">
        <v>-1.159187</v>
      </c>
      <c r="AE124">
        <v>-0.113699999999994</v>
      </c>
      <c r="AF124">
        <v>0.15841923086168699</v>
      </c>
      <c r="AG124">
        <v>-1.159187</v>
      </c>
      <c r="AH124">
        <v>32.631638971890503</v>
      </c>
      <c r="AI124">
        <v>92.034461860721294</v>
      </c>
      <c r="AJ124">
        <v>89.721844127368996</v>
      </c>
      <c r="AK124">
        <v>32.652605916610703</v>
      </c>
      <c r="AL124">
        <v>81.814792105714105</v>
      </c>
      <c r="AM124">
        <v>93.707607562460097</v>
      </c>
      <c r="AN124">
        <v>1.0000000176491799</v>
      </c>
    </row>
    <row r="125" spans="1:40" x14ac:dyDescent="0.25">
      <c r="A125" t="str">
        <f>"20190304155559769"</f>
        <v>20190304155559769</v>
      </c>
      <c r="B125" t="str">
        <f>"1551686159764541"</f>
        <v>1551686159764541</v>
      </c>
      <c r="C125" t="s">
        <v>40</v>
      </c>
      <c r="D125">
        <v>4.6327069999999999</v>
      </c>
      <c r="E125">
        <v>0.52417740000000002</v>
      </c>
      <c r="F125" t="s">
        <v>44</v>
      </c>
      <c r="G125">
        <v>-434.85109999999997</v>
      </c>
      <c r="H125">
        <v>-0.05</v>
      </c>
      <c r="I125">
        <v>367.07859999999999</v>
      </c>
      <c r="J125">
        <v>-468.11099999999999</v>
      </c>
      <c r="K125">
        <v>1.109194</v>
      </c>
      <c r="L125">
        <v>367.22050000000002</v>
      </c>
      <c r="M125">
        <v>0.99999090000000002</v>
      </c>
      <c r="N125">
        <v>-4.0499280000000004E-3</v>
      </c>
      <c r="O125">
        <v>1.424032E-3</v>
      </c>
      <c r="P125">
        <v>0.98825909999999995</v>
      </c>
      <c r="Q125">
        <v>0.13852039999999999</v>
      </c>
      <c r="R125">
        <v>6.4467759999999999E-2</v>
      </c>
      <c r="S125">
        <v>3.0513919999999999</v>
      </c>
      <c r="T125">
        <v>-0.1059182</v>
      </c>
      <c r="U125">
        <v>-1.293945E-2</v>
      </c>
      <c r="V125">
        <v>-6.3060809999999995E-2</v>
      </c>
      <c r="W125">
        <v>0.1425216</v>
      </c>
      <c r="X125">
        <v>0.98778080000000001</v>
      </c>
      <c r="Y125">
        <v>5.6600210000000003E-3</v>
      </c>
      <c r="Z125">
        <v>-1.533184E-4</v>
      </c>
      <c r="AA125">
        <v>0.99998399999999998</v>
      </c>
      <c r="AB125">
        <v>13</v>
      </c>
      <c r="AC125">
        <v>33.259900000000002</v>
      </c>
      <c r="AD125">
        <v>-1.1591940000000001</v>
      </c>
      <c r="AE125">
        <v>-0.14190000000002001</v>
      </c>
      <c r="AF125">
        <v>0.189033785154131</v>
      </c>
      <c r="AG125">
        <v>-1.1591940000000001</v>
      </c>
      <c r="AH125">
        <v>33.219313314478804</v>
      </c>
      <c r="AI125">
        <v>91.998503425735507</v>
      </c>
      <c r="AJ125">
        <v>89.673963122957005</v>
      </c>
      <c r="AK125">
        <v>33.240069819226797</v>
      </c>
      <c r="AL125">
        <v>81.806213164975105</v>
      </c>
      <c r="AM125">
        <v>93.6528566061276</v>
      </c>
      <c r="AN125">
        <v>0.99999999053652799</v>
      </c>
    </row>
    <row r="126" spans="1:40" x14ac:dyDescent="0.25">
      <c r="A126" t="str">
        <f>"20190304155559791"</f>
        <v>20190304155559791</v>
      </c>
      <c r="B126" t="str">
        <f>"1551686159785037"</f>
        <v>1551686159785037</v>
      </c>
      <c r="C126" t="s">
        <v>40</v>
      </c>
      <c r="D126">
        <v>4.9158309999999998</v>
      </c>
      <c r="E126">
        <v>0.52368199999999998</v>
      </c>
      <c r="F126" t="s">
        <v>44</v>
      </c>
      <c r="G126">
        <v>-432.51119999999997</v>
      </c>
      <c r="H126">
        <v>-0.05</v>
      </c>
      <c r="I126">
        <v>367.06229999999999</v>
      </c>
      <c r="J126">
        <v>-467.98169999999999</v>
      </c>
      <c r="K126">
        <v>1.109199</v>
      </c>
      <c r="L126">
        <v>367.22070000000002</v>
      </c>
      <c r="M126">
        <v>0.99999090000000002</v>
      </c>
      <c r="N126">
        <v>-4.0207189999999999E-3</v>
      </c>
      <c r="O126">
        <v>1.4711209999999999E-3</v>
      </c>
      <c r="P126">
        <v>0.9879983</v>
      </c>
      <c r="Q126">
        <v>0.1406241</v>
      </c>
      <c r="R126">
        <v>6.390875E-2</v>
      </c>
      <c r="S126">
        <v>3.0504150000000001</v>
      </c>
      <c r="T126">
        <v>-9.9327090000000007E-2</v>
      </c>
      <c r="U126">
        <v>-1.3549800000000001E-2</v>
      </c>
      <c r="V126">
        <v>-6.2456350000000001E-2</v>
      </c>
      <c r="W126">
        <v>0.1445951</v>
      </c>
      <c r="X126">
        <v>0.9875178</v>
      </c>
      <c r="Y126">
        <v>5.9089059999999898E-3</v>
      </c>
      <c r="Z126">
        <v>-1.50035E-4</v>
      </c>
      <c r="AA126">
        <v>0.9999825</v>
      </c>
      <c r="AB126">
        <v>13</v>
      </c>
      <c r="AC126">
        <v>35.470500000000001</v>
      </c>
      <c r="AD126">
        <v>-1.1591989999999901</v>
      </c>
      <c r="AE126">
        <v>-0.15840000000002799</v>
      </c>
      <c r="AF126">
        <v>0.21035698239831099</v>
      </c>
      <c r="AG126">
        <v>-1.1591989999999901</v>
      </c>
      <c r="AH126">
        <v>35.432386673055902</v>
      </c>
      <c r="AI126">
        <v>91.873776129272898</v>
      </c>
      <c r="AJ126">
        <v>89.659847195897498</v>
      </c>
      <c r="AK126">
        <v>35.451967755409498</v>
      </c>
      <c r="AL126">
        <v>81.686166729517296</v>
      </c>
      <c r="AM126">
        <v>93.618897124779807</v>
      </c>
      <c r="AN126">
        <v>0.99999997195808499</v>
      </c>
    </row>
    <row r="127" spans="1:40" x14ac:dyDescent="0.25">
      <c r="A127" t="str">
        <f>"20190304155559815"</f>
        <v>20190304155559815</v>
      </c>
      <c r="B127" t="str">
        <f>"1551686159804556"</f>
        <v>1551686159804556</v>
      </c>
      <c r="C127" t="s">
        <v>40</v>
      </c>
      <c r="D127">
        <v>5.0196670000000001</v>
      </c>
      <c r="E127">
        <v>0.52389470000000005</v>
      </c>
      <c r="F127" t="s">
        <v>44</v>
      </c>
      <c r="G127">
        <v>-431.97579999999999</v>
      </c>
      <c r="H127">
        <v>-0.05</v>
      </c>
      <c r="I127">
        <v>367.08530000000002</v>
      </c>
      <c r="J127">
        <v>-467.83749999999998</v>
      </c>
      <c r="K127">
        <v>1.109194</v>
      </c>
      <c r="L127">
        <v>367.221</v>
      </c>
      <c r="M127">
        <v>0.99999079999999996</v>
      </c>
      <c r="N127">
        <v>-3.9901049999999999E-3</v>
      </c>
      <c r="O127">
        <v>1.5236959999999999E-3</v>
      </c>
      <c r="P127">
        <v>0.98787959999999997</v>
      </c>
      <c r="Q127">
        <v>0.14159769999999999</v>
      </c>
      <c r="R127">
        <v>6.3590889999999997E-2</v>
      </c>
      <c r="S127">
        <v>3.0512079999999999</v>
      </c>
      <c r="T127">
        <v>-9.8232630000000001E-2</v>
      </c>
      <c r="U127">
        <v>-1.147461E-2</v>
      </c>
      <c r="V127">
        <v>-6.2086509999999998E-2</v>
      </c>
      <c r="W127">
        <v>0.14553820000000001</v>
      </c>
      <c r="X127">
        <v>0.98740260000000002</v>
      </c>
      <c r="Y127">
        <v>5.2806629999999997E-3</v>
      </c>
      <c r="Z127">
        <v>-1.3848429999999999E-4</v>
      </c>
      <c r="AA127">
        <v>0.99998609999999999</v>
      </c>
      <c r="AB127">
        <v>13</v>
      </c>
      <c r="AC127">
        <v>35.8616999999999</v>
      </c>
      <c r="AD127">
        <v>-1.1591940000000001</v>
      </c>
      <c r="AE127">
        <v>-0.135699999999985</v>
      </c>
      <c r="AF127">
        <v>0.19014394312013499</v>
      </c>
      <c r="AG127">
        <v>-1.1591940000000001</v>
      </c>
      <c r="AH127">
        <v>35.824021706658101</v>
      </c>
      <c r="AI127">
        <v>91.853304578049304</v>
      </c>
      <c r="AJ127">
        <v>89.695892794340295</v>
      </c>
      <c r="AK127">
        <v>35.843275752752497</v>
      </c>
      <c r="AL127">
        <v>81.631553592907593</v>
      </c>
      <c r="AM127">
        <v>93.597942616808595</v>
      </c>
      <c r="AN127">
        <v>0.99999999843498999</v>
      </c>
    </row>
    <row r="128" spans="1:40" x14ac:dyDescent="0.25">
      <c r="A128" t="str">
        <f>"20190304155559838"</f>
        <v>20190304155559838</v>
      </c>
      <c r="B128" t="str">
        <f>"1551686159834812"</f>
        <v>1551686159834812</v>
      </c>
      <c r="C128" t="s">
        <v>40</v>
      </c>
      <c r="D128">
        <v>4.7422870000000001</v>
      </c>
      <c r="E128">
        <v>0.52550790000000003</v>
      </c>
      <c r="F128" t="s">
        <v>44</v>
      </c>
      <c r="G128">
        <v>-429.69409999999999</v>
      </c>
      <c r="H128">
        <v>-0.05</v>
      </c>
      <c r="I128">
        <v>367.04739999999998</v>
      </c>
      <c r="J128">
        <v>-467.69529999999997</v>
      </c>
      <c r="K128">
        <v>1.1091850000000001</v>
      </c>
      <c r="L128">
        <v>367.22129999999999</v>
      </c>
      <c r="M128">
        <v>0.99999090000000002</v>
      </c>
      <c r="N128">
        <v>-3.9617949999999997E-3</v>
      </c>
      <c r="O128">
        <v>1.5751329999999901E-3</v>
      </c>
      <c r="P128">
        <v>0.98792080000000004</v>
      </c>
      <c r="Q128">
        <v>0.1413584</v>
      </c>
      <c r="R128">
        <v>6.3484219999999994E-2</v>
      </c>
      <c r="S128">
        <v>3.0509949999999999</v>
      </c>
      <c r="T128">
        <v>-9.2720990000000003E-2</v>
      </c>
      <c r="U128">
        <v>-1.38855E-2</v>
      </c>
      <c r="V128">
        <v>-6.1929350000000001E-2</v>
      </c>
      <c r="W128">
        <v>0.1452707</v>
      </c>
      <c r="X128">
        <v>0.98745190000000005</v>
      </c>
      <c r="Y128">
        <v>6.1224690000000002E-3</v>
      </c>
      <c r="Z128">
        <v>-1.4676009999999999E-4</v>
      </c>
      <c r="AA128">
        <v>0.99998120000000001</v>
      </c>
      <c r="AB128">
        <v>14</v>
      </c>
      <c r="AC128">
        <v>38.001199999999898</v>
      </c>
      <c r="AD128">
        <v>-1.1591849999999999</v>
      </c>
      <c r="AE128">
        <v>-0.173900000000003</v>
      </c>
      <c r="AF128">
        <v>0.233539897301906</v>
      </c>
      <c r="AG128">
        <v>-1.1591849999999999</v>
      </c>
      <c r="AH128">
        <v>37.965553179560303</v>
      </c>
      <c r="AI128">
        <v>91.748809649422</v>
      </c>
      <c r="AJ128">
        <v>89.647557309911605</v>
      </c>
      <c r="AK128">
        <v>37.983963444826003</v>
      </c>
      <c r="AL128">
        <v>81.6470451811294</v>
      </c>
      <c r="AM128">
        <v>93.588680242871902</v>
      </c>
      <c r="AN128">
        <v>1.0000000377417599</v>
      </c>
    </row>
    <row r="129" spans="1:40" x14ac:dyDescent="0.25">
      <c r="A129" t="str">
        <f>"20190304155559861"</f>
        <v>20190304155559861</v>
      </c>
      <c r="B129" t="str">
        <f>"1551686159855308"</f>
        <v>1551686159855308</v>
      </c>
      <c r="C129" t="s">
        <v>40</v>
      </c>
      <c r="D129">
        <v>4.994675</v>
      </c>
      <c r="E129">
        <v>0.52391149999999997</v>
      </c>
      <c r="F129" t="s">
        <v>43</v>
      </c>
      <c r="G129">
        <v>-168.84350000000001</v>
      </c>
      <c r="H129">
        <v>9.7599370000000008</v>
      </c>
      <c r="I129">
        <v>365.084</v>
      </c>
      <c r="J129">
        <v>-467.55439999999999</v>
      </c>
      <c r="K129">
        <v>1.109178</v>
      </c>
      <c r="L129">
        <v>367.22149999999999</v>
      </c>
      <c r="M129">
        <v>0.99999110000000002</v>
      </c>
      <c r="N129">
        <v>-3.9354769999999997E-3</v>
      </c>
      <c r="O129">
        <v>1.626089E-3</v>
      </c>
      <c r="P129">
        <v>0.98802509999999999</v>
      </c>
      <c r="Q129">
        <v>0.14059089999999999</v>
      </c>
      <c r="R129">
        <v>6.3567620000000005E-2</v>
      </c>
      <c r="S129">
        <v>3.0255130000000001</v>
      </c>
      <c r="T129">
        <v>8.7579249999999997E-2</v>
      </c>
      <c r="U129">
        <v>-2.163696E-2</v>
      </c>
      <c r="V129">
        <v>-6.1962530000000002E-2</v>
      </c>
      <c r="W129">
        <v>0.14447760000000001</v>
      </c>
      <c r="X129">
        <v>0.9875661</v>
      </c>
      <c r="Y129">
        <v>8.7733180000000004E-3</v>
      </c>
      <c r="Z129">
        <v>1.6314270000000001E-4</v>
      </c>
      <c r="AA129">
        <v>0.99996149999999995</v>
      </c>
      <c r="AB129">
        <v>14</v>
      </c>
      <c r="AC129">
        <v>298.71089999999998</v>
      </c>
      <c r="AD129">
        <v>8.6507589999999901</v>
      </c>
      <c r="AE129">
        <v>-2.1374999999999802</v>
      </c>
      <c r="AF129">
        <v>2.62103321732608</v>
      </c>
      <c r="AG129">
        <v>8.6507589999999901</v>
      </c>
      <c r="AH129">
        <v>298.456726647594</v>
      </c>
      <c r="AI129">
        <v>88.339812420590903</v>
      </c>
      <c r="AJ129">
        <v>89.496844039773094</v>
      </c>
      <c r="AK129">
        <v>298.59357516128699</v>
      </c>
      <c r="AL129">
        <v>81.6929703841639</v>
      </c>
      <c r="AM129">
        <v>93.590183804990502</v>
      </c>
      <c r="AN129">
        <v>0.99999996694748405</v>
      </c>
    </row>
    <row r="130" spans="1:40" x14ac:dyDescent="0.25">
      <c r="A130" t="str">
        <f>"20190304155559881"</f>
        <v>20190304155559881</v>
      </c>
      <c r="B130" t="str">
        <f>"1551686159874828"</f>
        <v>1551686159874828</v>
      </c>
      <c r="C130" t="s">
        <v>40</v>
      </c>
      <c r="D130">
        <v>5.398822</v>
      </c>
      <c r="E130">
        <v>0.52383299999999999</v>
      </c>
      <c r="F130" t="s">
        <v>43</v>
      </c>
      <c r="G130">
        <v>-158.19499999999999</v>
      </c>
      <c r="H130">
        <v>2.5208349999999999</v>
      </c>
      <c r="I130">
        <v>366.1266</v>
      </c>
      <c r="J130">
        <v>-467.42469999999997</v>
      </c>
      <c r="K130">
        <v>1.1091770000000001</v>
      </c>
      <c r="L130">
        <v>367.22179999999997</v>
      </c>
      <c r="M130">
        <v>0.99999110000000002</v>
      </c>
      <c r="N130">
        <v>-3.9127800000000003E-3</v>
      </c>
      <c r="O130">
        <v>1.6731039999999999E-3</v>
      </c>
      <c r="P130">
        <v>0.98801879999999997</v>
      </c>
      <c r="Q130">
        <v>0.14057529999999999</v>
      </c>
      <c r="R130">
        <v>6.3700409999999999E-2</v>
      </c>
      <c r="S130">
        <v>3.035034</v>
      </c>
      <c r="T130">
        <v>1.385021E-2</v>
      </c>
      <c r="U130">
        <v>-1.074219E-2</v>
      </c>
      <c r="V130">
        <v>-6.2048569999999997E-2</v>
      </c>
      <c r="W130">
        <v>0.14443989999999901</v>
      </c>
      <c r="X130">
        <v>0.98756619999999995</v>
      </c>
      <c r="Y130">
        <v>5.212408E-3</v>
      </c>
      <c r="Z130" s="1">
        <v>1.5877079999999999E-5</v>
      </c>
      <c r="AA130">
        <v>0.99998640000000005</v>
      </c>
      <c r="AB130">
        <v>14</v>
      </c>
      <c r="AC130">
        <v>309.22969999999998</v>
      </c>
      <c r="AD130">
        <v>1.4116580000000001</v>
      </c>
      <c r="AE130">
        <v>-1.09519999999997</v>
      </c>
      <c r="AF130">
        <v>1.61254219072105</v>
      </c>
      <c r="AG130">
        <v>1.4116580000000001</v>
      </c>
      <c r="AH130">
        <v>309.22099071825301</v>
      </c>
      <c r="AI130">
        <v>89.738438248618905</v>
      </c>
      <c r="AJ130">
        <v>89.701213607487503</v>
      </c>
      <c r="AK130">
        <v>309.228417470652</v>
      </c>
      <c r="AL130">
        <v>81.695153228908495</v>
      </c>
      <c r="AM130">
        <v>93.595155637323103</v>
      </c>
      <c r="AN130">
        <v>0.99999995456674595</v>
      </c>
    </row>
    <row r="131" spans="1:40" x14ac:dyDescent="0.25">
      <c r="A131" t="str">
        <f>"20190304155559903"</f>
        <v>20190304155559903</v>
      </c>
      <c r="B131" t="str">
        <f>"1551686159895325"</f>
        <v>1551686159895325</v>
      </c>
      <c r="C131" t="s">
        <v>40</v>
      </c>
      <c r="D131">
        <v>4.7265459999999999</v>
      </c>
      <c r="E131">
        <v>0.52436510000000003</v>
      </c>
      <c r="F131" t="s">
        <v>43</v>
      </c>
      <c r="G131">
        <v>-158.19499999999999</v>
      </c>
      <c r="H131">
        <v>2.2590059999999998</v>
      </c>
      <c r="I131">
        <v>366.1927</v>
      </c>
      <c r="J131">
        <v>-467.28699999999998</v>
      </c>
      <c r="K131">
        <v>1.1091759999999999</v>
      </c>
      <c r="L131">
        <v>367.22210000000001</v>
      </c>
      <c r="M131">
        <v>0.99999099999999996</v>
      </c>
      <c r="N131">
        <v>-3.8903760000000001E-3</v>
      </c>
      <c r="O131">
        <v>1.723217E-3</v>
      </c>
      <c r="P131">
        <v>0.98780469999999998</v>
      </c>
      <c r="Q131">
        <v>0.14161969999999999</v>
      </c>
      <c r="R131">
        <v>6.4698439999999996E-2</v>
      </c>
      <c r="S131">
        <v>3.035431</v>
      </c>
      <c r="T131">
        <v>1.128769E-2</v>
      </c>
      <c r="U131">
        <v>-1.010132E-2</v>
      </c>
      <c r="V131">
        <v>-6.2997789999999998E-2</v>
      </c>
      <c r="W131">
        <v>0.14546129999999999</v>
      </c>
      <c r="X131">
        <v>0.98735620000000002</v>
      </c>
      <c r="Y131">
        <v>5.0509530000000004E-3</v>
      </c>
      <c r="Z131" s="1">
        <v>1.2678090000000001E-5</v>
      </c>
      <c r="AA131">
        <v>0.99998719999999996</v>
      </c>
      <c r="AB131">
        <v>14</v>
      </c>
      <c r="AC131">
        <v>309.09199999999998</v>
      </c>
      <c r="AD131">
        <v>1.1498299999999999</v>
      </c>
      <c r="AE131">
        <v>-1.0294000000000001</v>
      </c>
      <c r="AF131">
        <v>1.56201344762806</v>
      </c>
      <c r="AG131">
        <v>1.1498299999999999</v>
      </c>
      <c r="AH131">
        <v>309.08548992014801</v>
      </c>
      <c r="AI131">
        <v>89.786857477461496</v>
      </c>
      <c r="AJ131">
        <v>89.710448988641502</v>
      </c>
      <c r="AK131">
        <v>309.09157554714699</v>
      </c>
      <c r="AL131">
        <v>81.636006946956599</v>
      </c>
      <c r="AM131">
        <v>93.650781038381496</v>
      </c>
      <c r="AN131">
        <v>0.99999998851050698</v>
      </c>
    </row>
    <row r="132" spans="1:40" x14ac:dyDescent="0.25">
      <c r="A132" t="str">
        <f>"20190304155559925"</f>
        <v>20190304155559925</v>
      </c>
      <c r="B132" t="str">
        <f>"1551686159914848"</f>
        <v>1551686159914848</v>
      </c>
      <c r="C132" t="s">
        <v>40</v>
      </c>
      <c r="D132">
        <v>4.709384</v>
      </c>
      <c r="E132">
        <v>0.52049449999999997</v>
      </c>
      <c r="F132" t="s">
        <v>43</v>
      </c>
      <c r="G132">
        <v>-158.78319999999999</v>
      </c>
      <c r="H132">
        <v>55.017989999999998</v>
      </c>
      <c r="I132">
        <v>367.47629999999998</v>
      </c>
      <c r="J132">
        <v>-467.14069999999998</v>
      </c>
      <c r="K132">
        <v>1.1091770000000001</v>
      </c>
      <c r="L132">
        <v>367.22239999999999</v>
      </c>
      <c r="M132">
        <v>0.99999110000000002</v>
      </c>
      <c r="N132">
        <v>-3.8683569999999998E-3</v>
      </c>
      <c r="O132">
        <v>1.7764879999999999E-3</v>
      </c>
      <c r="P132">
        <v>0.98759620000000004</v>
      </c>
      <c r="Q132">
        <v>0.14252870000000001</v>
      </c>
      <c r="R132">
        <v>6.5876729999999994E-2</v>
      </c>
      <c r="S132">
        <v>2.9626769999999998</v>
      </c>
      <c r="T132">
        <v>0.51770709999999998</v>
      </c>
      <c r="U132">
        <v>2.4414060000000001E-3</v>
      </c>
      <c r="V132">
        <v>-6.4124410000000007E-2</v>
      </c>
      <c r="W132">
        <v>0.1463477</v>
      </c>
      <c r="X132">
        <v>0.98715269999999999</v>
      </c>
      <c r="Y132">
        <v>9.1083250000000004E-4</v>
      </c>
      <c r="Z132">
        <v>3.9212140000000002E-4</v>
      </c>
      <c r="AA132">
        <v>0.99999950000000004</v>
      </c>
      <c r="AB132">
        <v>14</v>
      </c>
      <c r="AC132">
        <v>308.35750000000002</v>
      </c>
      <c r="AD132">
        <v>53.908813000000002</v>
      </c>
      <c r="AE132">
        <v>0.25389999999998702</v>
      </c>
      <c r="AF132">
        <v>0.285181521644646</v>
      </c>
      <c r="AG132">
        <v>53.908813000000002</v>
      </c>
      <c r="AH132">
        <v>299.21233812143498</v>
      </c>
      <c r="AI132">
        <v>79.786647308624794</v>
      </c>
      <c r="AJ132">
        <v>89.945390979729595</v>
      </c>
      <c r="AK132">
        <v>304.03003919294702</v>
      </c>
      <c r="AL132">
        <v>81.584670875829104</v>
      </c>
      <c r="AM132">
        <v>93.716652281967001</v>
      </c>
      <c r="AN132">
        <v>1.00000002118521</v>
      </c>
    </row>
    <row r="133" spans="1:40" x14ac:dyDescent="0.25">
      <c r="A133" t="str">
        <f>"20190304155559949"</f>
        <v>20190304155559949</v>
      </c>
      <c r="B133" t="str">
        <f>"1551686159945101"</f>
        <v>1551686159945101</v>
      </c>
      <c r="C133" t="s">
        <v>40</v>
      </c>
      <c r="D133">
        <v>4.8283690000000004</v>
      </c>
      <c r="E133">
        <v>0.52001359999999996</v>
      </c>
      <c r="F133" t="s">
        <v>44</v>
      </c>
      <c r="G133">
        <v>-298.37189999999998</v>
      </c>
      <c r="H133">
        <v>-0.05</v>
      </c>
      <c r="I133">
        <v>368.43239999999997</v>
      </c>
      <c r="J133">
        <v>-466.99349999999998</v>
      </c>
      <c r="K133">
        <v>1.1091740000000001</v>
      </c>
      <c r="L133">
        <v>367.22269999999997</v>
      </c>
      <c r="M133">
        <v>0.99999090000000002</v>
      </c>
      <c r="N133">
        <v>-3.8478660000000001E-3</v>
      </c>
      <c r="O133">
        <v>1.8295780000000001E-3</v>
      </c>
      <c r="P133">
        <v>0.98746199999999995</v>
      </c>
      <c r="Q133">
        <v>0.1431424</v>
      </c>
      <c r="R133">
        <v>6.6552479999999997E-2</v>
      </c>
      <c r="S133">
        <v>3.0392459999999999</v>
      </c>
      <c r="T133">
        <v>-2.0874859999999999E-2</v>
      </c>
      <c r="U133">
        <v>2.1789550000000001E-2</v>
      </c>
      <c r="V133">
        <v>-6.4747970000000002E-2</v>
      </c>
      <c r="W133">
        <v>0.1469406</v>
      </c>
      <c r="X133">
        <v>0.98702389999999995</v>
      </c>
      <c r="Y133">
        <v>-5.3394669999999997E-3</v>
      </c>
      <c r="Z133" s="1">
        <v>2.308345E-5</v>
      </c>
      <c r="AA133">
        <v>0.99998580000000004</v>
      </c>
      <c r="AB133">
        <v>14</v>
      </c>
      <c r="AC133">
        <v>168.6216</v>
      </c>
      <c r="AD133">
        <v>-1.1591739999999999</v>
      </c>
      <c r="AE133">
        <v>1.20969999999999</v>
      </c>
      <c r="AF133">
        <v>-0.90114673079434504</v>
      </c>
      <c r="AG133">
        <v>-1.1591739999999999</v>
      </c>
      <c r="AH133">
        <v>168.61556309241001</v>
      </c>
      <c r="AI133">
        <v>90.393876947116496</v>
      </c>
      <c r="AJ133">
        <v>90.306207872392406</v>
      </c>
      <c r="AK133">
        <v>168.62195547070201</v>
      </c>
      <c r="AL133">
        <v>81.550328847802106</v>
      </c>
      <c r="AM133">
        <v>93.753179358268298</v>
      </c>
      <c r="AN133">
        <v>1.00000000935934</v>
      </c>
    </row>
    <row r="134" spans="1:40" x14ac:dyDescent="0.25">
      <c r="A134" t="str">
        <f>"20190304155559962"</f>
        <v>20190304155559962</v>
      </c>
      <c r="B134" t="str">
        <f>"1551686159954861"</f>
        <v>1551686159954861</v>
      </c>
      <c r="C134" t="s">
        <v>40</v>
      </c>
      <c r="D134">
        <v>5.0925120000000001</v>
      </c>
      <c r="E134">
        <v>0.5208623</v>
      </c>
      <c r="F134" t="s">
        <v>41</v>
      </c>
      <c r="G134">
        <v>-370.8809</v>
      </c>
      <c r="H134" s="1">
        <v>-4.1653410000000002E-6</v>
      </c>
      <c r="I134">
        <v>368.08870000000002</v>
      </c>
      <c r="J134">
        <v>-466.90170000000001</v>
      </c>
      <c r="K134">
        <v>1.1091719999999901</v>
      </c>
      <c r="L134">
        <v>367.22289999999998</v>
      </c>
      <c r="M134">
        <v>0.99999099999999996</v>
      </c>
      <c r="N134">
        <v>-3.8362560000000001E-3</v>
      </c>
      <c r="O134">
        <v>1.8624430000000001E-3</v>
      </c>
      <c r="P134">
        <v>0.98744520000000002</v>
      </c>
      <c r="Q134">
        <v>0.1431723</v>
      </c>
      <c r="R134">
        <v>6.6738839999999994E-2</v>
      </c>
      <c r="S134">
        <v>3.0413209999999999</v>
      </c>
      <c r="T134">
        <v>-3.5098079999999997E-2</v>
      </c>
      <c r="U134">
        <v>2.7404789999999998E-2</v>
      </c>
      <c r="V134">
        <v>-6.4901689999999998E-2</v>
      </c>
      <c r="W134">
        <v>0.14695849999999999</v>
      </c>
      <c r="X134">
        <v>0.98701110000000003</v>
      </c>
      <c r="Y134">
        <v>-7.1474769999999898E-3</v>
      </c>
      <c r="Z134" s="1">
        <v>4.0603299999999998E-5</v>
      </c>
      <c r="AA134">
        <v>0.99997440000000004</v>
      </c>
      <c r="AB134">
        <v>14</v>
      </c>
      <c r="AC134">
        <v>96.020799999999994</v>
      </c>
      <c r="AD134">
        <v>-1.10917616534099</v>
      </c>
      <c r="AE134">
        <v>0.86580000000003499</v>
      </c>
      <c r="AF134">
        <v>-0.68687228672624701</v>
      </c>
      <c r="AG134">
        <v>-1.10917616534099</v>
      </c>
      <c r="AH134">
        <v>96.009435981924497</v>
      </c>
      <c r="AI134">
        <v>90.661879316163507</v>
      </c>
      <c r="AJ134">
        <v>90.409899415415097</v>
      </c>
      <c r="AK134">
        <v>96.018299624974006</v>
      </c>
      <c r="AL134">
        <v>81.549291669103994</v>
      </c>
      <c r="AM134">
        <v>93.762112977971995</v>
      </c>
      <c r="AN134">
        <v>0.99999997080515701</v>
      </c>
    </row>
    <row r="135" spans="1:40" x14ac:dyDescent="0.25">
      <c r="A135" t="str">
        <f>"20190304155559982"</f>
        <v>20190304155559982</v>
      </c>
      <c r="B135" t="str">
        <f>"1551686159975357"</f>
        <v>1551686159975357</v>
      </c>
      <c r="C135" t="s">
        <v>40</v>
      </c>
      <c r="D135">
        <v>4.8665729999999998</v>
      </c>
      <c r="E135">
        <v>0.51922979999999996</v>
      </c>
      <c r="F135" t="s">
        <v>41</v>
      </c>
      <c r="G135">
        <v>-375.86720000000003</v>
      </c>
      <c r="H135" s="1">
        <v>-2.0687039999999999E-6</v>
      </c>
      <c r="I135">
        <v>367.84930000000003</v>
      </c>
      <c r="J135">
        <v>-466.77379999999999</v>
      </c>
      <c r="K135">
        <v>1.109167</v>
      </c>
      <c r="L135">
        <v>367.22320000000002</v>
      </c>
      <c r="M135">
        <v>0.99999090000000002</v>
      </c>
      <c r="N135">
        <v>-3.821086E-3</v>
      </c>
      <c r="O135">
        <v>1.9081300000000001E-3</v>
      </c>
      <c r="P135">
        <v>0.98720399999999997</v>
      </c>
      <c r="Q135">
        <v>0.14473539999999999</v>
      </c>
      <c r="R135">
        <v>6.6935770000000006E-2</v>
      </c>
      <c r="S135">
        <v>3.042084</v>
      </c>
      <c r="T135">
        <v>-3.7065029999999999E-2</v>
      </c>
      <c r="U135">
        <v>2.0935059999999998E-2</v>
      </c>
      <c r="V135">
        <v>-6.5054520000000005E-2</v>
      </c>
      <c r="W135">
        <v>0.1485059</v>
      </c>
      <c r="X135">
        <v>0.98676940000000002</v>
      </c>
      <c r="Y135">
        <v>-4.9731239999999998E-3</v>
      </c>
      <c r="Z135" s="1">
        <v>2.3840249999999999E-5</v>
      </c>
      <c r="AA135">
        <v>0.99998770000000003</v>
      </c>
      <c r="AB135">
        <v>15</v>
      </c>
      <c r="AC135">
        <v>90.906599999999898</v>
      </c>
      <c r="AD135">
        <v>-1.1091690687039999</v>
      </c>
      <c r="AE135">
        <v>0.62610000000000798</v>
      </c>
      <c r="AF135">
        <v>-0.45256861649441599</v>
      </c>
      <c r="AG135">
        <v>-1.1091690687039999</v>
      </c>
      <c r="AH135">
        <v>90.894098508526795</v>
      </c>
      <c r="AI135">
        <v>90.699129708787297</v>
      </c>
      <c r="AJ135">
        <v>90.285277678232703</v>
      </c>
      <c r="AK135">
        <v>90.901992376698601</v>
      </c>
      <c r="AL135">
        <v>81.459648549772496</v>
      </c>
      <c r="AM135">
        <v>93.771867434178603</v>
      </c>
      <c r="AN135">
        <v>0.99999997084179904</v>
      </c>
    </row>
    <row r="136" spans="1:40" x14ac:dyDescent="0.25">
      <c r="A136" t="str">
        <f>"20190304155600005"</f>
        <v>20190304155600005</v>
      </c>
      <c r="B136" t="str">
        <f>"1551686159994880"</f>
        <v>1551686159994880</v>
      </c>
      <c r="C136" t="s">
        <v>40</v>
      </c>
      <c r="D136">
        <v>4.6617100000000002</v>
      </c>
      <c r="E136">
        <v>0.51926419999999995</v>
      </c>
      <c r="F136" t="s">
        <v>44</v>
      </c>
      <c r="G136">
        <v>-399.34039999999999</v>
      </c>
      <c r="H136">
        <v>-0.05</v>
      </c>
      <c r="I136">
        <v>367.9776</v>
      </c>
      <c r="J136">
        <v>-466.6241</v>
      </c>
      <c r="K136">
        <v>1.10917</v>
      </c>
      <c r="L136">
        <v>367.22359999999998</v>
      </c>
      <c r="M136">
        <v>0.99999099999999996</v>
      </c>
      <c r="N136">
        <v>-3.8049640000000001E-3</v>
      </c>
      <c r="O136">
        <v>1.9605540000000002E-3</v>
      </c>
      <c r="P136">
        <v>0.98680880000000004</v>
      </c>
      <c r="Q136">
        <v>0.1470775</v>
      </c>
      <c r="R136">
        <v>6.7653130000000006E-2</v>
      </c>
      <c r="S136">
        <v>3.0442809999999998</v>
      </c>
      <c r="T136">
        <v>-5.233061E-2</v>
      </c>
      <c r="U136">
        <v>3.4057619999999997E-2</v>
      </c>
      <c r="V136">
        <v>-6.5720410000000007E-2</v>
      </c>
      <c r="W136">
        <v>0.1508311</v>
      </c>
      <c r="X136">
        <v>0.98637249999999999</v>
      </c>
      <c r="Y136">
        <v>-9.2247539999999999E-3</v>
      </c>
      <c r="Z136" s="1">
        <v>7.0591010000000003E-5</v>
      </c>
      <c r="AA136">
        <v>0.9999574</v>
      </c>
      <c r="AB136">
        <v>15</v>
      </c>
      <c r="AC136">
        <v>67.283699999999996</v>
      </c>
      <c r="AD136">
        <v>-1.15917</v>
      </c>
      <c r="AE136">
        <v>0.75400000000001899</v>
      </c>
      <c r="AF136">
        <v>-0.621899728820828</v>
      </c>
      <c r="AG136">
        <v>-1.15917</v>
      </c>
      <c r="AH136">
        <v>67.265086694760697</v>
      </c>
      <c r="AI136">
        <v>90.987230391094997</v>
      </c>
      <c r="AJ136">
        <v>90.529713351623002</v>
      </c>
      <c r="AK136">
        <v>67.277948262527104</v>
      </c>
      <c r="AL136">
        <v>81.324906490942794</v>
      </c>
      <c r="AM136">
        <v>93.811891347822794</v>
      </c>
      <c r="AN136">
        <v>0.99999995088701199</v>
      </c>
    </row>
    <row r="137" spans="1:40" x14ac:dyDescent="0.25">
      <c r="A137" t="str">
        <f>"20190304155600030"</f>
        <v>20190304155600030</v>
      </c>
      <c r="B137" t="str">
        <f>"1551686160025133"</f>
        <v>1551686160025133</v>
      </c>
      <c r="C137" t="s">
        <v>40</v>
      </c>
      <c r="D137">
        <v>4.7560919999999998</v>
      </c>
      <c r="E137">
        <v>0.52317539999999996</v>
      </c>
      <c r="F137" t="s">
        <v>41</v>
      </c>
      <c r="G137">
        <v>-391.61070000000001</v>
      </c>
      <c r="H137" s="1">
        <v>-3.8476899999999997E-6</v>
      </c>
      <c r="I137">
        <v>368.1146</v>
      </c>
      <c r="J137">
        <v>-466.4597</v>
      </c>
      <c r="K137">
        <v>1.109178</v>
      </c>
      <c r="L137">
        <v>367.22399999999999</v>
      </c>
      <c r="M137">
        <v>0.99999090000000002</v>
      </c>
      <c r="N137">
        <v>-3.7892780000000001E-3</v>
      </c>
      <c r="O137">
        <v>2.0185189999999999E-3</v>
      </c>
      <c r="P137">
        <v>0.98640689999999998</v>
      </c>
      <c r="Q137">
        <v>0.14969489999999999</v>
      </c>
      <c r="R137">
        <v>6.7773029999999998E-2</v>
      </c>
      <c r="S137">
        <v>3.0443419999999999</v>
      </c>
      <c r="T137">
        <v>-4.5014619999999998E-2</v>
      </c>
      <c r="U137">
        <v>3.616333E-2</v>
      </c>
      <c r="V137">
        <v>-6.578407E-2</v>
      </c>
      <c r="W137">
        <v>0.15343080000000001</v>
      </c>
      <c r="X137">
        <v>0.98596729999999999</v>
      </c>
      <c r="Y137">
        <v>-9.8583830000000001E-3</v>
      </c>
      <c r="Z137" s="1">
        <v>6.9362659999999996E-5</v>
      </c>
      <c r="AA137">
        <v>0.99995140000000005</v>
      </c>
      <c r="AB137">
        <v>15</v>
      </c>
      <c r="AC137">
        <v>74.848999999999904</v>
      </c>
      <c r="AD137">
        <v>-1.1091818476899999</v>
      </c>
      <c r="AE137">
        <v>0.89060000000000605</v>
      </c>
      <c r="AF137">
        <v>-0.73935065106662601</v>
      </c>
      <c r="AG137">
        <v>-1.1091818476899999</v>
      </c>
      <c r="AH137">
        <v>74.834213909106197</v>
      </c>
      <c r="AI137">
        <v>90.849126105544698</v>
      </c>
      <c r="AJ137">
        <v>90.566055169514399</v>
      </c>
      <c r="AK137">
        <v>74.846085369579299</v>
      </c>
      <c r="AL137">
        <v>81.174201185534002</v>
      </c>
      <c r="AM137">
        <v>93.817136269914698</v>
      </c>
      <c r="AN137">
        <v>1.0000000354618399</v>
      </c>
    </row>
    <row r="138" spans="1:40" x14ac:dyDescent="0.25">
      <c r="A138" t="str">
        <f>"20190304155600051"</f>
        <v>20190304155600051</v>
      </c>
      <c r="B138" t="str">
        <f>"1551686160044653"</f>
        <v>1551686160044653</v>
      </c>
      <c r="C138" t="s">
        <v>40</v>
      </c>
      <c r="D138">
        <v>4.7248190000000001</v>
      </c>
      <c r="E138">
        <v>0.52576519999999904</v>
      </c>
      <c r="F138" t="s">
        <v>41</v>
      </c>
      <c r="G138">
        <v>-347.8304</v>
      </c>
      <c r="H138" s="1">
        <v>-1.3950870000000001E-6</v>
      </c>
      <c r="I138">
        <v>367.44510000000002</v>
      </c>
      <c r="J138">
        <v>-466.31330000000003</v>
      </c>
      <c r="K138">
        <v>1.109194</v>
      </c>
      <c r="L138">
        <v>367.22430000000003</v>
      </c>
      <c r="M138">
        <v>0.99999070000000001</v>
      </c>
      <c r="N138">
        <v>-3.777444E-3</v>
      </c>
      <c r="O138">
        <v>2.0698610000000001E-3</v>
      </c>
      <c r="P138">
        <v>0.98602889999999999</v>
      </c>
      <c r="Q138">
        <v>0.15209310000000001</v>
      </c>
      <c r="R138">
        <v>6.7930740000000003E-2</v>
      </c>
      <c r="S138">
        <v>3.0453190000000001</v>
      </c>
      <c r="T138">
        <v>-2.8473620000000002E-2</v>
      </c>
      <c r="U138">
        <v>5.6762699999999998E-3</v>
      </c>
      <c r="V138">
        <v>-6.5892210000000007E-2</v>
      </c>
      <c r="W138">
        <v>0.15581639999999999</v>
      </c>
      <c r="X138">
        <v>0.98558590000000001</v>
      </c>
      <c r="Y138">
        <v>2.0590199999999999E-4</v>
      </c>
      <c r="Z138" s="1">
        <v>-1.28854199999999E-5</v>
      </c>
      <c r="AA138">
        <v>1</v>
      </c>
      <c r="AB138">
        <v>15</v>
      </c>
      <c r="AC138">
        <v>118.4829</v>
      </c>
      <c r="AD138">
        <v>-1.1091953950869999</v>
      </c>
      <c r="AE138">
        <v>0.220799999999996</v>
      </c>
      <c r="AF138">
        <v>2.44432200842216E-2</v>
      </c>
      <c r="AG138">
        <v>-1.1091953950869999</v>
      </c>
      <c r="AH138">
        <v>118.47272024465001</v>
      </c>
      <c r="AI138">
        <v>90.536413416577204</v>
      </c>
      <c r="AJ138">
        <v>89.988178769544803</v>
      </c>
      <c r="AK138">
        <v>118.477915047753</v>
      </c>
      <c r="AL138">
        <v>81.035852617971997</v>
      </c>
      <c r="AM138">
        <v>93.824867700512698</v>
      </c>
      <c r="AN138">
        <v>1.00000005006322</v>
      </c>
    </row>
    <row r="139" spans="1:40" x14ac:dyDescent="0.25">
      <c r="A139" t="str">
        <f>"20190304155600071"</f>
        <v>20190304155600071</v>
      </c>
      <c r="B139" t="str">
        <f>"1551686160065149"</f>
        <v>1551686160065149</v>
      </c>
      <c r="C139" t="s">
        <v>40</v>
      </c>
      <c r="D139">
        <v>4.8429789999999997</v>
      </c>
      <c r="E139">
        <v>0.52794110000000005</v>
      </c>
      <c r="F139" t="s">
        <v>41</v>
      </c>
      <c r="G139">
        <v>-262.89449999999999</v>
      </c>
      <c r="H139" s="1">
        <v>-3.6269470000000002E-6</v>
      </c>
      <c r="I139">
        <v>366.25420000000003</v>
      </c>
      <c r="J139">
        <v>-466.16719999999998</v>
      </c>
      <c r="K139">
        <v>1.1092089999999999</v>
      </c>
      <c r="L139">
        <v>367.22469999999998</v>
      </c>
      <c r="M139">
        <v>0.99999070000000001</v>
      </c>
      <c r="N139">
        <v>-3.7672069999999998E-3</v>
      </c>
      <c r="O139">
        <v>2.1206049999999998E-3</v>
      </c>
      <c r="P139">
        <v>0.98540150000000004</v>
      </c>
      <c r="Q139">
        <v>0.1558089</v>
      </c>
      <c r="R139">
        <v>6.8610290000000004E-2</v>
      </c>
      <c r="S139">
        <v>3.0460509999999998</v>
      </c>
      <c r="T139">
        <v>-1.6609430000000001E-2</v>
      </c>
      <c r="U139">
        <v>-1.452637E-2</v>
      </c>
      <c r="V139">
        <v>-6.6522990000000004E-2</v>
      </c>
      <c r="W139">
        <v>0.15951979999999999</v>
      </c>
      <c r="X139">
        <v>0.98495080000000002</v>
      </c>
      <c r="Y139">
        <v>6.8892729999999996E-3</v>
      </c>
      <c r="Z139" s="1">
        <v>-3.533384E-5</v>
      </c>
      <c r="AA139">
        <v>0.99997630000000004</v>
      </c>
      <c r="AB139">
        <v>15</v>
      </c>
      <c r="AC139">
        <v>203.27269999999999</v>
      </c>
      <c r="AD139">
        <v>-1.109212626947</v>
      </c>
      <c r="AE139">
        <v>-0.97049999999995795</v>
      </c>
      <c r="AF139">
        <v>1.40152023023674</v>
      </c>
      <c r="AG139">
        <v>-1.109212626947</v>
      </c>
      <c r="AH139">
        <v>203.26413254969501</v>
      </c>
      <c r="AI139">
        <v>90.312652605503104</v>
      </c>
      <c r="AJ139">
        <v>89.604947904164703</v>
      </c>
      <c r="AK139">
        <v>203.27199067453299</v>
      </c>
      <c r="AL139">
        <v>80.820974978891201</v>
      </c>
      <c r="AM139">
        <v>93.863854846630502</v>
      </c>
      <c r="AN139">
        <v>0.99999997660560902</v>
      </c>
    </row>
    <row r="140" spans="1:40" x14ac:dyDescent="0.25">
      <c r="A140" t="str">
        <f>"20190304155600105"</f>
        <v>20190304155600105</v>
      </c>
      <c r="B140" t="str">
        <f>"1551686160095405"</f>
        <v>1551686160095405</v>
      </c>
      <c r="C140" t="s">
        <v>40</v>
      </c>
      <c r="D140">
        <v>4.697457</v>
      </c>
      <c r="E140">
        <v>0.53091029999999995</v>
      </c>
      <c r="F140" t="s">
        <v>44</v>
      </c>
      <c r="G140">
        <v>-135.2123</v>
      </c>
      <c r="H140">
        <v>-0.05</v>
      </c>
      <c r="I140">
        <v>363.98090000000002</v>
      </c>
      <c r="J140">
        <v>-465.94049999999999</v>
      </c>
      <c r="K140">
        <v>1.1092109999999999</v>
      </c>
      <c r="L140">
        <v>367.2253</v>
      </c>
      <c r="M140">
        <v>0.9999905</v>
      </c>
      <c r="N140">
        <v>-3.7544660000000001E-3</v>
      </c>
      <c r="O140">
        <v>2.1990690000000001E-3</v>
      </c>
      <c r="P140">
        <v>0.984904</v>
      </c>
      <c r="Q140">
        <v>0.15847849999999999</v>
      </c>
      <c r="R140">
        <v>6.9631960000000007E-2</v>
      </c>
      <c r="S140">
        <v>3.0482179999999999</v>
      </c>
      <c r="T140">
        <v>-1.0676740000000001E-2</v>
      </c>
      <c r="U140">
        <v>-2.9876710000000001E-2</v>
      </c>
      <c r="V140">
        <v>-6.7468399999999998E-2</v>
      </c>
      <c r="W140">
        <v>0.1621747</v>
      </c>
      <c r="X140">
        <v>0.98445280000000002</v>
      </c>
      <c r="Y140">
        <v>1.19997E-2</v>
      </c>
      <c r="Z140" s="1">
        <v>-4.298777E-5</v>
      </c>
      <c r="AA140">
        <v>0.99992800000000004</v>
      </c>
      <c r="AB140">
        <v>15</v>
      </c>
      <c r="AC140">
        <v>330.72820000000002</v>
      </c>
      <c r="AD140">
        <v>-1.159211</v>
      </c>
      <c r="AE140">
        <v>-3.2443999999999802</v>
      </c>
      <c r="AF140">
        <v>3.9716426501114701</v>
      </c>
      <c r="AG140">
        <v>-1.159211</v>
      </c>
      <c r="AH140">
        <v>330.716203066155</v>
      </c>
      <c r="AI140">
        <v>90.200815189534197</v>
      </c>
      <c r="AJ140">
        <v>89.311955625894996</v>
      </c>
      <c r="AK140">
        <v>330.74208181901702</v>
      </c>
      <c r="AL140">
        <v>80.666853502572906</v>
      </c>
      <c r="AM140">
        <v>93.920573313193998</v>
      </c>
      <c r="AN140">
        <v>0.999999966873244</v>
      </c>
    </row>
    <row r="141" spans="1:40" x14ac:dyDescent="0.25">
      <c r="A141" t="str">
        <f>"20190304155600126"</f>
        <v>20190304155600126</v>
      </c>
      <c r="B141" t="str">
        <f>"1551686160114928"</f>
        <v>1551686160114928</v>
      </c>
      <c r="C141" t="s">
        <v>40</v>
      </c>
      <c r="D141">
        <v>4.664231</v>
      </c>
      <c r="E141">
        <v>0.53232369999999996</v>
      </c>
      <c r="F141" t="s">
        <v>43</v>
      </c>
      <c r="G141">
        <v>-158.19499999999999</v>
      </c>
      <c r="H141">
        <v>0.58394049999999997</v>
      </c>
      <c r="I141">
        <v>362.16980000000001</v>
      </c>
      <c r="J141">
        <v>-465.79050000000001</v>
      </c>
      <c r="K141">
        <v>1.109208</v>
      </c>
      <c r="L141">
        <v>367.22570000000002</v>
      </c>
      <c r="M141">
        <v>0.9999905</v>
      </c>
      <c r="N141">
        <v>-3.7479779999999999E-3</v>
      </c>
      <c r="O141">
        <v>2.2487900000000001E-3</v>
      </c>
      <c r="P141">
        <v>0.98481569999999996</v>
      </c>
      <c r="Q141">
        <v>0.158776</v>
      </c>
      <c r="R141">
        <v>7.0202570000000006E-2</v>
      </c>
      <c r="S141">
        <v>3.0503849999999999</v>
      </c>
      <c r="T141">
        <v>-5.2056309999999996E-3</v>
      </c>
      <c r="U141">
        <v>-5.0109859999999999E-2</v>
      </c>
      <c r="V141">
        <v>-6.7990400000000006E-2</v>
      </c>
      <c r="W141">
        <v>0.16246540000000001</v>
      </c>
      <c r="X141">
        <v>0.98436900000000005</v>
      </c>
      <c r="Y141">
        <v>1.8673539999999999E-2</v>
      </c>
      <c r="Z141" s="1">
        <v>-4.6338729999999898E-5</v>
      </c>
      <c r="AA141">
        <v>0.99982570000000004</v>
      </c>
      <c r="AB141">
        <v>15</v>
      </c>
      <c r="AC141">
        <v>307.59550000000002</v>
      </c>
      <c r="AD141">
        <v>-0.5252675</v>
      </c>
      <c r="AE141">
        <v>-5.0559000000000003</v>
      </c>
      <c r="AF141">
        <v>5.7475929665957901</v>
      </c>
      <c r="AG141">
        <v>-0.5252675</v>
      </c>
      <c r="AH141">
        <v>307.58245579140203</v>
      </c>
      <c r="AI141">
        <v>90.097828494592207</v>
      </c>
      <c r="AJ141">
        <v>88.929475685630194</v>
      </c>
      <c r="AK141">
        <v>307.63660029574902</v>
      </c>
      <c r="AL141">
        <v>80.649974211067502</v>
      </c>
      <c r="AM141">
        <v>93.951146190812693</v>
      </c>
      <c r="AN141">
        <v>1.00000001442516</v>
      </c>
    </row>
    <row r="142" spans="1:40" x14ac:dyDescent="0.25">
      <c r="A142" t="str">
        <f>"20190304155600150"</f>
        <v>20190304155600150</v>
      </c>
      <c r="B142" t="str">
        <f>"1551686160145181"</f>
        <v>1551686160145181</v>
      </c>
      <c r="C142" t="s">
        <v>40</v>
      </c>
      <c r="D142">
        <v>4.5870680000000004</v>
      </c>
      <c r="E142">
        <v>0.53411239999999904</v>
      </c>
      <c r="F142" t="s">
        <v>43</v>
      </c>
      <c r="G142">
        <v>-158.19499999999999</v>
      </c>
      <c r="H142">
        <v>0.68698979999999998</v>
      </c>
      <c r="I142">
        <v>361.20190000000002</v>
      </c>
      <c r="J142">
        <v>-465.62430000000001</v>
      </c>
      <c r="K142">
        <v>1.1092029999999999</v>
      </c>
      <c r="L142">
        <v>367.22609999999997</v>
      </c>
      <c r="M142">
        <v>0.9999905</v>
      </c>
      <c r="N142">
        <v>-3.7425309999999999E-3</v>
      </c>
      <c r="O142">
        <v>2.2998150000000002E-3</v>
      </c>
      <c r="P142">
        <v>0.98485449999999997</v>
      </c>
      <c r="Q142">
        <v>0.15833510000000001</v>
      </c>
      <c r="R142">
        <v>7.0654690000000006E-2</v>
      </c>
      <c r="S142">
        <v>3.0512079999999999</v>
      </c>
      <c r="T142">
        <v>-4.1873459999999998E-3</v>
      </c>
      <c r="U142">
        <v>-5.9753420000000002E-2</v>
      </c>
      <c r="V142">
        <v>-6.839162E-2</v>
      </c>
      <c r="W142">
        <v>0.16201940000000001</v>
      </c>
      <c r="X142">
        <v>0.98441469999999998</v>
      </c>
      <c r="Y142">
        <v>2.1879019999999999E-2</v>
      </c>
      <c r="Z142" s="1">
        <v>-5.0506649999999999E-5</v>
      </c>
      <c r="AA142">
        <v>0.9997606</v>
      </c>
      <c r="AB142">
        <v>16</v>
      </c>
      <c r="AC142">
        <v>307.42930000000001</v>
      </c>
      <c r="AD142">
        <v>-0.42221320000000001</v>
      </c>
      <c r="AE142">
        <v>-6.0241999999999498</v>
      </c>
      <c r="AF142">
        <v>6.73120673980603</v>
      </c>
      <c r="AG142">
        <v>-0.42221320000000001</v>
      </c>
      <c r="AH142">
        <v>307.41405272529698</v>
      </c>
      <c r="AI142">
        <v>90.078673118403799</v>
      </c>
      <c r="AJ142">
        <v>88.745639258290197</v>
      </c>
      <c r="AK142">
        <v>307.48802776880899</v>
      </c>
      <c r="AL142">
        <v>80.675871110185099</v>
      </c>
      <c r="AM142">
        <v>93.974203990100605</v>
      </c>
      <c r="AN142">
        <v>1.0000000006193299</v>
      </c>
    </row>
    <row r="143" spans="1:40" x14ac:dyDescent="0.25">
      <c r="A143" t="str">
        <f>"20190304155600171"</f>
        <v>20190304155600171</v>
      </c>
      <c r="B143" t="str">
        <f>"1551686160164702"</f>
        <v>1551686160164702</v>
      </c>
      <c r="C143" t="s">
        <v>40</v>
      </c>
      <c r="D143">
        <v>4.6938519999999997</v>
      </c>
      <c r="E143">
        <v>0.53522729999999996</v>
      </c>
      <c r="F143" t="s">
        <v>43</v>
      </c>
      <c r="G143">
        <v>-158.19499999999999</v>
      </c>
      <c r="H143">
        <v>0.57649709999999998</v>
      </c>
      <c r="I143">
        <v>359.8673</v>
      </c>
      <c r="J143">
        <v>-465.47250000000003</v>
      </c>
      <c r="K143">
        <v>1.1091899999999999</v>
      </c>
      <c r="L143">
        <v>367.22649999999999</v>
      </c>
      <c r="M143">
        <v>0.9999903</v>
      </c>
      <c r="N143">
        <v>-3.739352E-3</v>
      </c>
      <c r="O143">
        <v>2.3403970000000001E-3</v>
      </c>
      <c r="P143">
        <v>0.98486640000000003</v>
      </c>
      <c r="Q143">
        <v>0.15795619999999999</v>
      </c>
      <c r="R143">
        <v>7.1333510000000003E-2</v>
      </c>
      <c r="S143">
        <v>3.0521850000000001</v>
      </c>
      <c r="T143">
        <v>-5.2878860000000003E-3</v>
      </c>
      <c r="U143">
        <v>-7.3059079999999998E-2</v>
      </c>
      <c r="V143">
        <v>-6.9029199999999902E-2</v>
      </c>
      <c r="W143">
        <v>0.16163820000000001</v>
      </c>
      <c r="X143">
        <v>0.98443290000000006</v>
      </c>
      <c r="Y143">
        <v>2.6269339999999999E-2</v>
      </c>
      <c r="Z143" s="1">
        <v>-6.717878E-5</v>
      </c>
      <c r="AA143">
        <v>0.99965490000000001</v>
      </c>
      <c r="AB143">
        <v>16</v>
      </c>
      <c r="AC143">
        <v>307.27749999999997</v>
      </c>
      <c r="AD143">
        <v>-0.53269289999999903</v>
      </c>
      <c r="AE143">
        <v>-7.35919999999998</v>
      </c>
      <c r="AF143">
        <v>8.0783119261473502</v>
      </c>
      <c r="AG143">
        <v>-0.53269289999999903</v>
      </c>
      <c r="AH143">
        <v>307.25851198367002</v>
      </c>
      <c r="AI143">
        <v>90.099299058864005</v>
      </c>
      <c r="AJ143">
        <v>88.493950349738498</v>
      </c>
      <c r="AK143">
        <v>307.36515103655</v>
      </c>
      <c r="AL143">
        <v>80.698004333996806</v>
      </c>
      <c r="AM143">
        <v>94.011059160933002</v>
      </c>
      <c r="AN143">
        <v>1.00000003637714</v>
      </c>
    </row>
    <row r="144" spans="1:40" x14ac:dyDescent="0.25">
      <c r="A144" t="str">
        <f>"20190304155600194"</f>
        <v>20190304155600194</v>
      </c>
      <c r="B144" t="str">
        <f>"1551686160185199"</f>
        <v>1551686160185199</v>
      </c>
      <c r="C144" t="s">
        <v>40</v>
      </c>
      <c r="D144">
        <v>4.6854930000000001</v>
      </c>
      <c r="E144">
        <v>0.53624869999999902</v>
      </c>
      <c r="F144" t="s">
        <v>43</v>
      </c>
      <c r="G144">
        <v>-158.19499999999999</v>
      </c>
      <c r="H144">
        <v>0.38514799999999999</v>
      </c>
      <c r="I144">
        <v>359.18529999999998</v>
      </c>
      <c r="J144">
        <v>-465.3023</v>
      </c>
      <c r="K144">
        <v>1.1091770000000001</v>
      </c>
      <c r="L144">
        <v>367.22699999999998</v>
      </c>
      <c r="M144">
        <v>0.99999020000000005</v>
      </c>
      <c r="N144">
        <v>-3.7376890000000002E-3</v>
      </c>
      <c r="O144">
        <v>2.3770900000000001E-3</v>
      </c>
      <c r="P144">
        <v>0.98502060000000002</v>
      </c>
      <c r="Q144">
        <v>0.15704939999999901</v>
      </c>
      <c r="R144">
        <v>7.1207870000000006E-2</v>
      </c>
      <c r="S144">
        <v>3.0530089999999999</v>
      </c>
      <c r="T144">
        <v>-7.1929689999999996E-3</v>
      </c>
      <c r="U144">
        <v>-7.9895019999999997E-2</v>
      </c>
      <c r="V144">
        <v>-6.8864930000000005E-2</v>
      </c>
      <c r="W144">
        <v>0.16073090000000001</v>
      </c>
      <c r="X144">
        <v>0.98459289999999999</v>
      </c>
      <c r="Y144">
        <v>2.8536329999999999E-2</v>
      </c>
      <c r="Z144" s="1">
        <v>-8.3666109999999894E-5</v>
      </c>
      <c r="AA144">
        <v>0.99959279999999995</v>
      </c>
      <c r="AB144">
        <v>16</v>
      </c>
      <c r="AC144">
        <v>307.10730000000001</v>
      </c>
      <c r="AD144">
        <v>-0.72402900000000003</v>
      </c>
      <c r="AE144">
        <v>-8.0416999999999899</v>
      </c>
      <c r="AF144">
        <v>8.7716553421580095</v>
      </c>
      <c r="AG144">
        <v>-0.72402900000000003</v>
      </c>
      <c r="AH144">
        <v>307.08561068126801</v>
      </c>
      <c r="AI144">
        <v>90.135033405917</v>
      </c>
      <c r="AJ144">
        <v>88.363836686327005</v>
      </c>
      <c r="AK144">
        <v>307.21171599228097</v>
      </c>
      <c r="AL144">
        <v>80.750677099717905</v>
      </c>
      <c r="AM144">
        <v>94.000896864214795</v>
      </c>
      <c r="AN144">
        <v>0.99999998976456195</v>
      </c>
    </row>
    <row r="145" spans="1:40" x14ac:dyDescent="0.25">
      <c r="A145" t="str">
        <f>"20190304155600221"</f>
        <v>20190304155600221</v>
      </c>
      <c r="B145" t="str">
        <f>"1551686160214477"</f>
        <v>1551686160214477</v>
      </c>
      <c r="C145" t="s">
        <v>40</v>
      </c>
      <c r="D145">
        <v>4.5653739999999896</v>
      </c>
      <c r="E145">
        <v>0.53727899999999995</v>
      </c>
      <c r="F145" t="s">
        <v>41</v>
      </c>
      <c r="G145">
        <v>-220.60980000000001</v>
      </c>
      <c r="H145" s="1">
        <v>-5.7117249999999999E-6</v>
      </c>
      <c r="I145">
        <v>360.10730000000001</v>
      </c>
      <c r="J145">
        <v>-465.10950000000003</v>
      </c>
      <c r="K145">
        <v>1.1091580000000001</v>
      </c>
      <c r="L145">
        <v>367.22739999999999</v>
      </c>
      <c r="M145">
        <v>0.99999020000000005</v>
      </c>
      <c r="N145">
        <v>-3.7379470000000001E-3</v>
      </c>
      <c r="O145">
        <v>2.4063209999999999E-3</v>
      </c>
      <c r="P145">
        <v>0.9851782</v>
      </c>
      <c r="Q145">
        <v>0.1560568</v>
      </c>
      <c r="R145">
        <v>7.1206420000000006E-2</v>
      </c>
      <c r="S145">
        <v>3.0542600000000002</v>
      </c>
      <c r="T145">
        <v>-1.3844850000000001E-2</v>
      </c>
      <c r="U145">
        <v>-8.8867189999999999E-2</v>
      </c>
      <c r="V145">
        <v>-6.8831059999999999E-2</v>
      </c>
      <c r="W145">
        <v>0.15974059999999901</v>
      </c>
      <c r="X145">
        <v>0.98475639999999998</v>
      </c>
      <c r="Y145">
        <v>3.1488479999999999E-2</v>
      </c>
      <c r="Z145">
        <v>-1.321297E-4</v>
      </c>
      <c r="AA145">
        <v>0.99950410000000001</v>
      </c>
      <c r="AB145">
        <v>16</v>
      </c>
      <c r="AC145">
        <v>244.49969999999999</v>
      </c>
      <c r="AD145">
        <v>-1.1091637117249999</v>
      </c>
      <c r="AE145">
        <v>-7.1200999999999697</v>
      </c>
      <c r="AF145">
        <v>7.70826971280629</v>
      </c>
      <c r="AG145">
        <v>-1.1091637117249999</v>
      </c>
      <c r="AH145">
        <v>244.47683180568001</v>
      </c>
      <c r="AI145">
        <v>90.259813573465095</v>
      </c>
      <c r="AJ145">
        <v>88.194082218195504</v>
      </c>
      <c r="AK145">
        <v>244.600835967188</v>
      </c>
      <c r="AL145">
        <v>80.808159684607702</v>
      </c>
      <c r="AM145">
        <v>93.998273686105804</v>
      </c>
      <c r="AN145">
        <v>0.999999970725021</v>
      </c>
    </row>
    <row r="146" spans="1:40" x14ac:dyDescent="0.25">
      <c r="A146" t="str">
        <f>"20190304155600239"</f>
        <v>20190304155600239</v>
      </c>
      <c r="B146" t="str">
        <f>"1551686160234973"</f>
        <v>1551686160234973</v>
      </c>
      <c r="C146" t="s">
        <v>40</v>
      </c>
      <c r="D146">
        <v>4.6288539999999996</v>
      </c>
      <c r="E146">
        <v>0.53797879999999998</v>
      </c>
      <c r="F146" t="s">
        <v>44</v>
      </c>
      <c r="G146">
        <v>-277.08690000000001</v>
      </c>
      <c r="H146">
        <v>-0.05</v>
      </c>
      <c r="I146">
        <v>361.24549999999999</v>
      </c>
      <c r="J146">
        <v>-464.97230000000002</v>
      </c>
      <c r="K146">
        <v>1.1091549999999999</v>
      </c>
      <c r="L146">
        <v>367.2278</v>
      </c>
      <c r="M146">
        <v>0.99999020000000005</v>
      </c>
      <c r="N146">
        <v>-3.739526E-3</v>
      </c>
      <c r="O146">
        <v>2.4191080000000001E-3</v>
      </c>
      <c r="P146">
        <v>0.98511269999999995</v>
      </c>
      <c r="Q146">
        <v>0.15638969999999999</v>
      </c>
      <c r="R146">
        <v>7.138245E-2</v>
      </c>
      <c r="S146">
        <v>3.055145</v>
      </c>
      <c r="T146">
        <v>-1.883495E-2</v>
      </c>
      <c r="U146">
        <v>-9.7198489999999999E-2</v>
      </c>
      <c r="V146">
        <v>-6.8992079999999997E-2</v>
      </c>
      <c r="W146">
        <v>0.1600762</v>
      </c>
      <c r="X146">
        <v>0.98469070000000003</v>
      </c>
      <c r="Y146">
        <v>3.421536E-2</v>
      </c>
      <c r="Z146">
        <v>-1.752991E-4</v>
      </c>
      <c r="AA146">
        <v>0.99941440000000004</v>
      </c>
      <c r="AB146">
        <v>16</v>
      </c>
      <c r="AC146">
        <v>187.8854</v>
      </c>
      <c r="AD146">
        <v>-1.1591549999999999</v>
      </c>
      <c r="AE146">
        <v>-5.9823000000000004</v>
      </c>
      <c r="AF146">
        <v>6.4365559507322798</v>
      </c>
      <c r="AG146">
        <v>-1.1591549999999999</v>
      </c>
      <c r="AH146">
        <v>187.86323500509201</v>
      </c>
      <c r="AI146">
        <v>90.353315010424694</v>
      </c>
      <c r="AJ146">
        <v>88.037703928080305</v>
      </c>
      <c r="AK146">
        <v>187.97704104331299</v>
      </c>
      <c r="AL146">
        <v>80.788681164703405</v>
      </c>
      <c r="AM146">
        <v>94.007863130682097</v>
      </c>
      <c r="AN146">
        <v>1.00000003578782</v>
      </c>
    </row>
    <row r="147" spans="1:40" x14ac:dyDescent="0.25">
      <c r="A147" t="str">
        <f>"20190304155600263"</f>
        <v>20190304155600263</v>
      </c>
      <c r="B147" t="str">
        <f>"1551686160254493"</f>
        <v>1551686160254493</v>
      </c>
      <c r="C147" t="s">
        <v>40</v>
      </c>
      <c r="D147">
        <v>4.5677709999999996</v>
      </c>
      <c r="E147">
        <v>0.53840919999999903</v>
      </c>
      <c r="F147" t="s">
        <v>44</v>
      </c>
      <c r="G147">
        <v>-279.86239999999998</v>
      </c>
      <c r="H147">
        <v>-0.05</v>
      </c>
      <c r="I147">
        <v>361.0256</v>
      </c>
      <c r="J147">
        <v>-464.80009999999999</v>
      </c>
      <c r="K147">
        <v>1.109151</v>
      </c>
      <c r="L147">
        <v>367.22820000000002</v>
      </c>
      <c r="M147">
        <v>0.99999009999999999</v>
      </c>
      <c r="N147">
        <v>-3.7430340000000001E-3</v>
      </c>
      <c r="O147">
        <v>2.4268229999999998E-3</v>
      </c>
      <c r="P147">
        <v>0.98495820000000001</v>
      </c>
      <c r="Q147">
        <v>0.15745700000000001</v>
      </c>
      <c r="R147">
        <v>7.1166549999999995E-2</v>
      </c>
      <c r="S147">
        <v>3.0558169999999998</v>
      </c>
      <c r="T147">
        <v>-1.913548E-2</v>
      </c>
      <c r="U147">
        <v>-0.10238650000000001</v>
      </c>
      <c r="V147">
        <v>-6.8767229999999999E-2</v>
      </c>
      <c r="W147">
        <v>0.1611474</v>
      </c>
      <c r="X147">
        <v>0.98453159999999895</v>
      </c>
      <c r="Y147">
        <v>3.5910900000000003E-2</v>
      </c>
      <c r="Z147">
        <v>-1.8574349999999999E-4</v>
      </c>
      <c r="AA147">
        <v>0.99935499999999999</v>
      </c>
      <c r="AB147">
        <v>16</v>
      </c>
      <c r="AC147">
        <v>184.93770000000001</v>
      </c>
      <c r="AD147">
        <v>-1.159151</v>
      </c>
      <c r="AE147">
        <v>-6.2026000000000101</v>
      </c>
      <c r="AF147">
        <v>6.6511349225690299</v>
      </c>
      <c r="AG147">
        <v>-1.159151</v>
      </c>
      <c r="AH147">
        <v>184.91484642499199</v>
      </c>
      <c r="AI147">
        <v>90.358925598543607</v>
      </c>
      <c r="AJ147">
        <v>87.940036972870999</v>
      </c>
      <c r="AK147">
        <v>185.038054613578</v>
      </c>
      <c r="AL147">
        <v>80.726497790359801</v>
      </c>
      <c r="AM147">
        <v>93.995487059769602</v>
      </c>
      <c r="AN147">
        <v>0.99999994392359404</v>
      </c>
    </row>
    <row r="148" spans="1:40" x14ac:dyDescent="0.25">
      <c r="A148" t="str">
        <f>"20190304155600283"</f>
        <v>20190304155600283</v>
      </c>
      <c r="B148" t="str">
        <f>"1551686160274989"</f>
        <v>1551686160274989</v>
      </c>
      <c r="C148" t="s">
        <v>40</v>
      </c>
      <c r="D148">
        <v>4.5229369999999998</v>
      </c>
      <c r="E148">
        <v>0.5389138</v>
      </c>
      <c r="F148" t="s">
        <v>41</v>
      </c>
      <c r="G148">
        <v>-246.20920000000001</v>
      </c>
      <c r="H148">
        <v>3.3407149999999997E-2</v>
      </c>
      <c r="I148">
        <v>359.61630000000002</v>
      </c>
      <c r="J148">
        <v>-464.6472</v>
      </c>
      <c r="K148">
        <v>1.1091500000000001</v>
      </c>
      <c r="L148">
        <v>367.22859999999997</v>
      </c>
      <c r="M148">
        <v>0.99999009999999999</v>
      </c>
      <c r="N148">
        <v>-3.7474790000000002E-3</v>
      </c>
      <c r="O148">
        <v>2.4276319999999999E-3</v>
      </c>
      <c r="P148">
        <v>0.98485270000000003</v>
      </c>
      <c r="Q148">
        <v>0.15804270000000001</v>
      </c>
      <c r="R148">
        <v>7.1328199999999994E-2</v>
      </c>
      <c r="S148">
        <v>3.055939</v>
      </c>
      <c r="T148">
        <v>-1.503909E-2</v>
      </c>
      <c r="U148">
        <v>-0.1064148</v>
      </c>
      <c r="V148">
        <v>-6.8926660000000001E-2</v>
      </c>
      <c r="W148">
        <v>0.16173750000000001</v>
      </c>
      <c r="X148">
        <v>0.98442379999999996</v>
      </c>
      <c r="Y148">
        <v>3.7226479999999999E-2</v>
      </c>
      <c r="Z148">
        <v>-1.64196E-4</v>
      </c>
      <c r="AA148">
        <v>0.9993069</v>
      </c>
      <c r="AB148">
        <v>17</v>
      </c>
      <c r="AC148">
        <v>218.43799999999999</v>
      </c>
      <c r="AD148">
        <v>-1.0757428499999999</v>
      </c>
      <c r="AE148">
        <v>-7.6122999999999399</v>
      </c>
      <c r="AF148">
        <v>8.1423710994136407</v>
      </c>
      <c r="AG148">
        <v>-1.0757428499999999</v>
      </c>
      <c r="AH148">
        <v>218.41358562805399</v>
      </c>
      <c r="AI148">
        <v>90.281998222127797</v>
      </c>
      <c r="AJ148">
        <v>87.865024934136997</v>
      </c>
      <c r="AK148">
        <v>218.567952400856</v>
      </c>
      <c r="AL148">
        <v>80.692239231069195</v>
      </c>
      <c r="AM148">
        <v>94.005157207365698</v>
      </c>
      <c r="AN148">
        <v>1.00000006068572</v>
      </c>
    </row>
    <row r="149" spans="1:40" x14ac:dyDescent="0.25">
      <c r="A149" t="str">
        <f>"20190304155600306"</f>
        <v>20190304155600306</v>
      </c>
      <c r="B149" t="str">
        <f>"1551686160294509"</f>
        <v>1551686160294509</v>
      </c>
      <c r="C149" t="s">
        <v>40</v>
      </c>
      <c r="D149">
        <v>4.5373409999999996</v>
      </c>
      <c r="E149">
        <v>0.539319199999999</v>
      </c>
      <c r="F149" t="s">
        <v>41</v>
      </c>
      <c r="G149">
        <v>-243.8305</v>
      </c>
      <c r="H149">
        <v>7.9985440000000005E-2</v>
      </c>
      <c r="I149">
        <v>359.25380000000001</v>
      </c>
      <c r="J149">
        <v>-464.47730000000001</v>
      </c>
      <c r="K149">
        <v>1.109151</v>
      </c>
      <c r="L149">
        <v>367.22899999999998</v>
      </c>
      <c r="M149">
        <v>0.99999009999999999</v>
      </c>
      <c r="N149">
        <v>-3.7537040000000001E-3</v>
      </c>
      <c r="O149">
        <v>2.424215E-3</v>
      </c>
      <c r="P149">
        <v>0.98479300000000003</v>
      </c>
      <c r="Q149">
        <v>0.1583214</v>
      </c>
      <c r="R149">
        <v>7.1537320000000001E-2</v>
      </c>
      <c r="S149">
        <v>3.0564269999999998</v>
      </c>
      <c r="T149">
        <v>-1.424515E-2</v>
      </c>
      <c r="U149">
        <v>-0.1103821</v>
      </c>
      <c r="V149">
        <v>-6.9138850000000002E-2</v>
      </c>
      <c r="W149">
        <v>0.16202220000000001</v>
      </c>
      <c r="X149">
        <v>0.98436210000000002</v>
      </c>
      <c r="Y149">
        <v>3.851301E-2</v>
      </c>
      <c r="Z149">
        <v>-1.6422539999999999E-4</v>
      </c>
      <c r="AA149">
        <v>0.99925810000000004</v>
      </c>
      <c r="AB149">
        <v>17</v>
      </c>
      <c r="AC149">
        <v>220.64680000000001</v>
      </c>
      <c r="AD149">
        <v>-1.02916556</v>
      </c>
      <c r="AE149">
        <v>-7.9752000000000196</v>
      </c>
      <c r="AF149">
        <v>8.5098906732426798</v>
      </c>
      <c r="AG149">
        <v>-1.02916556</v>
      </c>
      <c r="AH149">
        <v>220.622024357378</v>
      </c>
      <c r="AI149">
        <v>90.267074872956997</v>
      </c>
      <c r="AJ149">
        <v>87.791067206433695</v>
      </c>
      <c r="AK149">
        <v>220.78848487312001</v>
      </c>
      <c r="AL149">
        <v>80.675709082159301</v>
      </c>
      <c r="AM149">
        <v>94.017697719871094</v>
      </c>
      <c r="AN149">
        <v>1.0000000588942799</v>
      </c>
    </row>
    <row r="150" spans="1:40" x14ac:dyDescent="0.25">
      <c r="A150" t="str">
        <f>"20190304155600327"</f>
        <v>20190304155600327</v>
      </c>
      <c r="B150" t="str">
        <f>"1551686160324767"</f>
        <v>1551686160324767</v>
      </c>
      <c r="C150" t="s">
        <v>40</v>
      </c>
      <c r="D150">
        <v>4.5523569999999998</v>
      </c>
      <c r="E150">
        <v>0.53973099999999996</v>
      </c>
      <c r="F150" t="s">
        <v>41</v>
      </c>
      <c r="G150">
        <v>-237.928</v>
      </c>
      <c r="H150">
        <v>7.9986000000000002E-2</v>
      </c>
      <c r="I150">
        <v>358.85809999999998</v>
      </c>
      <c r="J150">
        <v>-464.31150000000002</v>
      </c>
      <c r="K150">
        <v>1.1091500000000001</v>
      </c>
      <c r="L150">
        <v>367.2294</v>
      </c>
      <c r="M150">
        <v>0.99999000000000005</v>
      </c>
      <c r="N150">
        <v>-3.760991E-3</v>
      </c>
      <c r="O150">
        <v>2.4184810000000001E-3</v>
      </c>
      <c r="P150">
        <v>0.98467369999999999</v>
      </c>
      <c r="Q150">
        <v>0.15905359999999999</v>
      </c>
      <c r="R150">
        <v>7.1552009999999999E-2</v>
      </c>
      <c r="S150">
        <v>3.0567630000000001</v>
      </c>
      <c r="T150">
        <v>-1.388621E-2</v>
      </c>
      <c r="U150">
        <v>-0.11294559999999999</v>
      </c>
      <c r="V150">
        <v>-6.9159440000000003E-2</v>
      </c>
      <c r="W150">
        <v>0.16276089999999999</v>
      </c>
      <c r="X150">
        <v>0.98423870000000002</v>
      </c>
      <c r="Y150">
        <v>3.9340199999999999E-2</v>
      </c>
      <c r="Z150">
        <v>-1.652216E-4</v>
      </c>
      <c r="AA150">
        <v>0.9992259</v>
      </c>
      <c r="AB150">
        <v>17</v>
      </c>
      <c r="AC150">
        <v>226.3835</v>
      </c>
      <c r="AD150">
        <v>-1.029164</v>
      </c>
      <c r="AE150">
        <v>-8.3713000000000193</v>
      </c>
      <c r="AF150">
        <v>8.9185995149402899</v>
      </c>
      <c r="AG150">
        <v>-1.029164</v>
      </c>
      <c r="AH150">
        <v>226.35792017761</v>
      </c>
      <c r="AI150">
        <v>90.260298520235807</v>
      </c>
      <c r="AJ150">
        <v>87.743688696474607</v>
      </c>
      <c r="AK150">
        <v>226.53588815677699</v>
      </c>
      <c r="AL150">
        <v>80.632814578329203</v>
      </c>
      <c r="AM150">
        <v>94.019392517701903</v>
      </c>
      <c r="AN150">
        <v>0.99999997864380596</v>
      </c>
    </row>
    <row r="151" spans="1:40" x14ac:dyDescent="0.25">
      <c r="A151" t="str">
        <f>"20190304155600350"</f>
        <v>20190304155600350</v>
      </c>
      <c r="B151" t="str">
        <f>"1551686160345261"</f>
        <v>1551686160345261</v>
      </c>
      <c r="C151" t="s">
        <v>40</v>
      </c>
      <c r="D151">
        <v>4.6633809999999896</v>
      </c>
      <c r="E151">
        <v>0.54005340000000002</v>
      </c>
      <c r="F151" t="s">
        <v>41</v>
      </c>
      <c r="G151">
        <v>-229.98570000000001</v>
      </c>
      <c r="H151">
        <v>7.9986890000000005E-2</v>
      </c>
      <c r="I151">
        <v>358.32459999999998</v>
      </c>
      <c r="J151">
        <v>-464.1397</v>
      </c>
      <c r="K151">
        <v>1.1091580000000001</v>
      </c>
      <c r="L151">
        <v>367.22980000000001</v>
      </c>
      <c r="M151">
        <v>0.99999009999999999</v>
      </c>
      <c r="N151">
        <v>-3.7696779999999998E-3</v>
      </c>
      <c r="O151">
        <v>2.4116179999999999E-3</v>
      </c>
      <c r="P151">
        <v>0.98462459999999996</v>
      </c>
      <c r="Q151">
        <v>0.15940650000000001</v>
      </c>
      <c r="R151">
        <v>7.144325E-2</v>
      </c>
      <c r="S151">
        <v>3.0572509999999999</v>
      </c>
      <c r="T151">
        <v>-1.34275E-2</v>
      </c>
      <c r="U151">
        <v>-0.1161804</v>
      </c>
      <c r="V151">
        <v>-6.9058129999999995E-2</v>
      </c>
      <c r="W151">
        <v>0.16312219999999999</v>
      </c>
      <c r="X151">
        <v>0.98418600000000001</v>
      </c>
      <c r="Y151">
        <v>4.0383250000000002E-2</v>
      </c>
      <c r="Z151">
        <v>-1.6629430000000001E-4</v>
      </c>
      <c r="AA151">
        <v>0.99918430000000003</v>
      </c>
      <c r="AB151">
        <v>17</v>
      </c>
      <c r="AC151">
        <v>234.154</v>
      </c>
      <c r="AD151">
        <v>-1.0291711100000001</v>
      </c>
      <c r="AE151">
        <v>-8.9052000000000309</v>
      </c>
      <c r="AF151">
        <v>9.4696853779319703</v>
      </c>
      <c r="AG151">
        <v>-1.0291711100000001</v>
      </c>
      <c r="AH151">
        <v>234.12732654867801</v>
      </c>
      <c r="AI151">
        <v>90.251651991174697</v>
      </c>
      <c r="AJ151">
        <v>87.683835408796497</v>
      </c>
      <c r="AK151">
        <v>234.321017348342</v>
      </c>
      <c r="AL151">
        <v>80.611833224907301</v>
      </c>
      <c r="AM151">
        <v>94.013738071249193</v>
      </c>
      <c r="AN151">
        <v>0.99999998002396795</v>
      </c>
    </row>
    <row r="152" spans="1:40" x14ac:dyDescent="0.25">
      <c r="A152" t="str">
        <f>"20190304155600372"</f>
        <v>20190304155600372</v>
      </c>
      <c r="B152" t="str">
        <f>"1551686160364781"</f>
        <v>1551686160364781</v>
      </c>
      <c r="C152" t="s">
        <v>40</v>
      </c>
      <c r="D152">
        <v>4.5712570000000001</v>
      </c>
      <c r="E152">
        <v>0.54028359999999997</v>
      </c>
      <c r="F152" t="s">
        <v>43</v>
      </c>
      <c r="G152">
        <v>-169.2955</v>
      </c>
      <c r="H152">
        <v>0.12481399999999999</v>
      </c>
      <c r="I152">
        <v>355.75099999999998</v>
      </c>
      <c r="J152">
        <v>-463.96890000000002</v>
      </c>
      <c r="K152">
        <v>1.1091580000000001</v>
      </c>
      <c r="L152">
        <v>367.23020000000002</v>
      </c>
      <c r="M152">
        <v>0.99999000000000005</v>
      </c>
      <c r="N152">
        <v>-3.779382E-3</v>
      </c>
      <c r="O152">
        <v>2.4055320000000002E-3</v>
      </c>
      <c r="P152">
        <v>0.98456350000000004</v>
      </c>
      <c r="Q152">
        <v>0.1596928</v>
      </c>
      <c r="R152">
        <v>7.1645970000000003E-2</v>
      </c>
      <c r="S152">
        <v>3.0570979999999999</v>
      </c>
      <c r="T152">
        <v>-1.0205270000000001E-2</v>
      </c>
      <c r="U152">
        <v>-0.1190186</v>
      </c>
      <c r="V152">
        <v>-6.9268209999999997E-2</v>
      </c>
      <c r="W152">
        <v>0.16341720000000001</v>
      </c>
      <c r="X152">
        <v>0.98412230000000001</v>
      </c>
      <c r="Y152">
        <v>4.130553E-2</v>
      </c>
      <c r="Z152">
        <v>-1.459415E-4</v>
      </c>
      <c r="AA152">
        <v>0.9991466</v>
      </c>
      <c r="AB152">
        <v>17</v>
      </c>
      <c r="AC152">
        <v>294.67340000000002</v>
      </c>
      <c r="AD152">
        <v>-0.984344</v>
      </c>
      <c r="AE152">
        <v>-11.479200000000001</v>
      </c>
      <c r="AF152">
        <v>12.1878823233072</v>
      </c>
      <c r="AG152">
        <v>-0.984344</v>
      </c>
      <c r="AH152">
        <v>294.641650807958</v>
      </c>
      <c r="AI152">
        <v>90.191250483502003</v>
      </c>
      <c r="AJ152">
        <v>87.631304548312301</v>
      </c>
      <c r="AK152">
        <v>294.89526242290799</v>
      </c>
      <c r="AL152">
        <v>80.594701116928803</v>
      </c>
      <c r="AM152">
        <v>94.026167804749704</v>
      </c>
      <c r="AN152">
        <v>0.99999998376486599</v>
      </c>
    </row>
    <row r="153" spans="1:40" x14ac:dyDescent="0.25">
      <c r="A153" t="str">
        <f>"20190304155600395"</f>
        <v>20190304155600395</v>
      </c>
      <c r="B153" t="str">
        <f>"1551686160385281"</f>
        <v>1551686160385281</v>
      </c>
      <c r="C153" t="s">
        <v>40</v>
      </c>
      <c r="D153">
        <v>4.5934619999999997</v>
      </c>
      <c r="E153">
        <v>0.54014200000000001</v>
      </c>
      <c r="F153" t="s">
        <v>43</v>
      </c>
      <c r="G153">
        <v>-169.2955</v>
      </c>
      <c r="H153">
        <v>7.4579240000000005E-2</v>
      </c>
      <c r="I153">
        <v>355.62740000000002</v>
      </c>
      <c r="J153">
        <v>-463.79059999999998</v>
      </c>
      <c r="K153">
        <v>1.109162</v>
      </c>
      <c r="L153">
        <v>367.23059999999998</v>
      </c>
      <c r="M153">
        <v>0.99999000000000005</v>
      </c>
      <c r="N153">
        <v>-3.7904240000000001E-3</v>
      </c>
      <c r="O153">
        <v>2.4004550000000001E-3</v>
      </c>
      <c r="P153">
        <v>0.98471310000000001</v>
      </c>
      <c r="Q153">
        <v>0.1589411</v>
      </c>
      <c r="R153">
        <v>7.1260260000000006E-2</v>
      </c>
      <c r="S153">
        <v>3.0575559999999999</v>
      </c>
      <c r="T153">
        <v>-1.0733960000000001E-2</v>
      </c>
      <c r="U153">
        <v>-0.12039179999999999</v>
      </c>
      <c r="V153">
        <v>-6.8888199999999997E-2</v>
      </c>
      <c r="W153">
        <v>0.16267619999999999</v>
      </c>
      <c r="X153">
        <v>0.98427180000000003</v>
      </c>
      <c r="Y153">
        <v>4.1742660000000001E-2</v>
      </c>
      <c r="Z153">
        <v>-1.5171440000000001E-4</v>
      </c>
      <c r="AA153">
        <v>0.99912840000000003</v>
      </c>
      <c r="AB153">
        <v>17</v>
      </c>
      <c r="AC153">
        <v>294.49509999999998</v>
      </c>
      <c r="AD153">
        <v>-1.0345827599999999</v>
      </c>
      <c r="AE153">
        <v>-11.6031999999999</v>
      </c>
      <c r="AF153">
        <v>12.3099421474891</v>
      </c>
      <c r="AG153">
        <v>-1.0345827599999999</v>
      </c>
      <c r="AH153">
        <v>294.46276982866402</v>
      </c>
      <c r="AI153">
        <v>90.201129849868394</v>
      </c>
      <c r="AJ153">
        <v>87.606158198402099</v>
      </c>
      <c r="AK153">
        <v>294.72178041727898</v>
      </c>
      <c r="AL153">
        <v>80.637733786587802</v>
      </c>
      <c r="AM153">
        <v>94.003545817174796</v>
      </c>
      <c r="AN153">
        <v>1.00000005321045</v>
      </c>
    </row>
    <row r="154" spans="1:40" x14ac:dyDescent="0.25">
      <c r="A154" t="str">
        <f>"20190304155600417"</f>
        <v>20190304155600417</v>
      </c>
      <c r="B154" t="str">
        <f>"1551686160415534"</f>
        <v>1551686160415534</v>
      </c>
      <c r="C154" t="s">
        <v>40</v>
      </c>
      <c r="D154">
        <v>4.6003069999999999</v>
      </c>
      <c r="E154">
        <v>0.54012039999999994</v>
      </c>
      <c r="F154" t="s">
        <v>41</v>
      </c>
      <c r="G154">
        <v>-256.12779999999998</v>
      </c>
      <c r="H154">
        <v>7.9986539999999995E-2</v>
      </c>
      <c r="I154">
        <v>359.04610000000002</v>
      </c>
      <c r="J154">
        <v>-463.61579999999998</v>
      </c>
      <c r="K154">
        <v>1.1091569999999999</v>
      </c>
      <c r="L154">
        <v>367.23099999999999</v>
      </c>
      <c r="M154">
        <v>0.99999000000000005</v>
      </c>
      <c r="N154">
        <v>-3.8019730000000002E-3</v>
      </c>
      <c r="O154">
        <v>2.3971040000000002E-3</v>
      </c>
      <c r="P154">
        <v>0.98479689999999998</v>
      </c>
      <c r="Q154">
        <v>0.15843009999999999</v>
      </c>
      <c r="R154">
        <v>7.1239880000000005E-2</v>
      </c>
      <c r="S154">
        <v>3.0577390000000002</v>
      </c>
      <c r="T154">
        <v>-1.515412E-2</v>
      </c>
      <c r="U154">
        <v>-0.12051389999999999</v>
      </c>
      <c r="V154">
        <v>-6.8871420000000003E-2</v>
      </c>
      <c r="W154">
        <v>0.16217699999999999</v>
      </c>
      <c r="X154">
        <v>0.98435530000000004</v>
      </c>
      <c r="Y154">
        <v>4.177641E-2</v>
      </c>
      <c r="Z154">
        <v>-1.856947E-4</v>
      </c>
      <c r="AA154">
        <v>0.99912699999999999</v>
      </c>
      <c r="AB154">
        <v>17</v>
      </c>
      <c r="AC154">
        <v>207.488</v>
      </c>
      <c r="AD154">
        <v>-1.02917046</v>
      </c>
      <c r="AE154">
        <v>-8.1848999999999705</v>
      </c>
      <c r="AF154">
        <v>8.6820370708977403</v>
      </c>
      <c r="AG154">
        <v>-1.02917046</v>
      </c>
      <c r="AH154">
        <v>207.46268738906201</v>
      </c>
      <c r="AI154">
        <v>90.283979133321296</v>
      </c>
      <c r="AJ154">
        <v>87.603646228344004</v>
      </c>
      <c r="AK154">
        <v>207.646824243059</v>
      </c>
      <c r="AL154">
        <v>80.666720306124802</v>
      </c>
      <c r="AM154">
        <v>94.002235367881397</v>
      </c>
      <c r="AN154">
        <v>1.0000000042299499</v>
      </c>
    </row>
    <row r="155" spans="1:40" x14ac:dyDescent="0.25">
      <c r="A155" t="str">
        <f>"20190304155600440"</f>
        <v>20190304155600440</v>
      </c>
      <c r="B155" t="str">
        <f>"1551686160435055"</f>
        <v>1551686160435055</v>
      </c>
      <c r="C155" t="s">
        <v>40</v>
      </c>
      <c r="D155">
        <v>4.7290299999999998</v>
      </c>
      <c r="E155">
        <v>0.54027179999999997</v>
      </c>
      <c r="F155" t="s">
        <v>41</v>
      </c>
      <c r="G155">
        <v>-270.892</v>
      </c>
      <c r="H155">
        <v>9.9837569999999994E-3</v>
      </c>
      <c r="I155">
        <v>359.61630000000002</v>
      </c>
      <c r="J155">
        <v>-463.42989999999998</v>
      </c>
      <c r="K155">
        <v>1.1091530000000001</v>
      </c>
      <c r="L155">
        <v>367.23149999999998</v>
      </c>
      <c r="M155">
        <v>0.99998989999999999</v>
      </c>
      <c r="N155">
        <v>-3.8150860000000001E-3</v>
      </c>
      <c r="O155">
        <v>2.3955360000000002E-3</v>
      </c>
      <c r="P155">
        <v>0.9848886</v>
      </c>
      <c r="Q155">
        <v>0.15776399999999999</v>
      </c>
      <c r="R155">
        <v>7.1448070000000002E-2</v>
      </c>
      <c r="S155">
        <v>3.0578609999999999</v>
      </c>
      <c r="T155">
        <v>-1.744008E-2</v>
      </c>
      <c r="U155">
        <v>-0.1208191</v>
      </c>
      <c r="V155">
        <v>-6.9081690000000001E-2</v>
      </c>
      <c r="W155">
        <v>0.1615239</v>
      </c>
      <c r="X155">
        <v>0.98444799999999999</v>
      </c>
      <c r="Y155">
        <v>4.1872609999999998E-2</v>
      </c>
      <c r="Z155">
        <v>-2.0378780000000001E-4</v>
      </c>
      <c r="AA155">
        <v>0.99912290000000004</v>
      </c>
      <c r="AB155">
        <v>18</v>
      </c>
      <c r="AC155">
        <v>192.53790000000001</v>
      </c>
      <c r="AD155">
        <v>-1.099169243</v>
      </c>
      <c r="AE155">
        <v>-7.6151999999999598</v>
      </c>
      <c r="AF155">
        <v>8.0761501571507193</v>
      </c>
      <c r="AG155">
        <v>-1.099169243</v>
      </c>
      <c r="AH155">
        <v>192.512840553497</v>
      </c>
      <c r="AI155">
        <v>90.326844336562402</v>
      </c>
      <c r="AJ155">
        <v>87.597780229273496</v>
      </c>
      <c r="AK155">
        <v>192.6853034156</v>
      </c>
      <c r="AL155">
        <v>80.704640640985005</v>
      </c>
      <c r="AM155">
        <v>94.014037845839695</v>
      </c>
      <c r="AN155">
        <v>1.00000005743423</v>
      </c>
    </row>
    <row r="156" spans="1:40" x14ac:dyDescent="0.25">
      <c r="A156" t="str">
        <f>"20190304155600463"</f>
        <v>20190304155600463</v>
      </c>
      <c r="B156" t="str">
        <f>"1551686160455549"</f>
        <v>1551686160455549</v>
      </c>
      <c r="C156" t="s">
        <v>40</v>
      </c>
      <c r="D156">
        <v>4.6135650000000004</v>
      </c>
      <c r="E156">
        <v>0.54020179999999995</v>
      </c>
      <c r="F156" t="s">
        <v>44</v>
      </c>
      <c r="G156">
        <v>-289.41579999999999</v>
      </c>
      <c r="H156">
        <v>-0.05</v>
      </c>
      <c r="I156">
        <v>360.33049999999997</v>
      </c>
      <c r="J156">
        <v>-463.24930000000001</v>
      </c>
      <c r="K156">
        <v>1.1091500000000001</v>
      </c>
      <c r="L156">
        <v>367.2319</v>
      </c>
      <c r="M156">
        <v>0.99998989999999999</v>
      </c>
      <c r="N156">
        <v>-3.828606E-3</v>
      </c>
      <c r="O156">
        <v>2.3953339999999998E-3</v>
      </c>
      <c r="P156">
        <v>0.98498490000000005</v>
      </c>
      <c r="Q156">
        <v>0.15687409999999999</v>
      </c>
      <c r="R156">
        <v>7.2081129999999993E-2</v>
      </c>
      <c r="S156">
        <v>3.0581049999999999</v>
      </c>
      <c r="T156">
        <v>-2.0370840000000001E-2</v>
      </c>
      <c r="U156">
        <v>-0.12127690000000001</v>
      </c>
      <c r="V156">
        <v>-6.9715159999999998E-2</v>
      </c>
      <c r="W156">
        <v>0.1606476</v>
      </c>
      <c r="X156">
        <v>0.9845467</v>
      </c>
      <c r="Y156">
        <v>4.2018239999999998E-2</v>
      </c>
      <c r="Z156">
        <v>-2.271423E-4</v>
      </c>
      <c r="AA156">
        <v>0.99911680000000003</v>
      </c>
      <c r="AB156">
        <v>18</v>
      </c>
      <c r="AC156">
        <v>173.83349999999999</v>
      </c>
      <c r="AD156">
        <v>-1.1591499999999999</v>
      </c>
      <c r="AE156">
        <v>-6.9014000000000202</v>
      </c>
      <c r="AF156">
        <v>7.31744765094244</v>
      </c>
      <c r="AG156">
        <v>-1.1591499999999999</v>
      </c>
      <c r="AH156">
        <v>173.80875388074901</v>
      </c>
      <c r="AI156">
        <v>90.381768116378694</v>
      </c>
      <c r="AJ156">
        <v>87.589238662028094</v>
      </c>
      <c r="AK156">
        <v>173.966581832332</v>
      </c>
      <c r="AL156">
        <v>80.755513048710199</v>
      </c>
      <c r="AM156">
        <v>94.050319338755003</v>
      </c>
      <c r="AN156">
        <v>1.0000000297002301</v>
      </c>
    </row>
    <row r="157" spans="1:40" x14ac:dyDescent="0.25">
      <c r="A157" t="str">
        <f>"20190304155600484"</f>
        <v>20190304155600484</v>
      </c>
      <c r="B157" t="str">
        <f>"1551686160474876"</f>
        <v>1551686160474876</v>
      </c>
      <c r="C157" t="s">
        <v>40</v>
      </c>
      <c r="D157">
        <v>4.5837180000000002</v>
      </c>
      <c r="E157">
        <v>0.54018559999999904</v>
      </c>
      <c r="F157" t="s">
        <v>44</v>
      </c>
      <c r="G157">
        <v>-307.8646</v>
      </c>
      <c r="H157">
        <v>-0.05</v>
      </c>
      <c r="I157">
        <v>361.15660000000003</v>
      </c>
      <c r="J157">
        <v>-463.07670000000002</v>
      </c>
      <c r="K157">
        <v>1.1091489999999999</v>
      </c>
      <c r="L157">
        <v>367.23239999999998</v>
      </c>
      <c r="M157">
        <v>0.99998989999999999</v>
      </c>
      <c r="N157">
        <v>-3.8422679999999998E-3</v>
      </c>
      <c r="O157">
        <v>2.396025E-3</v>
      </c>
      <c r="P157">
        <v>0.98505229999999999</v>
      </c>
      <c r="Q157">
        <v>0.1563454</v>
      </c>
      <c r="R157">
        <v>7.2306960000000003E-2</v>
      </c>
      <c r="S157">
        <v>3.0581049999999999</v>
      </c>
      <c r="T157">
        <v>-2.2813079999999999E-2</v>
      </c>
      <c r="U157">
        <v>-0.1195679</v>
      </c>
      <c r="V157">
        <v>-6.9940329999999995E-2</v>
      </c>
      <c r="W157">
        <v>0.16013269999999999</v>
      </c>
      <c r="X157">
        <v>0.98461460000000001</v>
      </c>
      <c r="Y157">
        <v>4.1461159999999997E-2</v>
      </c>
      <c r="Z157">
        <v>-2.4293580000000001E-4</v>
      </c>
      <c r="AA157">
        <v>0.99914009999999998</v>
      </c>
      <c r="AB157">
        <v>18</v>
      </c>
      <c r="AC157">
        <v>155.21209999999999</v>
      </c>
      <c r="AD157">
        <v>-1.159149</v>
      </c>
      <c r="AE157">
        <v>-6.0757999999999504</v>
      </c>
      <c r="AF157">
        <v>6.4473182809463401</v>
      </c>
      <c r="AG157">
        <v>-1.159149</v>
      </c>
      <c r="AH157">
        <v>155.18845443743899</v>
      </c>
      <c r="AI157">
        <v>90.427582532444802</v>
      </c>
      <c r="AJ157">
        <v>87.621009771575402</v>
      </c>
      <c r="AK157">
        <v>155.32664913047299</v>
      </c>
      <c r="AL157">
        <v>80.785401509866503</v>
      </c>
      <c r="AM157">
        <v>94.063078266988001</v>
      </c>
      <c r="AN157">
        <v>1.0000000209514699</v>
      </c>
    </row>
    <row r="158" spans="1:40" x14ac:dyDescent="0.25">
      <c r="A158" t="str">
        <f>"20190304155600507"</f>
        <v>20190304155600507</v>
      </c>
      <c r="B158" t="str">
        <f>"1551686160495372"</f>
        <v>1551686160495372</v>
      </c>
      <c r="C158" t="s">
        <v>40</v>
      </c>
      <c r="D158">
        <v>4.6220239999999997</v>
      </c>
      <c r="E158">
        <v>0.54020360000000001</v>
      </c>
      <c r="F158" t="s">
        <v>41</v>
      </c>
      <c r="G158">
        <v>-325.57769999999999</v>
      </c>
      <c r="H158" s="1">
        <v>-3.5422510000000001E-6</v>
      </c>
      <c r="I158">
        <v>361.90699999999998</v>
      </c>
      <c r="J158">
        <v>-462.89479999999998</v>
      </c>
      <c r="K158">
        <v>1.109143</v>
      </c>
      <c r="L158">
        <v>367.2328</v>
      </c>
      <c r="M158">
        <v>0.99998969999999998</v>
      </c>
      <c r="N158">
        <v>-3.8581850000000001E-3</v>
      </c>
      <c r="O158">
        <v>2.3973060000000001E-3</v>
      </c>
      <c r="P158">
        <v>0.98500160000000003</v>
      </c>
      <c r="Q158">
        <v>0.15633259999999999</v>
      </c>
      <c r="R158">
        <v>7.3020799999999997E-2</v>
      </c>
      <c r="S158">
        <v>3.0581049999999999</v>
      </c>
      <c r="T158">
        <v>-2.4668570000000001E-2</v>
      </c>
      <c r="U158">
        <v>-0.11843869999999999</v>
      </c>
      <c r="V158">
        <v>-7.0652980000000004E-2</v>
      </c>
      <c r="W158">
        <v>0.16013549999999999</v>
      </c>
      <c r="X158">
        <v>0.98456319999999997</v>
      </c>
      <c r="Y158">
        <v>4.1093850000000001E-2</v>
      </c>
      <c r="Z158">
        <v>-2.5507029999999998E-4</v>
      </c>
      <c r="AA158">
        <v>0.99915529999999997</v>
      </c>
      <c r="AB158">
        <v>18</v>
      </c>
      <c r="AC158">
        <v>137.31709999999899</v>
      </c>
      <c r="AD158">
        <v>-1.1091465422510001</v>
      </c>
      <c r="AE158">
        <v>-5.3258000000000099</v>
      </c>
      <c r="AF158">
        <v>5.6546098832406804</v>
      </c>
      <c r="AG158">
        <v>-1.1091465422510001</v>
      </c>
      <c r="AH158">
        <v>137.29499376676301</v>
      </c>
      <c r="AI158">
        <v>90.462465563756993</v>
      </c>
      <c r="AJ158">
        <v>87.641558011586099</v>
      </c>
      <c r="AK158">
        <v>137.41586565022001</v>
      </c>
      <c r="AL158">
        <v>80.785238402629503</v>
      </c>
      <c r="AM158">
        <v>94.104551360617805</v>
      </c>
      <c r="AN158">
        <v>0.99999995836868405</v>
      </c>
    </row>
    <row r="159" spans="1:40" x14ac:dyDescent="0.25">
      <c r="A159" t="str">
        <f>"20190304155600528"</f>
        <v>20190304155600528</v>
      </c>
      <c r="B159" t="str">
        <f>"1551686160525625"</f>
        <v>1551686160525625</v>
      </c>
      <c r="C159" t="s">
        <v>40</v>
      </c>
      <c r="D159">
        <v>4.5524620000000002</v>
      </c>
      <c r="E159">
        <v>0.540153199999999</v>
      </c>
      <c r="F159" t="s">
        <v>41</v>
      </c>
      <c r="G159">
        <v>-328.32769999999999</v>
      </c>
      <c r="H159" s="1">
        <v>-2.553147E-6</v>
      </c>
      <c r="I159">
        <v>362.10730000000001</v>
      </c>
      <c r="J159">
        <v>-462.71359999999999</v>
      </c>
      <c r="K159">
        <v>1.109146</v>
      </c>
      <c r="L159">
        <v>367.23320000000001</v>
      </c>
      <c r="M159">
        <v>0.99998960000000003</v>
      </c>
      <c r="N159">
        <v>-3.8758669999999999E-3</v>
      </c>
      <c r="O159">
        <v>2.3986419999999999E-3</v>
      </c>
      <c r="P159">
        <v>0.98503609999999997</v>
      </c>
      <c r="Q159">
        <v>0.1560281</v>
      </c>
      <c r="R159">
        <v>7.3205880000000001E-2</v>
      </c>
      <c r="S159">
        <v>3.058319</v>
      </c>
      <c r="T159">
        <v>-2.520764E-2</v>
      </c>
      <c r="U159">
        <v>-0.11648559999999999</v>
      </c>
      <c r="V159">
        <v>-7.0836129999999997E-2</v>
      </c>
      <c r="W159">
        <v>0.1598484</v>
      </c>
      <c r="X159">
        <v>0.98459669999999999</v>
      </c>
      <c r="Y159">
        <v>4.0455289999999998E-2</v>
      </c>
      <c r="Z159">
        <v>-2.5555949999999999E-4</v>
      </c>
      <c r="AA159">
        <v>0.99918130000000005</v>
      </c>
      <c r="AB159">
        <v>18</v>
      </c>
      <c r="AC159">
        <v>134.38589999999999</v>
      </c>
      <c r="AD159">
        <v>-1.109148553147</v>
      </c>
      <c r="AE159">
        <v>-5.1258999999999997</v>
      </c>
      <c r="AF159">
        <v>5.4478607759936102</v>
      </c>
      <c r="AG159">
        <v>-1.109148553147</v>
      </c>
      <c r="AH159">
        <v>134.364078579714</v>
      </c>
      <c r="AI159">
        <v>90.472566182263407</v>
      </c>
      <c r="AJ159">
        <v>87.678184857044201</v>
      </c>
      <c r="AK159">
        <v>134.47905045070499</v>
      </c>
      <c r="AL159">
        <v>80.801902746947604</v>
      </c>
      <c r="AM159">
        <v>94.115015333034293</v>
      </c>
      <c r="AN159">
        <v>0.99999996497341204</v>
      </c>
    </row>
    <row r="160" spans="1:40" x14ac:dyDescent="0.25">
      <c r="A160" t="str">
        <f>"20190304155600550"</f>
        <v>20190304155600550</v>
      </c>
      <c r="B160" t="str">
        <f>"1551686160545145"</f>
        <v>1551686160545145</v>
      </c>
      <c r="C160" t="s">
        <v>40</v>
      </c>
      <c r="D160">
        <v>4.6003889999999998</v>
      </c>
      <c r="E160">
        <v>0.54010689999999995</v>
      </c>
      <c r="F160" t="s">
        <v>41</v>
      </c>
      <c r="G160">
        <v>-334.19889999999998</v>
      </c>
      <c r="H160" s="1">
        <v>-3.8898670000000004E-6</v>
      </c>
      <c r="I160">
        <v>362.36410000000001</v>
      </c>
      <c r="J160">
        <v>-462.53660000000002</v>
      </c>
      <c r="K160">
        <v>1.10914</v>
      </c>
      <c r="L160">
        <v>367.2337</v>
      </c>
      <c r="M160">
        <v>0.99998949999999998</v>
      </c>
      <c r="N160">
        <v>-3.8944639999999998E-3</v>
      </c>
      <c r="O160">
        <v>2.3997979999999999E-3</v>
      </c>
      <c r="P160">
        <v>0.98502369999999995</v>
      </c>
      <c r="Q160">
        <v>0.15612709999999999</v>
      </c>
      <c r="R160">
        <v>7.3161039999999997E-2</v>
      </c>
      <c r="S160">
        <v>3.058411</v>
      </c>
      <c r="T160">
        <v>-2.6395680000000001E-2</v>
      </c>
      <c r="U160">
        <v>-0.1158752</v>
      </c>
      <c r="V160">
        <v>-7.0790640000000002E-2</v>
      </c>
      <c r="W160">
        <v>0.15996560000000001</v>
      </c>
      <c r="X160">
        <v>0.98458100000000004</v>
      </c>
      <c r="Y160">
        <v>4.0256029999999998E-2</v>
      </c>
      <c r="Z160">
        <v>-2.6342960000000002E-4</v>
      </c>
      <c r="AA160">
        <v>0.99918940000000001</v>
      </c>
      <c r="AB160">
        <v>18</v>
      </c>
      <c r="AC160">
        <v>128.33770000000001</v>
      </c>
      <c r="AD160">
        <v>-1.1091438898670001</v>
      </c>
      <c r="AE160">
        <v>-4.8695999999999904</v>
      </c>
      <c r="AF160">
        <v>5.1771867480185101</v>
      </c>
      <c r="AG160">
        <v>-1.1091438898670001</v>
      </c>
      <c r="AH160">
        <v>128.31607404265301</v>
      </c>
      <c r="AI160">
        <v>90.494840750485295</v>
      </c>
      <c r="AJ160">
        <v>87.689532284806504</v>
      </c>
      <c r="AK160">
        <v>128.42526356021901</v>
      </c>
      <c r="AL160">
        <v>80.795100719432597</v>
      </c>
      <c r="AM160">
        <v>94.112447145937594</v>
      </c>
      <c r="AN160">
        <v>1.0000000267279801</v>
      </c>
    </row>
    <row r="161" spans="1:40" x14ac:dyDescent="0.25">
      <c r="A161" t="str">
        <f>"20190304155600573"</f>
        <v>20190304155600573</v>
      </c>
      <c r="B161" t="str">
        <f>"1551686160565490"</f>
        <v>1551686160565490</v>
      </c>
      <c r="C161" t="s">
        <v>40</v>
      </c>
      <c r="D161">
        <v>4.6108609999999999</v>
      </c>
      <c r="E161">
        <v>0.54004739999999996</v>
      </c>
      <c r="F161" t="s">
        <v>41</v>
      </c>
      <c r="G161">
        <v>-336.54500000000002</v>
      </c>
      <c r="H161" s="1">
        <v>-3.055892E-6</v>
      </c>
      <c r="I161">
        <v>362.49779999999998</v>
      </c>
      <c r="J161">
        <v>-462.34140000000002</v>
      </c>
      <c r="K161">
        <v>1.1091310000000001</v>
      </c>
      <c r="L161">
        <v>367.23410000000001</v>
      </c>
      <c r="M161">
        <v>0.99998960000000003</v>
      </c>
      <c r="N161">
        <v>-3.9158839999999997E-3</v>
      </c>
      <c r="O161">
        <v>2.4008889999999998E-3</v>
      </c>
      <c r="P161">
        <v>0.98496010000000001</v>
      </c>
      <c r="Q161">
        <v>0.156602399999999</v>
      </c>
      <c r="R161">
        <v>7.3002990000000004E-2</v>
      </c>
      <c r="S161">
        <v>3.058411</v>
      </c>
      <c r="T161">
        <v>-2.6924130000000001E-2</v>
      </c>
      <c r="U161">
        <v>-0.1149597</v>
      </c>
      <c r="V161">
        <v>-7.0631819999999998E-2</v>
      </c>
      <c r="W161">
        <v>0.16046170000000001</v>
      </c>
      <c r="X161">
        <v>0.98451169999999999</v>
      </c>
      <c r="Y161">
        <v>3.9958380000000002E-2</v>
      </c>
      <c r="Z161">
        <v>-2.6581370000000002E-4</v>
      </c>
      <c r="AA161">
        <v>0.99920129999999996</v>
      </c>
      <c r="AB161">
        <v>18</v>
      </c>
      <c r="AC161">
        <v>125.79640000000001</v>
      </c>
      <c r="AD161">
        <v>-1.10913405589199</v>
      </c>
      <c r="AE161">
        <v>-4.7363000000000204</v>
      </c>
      <c r="AF161">
        <v>5.0379207307437097</v>
      </c>
      <c r="AG161">
        <v>-1.10913405589199</v>
      </c>
      <c r="AH161">
        <v>125.77490240549101</v>
      </c>
      <c r="AI161">
        <v>90.504839503895994</v>
      </c>
      <c r="AJ161">
        <v>87.706240539915598</v>
      </c>
      <c r="AK161">
        <v>125.880645449385</v>
      </c>
      <c r="AL161">
        <v>80.7663045121799</v>
      </c>
      <c r="AM161">
        <v>94.103540192593996</v>
      </c>
      <c r="AN161">
        <v>1.00000004930014</v>
      </c>
    </row>
    <row r="162" spans="1:40" x14ac:dyDescent="0.25">
      <c r="A162" t="str">
        <f>"20190304155600595"</f>
        <v>20190304155600595</v>
      </c>
      <c r="B162" t="str">
        <f>"1551686160585014"</f>
        <v>1551686160585014</v>
      </c>
      <c r="C162" t="s">
        <v>40</v>
      </c>
      <c r="D162">
        <v>4.6066469999999997</v>
      </c>
      <c r="E162">
        <v>0.5399448</v>
      </c>
      <c r="F162" t="s">
        <v>41</v>
      </c>
      <c r="G162">
        <v>-327.8451</v>
      </c>
      <c r="H162" s="1">
        <v>-2.7009409999999999E-6</v>
      </c>
      <c r="I162">
        <v>362.16910000000001</v>
      </c>
      <c r="J162">
        <v>-462.15839999999997</v>
      </c>
      <c r="K162">
        <v>1.1091310000000001</v>
      </c>
      <c r="L162">
        <v>367.2346</v>
      </c>
      <c r="M162">
        <v>0.99998949999999998</v>
      </c>
      <c r="N162">
        <v>-3.9363209999999996E-3</v>
      </c>
      <c r="O162">
        <v>2.401743E-3</v>
      </c>
      <c r="P162">
        <v>0.98497000000000001</v>
      </c>
      <c r="Q162">
        <v>0.15665200000000001</v>
      </c>
      <c r="R162">
        <v>7.2762930000000003E-2</v>
      </c>
      <c r="S162">
        <v>3.058319</v>
      </c>
      <c r="T162">
        <v>-2.5220630000000001E-2</v>
      </c>
      <c r="U162">
        <v>-0.11517330000000001</v>
      </c>
      <c r="V162">
        <v>-7.0391120000000001E-2</v>
      </c>
      <c r="W162">
        <v>0.16053139999999999</v>
      </c>
      <c r="X162">
        <v>0.98451750000000005</v>
      </c>
      <c r="Y162">
        <v>4.0030280000000001E-2</v>
      </c>
      <c r="Z162">
        <v>-2.5415959999999999E-4</v>
      </c>
      <c r="AA162">
        <v>0.99919840000000004</v>
      </c>
      <c r="AB162">
        <v>19</v>
      </c>
      <c r="AC162">
        <v>134.313299999999</v>
      </c>
      <c r="AD162">
        <v>-1.1091337009409901</v>
      </c>
      <c r="AE162">
        <v>-5.0654999999999797</v>
      </c>
      <c r="AF162">
        <v>5.3877070011732497</v>
      </c>
      <c r="AG162">
        <v>-1.1091337009409901</v>
      </c>
      <c r="AH162">
        <v>134.29160195841999</v>
      </c>
      <c r="AI162">
        <v>90.472822992836996</v>
      </c>
      <c r="AJ162">
        <v>87.7025561791054</v>
      </c>
      <c r="AK162">
        <v>134.40421094912099</v>
      </c>
      <c r="AL162">
        <v>80.762257844423004</v>
      </c>
      <c r="AM162">
        <v>94.089579614673994</v>
      </c>
      <c r="AN162">
        <v>0.99999997398353102</v>
      </c>
    </row>
    <row r="163" spans="1:40" x14ac:dyDescent="0.25">
      <c r="A163" t="str">
        <f>"20190304155600619"</f>
        <v>20190304155600619</v>
      </c>
      <c r="B163" t="str">
        <f>"1551686160615267"</f>
        <v>1551686160615267</v>
      </c>
      <c r="C163" t="s">
        <v>40</v>
      </c>
      <c r="D163">
        <v>4.6727999999999996</v>
      </c>
      <c r="E163">
        <v>0.53994629999999999</v>
      </c>
      <c r="F163" t="s">
        <v>41</v>
      </c>
      <c r="G163">
        <v>-324.34050000000002</v>
      </c>
      <c r="H163" s="1">
        <v>-3.9289529999999998E-6</v>
      </c>
      <c r="I163">
        <v>362.036</v>
      </c>
      <c r="J163">
        <v>-461.96170000000001</v>
      </c>
      <c r="K163">
        <v>1.109137</v>
      </c>
      <c r="L163">
        <v>367.23500000000001</v>
      </c>
      <c r="M163">
        <v>0.99998940000000003</v>
      </c>
      <c r="N163">
        <v>-3.958395E-3</v>
      </c>
      <c r="O163">
        <v>2.402356E-3</v>
      </c>
      <c r="P163">
        <v>0.98495100000000002</v>
      </c>
      <c r="Q163">
        <v>0.15686810000000001</v>
      </c>
      <c r="R163">
        <v>7.2554679999999996E-2</v>
      </c>
      <c r="S163">
        <v>3.0582280000000002</v>
      </c>
      <c r="T163">
        <v>-2.461207E-2</v>
      </c>
      <c r="U163">
        <v>-0.115356399999999</v>
      </c>
      <c r="V163">
        <v>-7.018228E-2</v>
      </c>
      <c r="W163">
        <v>0.160769</v>
      </c>
      <c r="X163">
        <v>0.98449370000000003</v>
      </c>
      <c r="Y163">
        <v>4.0091830000000002E-2</v>
      </c>
      <c r="Z163">
        <v>-2.5046680000000003E-4</v>
      </c>
      <c r="AA163">
        <v>0.99919599999999997</v>
      </c>
      <c r="AB163">
        <v>19</v>
      </c>
      <c r="AC163">
        <v>137.62119999999999</v>
      </c>
      <c r="AD163">
        <v>-1.1091409289530001</v>
      </c>
      <c r="AE163">
        <v>-5.1990000000000096</v>
      </c>
      <c r="AF163">
        <v>5.5292440311347297</v>
      </c>
      <c r="AG163">
        <v>-1.1091409289530001</v>
      </c>
      <c r="AH163">
        <v>137.599388091072</v>
      </c>
      <c r="AI163">
        <v>90.461459000142696</v>
      </c>
      <c r="AJ163">
        <v>87.698885147047093</v>
      </c>
      <c r="AK163">
        <v>137.714902375137</v>
      </c>
      <c r="AL163">
        <v>80.748465785374904</v>
      </c>
      <c r="AM163">
        <v>94.077585664516306</v>
      </c>
      <c r="AN163">
        <v>1.00000003456334</v>
      </c>
    </row>
    <row r="164" spans="1:40" x14ac:dyDescent="0.25">
      <c r="A164" t="str">
        <f>"20190304155600641"</f>
        <v>20190304155600641</v>
      </c>
      <c r="B164" t="str">
        <f>"1551686160634787"</f>
        <v>1551686160634787</v>
      </c>
      <c r="C164" t="s">
        <v>40</v>
      </c>
      <c r="D164">
        <v>4.6557539999999999</v>
      </c>
      <c r="E164">
        <v>0.5399408</v>
      </c>
      <c r="F164" t="s">
        <v>41</v>
      </c>
      <c r="G164">
        <v>-320.15699999999998</v>
      </c>
      <c r="H164" s="1">
        <v>-5.5841549999999899E-6</v>
      </c>
      <c r="I164">
        <v>361.84089999999998</v>
      </c>
      <c r="J164">
        <v>-461.77280000000002</v>
      </c>
      <c r="K164">
        <v>1.1091359999999999</v>
      </c>
      <c r="L164">
        <v>367.23540000000003</v>
      </c>
      <c r="M164">
        <v>0.99998929999999997</v>
      </c>
      <c r="N164">
        <v>-3.9795159999999998E-3</v>
      </c>
      <c r="O164">
        <v>2.4027900000000001E-3</v>
      </c>
      <c r="P164">
        <v>0.98506609999999994</v>
      </c>
      <c r="Q164">
        <v>0.156242299999999</v>
      </c>
      <c r="R164">
        <v>7.2342080000000003E-2</v>
      </c>
      <c r="S164">
        <v>3.0582579999999999</v>
      </c>
      <c r="T164">
        <v>-2.3920540000000001E-2</v>
      </c>
      <c r="U164">
        <v>-0.11633300000000001</v>
      </c>
      <c r="V164">
        <v>-6.9969080000000003E-2</v>
      </c>
      <c r="W164">
        <v>0.16016429999999901</v>
      </c>
      <c r="X164">
        <v>0.98460740000000002</v>
      </c>
      <c r="Y164">
        <v>4.041057E-2</v>
      </c>
      <c r="Z164">
        <v>-2.4764550000000001E-4</v>
      </c>
      <c r="AA164">
        <v>0.99918309999999999</v>
      </c>
      <c r="AB164">
        <v>19</v>
      </c>
      <c r="AC164">
        <v>141.61580000000001</v>
      </c>
      <c r="AD164">
        <v>-1.1091415841550001</v>
      </c>
      <c r="AE164">
        <v>-5.3945000000000496</v>
      </c>
      <c r="AF164">
        <v>5.73440886971464</v>
      </c>
      <c r="AG164">
        <v>-1.1091415841550001</v>
      </c>
      <c r="AH164">
        <v>141.59375632680599</v>
      </c>
      <c r="AI164">
        <v>90.448436322694505</v>
      </c>
      <c r="AJ164">
        <v>87.680844260278505</v>
      </c>
      <c r="AK164">
        <v>141.71416820795901</v>
      </c>
      <c r="AL164">
        <v>80.783567127942902</v>
      </c>
      <c r="AM164">
        <v>94.064772481855798</v>
      </c>
      <c r="AN164">
        <v>1.00000000364264</v>
      </c>
    </row>
    <row r="165" spans="1:40" x14ac:dyDescent="0.25">
      <c r="A165" t="str">
        <f>"20190304155600664"</f>
        <v>20190304155600664</v>
      </c>
      <c r="B165" t="str">
        <f>"1551686160655283"</f>
        <v>1551686160655283</v>
      </c>
      <c r="C165" t="s">
        <v>40</v>
      </c>
      <c r="D165">
        <v>4.7260269999999904</v>
      </c>
      <c r="E165">
        <v>0.54005159999999997</v>
      </c>
      <c r="F165" t="s">
        <v>41</v>
      </c>
      <c r="G165">
        <v>-330.57420000000002</v>
      </c>
      <c r="H165" s="1">
        <v>-5.3359529999999898E-6</v>
      </c>
      <c r="I165">
        <v>362.23140000000001</v>
      </c>
      <c r="J165">
        <v>-461.56900000000002</v>
      </c>
      <c r="K165">
        <v>1.1091329999999999</v>
      </c>
      <c r="L165">
        <v>367.23590000000002</v>
      </c>
      <c r="M165">
        <v>0.99998920000000002</v>
      </c>
      <c r="N165">
        <v>-4.0022499999999997E-3</v>
      </c>
      <c r="O165">
        <v>2.4032810000000002E-3</v>
      </c>
      <c r="P165">
        <v>0.9851337</v>
      </c>
      <c r="Q165">
        <v>0.1558542</v>
      </c>
      <c r="R165">
        <v>7.2256870000000001E-2</v>
      </c>
      <c r="S165">
        <v>3.0581049999999999</v>
      </c>
      <c r="T165">
        <v>-2.5852920000000001E-2</v>
      </c>
      <c r="U165">
        <v>-0.1166382</v>
      </c>
      <c r="V165">
        <v>-6.9882659999999999E-2</v>
      </c>
      <c r="W165">
        <v>0.159799</v>
      </c>
      <c r="X165">
        <v>0.98467289999999996</v>
      </c>
      <c r="Y165">
        <v>4.051225E-2</v>
      </c>
      <c r="Z165">
        <v>-2.6297460000000001E-4</v>
      </c>
      <c r="AA165">
        <v>0.99917900000000004</v>
      </c>
      <c r="AB165">
        <v>19</v>
      </c>
      <c r="AC165">
        <v>130.9948</v>
      </c>
      <c r="AD165">
        <v>-1.1091383359529901</v>
      </c>
      <c r="AE165">
        <v>-5.0045000000000002</v>
      </c>
      <c r="AF165">
        <v>5.3189245900468398</v>
      </c>
      <c r="AG165">
        <v>-1.1091383359529901</v>
      </c>
      <c r="AH165">
        <v>130.973018507505</v>
      </c>
      <c r="AI165">
        <v>90.484795203919703</v>
      </c>
      <c r="AJ165">
        <v>87.674448041213594</v>
      </c>
      <c r="AK165">
        <v>131.085669405966</v>
      </c>
      <c r="AL165">
        <v>80.804770463712302</v>
      </c>
      <c r="AM165">
        <v>94.059499658538599</v>
      </c>
      <c r="AN165">
        <v>1.0000000132820399</v>
      </c>
    </row>
    <row r="166" spans="1:40" x14ac:dyDescent="0.25">
      <c r="A166" t="str">
        <f>"20190304155600687"</f>
        <v>20190304155600687</v>
      </c>
      <c r="B166" t="str">
        <f>"1551686160685071"</f>
        <v>1551686160685071</v>
      </c>
      <c r="C166" t="s">
        <v>40</v>
      </c>
      <c r="D166">
        <v>4.6421830000000002</v>
      </c>
      <c r="E166">
        <v>0.54001650000000001</v>
      </c>
      <c r="F166" t="s">
        <v>41</v>
      </c>
      <c r="G166">
        <v>-338.03089999999997</v>
      </c>
      <c r="H166" s="1">
        <v>-2.5582509999999998E-6</v>
      </c>
      <c r="I166">
        <v>362.4676</v>
      </c>
      <c r="J166">
        <v>-461.36970000000002</v>
      </c>
      <c r="K166">
        <v>1.1091279999999999</v>
      </c>
      <c r="L166">
        <v>367.23649999999998</v>
      </c>
      <c r="M166">
        <v>0.99998909999999996</v>
      </c>
      <c r="N166">
        <v>-4.0241000000000001E-3</v>
      </c>
      <c r="O166">
        <v>2.403535E-3</v>
      </c>
      <c r="P166">
        <v>0.98518919999999999</v>
      </c>
      <c r="Q166">
        <v>0.155445</v>
      </c>
      <c r="R166">
        <v>7.2382559999999999E-2</v>
      </c>
      <c r="S166">
        <v>3.058319</v>
      </c>
      <c r="T166">
        <v>-2.7457829999999999E-2</v>
      </c>
      <c r="U166">
        <v>-0.11804199999999999</v>
      </c>
      <c r="V166">
        <v>-7.0008230000000005E-2</v>
      </c>
      <c r="W166">
        <v>0.159412</v>
      </c>
      <c r="X166">
        <v>0.98472669999999995</v>
      </c>
      <c r="Y166">
        <v>4.0967539999999997E-2</v>
      </c>
      <c r="Z166">
        <v>-2.7819759999999998E-4</v>
      </c>
      <c r="AA166">
        <v>0.99916050000000001</v>
      </c>
      <c r="AB166">
        <v>19</v>
      </c>
      <c r="AC166">
        <v>123.33880000000001</v>
      </c>
      <c r="AD166">
        <v>-1.109130558251</v>
      </c>
      <c r="AE166">
        <v>-4.7688999999999702</v>
      </c>
      <c r="AF166">
        <v>5.0649287534402596</v>
      </c>
      <c r="AG166">
        <v>-1.109130558251</v>
      </c>
      <c r="AH166">
        <v>123.317024153769</v>
      </c>
      <c r="AI166">
        <v>90.514878278443405</v>
      </c>
      <c r="AJ166">
        <v>87.6480455564773</v>
      </c>
      <c r="AK166">
        <v>123.42597830284301</v>
      </c>
      <c r="AL166">
        <v>80.827231796965094</v>
      </c>
      <c r="AM166">
        <v>94.066548155516699</v>
      </c>
      <c r="AN166">
        <v>1.00000000585231</v>
      </c>
    </row>
    <row r="167" spans="1:40" x14ac:dyDescent="0.25">
      <c r="A167" t="str">
        <f>"20190304155600707"</f>
        <v>20190304155600707</v>
      </c>
      <c r="B167" t="str">
        <f>"1551686160694831"</f>
        <v>1551686160694831</v>
      </c>
      <c r="C167" t="s">
        <v>40</v>
      </c>
      <c r="D167">
        <v>4.6382680000000001</v>
      </c>
      <c r="E167">
        <v>0.53998269999999904</v>
      </c>
      <c r="F167" t="s">
        <v>41</v>
      </c>
      <c r="G167">
        <v>-343.59120000000001</v>
      </c>
      <c r="H167" s="1">
        <v>-4.2780780000000004E-6</v>
      </c>
      <c r="I167">
        <v>362.72809999999998</v>
      </c>
      <c r="J167">
        <v>-461.19819999999999</v>
      </c>
      <c r="K167">
        <v>1.1091200000000001</v>
      </c>
      <c r="L167">
        <v>367.23680000000002</v>
      </c>
      <c r="M167">
        <v>0.99998900000000002</v>
      </c>
      <c r="N167">
        <v>-4.0430329999999997E-3</v>
      </c>
      <c r="O167">
        <v>2.403854E-3</v>
      </c>
      <c r="P167">
        <v>0.98528550000000004</v>
      </c>
      <c r="Q167">
        <v>0.15492</v>
      </c>
      <c r="R167">
        <v>7.2197890000000001E-2</v>
      </c>
      <c r="S167">
        <v>3.0582889999999998</v>
      </c>
      <c r="T167">
        <v>-2.8800249999999999E-2</v>
      </c>
      <c r="U167">
        <v>-0.1170654</v>
      </c>
      <c r="V167">
        <v>-6.9823380000000004E-2</v>
      </c>
      <c r="W167">
        <v>0.15890550000000001</v>
      </c>
      <c r="X167">
        <v>0.98482170000000002</v>
      </c>
      <c r="Y167">
        <v>4.064947E-2</v>
      </c>
      <c r="Z167">
        <v>-2.8644629999999998E-4</v>
      </c>
      <c r="AA167">
        <v>0.99917339999999999</v>
      </c>
      <c r="AB167">
        <v>19</v>
      </c>
      <c r="AC167">
        <v>117.606999999999</v>
      </c>
      <c r="AD167">
        <v>-1.109124278078</v>
      </c>
      <c r="AE167">
        <v>-4.5087000000000304</v>
      </c>
      <c r="AF167">
        <v>4.7909738424685298</v>
      </c>
      <c r="AG167">
        <v>-1.109124278078</v>
      </c>
      <c r="AH167">
        <v>117.585379230199</v>
      </c>
      <c r="AI167">
        <v>90.539978501217803</v>
      </c>
      <c r="AJ167">
        <v>87.666794707534905</v>
      </c>
      <c r="AK167">
        <v>117.68816846112099</v>
      </c>
      <c r="AL167">
        <v>80.856626952397207</v>
      </c>
      <c r="AM167">
        <v>94.055456768297702</v>
      </c>
      <c r="AN167">
        <v>1.0000000215578799</v>
      </c>
    </row>
    <row r="168" spans="1:40" x14ac:dyDescent="0.25">
      <c r="A168" t="str">
        <f>"20190304155600730"</f>
        <v>20190304155600730</v>
      </c>
      <c r="B168" t="str">
        <f>"1551686160725087"</f>
        <v>1551686160725087</v>
      </c>
      <c r="C168" t="s">
        <v>40</v>
      </c>
      <c r="D168">
        <v>4.6823689999999996</v>
      </c>
      <c r="E168">
        <v>0.53991750000000005</v>
      </c>
      <c r="F168" t="s">
        <v>41</v>
      </c>
      <c r="G168">
        <v>-350.13319999999999</v>
      </c>
      <c r="H168" s="1">
        <v>-5.3943140000000001E-6</v>
      </c>
      <c r="I168">
        <v>362.96879999999999</v>
      </c>
      <c r="J168">
        <v>-460.99700000000001</v>
      </c>
      <c r="K168">
        <v>1.1091169999999999</v>
      </c>
      <c r="L168">
        <v>367.2373</v>
      </c>
      <c r="M168">
        <v>0.99998900000000002</v>
      </c>
      <c r="N168">
        <v>-4.0652249999999996E-3</v>
      </c>
      <c r="O168">
        <v>2.4039869999999998E-3</v>
      </c>
      <c r="P168">
        <v>0.98533380000000004</v>
      </c>
      <c r="Q168">
        <v>0.1546102</v>
      </c>
      <c r="R168">
        <v>7.220443E-2</v>
      </c>
      <c r="S168">
        <v>3.0582579999999999</v>
      </c>
      <c r="T168">
        <v>-3.0540589999999999E-2</v>
      </c>
      <c r="U168">
        <v>-0.11752319999999999</v>
      </c>
      <c r="V168">
        <v>-6.9829929999999998E-2</v>
      </c>
      <c r="W168">
        <v>0.15861789999999901</v>
      </c>
      <c r="X168">
        <v>0.98486759999999995</v>
      </c>
      <c r="Y168">
        <v>4.079903E-2</v>
      </c>
      <c r="Z168">
        <v>-3.0082589999999999E-4</v>
      </c>
      <c r="AA168">
        <v>0.99916729999999998</v>
      </c>
      <c r="AB168">
        <v>19</v>
      </c>
      <c r="AC168">
        <v>110.863799999999</v>
      </c>
      <c r="AD168">
        <v>-1.1091223943139901</v>
      </c>
      <c r="AE168">
        <v>-4.2685000000000102</v>
      </c>
      <c r="AF168">
        <v>4.5345517814387302</v>
      </c>
      <c r="AG168">
        <v>-1.1091223943139901</v>
      </c>
      <c r="AH168">
        <v>110.84214066244201</v>
      </c>
      <c r="AI168">
        <v>90.572821898295999</v>
      </c>
      <c r="AJ168">
        <v>87.657336093085704</v>
      </c>
      <c r="AK168">
        <v>110.940400481415</v>
      </c>
      <c r="AL168">
        <v>80.873316915216705</v>
      </c>
      <c r="AM168">
        <v>94.055647541054398</v>
      </c>
      <c r="AN168">
        <v>1.0000000234269799</v>
      </c>
    </row>
    <row r="169" spans="1:40" x14ac:dyDescent="0.25">
      <c r="A169" t="str">
        <f>"20190304155600752"</f>
        <v>20190304155600752</v>
      </c>
      <c r="B169" t="str">
        <f>"1551686160745583"</f>
        <v>1551686160745583</v>
      </c>
      <c r="C169" t="s">
        <v>40</v>
      </c>
      <c r="D169">
        <v>4.692742</v>
      </c>
      <c r="E169">
        <v>0.53987589999999996</v>
      </c>
      <c r="F169" t="s">
        <v>41</v>
      </c>
      <c r="G169">
        <v>-353.01069999999999</v>
      </c>
      <c r="H169" s="1">
        <v>-4.1331119999999998E-6</v>
      </c>
      <c r="I169">
        <v>363.1198</v>
      </c>
      <c r="J169">
        <v>-460.80279999999999</v>
      </c>
      <c r="K169">
        <v>1.109121</v>
      </c>
      <c r="L169">
        <v>367.23779999999999</v>
      </c>
      <c r="M169">
        <v>0.99998889999999996</v>
      </c>
      <c r="N169">
        <v>-4.086442E-3</v>
      </c>
      <c r="O169">
        <v>2.4042999999999998E-3</v>
      </c>
      <c r="P169">
        <v>0.98537629999999998</v>
      </c>
      <c r="Q169">
        <v>0.1543717</v>
      </c>
      <c r="R169">
        <v>7.2133329999999996E-2</v>
      </c>
      <c r="S169">
        <v>3.0581670000000001</v>
      </c>
      <c r="T169">
        <v>-3.1410220000000003E-2</v>
      </c>
      <c r="U169">
        <v>-0.11660769999999999</v>
      </c>
      <c r="V169">
        <v>-6.9758199999999895E-2</v>
      </c>
      <c r="W169">
        <v>0.15840079999999901</v>
      </c>
      <c r="X169">
        <v>0.98490759999999999</v>
      </c>
      <c r="Y169">
        <v>4.0501669999999997E-2</v>
      </c>
      <c r="Z169">
        <v>-3.0556499999999999E-4</v>
      </c>
      <c r="AA169">
        <v>0.99917940000000005</v>
      </c>
      <c r="AB169">
        <v>20</v>
      </c>
      <c r="AC169">
        <v>107.7921</v>
      </c>
      <c r="AD169">
        <v>-1.109125133112</v>
      </c>
      <c r="AE169">
        <v>-4.1179999999999897</v>
      </c>
      <c r="AF169">
        <v>4.3766920707481196</v>
      </c>
      <c r="AG169">
        <v>-1.109125133112</v>
      </c>
      <c r="AH169">
        <v>107.770494041296</v>
      </c>
      <c r="AI169">
        <v>90.589155801410797</v>
      </c>
      <c r="AJ169">
        <v>87.674425992477396</v>
      </c>
      <c r="AK169">
        <v>107.865031302773</v>
      </c>
      <c r="AL169">
        <v>80.885914888259805</v>
      </c>
      <c r="AM169">
        <v>94.051331424609103</v>
      </c>
      <c r="AN169">
        <v>1.00000000022282</v>
      </c>
    </row>
    <row r="170" spans="1:40" x14ac:dyDescent="0.25">
      <c r="A170" t="str">
        <f>"20190304155600765"</f>
        <v>20190304155600765</v>
      </c>
      <c r="B170" t="str">
        <f>"1551686160755343"</f>
        <v>1551686160755343</v>
      </c>
      <c r="C170" t="s">
        <v>40</v>
      </c>
      <c r="D170">
        <v>4.9140350000000002</v>
      </c>
      <c r="E170">
        <v>0.53966169999999902</v>
      </c>
      <c r="F170" t="s">
        <v>41</v>
      </c>
      <c r="G170">
        <v>-357.08710000000002</v>
      </c>
      <c r="H170" s="1">
        <v>-2.6600040000000001E-6</v>
      </c>
      <c r="I170">
        <v>363.29239999999999</v>
      </c>
      <c r="J170">
        <v>-460.68509999999998</v>
      </c>
      <c r="K170">
        <v>1.1091200000000001</v>
      </c>
      <c r="L170">
        <v>367.23809999999997</v>
      </c>
      <c r="M170">
        <v>0.99998880000000001</v>
      </c>
      <c r="N170">
        <v>-4.0992490000000001E-3</v>
      </c>
      <c r="O170">
        <v>2.4045719999999998E-3</v>
      </c>
      <c r="P170">
        <v>0.98539639999999995</v>
      </c>
      <c r="Q170">
        <v>0.15427449999999901</v>
      </c>
      <c r="R170">
        <v>7.2066140000000001E-2</v>
      </c>
      <c r="S170">
        <v>3.0581670000000001</v>
      </c>
      <c r="T170">
        <v>-3.2703639999999999E-2</v>
      </c>
      <c r="U170">
        <v>-0.11633300000000001</v>
      </c>
      <c r="V170">
        <v>-6.9690580000000002E-2</v>
      </c>
      <c r="W170">
        <v>0.15831609999999999</v>
      </c>
      <c r="X170">
        <v>0.98492599999999997</v>
      </c>
      <c r="Y170">
        <v>4.0412120000000003E-2</v>
      </c>
      <c r="Z170">
        <v>-3.1471119999999998E-4</v>
      </c>
      <c r="AA170">
        <v>0.99918309999999999</v>
      </c>
      <c r="AB170">
        <v>20</v>
      </c>
      <c r="AC170">
        <v>103.597999999999</v>
      </c>
      <c r="AD170">
        <v>-1.1091226600040001</v>
      </c>
      <c r="AE170">
        <v>-3.94569999999998</v>
      </c>
      <c r="AF170">
        <v>4.1943194606373897</v>
      </c>
      <c r="AG170">
        <v>-1.1091226600040001</v>
      </c>
      <c r="AH170">
        <v>103.57635807905901</v>
      </c>
      <c r="AI170">
        <v>90.613012326207198</v>
      </c>
      <c r="AJ170">
        <v>87.6810772639096</v>
      </c>
      <c r="AK170">
        <v>103.66718102531</v>
      </c>
      <c r="AL170">
        <v>80.890829811141103</v>
      </c>
      <c r="AM170">
        <v>94.047341969871596</v>
      </c>
      <c r="AN170">
        <v>0.99999999496797298</v>
      </c>
    </row>
    <row r="171" spans="1:40" x14ac:dyDescent="0.25">
      <c r="A171" t="str">
        <f>"20190304155600786"</f>
        <v>20190304155600786</v>
      </c>
      <c r="B171" t="str">
        <f>"1551686160774866"</f>
        <v>1551686160774866</v>
      </c>
      <c r="C171" t="s">
        <v>40</v>
      </c>
      <c r="D171">
        <v>4.8282889999999998</v>
      </c>
      <c r="E171">
        <v>0.53972769999999903</v>
      </c>
      <c r="F171" t="s">
        <v>41</v>
      </c>
      <c r="G171">
        <v>-361.12329999999997</v>
      </c>
      <c r="H171" s="1">
        <v>-4.8787810000000003E-6</v>
      </c>
      <c r="I171">
        <v>363.48050000000001</v>
      </c>
      <c r="J171">
        <v>-460.49919999999997</v>
      </c>
      <c r="K171">
        <v>1.1091260000000001</v>
      </c>
      <c r="L171">
        <v>367.23849999999999</v>
      </c>
      <c r="M171">
        <v>0.99998860000000001</v>
      </c>
      <c r="N171">
        <v>-4.1194400000000003E-3</v>
      </c>
      <c r="O171">
        <v>2.404888E-3</v>
      </c>
      <c r="P171">
        <v>0.98545450000000001</v>
      </c>
      <c r="Q171">
        <v>0.15416160000000001</v>
      </c>
      <c r="R171">
        <v>7.1513419999999994E-2</v>
      </c>
      <c r="S171">
        <v>3.0581969999999998</v>
      </c>
      <c r="T171">
        <v>-3.4068469999999997E-2</v>
      </c>
      <c r="U171">
        <v>-0.11541750000000001</v>
      </c>
      <c r="V171">
        <v>-6.913743E-2</v>
      </c>
      <c r="W171">
        <v>0.1582229</v>
      </c>
      <c r="X171">
        <v>0.98497999999999997</v>
      </c>
      <c r="Y171">
        <v>4.011315E-2</v>
      </c>
      <c r="Z171">
        <v>-3.2287739999999998E-4</v>
      </c>
      <c r="AA171">
        <v>0.9991951</v>
      </c>
      <c r="AB171">
        <v>20</v>
      </c>
      <c r="AC171">
        <v>99.375900000000001</v>
      </c>
      <c r="AD171">
        <v>-1.1091308787809999</v>
      </c>
      <c r="AE171">
        <v>-3.75799999999998</v>
      </c>
      <c r="AF171">
        <v>3.9964819560448399</v>
      </c>
      <c r="AG171">
        <v>-1.1091308787809999</v>
      </c>
      <c r="AH171">
        <v>99.354216383385406</v>
      </c>
      <c r="AI171">
        <v>90.639072385207697</v>
      </c>
      <c r="AJ171">
        <v>87.696542951269805</v>
      </c>
      <c r="AK171">
        <v>99.440747948151696</v>
      </c>
      <c r="AL171">
        <v>80.896238312972301</v>
      </c>
      <c r="AM171">
        <v>94.015103378634095</v>
      </c>
      <c r="AN171">
        <v>1.0000000353556999</v>
      </c>
    </row>
    <row r="172" spans="1:40" x14ac:dyDescent="0.25">
      <c r="A172" t="str">
        <f>"20190304155600808"</f>
        <v>20190304155600808</v>
      </c>
      <c r="B172" t="str">
        <f>"1551686160805119"</f>
        <v>1551686160805119</v>
      </c>
      <c r="C172" t="s">
        <v>40</v>
      </c>
      <c r="D172">
        <v>4.9620059999999997</v>
      </c>
      <c r="E172">
        <v>0.53924989999999995</v>
      </c>
      <c r="F172" t="s">
        <v>41</v>
      </c>
      <c r="G172">
        <v>-363.43529999999998</v>
      </c>
      <c r="H172" s="1">
        <v>-3.8802659999999901E-6</v>
      </c>
      <c r="I172">
        <v>363.51819999999998</v>
      </c>
      <c r="J172">
        <v>-460.30329999999998</v>
      </c>
      <c r="K172">
        <v>1.1091219999999999</v>
      </c>
      <c r="L172">
        <v>367.23899999999998</v>
      </c>
      <c r="M172">
        <v>0.99998860000000001</v>
      </c>
      <c r="N172">
        <v>-4.1406730000000001E-3</v>
      </c>
      <c r="O172">
        <v>2.405201E-3</v>
      </c>
      <c r="P172">
        <v>0.98543700000000001</v>
      </c>
      <c r="Q172">
        <v>0.15443959999999901</v>
      </c>
      <c r="R172">
        <v>7.1148779999999995E-2</v>
      </c>
      <c r="S172">
        <v>3.0582889999999998</v>
      </c>
      <c r="T172">
        <v>-3.4946440000000002E-2</v>
      </c>
      <c r="U172">
        <v>-0.117218</v>
      </c>
      <c r="V172">
        <v>-6.8771949999999998E-2</v>
      </c>
      <c r="W172">
        <v>0.1585223</v>
      </c>
      <c r="X172">
        <v>0.98495739999999998</v>
      </c>
      <c r="Y172">
        <v>4.0699520000000003E-2</v>
      </c>
      <c r="Z172">
        <v>-3.3425419999999999E-4</v>
      </c>
      <c r="AA172">
        <v>0.99917140000000004</v>
      </c>
      <c r="AB172">
        <v>20</v>
      </c>
      <c r="AC172">
        <v>96.867999999999995</v>
      </c>
      <c r="AD172">
        <v>-1.109125880266</v>
      </c>
      <c r="AE172">
        <v>-3.7208000000000498</v>
      </c>
      <c r="AF172">
        <v>3.9532607230756698</v>
      </c>
      <c r="AG172">
        <v>-1.109125880266</v>
      </c>
      <c r="AH172">
        <v>96.846092687737695</v>
      </c>
      <c r="AI172">
        <v>90.655602932698002</v>
      </c>
      <c r="AJ172">
        <v>87.662482115098001</v>
      </c>
      <c r="AK172">
        <v>96.933090838189898</v>
      </c>
      <c r="AL172">
        <v>80.878864277128699</v>
      </c>
      <c r="AM172">
        <v>93.994038623781904</v>
      </c>
      <c r="AN172">
        <v>0.99999999025942599</v>
      </c>
    </row>
    <row r="173" spans="1:40" x14ac:dyDescent="0.25">
      <c r="A173" t="str">
        <f>"20190304155600832"</f>
        <v>20190304155600832</v>
      </c>
      <c r="B173" t="str">
        <f>"1551686160824639"</f>
        <v>1551686160824639</v>
      </c>
      <c r="C173" t="s">
        <v>40</v>
      </c>
      <c r="D173">
        <v>4.7037250000000004</v>
      </c>
      <c r="E173">
        <v>0.53923909999999997</v>
      </c>
      <c r="F173" t="s">
        <v>41</v>
      </c>
      <c r="G173">
        <v>-363.23759999999999</v>
      </c>
      <c r="H173" s="1">
        <v>-3.9473420000000002E-6</v>
      </c>
      <c r="I173">
        <v>363.61799999999999</v>
      </c>
      <c r="J173">
        <v>-460.08780000000002</v>
      </c>
      <c r="K173">
        <v>1.1091230000000001</v>
      </c>
      <c r="L173">
        <v>367.23950000000002</v>
      </c>
      <c r="M173">
        <v>0.9999884</v>
      </c>
      <c r="N173">
        <v>-4.1640280000000002E-3</v>
      </c>
      <c r="O173">
        <v>2.4054499999999999E-3</v>
      </c>
      <c r="P173">
        <v>0.98544699999999996</v>
      </c>
      <c r="Q173">
        <v>0.1547964</v>
      </c>
      <c r="R173">
        <v>7.0230310000000004E-2</v>
      </c>
      <c r="S173">
        <v>3.0580440000000002</v>
      </c>
      <c r="T173">
        <v>-3.4942870000000001E-2</v>
      </c>
      <c r="U173">
        <v>-0.1140747</v>
      </c>
      <c r="V173">
        <v>-6.7853780000000002E-2</v>
      </c>
      <c r="W173">
        <v>0.15890179999999901</v>
      </c>
      <c r="X173">
        <v>0.98495999999999995</v>
      </c>
      <c r="Y173">
        <v>3.9677320000000002E-2</v>
      </c>
      <c r="Z173">
        <v>-3.2670570000000002E-4</v>
      </c>
      <c r="AA173">
        <v>0.99921249999999995</v>
      </c>
      <c r="AB173">
        <v>20</v>
      </c>
      <c r="AC173">
        <v>96.850200000000001</v>
      </c>
      <c r="AD173">
        <v>-1.10912694734199</v>
      </c>
      <c r="AE173">
        <v>-3.6214999999999602</v>
      </c>
      <c r="AF173">
        <v>3.8539551319481302</v>
      </c>
      <c r="AG173">
        <v>-1.10912694734199</v>
      </c>
      <c r="AH173">
        <v>96.828527254110298</v>
      </c>
      <c r="AI173">
        <v>90.655749352289106</v>
      </c>
      <c r="AJ173">
        <v>87.720724706571104</v>
      </c>
      <c r="AK173">
        <v>96.911541226751595</v>
      </c>
      <c r="AL173">
        <v>80.856842025385106</v>
      </c>
      <c r="AM173">
        <v>93.940873246205598</v>
      </c>
      <c r="AN173">
        <v>1.00000005955176</v>
      </c>
    </row>
    <row r="174" spans="1:40" x14ac:dyDescent="0.25">
      <c r="A174" t="str">
        <f>"20190304155600853"</f>
        <v>20190304155600853</v>
      </c>
      <c r="B174" t="str">
        <f>"1551686160845135"</f>
        <v>1551686160845135</v>
      </c>
      <c r="C174" t="s">
        <v>40</v>
      </c>
      <c r="D174">
        <v>4.6660849999999998</v>
      </c>
      <c r="E174">
        <v>0.53920559999999995</v>
      </c>
      <c r="F174" t="s">
        <v>41</v>
      </c>
      <c r="G174">
        <v>-359.66460000000001</v>
      </c>
      <c r="H174" s="1">
        <v>-1.7542160000000001E-6</v>
      </c>
      <c r="I174">
        <v>363.4</v>
      </c>
      <c r="J174">
        <v>-459.88830000000002</v>
      </c>
      <c r="K174">
        <v>1.1091279999999999</v>
      </c>
      <c r="L174">
        <v>367.24</v>
      </c>
      <c r="M174">
        <v>0.99998849999999995</v>
      </c>
      <c r="N174">
        <v>-4.1856020000000001E-3</v>
      </c>
      <c r="O174">
        <v>2.405763E-3</v>
      </c>
      <c r="P174">
        <v>0.98544259999999995</v>
      </c>
      <c r="Q174">
        <v>0.15517259999999999</v>
      </c>
      <c r="R174">
        <v>6.9461159999999994E-2</v>
      </c>
      <c r="S174">
        <v>3.0579529999999999</v>
      </c>
      <c r="T174">
        <v>-3.3773539999999998E-2</v>
      </c>
      <c r="U174">
        <v>-0.1169128</v>
      </c>
      <c r="V174">
        <v>-6.7084299999999999E-2</v>
      </c>
      <c r="W174">
        <v>0.15929960000000001</v>
      </c>
      <c r="X174">
        <v>0.98494839999999995</v>
      </c>
      <c r="Y174">
        <v>4.0604920000000003E-2</v>
      </c>
      <c r="Z174">
        <v>-3.2564920000000003E-4</v>
      </c>
      <c r="AA174">
        <v>0.99917529999999999</v>
      </c>
      <c r="AB174">
        <v>20</v>
      </c>
      <c r="AC174">
        <v>100.22369999999999</v>
      </c>
      <c r="AD174">
        <v>-1.1091297542159999</v>
      </c>
      <c r="AE174">
        <v>-3.8400000000000301</v>
      </c>
      <c r="AF174">
        <v>4.0806064191072702</v>
      </c>
      <c r="AG174">
        <v>-1.1091297542159999</v>
      </c>
      <c r="AH174">
        <v>100.20191817801199</v>
      </c>
      <c r="AI174">
        <v>90.633652891895693</v>
      </c>
      <c r="AJ174">
        <v>87.667984700356797</v>
      </c>
      <c r="AK174">
        <v>100.291105907315</v>
      </c>
      <c r="AL174">
        <v>80.833755226056994</v>
      </c>
      <c r="AM174">
        <v>93.896366875975602</v>
      </c>
      <c r="AN174">
        <v>1.0000000082645999</v>
      </c>
    </row>
    <row r="175" spans="1:40" x14ac:dyDescent="0.25">
      <c r="A175" t="str">
        <f>"20190304155600877"</f>
        <v>20190304155600877</v>
      </c>
      <c r="B175" t="str">
        <f>"1551686160864655"</f>
        <v>1551686160864655</v>
      </c>
      <c r="C175" t="s">
        <v>40</v>
      </c>
      <c r="D175">
        <v>4.8919410000000001</v>
      </c>
      <c r="E175">
        <v>0.53903840000000003</v>
      </c>
      <c r="F175" t="s">
        <v>41</v>
      </c>
      <c r="G175">
        <v>-356.72269999999997</v>
      </c>
      <c r="H175" s="1">
        <v>-2.799024E-6</v>
      </c>
      <c r="I175">
        <v>363.23579999999998</v>
      </c>
      <c r="J175">
        <v>-459.67790000000002</v>
      </c>
      <c r="K175">
        <v>1.1091310000000001</v>
      </c>
      <c r="L175">
        <v>367.24040000000002</v>
      </c>
      <c r="M175">
        <v>0.99998830000000005</v>
      </c>
      <c r="N175">
        <v>-4.2084359999999899E-3</v>
      </c>
      <c r="O175">
        <v>2.4061920000000001E-3</v>
      </c>
      <c r="P175">
        <v>0.98545490000000002</v>
      </c>
      <c r="Q175">
        <v>0.155505</v>
      </c>
      <c r="R175">
        <v>6.853339E-2</v>
      </c>
      <c r="S175">
        <v>3.0578919999999998</v>
      </c>
      <c r="T175">
        <v>-3.2875300000000003E-2</v>
      </c>
      <c r="U175">
        <v>-0.11868289999999999</v>
      </c>
      <c r="V175">
        <v>-6.6156160000000006E-2</v>
      </c>
      <c r="W175">
        <v>0.1596545</v>
      </c>
      <c r="X175">
        <v>0.98495370000000004</v>
      </c>
      <c r="Y175">
        <v>4.118372E-2</v>
      </c>
      <c r="Z175">
        <v>-3.2372519999999998E-4</v>
      </c>
      <c r="AA175">
        <v>0.99915149999999997</v>
      </c>
      <c r="AB175">
        <v>20</v>
      </c>
      <c r="AC175">
        <v>102.9552</v>
      </c>
      <c r="AD175">
        <v>-1.10913379902399</v>
      </c>
      <c r="AE175">
        <v>-4.0046000000000301</v>
      </c>
      <c r="AF175">
        <v>4.2518278579366298</v>
      </c>
      <c r="AG175">
        <v>-1.10913379902399</v>
      </c>
      <c r="AH175">
        <v>102.933337943045</v>
      </c>
      <c r="AI175">
        <v>90.616827245546105</v>
      </c>
      <c r="AJ175">
        <v>87.634649911296805</v>
      </c>
      <c r="AK175">
        <v>103.027085167032</v>
      </c>
      <c r="AL175">
        <v>80.813157202565293</v>
      </c>
      <c r="AM175">
        <v>93.842600988045405</v>
      </c>
      <c r="AN175">
        <v>0.99999999400994199</v>
      </c>
    </row>
    <row r="176" spans="1:40" x14ac:dyDescent="0.25">
      <c r="A176" t="str">
        <f>"20190304155600897"</f>
        <v>20190304155600897</v>
      </c>
      <c r="B176" t="str">
        <f>"1551686160894912"</f>
        <v>1551686160894912</v>
      </c>
      <c r="C176" t="s">
        <v>40</v>
      </c>
      <c r="D176">
        <v>4.794276</v>
      </c>
      <c r="E176">
        <v>0.53888000000000003</v>
      </c>
      <c r="F176" t="s">
        <v>41</v>
      </c>
      <c r="G176">
        <v>-358.24110000000002</v>
      </c>
      <c r="H176" s="1">
        <v>-2.2721470000000001E-6</v>
      </c>
      <c r="I176">
        <v>363.274</v>
      </c>
      <c r="J176">
        <v>-459.48469999999998</v>
      </c>
      <c r="K176">
        <v>1.109132</v>
      </c>
      <c r="L176">
        <v>367.24090000000001</v>
      </c>
      <c r="M176">
        <v>0.99998830000000005</v>
      </c>
      <c r="N176">
        <v>-4.2294530000000002E-3</v>
      </c>
      <c r="O176">
        <v>2.4065050000000002E-3</v>
      </c>
      <c r="P176">
        <v>0.98552390000000001</v>
      </c>
      <c r="Q176">
        <v>0.15537479999999901</v>
      </c>
      <c r="R176">
        <v>6.7834649999999996E-2</v>
      </c>
      <c r="S176">
        <v>3.0578609999999999</v>
      </c>
      <c r="T176">
        <v>-3.3435340000000001E-2</v>
      </c>
      <c r="U176">
        <v>-0.1195679</v>
      </c>
      <c r="V176">
        <v>-6.5457050000000003E-2</v>
      </c>
      <c r="W176">
        <v>0.15954479999999999</v>
      </c>
      <c r="X176">
        <v>0.98501819999999896</v>
      </c>
      <c r="Y176">
        <v>4.1473030000000001E-2</v>
      </c>
      <c r="Z176">
        <v>-3.305146E-4</v>
      </c>
      <c r="AA176">
        <v>0.99913949999999996</v>
      </c>
      <c r="AB176">
        <v>21</v>
      </c>
      <c r="AC176">
        <v>101.24359999999901</v>
      </c>
      <c r="AD176">
        <v>-1.1091342721469899</v>
      </c>
      <c r="AE176">
        <v>-3.9668999999999999</v>
      </c>
      <c r="AF176">
        <v>4.21002939850215</v>
      </c>
      <c r="AG176">
        <v>-1.1091342721469899</v>
      </c>
      <c r="AH176">
        <v>101.22163095669799</v>
      </c>
      <c r="AI176">
        <v>90.627250123760803</v>
      </c>
      <c r="AJ176">
        <v>87.618315734196699</v>
      </c>
      <c r="AK176">
        <v>101.31521652695599</v>
      </c>
      <c r="AL176">
        <v>80.819524324083602</v>
      </c>
      <c r="AM176">
        <v>93.801865526893195</v>
      </c>
      <c r="AN176">
        <v>1.00000001146649</v>
      </c>
    </row>
    <row r="177" spans="1:40" x14ac:dyDescent="0.25">
      <c r="A177" t="str">
        <f>"20190304155600919"</f>
        <v>20190304155600919</v>
      </c>
      <c r="B177" t="str">
        <f>"1551686160915407"</f>
        <v>1551686160915407</v>
      </c>
      <c r="C177" t="s">
        <v>40</v>
      </c>
      <c r="D177">
        <v>4.7957130000000001</v>
      </c>
      <c r="E177">
        <v>0.53882350000000001</v>
      </c>
      <c r="F177" t="s">
        <v>41</v>
      </c>
      <c r="G177">
        <v>-366.70359999999999</v>
      </c>
      <c r="H177" s="1">
        <v>-2.7090440000000002E-6</v>
      </c>
      <c r="I177">
        <v>363.59840000000003</v>
      </c>
      <c r="J177">
        <v>-459.28050000000002</v>
      </c>
      <c r="K177">
        <v>1.10914</v>
      </c>
      <c r="L177">
        <v>367.2414</v>
      </c>
      <c r="M177">
        <v>0.99998810000000005</v>
      </c>
      <c r="N177">
        <v>-4.2517459999999998E-3</v>
      </c>
      <c r="O177">
        <v>2.4068150000000001E-3</v>
      </c>
      <c r="P177">
        <v>0.98554240000000004</v>
      </c>
      <c r="Q177">
        <v>0.1555753</v>
      </c>
      <c r="R177">
        <v>6.7103410000000002E-2</v>
      </c>
      <c r="S177">
        <v>3.0580750000000001</v>
      </c>
      <c r="T177">
        <v>-3.6557199999999998E-2</v>
      </c>
      <c r="U177">
        <v>-0.1200562</v>
      </c>
      <c r="V177">
        <v>-6.4725690000000002E-2</v>
      </c>
      <c r="W177">
        <v>0.1597674</v>
      </c>
      <c r="X177">
        <v>0.98503039999999997</v>
      </c>
      <c r="Y177">
        <v>4.1629279999999998E-2</v>
      </c>
      <c r="Z177">
        <v>-3.5578859999999999E-4</v>
      </c>
      <c r="AA177">
        <v>0.9991331</v>
      </c>
      <c r="AB177">
        <v>21</v>
      </c>
      <c r="AC177">
        <v>92.576899999999995</v>
      </c>
      <c r="AD177">
        <v>-1.109142709044</v>
      </c>
      <c r="AE177">
        <v>-3.64299999999997</v>
      </c>
      <c r="AF177">
        <v>3.8652529696927198</v>
      </c>
      <c r="AG177">
        <v>-1.109142709044</v>
      </c>
      <c r="AH177">
        <v>92.554599106774205</v>
      </c>
      <c r="AI177">
        <v>90.685982313576005</v>
      </c>
      <c r="AJ177">
        <v>87.608610798281902</v>
      </c>
      <c r="AK177">
        <v>92.641913807328294</v>
      </c>
      <c r="AL177">
        <v>80.806604108342498</v>
      </c>
      <c r="AM177">
        <v>93.759462873500595</v>
      </c>
      <c r="AN177">
        <v>0.999999962986447</v>
      </c>
    </row>
    <row r="178" spans="1:40" x14ac:dyDescent="0.25">
      <c r="A178" t="str">
        <f>"20190304155600941"</f>
        <v>20190304155600941</v>
      </c>
      <c r="B178" t="str">
        <f>"1551686160934927"</f>
        <v>1551686160934927</v>
      </c>
      <c r="C178" t="s">
        <v>40</v>
      </c>
      <c r="D178">
        <v>4.7432550000000004</v>
      </c>
      <c r="E178">
        <v>0.53869630000000002</v>
      </c>
      <c r="F178" t="s">
        <v>41</v>
      </c>
      <c r="G178">
        <v>-368.11099999999999</v>
      </c>
      <c r="H178" s="1">
        <v>-2.228136E-6</v>
      </c>
      <c r="I178">
        <v>363.60590000000002</v>
      </c>
      <c r="J178">
        <v>-459.0684</v>
      </c>
      <c r="K178">
        <v>1.1091390000000001</v>
      </c>
      <c r="L178">
        <v>367.24189999999999</v>
      </c>
      <c r="M178">
        <v>0.99998799999999999</v>
      </c>
      <c r="N178">
        <v>-4.2751320000000001E-3</v>
      </c>
      <c r="O178">
        <v>2.407242E-3</v>
      </c>
      <c r="P178">
        <v>0.98558630000000003</v>
      </c>
      <c r="Q178">
        <v>0.15557399999999999</v>
      </c>
      <c r="R178">
        <v>6.6455620000000007E-2</v>
      </c>
      <c r="S178">
        <v>3.0581969999999998</v>
      </c>
      <c r="T178">
        <v>-3.7205099999999998E-2</v>
      </c>
      <c r="U178">
        <v>-0.12194820000000001</v>
      </c>
      <c r="V178">
        <v>-6.4076800000000003E-2</v>
      </c>
      <c r="W178">
        <v>0.15978909999999999</v>
      </c>
      <c r="X178">
        <v>0.98506930000000004</v>
      </c>
      <c r="Y178">
        <v>4.224514E-2</v>
      </c>
      <c r="Z178">
        <v>-3.6618840000000001E-4</v>
      </c>
      <c r="AA178">
        <v>0.99910719999999997</v>
      </c>
      <c r="AB178">
        <v>21</v>
      </c>
      <c r="AC178">
        <v>90.957400000000007</v>
      </c>
      <c r="AD178">
        <v>-1.10914122813599</v>
      </c>
      <c r="AE178">
        <v>-3.6359999999999602</v>
      </c>
      <c r="AF178">
        <v>3.8543757177251399</v>
      </c>
      <c r="AG178">
        <v>-1.10914122813599</v>
      </c>
      <c r="AH178">
        <v>90.934883613756995</v>
      </c>
      <c r="AI178">
        <v>90.698180470605706</v>
      </c>
      <c r="AJ178">
        <v>87.5729077465312</v>
      </c>
      <c r="AK178">
        <v>91.023290779255404</v>
      </c>
      <c r="AL178">
        <v>80.805344574721403</v>
      </c>
      <c r="AM178">
        <v>93.721733296450594</v>
      </c>
      <c r="AN178">
        <v>0.99999995928976904</v>
      </c>
    </row>
    <row r="179" spans="1:40" x14ac:dyDescent="0.25">
      <c r="A179" t="str">
        <f>"20190304155600965"</f>
        <v>20190304155600965</v>
      </c>
      <c r="B179" t="str">
        <f>"1551686160955423"</f>
        <v>1551686160955423</v>
      </c>
      <c r="C179" t="s">
        <v>40</v>
      </c>
      <c r="D179">
        <v>4.766915</v>
      </c>
      <c r="E179">
        <v>0.53862149999999998</v>
      </c>
      <c r="F179" t="s">
        <v>41</v>
      </c>
      <c r="G179">
        <v>-371.56939999999997</v>
      </c>
      <c r="H179" s="1">
        <v>-4.6435590000000002E-6</v>
      </c>
      <c r="I179">
        <v>363.7276</v>
      </c>
      <c r="J179">
        <v>-458.85129999999998</v>
      </c>
      <c r="K179">
        <v>1.1091359999999999</v>
      </c>
      <c r="L179">
        <v>367.24250000000001</v>
      </c>
      <c r="M179">
        <v>0.99998799999999999</v>
      </c>
      <c r="N179">
        <v>-4.2991940000000001E-3</v>
      </c>
      <c r="O179">
        <v>2.4075479999999998E-3</v>
      </c>
      <c r="P179">
        <v>0.98560210000000004</v>
      </c>
      <c r="Q179">
        <v>0.15561410000000001</v>
      </c>
      <c r="R179">
        <v>6.6127089999999999E-2</v>
      </c>
      <c r="S179">
        <v>3.058319</v>
      </c>
      <c r="T179">
        <v>-3.8767459999999997E-2</v>
      </c>
      <c r="U179">
        <v>-0.12283330000000001</v>
      </c>
      <c r="V179">
        <v>-6.3747789999999999E-2</v>
      </c>
      <c r="W179">
        <v>0.1598531</v>
      </c>
      <c r="X179">
        <v>0.98508030000000002</v>
      </c>
      <c r="Y179">
        <v>4.2532149999999998E-2</v>
      </c>
      <c r="Z179">
        <v>-3.8107899999999999E-4</v>
      </c>
      <c r="AA179">
        <v>0.99909499999999996</v>
      </c>
      <c r="AB179">
        <v>21</v>
      </c>
      <c r="AC179">
        <v>87.281899999999993</v>
      </c>
      <c r="AD179">
        <v>-1.1091406435590001</v>
      </c>
      <c r="AE179">
        <v>-3.5149000000000101</v>
      </c>
      <c r="AF179">
        <v>3.72442663442009</v>
      </c>
      <c r="AG179">
        <v>-1.1091406435590001</v>
      </c>
      <c r="AH179">
        <v>87.259116685883896</v>
      </c>
      <c r="AI179">
        <v>90.727578503498606</v>
      </c>
      <c r="AJ179">
        <v>87.555963309750993</v>
      </c>
      <c r="AK179">
        <v>87.345606595426801</v>
      </c>
      <c r="AL179">
        <v>80.801630235664206</v>
      </c>
      <c r="AM179">
        <v>93.702635676703196</v>
      </c>
      <c r="AN179">
        <v>0.99999999587879196</v>
      </c>
    </row>
    <row r="180" spans="1:40" x14ac:dyDescent="0.25">
      <c r="A180" t="str">
        <f>"20190304155600986"</f>
        <v>20190304155600986</v>
      </c>
      <c r="B180" t="str">
        <f>"1551686160974946"</f>
        <v>1551686160974946</v>
      </c>
      <c r="C180" t="s">
        <v>40</v>
      </c>
      <c r="D180">
        <v>4.7917339999999999</v>
      </c>
      <c r="E180">
        <v>0.53856470000000001</v>
      </c>
      <c r="F180" t="s">
        <v>41</v>
      </c>
      <c r="G180">
        <v>-374.5095</v>
      </c>
      <c r="H180" s="1">
        <v>-3.389449E-6</v>
      </c>
      <c r="I180">
        <v>363.84750000000003</v>
      </c>
      <c r="J180">
        <v>-458.64800000000002</v>
      </c>
      <c r="K180">
        <v>1.1091299999999999</v>
      </c>
      <c r="L180">
        <v>367.24299999999999</v>
      </c>
      <c r="M180">
        <v>0.99998770000000003</v>
      </c>
      <c r="N180">
        <v>-4.3218759999999997E-3</v>
      </c>
      <c r="O180">
        <v>2.408154E-3</v>
      </c>
      <c r="P180">
        <v>0.98569859999999998</v>
      </c>
      <c r="Q180">
        <v>0.1550396</v>
      </c>
      <c r="R180">
        <v>6.603871E-2</v>
      </c>
      <c r="S180">
        <v>3.0584720000000001</v>
      </c>
      <c r="T180">
        <v>-4.0220499999999999E-2</v>
      </c>
      <c r="U180">
        <v>-0.12310790000000001</v>
      </c>
      <c r="V180">
        <v>-6.3659129999999994E-2</v>
      </c>
      <c r="W180">
        <v>0.15930139999999901</v>
      </c>
      <c r="X180">
        <v>0.98517540000000003</v>
      </c>
      <c r="Y180">
        <v>4.262001E-2</v>
      </c>
      <c r="Z180">
        <v>-3.9350589999999998E-4</v>
      </c>
      <c r="AA180">
        <v>0.99909130000000002</v>
      </c>
      <c r="AB180">
        <v>21</v>
      </c>
      <c r="AC180">
        <v>84.138499999999993</v>
      </c>
      <c r="AD180">
        <v>-1.1091333894490001</v>
      </c>
      <c r="AE180">
        <v>-3.3955000000000202</v>
      </c>
      <c r="AF180">
        <v>3.5974864008318099</v>
      </c>
      <c r="AG180">
        <v>-1.1091333894490001</v>
      </c>
      <c r="AH180">
        <v>84.115485972929505</v>
      </c>
      <c r="AI180">
        <v>90.754759350828394</v>
      </c>
      <c r="AJ180">
        <v>87.551042491752398</v>
      </c>
      <c r="AK180">
        <v>84.199685662963503</v>
      </c>
      <c r="AL180">
        <v>80.833650635330599</v>
      </c>
      <c r="AM180">
        <v>93.697144437504903</v>
      </c>
      <c r="AN180">
        <v>0.999999994819738</v>
      </c>
    </row>
    <row r="181" spans="1:40" x14ac:dyDescent="0.25">
      <c r="A181" t="str">
        <f>"20190304155601010"</f>
        <v>20190304155601010</v>
      </c>
      <c r="B181" t="str">
        <f>"1551686161005199"</f>
        <v>1551686161005199</v>
      </c>
      <c r="C181" t="s">
        <v>40</v>
      </c>
      <c r="D181">
        <v>4.7971069999999996</v>
      </c>
      <c r="E181">
        <v>0.53849519999999995</v>
      </c>
      <c r="F181" t="s">
        <v>41</v>
      </c>
      <c r="G181">
        <v>-381.27280000000002</v>
      </c>
      <c r="H181" s="1">
        <v>-4.6980380000000004E-6</v>
      </c>
      <c r="I181">
        <v>364.13780000000003</v>
      </c>
      <c r="J181">
        <v>-458.42720000000003</v>
      </c>
      <c r="K181">
        <v>1.109135</v>
      </c>
      <c r="L181">
        <v>367.24349999999998</v>
      </c>
      <c r="M181">
        <v>0.99998770000000003</v>
      </c>
      <c r="N181">
        <v>-4.346613E-3</v>
      </c>
      <c r="O181">
        <v>2.4084570000000001E-3</v>
      </c>
      <c r="P181">
        <v>0.98569209999999996</v>
      </c>
      <c r="Q181">
        <v>0.1549711</v>
      </c>
      <c r="R181">
        <v>6.6296330000000001E-2</v>
      </c>
      <c r="S181">
        <v>3.0586549999999999</v>
      </c>
      <c r="T181">
        <v>-4.3844220000000003E-2</v>
      </c>
      <c r="U181">
        <v>-0.1227417</v>
      </c>
      <c r="V181">
        <v>-6.3916089999999995E-2</v>
      </c>
      <c r="W181">
        <v>0.15925719999999999</v>
      </c>
      <c r="X181">
        <v>0.98516590000000004</v>
      </c>
      <c r="Y181">
        <v>4.249766E-2</v>
      </c>
      <c r="Z181">
        <v>-4.2090170000000002E-4</v>
      </c>
      <c r="AA181">
        <v>0.99909650000000005</v>
      </c>
      <c r="AB181">
        <v>21</v>
      </c>
      <c r="AC181">
        <v>77.154399999999995</v>
      </c>
      <c r="AD181">
        <v>-1.1091396980379999</v>
      </c>
      <c r="AE181">
        <v>-3.1056999999999499</v>
      </c>
      <c r="AF181">
        <v>3.2908368178484801</v>
      </c>
      <c r="AG181">
        <v>-1.1091396980379999</v>
      </c>
      <c r="AH181">
        <v>77.1307823400616</v>
      </c>
      <c r="AI181">
        <v>90.823107086887205</v>
      </c>
      <c r="AJ181">
        <v>87.5569186574143</v>
      </c>
      <c r="AK181">
        <v>77.208920353942403</v>
      </c>
      <c r="AL181">
        <v>80.836215779893806</v>
      </c>
      <c r="AM181">
        <v>93.712062010536101</v>
      </c>
      <c r="AN181">
        <v>0.99999998641776899</v>
      </c>
    </row>
    <row r="182" spans="1:40" x14ac:dyDescent="0.25">
      <c r="A182" t="str">
        <f>"20190304155601022"</f>
        <v>20190304155601022</v>
      </c>
      <c r="B182" t="str">
        <f>"1551686161014960"</f>
        <v>1551686161014960</v>
      </c>
      <c r="C182" t="s">
        <v>40</v>
      </c>
      <c r="D182">
        <v>4.758114</v>
      </c>
      <c r="E182">
        <v>0.53845669999999901</v>
      </c>
      <c r="F182" t="s">
        <v>41</v>
      </c>
      <c r="G182">
        <v>-383.71960000000001</v>
      </c>
      <c r="H182" s="1">
        <v>-3.622098E-6</v>
      </c>
      <c r="I182">
        <v>364.28590000000003</v>
      </c>
      <c r="J182">
        <v>-458.29840000000002</v>
      </c>
      <c r="K182">
        <v>1.109132</v>
      </c>
      <c r="L182">
        <v>367.24380000000002</v>
      </c>
      <c r="M182">
        <v>0.99998759999999998</v>
      </c>
      <c r="N182">
        <v>-4.3610709999999898E-3</v>
      </c>
      <c r="O182">
        <v>2.4087230000000002E-3</v>
      </c>
      <c r="P182">
        <v>0.98566810000000005</v>
      </c>
      <c r="Q182">
        <v>0.155145799999999</v>
      </c>
      <c r="R182">
        <v>6.6243780000000002E-2</v>
      </c>
      <c r="S182">
        <v>3.0588679999999999</v>
      </c>
      <c r="T182">
        <v>-4.5413139999999998E-2</v>
      </c>
      <c r="U182">
        <v>-0.1210938</v>
      </c>
      <c r="V182">
        <v>-6.3863379999999997E-2</v>
      </c>
      <c r="W182">
        <v>0.159445899999999</v>
      </c>
      <c r="X182">
        <v>0.98513879999999998</v>
      </c>
      <c r="Y182">
        <v>4.1957410000000001E-2</v>
      </c>
      <c r="Z182">
        <v>-4.2809640000000002E-4</v>
      </c>
      <c r="AA182">
        <v>0.99911930000000004</v>
      </c>
      <c r="AB182">
        <v>21</v>
      </c>
      <c r="AC182">
        <v>74.578800000000001</v>
      </c>
      <c r="AD182">
        <v>-1.109135622098</v>
      </c>
      <c r="AE182">
        <v>-2.9578999999999902</v>
      </c>
      <c r="AF182">
        <v>3.1368400913804</v>
      </c>
      <c r="AG182">
        <v>-1.109135622098</v>
      </c>
      <c r="AH182">
        <v>74.554994917670598</v>
      </c>
      <c r="AI182">
        <v>90.8515585225297</v>
      </c>
      <c r="AJ182">
        <v>87.590748179405594</v>
      </c>
      <c r="AK182">
        <v>74.629198138268805</v>
      </c>
      <c r="AL182">
        <v>80.825264165348202</v>
      </c>
      <c r="AM182">
        <v>93.709111060054397</v>
      </c>
      <c r="AN182">
        <v>0.999999990798637</v>
      </c>
    </row>
    <row r="183" spans="1:40" x14ac:dyDescent="0.25">
      <c r="A183" t="str">
        <f>"20190304155601042"</f>
        <v>20190304155601042</v>
      </c>
      <c r="B183" t="str">
        <f>"1551686161035455"</f>
        <v>1551686161035455</v>
      </c>
      <c r="C183" t="s">
        <v>40</v>
      </c>
      <c r="D183">
        <v>4.7816619999999999</v>
      </c>
      <c r="E183">
        <v>0.53836740000000005</v>
      </c>
      <c r="F183" t="s">
        <v>41</v>
      </c>
      <c r="G183">
        <v>-383.7319</v>
      </c>
      <c r="H183" s="1">
        <v>-3.6150940000000002E-6</v>
      </c>
      <c r="I183">
        <v>364.2955</v>
      </c>
      <c r="J183">
        <v>-458.11489999999998</v>
      </c>
      <c r="K183">
        <v>1.1091340000000001</v>
      </c>
      <c r="L183">
        <v>367.24419999999998</v>
      </c>
      <c r="M183">
        <v>0.99998759999999998</v>
      </c>
      <c r="N183">
        <v>-4.3816910000000001E-3</v>
      </c>
      <c r="O183">
        <v>2.408856E-3</v>
      </c>
      <c r="P183">
        <v>0.98564799999999997</v>
      </c>
      <c r="Q183">
        <v>0.15516579999999999</v>
      </c>
      <c r="R183">
        <v>6.6497819999999999E-2</v>
      </c>
      <c r="S183">
        <v>3.0588679999999999</v>
      </c>
      <c r="T183">
        <v>-4.549897E-2</v>
      </c>
      <c r="U183">
        <v>-0.1209412</v>
      </c>
      <c r="V183">
        <v>-6.4117569999999999E-2</v>
      </c>
      <c r="W183">
        <v>0.15948599999999999</v>
      </c>
      <c r="X183">
        <v>0.98511579999999999</v>
      </c>
      <c r="Y183">
        <v>4.1907760000000002E-2</v>
      </c>
      <c r="Z183">
        <v>-4.2865930000000001E-4</v>
      </c>
      <c r="AA183">
        <v>0.99912140000000005</v>
      </c>
      <c r="AB183">
        <v>21</v>
      </c>
      <c r="AC183">
        <v>74.382999999999896</v>
      </c>
      <c r="AD183">
        <v>-1.109137615094</v>
      </c>
      <c r="AE183">
        <v>-2.9486999999999699</v>
      </c>
      <c r="AF183">
        <v>3.12717686762613</v>
      </c>
      <c r="AG183">
        <v>-1.109137615094</v>
      </c>
      <c r="AH183">
        <v>74.359173825898296</v>
      </c>
      <c r="AI183">
        <v>90.853802947460807</v>
      </c>
      <c r="AJ183">
        <v>87.591843635704905</v>
      </c>
      <c r="AK183">
        <v>74.433165682246695</v>
      </c>
      <c r="AL183">
        <v>80.822936844735196</v>
      </c>
      <c r="AM183">
        <v>93.7239193613309</v>
      </c>
      <c r="AN183">
        <v>0.99999999319417199</v>
      </c>
    </row>
    <row r="184" spans="1:40" x14ac:dyDescent="0.25">
      <c r="A184" t="str">
        <f>"20190304155601067"</f>
        <v>20190304155601067</v>
      </c>
      <c r="B184" t="str">
        <f>"1551686161054975"</f>
        <v>1551686161054975</v>
      </c>
      <c r="C184" t="s">
        <v>40</v>
      </c>
      <c r="D184">
        <v>4.8145480000000003</v>
      </c>
      <c r="E184">
        <v>0.53826090000000004</v>
      </c>
      <c r="F184" t="s">
        <v>41</v>
      </c>
      <c r="G184">
        <v>-385.70080000000002</v>
      </c>
      <c r="H184" s="1">
        <v>-2.8319919999999999E-6</v>
      </c>
      <c r="I184">
        <v>364.41890000000001</v>
      </c>
      <c r="J184">
        <v>-457.87189999999998</v>
      </c>
      <c r="K184">
        <v>1.109135</v>
      </c>
      <c r="L184">
        <v>367.2448</v>
      </c>
      <c r="M184">
        <v>0.99998730000000002</v>
      </c>
      <c r="N184">
        <v>-4.4091410000000001E-3</v>
      </c>
      <c r="O184">
        <v>2.409451E-3</v>
      </c>
      <c r="P184">
        <v>0.98565729999999996</v>
      </c>
      <c r="Q184">
        <v>0.15508459999999999</v>
      </c>
      <c r="R184">
        <v>6.6549479999999994E-2</v>
      </c>
      <c r="S184">
        <v>3.0591430000000002</v>
      </c>
      <c r="T184">
        <v>-4.6855569999999999E-2</v>
      </c>
      <c r="U184">
        <v>-0.11935419999999999</v>
      </c>
      <c r="V184">
        <v>-6.41684E-2</v>
      </c>
      <c r="W184">
        <v>0.15943179999999901</v>
      </c>
      <c r="X184">
        <v>0.98512129999999998</v>
      </c>
      <c r="Y184">
        <v>4.1387069999999998E-2</v>
      </c>
      <c r="Z184">
        <v>-4.3436720000000002E-4</v>
      </c>
      <c r="AA184">
        <v>0.99914309999999995</v>
      </c>
      <c r="AB184">
        <v>21</v>
      </c>
      <c r="AC184">
        <v>72.171099999999896</v>
      </c>
      <c r="AD184">
        <v>-1.109137831992</v>
      </c>
      <c r="AE184">
        <v>-2.8258999999999901</v>
      </c>
      <c r="AF184">
        <v>2.9990789895257599</v>
      </c>
      <c r="AG184">
        <v>-1.109137831992</v>
      </c>
      <c r="AH184">
        <v>72.147067908578506</v>
      </c>
      <c r="AI184">
        <v>90.879995421643997</v>
      </c>
      <c r="AJ184">
        <v>87.619644145060093</v>
      </c>
      <c r="AK184">
        <v>72.217892999732499</v>
      </c>
      <c r="AL184">
        <v>80.826082858249293</v>
      </c>
      <c r="AM184">
        <v>93.726842479189898</v>
      </c>
      <c r="AN184">
        <v>1.0000000290617399</v>
      </c>
    </row>
    <row r="185" spans="1:40" x14ac:dyDescent="0.25">
      <c r="A185" t="str">
        <f>"20190304155601088"</f>
        <v>20190304155601088</v>
      </c>
      <c r="B185" t="str">
        <f>"1551686161085231"</f>
        <v>1551686161085231</v>
      </c>
      <c r="C185" t="s">
        <v>40</v>
      </c>
      <c r="D185">
        <v>4.8276879999999904</v>
      </c>
      <c r="E185">
        <v>0.53814059999999997</v>
      </c>
      <c r="F185" t="s">
        <v>41</v>
      </c>
      <c r="G185">
        <v>-388.2217</v>
      </c>
      <c r="H185" s="1">
        <v>-1.9398550000000001E-6</v>
      </c>
      <c r="I185">
        <v>364.54770000000002</v>
      </c>
      <c r="J185">
        <v>-457.66669999999999</v>
      </c>
      <c r="K185">
        <v>1.1091359999999999</v>
      </c>
      <c r="L185">
        <v>367.24529999999999</v>
      </c>
      <c r="M185">
        <v>0.99998739999999997</v>
      </c>
      <c r="N185">
        <v>-4.4325229999999998E-3</v>
      </c>
      <c r="O185">
        <v>2.4097559999999999E-3</v>
      </c>
      <c r="P185">
        <v>0.98569450000000003</v>
      </c>
      <c r="Q185">
        <v>0.15475359999999999</v>
      </c>
      <c r="R185">
        <v>6.6766019999999995E-2</v>
      </c>
      <c r="S185">
        <v>3.0593870000000001</v>
      </c>
      <c r="T185">
        <v>-4.8718810000000001E-2</v>
      </c>
      <c r="U185">
        <v>-0.1184692</v>
      </c>
      <c r="V185">
        <v>-6.4384419999999998E-2</v>
      </c>
      <c r="W185">
        <v>0.1591244</v>
      </c>
      <c r="X185">
        <v>0.9851569</v>
      </c>
      <c r="Y185">
        <v>4.109525E-2</v>
      </c>
      <c r="Z185">
        <v>-4.4586510000000002E-4</v>
      </c>
      <c r="AA185">
        <v>0.99915520000000002</v>
      </c>
      <c r="AB185">
        <v>22</v>
      </c>
      <c r="AC185">
        <v>69.444999999999993</v>
      </c>
      <c r="AD185">
        <v>-1.1091379398549901</v>
      </c>
      <c r="AE185">
        <v>-2.69759999999996</v>
      </c>
      <c r="AF185">
        <v>2.8642097722921598</v>
      </c>
      <c r="AG185">
        <v>-1.1091379398549901</v>
      </c>
      <c r="AH185">
        <v>69.420616094064101</v>
      </c>
      <c r="AI185">
        <v>90.914562754295105</v>
      </c>
      <c r="AJ185">
        <v>87.637386173114805</v>
      </c>
      <c r="AK185">
        <v>69.488530157636404</v>
      </c>
      <c r="AL185">
        <v>80.843923279582498</v>
      </c>
      <c r="AM185">
        <v>93.7392184450934</v>
      </c>
      <c r="AN185">
        <v>1.0000000229158501</v>
      </c>
    </row>
    <row r="186" spans="1:40" x14ac:dyDescent="0.25">
      <c r="A186" t="str">
        <f>"20190304155601121"</f>
        <v>20190304155601121</v>
      </c>
      <c r="B186" t="str">
        <f>"1551686161115487"</f>
        <v>1551686161115487</v>
      </c>
      <c r="C186" t="s">
        <v>40</v>
      </c>
      <c r="D186">
        <v>4.807321</v>
      </c>
      <c r="E186">
        <v>0.53803089999999998</v>
      </c>
      <c r="F186" t="s">
        <v>41</v>
      </c>
      <c r="G186">
        <v>-392.25639999999999</v>
      </c>
      <c r="H186" s="1">
        <v>-4.1697430000000002E-6</v>
      </c>
      <c r="I186">
        <v>364.7373</v>
      </c>
      <c r="J186">
        <v>-457.34429999999998</v>
      </c>
      <c r="K186">
        <v>1.109137</v>
      </c>
      <c r="L186">
        <v>367.24610000000001</v>
      </c>
      <c r="M186">
        <v>0.99998719999999996</v>
      </c>
      <c r="N186">
        <v>-4.4753600000000003E-3</v>
      </c>
      <c r="O186">
        <v>2.4101959999999999E-3</v>
      </c>
      <c r="P186">
        <v>0.98569600000000002</v>
      </c>
      <c r="Q186">
        <v>0.1546429</v>
      </c>
      <c r="R186">
        <v>6.7001130000000006E-2</v>
      </c>
      <c r="S186">
        <v>3.0596619999999999</v>
      </c>
      <c r="T186">
        <v>-5.1881549999999999E-2</v>
      </c>
      <c r="U186">
        <v>-0.1173096</v>
      </c>
      <c r="V186">
        <v>-6.4619549999999998E-2</v>
      </c>
      <c r="W186">
        <v>0.15905620000000001</v>
      </c>
      <c r="X186">
        <v>0.98515249999999999</v>
      </c>
      <c r="Y186">
        <v>4.0713310000000003E-2</v>
      </c>
      <c r="Z186">
        <v>-4.6624360000000002E-4</v>
      </c>
      <c r="AA186">
        <v>0.99917080000000003</v>
      </c>
      <c r="AB186">
        <v>22</v>
      </c>
      <c r="AC186">
        <v>65.087899999999905</v>
      </c>
      <c r="AD186">
        <v>-1.109141169743</v>
      </c>
      <c r="AE186">
        <v>-2.5087999999999999</v>
      </c>
      <c r="AF186">
        <v>2.66489616555394</v>
      </c>
      <c r="AG186">
        <v>-1.109141169743</v>
      </c>
      <c r="AH186">
        <v>65.062798999826001</v>
      </c>
      <c r="AI186">
        <v>90.9758222918569</v>
      </c>
      <c r="AJ186">
        <v>87.654542883768798</v>
      </c>
      <c r="AK186">
        <v>65.126796937968393</v>
      </c>
      <c r="AL186">
        <v>80.847881091548899</v>
      </c>
      <c r="AM186">
        <v>93.752851721765396</v>
      </c>
      <c r="AN186">
        <v>1.0000000046284401</v>
      </c>
    </row>
    <row r="187" spans="1:40" x14ac:dyDescent="0.25">
      <c r="A187" t="str">
        <f>"20190304155601143"</f>
        <v>20190304155601143</v>
      </c>
      <c r="B187" t="str">
        <f>"1551686161135007"</f>
        <v>1551686161135007</v>
      </c>
      <c r="C187" t="s">
        <v>40</v>
      </c>
      <c r="D187">
        <v>4.8968429999999996</v>
      </c>
      <c r="E187">
        <v>0.53799919999999901</v>
      </c>
      <c r="F187" t="s">
        <v>41</v>
      </c>
      <c r="G187">
        <v>-394.06209999999999</v>
      </c>
      <c r="H187" s="1">
        <v>-3.3757530000000001E-6</v>
      </c>
      <c r="I187">
        <v>364.84640000000002</v>
      </c>
      <c r="J187">
        <v>-457.12329999999997</v>
      </c>
      <c r="K187">
        <v>1.1091439999999999</v>
      </c>
      <c r="L187">
        <v>367.2466</v>
      </c>
      <c r="M187">
        <v>0.99998710000000002</v>
      </c>
      <c r="N187">
        <v>-4.5094790000000003E-3</v>
      </c>
      <c r="O187">
        <v>2.4105950000000002E-3</v>
      </c>
      <c r="P187">
        <v>0.98559419999999998</v>
      </c>
      <c r="Q187">
        <v>0.15490989999999999</v>
      </c>
      <c r="R187">
        <v>6.7876590000000001E-2</v>
      </c>
      <c r="S187">
        <v>3.0598450000000001</v>
      </c>
      <c r="T187">
        <v>-5.362952E-2</v>
      </c>
      <c r="U187">
        <v>-0.1160278</v>
      </c>
      <c r="V187">
        <v>-6.5494750000000004E-2</v>
      </c>
      <c r="W187">
        <v>0.159356</v>
      </c>
      <c r="X187">
        <v>0.98504630000000004</v>
      </c>
      <c r="Y187">
        <v>4.0293080000000002E-2</v>
      </c>
      <c r="Z187">
        <v>-4.7521050000000001E-4</v>
      </c>
      <c r="AA187">
        <v>0.99918779999999996</v>
      </c>
      <c r="AB187">
        <v>22</v>
      </c>
      <c r="AC187">
        <v>63.0611999999999</v>
      </c>
      <c r="AD187">
        <v>-1.1091473757529999</v>
      </c>
      <c r="AE187">
        <v>-2.4001999999999799</v>
      </c>
      <c r="AF187">
        <v>2.5514214112600202</v>
      </c>
      <c r="AG187">
        <v>-1.1091473757529999</v>
      </c>
      <c r="AH187">
        <v>63.035758725057903</v>
      </c>
      <c r="AI187">
        <v>91.007220844224094</v>
      </c>
      <c r="AJ187">
        <v>87.682173919786905</v>
      </c>
      <c r="AK187">
        <v>63.097122257379397</v>
      </c>
      <c r="AL187">
        <v>80.830482363135502</v>
      </c>
      <c r="AM187">
        <v>93.803940586831501</v>
      </c>
      <c r="AN187">
        <v>1.0000000550786201</v>
      </c>
    </row>
    <row r="188" spans="1:40" x14ac:dyDescent="0.25">
      <c r="A188" t="str">
        <f>"20190304155601166"</f>
        <v>20190304155601166</v>
      </c>
      <c r="B188" t="str">
        <f>"1551686161155503"</f>
        <v>1551686161155503</v>
      </c>
      <c r="C188" t="s">
        <v>40</v>
      </c>
      <c r="D188">
        <v>4.840306</v>
      </c>
      <c r="E188">
        <v>0.53797349999999999</v>
      </c>
      <c r="F188" t="s">
        <v>41</v>
      </c>
      <c r="G188">
        <v>-394.18119999999999</v>
      </c>
      <c r="H188" s="1">
        <v>-3.3119660000000001E-6</v>
      </c>
      <c r="I188">
        <v>364.9178</v>
      </c>
      <c r="J188">
        <v>-456.89819999999997</v>
      </c>
      <c r="K188">
        <v>1.109148</v>
      </c>
      <c r="L188">
        <v>367.24720000000002</v>
      </c>
      <c r="M188">
        <v>0.99998679999999995</v>
      </c>
      <c r="N188">
        <v>-4.5460839999999997E-3</v>
      </c>
      <c r="O188">
        <v>2.410868E-3</v>
      </c>
      <c r="P188">
        <v>0.98561330000000003</v>
      </c>
      <c r="Q188">
        <v>0.1545831</v>
      </c>
      <c r="R188">
        <v>6.834134E-2</v>
      </c>
      <c r="S188">
        <v>3.0601500000000001</v>
      </c>
      <c r="T188">
        <v>-5.392504E-2</v>
      </c>
      <c r="U188">
        <v>-0.11322019999999999</v>
      </c>
      <c r="V188">
        <v>-6.5958660000000002E-2</v>
      </c>
      <c r="W188">
        <v>0.1590656</v>
      </c>
      <c r="X188">
        <v>0.9850622</v>
      </c>
      <c r="Y188">
        <v>3.937421E-2</v>
      </c>
      <c r="Z188">
        <v>-4.6782429999999998E-4</v>
      </c>
      <c r="AA188">
        <v>0.99922440000000001</v>
      </c>
      <c r="AB188">
        <v>22</v>
      </c>
      <c r="AC188">
        <v>62.716999999999899</v>
      </c>
      <c r="AD188">
        <v>-1.1091513119659999</v>
      </c>
      <c r="AE188">
        <v>-2.3294000000000201</v>
      </c>
      <c r="AF188">
        <v>2.4798226744971901</v>
      </c>
      <c r="AG188">
        <v>-1.1091513119659999</v>
      </c>
      <c r="AH188">
        <v>62.691621384477102</v>
      </c>
      <c r="AI188">
        <v>91.012789507374293</v>
      </c>
      <c r="AJ188">
        <v>87.734795573938101</v>
      </c>
      <c r="AK188">
        <v>62.750451225026403</v>
      </c>
      <c r="AL188">
        <v>80.8473352823559</v>
      </c>
      <c r="AM188">
        <v>93.830742923903998</v>
      </c>
      <c r="AN188">
        <v>0.99999997390059703</v>
      </c>
    </row>
    <row r="189" spans="1:40" x14ac:dyDescent="0.25">
      <c r="A189" t="str">
        <f>"20190304155601188"</f>
        <v>20190304155601188</v>
      </c>
      <c r="B189" t="str">
        <f>"1551686161184783"</f>
        <v>1551686161184783</v>
      </c>
      <c r="C189" t="s">
        <v>40</v>
      </c>
      <c r="D189">
        <v>5.1272169999999999</v>
      </c>
      <c r="E189">
        <v>0.53789540000000002</v>
      </c>
      <c r="F189" t="s">
        <v>41</v>
      </c>
      <c r="G189">
        <v>-395.9323</v>
      </c>
      <c r="H189" s="1">
        <v>-2.595012E-6</v>
      </c>
      <c r="I189">
        <v>365.01350000000002</v>
      </c>
      <c r="J189">
        <v>-456.67439999999999</v>
      </c>
      <c r="K189">
        <v>1.1091409999999999</v>
      </c>
      <c r="L189">
        <v>367.24779999999998</v>
      </c>
      <c r="M189">
        <v>0.99998679999999995</v>
      </c>
      <c r="N189">
        <v>-4.5827380000000003E-3</v>
      </c>
      <c r="O189">
        <v>2.4077339999999999E-3</v>
      </c>
      <c r="P189">
        <v>0.98550450000000001</v>
      </c>
      <c r="Q189">
        <v>0.15497910000000001</v>
      </c>
      <c r="R189">
        <v>6.9010920000000003E-2</v>
      </c>
      <c r="S189">
        <v>3.0603030000000002</v>
      </c>
      <c r="T189">
        <v>-5.5675860000000001E-2</v>
      </c>
      <c r="U189">
        <v>-0.1121216</v>
      </c>
      <c r="V189">
        <v>-6.6630780000000001E-2</v>
      </c>
      <c r="W189">
        <v>0.15949769999999999</v>
      </c>
      <c r="X189">
        <v>0.98494709999999996</v>
      </c>
      <c r="Y189">
        <v>3.9010599999999999E-2</v>
      </c>
      <c r="Z189">
        <v>-4.7689379999999999E-4</v>
      </c>
      <c r="AA189">
        <v>0.99923870000000004</v>
      </c>
      <c r="AB189">
        <v>22</v>
      </c>
      <c r="AC189">
        <v>60.742099999999901</v>
      </c>
      <c r="AD189">
        <v>-1.1091435950120001</v>
      </c>
      <c r="AE189">
        <v>-2.2342999999999602</v>
      </c>
      <c r="AF189">
        <v>2.37975345640506</v>
      </c>
      <c r="AG189">
        <v>-1.1091435950120001</v>
      </c>
      <c r="AH189">
        <v>60.716327389603599</v>
      </c>
      <c r="AI189">
        <v>91.045739123958001</v>
      </c>
      <c r="AJ189">
        <v>87.755462518196893</v>
      </c>
      <c r="AK189">
        <v>60.773068358518401</v>
      </c>
      <c r="AL189">
        <v>80.822257701734799</v>
      </c>
      <c r="AM189">
        <v>93.870111096967094</v>
      </c>
      <c r="AN189">
        <v>0.99999998347355401</v>
      </c>
    </row>
    <row r="190" spans="1:40" x14ac:dyDescent="0.25">
      <c r="A190" t="str">
        <f>"20190304155601210"</f>
        <v>20190304155601210</v>
      </c>
      <c r="B190" t="str">
        <f>"1551686161205280"</f>
        <v>1551686161205280</v>
      </c>
      <c r="C190" t="s">
        <v>40</v>
      </c>
      <c r="D190">
        <v>4.8595249999999997</v>
      </c>
      <c r="E190">
        <v>0.53787089999999904</v>
      </c>
      <c r="F190" t="s">
        <v>41</v>
      </c>
      <c r="G190">
        <v>-394.94760000000002</v>
      </c>
      <c r="H190" s="1">
        <v>-2.9616499999999998E-6</v>
      </c>
      <c r="I190">
        <v>365.03919999999999</v>
      </c>
      <c r="J190">
        <v>-456.45760000000001</v>
      </c>
      <c r="K190">
        <v>1.1091439999999999</v>
      </c>
      <c r="L190">
        <v>367.24829999999997</v>
      </c>
      <c r="M190">
        <v>0.99998659999999995</v>
      </c>
      <c r="N190">
        <v>-4.6179300000000001E-3</v>
      </c>
      <c r="O190">
        <v>2.3956419999999999E-3</v>
      </c>
      <c r="P190">
        <v>0.98539580000000004</v>
      </c>
      <c r="Q190">
        <v>0.15507170000000001</v>
      </c>
      <c r="R190">
        <v>7.0342390000000005E-2</v>
      </c>
      <c r="S190">
        <v>3.0603940000000001</v>
      </c>
      <c r="T190">
        <v>-5.4990890000000001E-2</v>
      </c>
      <c r="U190">
        <v>-0.1094971</v>
      </c>
      <c r="V190">
        <v>-6.7973019999999995E-2</v>
      </c>
      <c r="W190">
        <v>0.15962479999999901</v>
      </c>
      <c r="X190">
        <v>0.98483480000000001</v>
      </c>
      <c r="Y190">
        <v>3.8141950000000001E-2</v>
      </c>
      <c r="Z190">
        <v>-4.6261760000000001E-4</v>
      </c>
      <c r="AA190">
        <v>0.99927220000000005</v>
      </c>
      <c r="AB190">
        <v>22</v>
      </c>
      <c r="AC190">
        <v>61.509999999999899</v>
      </c>
      <c r="AD190">
        <v>-1.10914696165</v>
      </c>
      <c r="AE190">
        <v>-2.2090999999999701</v>
      </c>
      <c r="AF190">
        <v>2.3556861819764801</v>
      </c>
      <c r="AG190">
        <v>-1.10914696165</v>
      </c>
      <c r="AH190">
        <v>61.484565131470497</v>
      </c>
      <c r="AI190">
        <v>91.032714002014998</v>
      </c>
      <c r="AJ190">
        <v>87.805873852868999</v>
      </c>
      <c r="AK190">
        <v>61.539671869262797</v>
      </c>
      <c r="AL190">
        <v>80.814881010429005</v>
      </c>
      <c r="AM190">
        <v>93.948276981786194</v>
      </c>
      <c r="AN190">
        <v>0.99999999575700005</v>
      </c>
    </row>
    <row r="191" spans="1:40" x14ac:dyDescent="0.25">
      <c r="A191" t="str">
        <f>"20190304155601233"</f>
        <v>20190304155601233</v>
      </c>
      <c r="B191" t="str">
        <f>"1551686161224799"</f>
        <v>1551686161224799</v>
      </c>
      <c r="C191" t="s">
        <v>40</v>
      </c>
      <c r="D191">
        <v>4.8582970000000003</v>
      </c>
      <c r="E191">
        <v>0.53783789999999998</v>
      </c>
      <c r="F191" t="s">
        <v>41</v>
      </c>
      <c r="G191">
        <v>-395.31270000000001</v>
      </c>
      <c r="H191" s="1">
        <v>-2.7867470000000002E-6</v>
      </c>
      <c r="I191">
        <v>365.14240000000001</v>
      </c>
      <c r="J191">
        <v>-456.22519999999997</v>
      </c>
      <c r="K191">
        <v>1.1091340000000001</v>
      </c>
      <c r="L191">
        <v>367.24880000000002</v>
      </c>
      <c r="M191">
        <v>0.99998640000000005</v>
      </c>
      <c r="N191">
        <v>-4.6549149999999999E-3</v>
      </c>
      <c r="O191">
        <v>2.3653939999999998E-3</v>
      </c>
      <c r="P191">
        <v>0.98538959999999998</v>
      </c>
      <c r="Q191">
        <v>0.15480160000000001</v>
      </c>
      <c r="R191">
        <v>7.1020539999999993E-2</v>
      </c>
      <c r="S191">
        <v>3.06073</v>
      </c>
      <c r="T191">
        <v>-5.5520420000000001E-2</v>
      </c>
      <c r="U191">
        <v>-0.10540769999999999</v>
      </c>
      <c r="V191">
        <v>-6.8676719999999997E-2</v>
      </c>
      <c r="W191">
        <v>0.15939320000000001</v>
      </c>
      <c r="X191">
        <v>0.98482349999999996</v>
      </c>
      <c r="Y191">
        <v>3.6774460000000002E-2</v>
      </c>
      <c r="Z191">
        <v>-4.5092109999999999E-4</v>
      </c>
      <c r="AA191">
        <v>0.99932350000000003</v>
      </c>
      <c r="AB191">
        <v>22</v>
      </c>
      <c r="AC191">
        <v>60.912499999999902</v>
      </c>
      <c r="AD191">
        <v>-1.1091367867469999</v>
      </c>
      <c r="AE191">
        <v>-2.1063999999999998</v>
      </c>
      <c r="AF191">
        <v>2.2497327033133701</v>
      </c>
      <c r="AG191">
        <v>-1.1091367867469999</v>
      </c>
      <c r="AH191">
        <v>60.887183649563703</v>
      </c>
      <c r="AI191">
        <v>91.042887913316605</v>
      </c>
      <c r="AJ191">
        <v>87.883929438479996</v>
      </c>
      <c r="AK191">
        <v>60.938826821852899</v>
      </c>
      <c r="AL191">
        <v>80.828322902113896</v>
      </c>
      <c r="AM191">
        <v>93.989066398088099</v>
      </c>
      <c r="AN191">
        <v>1.0000000051142199</v>
      </c>
    </row>
    <row r="192" spans="1:40" x14ac:dyDescent="0.25">
      <c r="A192" t="str">
        <f>"20190304155601256"</f>
        <v>20190304155601256</v>
      </c>
      <c r="B192" t="str">
        <f>"1551686161245313"</f>
        <v>1551686161245313</v>
      </c>
      <c r="C192" t="s">
        <v>40</v>
      </c>
      <c r="D192">
        <v>4.8986660000000004</v>
      </c>
      <c r="E192">
        <v>0.53777949999999997</v>
      </c>
      <c r="F192" t="s">
        <v>41</v>
      </c>
      <c r="G192">
        <v>-396.7627</v>
      </c>
      <c r="H192" s="1">
        <v>-2.2528810000000002E-6</v>
      </c>
      <c r="I192">
        <v>365.23719999999997</v>
      </c>
      <c r="J192">
        <v>-455.98500000000001</v>
      </c>
      <c r="K192">
        <v>1.109118</v>
      </c>
      <c r="L192">
        <v>367.24939999999998</v>
      </c>
      <c r="M192">
        <v>0.99998640000000005</v>
      </c>
      <c r="N192">
        <v>-4.692023E-3</v>
      </c>
      <c r="O192">
        <v>2.312344E-3</v>
      </c>
      <c r="P192">
        <v>0.98555110000000001</v>
      </c>
      <c r="Q192">
        <v>0.1537337</v>
      </c>
      <c r="R192">
        <v>7.1100629999999998E-2</v>
      </c>
      <c r="S192">
        <v>3.0609130000000002</v>
      </c>
      <c r="T192">
        <v>-5.7094220000000001E-2</v>
      </c>
      <c r="U192">
        <v>-0.1035461</v>
      </c>
      <c r="V192">
        <v>-6.8802840000000004E-2</v>
      </c>
      <c r="W192">
        <v>0.15836549999999999</v>
      </c>
      <c r="X192">
        <v>0.98498050000000004</v>
      </c>
      <c r="Y192">
        <v>3.6112060000000001E-2</v>
      </c>
      <c r="Z192">
        <v>-4.5369090000000001E-4</v>
      </c>
      <c r="AA192">
        <v>0.9993476</v>
      </c>
      <c r="AB192">
        <v>23</v>
      </c>
      <c r="AC192">
        <v>59.222299999999997</v>
      </c>
      <c r="AD192">
        <v>-1.109120252881</v>
      </c>
      <c r="AE192">
        <v>-2.0122</v>
      </c>
      <c r="AF192">
        <v>2.1483857882925701</v>
      </c>
      <c r="AG192">
        <v>-1.109120252881</v>
      </c>
      <c r="AH192">
        <v>59.196749923100001</v>
      </c>
      <c r="AI192">
        <v>91.072671735973898</v>
      </c>
      <c r="AJ192">
        <v>87.921517010833</v>
      </c>
      <c r="AK192">
        <v>59.2461046034988</v>
      </c>
      <c r="AL192">
        <v>80.887963502106004</v>
      </c>
      <c r="AM192">
        <v>93.995733391331399</v>
      </c>
      <c r="AN192">
        <v>1.0000000238812801</v>
      </c>
    </row>
    <row r="193" spans="1:40" x14ac:dyDescent="0.25">
      <c r="A193" t="str">
        <f>"20190304155601279"</f>
        <v>20190304155601279</v>
      </c>
      <c r="B193" t="str">
        <f>"1551686161275551"</f>
        <v>1551686161275551</v>
      </c>
      <c r="C193" t="s">
        <v>40</v>
      </c>
      <c r="D193">
        <v>4.8912409999999999</v>
      </c>
      <c r="E193">
        <v>0.53772969999999998</v>
      </c>
      <c r="F193" t="s">
        <v>44</v>
      </c>
      <c r="G193">
        <v>-397.61149999999998</v>
      </c>
      <c r="H193">
        <v>-0.05</v>
      </c>
      <c r="I193">
        <v>365.28629999999998</v>
      </c>
      <c r="J193">
        <v>-455.75729999999999</v>
      </c>
      <c r="K193">
        <v>1.1091040000000001</v>
      </c>
      <c r="L193">
        <v>367.24979999999999</v>
      </c>
      <c r="M193">
        <v>0.99998629999999999</v>
      </c>
      <c r="N193">
        <v>-4.7275449999999997E-3</v>
      </c>
      <c r="O193">
        <v>2.2427850000000002E-3</v>
      </c>
      <c r="P193">
        <v>0.98560460000000005</v>
      </c>
      <c r="Q193">
        <v>0.1536043</v>
      </c>
      <c r="R193">
        <v>7.0634909999999995E-2</v>
      </c>
      <c r="S193">
        <v>3.060883</v>
      </c>
      <c r="T193">
        <v>-6.0779689999999997E-2</v>
      </c>
      <c r="U193">
        <v>-0.10293579999999999</v>
      </c>
      <c r="V193">
        <v>-6.8399450000000001E-2</v>
      </c>
      <c r="W193">
        <v>0.1582732</v>
      </c>
      <c r="X193">
        <v>0.98502339999999999</v>
      </c>
      <c r="Y193">
        <v>3.5842909999999999E-2</v>
      </c>
      <c r="Z193">
        <v>-4.7440770000000001E-4</v>
      </c>
      <c r="AA193">
        <v>0.9993573</v>
      </c>
      <c r="AB193">
        <v>23</v>
      </c>
      <c r="AC193">
        <v>58.145800000000001</v>
      </c>
      <c r="AD193">
        <v>-1.1591039999999999</v>
      </c>
      <c r="AE193">
        <v>-1.96350000000001</v>
      </c>
      <c r="AF193">
        <v>2.0930742457819198</v>
      </c>
      <c r="AG193">
        <v>-1.1591039999999999</v>
      </c>
      <c r="AH193">
        <v>58.118181190824998</v>
      </c>
      <c r="AI193">
        <v>91.141810583940398</v>
      </c>
      <c r="AJ193">
        <v>87.937435232204905</v>
      </c>
      <c r="AK193">
        <v>58.167408974534297</v>
      </c>
      <c r="AL193">
        <v>80.893319182709604</v>
      </c>
      <c r="AM193">
        <v>93.972209235455793</v>
      </c>
      <c r="AN193">
        <v>0.999999994573051</v>
      </c>
    </row>
    <row r="194" spans="1:40" x14ac:dyDescent="0.25">
      <c r="A194" t="str">
        <f>"20190304155601299"</f>
        <v>20190304155601299</v>
      </c>
      <c r="B194" t="str">
        <f>"1551686161295072"</f>
        <v>1551686161295072</v>
      </c>
      <c r="C194" t="s">
        <v>40</v>
      </c>
      <c r="D194">
        <v>4.8579489999999996</v>
      </c>
      <c r="E194">
        <v>0.53772629999999999</v>
      </c>
      <c r="F194" t="s">
        <v>44</v>
      </c>
      <c r="G194">
        <v>-398.9896</v>
      </c>
      <c r="H194">
        <v>-0.05</v>
      </c>
      <c r="I194">
        <v>365.32440000000003</v>
      </c>
      <c r="J194">
        <v>-455.53660000000002</v>
      </c>
      <c r="K194">
        <v>1.1090960000000001</v>
      </c>
      <c r="L194">
        <v>367.25020000000001</v>
      </c>
      <c r="M194">
        <v>0.99998640000000005</v>
      </c>
      <c r="N194">
        <v>-4.7645409999999997E-3</v>
      </c>
      <c r="O194">
        <v>2.155999E-3</v>
      </c>
      <c r="P194">
        <v>0.98554889999999995</v>
      </c>
      <c r="Q194">
        <v>0.15418200000000001</v>
      </c>
      <c r="R194">
        <v>7.0153409999999999E-2</v>
      </c>
      <c r="S194">
        <v>3.061035</v>
      </c>
      <c r="T194">
        <v>-6.2501310000000004E-2</v>
      </c>
      <c r="U194">
        <v>-0.1038208</v>
      </c>
      <c r="V194">
        <v>-6.7997619999999995E-2</v>
      </c>
      <c r="W194">
        <v>0.15889</v>
      </c>
      <c r="X194">
        <v>0.98495189999999999</v>
      </c>
      <c r="Y194">
        <v>3.6042589999999999E-2</v>
      </c>
      <c r="Z194">
        <v>-4.8745709999999999E-4</v>
      </c>
      <c r="AA194">
        <v>0.99935010000000002</v>
      </c>
      <c r="AB194">
        <v>23</v>
      </c>
      <c r="AC194">
        <v>56.546999999999997</v>
      </c>
      <c r="AD194">
        <v>-1.1590959999999999</v>
      </c>
      <c r="AE194">
        <v>-1.92579999999998</v>
      </c>
      <c r="AF194">
        <v>2.04685315484714</v>
      </c>
      <c r="AG194">
        <v>-1.1590959999999999</v>
      </c>
      <c r="AH194">
        <v>56.518996720561503</v>
      </c>
      <c r="AI194">
        <v>91.174092160707204</v>
      </c>
      <c r="AJ194">
        <v>87.925921847933495</v>
      </c>
      <c r="AK194">
        <v>56.567924671792298</v>
      </c>
      <c r="AL194">
        <v>80.857526053166097</v>
      </c>
      <c r="AM194">
        <v>93.9492332839353</v>
      </c>
      <c r="AN194">
        <v>0.99999997686963604</v>
      </c>
    </row>
    <row r="195" spans="1:40" x14ac:dyDescent="0.25">
      <c r="A195" t="str">
        <f>"20190304155601322"</f>
        <v>20190304155601322</v>
      </c>
      <c r="B195" t="str">
        <f>"1551686161314591"</f>
        <v>1551686161314591</v>
      </c>
      <c r="C195" t="s">
        <v>40</v>
      </c>
      <c r="D195">
        <v>4.7579279999999997</v>
      </c>
      <c r="E195">
        <v>0.53771000000000002</v>
      </c>
      <c r="F195" t="s">
        <v>44</v>
      </c>
      <c r="G195">
        <v>-397.91840000000002</v>
      </c>
      <c r="H195">
        <v>-0.05</v>
      </c>
      <c r="I195">
        <v>365.27359999999999</v>
      </c>
      <c r="J195">
        <v>-455.30560000000003</v>
      </c>
      <c r="K195">
        <v>1.1090799999999901</v>
      </c>
      <c r="L195">
        <v>367.25060000000002</v>
      </c>
      <c r="M195">
        <v>0.99998640000000005</v>
      </c>
      <c r="N195">
        <v>-4.8059770000000003E-3</v>
      </c>
      <c r="O195">
        <v>2.0448279999999998E-3</v>
      </c>
      <c r="P195">
        <v>0.98553449999999998</v>
      </c>
      <c r="Q195">
        <v>0.15464800000000001</v>
      </c>
      <c r="R195">
        <v>6.9324250000000004E-2</v>
      </c>
      <c r="S195">
        <v>3.061096</v>
      </c>
      <c r="T195">
        <v>-6.1579589999999997E-2</v>
      </c>
      <c r="U195">
        <v>-0.10501099999999999</v>
      </c>
      <c r="V195">
        <v>-6.7272490000000004E-2</v>
      </c>
      <c r="W195">
        <v>0.15939890000000001</v>
      </c>
      <c r="X195">
        <v>0.98491949999999995</v>
      </c>
      <c r="Y195">
        <v>3.63191E-2</v>
      </c>
      <c r="Z195">
        <v>-4.8377579999999998E-4</v>
      </c>
      <c r="AA195">
        <v>0.99934009999999995</v>
      </c>
      <c r="AB195">
        <v>23</v>
      </c>
      <c r="AC195">
        <v>57.3872</v>
      </c>
      <c r="AD195">
        <v>-1.1590800000000001</v>
      </c>
      <c r="AE195">
        <v>-1.9770000000000301</v>
      </c>
      <c r="AF195">
        <v>2.0934911633333702</v>
      </c>
      <c r="AG195">
        <v>-1.1590800000000001</v>
      </c>
      <c r="AH195">
        <v>57.359665759297897</v>
      </c>
      <c r="AI195">
        <v>91.156861439193705</v>
      </c>
      <c r="AJ195">
        <v>87.909768318910693</v>
      </c>
      <c r="AK195">
        <v>57.409558678984197</v>
      </c>
      <c r="AL195">
        <v>80.827992125845299</v>
      </c>
      <c r="AM195">
        <v>93.907377746300298</v>
      </c>
      <c r="AN195">
        <v>1.0000000093561201</v>
      </c>
    </row>
    <row r="196" spans="1:40" x14ac:dyDescent="0.25">
      <c r="A196" t="str">
        <f>"20190304155601344"</f>
        <v>20190304155601344</v>
      </c>
      <c r="B196" t="str">
        <f>"1551686161335091"</f>
        <v>1551686161335091</v>
      </c>
      <c r="C196" t="s">
        <v>40</v>
      </c>
      <c r="D196">
        <v>4.8422190000000001</v>
      </c>
      <c r="E196">
        <v>0.53755520000000001</v>
      </c>
      <c r="F196" t="s">
        <v>41</v>
      </c>
      <c r="G196">
        <v>-399.375</v>
      </c>
      <c r="H196" s="1">
        <v>-1.3488220000000001E-6</v>
      </c>
      <c r="I196">
        <v>365.29390000000001</v>
      </c>
      <c r="J196">
        <v>-455.07479999999998</v>
      </c>
      <c r="K196">
        <v>1.1090770000000001</v>
      </c>
      <c r="L196">
        <v>367.2509</v>
      </c>
      <c r="M196">
        <v>0.9999865</v>
      </c>
      <c r="N196">
        <v>-4.850371E-3</v>
      </c>
      <c r="O196">
        <v>1.916856E-3</v>
      </c>
      <c r="P196">
        <v>0.98553380000000002</v>
      </c>
      <c r="Q196">
        <v>0.15479899999999999</v>
      </c>
      <c r="R196">
        <v>6.8996290000000002E-2</v>
      </c>
      <c r="S196">
        <v>3.061096</v>
      </c>
      <c r="T196">
        <v>-6.0700179999999999E-2</v>
      </c>
      <c r="U196">
        <v>-0.10708620000000001</v>
      </c>
      <c r="V196">
        <v>-6.7066490000000006E-2</v>
      </c>
      <c r="W196">
        <v>0.1595956</v>
      </c>
      <c r="X196">
        <v>0.98490169999999999</v>
      </c>
      <c r="Y196">
        <v>3.6867980000000002E-2</v>
      </c>
      <c r="Z196">
        <v>-4.8354209999999998E-4</v>
      </c>
      <c r="AA196">
        <v>0.99931999999999999</v>
      </c>
      <c r="AB196">
        <v>23</v>
      </c>
      <c r="AC196">
        <v>55.699799999999897</v>
      </c>
      <c r="AD196">
        <v>-1.109078348822</v>
      </c>
      <c r="AE196">
        <v>-1.9569999999999901</v>
      </c>
      <c r="AF196">
        <v>2.0629492436736401</v>
      </c>
      <c r="AG196">
        <v>-1.109078348822</v>
      </c>
      <c r="AH196">
        <v>55.673900172144499</v>
      </c>
      <c r="AI196">
        <v>91.140454364773305</v>
      </c>
      <c r="AJ196">
        <v>87.877924245524696</v>
      </c>
      <c r="AK196">
        <v>55.723145772145003</v>
      </c>
      <c r="AL196">
        <v>80.816575944160803</v>
      </c>
      <c r="AM196">
        <v>93.895519758980697</v>
      </c>
      <c r="AN196">
        <v>1.0000000141415799</v>
      </c>
    </row>
    <row r="197" spans="1:40" x14ac:dyDescent="0.25">
      <c r="A197" t="str">
        <f>"20190304155601366"</f>
        <v>20190304155601366</v>
      </c>
      <c r="B197" t="str">
        <f>"1551686161354607"</f>
        <v>1551686161354607</v>
      </c>
      <c r="C197" t="s">
        <v>40</v>
      </c>
      <c r="D197">
        <v>4.7549060000000001</v>
      </c>
      <c r="E197">
        <v>0.53736439999999996</v>
      </c>
      <c r="F197" t="s">
        <v>41</v>
      </c>
      <c r="G197">
        <v>-398.80869999999999</v>
      </c>
      <c r="H197" s="1">
        <v>-1.5430619999999999E-6</v>
      </c>
      <c r="I197">
        <v>365.28809999999999</v>
      </c>
      <c r="J197">
        <v>-454.84030000000001</v>
      </c>
      <c r="K197">
        <v>1.109078</v>
      </c>
      <c r="L197">
        <v>367.25119999999998</v>
      </c>
      <c r="M197">
        <v>0.9999865</v>
      </c>
      <c r="N197">
        <v>-4.9013470000000003E-3</v>
      </c>
      <c r="O197">
        <v>1.775535E-3</v>
      </c>
      <c r="P197">
        <v>0.98557159999999999</v>
      </c>
      <c r="Q197">
        <v>0.15479970000000001</v>
      </c>
      <c r="R197">
        <v>6.8452139999999995E-2</v>
      </c>
      <c r="S197">
        <v>3.061035</v>
      </c>
      <c r="T197">
        <v>-6.033695E-2</v>
      </c>
      <c r="U197">
        <v>-0.106781</v>
      </c>
      <c r="V197">
        <v>-6.6658750000000003E-2</v>
      </c>
      <c r="W197">
        <v>0.15964739999999999</v>
      </c>
      <c r="X197">
        <v>0.98492100000000005</v>
      </c>
      <c r="Y197">
        <v>3.6628099999999997E-2</v>
      </c>
      <c r="Z197">
        <v>-4.769361E-4</v>
      </c>
      <c r="AA197">
        <v>0.99932889999999996</v>
      </c>
      <c r="AB197">
        <v>23</v>
      </c>
      <c r="AC197">
        <v>56.031599999999997</v>
      </c>
      <c r="AD197">
        <v>-1.109079543062</v>
      </c>
      <c r="AE197">
        <v>-1.9630999999999901</v>
      </c>
      <c r="AF197">
        <v>2.0617773541740898</v>
      </c>
      <c r="AG197">
        <v>-1.109079543062</v>
      </c>
      <c r="AH197">
        <v>56.006110048039602</v>
      </c>
      <c r="AI197">
        <v>91.133702617646193</v>
      </c>
      <c r="AJ197">
        <v>87.891697548345704</v>
      </c>
      <c r="AK197">
        <v>56.055020702914199</v>
      </c>
      <c r="AL197">
        <v>80.813569610197106</v>
      </c>
      <c r="AM197">
        <v>93.871833023789506</v>
      </c>
      <c r="AN197">
        <v>1.00000002875966</v>
      </c>
    </row>
    <row r="198" spans="1:40" x14ac:dyDescent="0.25">
      <c r="A198" t="str">
        <f>"20190304155601389"</f>
        <v>20190304155601389</v>
      </c>
      <c r="B198" t="str">
        <f>"1551686161384864"</f>
        <v>1551686161384864</v>
      </c>
      <c r="C198" t="s">
        <v>40</v>
      </c>
      <c r="D198">
        <v>5.1107079999999998</v>
      </c>
      <c r="E198">
        <v>0.5371705</v>
      </c>
      <c r="F198" t="s">
        <v>41</v>
      </c>
      <c r="G198">
        <v>-398.4855</v>
      </c>
      <c r="H198" s="1">
        <v>-1.6544570000000001E-6</v>
      </c>
      <c r="I198">
        <v>365.28289999999998</v>
      </c>
      <c r="J198">
        <v>-454.60289999999998</v>
      </c>
      <c r="K198">
        <v>1.1090869999999999</v>
      </c>
      <c r="L198">
        <v>367.25150000000002</v>
      </c>
      <c r="M198">
        <v>0.9999865</v>
      </c>
      <c r="N198">
        <v>-4.959761E-3</v>
      </c>
      <c r="O198">
        <v>1.6252739999999999E-3</v>
      </c>
      <c r="P198">
        <v>0.98559180000000002</v>
      </c>
      <c r="Q198">
        <v>0.15488089999999999</v>
      </c>
      <c r="R198">
        <v>6.7978140000000006E-2</v>
      </c>
      <c r="S198">
        <v>3.060791</v>
      </c>
      <c r="T198">
        <v>-6.023717E-2</v>
      </c>
      <c r="U198">
        <v>-0.1069031</v>
      </c>
      <c r="V198">
        <v>-6.6330829999999993E-2</v>
      </c>
      <c r="W198">
        <v>0.1597867</v>
      </c>
      <c r="X198">
        <v>0.98492049999999998</v>
      </c>
      <c r="Y198">
        <v>3.6520570000000002E-2</v>
      </c>
      <c r="Z198">
        <v>-4.7374400000000001E-4</v>
      </c>
      <c r="AA198">
        <v>0.99933280000000002</v>
      </c>
      <c r="AB198">
        <v>23</v>
      </c>
      <c r="AC198">
        <v>56.117399999999897</v>
      </c>
      <c r="AD198">
        <v>-1.109088654457</v>
      </c>
      <c r="AE198">
        <v>-1.9686000000000301</v>
      </c>
      <c r="AF198">
        <v>2.0590013948185102</v>
      </c>
      <c r="AG198">
        <v>-1.109088654457</v>
      </c>
      <c r="AH198">
        <v>56.092243363867603</v>
      </c>
      <c r="AI198">
        <v>91.131975897778702</v>
      </c>
      <c r="AJ198">
        <v>87.897763770803905</v>
      </c>
      <c r="AK198">
        <v>56.140977280224298</v>
      </c>
      <c r="AL198">
        <v>80.805484065671706</v>
      </c>
      <c r="AM198">
        <v>93.852845447641101</v>
      </c>
      <c r="AN198">
        <v>0.99999997991281397</v>
      </c>
    </row>
    <row r="199" spans="1:40" x14ac:dyDescent="0.25">
      <c r="A199" t="str">
        <f>"20190304155601411"</f>
        <v>20190304155601411</v>
      </c>
      <c r="B199" t="str">
        <f>"1551686161405359"</f>
        <v>1551686161405359</v>
      </c>
      <c r="C199" t="s">
        <v>40</v>
      </c>
      <c r="D199">
        <v>4.7860779999999998</v>
      </c>
      <c r="E199">
        <v>0.53711260000000005</v>
      </c>
      <c r="F199" t="s">
        <v>41</v>
      </c>
      <c r="G199">
        <v>-397.88850000000002</v>
      </c>
      <c r="H199" s="1">
        <v>-1.8592839999999999E-6</v>
      </c>
      <c r="I199">
        <v>365.27670000000001</v>
      </c>
      <c r="J199">
        <v>-454.38080000000002</v>
      </c>
      <c r="K199">
        <v>1.109089</v>
      </c>
      <c r="L199">
        <v>367.25170000000003</v>
      </c>
      <c r="M199">
        <v>0.99998640000000005</v>
      </c>
      <c r="N199">
        <v>-5.0200940000000001E-3</v>
      </c>
      <c r="O199">
        <v>1.4820580000000001E-3</v>
      </c>
      <c r="P199">
        <v>0.98564830000000003</v>
      </c>
      <c r="Q199">
        <v>0.15459790000000001</v>
      </c>
      <c r="R199">
        <v>6.7800020000000003E-2</v>
      </c>
      <c r="S199">
        <v>3.0606080000000002</v>
      </c>
      <c r="T199">
        <v>-5.9852120000000002E-2</v>
      </c>
      <c r="U199">
        <v>-0.10656740000000001</v>
      </c>
      <c r="V199">
        <v>-6.6293340000000006E-2</v>
      </c>
      <c r="W199">
        <v>0.15956319999999999</v>
      </c>
      <c r="X199">
        <v>0.98495929999999998</v>
      </c>
      <c r="Y199">
        <v>3.6270219999999999E-2</v>
      </c>
      <c r="Z199">
        <v>-4.671152E-4</v>
      </c>
      <c r="AA199">
        <v>0.99934190000000001</v>
      </c>
      <c r="AB199">
        <v>23</v>
      </c>
      <c r="AC199">
        <v>56.4923</v>
      </c>
      <c r="AD199">
        <v>-1.1090908592839901</v>
      </c>
      <c r="AE199">
        <v>-1.9750000000000201</v>
      </c>
      <c r="AF199">
        <v>2.05793150387013</v>
      </c>
      <c r="AG199">
        <v>-1.1090908592839901</v>
      </c>
      <c r="AH199">
        <v>56.467572615152299</v>
      </c>
      <c r="AI199">
        <v>91.124466838430806</v>
      </c>
      <c r="AJ199">
        <v>87.912808666078107</v>
      </c>
      <c r="AK199">
        <v>56.515943959702803</v>
      </c>
      <c r="AL199">
        <v>80.818456500109505</v>
      </c>
      <c r="AM199">
        <v>93.850523151938006</v>
      </c>
      <c r="AN199">
        <v>1.00000002218954</v>
      </c>
    </row>
    <row r="200" spans="1:40" x14ac:dyDescent="0.25">
      <c r="A200" t="str">
        <f>"20190304155601433"</f>
        <v>20190304155601433</v>
      </c>
      <c r="B200" t="str">
        <f>"1551686161424879"</f>
        <v>1551686161424879</v>
      </c>
      <c r="C200" t="s">
        <v>40</v>
      </c>
      <c r="D200">
        <v>4.779509</v>
      </c>
      <c r="E200">
        <v>0.53692139999999999</v>
      </c>
      <c r="F200" t="s">
        <v>41</v>
      </c>
      <c r="G200">
        <v>-398.58479999999997</v>
      </c>
      <c r="H200" s="1">
        <v>-1.6184850000000001E-6</v>
      </c>
      <c r="I200">
        <v>365.291</v>
      </c>
      <c r="J200">
        <v>-454.13189999999997</v>
      </c>
      <c r="K200">
        <v>1.109092</v>
      </c>
      <c r="L200">
        <v>367.25189999999998</v>
      </c>
      <c r="M200">
        <v>0.99998629999999999</v>
      </c>
      <c r="N200">
        <v>-5.0917269999999999E-3</v>
      </c>
      <c r="O200">
        <v>1.321355E-3</v>
      </c>
      <c r="P200">
        <v>0.98573299999999997</v>
      </c>
      <c r="Q200">
        <v>0.1544082</v>
      </c>
      <c r="R200">
        <v>6.6998160000000001E-2</v>
      </c>
      <c r="S200">
        <v>3.0606080000000002</v>
      </c>
      <c r="T200">
        <v>-6.0837389999999998E-2</v>
      </c>
      <c r="U200">
        <v>-0.107543899999999</v>
      </c>
      <c r="V200">
        <v>-6.5650210000000001E-2</v>
      </c>
      <c r="W200">
        <v>0.15944449999999999</v>
      </c>
      <c r="X200">
        <v>0.98502160000000005</v>
      </c>
      <c r="Y200">
        <v>3.642778E-2</v>
      </c>
      <c r="Z200">
        <v>-4.7421019999999999E-4</v>
      </c>
      <c r="AA200">
        <v>0.99933620000000001</v>
      </c>
      <c r="AB200">
        <v>24</v>
      </c>
      <c r="AC200">
        <v>55.5471</v>
      </c>
      <c r="AD200">
        <v>-1.109093618485</v>
      </c>
      <c r="AE200">
        <v>-1.9608999999999801</v>
      </c>
      <c r="AF200">
        <v>2.0334869865380898</v>
      </c>
      <c r="AG200">
        <v>-1.109093618485</v>
      </c>
      <c r="AH200">
        <v>55.522352878585899</v>
      </c>
      <c r="AI200">
        <v>91.143600195009896</v>
      </c>
      <c r="AJ200">
        <v>87.9024993788057</v>
      </c>
      <c r="AK200">
        <v>55.570647172344501</v>
      </c>
      <c r="AL200">
        <v>80.825345740612093</v>
      </c>
      <c r="AM200">
        <v>93.813038443296605</v>
      </c>
      <c r="AN200">
        <v>1.00000002555992</v>
      </c>
    </row>
    <row r="201" spans="1:40" x14ac:dyDescent="0.25">
      <c r="A201" t="str">
        <f>"20190304155601458"</f>
        <v>20190304155601458</v>
      </c>
      <c r="B201" t="str">
        <f>"1551686161455135"</f>
        <v>1551686161455135</v>
      </c>
      <c r="C201" t="s">
        <v>40</v>
      </c>
      <c r="D201">
        <v>4.7584660000000003</v>
      </c>
      <c r="E201">
        <v>0.536628199999999</v>
      </c>
      <c r="F201" t="s">
        <v>41</v>
      </c>
      <c r="G201">
        <v>-398.34519999999998</v>
      </c>
      <c r="H201" s="1">
        <v>-1.7071839999999999E-6</v>
      </c>
      <c r="I201">
        <v>365.26409999999998</v>
      </c>
      <c r="J201">
        <v>-453.87639999999999</v>
      </c>
      <c r="K201">
        <v>1.1090979999999999</v>
      </c>
      <c r="L201">
        <v>367.25200000000001</v>
      </c>
      <c r="M201">
        <v>0.99998589999999998</v>
      </c>
      <c r="N201">
        <v>-5.1663330000000004E-3</v>
      </c>
      <c r="O201">
        <v>1.1581969999999999E-3</v>
      </c>
      <c r="P201">
        <v>0.98571410000000004</v>
      </c>
      <c r="Q201">
        <v>0.15462779999999901</v>
      </c>
      <c r="R201">
        <v>6.676928E-2</v>
      </c>
      <c r="S201">
        <v>3.060333</v>
      </c>
      <c r="T201">
        <v>-6.0842279999999999E-2</v>
      </c>
      <c r="U201">
        <v>-0.10903930000000001</v>
      </c>
      <c r="V201">
        <v>-6.5582249999999995E-2</v>
      </c>
      <c r="W201">
        <v>0.159737299999999</v>
      </c>
      <c r="X201">
        <v>0.98497869999999998</v>
      </c>
      <c r="Y201">
        <v>3.675548E-2</v>
      </c>
      <c r="Z201">
        <v>-4.7723809999999998E-4</v>
      </c>
      <c r="AA201">
        <v>0.9993242</v>
      </c>
      <c r="AB201">
        <v>24</v>
      </c>
      <c r="AC201">
        <v>55.531199999999998</v>
      </c>
      <c r="AD201">
        <v>-1.1090997071840001</v>
      </c>
      <c r="AE201">
        <v>-1.98789999999996</v>
      </c>
      <c r="AF201">
        <v>2.0513983384442098</v>
      </c>
      <c r="AG201">
        <v>-1.1090997071840001</v>
      </c>
      <c r="AH201">
        <v>55.5067468853562</v>
      </c>
      <c r="AI201">
        <v>91.143913925200593</v>
      </c>
      <c r="AJ201">
        <v>87.883446531589698</v>
      </c>
      <c r="AK201">
        <v>55.5557133614397</v>
      </c>
      <c r="AL201">
        <v>80.808351843772996</v>
      </c>
      <c r="AM201">
        <v>93.809268289976401</v>
      </c>
      <c r="AN201">
        <v>1.00000003799002</v>
      </c>
    </row>
    <row r="202" spans="1:40" x14ac:dyDescent="0.25">
      <c r="A202" t="str">
        <f>"20190304155601480"</f>
        <v>20190304155601480</v>
      </c>
      <c r="B202" t="str">
        <f>"1551686161474657"</f>
        <v>1551686161474657</v>
      </c>
      <c r="C202" t="s">
        <v>40</v>
      </c>
      <c r="D202">
        <v>4.7839869999999998</v>
      </c>
      <c r="E202">
        <v>0.53646000000000005</v>
      </c>
      <c r="F202" t="s">
        <v>41</v>
      </c>
      <c r="G202">
        <v>-397.75450000000001</v>
      </c>
      <c r="H202" s="1">
        <v>-1.908056E-6</v>
      </c>
      <c r="I202">
        <v>365.26459999999997</v>
      </c>
      <c r="J202">
        <v>-453.63400000000001</v>
      </c>
      <c r="K202">
        <v>1.109116</v>
      </c>
      <c r="L202">
        <v>367.25209999999998</v>
      </c>
      <c r="M202">
        <v>0.99998580000000004</v>
      </c>
      <c r="N202">
        <v>-5.2404309999999898E-3</v>
      </c>
      <c r="O202">
        <v>1.004874E-3</v>
      </c>
      <c r="P202">
        <v>0.98540260000000002</v>
      </c>
      <c r="Q202">
        <v>0.1568668</v>
      </c>
      <c r="R202">
        <v>6.6140439999999995E-2</v>
      </c>
      <c r="S202">
        <v>3.0603030000000002</v>
      </c>
      <c r="T202">
        <v>-6.0478690000000002E-2</v>
      </c>
      <c r="U202">
        <v>-0.1083679</v>
      </c>
      <c r="V202">
        <v>-6.510465E-2</v>
      </c>
      <c r="W202">
        <v>0.1620471</v>
      </c>
      <c r="X202">
        <v>0.98463299999999998</v>
      </c>
      <c r="Y202">
        <v>3.6383829999999999E-2</v>
      </c>
      <c r="Z202">
        <v>-4.6932910000000003E-4</v>
      </c>
      <c r="AA202">
        <v>0.99933780000000005</v>
      </c>
      <c r="AB202">
        <v>24</v>
      </c>
      <c r="AC202">
        <v>55.8795</v>
      </c>
      <c r="AD202">
        <v>-1.1091179080560001</v>
      </c>
      <c r="AE202">
        <v>-1.98750000000001</v>
      </c>
      <c r="AF202">
        <v>2.0428478418820202</v>
      </c>
      <c r="AG202">
        <v>-1.1091179080560001</v>
      </c>
      <c r="AH202">
        <v>55.8554976291841</v>
      </c>
      <c r="AI202">
        <v>91.136808098589796</v>
      </c>
      <c r="AJ202">
        <v>87.905409180725698</v>
      </c>
      <c r="AK202">
        <v>55.903845889552599</v>
      </c>
      <c r="AL202">
        <v>80.674262864511903</v>
      </c>
      <c r="AM202">
        <v>93.782932089655304</v>
      </c>
      <c r="AN202">
        <v>1.00000001137951</v>
      </c>
    </row>
    <row r="203" spans="1:40" x14ac:dyDescent="0.25">
      <c r="A203" t="str">
        <f>"20190304155601501"</f>
        <v>20190304155601501</v>
      </c>
      <c r="B203" t="str">
        <f>"1551686161495151"</f>
        <v>1551686161495151</v>
      </c>
      <c r="C203" t="s">
        <v>40</v>
      </c>
      <c r="D203">
        <v>4.7546650000000001</v>
      </c>
      <c r="E203">
        <v>0.53625990000000001</v>
      </c>
      <c r="F203" t="s">
        <v>41</v>
      </c>
      <c r="G203">
        <v>-389.89980000000003</v>
      </c>
      <c r="H203" s="1">
        <v>-1.255964E-6</v>
      </c>
      <c r="I203">
        <v>364.97160000000002</v>
      </c>
      <c r="J203">
        <v>-453.41269999999997</v>
      </c>
      <c r="K203">
        <v>1.1091310000000001</v>
      </c>
      <c r="L203">
        <v>367.25220000000002</v>
      </c>
      <c r="M203">
        <v>0.99998560000000003</v>
      </c>
      <c r="N203">
        <v>-5.3149759999999999E-3</v>
      </c>
      <c r="O203">
        <v>8.6698190000000005E-4</v>
      </c>
      <c r="P203">
        <v>0.98523090000000002</v>
      </c>
      <c r="Q203">
        <v>0.15821399999999999</v>
      </c>
      <c r="R203">
        <v>6.5486219999999998E-2</v>
      </c>
      <c r="S203">
        <v>3.0602719999999999</v>
      </c>
      <c r="T203">
        <v>-5.325556E-2</v>
      </c>
      <c r="U203">
        <v>-0.1094971</v>
      </c>
      <c r="V203">
        <v>-6.4586459999999998E-2</v>
      </c>
      <c r="W203">
        <v>0.16346659999999999</v>
      </c>
      <c r="X203">
        <v>0.98443250000000004</v>
      </c>
      <c r="Y203">
        <v>3.6616429999999998E-2</v>
      </c>
      <c r="Z203">
        <v>-4.2630210000000002E-4</v>
      </c>
      <c r="AA203">
        <v>0.99932929999999998</v>
      </c>
      <c r="AB203">
        <v>24</v>
      </c>
      <c r="AC203">
        <v>63.512899999999902</v>
      </c>
      <c r="AD203">
        <v>-1.10913225596399</v>
      </c>
      <c r="AE203">
        <v>-2.28059999999999</v>
      </c>
      <c r="AF203">
        <v>2.33495329954662</v>
      </c>
      <c r="AG203">
        <v>-1.10913225596399</v>
      </c>
      <c r="AH203">
        <v>63.491561413250999</v>
      </c>
      <c r="AI203">
        <v>91.0001205806836</v>
      </c>
      <c r="AJ203">
        <v>87.893850721097195</v>
      </c>
      <c r="AK203">
        <v>63.544162217822297</v>
      </c>
      <c r="AL203">
        <v>80.591832693932801</v>
      </c>
      <c r="AM203">
        <v>93.753671011837795</v>
      </c>
      <c r="AN203">
        <v>1.0000000435935601</v>
      </c>
    </row>
    <row r="204" spans="1:40" x14ac:dyDescent="0.25">
      <c r="A204" t="str">
        <f>"20190304155601523"</f>
        <v>20190304155601523</v>
      </c>
      <c r="B204" t="str">
        <f>"1551686161514671"</f>
        <v>1551686161514671</v>
      </c>
      <c r="C204" t="s">
        <v>40</v>
      </c>
      <c r="D204">
        <v>5.7447569999999999</v>
      </c>
      <c r="E204">
        <v>0.53617959999999998</v>
      </c>
      <c r="F204" t="s">
        <v>41</v>
      </c>
      <c r="G204">
        <v>-384.6542</v>
      </c>
      <c r="H204" s="1">
        <v>-3.1328400000000001E-6</v>
      </c>
      <c r="I204">
        <v>364.78370000000001</v>
      </c>
      <c r="J204">
        <v>-453.16559999999998</v>
      </c>
      <c r="K204">
        <v>1.109143</v>
      </c>
      <c r="L204">
        <v>367.25229999999999</v>
      </c>
      <c r="M204">
        <v>0.99998529999999997</v>
      </c>
      <c r="N204">
        <v>-5.4079269999999999E-3</v>
      </c>
      <c r="O204">
        <v>7.1472690000000004E-4</v>
      </c>
      <c r="P204">
        <v>0.98508320000000005</v>
      </c>
      <c r="Q204">
        <v>0.1591552</v>
      </c>
      <c r="R204">
        <v>6.5431240000000002E-2</v>
      </c>
      <c r="S204">
        <v>3.0602109999999998</v>
      </c>
      <c r="T204">
        <v>-4.9363850000000001E-2</v>
      </c>
      <c r="U204">
        <v>-0.1098633</v>
      </c>
      <c r="V204">
        <v>-6.468082E-2</v>
      </c>
      <c r="W204">
        <v>0.16449859999999999</v>
      </c>
      <c r="X204">
        <v>0.98425439999999997</v>
      </c>
      <c r="Y204">
        <v>3.6585319999999998E-2</v>
      </c>
      <c r="Z204">
        <v>-4.0158970000000002E-4</v>
      </c>
      <c r="AA204">
        <v>0.99933050000000001</v>
      </c>
      <c r="AB204">
        <v>24</v>
      </c>
      <c r="AC204">
        <v>68.511399999999895</v>
      </c>
      <c r="AD204">
        <v>-1.1091461328399901</v>
      </c>
      <c r="AE204">
        <v>-2.4685999999999799</v>
      </c>
      <c r="AF204">
        <v>2.5169082140325898</v>
      </c>
      <c r="AG204">
        <v>-1.1091461328399901</v>
      </c>
      <c r="AH204">
        <v>68.491690330721397</v>
      </c>
      <c r="AI204">
        <v>90.927134140957506</v>
      </c>
      <c r="AJ204">
        <v>87.895462098804003</v>
      </c>
      <c r="AK204">
        <v>68.546893995725995</v>
      </c>
      <c r="AL204">
        <v>80.531892211884099</v>
      </c>
      <c r="AM204">
        <v>93.759817627051206</v>
      </c>
      <c r="AN204">
        <v>1.0000000608985899</v>
      </c>
    </row>
    <row r="205" spans="1:40" x14ac:dyDescent="0.25">
      <c r="A205" t="str">
        <f>"20190304155601544"</f>
        <v>20190304155601544</v>
      </c>
      <c r="B205" t="str">
        <f>"1551686161535170"</f>
        <v>1551686161535170</v>
      </c>
      <c r="C205" t="s">
        <v>40</v>
      </c>
      <c r="D205">
        <v>4.7641369999999998</v>
      </c>
      <c r="E205">
        <v>0.53596679999999997</v>
      </c>
      <c r="F205" t="s">
        <v>41</v>
      </c>
      <c r="G205">
        <v>-380.459</v>
      </c>
      <c r="H205" s="1">
        <v>-4.9546339999999996E-6</v>
      </c>
      <c r="I205">
        <v>364.65940000000001</v>
      </c>
      <c r="J205">
        <v>-452.93299999999999</v>
      </c>
      <c r="K205">
        <v>1.1091530000000001</v>
      </c>
      <c r="L205">
        <v>367.25229999999999</v>
      </c>
      <c r="M205">
        <v>0.99998469999999995</v>
      </c>
      <c r="N205">
        <v>-5.5002499999999999E-3</v>
      </c>
      <c r="O205">
        <v>5.7301629999999997E-4</v>
      </c>
      <c r="P205">
        <v>0.98497409999999996</v>
      </c>
      <c r="Q205">
        <v>0.16002350000000001</v>
      </c>
      <c r="R205">
        <v>6.4951759999999997E-2</v>
      </c>
      <c r="S205">
        <v>3.0602420000000001</v>
      </c>
      <c r="T205">
        <v>-4.668427E-2</v>
      </c>
      <c r="U205">
        <v>-0.1091309</v>
      </c>
      <c r="V205">
        <v>-6.4340880000000003E-2</v>
      </c>
      <c r="W205">
        <v>0.16545750000000001</v>
      </c>
      <c r="X205">
        <v>0.98411590000000004</v>
      </c>
      <c r="Y205">
        <v>3.6205109999999999E-2</v>
      </c>
      <c r="Z205">
        <v>-3.8124870000000001E-4</v>
      </c>
      <c r="AA205">
        <v>0.99934429999999996</v>
      </c>
      <c r="AB205">
        <v>24</v>
      </c>
      <c r="AC205">
        <v>72.474000000000004</v>
      </c>
      <c r="AD205">
        <v>-1.109157954634</v>
      </c>
      <c r="AE205">
        <v>-2.5928999999999802</v>
      </c>
      <c r="AF205">
        <v>2.6338128854929002</v>
      </c>
      <c r="AG205">
        <v>-1.109157954634</v>
      </c>
      <c r="AH205">
        <v>72.455553523621802</v>
      </c>
      <c r="AI205">
        <v>90.876443112505399</v>
      </c>
      <c r="AJ205">
        <v>87.918172732755494</v>
      </c>
      <c r="AK205">
        <v>72.511891701282593</v>
      </c>
      <c r="AL205">
        <v>80.476187584506505</v>
      </c>
      <c r="AM205">
        <v>93.740638433118804</v>
      </c>
      <c r="AN205">
        <v>1.0000000188891101</v>
      </c>
    </row>
    <row r="206" spans="1:40" x14ac:dyDescent="0.25">
      <c r="A206" t="str">
        <f>"20190304155601567"</f>
        <v>20190304155601567</v>
      </c>
      <c r="B206" t="str">
        <f>"1551686161565423"</f>
        <v>1551686161565423</v>
      </c>
      <c r="C206" t="s">
        <v>40</v>
      </c>
      <c r="D206">
        <v>4.7493449999999999</v>
      </c>
      <c r="E206">
        <v>0.5357364</v>
      </c>
      <c r="F206" t="s">
        <v>41</v>
      </c>
      <c r="G206">
        <v>-375.24349999999998</v>
      </c>
      <c r="H206" s="1">
        <v>-2.9664239999999999E-6</v>
      </c>
      <c r="I206">
        <v>364.49860000000001</v>
      </c>
      <c r="J206">
        <v>-452.67989999999998</v>
      </c>
      <c r="K206">
        <v>1.1091690000000001</v>
      </c>
      <c r="L206">
        <v>367.25229999999999</v>
      </c>
      <c r="M206">
        <v>0.99998430000000005</v>
      </c>
      <c r="N206">
        <v>-5.5995580000000001E-3</v>
      </c>
      <c r="O206">
        <v>4.1918089999999999E-4</v>
      </c>
      <c r="P206">
        <v>0.98484039999999995</v>
      </c>
      <c r="Q206">
        <v>0.160963299999999</v>
      </c>
      <c r="R206">
        <v>6.4655649999999995E-2</v>
      </c>
      <c r="S206">
        <v>3.0599980000000002</v>
      </c>
      <c r="T206">
        <v>-4.3686870000000003E-2</v>
      </c>
      <c r="U206">
        <v>-0.1084595</v>
      </c>
      <c r="V206">
        <v>-6.4195310000000005E-2</v>
      </c>
      <c r="W206">
        <v>0.16649439999999999</v>
      </c>
      <c r="X206">
        <v>0.98395049999999995</v>
      </c>
      <c r="Y206">
        <v>3.5835880000000001E-2</v>
      </c>
      <c r="Z206">
        <v>-3.5972480000000002E-4</v>
      </c>
      <c r="AA206">
        <v>0.99935759999999996</v>
      </c>
      <c r="AB206">
        <v>24</v>
      </c>
      <c r="AC206">
        <v>77.436399999999907</v>
      </c>
      <c r="AD206">
        <v>-1.1091719664240001</v>
      </c>
      <c r="AE206">
        <v>-2.7536999999999798</v>
      </c>
      <c r="AF206">
        <v>2.78558933554213</v>
      </c>
      <c r="AG206">
        <v>-1.1091719664240001</v>
      </c>
      <c r="AH206">
        <v>77.419375041821795</v>
      </c>
      <c r="AI206">
        <v>90.820278344493005</v>
      </c>
      <c r="AJ206">
        <v>87.939357014190705</v>
      </c>
      <c r="AK206">
        <v>77.477412206807998</v>
      </c>
      <c r="AL206">
        <v>80.415941833491502</v>
      </c>
      <c r="AM206">
        <v>93.732824858668494</v>
      </c>
      <c r="AN206">
        <v>1.0000000047538</v>
      </c>
    </row>
    <row r="207" spans="1:40" x14ac:dyDescent="0.25">
      <c r="A207" t="str">
        <f>"20190304155601589"</f>
        <v>20190304155601589</v>
      </c>
      <c r="B207" t="str">
        <f>"1551686161584943"</f>
        <v>1551686161584943</v>
      </c>
      <c r="C207" t="s">
        <v>40</v>
      </c>
      <c r="D207">
        <v>4.7421379999999997</v>
      </c>
      <c r="E207">
        <v>0.53553809999999902</v>
      </c>
      <c r="F207" t="s">
        <v>41</v>
      </c>
      <c r="G207">
        <v>-371.18830000000003</v>
      </c>
      <c r="H207" s="1">
        <v>-4.6871410000000001E-6</v>
      </c>
      <c r="I207">
        <v>364.40359999999998</v>
      </c>
      <c r="J207">
        <v>-452.44189999999998</v>
      </c>
      <c r="K207">
        <v>1.109181</v>
      </c>
      <c r="L207">
        <v>367.25220000000002</v>
      </c>
      <c r="M207">
        <v>0.99998390000000004</v>
      </c>
      <c r="N207">
        <v>-5.6886769999999996E-3</v>
      </c>
      <c r="O207">
        <v>2.746704E-4</v>
      </c>
      <c r="P207">
        <v>0.98470599999999997</v>
      </c>
      <c r="Q207">
        <v>0.16157920000000001</v>
      </c>
      <c r="R207">
        <v>6.5166810000000006E-2</v>
      </c>
      <c r="S207">
        <v>3.060028</v>
      </c>
      <c r="T207">
        <v>-4.1649699999999998E-2</v>
      </c>
      <c r="U207">
        <v>-0.10696410000000001</v>
      </c>
      <c r="V207">
        <v>-6.4849039999999997E-2</v>
      </c>
      <c r="W207">
        <v>0.16719679999999901</v>
      </c>
      <c r="X207">
        <v>0.98378849999999995</v>
      </c>
      <c r="Y207">
        <v>3.5203810000000002E-2</v>
      </c>
      <c r="Z207">
        <v>-3.418381E-4</v>
      </c>
      <c r="AA207">
        <v>0.99938009999999999</v>
      </c>
      <c r="AB207">
        <v>24</v>
      </c>
      <c r="AC207">
        <v>81.253599999999906</v>
      </c>
      <c r="AD207">
        <v>-1.109185687141</v>
      </c>
      <c r="AE207">
        <v>-2.84860000000003</v>
      </c>
      <c r="AF207">
        <v>2.87038397791583</v>
      </c>
      <c r="AG207">
        <v>-1.109185687141</v>
      </c>
      <c r="AH207">
        <v>81.237694648069805</v>
      </c>
      <c r="AI207">
        <v>90.781756359673594</v>
      </c>
      <c r="AJ207">
        <v>87.976401225452804</v>
      </c>
      <c r="AK207">
        <v>81.295955796105005</v>
      </c>
      <c r="AL207">
        <v>80.375125011047203</v>
      </c>
      <c r="AM207">
        <v>93.771347926691206</v>
      </c>
      <c r="AN207">
        <v>0.99999999032570497</v>
      </c>
    </row>
    <row r="208" spans="1:40" x14ac:dyDescent="0.25">
      <c r="A208" t="str">
        <f>"20190304155601613"</f>
        <v>20190304155601613</v>
      </c>
      <c r="B208" t="str">
        <f>"1551686161605440"</f>
        <v>1551686161605440</v>
      </c>
      <c r="C208" t="s">
        <v>40</v>
      </c>
      <c r="D208">
        <v>4.7791829999999997</v>
      </c>
      <c r="E208">
        <v>0.53544080000000005</v>
      </c>
      <c r="F208" t="s">
        <v>41</v>
      </c>
      <c r="G208">
        <v>-369.04739999999998</v>
      </c>
      <c r="H208" s="1">
        <v>-1.68680999999999E-6</v>
      </c>
      <c r="I208">
        <v>364.4427</v>
      </c>
      <c r="J208">
        <v>-452.19119999999998</v>
      </c>
      <c r="K208">
        <v>1.109192</v>
      </c>
      <c r="L208">
        <v>367.25209999999998</v>
      </c>
      <c r="M208">
        <v>0.99998330000000002</v>
      </c>
      <c r="N208">
        <v>-5.7759430000000004E-3</v>
      </c>
      <c r="O208">
        <v>1.2402910000000001E-4</v>
      </c>
      <c r="P208">
        <v>0.98473390000000005</v>
      </c>
      <c r="Q208">
        <v>0.1614756</v>
      </c>
      <c r="R208">
        <v>6.4996559999999995E-2</v>
      </c>
      <c r="S208">
        <v>3.0600890000000001</v>
      </c>
      <c r="T208">
        <v>-4.0700439999999997E-2</v>
      </c>
      <c r="U208">
        <v>-0.1030884</v>
      </c>
      <c r="V208">
        <v>-6.4826699999999904E-2</v>
      </c>
      <c r="W208">
        <v>0.16717939999999901</v>
      </c>
      <c r="X208">
        <v>0.98379300000000003</v>
      </c>
      <c r="Y208">
        <v>3.3788609999999997E-2</v>
      </c>
      <c r="Z208">
        <v>-3.231757E-4</v>
      </c>
      <c r="AA208">
        <v>0.99942889999999995</v>
      </c>
      <c r="AB208">
        <v>24</v>
      </c>
      <c r="AC208">
        <v>83.143799999999999</v>
      </c>
      <c r="AD208">
        <v>-1.1091936868100001</v>
      </c>
      <c r="AE208">
        <v>-2.8093999999999801</v>
      </c>
      <c r="AF208">
        <v>2.81921122888166</v>
      </c>
      <c r="AG208">
        <v>-1.1091936868100001</v>
      </c>
      <c r="AH208">
        <v>83.128673089134594</v>
      </c>
      <c r="AI208">
        <v>90.764018409417801</v>
      </c>
      <c r="AJ208">
        <v>88.057625433970102</v>
      </c>
      <c r="AK208">
        <v>83.183859925757901</v>
      </c>
      <c r="AL208">
        <v>80.376136865239005</v>
      </c>
      <c r="AM208">
        <v>93.770035278510804</v>
      </c>
      <c r="AN208">
        <v>1.00000005983312</v>
      </c>
    </row>
    <row r="209" spans="1:40" x14ac:dyDescent="0.25">
      <c r="A209" t="str">
        <f>"20190304155601636"</f>
        <v>20190304155601636</v>
      </c>
      <c r="B209" t="str">
        <f>"1551686161624960"</f>
        <v>1551686161624960</v>
      </c>
      <c r="C209" t="s">
        <v>40</v>
      </c>
      <c r="D209">
        <v>4.8264230000000001</v>
      </c>
      <c r="E209">
        <v>0.53534440000000005</v>
      </c>
      <c r="F209" t="s">
        <v>41</v>
      </c>
      <c r="G209">
        <v>-367.6259</v>
      </c>
      <c r="H209" s="1">
        <v>-2.1759230000000002E-6</v>
      </c>
      <c r="I209">
        <v>364.42239999999998</v>
      </c>
      <c r="J209">
        <v>-451.92770000000002</v>
      </c>
      <c r="K209">
        <v>1.1091979999999999</v>
      </c>
      <c r="L209">
        <v>367.25200000000001</v>
      </c>
      <c r="M209">
        <v>0.99998299999999996</v>
      </c>
      <c r="N209">
        <v>-5.860667E-3</v>
      </c>
      <c r="O209" s="1">
        <v>-3.0172480000000002E-5</v>
      </c>
      <c r="P209">
        <v>0.98467459999999996</v>
      </c>
      <c r="Q209">
        <v>0.162135</v>
      </c>
      <c r="R209">
        <v>6.4252009999999998E-2</v>
      </c>
      <c r="S209">
        <v>3.0598450000000001</v>
      </c>
      <c r="T209">
        <v>-4.013419E-2</v>
      </c>
      <c r="U209">
        <v>-0.10238650000000001</v>
      </c>
      <c r="V209">
        <v>-6.4234440000000004E-2</v>
      </c>
      <c r="W209">
        <v>0.16792119999999999</v>
      </c>
      <c r="X209">
        <v>0.98370550000000001</v>
      </c>
      <c r="Y209">
        <v>3.3408309999999997E-2</v>
      </c>
      <c r="Z209">
        <v>-3.1674079999999998E-4</v>
      </c>
      <c r="AA209">
        <v>0.99944169999999999</v>
      </c>
      <c r="AB209">
        <v>25</v>
      </c>
      <c r="AC209">
        <v>84.3018</v>
      </c>
      <c r="AD209">
        <v>-1.1092001759229999</v>
      </c>
      <c r="AE209">
        <v>-2.8295999999999699</v>
      </c>
      <c r="AF209">
        <v>2.82656757760572</v>
      </c>
      <c r="AG209">
        <v>-1.1092001759229999</v>
      </c>
      <c r="AH209">
        <v>84.287309977140097</v>
      </c>
      <c r="AI209">
        <v>90.753531243228593</v>
      </c>
      <c r="AJ209">
        <v>88.079310819192401</v>
      </c>
      <c r="AK209">
        <v>84.341984992550096</v>
      </c>
      <c r="AL209">
        <v>80.333025334449701</v>
      </c>
      <c r="AM209">
        <v>93.736021370328999</v>
      </c>
      <c r="AN209">
        <v>1.0000000517109</v>
      </c>
    </row>
    <row r="210" spans="1:40" x14ac:dyDescent="0.25">
      <c r="A210" t="str">
        <f>"20190304155601659"</f>
        <v>20190304155601659</v>
      </c>
      <c r="B210" t="str">
        <f>"1551686161655216"</f>
        <v>1551686161655216</v>
      </c>
      <c r="C210" t="s">
        <v>40</v>
      </c>
      <c r="D210">
        <v>4.8518860000000004</v>
      </c>
      <c r="E210">
        <v>0.53520040000000002</v>
      </c>
      <c r="F210" t="s">
        <v>41</v>
      </c>
      <c r="G210">
        <v>-365.25709999999998</v>
      </c>
      <c r="H210" s="1">
        <v>-3.0100139999999999E-6</v>
      </c>
      <c r="I210">
        <v>364.31729999999999</v>
      </c>
      <c r="J210">
        <v>-451.67669999999998</v>
      </c>
      <c r="K210">
        <v>1.109202</v>
      </c>
      <c r="L210">
        <v>367.2518</v>
      </c>
      <c r="M210">
        <v>0.9999825</v>
      </c>
      <c r="N210">
        <v>-5.9348889999999996E-3</v>
      </c>
      <c r="O210">
        <v>-1.7223959999999999E-4</v>
      </c>
      <c r="P210">
        <v>0.98461120000000002</v>
      </c>
      <c r="Q210">
        <v>0.16273080000000001</v>
      </c>
      <c r="R210">
        <v>6.3718070000000002E-2</v>
      </c>
      <c r="S210">
        <v>3.0599370000000001</v>
      </c>
      <c r="T210">
        <v>-3.9160729999999998E-2</v>
      </c>
      <c r="U210">
        <v>-0.103607199999999</v>
      </c>
      <c r="V210">
        <v>-6.3841490000000001E-2</v>
      </c>
      <c r="W210">
        <v>0.16858870000000001</v>
      </c>
      <c r="X210">
        <v>0.98361690000000002</v>
      </c>
      <c r="Y210">
        <v>3.3663690000000003E-2</v>
      </c>
      <c r="Z210">
        <v>-3.1409059999999998E-4</v>
      </c>
      <c r="AA210">
        <v>0.99943320000000002</v>
      </c>
      <c r="AB210">
        <v>25</v>
      </c>
      <c r="AC210">
        <v>86.419600000000003</v>
      </c>
      <c r="AD210">
        <v>-1.1092050100139901</v>
      </c>
      <c r="AE210">
        <v>-2.9345000000000101</v>
      </c>
      <c r="AF210">
        <v>2.9191344744189802</v>
      </c>
      <c r="AG210">
        <v>-1.1092050100139901</v>
      </c>
      <c r="AH210">
        <v>86.405886049764504</v>
      </c>
      <c r="AI210">
        <v>90.735054597761007</v>
      </c>
      <c r="AJ210">
        <v>88.065056627660496</v>
      </c>
      <c r="AK210">
        <v>86.462297135103199</v>
      </c>
      <c r="AL210">
        <v>80.2942272208291</v>
      </c>
      <c r="AM210">
        <v>93.713564176303606</v>
      </c>
      <c r="AN210">
        <v>1.0000000457893501</v>
      </c>
    </row>
    <row r="211" spans="1:40" x14ac:dyDescent="0.25">
      <c r="A211" t="str">
        <f>"20190304155601682"</f>
        <v>20190304155601682</v>
      </c>
      <c r="B211" t="str">
        <f>"1551686161674735"</f>
        <v>1551686161674735</v>
      </c>
      <c r="C211" t="s">
        <v>40</v>
      </c>
      <c r="D211">
        <v>4.8499540000000003</v>
      </c>
      <c r="E211">
        <v>0.53513599999999995</v>
      </c>
      <c r="F211" t="s">
        <v>41</v>
      </c>
      <c r="G211">
        <v>-362.73200000000003</v>
      </c>
      <c r="H211" s="1">
        <v>-4.0567389999999996E-6</v>
      </c>
      <c r="I211">
        <v>364.22410000000002</v>
      </c>
      <c r="J211">
        <v>-451.42079999999999</v>
      </c>
      <c r="K211">
        <v>1.1092109999999999</v>
      </c>
      <c r="L211">
        <v>367.2516</v>
      </c>
      <c r="M211">
        <v>0.99998200000000004</v>
      </c>
      <c r="N211">
        <v>-6.0043290000000001E-3</v>
      </c>
      <c r="O211">
        <v>-3.1238080000000002E-4</v>
      </c>
      <c r="P211">
        <v>0.98446739999999999</v>
      </c>
      <c r="Q211">
        <v>0.16382349999999901</v>
      </c>
      <c r="R211">
        <v>6.3132889999999997E-2</v>
      </c>
      <c r="S211">
        <v>3.0599059999999998</v>
      </c>
      <c r="T211">
        <v>-3.8159249999999999E-2</v>
      </c>
      <c r="U211">
        <v>-0.1041565</v>
      </c>
      <c r="V211">
        <v>-6.3395300000000002E-2</v>
      </c>
      <c r="W211">
        <v>0.1697485</v>
      </c>
      <c r="X211">
        <v>0.98344620000000005</v>
      </c>
      <c r="Y211">
        <v>3.3703339999999998E-2</v>
      </c>
      <c r="Z211">
        <v>-3.0928329999999998E-4</v>
      </c>
      <c r="AA211">
        <v>0.99943179999999998</v>
      </c>
      <c r="AB211">
        <v>25</v>
      </c>
      <c r="AC211">
        <v>88.688800000000001</v>
      </c>
      <c r="AD211">
        <v>-1.109215056739</v>
      </c>
      <c r="AE211">
        <v>-3.0274999999999701</v>
      </c>
      <c r="AF211">
        <v>2.9993260663157599</v>
      </c>
      <c r="AG211">
        <v>-1.109215056739</v>
      </c>
      <c r="AH211">
        <v>88.675886831323197</v>
      </c>
      <c r="AI211">
        <v>90.716245562648595</v>
      </c>
      <c r="AJ211">
        <v>88.062796518048899</v>
      </c>
      <c r="AK211">
        <v>88.733529289755097</v>
      </c>
      <c r="AL211">
        <v>80.226803089346106</v>
      </c>
      <c r="AM211">
        <v>93.688320154715299</v>
      </c>
      <c r="AN211">
        <v>0.99999997280438901</v>
      </c>
    </row>
    <row r="212" spans="1:40" x14ac:dyDescent="0.25">
      <c r="A212" t="str">
        <f>"20190304155601702"</f>
        <v>20190304155601702</v>
      </c>
      <c r="B212" t="str">
        <f>"1551686161695232"</f>
        <v>1551686161695232</v>
      </c>
      <c r="C212" t="s">
        <v>40</v>
      </c>
      <c r="D212">
        <v>4.9231410000000002</v>
      </c>
      <c r="E212">
        <v>0.53507609999999906</v>
      </c>
      <c r="F212" t="s">
        <v>41</v>
      </c>
      <c r="G212">
        <v>-355.23599999999999</v>
      </c>
      <c r="H212" s="1">
        <v>-3.122388E-6</v>
      </c>
      <c r="I212">
        <v>363.92200000000003</v>
      </c>
      <c r="J212">
        <v>-451.1925</v>
      </c>
      <c r="K212">
        <v>1.1092249999999999</v>
      </c>
      <c r="L212">
        <v>367.25139999999999</v>
      </c>
      <c r="M212">
        <v>0.99998149999999997</v>
      </c>
      <c r="N212">
        <v>-6.0613200000000002E-3</v>
      </c>
      <c r="O212">
        <v>-4.3150099999999999E-4</v>
      </c>
      <c r="P212">
        <v>0.98435039999999996</v>
      </c>
      <c r="Q212">
        <v>0.16463849999999999</v>
      </c>
      <c r="R212">
        <v>6.2834509999999996E-2</v>
      </c>
      <c r="S212">
        <v>3.0600589999999999</v>
      </c>
      <c r="T212">
        <v>-3.5288930000000003E-2</v>
      </c>
      <c r="U212">
        <v>-0.10592650000000001</v>
      </c>
      <c r="V212">
        <v>-6.3215430000000003E-2</v>
      </c>
      <c r="W212">
        <v>0.1706183</v>
      </c>
      <c r="X212">
        <v>0.9833073</v>
      </c>
      <c r="Y212">
        <v>3.4160419999999997E-2</v>
      </c>
      <c r="Z212">
        <v>-2.9811140000000002E-4</v>
      </c>
      <c r="AA212">
        <v>0.99941630000000004</v>
      </c>
      <c r="AB212">
        <v>25</v>
      </c>
      <c r="AC212">
        <v>95.956500000000005</v>
      </c>
      <c r="AD212">
        <v>-1.1092281223879901</v>
      </c>
      <c r="AE212">
        <v>-3.3294000000000201</v>
      </c>
      <c r="AF212">
        <v>3.2875548256012501</v>
      </c>
      <c r="AG212">
        <v>-1.1092281223879901</v>
      </c>
      <c r="AH212">
        <v>95.945122327194198</v>
      </c>
      <c r="AI212">
        <v>90.661982453056496</v>
      </c>
      <c r="AJ212">
        <v>88.037530772092097</v>
      </c>
      <c r="AK212">
        <v>96.007837712027893</v>
      </c>
      <c r="AL212">
        <v>80.176229943532903</v>
      </c>
      <c r="AM212">
        <v>93.678402238338506</v>
      </c>
      <c r="AN212">
        <v>1.00000002055913</v>
      </c>
    </row>
    <row r="213" spans="1:40" x14ac:dyDescent="0.25">
      <c r="A213" t="str">
        <f>"20190304155601724"</f>
        <v>20190304155601724</v>
      </c>
      <c r="B213" t="str">
        <f>"1551686161714755"</f>
        <v>1551686161714755</v>
      </c>
      <c r="C213" t="s">
        <v>40</v>
      </c>
      <c r="D213">
        <v>4.8506419999999997</v>
      </c>
      <c r="E213">
        <v>0.53498669999999904</v>
      </c>
      <c r="F213" t="s">
        <v>41</v>
      </c>
      <c r="G213">
        <v>-349.33190000000002</v>
      </c>
      <c r="H213" s="1">
        <v>-1.815475E-6</v>
      </c>
      <c r="I213">
        <v>363.69810000000001</v>
      </c>
      <c r="J213">
        <v>-450.94459999999998</v>
      </c>
      <c r="K213">
        <v>1.109243</v>
      </c>
      <c r="L213">
        <v>367.25110000000001</v>
      </c>
      <c r="M213">
        <v>0.99998120000000001</v>
      </c>
      <c r="N213">
        <v>-6.1184469999999999E-3</v>
      </c>
      <c r="O213">
        <v>-5.5383440000000004E-4</v>
      </c>
      <c r="P213">
        <v>0.98412599999999995</v>
      </c>
      <c r="Q213">
        <v>0.16611890000000001</v>
      </c>
      <c r="R213">
        <v>6.2455770000000001E-2</v>
      </c>
      <c r="S213">
        <v>3.06012</v>
      </c>
      <c r="T213">
        <v>-3.3323650000000003E-2</v>
      </c>
      <c r="U213">
        <v>-0.1067505</v>
      </c>
      <c r="V213">
        <v>-6.2958780000000006E-2</v>
      </c>
      <c r="W213">
        <v>0.17215259999999999</v>
      </c>
      <c r="X213">
        <v>0.98305629999999999</v>
      </c>
      <c r="Y213">
        <v>3.4306540000000003E-2</v>
      </c>
      <c r="Z213">
        <v>-2.8907850000000002E-4</v>
      </c>
      <c r="AA213">
        <v>0.9994113</v>
      </c>
      <c r="AB213">
        <v>25</v>
      </c>
      <c r="AC213">
        <v>101.61269999999899</v>
      </c>
      <c r="AD213">
        <v>-1.1092448154750001</v>
      </c>
      <c r="AE213">
        <v>-3.5529999999999902</v>
      </c>
      <c r="AF213">
        <v>3.4963056587582799</v>
      </c>
      <c r="AG213">
        <v>-1.1092448154750001</v>
      </c>
      <c r="AH213">
        <v>101.602559260006</v>
      </c>
      <c r="AI213">
        <v>90.625131199566297</v>
      </c>
      <c r="AJ213">
        <v>88.029138791644399</v>
      </c>
      <c r="AK213">
        <v>101.668749502997</v>
      </c>
      <c r="AL213">
        <v>80.087000658872796</v>
      </c>
      <c r="AM213">
        <v>93.664441790032598</v>
      </c>
      <c r="AN213">
        <v>1.00000000731776</v>
      </c>
    </row>
    <row r="214" spans="1:40" x14ac:dyDescent="0.25">
      <c r="A214" t="str">
        <f>"20190304155601745"</f>
        <v>20190304155601745</v>
      </c>
      <c r="B214" t="str">
        <f>"1551686161735251"</f>
        <v>1551686161735251</v>
      </c>
      <c r="C214" t="s">
        <v>40</v>
      </c>
      <c r="D214">
        <v>4.8692449999999896</v>
      </c>
      <c r="E214">
        <v>0.53489149999999996</v>
      </c>
      <c r="F214" t="s">
        <v>41</v>
      </c>
      <c r="G214">
        <v>-335.82080000000002</v>
      </c>
      <c r="H214" s="1">
        <v>-3.1089349999999999E-6</v>
      </c>
      <c r="I214">
        <v>363.22469999999998</v>
      </c>
      <c r="J214">
        <v>-450.69670000000002</v>
      </c>
      <c r="K214">
        <v>1.1092610000000001</v>
      </c>
      <c r="L214">
        <v>367.2509</v>
      </c>
      <c r="M214">
        <v>0.99998069999999895</v>
      </c>
      <c r="N214">
        <v>-6.1713089999999998E-3</v>
      </c>
      <c r="O214">
        <v>-6.6792550000000005E-4</v>
      </c>
      <c r="P214">
        <v>0.98374119999999998</v>
      </c>
      <c r="Q214">
        <v>0.16833600000000001</v>
      </c>
      <c r="R214">
        <v>6.258155E-2</v>
      </c>
      <c r="S214">
        <v>3.06012</v>
      </c>
      <c r="T214">
        <v>-2.9484989999999999E-2</v>
      </c>
      <c r="U214">
        <v>-0.1070251</v>
      </c>
      <c r="V214">
        <v>-6.3198039999999997E-2</v>
      </c>
      <c r="W214">
        <v>0.17441799999999999</v>
      </c>
      <c r="X214">
        <v>0.98264149999999995</v>
      </c>
      <c r="Y214">
        <v>3.4282670000000001E-2</v>
      </c>
      <c r="Z214">
        <v>-2.6861559999999998E-4</v>
      </c>
      <c r="AA214">
        <v>0.99941210000000003</v>
      </c>
      <c r="AB214">
        <v>25</v>
      </c>
      <c r="AC214">
        <v>114.8759</v>
      </c>
      <c r="AD214">
        <v>-1.1092641089349999</v>
      </c>
      <c r="AE214">
        <v>-4.02620000000001</v>
      </c>
      <c r="AF214">
        <v>3.9491013243963402</v>
      </c>
      <c r="AG214">
        <v>-1.1092641089349999</v>
      </c>
      <c r="AH214">
        <v>114.86786624631701</v>
      </c>
      <c r="AI214">
        <v>90.552954059138798</v>
      </c>
      <c r="AJ214">
        <v>88.030974511138993</v>
      </c>
      <c r="AK214">
        <v>114.941083012627</v>
      </c>
      <c r="AL214">
        <v>79.955208646007705</v>
      </c>
      <c r="AM214">
        <v>93.679877935527301</v>
      </c>
      <c r="AN214">
        <v>0.99999997425304499</v>
      </c>
    </row>
    <row r="215" spans="1:40" x14ac:dyDescent="0.25">
      <c r="A215" t="str">
        <f>"20190304155601758"</f>
        <v>20190304155601758</v>
      </c>
      <c r="B215" t="str">
        <f>"1551686161754768"</f>
        <v>1551686161754768</v>
      </c>
      <c r="C215" t="s">
        <v>40</v>
      </c>
      <c r="D215">
        <v>4.8740300000000003</v>
      </c>
      <c r="E215">
        <v>0.5348212</v>
      </c>
      <c r="F215" t="s">
        <v>44</v>
      </c>
      <c r="G215">
        <v>-297.25020000000001</v>
      </c>
      <c r="H215">
        <v>-0.05</v>
      </c>
      <c r="I215">
        <v>361.94110000000001</v>
      </c>
      <c r="J215">
        <v>-450.5487</v>
      </c>
      <c r="K215">
        <v>1.109272</v>
      </c>
      <c r="L215">
        <v>367.25069999999999</v>
      </c>
      <c r="M215">
        <v>0.9999806</v>
      </c>
      <c r="N215">
        <v>-6.200835E-3</v>
      </c>
      <c r="O215">
        <v>-7.3141160000000005E-4</v>
      </c>
      <c r="P215">
        <v>0.98355009999999998</v>
      </c>
      <c r="Q215">
        <v>0.16940920000000001</v>
      </c>
      <c r="R215">
        <v>6.2688610000000006E-2</v>
      </c>
      <c r="S215">
        <v>3.0602719999999999</v>
      </c>
      <c r="T215">
        <v>-2.3119810000000001E-2</v>
      </c>
      <c r="U215">
        <v>-0.105896</v>
      </c>
      <c r="V215">
        <v>-6.3368649999999999E-2</v>
      </c>
      <c r="W215">
        <v>0.17551900000000001</v>
      </c>
      <c r="X215">
        <v>0.98243449999999999</v>
      </c>
      <c r="Y215">
        <v>3.385001E-2</v>
      </c>
      <c r="Z215">
        <v>-2.3181969999999999E-4</v>
      </c>
      <c r="AA215">
        <v>0.99942690000000001</v>
      </c>
      <c r="AB215">
        <v>25</v>
      </c>
      <c r="AC215">
        <v>153.29849999999999</v>
      </c>
      <c r="AD215">
        <v>-1.1592719999999901</v>
      </c>
      <c r="AE215">
        <v>-5.3095999999999801</v>
      </c>
      <c r="AF215">
        <v>5.1971752802184898</v>
      </c>
      <c r="AG215">
        <v>-1.1592719999999901</v>
      </c>
      <c r="AH215">
        <v>153.29358672379101</v>
      </c>
      <c r="AI215">
        <v>90.433038259876497</v>
      </c>
      <c r="AJ215">
        <v>88.058221470000703</v>
      </c>
      <c r="AK215">
        <v>153.38604328004399</v>
      </c>
      <c r="AL215">
        <v>79.891138158396799</v>
      </c>
      <c r="AM215">
        <v>93.690560053759</v>
      </c>
      <c r="AN215">
        <v>1.0000000259770301</v>
      </c>
    </row>
    <row r="216" spans="1:40" x14ac:dyDescent="0.25">
      <c r="A216" t="str">
        <f>"20190304155601780"</f>
        <v>20190304155601780</v>
      </c>
      <c r="B216" t="str">
        <f>"1551686161775264"</f>
        <v>1551686161775264</v>
      </c>
      <c r="C216" t="s">
        <v>40</v>
      </c>
      <c r="D216">
        <v>4.8753539999999997</v>
      </c>
      <c r="E216">
        <v>0.5347459</v>
      </c>
      <c r="F216" t="s">
        <v>44</v>
      </c>
      <c r="G216">
        <v>-277.79500000000002</v>
      </c>
      <c r="H216">
        <v>-0.05</v>
      </c>
      <c r="I216">
        <v>361.33519999999999</v>
      </c>
      <c r="J216">
        <v>-450.31209999999999</v>
      </c>
      <c r="K216">
        <v>1.1092839999999999</v>
      </c>
      <c r="L216">
        <v>367.25040000000001</v>
      </c>
      <c r="M216">
        <v>0.99998030000000004</v>
      </c>
      <c r="N216">
        <v>-6.2455200000000001E-3</v>
      </c>
      <c r="O216">
        <v>-8.2544379999999998E-4</v>
      </c>
      <c r="P216">
        <v>0.98315379999999997</v>
      </c>
      <c r="Q216">
        <v>0.17149679999999901</v>
      </c>
      <c r="R216">
        <v>6.3228110000000004E-2</v>
      </c>
      <c r="S216">
        <v>3.060425</v>
      </c>
      <c r="T216">
        <v>-2.0537139999999999E-2</v>
      </c>
      <c r="U216">
        <v>-0.1047974</v>
      </c>
      <c r="V216">
        <v>-6.4002470000000006E-2</v>
      </c>
      <c r="W216">
        <v>0.177647</v>
      </c>
      <c r="X216">
        <v>0.98201079999999996</v>
      </c>
      <c r="Y216">
        <v>3.3396250000000002E-2</v>
      </c>
      <c r="Z216">
        <v>-2.159582E-4</v>
      </c>
      <c r="AA216">
        <v>0.99944219999999895</v>
      </c>
      <c r="AB216">
        <v>25</v>
      </c>
      <c r="AC216">
        <v>172.517099999999</v>
      </c>
      <c r="AD216">
        <v>-1.159284</v>
      </c>
      <c r="AE216">
        <v>-5.91520000000002</v>
      </c>
      <c r="AF216">
        <v>5.7725316989622701</v>
      </c>
      <c r="AG216">
        <v>-1.159284</v>
      </c>
      <c r="AH216">
        <v>172.51414308480599</v>
      </c>
      <c r="AI216">
        <v>90.384802819802701</v>
      </c>
      <c r="AJ216">
        <v>88.083529026580294</v>
      </c>
      <c r="AK216">
        <v>172.61458694413199</v>
      </c>
      <c r="AL216">
        <v>79.767265810758204</v>
      </c>
      <c r="AM216">
        <v>93.728973562650694</v>
      </c>
      <c r="AN216">
        <v>0.99999999204586998</v>
      </c>
    </row>
    <row r="217" spans="1:40" x14ac:dyDescent="0.25">
      <c r="A217" t="str">
        <f>"20190304155601801"</f>
        <v>20190304155601801</v>
      </c>
      <c r="B217" t="str">
        <f>"1551686161794784"</f>
        <v>1551686161794784</v>
      </c>
      <c r="C217" t="s">
        <v>40</v>
      </c>
      <c r="D217">
        <v>4.7275769999999904</v>
      </c>
      <c r="E217">
        <v>0.53475039999999996</v>
      </c>
      <c r="F217" t="s">
        <v>41</v>
      </c>
      <c r="G217">
        <v>-223.1978</v>
      </c>
      <c r="H217" s="1">
        <v>-4.9579899999999999E-6</v>
      </c>
      <c r="I217">
        <v>359.63</v>
      </c>
      <c r="J217">
        <v>-450.06479999999999</v>
      </c>
      <c r="K217">
        <v>1.1093010000000001</v>
      </c>
      <c r="L217">
        <v>367.25009999999997</v>
      </c>
      <c r="M217">
        <v>0.99997990000000003</v>
      </c>
      <c r="N217">
        <v>-6.2890690000000004E-3</v>
      </c>
      <c r="O217">
        <v>-9.1326310000000002E-4</v>
      </c>
      <c r="P217">
        <v>0.98293640000000004</v>
      </c>
      <c r="Q217">
        <v>0.17270369999999999</v>
      </c>
      <c r="R217">
        <v>6.3321660000000002E-2</v>
      </c>
      <c r="S217">
        <v>3.0606080000000002</v>
      </c>
      <c r="T217">
        <v>-1.494884E-2</v>
      </c>
      <c r="U217">
        <v>-0.1026917</v>
      </c>
      <c r="V217">
        <v>-6.4184859999999996E-2</v>
      </c>
      <c r="W217">
        <v>0.1788941</v>
      </c>
      <c r="X217">
        <v>0.98177250000000005</v>
      </c>
      <c r="Y217">
        <v>3.2620160000000002E-2</v>
      </c>
      <c r="Z217">
        <v>-1.835292E-4</v>
      </c>
      <c r="AA217">
        <v>0.99946780000000002</v>
      </c>
      <c r="AB217">
        <v>25</v>
      </c>
      <c r="AC217">
        <v>226.86699999999999</v>
      </c>
      <c r="AD217">
        <v>-1.10930595799</v>
      </c>
      <c r="AE217">
        <v>-7.6200999999999697</v>
      </c>
      <c r="AF217">
        <v>7.41272645362438</v>
      </c>
      <c r="AG217">
        <v>-1.10930595799</v>
      </c>
      <c r="AH217">
        <v>226.868446612301</v>
      </c>
      <c r="AI217">
        <v>90.280004312923495</v>
      </c>
      <c r="AJ217">
        <v>88.128576710933899</v>
      </c>
      <c r="AK217">
        <v>226.992227050759</v>
      </c>
      <c r="AL217">
        <v>79.694649302749397</v>
      </c>
      <c r="AM217">
        <v>93.740475142051096</v>
      </c>
      <c r="AN217">
        <v>1.0000000185121301</v>
      </c>
    </row>
    <row r="218" spans="1:40" x14ac:dyDescent="0.25">
      <c r="A218" t="str">
        <f>"20190304155601815"</f>
        <v>20190304155601815</v>
      </c>
      <c r="B218" t="str">
        <f>"1551686161805520"</f>
        <v>1551686161805520</v>
      </c>
      <c r="C218" t="s">
        <v>40</v>
      </c>
      <c r="D218">
        <v>4.733835</v>
      </c>
      <c r="E218">
        <v>0.53478340000000002</v>
      </c>
      <c r="F218" t="s">
        <v>45</v>
      </c>
      <c r="G218">
        <v>-179.9727</v>
      </c>
      <c r="H218">
        <v>7.7260229999999999E-2</v>
      </c>
      <c r="I218">
        <v>358.19889999999998</v>
      </c>
      <c r="J218">
        <v>-449.90589999999997</v>
      </c>
      <c r="K218">
        <v>1.1093090000000001</v>
      </c>
      <c r="L218">
        <v>367.24990000000003</v>
      </c>
      <c r="M218">
        <v>0.99997970000000003</v>
      </c>
      <c r="N218">
        <v>-6.3155379999999999E-3</v>
      </c>
      <c r="O218">
        <v>-9.6396990000000005E-4</v>
      </c>
      <c r="P218">
        <v>0.98282049999999999</v>
      </c>
      <c r="Q218">
        <v>0.1733092</v>
      </c>
      <c r="R218">
        <v>6.3465759999999996E-2</v>
      </c>
      <c r="S218">
        <v>3.0606990000000001</v>
      </c>
      <c r="T218">
        <v>-1.169515E-2</v>
      </c>
      <c r="U218">
        <v>-0.1025696</v>
      </c>
      <c r="V218">
        <v>-6.4380999999999994E-2</v>
      </c>
      <c r="W218">
        <v>0.17952409999999999</v>
      </c>
      <c r="X218">
        <v>0.98164459999999998</v>
      </c>
      <c r="Y218">
        <v>3.2528929999999998E-2</v>
      </c>
      <c r="Z218">
        <v>-1.672837E-4</v>
      </c>
      <c r="AA218">
        <v>0.99947079999999999</v>
      </c>
      <c r="AB218">
        <v>25</v>
      </c>
      <c r="AC218">
        <v>269.93319999999898</v>
      </c>
      <c r="AD218">
        <v>-1.0320487700000001</v>
      </c>
      <c r="AE218">
        <v>-9.0510000000000392</v>
      </c>
      <c r="AF218">
        <v>8.7906547958969004</v>
      </c>
      <c r="AG218">
        <v>-1.0320487700000001</v>
      </c>
      <c r="AH218">
        <v>269.93785812447402</v>
      </c>
      <c r="AI218">
        <v>90.218940838363594</v>
      </c>
      <c r="AJ218">
        <v>88.134794846787599</v>
      </c>
      <c r="AK218">
        <v>270.08292797811703</v>
      </c>
      <c r="AL218">
        <v>79.657958456034393</v>
      </c>
      <c r="AM218">
        <v>93.752360356594707</v>
      </c>
      <c r="AN218">
        <v>0.99999996817548398</v>
      </c>
    </row>
    <row r="219" spans="1:40" x14ac:dyDescent="0.25">
      <c r="A219" t="str">
        <f>"20190304155601836"</f>
        <v>20190304155601836</v>
      </c>
      <c r="B219" t="str">
        <f>"1551686161825043"</f>
        <v>1551686161825043</v>
      </c>
      <c r="C219" t="s">
        <v>40</v>
      </c>
      <c r="D219">
        <v>4.8805769999999997</v>
      </c>
      <c r="E219">
        <v>0.53469369999999905</v>
      </c>
      <c r="F219" t="s">
        <v>43</v>
      </c>
      <c r="G219">
        <v>-158.19499999999999</v>
      </c>
      <c r="H219">
        <v>0.15037249999999999</v>
      </c>
      <c r="I219">
        <v>357.52969999999999</v>
      </c>
      <c r="J219">
        <v>-449.66759999999999</v>
      </c>
      <c r="K219">
        <v>1.1093249999999999</v>
      </c>
      <c r="L219">
        <v>367.24959999999999</v>
      </c>
      <c r="M219">
        <v>0.99997939999999996</v>
      </c>
      <c r="N219">
        <v>-6.3531519999999999E-3</v>
      </c>
      <c r="O219">
        <v>-1.028871E-3</v>
      </c>
      <c r="P219">
        <v>0.98263129999999999</v>
      </c>
      <c r="Q219">
        <v>0.17432700000000001</v>
      </c>
      <c r="R219">
        <v>6.360905E-2</v>
      </c>
      <c r="S219">
        <v>3.0607600000000001</v>
      </c>
      <c r="T219">
        <v>-1.0060670000000001E-2</v>
      </c>
      <c r="U219">
        <v>-0.1019897</v>
      </c>
      <c r="V219">
        <v>-6.4592090000000005E-2</v>
      </c>
      <c r="W219">
        <v>0.18057619999999999</v>
      </c>
      <c r="X219">
        <v>0.98143769999999997</v>
      </c>
      <c r="Y219">
        <v>3.2274379999999998E-2</v>
      </c>
      <c r="Z219">
        <v>-1.58734E-4</v>
      </c>
      <c r="AA219">
        <v>0.99947909999999995</v>
      </c>
      <c r="AB219">
        <v>26</v>
      </c>
      <c r="AC219">
        <v>291.4726</v>
      </c>
      <c r="AD219">
        <v>-0.95895249999999999</v>
      </c>
      <c r="AE219">
        <v>-9.7198999999999902</v>
      </c>
      <c r="AF219">
        <v>9.4198992803617703</v>
      </c>
      <c r="AG219">
        <v>-0.95895249999999999</v>
      </c>
      <c r="AH219">
        <v>291.47929489819899</v>
      </c>
      <c r="AI219">
        <v>90.188401248738202</v>
      </c>
      <c r="AJ219">
        <v>88.148984506990502</v>
      </c>
      <c r="AK219">
        <v>291.63304587563601</v>
      </c>
      <c r="AL219">
        <v>79.596675653460807</v>
      </c>
      <c r="AM219">
        <v>93.765419483244898</v>
      </c>
      <c r="AN219">
        <v>0.99999993053914604</v>
      </c>
    </row>
    <row r="220" spans="1:40" x14ac:dyDescent="0.25">
      <c r="A220" t="str">
        <f>"20190304155601860"</f>
        <v>20190304155601860</v>
      </c>
      <c r="B220" t="str">
        <f>"1551686161855296"</f>
        <v>1551686161855296</v>
      </c>
      <c r="C220" t="s">
        <v>40</v>
      </c>
      <c r="D220">
        <v>4.8280560000000001</v>
      </c>
      <c r="E220">
        <v>0.53457149999999998</v>
      </c>
      <c r="F220" t="s">
        <v>43</v>
      </c>
      <c r="G220">
        <v>-158.19499999999999</v>
      </c>
      <c r="H220">
        <v>0.36369800000000002</v>
      </c>
      <c r="I220">
        <v>357.67140000000001</v>
      </c>
      <c r="J220">
        <v>-449.40010000000001</v>
      </c>
      <c r="K220">
        <v>1.109335</v>
      </c>
      <c r="L220">
        <v>367.24919999999997</v>
      </c>
      <c r="M220">
        <v>0.99997899999999995</v>
      </c>
      <c r="N220">
        <v>-6.3930949999999997E-3</v>
      </c>
      <c r="O220">
        <v>-1.085297E-3</v>
      </c>
      <c r="P220">
        <v>0.98268659999999997</v>
      </c>
      <c r="Q220">
        <v>0.17416980000000001</v>
      </c>
      <c r="R220">
        <v>6.3182000000000002E-2</v>
      </c>
      <c r="S220">
        <v>3.0609130000000002</v>
      </c>
      <c r="T220">
        <v>-7.8293089999999996E-3</v>
      </c>
      <c r="U220">
        <v>-0.10058590000000001</v>
      </c>
      <c r="V220">
        <v>-6.4225199999999996E-2</v>
      </c>
      <c r="W220">
        <v>0.18045659999999999</v>
      </c>
      <c r="X220">
        <v>0.98148380000000002</v>
      </c>
      <c r="Y220">
        <v>3.1758580000000002E-2</v>
      </c>
      <c r="Z220">
        <v>-1.4631379999999999E-4</v>
      </c>
      <c r="AA220">
        <v>0.99949560000000004</v>
      </c>
      <c r="AB220">
        <v>26</v>
      </c>
      <c r="AC220">
        <v>291.20510000000002</v>
      </c>
      <c r="AD220">
        <v>-0.745636999999999</v>
      </c>
      <c r="AE220">
        <v>-9.5777999999999608</v>
      </c>
      <c r="AF220">
        <v>9.2616832302346399</v>
      </c>
      <c r="AG220">
        <v>-0.745636999999999</v>
      </c>
      <c r="AH220">
        <v>291.21341625077002</v>
      </c>
      <c r="AI220">
        <v>90.146628444244399</v>
      </c>
      <c r="AJ220">
        <v>88.178392465778003</v>
      </c>
      <c r="AK220">
        <v>291.36161132729399</v>
      </c>
      <c r="AL220">
        <v>79.6036429432924</v>
      </c>
      <c r="AM220">
        <v>93.743917146193496</v>
      </c>
      <c r="AN220">
        <v>0.99999995523051899</v>
      </c>
    </row>
    <row r="221" spans="1:40" x14ac:dyDescent="0.25">
      <c r="A221" t="str">
        <f>"20190304155601881"</f>
        <v>20190304155601881</v>
      </c>
      <c r="B221" t="str">
        <f>"1551686161874816"</f>
        <v>1551686161874816</v>
      </c>
      <c r="C221" t="s">
        <v>40</v>
      </c>
      <c r="D221">
        <v>4.8852339999999996</v>
      </c>
      <c r="E221">
        <v>0.53446640000000001</v>
      </c>
      <c r="F221" t="s">
        <v>43</v>
      </c>
      <c r="G221">
        <v>-158.19499999999999</v>
      </c>
      <c r="H221">
        <v>0.18013379999999901</v>
      </c>
      <c r="I221">
        <v>357.65699999999998</v>
      </c>
      <c r="J221">
        <v>-449.14710000000002</v>
      </c>
      <c r="K221">
        <v>1.109348</v>
      </c>
      <c r="L221">
        <v>367.24889999999999</v>
      </c>
      <c r="M221">
        <v>0.9999789</v>
      </c>
      <c r="N221">
        <v>-6.4288740000000002E-3</v>
      </c>
      <c r="O221">
        <v>-1.1220379999999999E-3</v>
      </c>
      <c r="P221">
        <v>0.98279079999999996</v>
      </c>
      <c r="Q221">
        <v>0.1737523</v>
      </c>
      <c r="R221">
        <v>6.2712390000000007E-2</v>
      </c>
      <c r="S221">
        <v>3.0610659999999998</v>
      </c>
      <c r="T221">
        <v>-9.7665789999999992E-3</v>
      </c>
      <c r="U221">
        <v>-0.10083010000000001</v>
      </c>
      <c r="V221">
        <v>-6.3797309999999996E-2</v>
      </c>
      <c r="W221">
        <v>0.18007339999999999</v>
      </c>
      <c r="X221">
        <v>0.98158210000000001</v>
      </c>
      <c r="Y221">
        <v>3.1799729999999998E-2</v>
      </c>
      <c r="Z221">
        <v>-1.565963E-4</v>
      </c>
      <c r="AA221">
        <v>0.99949429999999995</v>
      </c>
      <c r="AB221">
        <v>26</v>
      </c>
      <c r="AC221">
        <v>290.95209999999997</v>
      </c>
      <c r="AD221">
        <v>-0.92921419999999999</v>
      </c>
      <c r="AE221">
        <v>-9.5919000000000096</v>
      </c>
      <c r="AF221">
        <v>9.2653335651913107</v>
      </c>
      <c r="AG221">
        <v>-0.92921419999999999</v>
      </c>
      <c r="AH221">
        <v>290.95971505051699</v>
      </c>
      <c r="AI221">
        <v>90.182887510212794</v>
      </c>
      <c r="AJ221">
        <v>88.176087097662105</v>
      </c>
      <c r="AK221">
        <v>291.108683531395</v>
      </c>
      <c r="AL221">
        <v>79.625964536859598</v>
      </c>
      <c r="AM221">
        <v>93.718672743743497</v>
      </c>
      <c r="AN221">
        <v>0.99999997259560203</v>
      </c>
    </row>
    <row r="222" spans="1:40" x14ac:dyDescent="0.25">
      <c r="A222" t="str">
        <f>"20190304155601903"</f>
        <v>20190304155601903</v>
      </c>
      <c r="B222" t="str">
        <f>"1551686161895312"</f>
        <v>1551686161895312</v>
      </c>
      <c r="C222" t="s">
        <v>40</v>
      </c>
      <c r="D222">
        <v>4.8522619999999996</v>
      </c>
      <c r="E222">
        <v>0.53438189999999997</v>
      </c>
      <c r="F222" t="s">
        <v>45</v>
      </c>
      <c r="G222">
        <v>-179.94120000000001</v>
      </c>
      <c r="H222">
        <v>7.9987879999999997E-2</v>
      </c>
      <c r="I222">
        <v>358.31709999999998</v>
      </c>
      <c r="J222">
        <v>-448.89640000000003</v>
      </c>
      <c r="K222">
        <v>1.109354</v>
      </c>
      <c r="L222">
        <v>367.24860000000001</v>
      </c>
      <c r="M222">
        <v>0.99997840000000005</v>
      </c>
      <c r="N222">
        <v>-6.4627540000000002E-3</v>
      </c>
      <c r="O222">
        <v>-1.1435180000000001E-3</v>
      </c>
      <c r="P222">
        <v>0.98305070000000006</v>
      </c>
      <c r="Q222">
        <v>0.17258399999999999</v>
      </c>
      <c r="R222">
        <v>6.1852230000000001E-2</v>
      </c>
      <c r="S222">
        <v>3.061096</v>
      </c>
      <c r="T222">
        <v>-1.170468E-2</v>
      </c>
      <c r="U222">
        <v>-0.1015625</v>
      </c>
      <c r="V222">
        <v>-6.2962900000000002E-2</v>
      </c>
      <c r="W222">
        <v>0.17893779999999901</v>
      </c>
      <c r="X222">
        <v>0.98184369999999999</v>
      </c>
      <c r="Y222">
        <v>3.2016669999999997E-2</v>
      </c>
      <c r="Z222">
        <v>-1.676995E-4</v>
      </c>
      <c r="AA222">
        <v>0.99948729999999997</v>
      </c>
      <c r="AB222">
        <v>26</v>
      </c>
      <c r="AC222">
        <v>268.95519999999999</v>
      </c>
      <c r="AD222">
        <v>-1.0293661199999999</v>
      </c>
      <c r="AE222">
        <v>-8.9315000000000193</v>
      </c>
      <c r="AF222">
        <v>8.6238064227534004</v>
      </c>
      <c r="AG222">
        <v>-1.0293661199999999</v>
      </c>
      <c r="AH222">
        <v>268.96130227109899</v>
      </c>
      <c r="AI222">
        <v>90.219168159006799</v>
      </c>
      <c r="AJ222">
        <v>88.163533238951203</v>
      </c>
      <c r="AK222">
        <v>269.10148968593899</v>
      </c>
      <c r="AL222">
        <v>79.692104816323706</v>
      </c>
      <c r="AM222">
        <v>93.669194546813102</v>
      </c>
      <c r="AN222">
        <v>1.0000000571374601</v>
      </c>
    </row>
    <row r="223" spans="1:40" x14ac:dyDescent="0.25">
      <c r="A223" t="str">
        <f>"20190304155601925"</f>
        <v>20190304155601925</v>
      </c>
      <c r="B223" t="str">
        <f>"1551686161914835"</f>
        <v>1551686161914835</v>
      </c>
      <c r="C223" t="s">
        <v>40</v>
      </c>
      <c r="D223">
        <v>4.7319110000000002</v>
      </c>
      <c r="E223">
        <v>0.5344563</v>
      </c>
      <c r="F223" t="s">
        <v>41</v>
      </c>
      <c r="G223">
        <v>-237.7251</v>
      </c>
      <c r="H223" s="1">
        <v>-3.2925830000000002E-6</v>
      </c>
      <c r="I223">
        <v>360.09890000000001</v>
      </c>
      <c r="J223">
        <v>-448.63549999999998</v>
      </c>
      <c r="K223">
        <v>1.109362</v>
      </c>
      <c r="L223">
        <v>367.24829999999997</v>
      </c>
      <c r="M223">
        <v>0.99997820000000004</v>
      </c>
      <c r="N223">
        <v>-6.4964559999999899E-3</v>
      </c>
      <c r="O223">
        <v>-1.1541639999999901E-3</v>
      </c>
      <c r="P223">
        <v>0.98320189999999996</v>
      </c>
      <c r="Q223">
        <v>0.1719696</v>
      </c>
      <c r="R223">
        <v>6.1157360000000001E-2</v>
      </c>
      <c r="S223">
        <v>3.0610659999999998</v>
      </c>
      <c r="T223">
        <v>-1.6080859999999999E-2</v>
      </c>
      <c r="U223">
        <v>-0.1036377</v>
      </c>
      <c r="V223">
        <v>-6.2282749999999998E-2</v>
      </c>
      <c r="W223">
        <v>0.17835599999999999</v>
      </c>
      <c r="X223">
        <v>0.98199289999999995</v>
      </c>
      <c r="Y223">
        <v>3.2682790000000003E-2</v>
      </c>
      <c r="Z223">
        <v>-1.9345079999999999E-4</v>
      </c>
      <c r="AA223">
        <v>0.99946579999999996</v>
      </c>
      <c r="AB223">
        <v>26</v>
      </c>
      <c r="AC223">
        <v>210.91040000000001</v>
      </c>
      <c r="AD223">
        <v>-1.109365292583</v>
      </c>
      <c r="AE223">
        <v>-7.1493999999999502</v>
      </c>
      <c r="AF223">
        <v>6.9057740635665201</v>
      </c>
      <c r="AG223">
        <v>-1.109365292583</v>
      </c>
      <c r="AH223">
        <v>210.91268276806801</v>
      </c>
      <c r="AI223">
        <v>90.301201992194706</v>
      </c>
      <c r="AJ223">
        <v>88.124672261911101</v>
      </c>
      <c r="AK223">
        <v>211.02862402809899</v>
      </c>
      <c r="AL223">
        <v>79.7259842283068</v>
      </c>
      <c r="AM223">
        <v>93.629114997435096</v>
      </c>
      <c r="AN223">
        <v>1.00000002966698</v>
      </c>
    </row>
    <row r="224" spans="1:40" x14ac:dyDescent="0.25">
      <c r="A224" t="str">
        <f>"20190304155601948"</f>
        <v>20190304155601948</v>
      </c>
      <c r="B224" t="str">
        <f>"1551686161945088"</f>
        <v>1551686161945088</v>
      </c>
      <c r="C224" t="s">
        <v>40</v>
      </c>
      <c r="D224">
        <v>4.8507160000000002</v>
      </c>
      <c r="E224">
        <v>0.53433069999999905</v>
      </c>
      <c r="F224" t="s">
        <v>41</v>
      </c>
      <c r="G224">
        <v>-265.46629999999999</v>
      </c>
      <c r="H224" s="1">
        <v>-3.8522930000000004E-6</v>
      </c>
      <c r="I224">
        <v>360.88420000000002</v>
      </c>
      <c r="J224">
        <v>-448.37619999999998</v>
      </c>
      <c r="K224">
        <v>1.109372</v>
      </c>
      <c r="L224">
        <v>367.24799999999999</v>
      </c>
      <c r="M224">
        <v>0.99997800000000003</v>
      </c>
      <c r="N224">
        <v>-6.5285780000000002E-3</v>
      </c>
      <c r="O224">
        <v>-1.157082E-3</v>
      </c>
      <c r="P224">
        <v>0.98323760000000004</v>
      </c>
      <c r="Q224">
        <v>0.17188390000000001</v>
      </c>
      <c r="R224">
        <v>6.0825780000000003E-2</v>
      </c>
      <c r="S224">
        <v>3.061096</v>
      </c>
      <c r="T224">
        <v>-1.8539549999999998E-2</v>
      </c>
      <c r="U224">
        <v>-0.1063538</v>
      </c>
      <c r="V224">
        <v>-6.1957020000000002E-2</v>
      </c>
      <c r="W224">
        <v>0.17830109999999999</v>
      </c>
      <c r="X224">
        <v>0.98202339999999999</v>
      </c>
      <c r="Y224">
        <v>3.3565030000000003E-2</v>
      </c>
      <c r="Z224">
        <v>-2.1176030000000001E-4</v>
      </c>
      <c r="AA224">
        <v>0.99943649999999995</v>
      </c>
      <c r="AB224">
        <v>26</v>
      </c>
      <c r="AC224">
        <v>182.90989999999999</v>
      </c>
      <c r="AD224">
        <v>-1.109375852293</v>
      </c>
      <c r="AE224">
        <v>-6.3638000000000199</v>
      </c>
      <c r="AF224">
        <v>6.15192344104877</v>
      </c>
      <c r="AG224">
        <v>-1.109375852293</v>
      </c>
      <c r="AH224">
        <v>182.910420732419</v>
      </c>
      <c r="AI224">
        <v>90.347305828426201</v>
      </c>
      <c r="AJ224">
        <v>88.073666727616697</v>
      </c>
      <c r="AK224">
        <v>183.01720927092299</v>
      </c>
      <c r="AL224">
        <v>79.729180246674403</v>
      </c>
      <c r="AM224">
        <v>93.610073735262205</v>
      </c>
      <c r="AN224">
        <v>0.99999995636802397</v>
      </c>
    </row>
    <row r="225" spans="1:40" x14ac:dyDescent="0.25">
      <c r="A225" t="str">
        <f>"20190304155601969"</f>
        <v>20190304155601969</v>
      </c>
      <c r="B225" t="str">
        <f>"1551686161964608"</f>
        <v>1551686161964608</v>
      </c>
      <c r="C225" t="s">
        <v>40</v>
      </c>
      <c r="D225">
        <v>4.8760960000000004</v>
      </c>
      <c r="E225">
        <v>0.53424459999999996</v>
      </c>
      <c r="F225" t="s">
        <v>41</v>
      </c>
      <c r="G225">
        <v>-279.14370000000002</v>
      </c>
      <c r="H225" s="1">
        <v>-2.4782930000000001E-6</v>
      </c>
      <c r="I225">
        <v>361.34480000000002</v>
      </c>
      <c r="J225">
        <v>-448.12009999999998</v>
      </c>
      <c r="K225">
        <v>1.109375</v>
      </c>
      <c r="L225">
        <v>367.24770000000001</v>
      </c>
      <c r="M225">
        <v>0.99997789999999998</v>
      </c>
      <c r="N225">
        <v>-6.5593090000000001E-3</v>
      </c>
      <c r="O225">
        <v>-1.1546569999999999E-3</v>
      </c>
      <c r="P225">
        <v>0.98321049999999999</v>
      </c>
      <c r="Q225">
        <v>0.17206150000000001</v>
      </c>
      <c r="R225">
        <v>6.0763379999999999E-2</v>
      </c>
      <c r="S225">
        <v>3.0612789999999999</v>
      </c>
      <c r="T225">
        <v>-2.0067689999999999E-2</v>
      </c>
      <c r="U225">
        <v>-0.106781</v>
      </c>
      <c r="V225">
        <v>-6.1892830000000003E-2</v>
      </c>
      <c r="W225">
        <v>0.17850849999999999</v>
      </c>
      <c r="X225">
        <v>0.98198980000000002</v>
      </c>
      <c r="Y225">
        <v>3.3704530000000003E-2</v>
      </c>
      <c r="Z225">
        <v>-2.210185E-4</v>
      </c>
      <c r="AA225">
        <v>0.99943179999999998</v>
      </c>
      <c r="AB225">
        <v>26</v>
      </c>
      <c r="AC225">
        <v>168.97639999999899</v>
      </c>
      <c r="AD225">
        <v>-1.1093774782929999</v>
      </c>
      <c r="AE225">
        <v>-5.9028999999999803</v>
      </c>
      <c r="AF225">
        <v>5.7075363882433701</v>
      </c>
      <c r="AG225">
        <v>-1.1093774782929999</v>
      </c>
      <c r="AH225">
        <v>168.975828851074</v>
      </c>
      <c r="AI225">
        <v>90.375944345355606</v>
      </c>
      <c r="AJ225">
        <v>88.065442443919693</v>
      </c>
      <c r="AK225">
        <v>169.07583335864399</v>
      </c>
      <c r="AL225">
        <v>79.717103673874803</v>
      </c>
      <c r="AM225">
        <v>93.606466497226194</v>
      </c>
      <c r="AN225">
        <v>0.99999998714084903</v>
      </c>
    </row>
    <row r="226" spans="1:40" x14ac:dyDescent="0.25">
      <c r="A226" t="str">
        <f>"20190304155601991"</f>
        <v>20190304155601991</v>
      </c>
      <c r="B226" t="str">
        <f>"1551686161984711"</f>
        <v>1551686161984711</v>
      </c>
      <c r="C226" t="s">
        <v>40</v>
      </c>
      <c r="D226">
        <v>4.8163999999999998</v>
      </c>
      <c r="E226">
        <v>0.5342481</v>
      </c>
      <c r="F226" t="s">
        <v>44</v>
      </c>
      <c r="G226">
        <v>-272.80770000000001</v>
      </c>
      <c r="H226">
        <v>-0.05</v>
      </c>
      <c r="I226">
        <v>361.15530000000001</v>
      </c>
      <c r="J226">
        <v>-447.86279999999999</v>
      </c>
      <c r="K226">
        <v>1.109381</v>
      </c>
      <c r="L226">
        <v>367.24740000000003</v>
      </c>
      <c r="M226">
        <v>0.99997780000000003</v>
      </c>
      <c r="N226">
        <v>-6.5890619999999997E-3</v>
      </c>
      <c r="O226">
        <v>-1.149506E-3</v>
      </c>
      <c r="P226">
        <v>0.98323780000000005</v>
      </c>
      <c r="Q226">
        <v>0.1719965</v>
      </c>
      <c r="R226">
        <v>6.0503950000000001E-2</v>
      </c>
      <c r="S226">
        <v>3.0612789999999999</v>
      </c>
      <c r="T226">
        <v>-2.024484E-2</v>
      </c>
      <c r="U226">
        <v>-0.1063843</v>
      </c>
      <c r="V226">
        <v>-6.1628679999999998E-2</v>
      </c>
      <c r="W226">
        <v>0.17847279999999999</v>
      </c>
      <c r="X226">
        <v>0.98201289999999997</v>
      </c>
      <c r="Y226">
        <v>3.3580289999999999E-2</v>
      </c>
      <c r="Z226">
        <v>-2.2164259999999999E-4</v>
      </c>
      <c r="AA226">
        <v>0.99943599999999999</v>
      </c>
      <c r="AB226">
        <v>26</v>
      </c>
      <c r="AC226">
        <v>175.05509999999899</v>
      </c>
      <c r="AD226">
        <v>-1.159381</v>
      </c>
      <c r="AE226">
        <v>-6.0921000000000101</v>
      </c>
      <c r="AF226">
        <v>5.89060668292265</v>
      </c>
      <c r="AG226">
        <v>-1.159381</v>
      </c>
      <c r="AH226">
        <v>175.05431819688201</v>
      </c>
      <c r="AI226">
        <v>90.379248521448602</v>
      </c>
      <c r="AJ226">
        <v>88.072714792060395</v>
      </c>
      <c r="AK226">
        <v>175.15723716356001</v>
      </c>
      <c r="AL226">
        <v>79.719182495428896</v>
      </c>
      <c r="AM226">
        <v>93.591030710525999</v>
      </c>
      <c r="AN226">
        <v>0.99999998515239596</v>
      </c>
    </row>
    <row r="227" spans="1:40" x14ac:dyDescent="0.25">
      <c r="A227" t="str">
        <f>"20190304155602004"</f>
        <v>20190304155602004</v>
      </c>
      <c r="B227" t="str">
        <f>"1551686161995446"</f>
        <v>1551686161995446</v>
      </c>
      <c r="C227" t="s">
        <v>40</v>
      </c>
      <c r="D227">
        <v>4.8637290000000002</v>
      </c>
      <c r="E227">
        <v>0.53420109999999998</v>
      </c>
      <c r="F227" t="s">
        <v>44</v>
      </c>
      <c r="G227">
        <v>-277.26780000000002</v>
      </c>
      <c r="H227">
        <v>-0.05</v>
      </c>
      <c r="I227">
        <v>361.2919</v>
      </c>
      <c r="J227">
        <v>-447.70170000000002</v>
      </c>
      <c r="K227">
        <v>1.10938</v>
      </c>
      <c r="L227">
        <v>367.24720000000002</v>
      </c>
      <c r="M227">
        <v>0.99997760000000002</v>
      </c>
      <c r="N227">
        <v>-6.6071109999999997E-3</v>
      </c>
      <c r="O227">
        <v>-1.1458729999999999E-3</v>
      </c>
      <c r="P227">
        <v>0.98320149999999995</v>
      </c>
      <c r="Q227">
        <v>0.17231350000000001</v>
      </c>
      <c r="R227">
        <v>6.0192170000000003E-2</v>
      </c>
      <c r="S227">
        <v>3.061401</v>
      </c>
      <c r="T227">
        <v>-2.08056E-2</v>
      </c>
      <c r="U227">
        <v>-0.1068726</v>
      </c>
      <c r="V227">
        <v>-6.1313960000000001E-2</v>
      </c>
      <c r="W227">
        <v>0.178807299999999</v>
      </c>
      <c r="X227">
        <v>0.9819717</v>
      </c>
      <c r="Y227">
        <v>3.3741680000000003E-2</v>
      </c>
      <c r="Z227">
        <v>-2.259087E-4</v>
      </c>
      <c r="AA227">
        <v>0.9994305</v>
      </c>
      <c r="AB227">
        <v>26</v>
      </c>
      <c r="AC227">
        <v>170.43389999999999</v>
      </c>
      <c r="AD227">
        <v>-1.1593799999999901</v>
      </c>
      <c r="AE227">
        <v>-5.9553000000000198</v>
      </c>
      <c r="AF227">
        <v>5.7597300369813196</v>
      </c>
      <c r="AG227">
        <v>-1.1593799999999901</v>
      </c>
      <c r="AH227">
        <v>170.43273523473599</v>
      </c>
      <c r="AI227">
        <v>90.389529965618706</v>
      </c>
      <c r="AJ227">
        <v>88.064440640488499</v>
      </c>
      <c r="AK227">
        <v>170.53397283731101</v>
      </c>
      <c r="AL227">
        <v>79.699703218294104</v>
      </c>
      <c r="AM227">
        <v>93.572889478163006</v>
      </c>
      <c r="AN227">
        <v>0.999999935912528</v>
      </c>
    </row>
    <row r="228" spans="1:40" x14ac:dyDescent="0.25">
      <c r="A228" t="str">
        <f>"20190304155602026"</f>
        <v>20190304155602026</v>
      </c>
      <c r="B228" t="str">
        <f>"1551686162014966"</f>
        <v>1551686162014966</v>
      </c>
      <c r="C228" t="s">
        <v>40</v>
      </c>
      <c r="D228">
        <v>4.8424239999999896</v>
      </c>
      <c r="E228">
        <v>0.53411839999999999</v>
      </c>
      <c r="F228" t="s">
        <v>44</v>
      </c>
      <c r="G228">
        <v>-272.80889999999999</v>
      </c>
      <c r="H228">
        <v>-0.05</v>
      </c>
      <c r="I228">
        <v>361.11559999999997</v>
      </c>
      <c r="J228">
        <v>-447.4495</v>
      </c>
      <c r="K228">
        <v>1.1093850000000001</v>
      </c>
      <c r="L228">
        <v>367.24689999999998</v>
      </c>
      <c r="M228">
        <v>0.99997729999999996</v>
      </c>
      <c r="N228">
        <v>-6.6348839999999997E-3</v>
      </c>
      <c r="O228">
        <v>-1.1406070000000001E-3</v>
      </c>
      <c r="P228">
        <v>0.98306559999999998</v>
      </c>
      <c r="Q228">
        <v>0.17289689999999999</v>
      </c>
      <c r="R228">
        <v>6.0734099999999999E-2</v>
      </c>
      <c r="S228">
        <v>3.061401</v>
      </c>
      <c r="T228">
        <v>-2.0294309999999999E-2</v>
      </c>
      <c r="U228">
        <v>-0.1073303</v>
      </c>
      <c r="V228">
        <v>-6.1849649999999999E-2</v>
      </c>
      <c r="W228">
        <v>0.1794172</v>
      </c>
      <c r="X228">
        <v>0.98182689999999995</v>
      </c>
      <c r="Y228">
        <v>3.3896250000000003E-2</v>
      </c>
      <c r="Z228">
        <v>-2.2480889999999999E-4</v>
      </c>
      <c r="AA228">
        <v>0.99942540000000002</v>
      </c>
      <c r="AB228">
        <v>26</v>
      </c>
      <c r="AC228">
        <v>174.64060000000001</v>
      </c>
      <c r="AD228">
        <v>-1.1593850000000001</v>
      </c>
      <c r="AE228">
        <v>-6.1313000000000004</v>
      </c>
      <c r="AF228">
        <v>5.9318342210758299</v>
      </c>
      <c r="AG228">
        <v>-1.1593850000000001</v>
      </c>
      <c r="AH228">
        <v>174.639792662383</v>
      </c>
      <c r="AI228">
        <v>90.380145936219407</v>
      </c>
      <c r="AJ228">
        <v>88.054633202800701</v>
      </c>
      <c r="AK228">
        <v>174.744350443625</v>
      </c>
      <c r="AL228">
        <v>79.664184653203193</v>
      </c>
      <c r="AM228">
        <v>93.604553427210107</v>
      </c>
      <c r="AN228">
        <v>0.99999998621228603</v>
      </c>
    </row>
    <row r="229" spans="1:40" x14ac:dyDescent="0.25">
      <c r="A229" t="str">
        <f>"20190304155602047"</f>
        <v>20190304155602047</v>
      </c>
      <c r="B229" t="str">
        <f>"1551686162045222"</f>
        <v>1551686162045222</v>
      </c>
      <c r="C229" t="s">
        <v>40</v>
      </c>
      <c r="D229">
        <v>4.7092900000000002</v>
      </c>
      <c r="E229">
        <v>0.53404229999999997</v>
      </c>
      <c r="F229" t="s">
        <v>41</v>
      </c>
      <c r="G229">
        <v>-270.93329999999997</v>
      </c>
      <c r="H229" s="1">
        <v>-5.3667949999999997E-6</v>
      </c>
      <c r="I229">
        <v>361.18889999999999</v>
      </c>
      <c r="J229">
        <v>-447.19830000000002</v>
      </c>
      <c r="K229">
        <v>1.10938799999999</v>
      </c>
      <c r="L229">
        <v>367.2466</v>
      </c>
      <c r="M229">
        <v>0.99997729999999996</v>
      </c>
      <c r="N229">
        <v>-6.6619269999999998E-3</v>
      </c>
      <c r="O229">
        <v>-1.1366499999999999E-3</v>
      </c>
      <c r="P229">
        <v>0.98285619999999996</v>
      </c>
      <c r="Q229">
        <v>0.1739542</v>
      </c>
      <c r="R229">
        <v>6.110546E-2</v>
      </c>
      <c r="S229">
        <v>3.0615839999999999</v>
      </c>
      <c r="T229">
        <v>-1.9241810000000002E-2</v>
      </c>
      <c r="U229">
        <v>-0.105072</v>
      </c>
      <c r="V229">
        <v>-6.2216349999999997E-2</v>
      </c>
      <c r="W229">
        <v>0.18049979999999999</v>
      </c>
      <c r="X229">
        <v>0.98160530000000001</v>
      </c>
      <c r="Y229">
        <v>3.3161929999999999E-2</v>
      </c>
      <c r="Z229">
        <v>-2.1510410000000001E-4</v>
      </c>
      <c r="AA229">
        <v>0.99944999999999995</v>
      </c>
      <c r="AB229">
        <v>26</v>
      </c>
      <c r="AC229">
        <v>176.26499999999999</v>
      </c>
      <c r="AD229">
        <v>-1.10939336679499</v>
      </c>
      <c r="AE229">
        <v>-6.0577000000000103</v>
      </c>
      <c r="AF229">
        <v>5.8571083111567397</v>
      </c>
      <c r="AG229">
        <v>-1.10939336679499</v>
      </c>
      <c r="AH229">
        <v>176.26479760666399</v>
      </c>
      <c r="AI229">
        <v>90.360410344468207</v>
      </c>
      <c r="AJ229">
        <v>88.096817075084601</v>
      </c>
      <c r="AK229">
        <v>176.36557302015899</v>
      </c>
      <c r="AL229">
        <v>79.601127002078897</v>
      </c>
      <c r="AM229">
        <v>93.626683961651594</v>
      </c>
      <c r="AN229">
        <v>1.0000000084977201</v>
      </c>
    </row>
    <row r="230" spans="1:40" x14ac:dyDescent="0.25">
      <c r="A230" t="str">
        <f>"20190304155602071"</f>
        <v>20190304155602071</v>
      </c>
      <c r="B230" t="str">
        <f>"1551686162064743"</f>
        <v>1551686162064743</v>
      </c>
      <c r="C230" t="s">
        <v>40</v>
      </c>
      <c r="D230">
        <v>4.73888</v>
      </c>
      <c r="E230">
        <v>0.53410789999999997</v>
      </c>
      <c r="F230" t="s">
        <v>41</v>
      </c>
      <c r="G230">
        <v>-246.54949999999999</v>
      </c>
      <c r="H230" s="1">
        <v>-3.737936E-6</v>
      </c>
      <c r="I230">
        <v>360.48860000000002</v>
      </c>
      <c r="J230">
        <v>-446.92250000000001</v>
      </c>
      <c r="K230">
        <v>1.109399</v>
      </c>
      <c r="L230">
        <v>367.24630000000002</v>
      </c>
      <c r="M230">
        <v>0.999977</v>
      </c>
      <c r="N230">
        <v>-6.6909819999999998E-3</v>
      </c>
      <c r="O230">
        <v>-1.134246E-3</v>
      </c>
      <c r="P230">
        <v>0.98272420000000005</v>
      </c>
      <c r="Q230">
        <v>0.17461099999999999</v>
      </c>
      <c r="R230">
        <v>6.135372E-2</v>
      </c>
      <c r="S230">
        <v>3.0616759999999998</v>
      </c>
      <c r="T230">
        <v>-1.6928080000000002E-2</v>
      </c>
      <c r="U230">
        <v>-0.1031189</v>
      </c>
      <c r="V230">
        <v>-6.2462520000000001E-2</v>
      </c>
      <c r="W230">
        <v>0.1811845</v>
      </c>
      <c r="X230">
        <v>0.98146350000000004</v>
      </c>
      <c r="Y230">
        <v>3.2526699999999999E-2</v>
      </c>
      <c r="Z230">
        <v>-2.0006369999999999E-4</v>
      </c>
      <c r="AA230">
        <v>0.99947079999999999</v>
      </c>
      <c r="AB230">
        <v>26</v>
      </c>
      <c r="AC230">
        <v>200.37299999999999</v>
      </c>
      <c r="AD230">
        <v>-1.1094027379359901</v>
      </c>
      <c r="AE230">
        <v>-6.7576999999999998</v>
      </c>
      <c r="AF230">
        <v>6.5302183420984496</v>
      </c>
      <c r="AG230">
        <v>-1.1094027379359901</v>
      </c>
      <c r="AH230">
        <v>200.37440068751101</v>
      </c>
      <c r="AI230">
        <v>90.317055056470593</v>
      </c>
      <c r="AJ230">
        <v>88.133386456979906</v>
      </c>
      <c r="AK230">
        <v>200.48385215999201</v>
      </c>
      <c r="AL230">
        <v>79.561238776073594</v>
      </c>
      <c r="AM230">
        <v>93.641519682570006</v>
      </c>
      <c r="AN230">
        <v>0.99999999563862496</v>
      </c>
    </row>
    <row r="231" spans="1:40" x14ac:dyDescent="0.25">
      <c r="A231" t="str">
        <f>"20190304155602094"</f>
        <v>20190304155602094</v>
      </c>
      <c r="B231" t="str">
        <f>"1551686162085239"</f>
        <v>1551686162085239</v>
      </c>
      <c r="C231" t="s">
        <v>40</v>
      </c>
      <c r="D231">
        <v>3.4573339999999901</v>
      </c>
      <c r="E231">
        <v>0.53422099999999995</v>
      </c>
      <c r="F231" t="s">
        <v>41</v>
      </c>
      <c r="G231">
        <v>-220.40710000000001</v>
      </c>
      <c r="H231">
        <v>5.8383230000000001E-2</v>
      </c>
      <c r="I231">
        <v>359.608</v>
      </c>
      <c r="J231">
        <v>-446.65010000000001</v>
      </c>
      <c r="K231">
        <v>1.109399</v>
      </c>
      <c r="L231">
        <v>367.24599999999998</v>
      </c>
      <c r="M231">
        <v>0.9999768</v>
      </c>
      <c r="N231">
        <v>-6.7188899999999999E-3</v>
      </c>
      <c r="O231">
        <v>-1.133149E-3</v>
      </c>
      <c r="P231">
        <v>0.98270930000000001</v>
      </c>
      <c r="Q231">
        <v>0.17466010000000001</v>
      </c>
      <c r="R231">
        <v>6.1451220000000001E-2</v>
      </c>
      <c r="S231">
        <v>3.0616460000000001</v>
      </c>
      <c r="T231">
        <v>-1.4205809999999999E-2</v>
      </c>
      <c r="U231">
        <v>-0.103241</v>
      </c>
      <c r="V231">
        <v>-6.2558959999999997E-2</v>
      </c>
      <c r="W231">
        <v>0.18126049999999999</v>
      </c>
      <c r="X231">
        <v>0.98144330000000002</v>
      </c>
      <c r="Y231">
        <v>3.2568180000000002E-2</v>
      </c>
      <c r="Z231">
        <v>-1.8733519999999999E-4</v>
      </c>
      <c r="AA231">
        <v>0.99946950000000001</v>
      </c>
      <c r="AB231">
        <v>27</v>
      </c>
      <c r="AC231">
        <v>226.24299999999999</v>
      </c>
      <c r="AD231">
        <v>-1.05101577</v>
      </c>
      <c r="AE231">
        <v>-7.6379999999999697</v>
      </c>
      <c r="AF231">
        <v>7.3814631668658404</v>
      </c>
      <c r="AG231">
        <v>-1.05101577</v>
      </c>
      <c r="AH231">
        <v>226.24663289793199</v>
      </c>
      <c r="AI231">
        <v>90.266020804557201</v>
      </c>
      <c r="AJ231">
        <v>88.131345794652105</v>
      </c>
      <c r="AK231">
        <v>226.36945361573001</v>
      </c>
      <c r="AL231">
        <v>79.556810729400596</v>
      </c>
      <c r="AM231">
        <v>93.647201763514403</v>
      </c>
      <c r="AN231">
        <v>0.99999997172570998</v>
      </c>
    </row>
    <row r="232" spans="1:40" x14ac:dyDescent="0.25">
      <c r="A232" t="str">
        <f>"20190304155602193"</f>
        <v>20190304155602193</v>
      </c>
      <c r="B232" t="str">
        <f>"1551686162185364"</f>
        <v>1551686162185364</v>
      </c>
      <c r="C232" t="s">
        <v>40</v>
      </c>
      <c r="D232">
        <v>4.4917089999999904</v>
      </c>
      <c r="E232">
        <v>0.53115310000000004</v>
      </c>
      <c r="F232" t="s">
        <v>41</v>
      </c>
      <c r="G232">
        <v>-220.57599999999999</v>
      </c>
      <c r="H232">
        <v>1.0547310000000001E-2</v>
      </c>
      <c r="I232">
        <v>359.6164</v>
      </c>
      <c r="J232">
        <v>-445.44940000000003</v>
      </c>
      <c r="K232">
        <v>1.1093919999999999</v>
      </c>
      <c r="L232">
        <v>367.24470000000002</v>
      </c>
      <c r="M232">
        <v>0.99997599999999998</v>
      </c>
      <c r="N232">
        <v>-6.8379929999999997E-3</v>
      </c>
      <c r="O232">
        <v>-1.130937E-3</v>
      </c>
      <c r="P232">
        <v>0.98304519999999995</v>
      </c>
      <c r="Q232">
        <v>0.1721019</v>
      </c>
      <c r="R232">
        <v>6.3269259999999994E-2</v>
      </c>
      <c r="S232">
        <v>3.06189</v>
      </c>
      <c r="T232">
        <v>-1.488256E-2</v>
      </c>
      <c r="U232">
        <v>-0.10333249999999999</v>
      </c>
      <c r="V232">
        <v>-6.437437E-2</v>
      </c>
      <c r="W232">
        <v>0.17882190000000001</v>
      </c>
      <c r="X232">
        <v>0.98177329999999996</v>
      </c>
      <c r="Y232">
        <v>3.2597500000000001E-2</v>
      </c>
      <c r="Z232">
        <v>-1.9291959999999999E-4</v>
      </c>
      <c r="AA232">
        <v>0.99946860000000004</v>
      </c>
      <c r="AB232">
        <v>27</v>
      </c>
      <c r="AC232">
        <v>224.8734</v>
      </c>
      <c r="AD232">
        <v>-1.09884469</v>
      </c>
      <c r="AE232">
        <v>-7.6283000000000198</v>
      </c>
      <c r="AF232">
        <v>7.3737956633985897</v>
      </c>
      <c r="AG232">
        <v>-1.09884469</v>
      </c>
      <c r="AH232">
        <v>224.87652010170299</v>
      </c>
      <c r="AI232">
        <v>90.279819533059097</v>
      </c>
      <c r="AJ232">
        <v>88.121920212896597</v>
      </c>
      <c r="AK232">
        <v>225.000065811523</v>
      </c>
      <c r="AL232">
        <v>79.698854413946293</v>
      </c>
      <c r="AM232">
        <v>93.751484600455299</v>
      </c>
      <c r="AN232">
        <v>1.00000007201269</v>
      </c>
    </row>
    <row r="233" spans="1:40" x14ac:dyDescent="0.25">
      <c r="A233" t="str">
        <f>"20190304155602205"</f>
        <v>20190304155602205</v>
      </c>
      <c r="B233" t="str">
        <f>"1551686162195124"</f>
        <v>1551686162195124</v>
      </c>
      <c r="C233" t="s">
        <v>40</v>
      </c>
      <c r="D233">
        <v>4.6187959999999997</v>
      </c>
      <c r="E233">
        <v>0.53434780000000004</v>
      </c>
      <c r="F233" t="s">
        <v>42</v>
      </c>
      <c r="G233">
        <v>-444.5548</v>
      </c>
      <c r="H233">
        <v>0.95715859999999997</v>
      </c>
      <c r="I233">
        <v>367.21870000000001</v>
      </c>
      <c r="J233">
        <v>-445.28879999999998</v>
      </c>
      <c r="K233">
        <v>1.1093949999999999</v>
      </c>
      <c r="L233">
        <v>367.24450000000002</v>
      </c>
      <c r="M233">
        <v>0.99997590000000003</v>
      </c>
      <c r="N233">
        <v>-6.8534260000000001E-3</v>
      </c>
      <c r="O233">
        <v>-1.1307520000000001E-3</v>
      </c>
      <c r="P233">
        <v>0.98307840000000002</v>
      </c>
      <c r="Q233">
        <v>0.17190999999999901</v>
      </c>
      <c r="R233">
        <v>6.3274289999999997E-2</v>
      </c>
      <c r="S233">
        <v>3.1514890000000002</v>
      </c>
      <c r="T233">
        <v>-0.53636830000000002</v>
      </c>
      <c r="U233">
        <v>-9.0209960000000006E-2</v>
      </c>
      <c r="V233">
        <v>-6.4379279999999997E-2</v>
      </c>
      <c r="W233">
        <v>0.17864549999999901</v>
      </c>
      <c r="X233">
        <v>0.98180500000000004</v>
      </c>
      <c r="Y233">
        <v>2.709228E-2</v>
      </c>
      <c r="Z233">
        <v>-2.1987769999999998E-3</v>
      </c>
      <c r="AA233">
        <v>0.99963049999999998</v>
      </c>
      <c r="AB233">
        <v>27</v>
      </c>
      <c r="AC233">
        <v>0.73399999999998</v>
      </c>
      <c r="AD233">
        <v>-0.15223639999999999</v>
      </c>
      <c r="AE233">
        <v>-2.5800000000003799E-2</v>
      </c>
      <c r="AF233">
        <v>2.3941365893943502E-2</v>
      </c>
      <c r="AG233">
        <v>-0.15223639999999999</v>
      </c>
      <c r="AH233">
        <v>0.70379076424486597</v>
      </c>
      <c r="AI233">
        <v>102.198712250393</v>
      </c>
      <c r="AJ233">
        <v>88.051678808664803</v>
      </c>
      <c r="AK233">
        <v>0.72046550946051502</v>
      </c>
      <c r="AL233">
        <v>79.7091258655677</v>
      </c>
      <c r="AM233">
        <v>93.751649129513396</v>
      </c>
      <c r="AN233">
        <v>0.99999998219428399</v>
      </c>
    </row>
    <row r="234" spans="1:40" x14ac:dyDescent="0.25">
      <c r="A234" t="str">
        <f>"20190304155602259"</f>
        <v>20190304155602259</v>
      </c>
      <c r="B234" t="str">
        <f>"1551686162254660"</f>
        <v>1551686162254660</v>
      </c>
      <c r="C234" t="s">
        <v>40</v>
      </c>
      <c r="D234">
        <v>4.7692410000000001</v>
      </c>
      <c r="E234">
        <v>0.53652670000000002</v>
      </c>
      <c r="F234" t="s">
        <v>42</v>
      </c>
      <c r="G234">
        <v>-444.52620000000002</v>
      </c>
      <c r="H234">
        <v>1.016947</v>
      </c>
      <c r="I234">
        <v>367.21699999999998</v>
      </c>
      <c r="J234">
        <v>-444.63619999999997</v>
      </c>
      <c r="K234">
        <v>1.109394</v>
      </c>
      <c r="L234">
        <v>367.24369999999999</v>
      </c>
      <c r="M234">
        <v>0.99997539999999996</v>
      </c>
      <c r="N234">
        <v>-6.9150959999999999E-3</v>
      </c>
      <c r="O234">
        <v>-1.129775E-3</v>
      </c>
      <c r="P234">
        <v>0.98316890000000001</v>
      </c>
      <c r="Q234">
        <v>0.17131379999999999</v>
      </c>
      <c r="R234">
        <v>6.3487440000000006E-2</v>
      </c>
      <c r="S234">
        <v>3.1250309999999999</v>
      </c>
      <c r="T234">
        <v>-0.37892969999999998</v>
      </c>
      <c r="U234">
        <v>-0.1109314</v>
      </c>
      <c r="V234">
        <v>-6.4591640000000006E-2</v>
      </c>
      <c r="W234">
        <v>0.17811009999999999</v>
      </c>
      <c r="X234">
        <v>0.98188839999999999</v>
      </c>
      <c r="Y234">
        <v>3.4089870000000001E-2</v>
      </c>
      <c r="Z234">
        <v>-2.048317E-3</v>
      </c>
      <c r="AA234">
        <v>0.99941659999999999</v>
      </c>
      <c r="AB234">
        <v>27</v>
      </c>
      <c r="AC234">
        <v>0.10999999999995599</v>
      </c>
      <c r="AD234">
        <v>-9.2446999999999904E-2</v>
      </c>
      <c r="AE234">
        <v>-2.6700000000005199E-2</v>
      </c>
      <c r="AF234">
        <v>1.5942047662764199E-2</v>
      </c>
      <c r="AG234">
        <v>-9.2446999999999904E-2</v>
      </c>
      <c r="AH234">
        <v>6.60040832290823E-2</v>
      </c>
      <c r="AI234">
        <v>143.70282862827699</v>
      </c>
      <c r="AJ234">
        <v>76.421340563866906</v>
      </c>
      <c r="AK234">
        <v>0.114704558303467</v>
      </c>
      <c r="AL234">
        <v>79.740302823083198</v>
      </c>
      <c r="AM234">
        <v>93.763669928292899</v>
      </c>
      <c r="AN234">
        <v>1.00000005886722</v>
      </c>
    </row>
    <row r="235" spans="1:40" x14ac:dyDescent="0.25">
      <c r="A235" t="str">
        <f>"20190304155602284"</f>
        <v>20190304155602284</v>
      </c>
      <c r="B235" t="str">
        <f>"1551686162274747"</f>
        <v>1551686162274747</v>
      </c>
      <c r="C235" t="s">
        <v>40</v>
      </c>
      <c r="D235">
        <v>4.708094</v>
      </c>
      <c r="E235">
        <v>0.53488349999999996</v>
      </c>
      <c r="F235" t="s">
        <v>42</v>
      </c>
      <c r="G235">
        <v>-443.77839999999998</v>
      </c>
      <c r="H235">
        <v>1.0440739999999999</v>
      </c>
      <c r="I235">
        <v>367.20909999999998</v>
      </c>
      <c r="J235">
        <v>-444.33</v>
      </c>
      <c r="K235">
        <v>1.1093959999999901</v>
      </c>
      <c r="L235">
        <v>367.24340000000001</v>
      </c>
      <c r="M235">
        <v>0.99997539999999996</v>
      </c>
      <c r="N235">
        <v>-6.9434839999999998E-3</v>
      </c>
      <c r="O235">
        <v>-1.1295159999999999E-3</v>
      </c>
      <c r="P235">
        <v>0.98311329999999997</v>
      </c>
      <c r="Q235">
        <v>0.171640299999999</v>
      </c>
      <c r="R235">
        <v>6.3466649999999999E-2</v>
      </c>
      <c r="S235">
        <v>3.1004640000000001</v>
      </c>
      <c r="T235">
        <v>-0.23625850000000001</v>
      </c>
      <c r="U235">
        <v>-0.1239929</v>
      </c>
      <c r="V235">
        <v>-6.4570580000000002E-2</v>
      </c>
      <c r="W235">
        <v>0.17846389999999901</v>
      </c>
      <c r="X235">
        <v>0.98182550000000002</v>
      </c>
      <c r="Y235">
        <v>3.8711519999999999E-2</v>
      </c>
      <c r="Z235">
        <v>-1.5287899999999999E-3</v>
      </c>
      <c r="AA235">
        <v>0.99924930000000001</v>
      </c>
      <c r="AB235">
        <v>27</v>
      </c>
      <c r="AC235">
        <v>0.55160000000000697</v>
      </c>
      <c r="AD235">
        <v>-6.5321999999999797E-2</v>
      </c>
      <c r="AE235">
        <v>-3.4300000000030098E-2</v>
      </c>
      <c r="AF235">
        <v>3.32129395558406E-2</v>
      </c>
      <c r="AG235">
        <v>-6.5321999999999797E-2</v>
      </c>
      <c r="AH235">
        <v>0.54403821295421395</v>
      </c>
      <c r="AI235">
        <v>96.834055127576804</v>
      </c>
      <c r="AJ235">
        <v>86.506490911357105</v>
      </c>
      <c r="AK235">
        <v>0.54895140057418002</v>
      </c>
      <c r="AL235">
        <v>79.719701088683095</v>
      </c>
      <c r="AM235">
        <v>93.762686661294296</v>
      </c>
      <c r="AN235">
        <v>1.0000000179274899</v>
      </c>
    </row>
    <row r="236" spans="1:40" x14ac:dyDescent="0.25">
      <c r="A236" t="str">
        <f>"20190304155602305"</f>
        <v>20190304155602305</v>
      </c>
      <c r="B236" t="str">
        <f>"1551686162295243"</f>
        <v>1551686162295243</v>
      </c>
      <c r="C236" t="s">
        <v>40</v>
      </c>
      <c r="D236">
        <v>4.7088229999999998</v>
      </c>
      <c r="E236">
        <v>0.53465810000000002</v>
      </c>
      <c r="F236" t="s">
        <v>44</v>
      </c>
      <c r="G236">
        <v>-424.34640000000002</v>
      </c>
      <c r="H236">
        <v>-0.05</v>
      </c>
      <c r="I236">
        <v>366.53899999999999</v>
      </c>
      <c r="J236">
        <v>-444.07240000000002</v>
      </c>
      <c r="K236">
        <v>1.1093980000000001</v>
      </c>
      <c r="L236">
        <v>367.24310000000003</v>
      </c>
      <c r="M236">
        <v>0.99997519999999995</v>
      </c>
      <c r="N236">
        <v>-6.9672359999999999E-3</v>
      </c>
      <c r="O236">
        <v>-1.129122E-3</v>
      </c>
      <c r="P236">
        <v>0.98311899999999997</v>
      </c>
      <c r="Q236">
        <v>0.17166629999999899</v>
      </c>
      <c r="R236">
        <v>6.3310169999999999E-2</v>
      </c>
      <c r="S236">
        <v>3.0898439999999998</v>
      </c>
      <c r="T236">
        <v>-0.17926489999999901</v>
      </c>
      <c r="U236">
        <v>-0.10891720000000001</v>
      </c>
      <c r="V236">
        <v>-6.4413609999999996E-2</v>
      </c>
      <c r="W236">
        <v>0.17851359999999999</v>
      </c>
      <c r="X236">
        <v>0.98182670000000005</v>
      </c>
      <c r="Y236">
        <v>3.4037159999999997E-2</v>
      </c>
      <c r="Z236">
        <v>-1.0473870000000001E-3</v>
      </c>
      <c r="AA236">
        <v>0.99941999999999998</v>
      </c>
      <c r="AB236">
        <v>27</v>
      </c>
      <c r="AC236">
        <v>19.725999999999999</v>
      </c>
      <c r="AD236">
        <v>-1.1593979999999999</v>
      </c>
      <c r="AE236">
        <v>-0.70410000000003903</v>
      </c>
      <c r="AF236">
        <v>0.67948165982597797</v>
      </c>
      <c r="AG236">
        <v>-1.1593979999999999</v>
      </c>
      <c r="AH236">
        <v>19.658956719529499</v>
      </c>
      <c r="AI236">
        <v>93.373131742737002</v>
      </c>
      <c r="AJ236">
        <v>88.020447366717704</v>
      </c>
      <c r="AK236">
        <v>19.704833882800902</v>
      </c>
      <c r="AL236">
        <v>79.716806243577906</v>
      </c>
      <c r="AM236">
        <v>93.753561239355193</v>
      </c>
      <c r="AN236">
        <v>0.99999994368553902</v>
      </c>
    </row>
    <row r="237" spans="1:40" x14ac:dyDescent="0.25">
      <c r="A237" t="str">
        <f>"20190304155602326"</f>
        <v>20190304155602326</v>
      </c>
      <c r="B237" t="str">
        <f>"1551686162314766"</f>
        <v>1551686162314766</v>
      </c>
      <c r="C237" t="s">
        <v>40</v>
      </c>
      <c r="D237">
        <v>4.6125619999999996</v>
      </c>
      <c r="E237">
        <v>0.53338439999999998</v>
      </c>
      <c r="F237" t="s">
        <v>44</v>
      </c>
      <c r="G237">
        <v>-419.76159999999999</v>
      </c>
      <c r="H237">
        <v>-0.05</v>
      </c>
      <c r="I237">
        <v>366.40260000000001</v>
      </c>
      <c r="J237">
        <v>-443.80650000000003</v>
      </c>
      <c r="K237">
        <v>1.109399</v>
      </c>
      <c r="L237">
        <v>367.24279999999999</v>
      </c>
      <c r="M237">
        <v>0.99997499999999995</v>
      </c>
      <c r="N237">
        <v>-6.9915860000000002E-3</v>
      </c>
      <c r="O237">
        <v>-1.1284929999999999E-3</v>
      </c>
      <c r="P237">
        <v>0.98306570000000004</v>
      </c>
      <c r="Q237">
        <v>0.17202879999999901</v>
      </c>
      <c r="R237">
        <v>6.3154730000000006E-2</v>
      </c>
      <c r="S237">
        <v>3.0840450000000001</v>
      </c>
      <c r="T237">
        <v>-0.14707990000000001</v>
      </c>
      <c r="U237">
        <v>-0.106628399999999</v>
      </c>
      <c r="V237">
        <v>-6.4257819999999993E-2</v>
      </c>
      <c r="W237">
        <v>0.178899799999999</v>
      </c>
      <c r="X237">
        <v>0.98176669999999999</v>
      </c>
      <c r="Y237">
        <v>3.3383169999999997E-2</v>
      </c>
      <c r="Z237">
        <v>-8.6626740000000002E-4</v>
      </c>
      <c r="AA237">
        <v>0.99944230000000001</v>
      </c>
      <c r="AB237">
        <v>28</v>
      </c>
      <c r="AC237">
        <v>24.044899999999998</v>
      </c>
      <c r="AD237">
        <v>-1.1593990000000001</v>
      </c>
      <c r="AE237">
        <v>-0.84019999999998096</v>
      </c>
      <c r="AF237">
        <v>0.811180620902621</v>
      </c>
      <c r="AG237">
        <v>-1.1593990000000001</v>
      </c>
      <c r="AH237">
        <v>23.990124247176698</v>
      </c>
      <c r="AI237">
        <v>92.765269991992</v>
      </c>
      <c r="AJ237">
        <v>88.063389552016304</v>
      </c>
      <c r="AK237">
        <v>24.0318181050853</v>
      </c>
      <c r="AL237">
        <v>79.6943174768776</v>
      </c>
      <c r="AM237">
        <v>93.744736971215502</v>
      </c>
      <c r="AN237">
        <v>1.00000002955004</v>
      </c>
    </row>
    <row r="238" spans="1:40" x14ac:dyDescent="0.25">
      <c r="A238" t="str">
        <f>"20190304155602341"</f>
        <v>20190304155602341</v>
      </c>
      <c r="B238" t="str">
        <f>"1551686162335259"</f>
        <v>1551686162335259</v>
      </c>
      <c r="C238" t="s">
        <v>40</v>
      </c>
      <c r="D238">
        <v>4.7903609999999999</v>
      </c>
      <c r="E238">
        <v>0.53259179999999995</v>
      </c>
      <c r="F238" t="s">
        <v>44</v>
      </c>
      <c r="G238">
        <v>-416.06560000000002</v>
      </c>
      <c r="H238">
        <v>-0.05</v>
      </c>
      <c r="I238">
        <v>366.37619999999998</v>
      </c>
      <c r="J238">
        <v>-443.63850000000002</v>
      </c>
      <c r="K238">
        <v>1.1094040000000001</v>
      </c>
      <c r="L238">
        <v>367.24259999999998</v>
      </c>
      <c r="M238">
        <v>0.9999749</v>
      </c>
      <c r="N238">
        <v>-7.0068730000000003E-3</v>
      </c>
      <c r="O238">
        <v>-1.1280699999999999E-3</v>
      </c>
      <c r="P238">
        <v>0.98307</v>
      </c>
      <c r="Q238">
        <v>0.17199790000000001</v>
      </c>
      <c r="R238">
        <v>6.3169610000000001E-2</v>
      </c>
      <c r="S238">
        <v>3.0803530000000001</v>
      </c>
      <c r="T238">
        <v>-0.12873960000000001</v>
      </c>
      <c r="U238">
        <v>-9.6221920000000002E-2</v>
      </c>
      <c r="V238">
        <v>-6.4272060000000006E-2</v>
      </c>
      <c r="W238">
        <v>0.17888380000000001</v>
      </c>
      <c r="X238">
        <v>0.98176870000000005</v>
      </c>
      <c r="Y238">
        <v>3.0064569999999999E-2</v>
      </c>
      <c r="Z238">
        <v>-6.940246E-4</v>
      </c>
      <c r="AA238">
        <v>0.99954770000000004</v>
      </c>
      <c r="AB238">
        <v>28</v>
      </c>
      <c r="AC238">
        <v>27.572900000000001</v>
      </c>
      <c r="AD238">
        <v>-1.1594040000000001</v>
      </c>
      <c r="AE238">
        <v>-0.86639999999999795</v>
      </c>
      <c r="AF238">
        <v>0.83382170771194697</v>
      </c>
      <c r="AG238">
        <v>-1.1594040000000001</v>
      </c>
      <c r="AH238">
        <v>27.5252407035114</v>
      </c>
      <c r="AI238">
        <v>92.4108528981956</v>
      </c>
      <c r="AJ238">
        <v>88.264870428449697</v>
      </c>
      <c r="AK238">
        <v>27.562263188310698</v>
      </c>
      <c r="AL238">
        <v>79.6952494106567</v>
      </c>
      <c r="AM238">
        <v>93.745556861607099</v>
      </c>
      <c r="AN238">
        <v>1.0000000459493801</v>
      </c>
    </row>
    <row r="239" spans="1:40" x14ac:dyDescent="0.25">
      <c r="A239" t="str">
        <f>"20190304155602360"</f>
        <v>20190304155602360</v>
      </c>
      <c r="B239" t="str">
        <f>"1551686162354779"</f>
        <v>1551686162354779</v>
      </c>
      <c r="C239" t="s">
        <v>40</v>
      </c>
      <c r="D239">
        <v>4.7628969999999997</v>
      </c>
      <c r="E239">
        <v>0.5325048</v>
      </c>
      <c r="F239" t="s">
        <v>44</v>
      </c>
      <c r="G239">
        <v>-413.73020000000002</v>
      </c>
      <c r="H239">
        <v>-0.05</v>
      </c>
      <c r="I239">
        <v>366.37270000000001</v>
      </c>
      <c r="J239">
        <v>-443.38670000000002</v>
      </c>
      <c r="K239">
        <v>1.1094079999999999</v>
      </c>
      <c r="L239">
        <v>367.2423</v>
      </c>
      <c r="M239">
        <v>0.99997469999999999</v>
      </c>
      <c r="N239">
        <v>-7.0297270000000004E-3</v>
      </c>
      <c r="O239">
        <v>-1.127435E-3</v>
      </c>
      <c r="P239">
        <v>0.98313390000000001</v>
      </c>
      <c r="Q239">
        <v>0.17175119999999999</v>
      </c>
      <c r="R239">
        <v>6.2845299999999896E-2</v>
      </c>
      <c r="S239">
        <v>3.0783079999999998</v>
      </c>
      <c r="T239">
        <v>-0.119331199999999</v>
      </c>
      <c r="U239">
        <v>-8.9538569999999998E-2</v>
      </c>
      <c r="V239">
        <v>-6.3946989999999995E-2</v>
      </c>
      <c r="W239">
        <v>0.17866000000000001</v>
      </c>
      <c r="X239">
        <v>0.98183069999999895</v>
      </c>
      <c r="Y239">
        <v>2.7923449999999999E-2</v>
      </c>
      <c r="Z239">
        <v>-6.0336639999999996E-4</v>
      </c>
      <c r="AA239">
        <v>0.99960990000000005</v>
      </c>
      <c r="AB239">
        <v>28</v>
      </c>
      <c r="AC239">
        <v>29.656499999999902</v>
      </c>
      <c r="AD239">
        <v>-1.159408</v>
      </c>
      <c r="AE239">
        <v>-0.86959999999999105</v>
      </c>
      <c r="AF239">
        <v>0.83488791246942995</v>
      </c>
      <c r="AG239">
        <v>-1.159408</v>
      </c>
      <c r="AH239">
        <v>29.612241563958001</v>
      </c>
      <c r="AI239">
        <v>92.241266523388205</v>
      </c>
      <c r="AJ239">
        <v>88.385029892966003</v>
      </c>
      <c r="AK239">
        <v>29.646688097982398</v>
      </c>
      <c r="AL239">
        <v>79.708282388429396</v>
      </c>
      <c r="AM239">
        <v>93.726431741321207</v>
      </c>
      <c r="AN239">
        <v>1.00000006829627</v>
      </c>
    </row>
    <row r="240" spans="1:40" x14ac:dyDescent="0.25">
      <c r="A240" t="str">
        <f>"20190304155602382"</f>
        <v>20190304155602382</v>
      </c>
      <c r="B240" t="str">
        <f>"1551686162374884"</f>
        <v>1551686162374884</v>
      </c>
      <c r="C240" t="s">
        <v>40</v>
      </c>
      <c r="D240">
        <v>4.7505430000000004</v>
      </c>
      <c r="E240">
        <v>0.5324044</v>
      </c>
      <c r="F240" t="s">
        <v>44</v>
      </c>
      <c r="G240">
        <v>-411.04390000000001</v>
      </c>
      <c r="H240">
        <v>-0.05</v>
      </c>
      <c r="I240">
        <v>366.30040000000002</v>
      </c>
      <c r="J240">
        <v>-443.11380000000003</v>
      </c>
      <c r="K240">
        <v>1.1094120000000001</v>
      </c>
      <c r="L240">
        <v>367.24200000000002</v>
      </c>
      <c r="M240">
        <v>0.99997460000000005</v>
      </c>
      <c r="N240">
        <v>-7.0543960000000001E-3</v>
      </c>
      <c r="O240">
        <v>-1.1270449999999999E-3</v>
      </c>
      <c r="P240">
        <v>0.98320660000000004</v>
      </c>
      <c r="Q240">
        <v>0.17142360000000001</v>
      </c>
      <c r="R240">
        <v>6.2604720000000003E-2</v>
      </c>
      <c r="S240">
        <v>3.0764770000000001</v>
      </c>
      <c r="T240">
        <v>-0.11028399999999999</v>
      </c>
      <c r="U240">
        <v>-8.9599609999999996E-2</v>
      </c>
      <c r="V240">
        <v>-6.3706639999999995E-2</v>
      </c>
      <c r="W240">
        <v>0.17835689999999901</v>
      </c>
      <c r="X240">
        <v>0.98190129999999998</v>
      </c>
      <c r="Y240">
        <v>2.7964119999999999E-2</v>
      </c>
      <c r="Z240">
        <v>-5.6721669999999997E-4</v>
      </c>
      <c r="AA240">
        <v>0.99960879999999996</v>
      </c>
      <c r="AB240">
        <v>28</v>
      </c>
      <c r="AC240">
        <v>32.069899999999997</v>
      </c>
      <c r="AD240">
        <v>-1.1594120000000001</v>
      </c>
      <c r="AE240">
        <v>-0.94159999999993704</v>
      </c>
      <c r="AF240">
        <v>0.904273406002983</v>
      </c>
      <c r="AG240">
        <v>-1.1594120000000001</v>
      </c>
      <c r="AH240">
        <v>32.029114426087297</v>
      </c>
      <c r="AI240">
        <v>92.072301976502104</v>
      </c>
      <c r="AJ240">
        <v>88.382806046871394</v>
      </c>
      <c r="AK240">
        <v>32.062846372366003</v>
      </c>
      <c r="AL240">
        <v>79.725930904588196</v>
      </c>
      <c r="AM240">
        <v>93.712198700053904</v>
      </c>
      <c r="AN240">
        <v>0.99999994134969294</v>
      </c>
    </row>
    <row r="241" spans="1:40" x14ac:dyDescent="0.25">
      <c r="A241" t="str">
        <f>"20190304155602405"</f>
        <v>20190304155602405</v>
      </c>
      <c r="B241" t="str">
        <f>"1551686162395380"</f>
        <v>1551686162395380</v>
      </c>
      <c r="C241" t="s">
        <v>40</v>
      </c>
      <c r="D241">
        <v>4.7338589999999998</v>
      </c>
      <c r="E241">
        <v>0.53227329999999995</v>
      </c>
      <c r="F241" t="s">
        <v>44</v>
      </c>
      <c r="G241">
        <v>-408.43880000000001</v>
      </c>
      <c r="H241">
        <v>-0.05</v>
      </c>
      <c r="I241">
        <v>366.23680000000002</v>
      </c>
      <c r="J241">
        <v>-442.83010000000002</v>
      </c>
      <c r="K241">
        <v>1.1094120000000001</v>
      </c>
      <c r="L241">
        <v>367.24169999999998</v>
      </c>
      <c r="M241">
        <v>0.99997449999999999</v>
      </c>
      <c r="N241">
        <v>-7.0799060000000004E-3</v>
      </c>
      <c r="O241">
        <v>-1.1264199999999999E-3</v>
      </c>
      <c r="P241">
        <v>0.98328680000000002</v>
      </c>
      <c r="Q241">
        <v>0.17109649999999901</v>
      </c>
      <c r="R241">
        <v>6.2236670000000001E-2</v>
      </c>
      <c r="S241">
        <v>3.0748600000000001</v>
      </c>
      <c r="T241">
        <v>-0.1028128</v>
      </c>
      <c r="U241">
        <v>-8.9141849999999995E-2</v>
      </c>
      <c r="V241">
        <v>-6.3337450000000003E-2</v>
      </c>
      <c r="W241">
        <v>0.17805570000000001</v>
      </c>
      <c r="X241">
        <v>0.98197990000000002</v>
      </c>
      <c r="Y241">
        <v>2.783393E-2</v>
      </c>
      <c r="Z241">
        <v>-5.3402059999999995E-4</v>
      </c>
      <c r="AA241">
        <v>0.99961239999999996</v>
      </c>
      <c r="AB241">
        <v>28</v>
      </c>
      <c r="AC241">
        <v>34.391300000000001</v>
      </c>
      <c r="AD241">
        <v>-1.1594120000000001</v>
      </c>
      <c r="AE241">
        <v>-1.0048999999999599</v>
      </c>
      <c r="AF241">
        <v>0.96506346940365995</v>
      </c>
      <c r="AG241">
        <v>-1.1594120000000001</v>
      </c>
      <c r="AH241">
        <v>34.353400010230303</v>
      </c>
      <c r="AI241">
        <v>91.9322117434576</v>
      </c>
      <c r="AJ241">
        <v>88.390857234044901</v>
      </c>
      <c r="AK241">
        <v>34.386504270550901</v>
      </c>
      <c r="AL241">
        <v>79.7434696766299</v>
      </c>
      <c r="AM241">
        <v>93.690450957951697</v>
      </c>
      <c r="AN241">
        <v>0.99999999443950105</v>
      </c>
    </row>
    <row r="242" spans="1:40" x14ac:dyDescent="0.25">
      <c r="A242" t="str">
        <f>"20190304155602417"</f>
        <v>20190304155602417</v>
      </c>
      <c r="B242" t="str">
        <f>"1551686162414902"</f>
        <v>1551686162414902</v>
      </c>
      <c r="C242" t="s">
        <v>40</v>
      </c>
      <c r="D242">
        <v>4.7580410000000004</v>
      </c>
      <c r="E242">
        <v>0.53179699999999996</v>
      </c>
      <c r="F242" t="s">
        <v>44</v>
      </c>
      <c r="G242">
        <v>-405.88749999999999</v>
      </c>
      <c r="H242">
        <v>-0.05</v>
      </c>
      <c r="I242">
        <v>366.16840000000002</v>
      </c>
      <c r="J242">
        <v>-442.67140000000001</v>
      </c>
      <c r="K242">
        <v>1.1094120000000001</v>
      </c>
      <c r="L242">
        <v>367.24149999999997</v>
      </c>
      <c r="M242">
        <v>0.99997429999999998</v>
      </c>
      <c r="N242">
        <v>-7.0941199999999998E-3</v>
      </c>
      <c r="O242">
        <v>-1.125635E-3</v>
      </c>
      <c r="P242">
        <v>0.98338400000000004</v>
      </c>
      <c r="Q242">
        <v>0.17055770000000001</v>
      </c>
      <c r="R242">
        <v>6.2178619999999997E-2</v>
      </c>
      <c r="S242">
        <v>3.0734249999999999</v>
      </c>
      <c r="T242">
        <v>-9.6456890000000003E-2</v>
      </c>
      <c r="U242">
        <v>-8.9294429999999994E-2</v>
      </c>
      <c r="V242">
        <v>-6.3278909999999994E-2</v>
      </c>
      <c r="W242">
        <v>0.17753150000000001</v>
      </c>
      <c r="X242">
        <v>0.98207860000000002</v>
      </c>
      <c r="Y242">
        <v>2.7899759999999999E-2</v>
      </c>
      <c r="Z242">
        <v>-5.0929099999999896E-4</v>
      </c>
      <c r="AA242">
        <v>0.99961060000000002</v>
      </c>
      <c r="AB242">
        <v>28</v>
      </c>
      <c r="AC242">
        <v>36.783900000000003</v>
      </c>
      <c r="AD242">
        <v>-1.1594120000000001</v>
      </c>
      <c r="AE242">
        <v>-1.07309999999995</v>
      </c>
      <c r="AF242">
        <v>1.03066995552978</v>
      </c>
      <c r="AG242">
        <v>-1.1594120000000001</v>
      </c>
      <c r="AH242">
        <v>36.748606607824001</v>
      </c>
      <c r="AI242">
        <v>91.806362389475396</v>
      </c>
      <c r="AJ242">
        <v>88.393474815964495</v>
      </c>
      <c r="AK242">
        <v>36.781334999692199</v>
      </c>
      <c r="AL242">
        <v>79.773990602065794</v>
      </c>
      <c r="AM242">
        <v>93.686679920070205</v>
      </c>
      <c r="AN242">
        <v>1.00000001526049</v>
      </c>
    </row>
    <row r="243" spans="1:40" x14ac:dyDescent="0.25">
      <c r="A243" t="str">
        <f>"20190304155602439"</f>
        <v>20190304155602439</v>
      </c>
      <c r="B243" t="str">
        <f>"1551686162435397"</f>
        <v>1551686162435397</v>
      </c>
      <c r="C243" t="s">
        <v>40</v>
      </c>
      <c r="D243">
        <v>4.709765</v>
      </c>
      <c r="E243">
        <v>0.53166800000000003</v>
      </c>
      <c r="F243" t="s">
        <v>44</v>
      </c>
      <c r="G243">
        <v>-404.8546</v>
      </c>
      <c r="H243">
        <v>-0.05</v>
      </c>
      <c r="I243">
        <v>366.1902</v>
      </c>
      <c r="J243">
        <v>-442.4049</v>
      </c>
      <c r="K243">
        <v>1.1094040000000001</v>
      </c>
      <c r="L243">
        <v>367.24130000000002</v>
      </c>
      <c r="M243">
        <v>0.99997409999999998</v>
      </c>
      <c r="N243">
        <v>-7.1178810000000004E-3</v>
      </c>
      <c r="O243">
        <v>-1.123209E-3</v>
      </c>
      <c r="P243">
        <v>0.98351109999999997</v>
      </c>
      <c r="Q243">
        <v>0.16983210000000001</v>
      </c>
      <c r="R243">
        <v>6.2154899999999999E-2</v>
      </c>
      <c r="S243">
        <v>3.0724490000000002</v>
      </c>
      <c r="T243">
        <v>-9.4196920000000003E-2</v>
      </c>
      <c r="U243">
        <v>-8.54187E-2</v>
      </c>
      <c r="V243">
        <v>-6.3253309999999993E-2</v>
      </c>
      <c r="W243">
        <v>0.1768304</v>
      </c>
      <c r="X243">
        <v>0.98220669999999999</v>
      </c>
      <c r="Y243">
        <v>2.6652840000000001E-2</v>
      </c>
      <c r="Z243">
        <v>-4.7686799999999998E-4</v>
      </c>
      <c r="AA243">
        <v>0.99964459999999999</v>
      </c>
      <c r="AB243">
        <v>28</v>
      </c>
      <c r="AC243">
        <v>37.550299999999901</v>
      </c>
      <c r="AD243">
        <v>-1.1594040000000001</v>
      </c>
      <c r="AE243">
        <v>-1.0511000000000099</v>
      </c>
      <c r="AF243">
        <v>1.0079612699221301</v>
      </c>
      <c r="AG243">
        <v>-1.1594040000000001</v>
      </c>
      <c r="AH243">
        <v>37.515720127292902</v>
      </c>
      <c r="AI243">
        <v>91.769494988585294</v>
      </c>
      <c r="AJ243">
        <v>88.460964204602902</v>
      </c>
      <c r="AK243">
        <v>37.547163144853499</v>
      </c>
      <c r="AL243">
        <v>79.814806154330995</v>
      </c>
      <c r="AM243">
        <v>93.6847132535149</v>
      </c>
      <c r="AN243">
        <v>0.999999986557502</v>
      </c>
    </row>
    <row r="244" spans="1:40" x14ac:dyDescent="0.25">
      <c r="A244" t="str">
        <f>"20190304155602461"</f>
        <v>20190304155602461</v>
      </c>
      <c r="B244" t="str">
        <f>"1551686162454917"</f>
        <v>1551686162454917</v>
      </c>
      <c r="C244" t="s">
        <v>40</v>
      </c>
      <c r="D244">
        <v>4.7168150000000004</v>
      </c>
      <c r="E244">
        <v>0.53148229999999996</v>
      </c>
      <c r="F244" t="s">
        <v>44</v>
      </c>
      <c r="G244">
        <v>-404.7749</v>
      </c>
      <c r="H244">
        <v>-0.05</v>
      </c>
      <c r="I244">
        <v>366.20909999999998</v>
      </c>
      <c r="J244">
        <v>-442.1191</v>
      </c>
      <c r="K244">
        <v>1.109402</v>
      </c>
      <c r="L244">
        <v>367.24090000000001</v>
      </c>
      <c r="M244">
        <v>0.99997400000000003</v>
      </c>
      <c r="N244">
        <v>-7.1432659999999997E-3</v>
      </c>
      <c r="O244">
        <v>-1.1163639999999999E-3</v>
      </c>
      <c r="P244">
        <v>0.98371830000000005</v>
      </c>
      <c r="Q244">
        <v>0.16867209999999999</v>
      </c>
      <c r="R244">
        <v>6.2032080000000003E-2</v>
      </c>
      <c r="S244">
        <v>3.0719599999999998</v>
      </c>
      <c r="T244">
        <v>-9.4648960000000004E-2</v>
      </c>
      <c r="U244">
        <v>-8.4259029999999999E-2</v>
      </c>
      <c r="V244">
        <v>-6.3125360000000005E-2</v>
      </c>
      <c r="W244">
        <v>0.17569599999999999</v>
      </c>
      <c r="X244">
        <v>0.98241849999999997</v>
      </c>
      <c r="Y244">
        <v>2.6287080000000001E-2</v>
      </c>
      <c r="Z244">
        <v>-4.723129E-4</v>
      </c>
      <c r="AA244">
        <v>0.99965440000000005</v>
      </c>
      <c r="AB244">
        <v>28</v>
      </c>
      <c r="AC244">
        <v>37.344200000000001</v>
      </c>
      <c r="AD244">
        <v>-1.159402</v>
      </c>
      <c r="AE244">
        <v>-1.03180000000003</v>
      </c>
      <c r="AF244">
        <v>0.98915588088677997</v>
      </c>
      <c r="AG244">
        <v>-1.159402</v>
      </c>
      <c r="AH244">
        <v>37.309394373946098</v>
      </c>
      <c r="AI244">
        <v>91.779288041028593</v>
      </c>
      <c r="AJ244">
        <v>88.481315899320194</v>
      </c>
      <c r="AK244">
        <v>37.340508176843798</v>
      </c>
      <c r="AL244">
        <v>79.880836482137894</v>
      </c>
      <c r="AM244">
        <v>93.676489605520203</v>
      </c>
      <c r="AN244">
        <v>1.00000000231668</v>
      </c>
    </row>
    <row r="245" spans="1:40" x14ac:dyDescent="0.25">
      <c r="A245" t="str">
        <f>"20190304155602485"</f>
        <v>20190304155602485</v>
      </c>
      <c r="B245" t="str">
        <f>"1551686162475412"</f>
        <v>1551686162475412</v>
      </c>
      <c r="C245" t="s">
        <v>40</v>
      </c>
      <c r="D245">
        <v>4.7576269999999896</v>
      </c>
      <c r="E245">
        <v>0.53128280000000006</v>
      </c>
      <c r="F245" t="s">
        <v>44</v>
      </c>
      <c r="G245">
        <v>-404.27260000000001</v>
      </c>
      <c r="H245">
        <v>-0.05</v>
      </c>
      <c r="I245">
        <v>366.2176</v>
      </c>
      <c r="J245">
        <v>-441.8272</v>
      </c>
      <c r="K245">
        <v>1.109399</v>
      </c>
      <c r="L245">
        <v>367.24059999999997</v>
      </c>
      <c r="M245">
        <v>0.99997369999999997</v>
      </c>
      <c r="N245">
        <v>-7.1692129999999998E-3</v>
      </c>
      <c r="O245">
        <v>-1.102946E-3</v>
      </c>
      <c r="P245">
        <v>0.98391770000000001</v>
      </c>
      <c r="Q245">
        <v>0.1675249</v>
      </c>
      <c r="R245">
        <v>6.1979810000000003E-2</v>
      </c>
      <c r="S245">
        <v>3.0709840000000002</v>
      </c>
      <c r="T245">
        <v>-9.4077709999999995E-2</v>
      </c>
      <c r="U245">
        <v>-8.3038329999999994E-2</v>
      </c>
      <c r="V245">
        <v>-6.3062240000000006E-2</v>
      </c>
      <c r="W245">
        <v>0.17457490000000001</v>
      </c>
      <c r="X245">
        <v>0.98262240000000001</v>
      </c>
      <c r="Y245">
        <v>2.5912500000000002E-2</v>
      </c>
      <c r="Z245">
        <v>-4.6380290000000001E-4</v>
      </c>
      <c r="AA245">
        <v>0.99966410000000006</v>
      </c>
      <c r="AB245">
        <v>28</v>
      </c>
      <c r="AC245">
        <v>37.554599999999901</v>
      </c>
      <c r="AD245">
        <v>-1.1593990000000001</v>
      </c>
      <c r="AE245">
        <v>-1.0229999999999599</v>
      </c>
      <c r="AF245">
        <v>0.98064365689729605</v>
      </c>
      <c r="AG245">
        <v>-1.1593990000000001</v>
      </c>
      <c r="AH245">
        <v>37.519971640082403</v>
      </c>
      <c r="AI245">
        <v>91.769321220259002</v>
      </c>
      <c r="AJ245">
        <v>88.502825257498202</v>
      </c>
      <c r="AK245">
        <v>37.550687608825598</v>
      </c>
      <c r="AL245">
        <v>79.946079244467796</v>
      </c>
      <c r="AM245">
        <v>93.672063448251095</v>
      </c>
      <c r="AN245">
        <v>1.00000001140279</v>
      </c>
    </row>
    <row r="246" spans="1:40" x14ac:dyDescent="0.25">
      <c r="A246" t="str">
        <f>"20190304155602505"</f>
        <v>20190304155602505</v>
      </c>
      <c r="B246" t="str">
        <f>"1551686162494932"</f>
        <v>1551686162494932</v>
      </c>
      <c r="C246" t="s">
        <v>40</v>
      </c>
      <c r="D246">
        <v>4.7409480000000004</v>
      </c>
      <c r="E246">
        <v>0.53117969999999903</v>
      </c>
      <c r="F246" t="s">
        <v>44</v>
      </c>
      <c r="G246">
        <v>-404.23610000000002</v>
      </c>
      <c r="H246">
        <v>-0.05</v>
      </c>
      <c r="I246">
        <v>366.23849999999999</v>
      </c>
      <c r="J246">
        <v>-441.5548</v>
      </c>
      <c r="K246">
        <v>1.1094010000000001</v>
      </c>
      <c r="L246">
        <v>367.24029999999999</v>
      </c>
      <c r="M246">
        <v>0.99997360000000002</v>
      </c>
      <c r="N246">
        <v>-7.1932580000000001E-3</v>
      </c>
      <c r="O246">
        <v>-1.082834E-3</v>
      </c>
      <c r="P246">
        <v>0.98404809999999998</v>
      </c>
      <c r="Q246">
        <v>0.16670370000000001</v>
      </c>
      <c r="R246">
        <v>6.2122589999999998E-2</v>
      </c>
      <c r="S246">
        <v>3.0702820000000002</v>
      </c>
      <c r="T246">
        <v>-9.4694849999999997E-2</v>
      </c>
      <c r="U246">
        <v>-8.184814E-2</v>
      </c>
      <c r="V246">
        <v>-6.3187499999999994E-2</v>
      </c>
      <c r="W246">
        <v>0.1737776</v>
      </c>
      <c r="X246">
        <v>0.98275570000000001</v>
      </c>
      <c r="Y246">
        <v>2.5551549999999999E-2</v>
      </c>
      <c r="Z246">
        <v>-4.6021910000000003E-4</v>
      </c>
      <c r="AA246">
        <v>0.99967340000000005</v>
      </c>
      <c r="AB246">
        <v>28</v>
      </c>
      <c r="AC246">
        <v>37.3186999999999</v>
      </c>
      <c r="AD246">
        <v>-1.1594009999999999</v>
      </c>
      <c r="AE246">
        <v>-1.0018</v>
      </c>
      <c r="AF246">
        <v>0.96046204825947601</v>
      </c>
      <c r="AG246">
        <v>-1.1594009999999999</v>
      </c>
      <c r="AH246">
        <v>37.283802766043898</v>
      </c>
      <c r="AI246">
        <v>91.780541945744901</v>
      </c>
      <c r="AJ246">
        <v>88.524339005165601</v>
      </c>
      <c r="AK246">
        <v>37.314188276340801</v>
      </c>
      <c r="AL246">
        <v>79.992470571435902</v>
      </c>
      <c r="AM246">
        <v>93.678839530540898</v>
      </c>
      <c r="AN246">
        <v>1.00000004015024</v>
      </c>
    </row>
    <row r="247" spans="1:40" x14ac:dyDescent="0.25">
      <c r="A247" t="str">
        <f>"20190304155602529"</f>
        <v>20190304155602529</v>
      </c>
      <c r="B247" t="str">
        <f>"1551686162525189"</f>
        <v>1551686162525189</v>
      </c>
      <c r="C247" t="s">
        <v>40</v>
      </c>
      <c r="D247">
        <v>4.7640979999999997</v>
      </c>
      <c r="E247">
        <v>0.53112040000000005</v>
      </c>
      <c r="F247" t="s">
        <v>44</v>
      </c>
      <c r="G247">
        <v>-403.80990000000003</v>
      </c>
      <c r="H247">
        <v>-0.05</v>
      </c>
      <c r="I247">
        <v>366.25080000000003</v>
      </c>
      <c r="J247">
        <v>-441.2629</v>
      </c>
      <c r="K247">
        <v>1.1094079999999999</v>
      </c>
      <c r="L247">
        <v>367.24009999999998</v>
      </c>
      <c r="M247">
        <v>0.99997340000000001</v>
      </c>
      <c r="N247">
        <v>-7.2188699999999996E-3</v>
      </c>
      <c r="O247">
        <v>-1.0530590000000001E-3</v>
      </c>
      <c r="P247">
        <v>0.98419509999999999</v>
      </c>
      <c r="Q247">
        <v>0.1658847</v>
      </c>
      <c r="R247">
        <v>6.1987430000000003E-2</v>
      </c>
      <c r="S247">
        <v>3.0696720000000002</v>
      </c>
      <c r="T247">
        <v>-9.4290260000000001E-2</v>
      </c>
      <c r="U247">
        <v>-8.0474850000000001E-2</v>
      </c>
      <c r="V247">
        <v>-6.3026789999999999E-2</v>
      </c>
      <c r="W247">
        <v>0.17298350000000001</v>
      </c>
      <c r="X247">
        <v>0.98290599999999995</v>
      </c>
      <c r="Y247">
        <v>2.5140019999999999E-2</v>
      </c>
      <c r="Z247">
        <v>-4.520029E-4</v>
      </c>
      <c r="AA247">
        <v>0.99968389999999996</v>
      </c>
      <c r="AB247">
        <v>28</v>
      </c>
      <c r="AC247">
        <v>37.452999999999903</v>
      </c>
      <c r="AD247">
        <v>-1.159408</v>
      </c>
      <c r="AE247">
        <v>-0.98929999999995699</v>
      </c>
      <c r="AF247">
        <v>0.94894946566530203</v>
      </c>
      <c r="AG247">
        <v>-1.159408</v>
      </c>
      <c r="AH247">
        <v>37.418188377582602</v>
      </c>
      <c r="AI247">
        <v>91.774180139432602</v>
      </c>
      <c r="AJ247">
        <v>88.547253360232105</v>
      </c>
      <c r="AK247">
        <v>37.448171563630602</v>
      </c>
      <c r="AL247">
        <v>80.0386677801324</v>
      </c>
      <c r="AM247">
        <v>93.668948844722706</v>
      </c>
      <c r="AN247">
        <v>0.999999936182975</v>
      </c>
    </row>
    <row r="248" spans="1:40" x14ac:dyDescent="0.25">
      <c r="A248" t="str">
        <f>"20190304155602551"</f>
        <v>20190304155602551</v>
      </c>
      <c r="B248" t="str">
        <f>"1551686162544709"</f>
        <v>1551686162544709</v>
      </c>
      <c r="C248" t="s">
        <v>40</v>
      </c>
      <c r="D248">
        <v>4.746467</v>
      </c>
      <c r="E248">
        <v>0.53088199999999997</v>
      </c>
      <c r="F248" t="s">
        <v>44</v>
      </c>
      <c r="G248">
        <v>-402.22340000000003</v>
      </c>
      <c r="H248">
        <v>-0.05</v>
      </c>
      <c r="I248">
        <v>366.21899999999999</v>
      </c>
      <c r="J248">
        <v>-440.98759999999999</v>
      </c>
      <c r="K248">
        <v>1.109267</v>
      </c>
      <c r="L248">
        <v>367.2398</v>
      </c>
      <c r="M248">
        <v>0.99997709999999995</v>
      </c>
      <c r="N248">
        <v>-6.7059650000000004E-3</v>
      </c>
      <c r="O248">
        <v>-1.01643E-3</v>
      </c>
      <c r="P248">
        <v>0.98418099999999997</v>
      </c>
      <c r="Q248">
        <v>0.16594639999999999</v>
      </c>
      <c r="R248">
        <v>6.2045969999999999E-2</v>
      </c>
      <c r="S248">
        <v>3.0686040000000001</v>
      </c>
      <c r="T248">
        <v>-9.1132400000000002E-2</v>
      </c>
      <c r="U248">
        <v>-8.0261230000000003E-2</v>
      </c>
      <c r="V248">
        <v>-6.3050999999999996E-2</v>
      </c>
      <c r="W248">
        <v>0.1725401</v>
      </c>
      <c r="X248">
        <v>0.98298249999999998</v>
      </c>
      <c r="Y248">
        <v>2.5117259999999999E-2</v>
      </c>
      <c r="Z248">
        <v>-4.3371989999999998E-4</v>
      </c>
      <c r="AA248">
        <v>0.99968440000000003</v>
      </c>
      <c r="AB248">
        <v>28</v>
      </c>
      <c r="AC248">
        <v>38.764199999999903</v>
      </c>
      <c r="AD248">
        <v>-1.159267</v>
      </c>
      <c r="AE248">
        <v>-1.0207999999999999</v>
      </c>
      <c r="AF248">
        <v>0.98052117795681004</v>
      </c>
      <c r="AG248">
        <v>-1.159267</v>
      </c>
      <c r="AH248">
        <v>38.730603035452397</v>
      </c>
      <c r="AI248">
        <v>91.713890831865299</v>
      </c>
      <c r="AJ248">
        <v>88.549784326853896</v>
      </c>
      <c r="AK248">
        <v>38.760352594468301</v>
      </c>
      <c r="AL248">
        <v>80.064461752920096</v>
      </c>
      <c r="AM248">
        <v>93.670069456047798</v>
      </c>
      <c r="AN248">
        <v>1.00000005500762</v>
      </c>
    </row>
    <row r="249" spans="1:40" x14ac:dyDescent="0.25">
      <c r="A249" t="str">
        <f>"20190304155602572"</f>
        <v>20190304155602572</v>
      </c>
      <c r="B249" t="str">
        <f>"1551686162565205"</f>
        <v>1551686162565205</v>
      </c>
      <c r="C249" t="s">
        <v>40</v>
      </c>
      <c r="D249">
        <v>4.7642089999999904</v>
      </c>
      <c r="E249">
        <v>0.53089949999999997</v>
      </c>
      <c r="F249" t="s">
        <v>44</v>
      </c>
      <c r="G249">
        <v>-400.36799999999999</v>
      </c>
      <c r="H249">
        <v>-0.05</v>
      </c>
      <c r="I249">
        <v>366.20749999999998</v>
      </c>
      <c r="J249">
        <v>-440.70339999999999</v>
      </c>
      <c r="K249">
        <v>1.109008</v>
      </c>
      <c r="L249">
        <v>367.2396</v>
      </c>
      <c r="M249">
        <v>0.99998030000000004</v>
      </c>
      <c r="N249">
        <v>-6.2181959999999996E-3</v>
      </c>
      <c r="O249">
        <v>-9.7156320000000001E-4</v>
      </c>
      <c r="P249">
        <v>0.98418470000000002</v>
      </c>
      <c r="Q249">
        <v>0.16586770000000001</v>
      </c>
      <c r="R249">
        <v>6.2198870000000003E-2</v>
      </c>
      <c r="S249">
        <v>3.0679319999999999</v>
      </c>
      <c r="T249">
        <v>-8.755744E-2</v>
      </c>
      <c r="U249">
        <v>-7.7972410000000006E-2</v>
      </c>
      <c r="V249">
        <v>-6.3161780000000001E-2</v>
      </c>
      <c r="W249">
        <v>0.17198160000000001</v>
      </c>
      <c r="X249">
        <v>0.98307319999999998</v>
      </c>
      <c r="Y249">
        <v>2.442395E-2</v>
      </c>
      <c r="Z249">
        <v>-4.0268740000000002E-4</v>
      </c>
      <c r="AA249">
        <v>0.99970159999999997</v>
      </c>
      <c r="AB249">
        <v>29</v>
      </c>
      <c r="AC249">
        <v>40.3353999999999</v>
      </c>
      <c r="AD249">
        <v>-1.159008</v>
      </c>
      <c r="AE249">
        <v>-1.03210000000001</v>
      </c>
      <c r="AF249">
        <v>0.99209177660919101</v>
      </c>
      <c r="AG249">
        <v>-1.159008</v>
      </c>
      <c r="AH249">
        <v>40.303128909238502</v>
      </c>
      <c r="AI249">
        <v>91.646717734663497</v>
      </c>
      <c r="AJ249">
        <v>88.589906133641705</v>
      </c>
      <c r="AK249">
        <v>40.331994068133703</v>
      </c>
      <c r="AL249">
        <v>80.096946493740404</v>
      </c>
      <c r="AM249">
        <v>93.676161792698295</v>
      </c>
      <c r="AN249">
        <v>0.99999999887478397</v>
      </c>
    </row>
    <row r="250" spans="1:40" x14ac:dyDescent="0.25">
      <c r="A250" t="str">
        <f>"20190304155602585"</f>
        <v>20190304155602585</v>
      </c>
      <c r="B250" t="str">
        <f>"1551686162574966"</f>
        <v>1551686162574966</v>
      </c>
      <c r="C250" t="s">
        <v>40</v>
      </c>
      <c r="D250">
        <v>4.7275780000000003</v>
      </c>
      <c r="E250">
        <v>0.53090029999999999</v>
      </c>
      <c r="F250" t="s">
        <v>44</v>
      </c>
      <c r="G250">
        <v>-399.21620000000001</v>
      </c>
      <c r="H250">
        <v>-0.05</v>
      </c>
      <c r="I250">
        <v>366.18869999999998</v>
      </c>
      <c r="J250">
        <v>-440.52280000000002</v>
      </c>
      <c r="K250">
        <v>1.1087959999999999</v>
      </c>
      <c r="L250">
        <v>367.23939999999999</v>
      </c>
      <c r="M250">
        <v>0.99998089999999995</v>
      </c>
      <c r="N250">
        <v>-6.0992299999999998E-3</v>
      </c>
      <c r="O250">
        <v>-9.4078320000000001E-4</v>
      </c>
      <c r="P250">
        <v>0.98419869999999998</v>
      </c>
      <c r="Q250">
        <v>0.16572990000000001</v>
      </c>
      <c r="R250">
        <v>6.2340970000000002E-2</v>
      </c>
      <c r="S250">
        <v>3.0675659999999998</v>
      </c>
      <c r="T250">
        <v>-8.5697170000000003E-2</v>
      </c>
      <c r="U250">
        <v>-7.7697749999999996E-2</v>
      </c>
      <c r="V250">
        <v>-6.3274319999999995E-2</v>
      </c>
      <c r="W250">
        <v>0.1717265</v>
      </c>
      <c r="X250">
        <v>0.9831105</v>
      </c>
      <c r="Y250">
        <v>2.4368819999999999E-2</v>
      </c>
      <c r="Z250">
        <v>-3.9407860000000001E-4</v>
      </c>
      <c r="AA250">
        <v>0.99970289999999995</v>
      </c>
      <c r="AB250">
        <v>29</v>
      </c>
      <c r="AC250">
        <v>41.306600000000003</v>
      </c>
      <c r="AD250">
        <v>-1.1587959999999999</v>
      </c>
      <c r="AE250">
        <v>-1.0507</v>
      </c>
      <c r="AF250">
        <v>1.0110430775913899</v>
      </c>
      <c r="AG250">
        <v>-1.1587959999999999</v>
      </c>
      <c r="AH250">
        <v>41.275107687435899</v>
      </c>
      <c r="AI250">
        <v>91.607670917205496</v>
      </c>
      <c r="AJ250">
        <v>88.596807551684194</v>
      </c>
      <c r="AK250">
        <v>41.3037471772694</v>
      </c>
      <c r="AL250">
        <v>80.111782824025198</v>
      </c>
      <c r="AM250">
        <v>93.682554531957706</v>
      </c>
      <c r="AN250">
        <v>0.99999994279197901</v>
      </c>
    </row>
    <row r="251" spans="1:40" x14ac:dyDescent="0.25">
      <c r="A251" t="str">
        <f>"20190304155602606"</f>
        <v>20190304155602606</v>
      </c>
      <c r="B251" t="str">
        <f>"1551686162595460"</f>
        <v>1551686162595460</v>
      </c>
      <c r="C251" t="s">
        <v>40</v>
      </c>
      <c r="D251">
        <v>4.7875940000000003</v>
      </c>
      <c r="E251">
        <v>0.53091429999999995</v>
      </c>
      <c r="F251" t="s">
        <v>44</v>
      </c>
      <c r="G251">
        <v>-399.60300000000001</v>
      </c>
      <c r="H251">
        <v>-0.05</v>
      </c>
      <c r="I251">
        <v>366.20580000000001</v>
      </c>
      <c r="J251">
        <v>-440.26639999999998</v>
      </c>
      <c r="K251">
        <v>1.1084080000000001</v>
      </c>
      <c r="L251">
        <v>367.23919999999998</v>
      </c>
      <c r="M251">
        <v>0.99998030000000004</v>
      </c>
      <c r="N251">
        <v>-6.208168E-3</v>
      </c>
      <c r="O251">
        <v>-8.9638390000000004E-4</v>
      </c>
      <c r="P251">
        <v>0.98425879999999999</v>
      </c>
      <c r="Q251">
        <v>0.16528409999999999</v>
      </c>
      <c r="R251">
        <v>6.2578750000000002E-2</v>
      </c>
      <c r="S251">
        <v>3.067688</v>
      </c>
      <c r="T251">
        <v>-8.6872939999999996E-2</v>
      </c>
      <c r="U251">
        <v>-7.7484129999999998E-2</v>
      </c>
      <c r="V251">
        <v>-6.3469860000000003E-2</v>
      </c>
      <c r="W251">
        <v>0.1713874</v>
      </c>
      <c r="X251">
        <v>0.98315719999999995</v>
      </c>
      <c r="Y251">
        <v>2.4342300000000001E-2</v>
      </c>
      <c r="Z251">
        <v>-4.0032689999999998E-4</v>
      </c>
      <c r="AA251">
        <v>0.99970360000000003</v>
      </c>
      <c r="AB251">
        <v>29</v>
      </c>
      <c r="AC251">
        <v>40.663399999999903</v>
      </c>
      <c r="AD251">
        <v>-1.1584079999999899</v>
      </c>
      <c r="AE251">
        <v>-1.0333999999999699</v>
      </c>
      <c r="AF251">
        <v>0.99614096706200295</v>
      </c>
      <c r="AG251">
        <v>-1.1584079999999899</v>
      </c>
      <c r="AH251">
        <v>40.631356875587201</v>
      </c>
      <c r="AI251">
        <v>91.632581300489605</v>
      </c>
      <c r="AJ251">
        <v>88.595586104126298</v>
      </c>
      <c r="AK251">
        <v>40.660070923106503</v>
      </c>
      <c r="AL251">
        <v>80.131505496781998</v>
      </c>
      <c r="AM251">
        <v>93.693728491116104</v>
      </c>
      <c r="AN251">
        <v>1.0000000719594999</v>
      </c>
    </row>
    <row r="252" spans="1:40" x14ac:dyDescent="0.25">
      <c r="A252" t="str">
        <f>"20190304155602619"</f>
        <v>20190304155602619</v>
      </c>
      <c r="B252" t="str">
        <f>"1551686162614981"</f>
        <v>1551686162614981</v>
      </c>
      <c r="C252" t="s">
        <v>40</v>
      </c>
      <c r="D252">
        <v>4.8720489999999996</v>
      </c>
      <c r="E252">
        <v>0.53089180000000002</v>
      </c>
      <c r="F252" t="s">
        <v>44</v>
      </c>
      <c r="G252">
        <v>-398.64729999999997</v>
      </c>
      <c r="H252">
        <v>-0.05</v>
      </c>
      <c r="I252">
        <v>366.19569999999999</v>
      </c>
      <c r="J252">
        <v>-440.09039999999999</v>
      </c>
      <c r="K252">
        <v>1.1080479999999999</v>
      </c>
      <c r="L252">
        <v>367.23899999999998</v>
      </c>
      <c r="M252">
        <v>0.99997879999999995</v>
      </c>
      <c r="N252">
        <v>-6.4750459999999999E-3</v>
      </c>
      <c r="O252">
        <v>-8.6537229999999999E-4</v>
      </c>
      <c r="P252">
        <v>0.98431440000000003</v>
      </c>
      <c r="Q252">
        <v>0.16495379999999901</v>
      </c>
      <c r="R252">
        <v>6.2572520000000006E-2</v>
      </c>
      <c r="S252">
        <v>3.0672299999999999</v>
      </c>
      <c r="T252">
        <v>-8.5371970000000005E-2</v>
      </c>
      <c r="U252">
        <v>-7.6904299999999995E-2</v>
      </c>
      <c r="V252">
        <v>-6.3434530000000003E-2</v>
      </c>
      <c r="W252">
        <v>0.17131969999999999</v>
      </c>
      <c r="X252">
        <v>0.98317120000000002</v>
      </c>
      <c r="Y252">
        <v>2.418853E-2</v>
      </c>
      <c r="Z252">
        <v>-3.9637510000000001E-4</v>
      </c>
      <c r="AA252">
        <v>0.99970729999999997</v>
      </c>
      <c r="AB252">
        <v>29</v>
      </c>
      <c r="AC252">
        <v>41.443100000000001</v>
      </c>
      <c r="AD252">
        <v>-1.158048</v>
      </c>
      <c r="AE252">
        <v>-1.0433000000000401</v>
      </c>
      <c r="AF252">
        <v>1.0066496414289201</v>
      </c>
      <c r="AG252">
        <v>-1.158048</v>
      </c>
      <c r="AH252">
        <v>41.411672929315003</v>
      </c>
      <c r="AI252">
        <v>91.601345498415398</v>
      </c>
      <c r="AJ252">
        <v>88.607508088383796</v>
      </c>
      <c r="AK252">
        <v>41.440090172144302</v>
      </c>
      <c r="AL252">
        <v>80.135441874720499</v>
      </c>
      <c r="AM252">
        <v>93.691625670698997</v>
      </c>
      <c r="AN252">
        <v>0.99999999385692495</v>
      </c>
    </row>
    <row r="253" spans="1:40" x14ac:dyDescent="0.25">
      <c r="A253" t="str">
        <f>"20190304155602641"</f>
        <v>20190304155602641</v>
      </c>
      <c r="B253" t="str">
        <f>"1551686162635477"</f>
        <v>1551686162635477</v>
      </c>
      <c r="C253" t="s">
        <v>40</v>
      </c>
      <c r="D253">
        <v>4.8104959999999997</v>
      </c>
      <c r="E253">
        <v>0.53086420000000001</v>
      </c>
      <c r="F253" t="s">
        <v>44</v>
      </c>
      <c r="G253">
        <v>-399.4495</v>
      </c>
      <c r="H253">
        <v>-0.05</v>
      </c>
      <c r="I253">
        <v>366.21809999999999</v>
      </c>
      <c r="J253">
        <v>-439.80239999999998</v>
      </c>
      <c r="K253">
        <v>1.107305</v>
      </c>
      <c r="L253">
        <v>367.2389</v>
      </c>
      <c r="M253">
        <v>0.99997400000000003</v>
      </c>
      <c r="N253">
        <v>-7.1769370000000004E-3</v>
      </c>
      <c r="O253">
        <v>-8.1370499999999996E-4</v>
      </c>
      <c r="P253">
        <v>0.98461509999999997</v>
      </c>
      <c r="Q253">
        <v>0.16316919999999999</v>
      </c>
      <c r="R253">
        <v>6.2522820000000007E-2</v>
      </c>
      <c r="S253">
        <v>3.067383</v>
      </c>
      <c r="T253">
        <v>-8.7404010000000004E-2</v>
      </c>
      <c r="U253">
        <v>-7.7056879999999994E-2</v>
      </c>
      <c r="V253">
        <v>-6.3336069999999994E-2</v>
      </c>
      <c r="W253">
        <v>0.17022689999999999</v>
      </c>
      <c r="X253">
        <v>0.9833674</v>
      </c>
      <c r="Y253">
        <v>2.428783E-2</v>
      </c>
      <c r="Z253">
        <v>-4.1576539999999999E-4</v>
      </c>
      <c r="AA253">
        <v>0.99970490000000001</v>
      </c>
      <c r="AB253">
        <v>29</v>
      </c>
      <c r="AC253">
        <v>40.352899999999899</v>
      </c>
      <c r="AD253">
        <v>-1.157305</v>
      </c>
      <c r="AE253">
        <v>-1.0207999999999999</v>
      </c>
      <c r="AF253">
        <v>0.98715203022538001</v>
      </c>
      <c r="AG253">
        <v>-1.157305</v>
      </c>
      <c r="AH253">
        <v>40.320574046007501</v>
      </c>
      <c r="AI253">
        <v>91.643593775713398</v>
      </c>
      <c r="AJ253">
        <v>88.597531163514603</v>
      </c>
      <c r="AK253">
        <v>40.349256689477798</v>
      </c>
      <c r="AL253">
        <v>80.198988728539007</v>
      </c>
      <c r="AM253">
        <v>93.685178135729899</v>
      </c>
      <c r="AN253">
        <v>1.0000000493147001</v>
      </c>
    </row>
    <row r="254" spans="1:40" x14ac:dyDescent="0.25">
      <c r="A254" t="str">
        <f>"20190304155602674"</f>
        <v>20190304155602674</v>
      </c>
      <c r="B254" t="str">
        <f>"1551686162664756"</f>
        <v>1551686162664756</v>
      </c>
      <c r="C254" t="s">
        <v>40</v>
      </c>
      <c r="D254">
        <v>4.8113979999999996</v>
      </c>
      <c r="E254">
        <v>0.53085850000000001</v>
      </c>
      <c r="F254" t="s">
        <v>44</v>
      </c>
      <c r="G254">
        <v>-400.6472</v>
      </c>
      <c r="H254">
        <v>-0.05</v>
      </c>
      <c r="I254">
        <v>366.25779999999997</v>
      </c>
      <c r="J254">
        <v>-439.37270000000001</v>
      </c>
      <c r="K254">
        <v>1.105866</v>
      </c>
      <c r="L254">
        <v>367.23860000000002</v>
      </c>
      <c r="M254">
        <v>0.99995789999999996</v>
      </c>
      <c r="N254">
        <v>-9.1564360000000004E-3</v>
      </c>
      <c r="O254">
        <v>-7.4022270000000004E-4</v>
      </c>
      <c r="P254">
        <v>0.9850527</v>
      </c>
      <c r="Q254">
        <v>0.16035569999999999</v>
      </c>
      <c r="R254">
        <v>6.2907710000000006E-2</v>
      </c>
      <c r="S254">
        <v>3.0667719999999998</v>
      </c>
      <c r="T254">
        <v>-9.0644240000000001E-2</v>
      </c>
      <c r="U254">
        <v>-7.6843259999999997E-2</v>
      </c>
      <c r="V254">
        <v>-6.3650929999999994E-2</v>
      </c>
      <c r="W254">
        <v>0.1693627</v>
      </c>
      <c r="X254">
        <v>0.98349620000000004</v>
      </c>
      <c r="Y254">
        <v>2.42951E-2</v>
      </c>
      <c r="Z254">
        <v>-4.5509419999999998E-4</v>
      </c>
      <c r="AA254">
        <v>0.9997047</v>
      </c>
      <c r="AB254">
        <v>29</v>
      </c>
      <c r="AC254">
        <v>38.725499999999997</v>
      </c>
      <c r="AD254">
        <v>-1.1558660000000001</v>
      </c>
      <c r="AE254">
        <v>-0.98080000000004397</v>
      </c>
      <c r="AF254">
        <v>0.95128609628875305</v>
      </c>
      <c r="AG254">
        <v>-1.1558660000000001</v>
      </c>
      <c r="AH254">
        <v>38.691767670188497</v>
      </c>
      <c r="AI254">
        <v>91.710611006358207</v>
      </c>
      <c r="AJ254">
        <v>88.591594458488601</v>
      </c>
      <c r="AK254">
        <v>38.720716120583198</v>
      </c>
      <c r="AL254">
        <v>80.249232541342707</v>
      </c>
      <c r="AM254">
        <v>93.702963592352006</v>
      </c>
      <c r="AN254">
        <v>0.99999997022779696</v>
      </c>
    </row>
    <row r="255" spans="1:40" x14ac:dyDescent="0.25">
      <c r="A255" t="str">
        <f>"20190304155602697"</f>
        <v>20190304155602697</v>
      </c>
      <c r="B255" t="str">
        <f>"1551686162695012"</f>
        <v>1551686162695012</v>
      </c>
      <c r="C255" t="s">
        <v>40</v>
      </c>
      <c r="D255">
        <v>4.8737550000000001</v>
      </c>
      <c r="E255">
        <v>0.5305088</v>
      </c>
      <c r="F255" t="s">
        <v>44</v>
      </c>
      <c r="G255">
        <v>-402.80149999999998</v>
      </c>
      <c r="H255">
        <v>-0.05</v>
      </c>
      <c r="I255">
        <v>366.33409999999998</v>
      </c>
      <c r="J255">
        <v>-439.0607</v>
      </c>
      <c r="K255">
        <v>1.104609</v>
      </c>
      <c r="L255">
        <v>367.23840000000001</v>
      </c>
      <c r="M255">
        <v>0.99993600000000005</v>
      </c>
      <c r="N255">
        <v>-1.128502E-2</v>
      </c>
      <c r="O255">
        <v>-6.8933850000000001E-4</v>
      </c>
      <c r="P255">
        <v>0.98538999999999999</v>
      </c>
      <c r="Q255">
        <v>0.158225</v>
      </c>
      <c r="R255">
        <v>6.3018550000000007E-2</v>
      </c>
      <c r="S255">
        <v>3.0661320000000001</v>
      </c>
      <c r="T255">
        <v>-9.6907969999999996E-2</v>
      </c>
      <c r="U255">
        <v>-7.5836180000000003E-2</v>
      </c>
      <c r="V255">
        <v>-6.3713220000000001E-2</v>
      </c>
      <c r="W255">
        <v>0.16932839999999999</v>
      </c>
      <c r="X255">
        <v>0.98349810000000004</v>
      </c>
      <c r="Y255">
        <v>2.4020639999999999E-2</v>
      </c>
      <c r="Z255">
        <v>-5.0105099999999997E-4</v>
      </c>
      <c r="AA255">
        <v>0.99971129999999997</v>
      </c>
      <c r="AB255">
        <v>29</v>
      </c>
      <c r="AC255">
        <v>36.2592</v>
      </c>
      <c r="AD255">
        <v>-1.154609</v>
      </c>
      <c r="AE255">
        <v>-0.90430000000003397</v>
      </c>
      <c r="AF255">
        <v>0.87841318070572605</v>
      </c>
      <c r="AG255">
        <v>-1.154609</v>
      </c>
      <c r="AH255">
        <v>36.223107774639999</v>
      </c>
      <c r="AI255">
        <v>91.825144574607606</v>
      </c>
      <c r="AJ255">
        <v>88.610845153105601</v>
      </c>
      <c r="AK255">
        <v>36.252148467533701</v>
      </c>
      <c r="AL255">
        <v>80.251226851462803</v>
      </c>
      <c r="AM255">
        <v>93.706570144505307</v>
      </c>
      <c r="AN255">
        <v>0.99999999707646903</v>
      </c>
    </row>
    <row r="256" spans="1:40" x14ac:dyDescent="0.25">
      <c r="A256" t="str">
        <f>"20190304155602719"</f>
        <v>20190304155602719</v>
      </c>
      <c r="B256" t="str">
        <f>"1551686162715509"</f>
        <v>1551686162715509</v>
      </c>
      <c r="C256" t="s">
        <v>40</v>
      </c>
      <c r="D256">
        <v>5.0583839999999904</v>
      </c>
      <c r="E256">
        <v>0.53043530000000005</v>
      </c>
      <c r="F256" t="s">
        <v>44</v>
      </c>
      <c r="G256">
        <v>-404.89150000000001</v>
      </c>
      <c r="H256">
        <v>-0.05</v>
      </c>
      <c r="I256">
        <v>366.43430000000001</v>
      </c>
      <c r="J256">
        <v>-438.77839999999998</v>
      </c>
      <c r="K256">
        <v>1.1033189999999999</v>
      </c>
      <c r="L256">
        <v>367.23829999999998</v>
      </c>
      <c r="M256">
        <v>0.99991110000000005</v>
      </c>
      <c r="N256">
        <v>-1.331824E-2</v>
      </c>
      <c r="O256">
        <v>-6.3904000000000001E-4</v>
      </c>
      <c r="P256">
        <v>0.98577760000000003</v>
      </c>
      <c r="Q256">
        <v>0.1557337</v>
      </c>
      <c r="R256">
        <v>6.3163750000000005E-2</v>
      </c>
      <c r="S256">
        <v>3.0657350000000001</v>
      </c>
      <c r="T256">
        <v>-0.1035943</v>
      </c>
      <c r="U256">
        <v>-7.2143550000000001E-2</v>
      </c>
      <c r="V256">
        <v>-6.3809119999999997E-2</v>
      </c>
      <c r="W256">
        <v>0.16884250000000001</v>
      </c>
      <c r="X256">
        <v>0.98357539999999999</v>
      </c>
      <c r="Y256">
        <v>2.2868719999999999E-2</v>
      </c>
      <c r="Z256">
        <v>-5.2551309999999995E-4</v>
      </c>
      <c r="AA256">
        <v>0.99973829999999997</v>
      </c>
      <c r="AB256">
        <v>29</v>
      </c>
      <c r="AC256">
        <v>33.886899999999898</v>
      </c>
      <c r="AD256">
        <v>-1.153319</v>
      </c>
      <c r="AE256">
        <v>-0.80399999999997296</v>
      </c>
      <c r="AF256">
        <v>0.78143817026275197</v>
      </c>
      <c r="AG256">
        <v>-1.153319</v>
      </c>
      <c r="AH256">
        <v>33.8482212991171</v>
      </c>
      <c r="AI256">
        <v>91.950979137033201</v>
      </c>
      <c r="AJ256">
        <v>88.677473869548507</v>
      </c>
      <c r="AK256">
        <v>33.876878183263997</v>
      </c>
      <c r="AL256">
        <v>80.279473422390595</v>
      </c>
      <c r="AM256">
        <v>93.711842695918406</v>
      </c>
      <c r="AN256">
        <v>0.99999998054329198</v>
      </c>
    </row>
    <row r="257" spans="1:40" x14ac:dyDescent="0.25">
      <c r="A257" t="str">
        <f>"20190304155602739"</f>
        <v>20190304155602739</v>
      </c>
      <c r="B257" t="str">
        <f>"1551686162735029"</f>
        <v>1551686162735029</v>
      </c>
      <c r="C257" t="s">
        <v>40</v>
      </c>
      <c r="D257">
        <v>4.7292959999999997</v>
      </c>
      <c r="E257">
        <v>0.53022840000000004</v>
      </c>
      <c r="F257" t="s">
        <v>44</v>
      </c>
      <c r="G257">
        <v>-406.31240000000003</v>
      </c>
      <c r="H257">
        <v>-0.05</v>
      </c>
      <c r="I257">
        <v>366.4803</v>
      </c>
      <c r="J257">
        <v>-438.50290000000001</v>
      </c>
      <c r="K257">
        <v>1.101901</v>
      </c>
      <c r="L257">
        <v>367.23820000000001</v>
      </c>
      <c r="M257">
        <v>0.99988719999999998</v>
      </c>
      <c r="N257">
        <v>-1.501218E-2</v>
      </c>
      <c r="O257">
        <v>-5.8350049999999999E-4</v>
      </c>
      <c r="P257">
        <v>0.98615319999999995</v>
      </c>
      <c r="Q257">
        <v>0.1535009</v>
      </c>
      <c r="R257">
        <v>6.2764299999999995E-2</v>
      </c>
      <c r="S257">
        <v>3.0650940000000002</v>
      </c>
      <c r="T257">
        <v>-0.1088842</v>
      </c>
      <c r="U257">
        <v>-7.1563719999999997E-2</v>
      </c>
      <c r="V257">
        <v>-6.3355190000000006E-2</v>
      </c>
      <c r="W257">
        <v>0.16828170000000001</v>
      </c>
      <c r="X257">
        <v>0.98370089999999999</v>
      </c>
      <c r="Y257">
        <v>2.2737919999999998E-2</v>
      </c>
      <c r="Z257">
        <v>-5.6250889999999996E-4</v>
      </c>
      <c r="AA257">
        <v>0.99974130000000005</v>
      </c>
      <c r="AB257">
        <v>29</v>
      </c>
      <c r="AC257">
        <v>32.190499999999901</v>
      </c>
      <c r="AD257">
        <v>-1.1519010000000001</v>
      </c>
      <c r="AE257">
        <v>-0.75790000000000601</v>
      </c>
      <c r="AF257">
        <v>0.73816988971536301</v>
      </c>
      <c r="AG257">
        <v>-1.1519010000000001</v>
      </c>
      <c r="AH257">
        <v>32.1497922494368</v>
      </c>
      <c r="AI257">
        <v>92.051443375911205</v>
      </c>
      <c r="AJ257">
        <v>88.6847010044754</v>
      </c>
      <c r="AK257">
        <v>32.178889234742499</v>
      </c>
      <c r="AL257">
        <v>80.312071878165696</v>
      </c>
      <c r="AM257">
        <v>93.685041254073298</v>
      </c>
      <c r="AN257">
        <v>1.00000003565781</v>
      </c>
    </row>
    <row r="258" spans="1:40" x14ac:dyDescent="0.25">
      <c r="A258" t="str">
        <f>"20190304155602762"</f>
        <v>20190304155602762</v>
      </c>
      <c r="B258" t="str">
        <f>"1551686162755525"</f>
        <v>1551686162755525</v>
      </c>
      <c r="C258" t="s">
        <v>40</v>
      </c>
      <c r="D258">
        <v>4.9827170000000001</v>
      </c>
      <c r="E258">
        <v>0.53008040000000001</v>
      </c>
      <c r="F258" t="s">
        <v>44</v>
      </c>
      <c r="G258">
        <v>-407.64609999999999</v>
      </c>
      <c r="H258">
        <v>-0.05</v>
      </c>
      <c r="I258">
        <v>366.52190000000002</v>
      </c>
      <c r="J258">
        <v>-438.20400000000001</v>
      </c>
      <c r="K258">
        <v>1.1001780000000001</v>
      </c>
      <c r="L258">
        <v>367.23809999999997</v>
      </c>
      <c r="M258">
        <v>0.99986660000000005</v>
      </c>
      <c r="N258">
        <v>-1.63313E-2</v>
      </c>
      <c r="O258">
        <v>-5.1676269999999995E-4</v>
      </c>
      <c r="P258">
        <v>0.98635609999999996</v>
      </c>
      <c r="Q258">
        <v>0.15222629999999901</v>
      </c>
      <c r="R258">
        <v>6.2682489999999993E-2</v>
      </c>
      <c r="S258">
        <v>3.0644840000000002</v>
      </c>
      <c r="T258">
        <v>-0.11439879999999999</v>
      </c>
      <c r="U258">
        <v>-7.1136469999999993E-2</v>
      </c>
      <c r="V258">
        <v>-6.3207600000000003E-2</v>
      </c>
      <c r="W258">
        <v>0.1683085</v>
      </c>
      <c r="X258">
        <v>0.98370579999999996</v>
      </c>
      <c r="Y258">
        <v>2.2667679999999999E-2</v>
      </c>
      <c r="Z258">
        <v>-5.9727589999999996E-4</v>
      </c>
      <c r="AA258">
        <v>0.99974289999999999</v>
      </c>
      <c r="AB258">
        <v>29</v>
      </c>
      <c r="AC258">
        <v>30.5579</v>
      </c>
      <c r="AD258">
        <v>-1.1501779999999999</v>
      </c>
      <c r="AE258">
        <v>-0.71619999999995798</v>
      </c>
      <c r="AF258">
        <v>0.69941628578923698</v>
      </c>
      <c r="AG258">
        <v>-1.1501779999999999</v>
      </c>
      <c r="AH258">
        <v>30.5150586060943</v>
      </c>
      <c r="AI258">
        <v>92.158012723111597</v>
      </c>
      <c r="AJ258">
        <v>88.686989706854803</v>
      </c>
      <c r="AK258">
        <v>30.5447359508292</v>
      </c>
      <c r="AL258">
        <v>80.310514042221797</v>
      </c>
      <c r="AM258">
        <v>93.676462021705106</v>
      </c>
      <c r="AN258">
        <v>1.0000000264118201</v>
      </c>
    </row>
    <row r="259" spans="1:40" x14ac:dyDescent="0.25">
      <c r="A259" t="str">
        <f>"20190304155602784"</f>
        <v>20190304155602784</v>
      </c>
      <c r="B259" t="str">
        <f>"1551686162775048"</f>
        <v>1551686162775048</v>
      </c>
      <c r="C259" t="s">
        <v>40</v>
      </c>
      <c r="D259">
        <v>4.905869</v>
      </c>
      <c r="E259">
        <v>0.52983530000000001</v>
      </c>
      <c r="F259" t="s">
        <v>44</v>
      </c>
      <c r="G259">
        <v>-408.05950000000001</v>
      </c>
      <c r="H259">
        <v>-0.05</v>
      </c>
      <c r="I259">
        <v>366.5521</v>
      </c>
      <c r="J259">
        <v>-437.90140000000002</v>
      </c>
      <c r="K259">
        <v>1.09829</v>
      </c>
      <c r="L259">
        <v>367.238</v>
      </c>
      <c r="M259">
        <v>0.99984799999999996</v>
      </c>
      <c r="N259">
        <v>-1.742554E-2</v>
      </c>
      <c r="O259">
        <v>-4.4996659999999998E-4</v>
      </c>
      <c r="P259">
        <v>0.98662260000000002</v>
      </c>
      <c r="Q259">
        <v>0.1507202</v>
      </c>
      <c r="R259">
        <v>6.2123919999999999E-2</v>
      </c>
      <c r="S259">
        <v>3.063965</v>
      </c>
      <c r="T259">
        <v>-0.116907399999999</v>
      </c>
      <c r="U259">
        <v>-6.9732669999999997E-2</v>
      </c>
      <c r="V259">
        <v>-6.2583650000000005E-2</v>
      </c>
      <c r="W259">
        <v>0.16788310000000001</v>
      </c>
      <c r="X259">
        <v>0.98381839999999998</v>
      </c>
      <c r="Y259">
        <v>2.227964E-2</v>
      </c>
      <c r="Z259">
        <v>-6.0977549999999996E-4</v>
      </c>
      <c r="AA259">
        <v>0.99975159999999996</v>
      </c>
      <c r="AB259">
        <v>29</v>
      </c>
      <c r="AC259">
        <v>29.841899999999999</v>
      </c>
      <c r="AD259">
        <v>-1.14829</v>
      </c>
      <c r="AE259">
        <v>-0.68590000000006002</v>
      </c>
      <c r="AF259">
        <v>0.67147634079181995</v>
      </c>
      <c r="AG259">
        <v>-1.14829</v>
      </c>
      <c r="AH259">
        <v>29.798108605512599</v>
      </c>
      <c r="AI259">
        <v>92.206279608357605</v>
      </c>
      <c r="AJ259">
        <v>88.709104297966206</v>
      </c>
      <c r="AK259">
        <v>29.827784478004201</v>
      </c>
      <c r="AL259">
        <v>80.335239687623002</v>
      </c>
      <c r="AM259">
        <v>93.639852604276697</v>
      </c>
      <c r="AN259">
        <v>1.0000000463457399</v>
      </c>
    </row>
    <row r="260" spans="1:40" x14ac:dyDescent="0.25">
      <c r="A260" t="str">
        <f>"20190304155602807"</f>
        <v>20190304155602807</v>
      </c>
      <c r="B260" t="str">
        <f>"1551686162795540"</f>
        <v>1551686162795540</v>
      </c>
      <c r="C260" t="s">
        <v>40</v>
      </c>
      <c r="D260">
        <v>4.8001069999999997</v>
      </c>
      <c r="E260">
        <v>0.52957209999999999</v>
      </c>
      <c r="F260" t="s">
        <v>44</v>
      </c>
      <c r="G260">
        <v>-408.7713</v>
      </c>
      <c r="H260">
        <v>-0.05</v>
      </c>
      <c r="I260">
        <v>366.58449999999999</v>
      </c>
      <c r="J260">
        <v>-437.61399999999998</v>
      </c>
      <c r="K260">
        <v>1.0963609999999999</v>
      </c>
      <c r="L260">
        <v>367.23790000000002</v>
      </c>
      <c r="M260">
        <v>0.9998319</v>
      </c>
      <c r="N260">
        <v>-1.833251E-2</v>
      </c>
      <c r="O260">
        <v>-3.9171209999999999E-4</v>
      </c>
      <c r="P260">
        <v>0.98686189999999996</v>
      </c>
      <c r="Q260">
        <v>0.1492512</v>
      </c>
      <c r="R260">
        <v>6.1869430000000003E-2</v>
      </c>
      <c r="S260">
        <v>3.0634160000000001</v>
      </c>
      <c r="T260">
        <v>-0.1207577</v>
      </c>
      <c r="U260">
        <v>-6.8725590000000003E-2</v>
      </c>
      <c r="V260">
        <v>-6.2273130000000003E-2</v>
      </c>
      <c r="W260">
        <v>0.1673115</v>
      </c>
      <c r="X260">
        <v>0.98393540000000002</v>
      </c>
      <c r="Y260">
        <v>2.201202E-2</v>
      </c>
      <c r="Z260">
        <v>-6.272974E-4</v>
      </c>
      <c r="AA260">
        <v>0.99975749999999997</v>
      </c>
      <c r="AB260">
        <v>30</v>
      </c>
      <c r="AC260">
        <v>28.842700000000001</v>
      </c>
      <c r="AD260">
        <v>-1.146361</v>
      </c>
      <c r="AE260">
        <v>-0.65340000000003295</v>
      </c>
      <c r="AF260">
        <v>0.64108781813456595</v>
      </c>
      <c r="AG260">
        <v>-1.146361</v>
      </c>
      <c r="AH260">
        <v>28.7974861004875</v>
      </c>
      <c r="AI260">
        <v>92.279044140405205</v>
      </c>
      <c r="AJ260">
        <v>88.724695622292799</v>
      </c>
      <c r="AK260">
        <v>28.827423451301598</v>
      </c>
      <c r="AL260">
        <v>80.368459151806803</v>
      </c>
      <c r="AM260">
        <v>93.621411485992596</v>
      </c>
      <c r="AN260">
        <v>0.99999997606270297</v>
      </c>
    </row>
    <row r="261" spans="1:40" x14ac:dyDescent="0.25">
      <c r="A261" t="str">
        <f>"20190304155602829"</f>
        <v>20190304155602829</v>
      </c>
      <c r="B261" t="str">
        <f>"1551686162825797"</f>
        <v>1551686162825797</v>
      </c>
      <c r="C261" t="s">
        <v>40</v>
      </c>
      <c r="D261">
        <v>4.8696229999999998</v>
      </c>
      <c r="E261">
        <v>0.52923690000000001</v>
      </c>
      <c r="F261" t="s">
        <v>44</v>
      </c>
      <c r="G261">
        <v>-409.26209999999998</v>
      </c>
      <c r="H261">
        <v>-0.05</v>
      </c>
      <c r="I261">
        <v>366.60509999999999</v>
      </c>
      <c r="J261">
        <v>-437.31790000000001</v>
      </c>
      <c r="K261">
        <v>1.0941940000000001</v>
      </c>
      <c r="L261">
        <v>367.23790000000002</v>
      </c>
      <c r="M261">
        <v>0.99981940000000002</v>
      </c>
      <c r="N261">
        <v>-1.901073E-2</v>
      </c>
      <c r="O261">
        <v>-3.3492679999999999E-4</v>
      </c>
      <c r="P261">
        <v>0.98702230000000002</v>
      </c>
      <c r="Q261">
        <v>0.148151</v>
      </c>
      <c r="R261">
        <v>6.1956850000000001E-2</v>
      </c>
      <c r="S261">
        <v>3.0629580000000001</v>
      </c>
      <c r="T261">
        <v>-0.12384580000000001</v>
      </c>
      <c r="U261">
        <v>-6.8359379999999997E-2</v>
      </c>
      <c r="V261">
        <v>-6.2304940000000003E-2</v>
      </c>
      <c r="W261">
        <v>0.16688129999999901</v>
      </c>
      <c r="X261">
        <v>0.98400650000000001</v>
      </c>
      <c r="Y261">
        <v>2.195134E-2</v>
      </c>
      <c r="Z261">
        <v>-6.452036E-4</v>
      </c>
      <c r="AA261">
        <v>0.99975879999999995</v>
      </c>
      <c r="AB261">
        <v>30</v>
      </c>
      <c r="AC261">
        <v>28.055800000000001</v>
      </c>
      <c r="AD261">
        <v>-1.1441939999999999</v>
      </c>
      <c r="AE261">
        <v>-0.632800000000031</v>
      </c>
      <c r="AF261">
        <v>0.62236701115234005</v>
      </c>
      <c r="AG261">
        <v>-1.1441939999999999</v>
      </c>
      <c r="AH261">
        <v>28.009447756575199</v>
      </c>
      <c r="AI261">
        <v>92.338671836979501</v>
      </c>
      <c r="AJ261">
        <v>88.727103207135499</v>
      </c>
      <c r="AK261">
        <v>28.0397161939011</v>
      </c>
      <c r="AL261">
        <v>80.393459836349507</v>
      </c>
      <c r="AM261">
        <v>93.622995324575399</v>
      </c>
      <c r="AN261">
        <v>1.0000000329401699</v>
      </c>
    </row>
    <row r="262" spans="1:40" x14ac:dyDescent="0.25">
      <c r="A262" t="str">
        <f>"20190304155602852"</f>
        <v>20190304155602852</v>
      </c>
      <c r="B262" t="str">
        <f>"1551686162845317"</f>
        <v>1551686162845317</v>
      </c>
      <c r="C262" t="s">
        <v>40</v>
      </c>
      <c r="D262">
        <v>4.8647150000000003</v>
      </c>
      <c r="E262">
        <v>0.52901799999999999</v>
      </c>
      <c r="F262" t="s">
        <v>44</v>
      </c>
      <c r="G262">
        <v>-409.3546</v>
      </c>
      <c r="H262">
        <v>-0.05</v>
      </c>
      <c r="I262">
        <v>366.64229999999998</v>
      </c>
      <c r="J262">
        <v>-437.01780000000002</v>
      </c>
      <c r="K262">
        <v>1.0917790000000001</v>
      </c>
      <c r="L262">
        <v>367.23779999999999</v>
      </c>
      <c r="M262">
        <v>0.99981339999999996</v>
      </c>
      <c r="N262">
        <v>-1.9313090000000002E-2</v>
      </c>
      <c r="O262">
        <v>-2.775966E-4</v>
      </c>
      <c r="P262">
        <v>0.98711210000000005</v>
      </c>
      <c r="Q262">
        <v>0.14755799999999999</v>
      </c>
      <c r="R262">
        <v>6.1939830000000001E-2</v>
      </c>
      <c r="S262">
        <v>3.0623469999999999</v>
      </c>
      <c r="T262">
        <v>-0.12530430000000001</v>
      </c>
      <c r="U262">
        <v>-6.5216060000000006E-2</v>
      </c>
      <c r="V262">
        <v>-6.2231599999999998E-2</v>
      </c>
      <c r="W262">
        <v>0.16658789999999901</v>
      </c>
      <c r="X262">
        <v>0.98406079999999996</v>
      </c>
      <c r="Y262">
        <v>2.09879E-2</v>
      </c>
      <c r="Z262">
        <v>-6.260053E-4</v>
      </c>
      <c r="AA262">
        <v>0.99977950000000004</v>
      </c>
      <c r="AB262">
        <v>30</v>
      </c>
      <c r="AC262">
        <v>27.6632</v>
      </c>
      <c r="AD262">
        <v>-1.1417790000000001</v>
      </c>
      <c r="AE262">
        <v>-0.59550000000001502</v>
      </c>
      <c r="AF262">
        <v>0.58682010942443097</v>
      </c>
      <c r="AG262">
        <v>-1.1417790000000001</v>
      </c>
      <c r="AH262">
        <v>27.616339774118199</v>
      </c>
      <c r="AI262">
        <v>92.366973425827894</v>
      </c>
      <c r="AJ262">
        <v>88.782704121636201</v>
      </c>
      <c r="AK262">
        <v>27.646161390782801</v>
      </c>
      <c r="AL262">
        <v>80.410508556594294</v>
      </c>
      <c r="AM262">
        <v>93.618542836132903</v>
      </c>
      <c r="AN262">
        <v>0.99999997928080397</v>
      </c>
    </row>
    <row r="263" spans="1:40" x14ac:dyDescent="0.25">
      <c r="A263" t="str">
        <f>"20190304155602873"</f>
        <v>20190304155602873</v>
      </c>
      <c r="B263" t="str">
        <f>"1551686162865825"</f>
        <v>1551686162865825</v>
      </c>
      <c r="C263" t="s">
        <v>40</v>
      </c>
      <c r="D263">
        <v>4.7532779999999999</v>
      </c>
      <c r="E263">
        <v>0.52884449999999905</v>
      </c>
      <c r="F263" t="s">
        <v>44</v>
      </c>
      <c r="G263">
        <v>-409.23579999999998</v>
      </c>
      <c r="H263">
        <v>-0.05</v>
      </c>
      <c r="I263">
        <v>366.66739999999999</v>
      </c>
      <c r="J263">
        <v>-436.72179999999997</v>
      </c>
      <c r="K263">
        <v>1.089221</v>
      </c>
      <c r="L263">
        <v>367.23779999999999</v>
      </c>
      <c r="M263">
        <v>0.99981390000000003</v>
      </c>
      <c r="N263">
        <v>-1.9293390000000001E-2</v>
      </c>
      <c r="O263">
        <v>-2.224382E-4</v>
      </c>
      <c r="P263">
        <v>0.98712880000000003</v>
      </c>
      <c r="Q263">
        <v>0.1472781</v>
      </c>
      <c r="R263">
        <v>6.2340090000000001E-2</v>
      </c>
      <c r="S263">
        <v>3.0619200000000002</v>
      </c>
      <c r="T263">
        <v>-0.12583829999999999</v>
      </c>
      <c r="U263">
        <v>-6.2866210000000006E-2</v>
      </c>
      <c r="V263">
        <v>-6.257733E-2</v>
      </c>
      <c r="W263">
        <v>0.16628889999999999</v>
      </c>
      <c r="X263">
        <v>0.98408949999999995</v>
      </c>
      <c r="Y263">
        <v>2.0279769999999999E-2</v>
      </c>
      <c r="Z263">
        <v>-6.0745419999999996E-4</v>
      </c>
      <c r="AA263">
        <v>0.99979419999999997</v>
      </c>
      <c r="AB263">
        <v>30</v>
      </c>
      <c r="AC263">
        <v>27.485999999999901</v>
      </c>
      <c r="AD263">
        <v>-1.13922099999999</v>
      </c>
      <c r="AE263">
        <v>-0.57040000000000601</v>
      </c>
      <c r="AF263">
        <v>0.56331761603978103</v>
      </c>
      <c r="AG263">
        <v>-1.13922099999999</v>
      </c>
      <c r="AH263">
        <v>27.439009581569302</v>
      </c>
      <c r="AI263">
        <v>92.376957576959697</v>
      </c>
      <c r="AJ263">
        <v>88.823893824376199</v>
      </c>
      <c r="AK263">
        <v>27.468425474366601</v>
      </c>
      <c r="AL263">
        <v>80.4278828388032</v>
      </c>
      <c r="AM263">
        <v>93.6384860992369</v>
      </c>
      <c r="AN263">
        <v>1.00000003225169</v>
      </c>
    </row>
    <row r="264" spans="1:40" x14ac:dyDescent="0.25">
      <c r="A264" t="str">
        <f>"20190304155602898"</f>
        <v>20190304155602898</v>
      </c>
      <c r="B264" t="str">
        <f>"1551686162895093"</f>
        <v>1551686162895093</v>
      </c>
      <c r="C264" t="s">
        <v>40</v>
      </c>
      <c r="D264">
        <v>4.7197149999999999</v>
      </c>
      <c r="E264">
        <v>0.5286246</v>
      </c>
      <c r="F264" t="s">
        <v>44</v>
      </c>
      <c r="G264">
        <v>-409.0419</v>
      </c>
      <c r="H264">
        <v>-0.05</v>
      </c>
      <c r="I264">
        <v>366.69650000000001</v>
      </c>
      <c r="J264">
        <v>-436.40730000000002</v>
      </c>
      <c r="K264">
        <v>1.086425</v>
      </c>
      <c r="L264">
        <v>367.23779999999999</v>
      </c>
      <c r="M264">
        <v>0.99981620000000004</v>
      </c>
      <c r="N264">
        <v>-1.9176260000000001E-2</v>
      </c>
      <c r="O264">
        <v>-1.66719199999999E-4</v>
      </c>
      <c r="P264">
        <v>0.98719009999999996</v>
      </c>
      <c r="Q264">
        <v>0.14692720000000001</v>
      </c>
      <c r="R264">
        <v>6.2193999999999999E-2</v>
      </c>
      <c r="S264">
        <v>3.0616759999999998</v>
      </c>
      <c r="T264">
        <v>-0.12600919999999999</v>
      </c>
      <c r="U264">
        <v>-5.9875490000000003E-2</v>
      </c>
      <c r="V264">
        <v>-6.2376290000000001E-2</v>
      </c>
      <c r="W264">
        <v>0.1658239</v>
      </c>
      <c r="X264">
        <v>0.98418070000000002</v>
      </c>
      <c r="Y264">
        <v>1.9362000000000001E-2</v>
      </c>
      <c r="Z264">
        <v>-5.8036730000000003E-4</v>
      </c>
      <c r="AA264">
        <v>0.99981240000000005</v>
      </c>
      <c r="AB264">
        <v>30</v>
      </c>
      <c r="AC264">
        <v>27.365400000000001</v>
      </c>
      <c r="AD264">
        <v>-1.136425</v>
      </c>
      <c r="AE264">
        <v>-0.54129999999997802</v>
      </c>
      <c r="AF264">
        <v>0.535813136480776</v>
      </c>
      <c r="AG264">
        <v>-1.136425</v>
      </c>
      <c r="AH264">
        <v>27.318396132351999</v>
      </c>
      <c r="AI264">
        <v>92.381630933714504</v>
      </c>
      <c r="AJ264">
        <v>88.876365383999797</v>
      </c>
      <c r="AK264">
        <v>27.3472727112221</v>
      </c>
      <c r="AL264">
        <v>80.454900255818401</v>
      </c>
      <c r="AM264">
        <v>93.626492925900706</v>
      </c>
      <c r="AN264">
        <v>1.00000000880893</v>
      </c>
    </row>
    <row r="265" spans="1:40" x14ac:dyDescent="0.25">
      <c r="A265" t="str">
        <f>"20190304155602919"</f>
        <v>20190304155602919</v>
      </c>
      <c r="B265" t="str">
        <f>"1551686162915588"</f>
        <v>1551686162915588</v>
      </c>
      <c r="C265" t="s">
        <v>40</v>
      </c>
      <c r="D265">
        <v>4.7580049999999998</v>
      </c>
      <c r="E265">
        <v>0.52853660000000002</v>
      </c>
      <c r="F265" t="s">
        <v>44</v>
      </c>
      <c r="G265">
        <v>-408.6807</v>
      </c>
      <c r="H265">
        <v>-0.05</v>
      </c>
      <c r="I265">
        <v>366.71010000000001</v>
      </c>
      <c r="J265">
        <v>-436.12049999999999</v>
      </c>
      <c r="K265">
        <v>1.0838559999999999</v>
      </c>
      <c r="L265">
        <v>367.23779999999999</v>
      </c>
      <c r="M265">
        <v>0.99982040000000005</v>
      </c>
      <c r="N265">
        <v>-1.896053E-2</v>
      </c>
      <c r="O265">
        <v>-1.145108E-4</v>
      </c>
      <c r="P265">
        <v>0.98723959999999999</v>
      </c>
      <c r="Q265">
        <v>0.1468052</v>
      </c>
      <c r="R265">
        <v>6.1696500000000001E-2</v>
      </c>
      <c r="S265">
        <v>3.0612490000000001</v>
      </c>
      <c r="T265">
        <v>-0.1254709</v>
      </c>
      <c r="U265">
        <v>-5.825806E-2</v>
      </c>
      <c r="V265">
        <v>-6.182696E-2</v>
      </c>
      <c r="W265">
        <v>0.165491</v>
      </c>
      <c r="X265">
        <v>0.98427140000000002</v>
      </c>
      <c r="Y265">
        <v>1.8889690000000001E-2</v>
      </c>
      <c r="Z265">
        <v>-5.6361789999999996E-4</v>
      </c>
      <c r="AA265">
        <v>0.99982139999999997</v>
      </c>
      <c r="AB265">
        <v>30</v>
      </c>
      <c r="AC265">
        <v>27.439799999999899</v>
      </c>
      <c r="AD265">
        <v>-1.133856</v>
      </c>
      <c r="AE265">
        <v>-0.52769999999998096</v>
      </c>
      <c r="AF265">
        <v>0.52366346785261797</v>
      </c>
      <c r="AG265">
        <v>-1.133856</v>
      </c>
      <c r="AH265">
        <v>27.393104555603198</v>
      </c>
      <c r="AI265">
        <v>92.369802688523706</v>
      </c>
      <c r="AJ265">
        <v>88.904831964856399</v>
      </c>
      <c r="AK265">
        <v>27.4215614079598</v>
      </c>
      <c r="AL265">
        <v>80.474241321945897</v>
      </c>
      <c r="AM265">
        <v>93.5943091834108</v>
      </c>
      <c r="AN265">
        <v>1.0000000164609</v>
      </c>
    </row>
    <row r="266" spans="1:40" x14ac:dyDescent="0.25">
      <c r="A266" t="str">
        <f>"20190304155602940"</f>
        <v>20190304155602940</v>
      </c>
      <c r="B266" t="str">
        <f>"1551686162935109"</f>
        <v>1551686162935109</v>
      </c>
      <c r="C266" t="s">
        <v>40</v>
      </c>
      <c r="D266">
        <v>4.7361269999999998</v>
      </c>
      <c r="E266">
        <v>0.5285379</v>
      </c>
      <c r="F266" t="s">
        <v>44</v>
      </c>
      <c r="G266">
        <v>-408.13319999999999</v>
      </c>
      <c r="H266">
        <v>-0.05</v>
      </c>
      <c r="I266">
        <v>366.69540000000001</v>
      </c>
      <c r="J266">
        <v>-435.84160000000003</v>
      </c>
      <c r="K266">
        <v>1.0813729999999999</v>
      </c>
      <c r="L266">
        <v>367.23779999999999</v>
      </c>
      <c r="M266">
        <v>0.99982700000000002</v>
      </c>
      <c r="N266">
        <v>-1.8604269999999999E-2</v>
      </c>
      <c r="O266" s="1">
        <v>-6.0259590000000001E-5</v>
      </c>
      <c r="P266">
        <v>0.98709800000000003</v>
      </c>
      <c r="Q266">
        <v>0.1480061</v>
      </c>
      <c r="R266">
        <v>6.1088669999999998E-2</v>
      </c>
      <c r="S266">
        <v>3.060883</v>
      </c>
      <c r="T266">
        <v>-0.12400600000000001</v>
      </c>
      <c r="U266">
        <v>-5.9326169999999998E-2</v>
      </c>
      <c r="V266">
        <v>-6.1165249999999997E-2</v>
      </c>
      <c r="W266">
        <v>0.16633829999999999</v>
      </c>
      <c r="X266">
        <v>0.98416990000000004</v>
      </c>
      <c r="Y266">
        <v>1.9295070000000001E-2</v>
      </c>
      <c r="Z266">
        <v>-5.6896099999999999E-4</v>
      </c>
      <c r="AA266">
        <v>0.99981370000000003</v>
      </c>
      <c r="AB266">
        <v>30</v>
      </c>
      <c r="AC266">
        <v>27.708400000000001</v>
      </c>
      <c r="AD266">
        <v>-1.131373</v>
      </c>
      <c r="AE266">
        <v>-0.542399999999986</v>
      </c>
      <c r="AF266">
        <v>0.53983035075221197</v>
      </c>
      <c r="AG266">
        <v>-1.131373</v>
      </c>
      <c r="AH266">
        <v>27.662331558028001</v>
      </c>
      <c r="AI266">
        <v>92.341612829796603</v>
      </c>
      <c r="AJ266">
        <v>88.882014873811499</v>
      </c>
      <c r="AK266">
        <v>27.690720628019001</v>
      </c>
      <c r="AL266">
        <v>80.425012187471296</v>
      </c>
      <c r="AM266">
        <v>93.556305714480501</v>
      </c>
      <c r="AN266">
        <v>1.00000000496023</v>
      </c>
    </row>
    <row r="267" spans="1:40" x14ac:dyDescent="0.25">
      <c r="A267" t="str">
        <f>"20190304155602963"</f>
        <v>20190304155602963</v>
      </c>
      <c r="B267" t="str">
        <f>"1551686162955605"</f>
        <v>1551686162955605</v>
      </c>
      <c r="C267" t="s">
        <v>40</v>
      </c>
      <c r="D267">
        <v>4.7895130000000004</v>
      </c>
      <c r="E267">
        <v>0.52845520000000001</v>
      </c>
      <c r="F267" t="s">
        <v>44</v>
      </c>
      <c r="G267">
        <v>-407.01049999999998</v>
      </c>
      <c r="H267">
        <v>-0.05</v>
      </c>
      <c r="I267">
        <v>366.66640000000001</v>
      </c>
      <c r="J267">
        <v>-435.53820000000002</v>
      </c>
      <c r="K267">
        <v>1.0787659999999999</v>
      </c>
      <c r="L267">
        <v>367.23790000000002</v>
      </c>
      <c r="M267">
        <v>0.99983659999999996</v>
      </c>
      <c r="N267">
        <v>-1.8076419999999999E-2</v>
      </c>
      <c r="O267" s="1">
        <v>8.4458590000000002E-7</v>
      </c>
      <c r="P267">
        <v>0.98693450000000005</v>
      </c>
      <c r="Q267">
        <v>0.1493101</v>
      </c>
      <c r="R267">
        <v>6.0552759999999997E-2</v>
      </c>
      <c r="S267">
        <v>3.0609130000000002</v>
      </c>
      <c r="T267">
        <v>-0.1201142</v>
      </c>
      <c r="U267">
        <v>-6.0668949999999999E-2</v>
      </c>
      <c r="V267">
        <v>-6.0568629999999998E-2</v>
      </c>
      <c r="W267">
        <v>0.1671202</v>
      </c>
      <c r="X267">
        <v>0.98407440000000002</v>
      </c>
      <c r="Y267">
        <v>1.9795239999999999E-2</v>
      </c>
      <c r="Z267">
        <v>-5.6727209999999999E-4</v>
      </c>
      <c r="AA267">
        <v>0.99980389999999997</v>
      </c>
      <c r="AB267">
        <v>30</v>
      </c>
      <c r="AC267">
        <v>28.527699999999999</v>
      </c>
      <c r="AD267">
        <v>-1.1287659999999999</v>
      </c>
      <c r="AE267">
        <v>-0.571500000000014</v>
      </c>
      <c r="AF267">
        <v>0.57063108973861099</v>
      </c>
      <c r="AG267">
        <v>-1.1287659999999999</v>
      </c>
      <c r="AH267">
        <v>28.4831248924535</v>
      </c>
      <c r="AI267">
        <v>92.268948695516798</v>
      </c>
      <c r="AJ267">
        <v>88.852289552487704</v>
      </c>
      <c r="AK267">
        <v>28.511193173251002</v>
      </c>
      <c r="AL267">
        <v>80.379577297787407</v>
      </c>
      <c r="AM267">
        <v>93.522045323126093</v>
      </c>
      <c r="AN267">
        <v>1.0000000724617299</v>
      </c>
    </row>
    <row r="268" spans="1:40" x14ac:dyDescent="0.25">
      <c r="A268" t="str">
        <f>"20190304155602984"</f>
        <v>20190304155602984</v>
      </c>
      <c r="B268" t="str">
        <f>"1551686162975127"</f>
        <v>1551686162975127</v>
      </c>
      <c r="C268" t="s">
        <v>40</v>
      </c>
      <c r="D268">
        <v>4.6309440000000004</v>
      </c>
      <c r="E268">
        <v>0.52840350000000003</v>
      </c>
      <c r="F268" t="s">
        <v>44</v>
      </c>
      <c r="G268">
        <v>-405.69240000000002</v>
      </c>
      <c r="H268">
        <v>-0.05</v>
      </c>
      <c r="I268">
        <v>366.6395</v>
      </c>
      <c r="J268">
        <v>-435.2482</v>
      </c>
      <c r="K268">
        <v>1.076427</v>
      </c>
      <c r="L268">
        <v>367.23790000000002</v>
      </c>
      <c r="M268">
        <v>0.99984689999999998</v>
      </c>
      <c r="N268">
        <v>-1.7495719999999999E-2</v>
      </c>
      <c r="O268" s="1">
        <v>5.918573E-5</v>
      </c>
      <c r="P268">
        <v>0.98686300000000005</v>
      </c>
      <c r="Q268">
        <v>0.149781</v>
      </c>
      <c r="R268">
        <v>6.0554610000000002E-2</v>
      </c>
      <c r="S268">
        <v>3.0609739999999999</v>
      </c>
      <c r="T268">
        <v>-0.1157662</v>
      </c>
      <c r="U268">
        <v>-6.1370849999999998E-2</v>
      </c>
      <c r="V268">
        <v>-6.051198E-2</v>
      </c>
      <c r="W268">
        <v>0.16701820000000001</v>
      </c>
      <c r="X268">
        <v>0.98409519999999995</v>
      </c>
      <c r="Y268">
        <v>2.00836E-2</v>
      </c>
      <c r="Z268">
        <v>-5.5662089999999995E-4</v>
      </c>
      <c r="AA268">
        <v>0.99979819999999997</v>
      </c>
      <c r="AB268">
        <v>30</v>
      </c>
      <c r="AC268">
        <v>29.555799999999898</v>
      </c>
      <c r="AD268">
        <v>-1.1264270000000001</v>
      </c>
      <c r="AE268">
        <v>-0.59840000000002602</v>
      </c>
      <c r="AF268">
        <v>0.59927944261739896</v>
      </c>
      <c r="AG268">
        <v>-1.1264270000000001</v>
      </c>
      <c r="AH268">
        <v>29.512914136864001</v>
      </c>
      <c r="AI268">
        <v>92.185311792418403</v>
      </c>
      <c r="AJ268">
        <v>88.836730773110204</v>
      </c>
      <c r="AK268">
        <v>29.540481960973199</v>
      </c>
      <c r="AL268">
        <v>80.385504760031495</v>
      </c>
      <c r="AM268">
        <v>93.518685239237996</v>
      </c>
      <c r="AN268">
        <v>1.0000000707588901</v>
      </c>
    </row>
    <row r="269" spans="1:40" x14ac:dyDescent="0.25">
      <c r="A269" t="str">
        <f>"20190304155603007"</f>
        <v>20190304155603007</v>
      </c>
      <c r="B269" t="str">
        <f>"1551686163005381"</f>
        <v>1551686163005381</v>
      </c>
      <c r="C269" t="s">
        <v>40</v>
      </c>
      <c r="D269">
        <v>4.6725529999999997</v>
      </c>
      <c r="E269">
        <v>0.5283175</v>
      </c>
      <c r="F269" t="s">
        <v>44</v>
      </c>
      <c r="G269">
        <v>-404.85410000000002</v>
      </c>
      <c r="H269">
        <v>-0.05</v>
      </c>
      <c r="I269">
        <v>366.63549999999998</v>
      </c>
      <c r="J269">
        <v>-434.95299999999997</v>
      </c>
      <c r="K269">
        <v>1.0742370000000001</v>
      </c>
      <c r="L269">
        <v>367.238</v>
      </c>
      <c r="M269">
        <v>0.99985740000000001</v>
      </c>
      <c r="N269">
        <v>-1.6883840000000001E-2</v>
      </c>
      <c r="O269">
        <v>1.170384E-4</v>
      </c>
      <c r="P269">
        <v>0.98665150000000001</v>
      </c>
      <c r="Q269">
        <v>0.15083469999999999</v>
      </c>
      <c r="R269">
        <v>6.1380770000000001E-2</v>
      </c>
      <c r="S269">
        <v>3.060883</v>
      </c>
      <c r="T269">
        <v>-0.1134386</v>
      </c>
      <c r="U269">
        <v>-6.0668949999999999E-2</v>
      </c>
      <c r="V269">
        <v>-6.1281509999999997E-2</v>
      </c>
      <c r="W269">
        <v>0.1674657</v>
      </c>
      <c r="X269">
        <v>0.9839715</v>
      </c>
      <c r="Y269">
        <v>1.991395E-2</v>
      </c>
      <c r="Z269">
        <v>-5.3943470000000001E-4</v>
      </c>
      <c r="AA269">
        <v>0.99980159999999996</v>
      </c>
      <c r="AB269">
        <v>30</v>
      </c>
      <c r="AC269">
        <v>30.0989</v>
      </c>
      <c r="AD269">
        <v>-1.1242369999999999</v>
      </c>
      <c r="AE269">
        <v>-0.60250000000007697</v>
      </c>
      <c r="AF269">
        <v>0.60517926013338796</v>
      </c>
      <c r="AG269">
        <v>-1.1242369999999999</v>
      </c>
      <c r="AH269">
        <v>30.056912780156999</v>
      </c>
      <c r="AI269">
        <v>92.141636683946501</v>
      </c>
      <c r="AJ269">
        <v>88.846537126001607</v>
      </c>
      <c r="AK269">
        <v>30.084018292825</v>
      </c>
      <c r="AL269">
        <v>80.359498410083006</v>
      </c>
      <c r="AM269">
        <v>93.563764546572202</v>
      </c>
      <c r="AN269">
        <v>1.0000000484783</v>
      </c>
    </row>
    <row r="270" spans="1:40" x14ac:dyDescent="0.25">
      <c r="A270" t="str">
        <f>"20190304155603030"</f>
        <v>20190304155603030</v>
      </c>
      <c r="B270" t="str">
        <f>"1551686163024901"</f>
        <v>1551686163024901</v>
      </c>
      <c r="C270" t="s">
        <v>40</v>
      </c>
      <c r="D270">
        <v>4.640047</v>
      </c>
      <c r="E270">
        <v>0.52828450000000005</v>
      </c>
      <c r="F270" t="s">
        <v>44</v>
      </c>
      <c r="G270">
        <v>-403.65559999999999</v>
      </c>
      <c r="H270">
        <v>-0.05</v>
      </c>
      <c r="I270">
        <v>366.65109999999999</v>
      </c>
      <c r="J270">
        <v>-434.65550000000002</v>
      </c>
      <c r="K270">
        <v>1.072241</v>
      </c>
      <c r="L270">
        <v>367.23809999999997</v>
      </c>
      <c r="M270">
        <v>0.99986750000000002</v>
      </c>
      <c r="N270">
        <v>-1.6280889999999999E-2</v>
      </c>
      <c r="O270">
        <v>1.74568E-4</v>
      </c>
      <c r="P270">
        <v>0.98649010000000004</v>
      </c>
      <c r="Q270">
        <v>0.15173349999999999</v>
      </c>
      <c r="R270">
        <v>6.1759700000000001E-2</v>
      </c>
      <c r="S270">
        <v>3.0609739999999999</v>
      </c>
      <c r="T270">
        <v>-0.1099538</v>
      </c>
      <c r="U270">
        <v>-5.7403559999999999E-2</v>
      </c>
      <c r="V270">
        <v>-6.1602959999999998E-2</v>
      </c>
      <c r="W270">
        <v>0.1677689</v>
      </c>
      <c r="X270">
        <v>0.98389970000000004</v>
      </c>
      <c r="Y270">
        <v>1.8906880000000001E-2</v>
      </c>
      <c r="Z270">
        <v>-4.9687199999999998E-4</v>
      </c>
      <c r="AA270">
        <v>0.99982110000000002</v>
      </c>
      <c r="AB270">
        <v>30</v>
      </c>
      <c r="AC270">
        <v>30.9999</v>
      </c>
      <c r="AD270">
        <v>-1.122241</v>
      </c>
      <c r="AE270">
        <v>-0.58699999999998898</v>
      </c>
      <c r="AF270">
        <v>0.59163720983606605</v>
      </c>
      <c r="AG270">
        <v>-1.122241</v>
      </c>
      <c r="AH270">
        <v>30.959238134793299</v>
      </c>
      <c r="AI270">
        <v>92.075626321374301</v>
      </c>
      <c r="AJ270">
        <v>88.905199497118801</v>
      </c>
      <c r="AK270">
        <v>30.985220433893701</v>
      </c>
      <c r="AL270">
        <v>80.3418763001456</v>
      </c>
      <c r="AM270">
        <v>93.582670337619007</v>
      </c>
      <c r="AN270">
        <v>0.99999997407402996</v>
      </c>
    </row>
    <row r="271" spans="1:40" x14ac:dyDescent="0.25">
      <c r="A271" t="str">
        <f>"20190304155603053"</f>
        <v>20190304155603053</v>
      </c>
      <c r="B271" t="str">
        <f>"1551686163045397"</f>
        <v>1551686163045397</v>
      </c>
      <c r="C271" t="s">
        <v>40</v>
      </c>
      <c r="D271">
        <v>4.5261239999999896</v>
      </c>
      <c r="E271">
        <v>0.52829119999999996</v>
      </c>
      <c r="F271" t="s">
        <v>44</v>
      </c>
      <c r="G271">
        <v>-402.38319999999999</v>
      </c>
      <c r="H271">
        <v>-0.05</v>
      </c>
      <c r="I271">
        <v>366.65730000000002</v>
      </c>
      <c r="J271">
        <v>-434.351</v>
      </c>
      <c r="K271">
        <v>1.070438</v>
      </c>
      <c r="L271">
        <v>367.23820000000001</v>
      </c>
      <c r="M271">
        <v>0.99987680000000001</v>
      </c>
      <c r="N271">
        <v>-1.570303E-2</v>
      </c>
      <c r="O271">
        <v>2.337432E-4</v>
      </c>
      <c r="P271">
        <v>0.98630370000000001</v>
      </c>
      <c r="Q271">
        <v>0.15277669999999999</v>
      </c>
      <c r="R271">
        <v>6.2166180000000001E-2</v>
      </c>
      <c r="S271">
        <v>3.0609130000000002</v>
      </c>
      <c r="T271">
        <v>-0.1064407</v>
      </c>
      <c r="U271">
        <v>-5.5084229999999998E-2</v>
      </c>
      <c r="V271">
        <v>-6.1951180000000002E-2</v>
      </c>
      <c r="W271">
        <v>0.16824040000000001</v>
      </c>
      <c r="X271">
        <v>0.98379740000000004</v>
      </c>
      <c r="Y271">
        <v>1.8210810000000001E-2</v>
      </c>
      <c r="Z271">
        <v>-4.6403239999999999E-4</v>
      </c>
      <c r="AA271">
        <v>0.99983409999999995</v>
      </c>
      <c r="AB271">
        <v>30</v>
      </c>
      <c r="AC271">
        <v>31.9678</v>
      </c>
      <c r="AD271">
        <v>-1.1204379999999901</v>
      </c>
      <c r="AE271">
        <v>-0.58089999999998498</v>
      </c>
      <c r="AF271">
        <v>0.58765151045282205</v>
      </c>
      <c r="AG271">
        <v>-1.1204379999999901</v>
      </c>
      <c r="AH271">
        <v>31.928454426762499</v>
      </c>
      <c r="AI271">
        <v>92.009467111365197</v>
      </c>
      <c r="AJ271">
        <v>88.945575324226098</v>
      </c>
      <c r="AK271">
        <v>31.953511820947501</v>
      </c>
      <c r="AL271">
        <v>80.314472584954601</v>
      </c>
      <c r="AM271">
        <v>93.603242383926201</v>
      </c>
      <c r="AN271">
        <v>1.0000000525711501</v>
      </c>
    </row>
    <row r="272" spans="1:40" x14ac:dyDescent="0.25">
      <c r="A272" t="str">
        <f>"20190304155603075"</f>
        <v>20190304155603075</v>
      </c>
      <c r="B272" t="str">
        <f>"1551686163064919"</f>
        <v>1551686163064919</v>
      </c>
      <c r="C272" t="s">
        <v>40</v>
      </c>
      <c r="D272">
        <v>4.6452879999999999</v>
      </c>
      <c r="E272">
        <v>0.52827979999999997</v>
      </c>
      <c r="F272" t="s">
        <v>44</v>
      </c>
      <c r="G272">
        <v>-401.11880000000002</v>
      </c>
      <c r="H272">
        <v>-0.05</v>
      </c>
      <c r="I272">
        <v>366.65780000000001</v>
      </c>
      <c r="J272">
        <v>-434.05099999999999</v>
      </c>
      <c r="K272">
        <v>1.0688850000000001</v>
      </c>
      <c r="L272">
        <v>367.23829999999998</v>
      </c>
      <c r="M272">
        <v>0.99988480000000002</v>
      </c>
      <c r="N272">
        <v>-1.5179130000000001E-2</v>
      </c>
      <c r="O272">
        <v>2.92403E-4</v>
      </c>
      <c r="P272">
        <v>0.98623419999999895</v>
      </c>
      <c r="Q272">
        <v>0.15321019999999999</v>
      </c>
      <c r="R272">
        <v>6.219935E-2</v>
      </c>
      <c r="S272">
        <v>3.061035</v>
      </c>
      <c r="T272">
        <v>-0.1032045</v>
      </c>
      <c r="U272">
        <v>-5.3466800000000002E-2</v>
      </c>
      <c r="V272">
        <v>-6.1926269999999999E-2</v>
      </c>
      <c r="W272">
        <v>0.16815720000000001</v>
      </c>
      <c r="X272">
        <v>0.98381320000000005</v>
      </c>
      <c r="Y272">
        <v>1.7741960000000001E-2</v>
      </c>
      <c r="Z272">
        <v>-4.3912690000000001E-4</v>
      </c>
      <c r="AA272">
        <v>0.99984249999999997</v>
      </c>
      <c r="AB272">
        <v>30</v>
      </c>
      <c r="AC272">
        <v>32.932199999999902</v>
      </c>
      <c r="AD272">
        <v>-1.1188849999999999</v>
      </c>
      <c r="AE272">
        <v>-0.58049999999997204</v>
      </c>
      <c r="AF272">
        <v>0.58945035030416904</v>
      </c>
      <c r="AG272">
        <v>-1.1188849999999999</v>
      </c>
      <c r="AH272">
        <v>32.8940700644782</v>
      </c>
      <c r="AI272">
        <v>91.947840524097899</v>
      </c>
      <c r="AJ272">
        <v>88.973389339205895</v>
      </c>
      <c r="AK272">
        <v>32.918371781810499</v>
      </c>
      <c r="AL272">
        <v>80.319308559534605</v>
      </c>
      <c r="AM272">
        <v>93.601739675562001</v>
      </c>
      <c r="AN272">
        <v>1.0000000596610901</v>
      </c>
    </row>
    <row r="273" spans="1:40" x14ac:dyDescent="0.25">
      <c r="A273" t="str">
        <f>"20190304155603099"</f>
        <v>20190304155603099</v>
      </c>
      <c r="B273" t="str">
        <f>"1551686163095172"</f>
        <v>1551686163095172</v>
      </c>
      <c r="C273" t="s">
        <v>40</v>
      </c>
      <c r="D273">
        <v>4.5972200000000001</v>
      </c>
      <c r="E273">
        <v>0.52835769999999904</v>
      </c>
      <c r="F273" t="s">
        <v>44</v>
      </c>
      <c r="G273">
        <v>-399.89240000000001</v>
      </c>
      <c r="H273">
        <v>-0.05</v>
      </c>
      <c r="I273">
        <v>366.642</v>
      </c>
      <c r="J273">
        <v>-433.74040000000002</v>
      </c>
      <c r="K273">
        <v>1.0674779999999999</v>
      </c>
      <c r="L273">
        <v>367.23849999999999</v>
      </c>
      <c r="M273">
        <v>0.99989209999999995</v>
      </c>
      <c r="N273">
        <v>-1.469113E-2</v>
      </c>
      <c r="O273">
        <v>3.529308E-4</v>
      </c>
      <c r="P273">
        <v>0.98617880000000002</v>
      </c>
      <c r="Q273">
        <v>0.15359929999999999</v>
      </c>
      <c r="R273">
        <v>6.211883E-2</v>
      </c>
      <c r="S273">
        <v>3.0608219999999999</v>
      </c>
      <c r="T273">
        <v>-0.1002591</v>
      </c>
      <c r="U273">
        <v>-5.3436280000000003E-2</v>
      </c>
      <c r="V273">
        <v>-6.178558E-2</v>
      </c>
      <c r="W273">
        <v>0.16806599999999999</v>
      </c>
      <c r="X273">
        <v>0.98383750000000003</v>
      </c>
      <c r="Y273">
        <v>1.7794529999999999E-2</v>
      </c>
      <c r="Z273">
        <v>-4.28486E-4</v>
      </c>
      <c r="AA273">
        <v>0.9998416</v>
      </c>
      <c r="AB273">
        <v>30</v>
      </c>
      <c r="AC273">
        <v>33.847999999999999</v>
      </c>
      <c r="AD273">
        <v>-1.117478</v>
      </c>
      <c r="AE273">
        <v>-0.59649999999999104</v>
      </c>
      <c r="AF273">
        <v>0.60778499516740303</v>
      </c>
      <c r="AG273">
        <v>-1.117478</v>
      </c>
      <c r="AH273">
        <v>33.810946091425102</v>
      </c>
      <c r="AI273">
        <v>91.892675348703193</v>
      </c>
      <c r="AJ273">
        <v>88.9701629526338</v>
      </c>
      <c r="AK273">
        <v>33.834867153250201</v>
      </c>
      <c r="AL273">
        <v>80.324608131851207</v>
      </c>
      <c r="AM273">
        <v>93.593489841160107</v>
      </c>
      <c r="AN273">
        <v>0.99999993232909001</v>
      </c>
    </row>
    <row r="274" spans="1:40" x14ac:dyDescent="0.25">
      <c r="A274" t="str">
        <f>"20190304155603120"</f>
        <v>20190304155603120</v>
      </c>
      <c r="B274" t="str">
        <f>"1551686163115669"</f>
        <v>1551686163115669</v>
      </c>
      <c r="C274" t="s">
        <v>40</v>
      </c>
      <c r="D274">
        <v>4.4271839999999996</v>
      </c>
      <c r="E274">
        <v>0.52832469999999998</v>
      </c>
      <c r="F274" t="s">
        <v>44</v>
      </c>
      <c r="G274">
        <v>-398.63069999999999</v>
      </c>
      <c r="H274">
        <v>-0.05</v>
      </c>
      <c r="I274">
        <v>366.61680000000001</v>
      </c>
      <c r="J274">
        <v>-433.45890000000003</v>
      </c>
      <c r="K274">
        <v>1.06637</v>
      </c>
      <c r="L274">
        <v>367.23869999999999</v>
      </c>
      <c r="M274">
        <v>0.9998977</v>
      </c>
      <c r="N274">
        <v>-1.429879E-2</v>
      </c>
      <c r="O274">
        <v>4.0801850000000002E-4</v>
      </c>
      <c r="P274">
        <v>0.98621490000000001</v>
      </c>
      <c r="Q274">
        <v>0.15342549999999999</v>
      </c>
      <c r="R274">
        <v>6.1975570000000001E-2</v>
      </c>
      <c r="S274">
        <v>3.0606080000000002</v>
      </c>
      <c r="T274">
        <v>-9.7413540000000007E-2</v>
      </c>
      <c r="U274">
        <v>-5.4199219999999999E-2</v>
      </c>
      <c r="V274">
        <v>-6.1587450000000002E-2</v>
      </c>
      <c r="W274">
        <v>0.16750660000000001</v>
      </c>
      <c r="X274">
        <v>0.98394539999999997</v>
      </c>
      <c r="Y274">
        <v>1.8100519999999998E-2</v>
      </c>
      <c r="Z274">
        <v>-4.2457870000000002E-4</v>
      </c>
      <c r="AA274">
        <v>0.99983610000000001</v>
      </c>
      <c r="AB274">
        <v>30</v>
      </c>
      <c r="AC274">
        <v>34.828200000000002</v>
      </c>
      <c r="AD274">
        <v>-1.1163700000000001</v>
      </c>
      <c r="AE274">
        <v>-0.62189999999998202</v>
      </c>
      <c r="AF274">
        <v>0.635459266015026</v>
      </c>
      <c r="AG274">
        <v>-1.1163700000000001</v>
      </c>
      <c r="AH274">
        <v>34.792207997782697</v>
      </c>
      <c r="AI274">
        <v>91.837500410028099</v>
      </c>
      <c r="AJ274">
        <v>88.953642544103005</v>
      </c>
      <c r="AK274">
        <v>34.815913427865603</v>
      </c>
      <c r="AL274">
        <v>80.357121087545295</v>
      </c>
      <c r="AM274">
        <v>93.581604739574104</v>
      </c>
      <c r="AN274">
        <v>1.0000000126111099</v>
      </c>
    </row>
    <row r="275" spans="1:40" x14ac:dyDescent="0.25">
      <c r="A275" t="str">
        <f>"20190304155603142"</f>
        <v>20190304155603142</v>
      </c>
      <c r="B275" t="str">
        <f>"1551686163135189"</f>
        <v>1551686163135189</v>
      </c>
      <c r="C275" t="s">
        <v>40</v>
      </c>
      <c r="D275">
        <v>4.6354620000000004</v>
      </c>
      <c r="E275">
        <v>0.52823260000000005</v>
      </c>
      <c r="F275" t="s">
        <v>44</v>
      </c>
      <c r="G275">
        <v>-398.42059999999998</v>
      </c>
      <c r="H275">
        <v>-0.05</v>
      </c>
      <c r="I275">
        <v>366.6112</v>
      </c>
      <c r="J275">
        <v>-433.16789999999997</v>
      </c>
      <c r="K275">
        <v>1.065383</v>
      </c>
      <c r="L275">
        <v>367.2389</v>
      </c>
      <c r="M275">
        <v>0.99990279999999998</v>
      </c>
      <c r="N275">
        <v>-1.394185E-2</v>
      </c>
      <c r="O275">
        <v>4.6463560000000001E-4</v>
      </c>
      <c r="P275">
        <v>0.98620839999999999</v>
      </c>
      <c r="Q275">
        <v>0.1532511</v>
      </c>
      <c r="R275">
        <v>6.2509270000000006E-2</v>
      </c>
      <c r="S275">
        <v>3.0605159999999998</v>
      </c>
      <c r="T275">
        <v>-9.7512479999999999E-2</v>
      </c>
      <c r="U275">
        <v>-5.4809570000000002E-2</v>
      </c>
      <c r="V275">
        <v>-6.2065530000000001E-2</v>
      </c>
      <c r="W275">
        <v>0.16698099999999999</v>
      </c>
      <c r="X275">
        <v>0.98400469999999896</v>
      </c>
      <c r="Y275">
        <v>1.8356870000000001E-2</v>
      </c>
      <c r="Z275">
        <v>-4.2869050000000003E-4</v>
      </c>
      <c r="AA275">
        <v>0.99983140000000004</v>
      </c>
      <c r="AB275">
        <v>30</v>
      </c>
      <c r="AC275">
        <v>34.747300000000003</v>
      </c>
      <c r="AD275">
        <v>-1.115383</v>
      </c>
      <c r="AE275">
        <v>-0.62770000000000403</v>
      </c>
      <c r="AF275">
        <v>0.64318381200696395</v>
      </c>
      <c r="AG275">
        <v>-1.115383</v>
      </c>
      <c r="AH275">
        <v>34.711249759423602</v>
      </c>
      <c r="AI275">
        <v>91.840146931542805</v>
      </c>
      <c r="AJ275">
        <v>88.938456512071696</v>
      </c>
      <c r="AK275">
        <v>34.735120908294</v>
      </c>
      <c r="AL275">
        <v>80.387665998891606</v>
      </c>
      <c r="AM275">
        <v>93.609117226747799</v>
      </c>
      <c r="AN275">
        <v>1.0000000169986301</v>
      </c>
    </row>
    <row r="276" spans="1:40" x14ac:dyDescent="0.25">
      <c r="A276" t="str">
        <f>"20190304155603164"</f>
        <v>20190304155603164</v>
      </c>
      <c r="B276" t="str">
        <f>"1551686163155688"</f>
        <v>1551686163155688</v>
      </c>
      <c r="C276" t="s">
        <v>40</v>
      </c>
      <c r="D276">
        <v>4.6460400000000002</v>
      </c>
      <c r="E276">
        <v>0.52821180000000001</v>
      </c>
      <c r="F276" t="s">
        <v>41</v>
      </c>
      <c r="G276">
        <v>-399.46519999999998</v>
      </c>
      <c r="H276" s="1">
        <v>-9.526547E-7</v>
      </c>
      <c r="I276">
        <v>366.66739999999999</v>
      </c>
      <c r="J276">
        <v>-432.86419999999998</v>
      </c>
      <c r="K276">
        <v>1.0644960000000001</v>
      </c>
      <c r="L276">
        <v>367.23899999999998</v>
      </c>
      <c r="M276">
        <v>0.9999072</v>
      </c>
      <c r="N276">
        <v>-1.361475E-2</v>
      </c>
      <c r="O276">
        <v>5.2367229999999998E-4</v>
      </c>
      <c r="P276">
        <v>0.98615580000000003</v>
      </c>
      <c r="Q276">
        <v>0.1533986</v>
      </c>
      <c r="R276">
        <v>6.2971959999999993E-2</v>
      </c>
      <c r="S276">
        <v>3.0602719999999999</v>
      </c>
      <c r="T276">
        <v>-9.6738699999999997E-2</v>
      </c>
      <c r="U276">
        <v>-5.1879880000000003E-2</v>
      </c>
      <c r="V276">
        <v>-6.2469499999999997E-2</v>
      </c>
      <c r="W276">
        <v>0.1668056</v>
      </c>
      <c r="X276">
        <v>0.98400880000000002</v>
      </c>
      <c r="Y276">
        <v>1.746135E-2</v>
      </c>
      <c r="Z276">
        <v>-4.0424040000000002E-4</v>
      </c>
      <c r="AA276">
        <v>0.9998475</v>
      </c>
      <c r="AB276">
        <v>30</v>
      </c>
      <c r="AC276">
        <v>33.399000000000001</v>
      </c>
      <c r="AD276">
        <v>-1.0644969526546999</v>
      </c>
      <c r="AE276">
        <v>-0.57160000000004596</v>
      </c>
      <c r="AF276">
        <v>0.58849403752676199</v>
      </c>
      <c r="AG276">
        <v>-1.0644969526546999</v>
      </c>
      <c r="AH276">
        <v>33.3648129382644</v>
      </c>
      <c r="AI276">
        <v>91.827105260719193</v>
      </c>
      <c r="AJ276">
        <v>88.989512433361597</v>
      </c>
      <c r="AK276">
        <v>33.3869768233033</v>
      </c>
      <c r="AL276">
        <v>80.397857811928503</v>
      </c>
      <c r="AM276">
        <v>93.632530335247907</v>
      </c>
      <c r="AN276">
        <v>0.99999993254952202</v>
      </c>
    </row>
    <row r="277" spans="1:40" x14ac:dyDescent="0.25">
      <c r="A277" t="str">
        <f>"20190304155603185"</f>
        <v>20190304155603185</v>
      </c>
      <c r="B277" t="str">
        <f>"1551686163175208"</f>
        <v>1551686163175208</v>
      </c>
      <c r="C277" t="s">
        <v>40</v>
      </c>
      <c r="D277">
        <v>4.6585289999999997</v>
      </c>
      <c r="E277">
        <v>0.52817230000000004</v>
      </c>
      <c r="F277" t="s">
        <v>41</v>
      </c>
      <c r="G277">
        <v>-398.70639999999997</v>
      </c>
      <c r="H277" s="1">
        <v>-1.208899E-6</v>
      </c>
      <c r="I277">
        <v>366.67489999999998</v>
      </c>
      <c r="J277">
        <v>-432.57839999999999</v>
      </c>
      <c r="K277">
        <v>1.063785</v>
      </c>
      <c r="L277">
        <v>367.23930000000001</v>
      </c>
      <c r="M277">
        <v>0.99991079999999999</v>
      </c>
      <c r="N277">
        <v>-1.334625E-2</v>
      </c>
      <c r="O277">
        <v>5.7934510000000002E-4</v>
      </c>
      <c r="P277">
        <v>0.98612770000000005</v>
      </c>
      <c r="Q277">
        <v>0.153504</v>
      </c>
      <c r="R277">
        <v>6.3156439999999994E-2</v>
      </c>
      <c r="S277">
        <v>3.0601500000000001</v>
      </c>
      <c r="T277">
        <v>-9.5366480000000003E-2</v>
      </c>
      <c r="U277">
        <v>-5.0537110000000003E-2</v>
      </c>
      <c r="V277">
        <v>-6.2598849999999998E-2</v>
      </c>
      <c r="W277">
        <v>0.16664670000000001</v>
      </c>
      <c r="X277">
        <v>0.9840276</v>
      </c>
      <c r="Y277">
        <v>1.7079710000000001E-2</v>
      </c>
      <c r="Z277">
        <v>-3.9039899999999999E-4</v>
      </c>
      <c r="AA277">
        <v>0.99985400000000002</v>
      </c>
      <c r="AB277">
        <v>30</v>
      </c>
      <c r="AC277">
        <v>33.872</v>
      </c>
      <c r="AD277">
        <v>-1.063786208899</v>
      </c>
      <c r="AE277">
        <v>-0.56440000000003399</v>
      </c>
      <c r="AF277">
        <v>0.58344990902098803</v>
      </c>
      <c r="AG277">
        <v>-1.063786208899</v>
      </c>
      <c r="AH277">
        <v>33.838300468454896</v>
      </c>
      <c r="AI277">
        <v>91.800366527329501</v>
      </c>
      <c r="AJ277">
        <v>89.012187235359207</v>
      </c>
      <c r="AK277">
        <v>33.860044794536499</v>
      </c>
      <c r="AL277">
        <v>80.4070922768543</v>
      </c>
      <c r="AM277">
        <v>93.639962332634198</v>
      </c>
      <c r="AN277">
        <v>1.0000000281019801</v>
      </c>
    </row>
    <row r="278" spans="1:40" x14ac:dyDescent="0.25">
      <c r="A278" t="str">
        <f>"20190304155603199"</f>
        <v>20190304155603199</v>
      </c>
      <c r="B278" t="str">
        <f>"1551686163195701"</f>
        <v>1551686163195701</v>
      </c>
      <c r="C278" t="s">
        <v>40</v>
      </c>
      <c r="D278">
        <v>4.9662369999999996</v>
      </c>
      <c r="E278">
        <v>0.52825049999999996</v>
      </c>
      <c r="F278" t="s">
        <v>41</v>
      </c>
      <c r="G278">
        <v>-397.79790000000003</v>
      </c>
      <c r="H278" s="1">
        <v>-1.517527E-6</v>
      </c>
      <c r="I278">
        <v>366.67689999999999</v>
      </c>
      <c r="J278">
        <v>-432.40269999999998</v>
      </c>
      <c r="K278">
        <v>1.063404</v>
      </c>
      <c r="L278">
        <v>367.23939999999999</v>
      </c>
      <c r="M278">
        <v>0.99991280000000005</v>
      </c>
      <c r="N278">
        <v>-1.3200150000000001E-2</v>
      </c>
      <c r="O278">
        <v>6.133852E-4</v>
      </c>
      <c r="P278">
        <v>0.98609950000000002</v>
      </c>
      <c r="Q278">
        <v>0.15369079999999999</v>
      </c>
      <c r="R278">
        <v>6.3142450000000003E-2</v>
      </c>
      <c r="S278">
        <v>3.0599059999999998</v>
      </c>
      <c r="T278">
        <v>-9.3589069999999996E-2</v>
      </c>
      <c r="U278">
        <v>-4.9468989999999997E-2</v>
      </c>
      <c r="V278">
        <v>-6.2551449999999995E-2</v>
      </c>
      <c r="W278">
        <v>0.16668949999999999</v>
      </c>
      <c r="X278">
        <v>0.98402330000000005</v>
      </c>
      <c r="Y278">
        <v>1.6766759999999999E-2</v>
      </c>
      <c r="Z278">
        <v>-3.777047E-4</v>
      </c>
      <c r="AA278">
        <v>0.99985930000000001</v>
      </c>
      <c r="AB278">
        <v>30</v>
      </c>
      <c r="AC278">
        <v>34.604799999999898</v>
      </c>
      <c r="AD278">
        <v>-1.0634055175270001</v>
      </c>
      <c r="AE278">
        <v>-0.5625</v>
      </c>
      <c r="AF278">
        <v>0.58317724541336502</v>
      </c>
      <c r="AG278">
        <v>-1.0634055175270001</v>
      </c>
      <c r="AH278">
        <v>34.571809755515602</v>
      </c>
      <c r="AI278">
        <v>91.761573526255603</v>
      </c>
      <c r="AJ278">
        <v>89.033593370428804</v>
      </c>
      <c r="AK278">
        <v>34.593076717254299</v>
      </c>
      <c r="AL278">
        <v>80.404604611706006</v>
      </c>
      <c r="AM278">
        <v>93.6372293972411</v>
      </c>
      <c r="AN278">
        <v>0.99999996412512004</v>
      </c>
    </row>
    <row r="279" spans="1:40" x14ac:dyDescent="0.25">
      <c r="A279" t="str">
        <f>"20190304155603220"</f>
        <v>20190304155603220</v>
      </c>
      <c r="B279" t="str">
        <f>"1551686163215220"</f>
        <v>1551686163215220</v>
      </c>
      <c r="C279" t="s">
        <v>40</v>
      </c>
      <c r="D279">
        <v>4.6744529999999997</v>
      </c>
      <c r="E279">
        <v>0.52821379999999996</v>
      </c>
      <c r="F279" t="s">
        <v>41</v>
      </c>
      <c r="G279">
        <v>-396.75409999999999</v>
      </c>
      <c r="H279" s="1">
        <v>-1.899924E-6</v>
      </c>
      <c r="I279">
        <v>366.65589999999997</v>
      </c>
      <c r="J279">
        <v>-432.13029999999998</v>
      </c>
      <c r="K279">
        <v>1.0628759999999999</v>
      </c>
      <c r="L279">
        <v>367.2396</v>
      </c>
      <c r="M279">
        <v>0.99991540000000001</v>
      </c>
      <c r="N279">
        <v>-1.299457E-2</v>
      </c>
      <c r="O279">
        <v>6.6609949999999905E-4</v>
      </c>
      <c r="P279">
        <v>0.98630099999999998</v>
      </c>
      <c r="Q279">
        <v>0.15274589999999999</v>
      </c>
      <c r="R279">
        <v>6.2282490000000003E-2</v>
      </c>
      <c r="S279">
        <v>3.059723</v>
      </c>
      <c r="T279">
        <v>-9.1272000000000006E-2</v>
      </c>
      <c r="U279">
        <v>-5.0079350000000002E-2</v>
      </c>
      <c r="V279">
        <v>-6.1639119999999999E-2</v>
      </c>
      <c r="W279">
        <v>0.165545</v>
      </c>
      <c r="X279">
        <v>0.98427410000000004</v>
      </c>
      <c r="Y279">
        <v>1.7020190000000001E-2</v>
      </c>
      <c r="Z279">
        <v>-3.7562620000000001E-4</v>
      </c>
      <c r="AA279">
        <v>0.9998551</v>
      </c>
      <c r="AB279">
        <v>30</v>
      </c>
      <c r="AC279">
        <v>35.376199999999898</v>
      </c>
      <c r="AD279">
        <v>-1.0628778999239901</v>
      </c>
      <c r="AE279">
        <v>-0.58370000000002098</v>
      </c>
      <c r="AF279">
        <v>0.60671839125233495</v>
      </c>
      <c r="AG279">
        <v>-1.0628778999239901</v>
      </c>
      <c r="AH279">
        <v>35.343906984477997</v>
      </c>
      <c r="AI279">
        <v>91.722251796802496</v>
      </c>
      <c r="AJ279">
        <v>89.0165493238068</v>
      </c>
      <c r="AK279">
        <v>35.365089814163703</v>
      </c>
      <c r="AL279">
        <v>80.471104073067593</v>
      </c>
      <c r="AM279">
        <v>93.583407801496094</v>
      </c>
      <c r="AN279">
        <v>1.0000000160350899</v>
      </c>
    </row>
    <row r="280" spans="1:40" x14ac:dyDescent="0.25">
      <c r="A280" t="str">
        <f>"20190304155603233"</f>
        <v>20190304155603233</v>
      </c>
      <c r="B280" t="str">
        <f>"1551686163224981"</f>
        <v>1551686163224981</v>
      </c>
      <c r="C280" t="s">
        <v>40</v>
      </c>
      <c r="D280">
        <v>4.6089859999999998</v>
      </c>
      <c r="E280">
        <v>0.52821479999999998</v>
      </c>
      <c r="F280" t="s">
        <v>41</v>
      </c>
      <c r="G280">
        <v>-397.08850000000001</v>
      </c>
      <c r="H280" s="1">
        <v>-1.7685479999999999E-6</v>
      </c>
      <c r="I280">
        <v>366.64069999999998</v>
      </c>
      <c r="J280">
        <v>-431.94900000000001</v>
      </c>
      <c r="K280">
        <v>1.0625659999999999</v>
      </c>
      <c r="L280">
        <v>367.23970000000003</v>
      </c>
      <c r="M280">
        <v>0.99991699999999994</v>
      </c>
      <c r="N280">
        <v>-1.287015E-2</v>
      </c>
      <c r="O280">
        <v>7.0093259999999904E-4</v>
      </c>
      <c r="P280">
        <v>0.98642269999999999</v>
      </c>
      <c r="Q280">
        <v>0.15203239999999901</v>
      </c>
      <c r="R280">
        <v>6.2101820000000002E-2</v>
      </c>
      <c r="S280">
        <v>3.0592959999999998</v>
      </c>
      <c r="T280">
        <v>-9.2793459999999994E-2</v>
      </c>
      <c r="U280">
        <v>-5.2276610000000001E-2</v>
      </c>
      <c r="V280">
        <v>-6.1423949999999998E-2</v>
      </c>
      <c r="W280">
        <v>0.16471069999999999</v>
      </c>
      <c r="X280">
        <v>0.98442750000000001</v>
      </c>
      <c r="Y280">
        <v>1.7774430000000001E-2</v>
      </c>
      <c r="Z280">
        <v>-3.9614700000000001E-4</v>
      </c>
      <c r="AA280">
        <v>0.99984189999999995</v>
      </c>
      <c r="AB280">
        <v>30</v>
      </c>
      <c r="AC280">
        <v>34.860500000000002</v>
      </c>
      <c r="AD280">
        <v>-1.0625677685479999</v>
      </c>
      <c r="AE280">
        <v>-0.59900000000004605</v>
      </c>
      <c r="AF280">
        <v>0.62285823107194205</v>
      </c>
      <c r="AG280">
        <v>-1.0625677685479999</v>
      </c>
      <c r="AH280">
        <v>34.8277238764055</v>
      </c>
      <c r="AI280">
        <v>91.747230030553595</v>
      </c>
      <c r="AJ280">
        <v>88.975432788946193</v>
      </c>
      <c r="AK280">
        <v>34.849495735948899</v>
      </c>
      <c r="AL280">
        <v>80.519571230300699</v>
      </c>
      <c r="AM280">
        <v>93.570376249695897</v>
      </c>
      <c r="AN280">
        <v>1.0000000095421699</v>
      </c>
    </row>
    <row r="281" spans="1:40" x14ac:dyDescent="0.25">
      <c r="A281" t="str">
        <f>"20190304155603253"</f>
        <v>20190304155603253</v>
      </c>
      <c r="B281" t="str">
        <f>"1551686163245477"</f>
        <v>1551686163245477</v>
      </c>
      <c r="C281" t="s">
        <v>40</v>
      </c>
      <c r="D281">
        <v>4.6313769999999996</v>
      </c>
      <c r="E281">
        <v>0.52852650000000001</v>
      </c>
      <c r="F281" t="s">
        <v>41</v>
      </c>
      <c r="G281">
        <v>-397.6397</v>
      </c>
      <c r="H281" s="1">
        <v>-1.5784250000000001E-6</v>
      </c>
      <c r="I281">
        <v>366.65030000000002</v>
      </c>
      <c r="J281">
        <v>-431.68439999999998</v>
      </c>
      <c r="K281">
        <v>1.0621640000000001</v>
      </c>
      <c r="L281">
        <v>367.24</v>
      </c>
      <c r="M281">
        <v>0.999919</v>
      </c>
      <c r="N281">
        <v>-1.2707339999999999E-2</v>
      </c>
      <c r="O281">
        <v>7.5185149999999995E-4</v>
      </c>
      <c r="P281">
        <v>0.98675330000000006</v>
      </c>
      <c r="Q281">
        <v>0.1502097</v>
      </c>
      <c r="R281">
        <v>6.1278720000000002E-2</v>
      </c>
      <c r="S281">
        <v>3.0591740000000001</v>
      </c>
      <c r="T281">
        <v>-9.4743250000000001E-2</v>
      </c>
      <c r="U281">
        <v>-5.2551269999999997E-2</v>
      </c>
      <c r="V281">
        <v>-6.0550310000000003E-2</v>
      </c>
      <c r="W281">
        <v>0.16273219999999999</v>
      </c>
      <c r="X281">
        <v>0.98481059999999998</v>
      </c>
      <c r="Y281">
        <v>1.7915279999999999E-2</v>
      </c>
      <c r="Z281">
        <v>-4.0493769999999998E-4</v>
      </c>
      <c r="AA281">
        <v>0.99983940000000004</v>
      </c>
      <c r="AB281">
        <v>30</v>
      </c>
      <c r="AC281">
        <v>34.044699999999899</v>
      </c>
      <c r="AD281">
        <v>-1.0621655784249999</v>
      </c>
      <c r="AE281">
        <v>-0.58969999999999301</v>
      </c>
      <c r="AF281">
        <v>0.61470029666648196</v>
      </c>
      <c r="AG281">
        <v>-1.0621655784249999</v>
      </c>
      <c r="AH281">
        <v>34.011150900099601</v>
      </c>
      <c r="AI281">
        <v>91.788469436935799</v>
      </c>
      <c r="AJ281">
        <v>88.964577862598006</v>
      </c>
      <c r="AK281">
        <v>34.0332842629103</v>
      </c>
      <c r="AL281">
        <v>80.634481515195802</v>
      </c>
      <c r="AM281">
        <v>93.518357188142204</v>
      </c>
      <c r="AN281">
        <v>1.0000000134151401</v>
      </c>
    </row>
    <row r="282" spans="1:40" x14ac:dyDescent="0.25">
      <c r="A282" t="str">
        <f>"20190304155603275"</f>
        <v>20190304155603275</v>
      </c>
      <c r="B282" t="str">
        <f>"1551686163265000"</f>
        <v>1551686163265000</v>
      </c>
      <c r="C282" t="s">
        <v>40</v>
      </c>
      <c r="D282">
        <v>4.6681699999999999</v>
      </c>
      <c r="E282">
        <v>0.52651569999999903</v>
      </c>
      <c r="F282" t="s">
        <v>43</v>
      </c>
      <c r="G282">
        <v>-169.61410000000001</v>
      </c>
      <c r="H282">
        <v>6.6740890000000004</v>
      </c>
      <c r="I282">
        <v>362.63189999999997</v>
      </c>
      <c r="J282">
        <v>-431.38299999999998</v>
      </c>
      <c r="K282">
        <v>1.0617749999999999</v>
      </c>
      <c r="L282">
        <v>367.24029999999999</v>
      </c>
      <c r="M282">
        <v>0.99992099999999995</v>
      </c>
      <c r="N282">
        <v>-1.2544059999999999E-2</v>
      </c>
      <c r="O282">
        <v>8.0799810000000002E-4</v>
      </c>
      <c r="P282">
        <v>0.98698790000000003</v>
      </c>
      <c r="Q282">
        <v>0.1490098</v>
      </c>
      <c r="R282">
        <v>6.0425529999999998E-2</v>
      </c>
      <c r="S282">
        <v>3.033722</v>
      </c>
      <c r="T282">
        <v>6.4964530000000006E-2</v>
      </c>
      <c r="U282">
        <v>-5.334473E-2</v>
      </c>
      <c r="V282">
        <v>-5.9641479999999997E-2</v>
      </c>
      <c r="W282">
        <v>0.16137470000000001</v>
      </c>
      <c r="X282">
        <v>0.9850894</v>
      </c>
      <c r="Y282">
        <v>1.8386920000000001E-2</v>
      </c>
      <c r="Z282">
        <v>1.0892270000000001E-4</v>
      </c>
      <c r="AA282">
        <v>0.99983100000000003</v>
      </c>
      <c r="AB282">
        <v>30</v>
      </c>
      <c r="AC282">
        <v>261.76889999999997</v>
      </c>
      <c r="AD282">
        <v>5.6123139999999996</v>
      </c>
      <c r="AE282">
        <v>-4.6084000000000103</v>
      </c>
      <c r="AF282">
        <v>4.8177100316200097</v>
      </c>
      <c r="AG282">
        <v>5.6123139999999996</v>
      </c>
      <c r="AH282">
        <v>261.644857177093</v>
      </c>
      <c r="AI282">
        <v>88.771395196261594</v>
      </c>
      <c r="AJ282">
        <v>88.945122541104894</v>
      </c>
      <c r="AK282">
        <v>261.74938335286498</v>
      </c>
      <c r="AL282">
        <v>80.713302393085598</v>
      </c>
      <c r="AM282">
        <v>93.464699623894703</v>
      </c>
      <c r="AN282">
        <v>1.0000000129645199</v>
      </c>
    </row>
    <row r="283" spans="1:40" x14ac:dyDescent="0.25">
      <c r="A283" t="str">
        <f>"20190304155603288"</f>
        <v>20190304155603288</v>
      </c>
      <c r="B283" t="str">
        <f>"1551686163285493"</f>
        <v>1551686163285493</v>
      </c>
      <c r="C283" t="s">
        <v>40</v>
      </c>
      <c r="D283">
        <v>4.6995170000000002</v>
      </c>
      <c r="E283">
        <v>0.52590539999999997</v>
      </c>
      <c r="F283" t="s">
        <v>41</v>
      </c>
      <c r="G283">
        <v>-329.58600000000001</v>
      </c>
      <c r="H283" s="1">
        <v>-1.1281320000000001E-6</v>
      </c>
      <c r="I283">
        <v>365.85359999999997</v>
      </c>
      <c r="J283">
        <v>-431.21019999999999</v>
      </c>
      <c r="K283">
        <v>1.0615810000000001</v>
      </c>
      <c r="L283">
        <v>367.2405</v>
      </c>
      <c r="M283">
        <v>0.99992219999999998</v>
      </c>
      <c r="N283">
        <v>-1.2458139999999999E-2</v>
      </c>
      <c r="O283">
        <v>8.3951269999999996E-4</v>
      </c>
      <c r="P283">
        <v>0.9871453</v>
      </c>
      <c r="Q283">
        <v>0.14826210000000001</v>
      </c>
      <c r="R283">
        <v>5.9690090000000001E-2</v>
      </c>
      <c r="S283">
        <v>3.0469059999999999</v>
      </c>
      <c r="T283">
        <v>-3.1780240000000001E-2</v>
      </c>
      <c r="U283">
        <v>-4.1503909999999998E-2</v>
      </c>
      <c r="V283">
        <v>-5.8874009999999997E-2</v>
      </c>
      <c r="W283">
        <v>0.16054450000000001</v>
      </c>
      <c r="X283">
        <v>0.98527120000000001</v>
      </c>
      <c r="Y283">
        <v>1.4458159999999999E-2</v>
      </c>
      <c r="Z283">
        <v>-1.6376720000000001E-4</v>
      </c>
      <c r="AA283">
        <v>0.99989550000000005</v>
      </c>
      <c r="AB283">
        <v>30</v>
      </c>
      <c r="AC283">
        <v>101.62419999999901</v>
      </c>
      <c r="AD283">
        <v>-1.0615821281319999</v>
      </c>
      <c r="AE283">
        <v>-1.38690000000002</v>
      </c>
      <c r="AF283">
        <v>1.4720603211821801</v>
      </c>
      <c r="AG283">
        <v>-1.0615821281319999</v>
      </c>
      <c r="AH283">
        <v>101.61191372686901</v>
      </c>
      <c r="AI283">
        <v>90.598508378121096</v>
      </c>
      <c r="AJ283">
        <v>89.1700092957566</v>
      </c>
      <c r="AK283">
        <v>101.628120761139</v>
      </c>
      <c r="AL283">
        <v>80.761497756579104</v>
      </c>
      <c r="AM283">
        <v>93.419592600766805</v>
      </c>
      <c r="AN283">
        <v>1.0000000115415799</v>
      </c>
    </row>
    <row r="284" spans="1:40" x14ac:dyDescent="0.25">
      <c r="A284" t="str">
        <f>"20190304155603311"</f>
        <v>20190304155603311</v>
      </c>
      <c r="B284" t="str">
        <f>"1551686163305013"</f>
        <v>1551686163305013</v>
      </c>
      <c r="C284" t="s">
        <v>40</v>
      </c>
      <c r="D284">
        <v>4.7321339999999896</v>
      </c>
      <c r="E284">
        <v>0.52640520000000002</v>
      </c>
      <c r="F284" t="s">
        <v>41</v>
      </c>
      <c r="G284">
        <v>-377.41570000000002</v>
      </c>
      <c r="H284" s="1">
        <v>-1.6805269999999999E-6</v>
      </c>
      <c r="I284">
        <v>366.5532</v>
      </c>
      <c r="J284">
        <v>-430.91239999999999</v>
      </c>
      <c r="K284">
        <v>1.061294</v>
      </c>
      <c r="L284">
        <v>367.24079999999998</v>
      </c>
      <c r="M284">
        <v>0.99992380000000003</v>
      </c>
      <c r="N284">
        <v>-1.232596E-2</v>
      </c>
      <c r="O284">
        <v>8.894447E-4</v>
      </c>
      <c r="P284">
        <v>0.98717200000000005</v>
      </c>
      <c r="Q284">
        <v>0.14830450000000001</v>
      </c>
      <c r="R284">
        <v>5.914034E-2</v>
      </c>
      <c r="S284">
        <v>3.0505369999999998</v>
      </c>
      <c r="T284">
        <v>-6.0199379999999997E-2</v>
      </c>
      <c r="U284">
        <v>-3.8970949999999997E-2</v>
      </c>
      <c r="V284">
        <v>-5.8273480000000002E-2</v>
      </c>
      <c r="W284">
        <v>0.160457399999999</v>
      </c>
      <c r="X284">
        <v>0.985321</v>
      </c>
      <c r="Y284">
        <v>1.365916E-2</v>
      </c>
      <c r="Z284">
        <v>-2.2554469999999999E-4</v>
      </c>
      <c r="AA284">
        <v>0.99990670000000004</v>
      </c>
      <c r="AB284">
        <v>30</v>
      </c>
      <c r="AC284">
        <v>53.496699999999898</v>
      </c>
      <c r="AD284">
        <v>-1.061295680527</v>
      </c>
      <c r="AE284">
        <v>-0.68759999999997401</v>
      </c>
      <c r="AF284">
        <v>0.73489650815559304</v>
      </c>
      <c r="AG284">
        <v>-1.061295680527</v>
      </c>
      <c r="AH284">
        <v>53.4750246722108</v>
      </c>
      <c r="AI284">
        <v>91.136867961208395</v>
      </c>
      <c r="AJ284">
        <v>89.2126451918691</v>
      </c>
      <c r="AK284">
        <v>53.4906037084343</v>
      </c>
      <c r="AL284">
        <v>80.766552954624601</v>
      </c>
      <c r="AM284">
        <v>93.384622717411702</v>
      </c>
      <c r="AN284">
        <v>0.99999992436353202</v>
      </c>
    </row>
    <row r="285" spans="1:40" x14ac:dyDescent="0.25">
      <c r="A285" t="str">
        <f>"20190304155603332"</f>
        <v>20190304155603332</v>
      </c>
      <c r="B285" t="str">
        <f>"1551686163325509"</f>
        <v>1551686163325509</v>
      </c>
      <c r="C285" t="s">
        <v>40</v>
      </c>
      <c r="D285">
        <v>4.7045120000000002</v>
      </c>
      <c r="E285">
        <v>0.52605550000000001</v>
      </c>
      <c r="F285" t="s">
        <v>41</v>
      </c>
      <c r="G285">
        <v>-389.48680000000002</v>
      </c>
      <c r="H285" s="1">
        <v>-9.5491189999999992E-7</v>
      </c>
      <c r="I285">
        <v>366.63130000000001</v>
      </c>
      <c r="J285">
        <v>-430.62139999999999</v>
      </c>
      <c r="K285">
        <v>1.061053</v>
      </c>
      <c r="L285">
        <v>367.24110000000002</v>
      </c>
      <c r="M285">
        <v>0.99992510000000001</v>
      </c>
      <c r="N285">
        <v>-1.221269E-2</v>
      </c>
      <c r="O285">
        <v>9.245891E-4</v>
      </c>
      <c r="P285">
        <v>0.98715730000000002</v>
      </c>
      <c r="Q285">
        <v>0.1483284</v>
      </c>
      <c r="R285">
        <v>5.9323870000000001E-2</v>
      </c>
      <c r="S285">
        <v>3.053436</v>
      </c>
      <c r="T285">
        <v>-7.8226799999999999E-2</v>
      </c>
      <c r="U285">
        <v>-4.4921879999999997E-2</v>
      </c>
      <c r="V285">
        <v>-5.8419020000000002E-2</v>
      </c>
      <c r="W285">
        <v>0.16037089999999901</v>
      </c>
      <c r="X285">
        <v>0.98532649999999999</v>
      </c>
      <c r="Y285">
        <v>1.5627209999999999E-2</v>
      </c>
      <c r="Z285">
        <v>-3.0798389999999999E-4</v>
      </c>
      <c r="AA285">
        <v>0.99987780000000004</v>
      </c>
      <c r="AB285">
        <v>30</v>
      </c>
      <c r="AC285">
        <v>41.134599999999899</v>
      </c>
      <c r="AD285">
        <v>-1.0610539549119</v>
      </c>
      <c r="AE285">
        <v>-0.609800000000007</v>
      </c>
      <c r="AF285">
        <v>0.64740450862142496</v>
      </c>
      <c r="AG285">
        <v>-1.0610539549119</v>
      </c>
      <c r="AH285">
        <v>41.106673599351801</v>
      </c>
      <c r="AI285">
        <v>91.478418915405697</v>
      </c>
      <c r="AJ285">
        <v>89.097701753501497</v>
      </c>
      <c r="AK285">
        <v>41.125461486731801</v>
      </c>
      <c r="AL285">
        <v>80.771574391730894</v>
      </c>
      <c r="AM285">
        <v>93.393037307106098</v>
      </c>
      <c r="AN285">
        <v>0.99999995953340903</v>
      </c>
    </row>
    <row r="286" spans="1:40" x14ac:dyDescent="0.25">
      <c r="A286" t="str">
        <f>"20190304155603354"</f>
        <v>20190304155603354</v>
      </c>
      <c r="B286" t="str">
        <f>"1551686163345029"</f>
        <v>1551686163345029</v>
      </c>
      <c r="C286" t="s">
        <v>40</v>
      </c>
      <c r="D286">
        <v>4.6541489999999897</v>
      </c>
      <c r="E286">
        <v>0.5256054</v>
      </c>
      <c r="F286" t="s">
        <v>41</v>
      </c>
      <c r="G286">
        <v>-394.6198</v>
      </c>
      <c r="H286" s="1">
        <v>-2.7999960000000002E-6</v>
      </c>
      <c r="I286">
        <v>366.74329999999998</v>
      </c>
      <c r="J286">
        <v>-430.32940000000002</v>
      </c>
      <c r="K286">
        <v>1.060846</v>
      </c>
      <c r="L286">
        <v>367.2414</v>
      </c>
      <c r="M286">
        <v>0.99992630000000005</v>
      </c>
      <c r="N286">
        <v>-1.211194E-2</v>
      </c>
      <c r="O286">
        <v>9.4829129999999997E-4</v>
      </c>
      <c r="P286">
        <v>0.9872242</v>
      </c>
      <c r="Q286">
        <v>0.1477705</v>
      </c>
      <c r="R286">
        <v>5.9603900000000001E-2</v>
      </c>
      <c r="S286">
        <v>3.0550839999999999</v>
      </c>
      <c r="T286">
        <v>-9.0040679999999998E-2</v>
      </c>
      <c r="U286">
        <v>-4.2236330000000002E-2</v>
      </c>
      <c r="V286">
        <v>-5.8671519999999998E-2</v>
      </c>
      <c r="W286">
        <v>0.1597161</v>
      </c>
      <c r="X286">
        <v>0.98541789999999996</v>
      </c>
      <c r="Y286">
        <v>1.476269E-2</v>
      </c>
      <c r="Z286">
        <v>-3.2338279999999999E-4</v>
      </c>
      <c r="AA286">
        <v>0.99989099999999997</v>
      </c>
      <c r="AB286">
        <v>30</v>
      </c>
      <c r="AC286">
        <v>35.709600000000002</v>
      </c>
      <c r="AD286">
        <v>-1.0608487999959999</v>
      </c>
      <c r="AE286">
        <v>-0.49810000000002203</v>
      </c>
      <c r="AF286">
        <v>0.53149638129086496</v>
      </c>
      <c r="AG286">
        <v>-1.0608487999959999</v>
      </c>
      <c r="AH286">
        <v>35.6776305629039</v>
      </c>
      <c r="AI286">
        <v>91.702958322005799</v>
      </c>
      <c r="AJ286">
        <v>89.146517115685597</v>
      </c>
      <c r="AK286">
        <v>35.697355800714902</v>
      </c>
      <c r="AL286">
        <v>80.8095820408316</v>
      </c>
      <c r="AM286">
        <v>93.407352958674906</v>
      </c>
      <c r="AN286">
        <v>1.0000000087493599</v>
      </c>
    </row>
    <row r="287" spans="1:40" x14ac:dyDescent="0.25">
      <c r="A287" t="str">
        <f>"20190304155603376"</f>
        <v>20190304155603376</v>
      </c>
      <c r="B287" t="str">
        <f>"1551686163365525"</f>
        <v>1551686163365525</v>
      </c>
      <c r="C287" t="s">
        <v>40</v>
      </c>
      <c r="D287">
        <v>4.7635630000000004</v>
      </c>
      <c r="E287">
        <v>0.52566729999999995</v>
      </c>
      <c r="F287" t="s">
        <v>41</v>
      </c>
      <c r="G287">
        <v>-398.19990000000001</v>
      </c>
      <c r="H287" s="1">
        <v>-1.338362E-6</v>
      </c>
      <c r="I287">
        <v>366.83620000000002</v>
      </c>
      <c r="J287">
        <v>-430.03750000000002</v>
      </c>
      <c r="K287">
        <v>1.0606719999999901</v>
      </c>
      <c r="L287">
        <v>367.24169999999998</v>
      </c>
      <c r="M287">
        <v>0.99992729999999996</v>
      </c>
      <c r="N287">
        <v>-1.202304E-2</v>
      </c>
      <c r="O287">
        <v>9.6381920000000005E-4</v>
      </c>
      <c r="P287">
        <v>0.98722160000000003</v>
      </c>
      <c r="Q287">
        <v>0.14763029999999999</v>
      </c>
      <c r="R287">
        <v>5.9991170000000003E-2</v>
      </c>
      <c r="S287">
        <v>3.056244</v>
      </c>
      <c r="T287">
        <v>-0.10091020000000001</v>
      </c>
      <c r="U287">
        <v>-3.8543699999999903E-2</v>
      </c>
      <c r="V287">
        <v>-5.9040210000000003E-2</v>
      </c>
      <c r="W287">
        <v>0.15948970000000001</v>
      </c>
      <c r="X287">
        <v>0.98543259999999999</v>
      </c>
      <c r="Y287">
        <v>1.356397E-2</v>
      </c>
      <c r="Z287">
        <v>-3.2565950000000001E-4</v>
      </c>
      <c r="AA287">
        <v>0.99990800000000002</v>
      </c>
      <c r="AB287">
        <v>30</v>
      </c>
      <c r="AC287">
        <v>31.837599999999998</v>
      </c>
      <c r="AD287">
        <v>-1.06067333836199</v>
      </c>
      <c r="AE287">
        <v>-0.40549999999996</v>
      </c>
      <c r="AF287">
        <v>0.43570421020383898</v>
      </c>
      <c r="AG287">
        <v>-1.06067333836199</v>
      </c>
      <c r="AH287">
        <v>31.801903242468999</v>
      </c>
      <c r="AI287">
        <v>91.910070906968897</v>
      </c>
      <c r="AJ287">
        <v>89.215064256234101</v>
      </c>
      <c r="AK287">
        <v>31.822569285537899</v>
      </c>
      <c r="AL287">
        <v>80.822722719756001</v>
      </c>
      <c r="AM287">
        <v>93.428662710249696</v>
      </c>
      <c r="AN287">
        <v>1.00000005997284</v>
      </c>
    </row>
    <row r="288" spans="1:40" x14ac:dyDescent="0.25">
      <c r="A288" t="str">
        <f>"20190304155603399"</f>
        <v>20190304155603399</v>
      </c>
      <c r="B288" t="str">
        <f>"1551686163394805"</f>
        <v>1551686163394805</v>
      </c>
      <c r="C288" t="s">
        <v>40</v>
      </c>
      <c r="D288">
        <v>4.8092069999999998</v>
      </c>
      <c r="E288">
        <v>0.52574279999999995</v>
      </c>
      <c r="F288" t="s">
        <v>41</v>
      </c>
      <c r="G288">
        <v>-399.61</v>
      </c>
      <c r="H288" s="1">
        <v>-8.5306530000000005E-7</v>
      </c>
      <c r="I288">
        <v>366.85649999999998</v>
      </c>
      <c r="J288">
        <v>-429.72809999999998</v>
      </c>
      <c r="K288">
        <v>1.060524</v>
      </c>
      <c r="L288">
        <v>367.24200000000002</v>
      </c>
      <c r="M288">
        <v>0.99992840000000005</v>
      </c>
      <c r="N288">
        <v>-1.194015E-2</v>
      </c>
      <c r="O288">
        <v>9.7284490000000003E-4</v>
      </c>
      <c r="P288">
        <v>0.9871086</v>
      </c>
      <c r="Q288">
        <v>0.14832000000000001</v>
      </c>
      <c r="R288">
        <v>6.0148819999999999E-2</v>
      </c>
      <c r="S288">
        <v>3.0571290000000002</v>
      </c>
      <c r="T288">
        <v>-0.1065682</v>
      </c>
      <c r="U288">
        <v>-3.8696290000000001E-2</v>
      </c>
      <c r="V288">
        <v>-5.9185620000000001E-2</v>
      </c>
      <c r="W288">
        <v>0.1600974</v>
      </c>
      <c r="X288">
        <v>0.98532529999999996</v>
      </c>
      <c r="Y288">
        <v>1.3618180000000001E-2</v>
      </c>
      <c r="Z288">
        <v>-3.40904E-4</v>
      </c>
      <c r="AA288">
        <v>0.9999072</v>
      </c>
      <c r="AB288">
        <v>30</v>
      </c>
      <c r="AC288">
        <v>30.118099999999899</v>
      </c>
      <c r="AD288">
        <v>-1.0605248530653</v>
      </c>
      <c r="AE288">
        <v>-0.38549999999997903</v>
      </c>
      <c r="AF288">
        <v>0.414288549600411</v>
      </c>
      <c r="AG288">
        <v>-1.0605248530653</v>
      </c>
      <c r="AH288">
        <v>30.080420092394501</v>
      </c>
      <c r="AI288">
        <v>92.019010542787697</v>
      </c>
      <c r="AJ288">
        <v>89.210932406428498</v>
      </c>
      <c r="AK288">
        <v>30.101960416245799</v>
      </c>
      <c r="AL288">
        <v>80.787450579008393</v>
      </c>
      <c r="AM288">
        <v>93.437460330957407</v>
      </c>
      <c r="AN288">
        <v>1.0000000309608099</v>
      </c>
    </row>
    <row r="289" spans="1:40" x14ac:dyDescent="0.25">
      <c r="A289" t="str">
        <f>"20190304155603420"</f>
        <v>20190304155603420</v>
      </c>
      <c r="B289" t="str">
        <f>"1551686163415301"</f>
        <v>1551686163415301</v>
      </c>
      <c r="C289" t="s">
        <v>40</v>
      </c>
      <c r="D289">
        <v>4.8137309999999998</v>
      </c>
      <c r="E289">
        <v>0.52574119999999902</v>
      </c>
      <c r="F289" t="s">
        <v>41</v>
      </c>
      <c r="G289">
        <v>-399.08269999999999</v>
      </c>
      <c r="H289" s="1">
        <v>-1.033893E-6</v>
      </c>
      <c r="I289">
        <v>366.85129999999998</v>
      </c>
      <c r="J289">
        <v>-429.44479999999999</v>
      </c>
      <c r="K289">
        <v>1.060416</v>
      </c>
      <c r="L289">
        <v>367.24220000000003</v>
      </c>
      <c r="M289">
        <v>0.99992919999999996</v>
      </c>
      <c r="N289">
        <v>-1.18733E-2</v>
      </c>
      <c r="O289">
        <v>9.7586630000000003E-4</v>
      </c>
      <c r="P289">
        <v>0.98694349999999997</v>
      </c>
      <c r="Q289">
        <v>0.1491731</v>
      </c>
      <c r="R289">
        <v>6.0747799999999998E-2</v>
      </c>
      <c r="S289">
        <v>3.0574650000000001</v>
      </c>
      <c r="T289">
        <v>-0.1058072</v>
      </c>
      <c r="U289">
        <v>-3.8970949999999997E-2</v>
      </c>
      <c r="V289">
        <v>-5.9780199999999999E-2</v>
      </c>
      <c r="W289">
        <v>0.16088339999999901</v>
      </c>
      <c r="X289">
        <v>0.98516139999999996</v>
      </c>
      <c r="Y289">
        <v>1.370971E-2</v>
      </c>
      <c r="Z289">
        <v>-3.4074350000000002E-4</v>
      </c>
      <c r="AA289">
        <v>0.99990590000000001</v>
      </c>
      <c r="AB289">
        <v>30</v>
      </c>
      <c r="AC289">
        <v>30.362100000000002</v>
      </c>
      <c r="AD289">
        <v>-1.0604170338929999</v>
      </c>
      <c r="AE289">
        <v>-0.39090000000004399</v>
      </c>
      <c r="AF289">
        <v>0.420018992213259</v>
      </c>
      <c r="AG289">
        <v>-1.0604170338929999</v>
      </c>
      <c r="AH289">
        <v>30.324719986855399</v>
      </c>
      <c r="AI289">
        <v>92.002552828419496</v>
      </c>
      <c r="AJ289">
        <v>89.206463346011304</v>
      </c>
      <c r="AK289">
        <v>30.3461619075754</v>
      </c>
      <c r="AL289">
        <v>80.741824959488</v>
      </c>
      <c r="AM289">
        <v>93.472485280760793</v>
      </c>
      <c r="AN289">
        <v>1.0000000623787699</v>
      </c>
    </row>
    <row r="290" spans="1:40" x14ac:dyDescent="0.25">
      <c r="A290" t="str">
        <f>"20190304155603432"</f>
        <v>20190304155603432</v>
      </c>
      <c r="B290" t="str">
        <f>"1551686163425062"</f>
        <v>1551686163425062</v>
      </c>
      <c r="C290" t="s">
        <v>40</v>
      </c>
      <c r="D290">
        <v>4.857056</v>
      </c>
      <c r="E290">
        <v>0.52572750000000001</v>
      </c>
      <c r="F290" t="s">
        <v>41</v>
      </c>
      <c r="G290">
        <v>-398.26710000000003</v>
      </c>
      <c r="H290" s="1">
        <v>-1.308966E-6</v>
      </c>
      <c r="I290">
        <v>366.86070000000001</v>
      </c>
      <c r="J290">
        <v>-429.2792</v>
      </c>
      <c r="K290">
        <v>1.0603590000000001</v>
      </c>
      <c r="L290">
        <v>367.24239999999998</v>
      </c>
      <c r="M290">
        <v>0.99992939999999997</v>
      </c>
      <c r="N290">
        <v>-1.1837500000000001E-2</v>
      </c>
      <c r="O290">
        <v>9.7570230000000005E-4</v>
      </c>
      <c r="P290">
        <v>0.9868574</v>
      </c>
      <c r="Q290">
        <v>0.14965039999999999</v>
      </c>
      <c r="R290">
        <v>6.0971240000000003E-2</v>
      </c>
      <c r="S290">
        <v>3.057709</v>
      </c>
      <c r="T290">
        <v>-0.1039984</v>
      </c>
      <c r="U290">
        <v>-3.7414549999999998E-2</v>
      </c>
      <c r="V290">
        <v>-6.0003189999999998E-2</v>
      </c>
      <c r="W290">
        <v>0.16132439999999901</v>
      </c>
      <c r="X290">
        <v>0.9850757</v>
      </c>
      <c r="Y290">
        <v>1.3200389999999999E-2</v>
      </c>
      <c r="Z290">
        <v>-3.2420460000000002E-4</v>
      </c>
      <c r="AA290">
        <v>0.99991280000000005</v>
      </c>
      <c r="AB290">
        <v>30</v>
      </c>
      <c r="AC290">
        <v>31.012099999999901</v>
      </c>
      <c r="AD290">
        <v>-1.0603603089659901</v>
      </c>
      <c r="AE290">
        <v>-0.38169999999996601</v>
      </c>
      <c r="AF290">
        <v>0.41147953756919597</v>
      </c>
      <c r="AG290">
        <v>-1.0603603089659901</v>
      </c>
      <c r="AH290">
        <v>30.975505397081001</v>
      </c>
      <c r="AI290">
        <v>91.960423287657093</v>
      </c>
      <c r="AJ290">
        <v>89.238925921699206</v>
      </c>
      <c r="AK290">
        <v>30.996380659671601</v>
      </c>
      <c r="AL290">
        <v>80.716222884957901</v>
      </c>
      <c r="AM290">
        <v>93.485708828140005</v>
      </c>
      <c r="AN290">
        <v>1.00000003978801</v>
      </c>
    </row>
    <row r="291" spans="1:40" x14ac:dyDescent="0.25">
      <c r="A291" t="str">
        <f>"20190304155603454"</f>
        <v>20190304155603454</v>
      </c>
      <c r="B291" t="str">
        <f>"1551686163445557"</f>
        <v>1551686163445557</v>
      </c>
      <c r="C291" t="s">
        <v>40</v>
      </c>
      <c r="D291">
        <v>4.8345549999999999</v>
      </c>
      <c r="E291">
        <v>0.52577410000000002</v>
      </c>
      <c r="F291" t="s">
        <v>41</v>
      </c>
      <c r="G291">
        <v>-397.74459999999999</v>
      </c>
      <c r="H291" s="1">
        <v>-1.4864409999999999E-6</v>
      </c>
      <c r="I291">
        <v>366.86180000000002</v>
      </c>
      <c r="J291">
        <v>-428.99149999999997</v>
      </c>
      <c r="K291">
        <v>1.060279</v>
      </c>
      <c r="L291">
        <v>367.24270000000001</v>
      </c>
      <c r="M291">
        <v>0.99993019999999999</v>
      </c>
      <c r="N291">
        <v>-1.178178E-2</v>
      </c>
      <c r="O291">
        <v>9.735163E-4</v>
      </c>
      <c r="P291">
        <v>0.98676379999999997</v>
      </c>
      <c r="Q291">
        <v>0.1501461</v>
      </c>
      <c r="R291">
        <v>6.126848E-2</v>
      </c>
      <c r="S291">
        <v>3.0578609999999999</v>
      </c>
      <c r="T291">
        <v>-0.1028215</v>
      </c>
      <c r="U291">
        <v>-3.6895749999999998E-2</v>
      </c>
      <c r="V291">
        <v>-6.0302219999999997E-2</v>
      </c>
      <c r="W291">
        <v>0.161764299999999</v>
      </c>
      <c r="X291">
        <v>0.98498520000000001</v>
      </c>
      <c r="Y291">
        <v>1.3028319999999999E-2</v>
      </c>
      <c r="Z291">
        <v>-3.1701070000000002E-4</v>
      </c>
      <c r="AA291">
        <v>0.99991509999999995</v>
      </c>
      <c r="AB291">
        <v>30</v>
      </c>
      <c r="AC291">
        <v>31.246899999999901</v>
      </c>
      <c r="AD291">
        <v>-1.060280486441</v>
      </c>
      <c r="AE291">
        <v>-0.38089999999999602</v>
      </c>
      <c r="AF291">
        <v>0.410848312926204</v>
      </c>
      <c r="AG291">
        <v>-1.060280486441</v>
      </c>
      <c r="AH291">
        <v>31.2105837071657</v>
      </c>
      <c r="AI291">
        <v>91.9455254961713</v>
      </c>
      <c r="AJ291">
        <v>89.245816258484396</v>
      </c>
      <c r="AK291">
        <v>31.2312908216769</v>
      </c>
      <c r="AL291">
        <v>80.690682130853801</v>
      </c>
      <c r="AM291">
        <v>93.503358001790502</v>
      </c>
      <c r="AN291">
        <v>0.99999994535522696</v>
      </c>
    </row>
    <row r="292" spans="1:40" x14ac:dyDescent="0.25">
      <c r="A292" t="str">
        <f>"20190304155603467"</f>
        <v>20190304155603467</v>
      </c>
      <c r="B292" t="str">
        <f>"1551686163455318"</f>
        <v>1551686163455318</v>
      </c>
      <c r="C292" t="s">
        <v>40</v>
      </c>
      <c r="D292">
        <v>4.8118559999999997</v>
      </c>
      <c r="E292">
        <v>0.52569529999999998</v>
      </c>
      <c r="F292" t="s">
        <v>41</v>
      </c>
      <c r="G292">
        <v>-397.32690000000002</v>
      </c>
      <c r="H292" s="1">
        <v>-1.6277309999999999E-6</v>
      </c>
      <c r="I292">
        <v>366.86509999999998</v>
      </c>
      <c r="J292">
        <v>-428.82069999999999</v>
      </c>
      <c r="K292">
        <v>1.060238</v>
      </c>
      <c r="L292">
        <v>367.24290000000002</v>
      </c>
      <c r="M292">
        <v>0.99993050000000006</v>
      </c>
      <c r="N292">
        <v>-1.175177E-2</v>
      </c>
      <c r="O292">
        <v>9.7184300000000001E-4</v>
      </c>
      <c r="P292">
        <v>0.98670789999999997</v>
      </c>
      <c r="Q292">
        <v>0.15039930000000001</v>
      </c>
      <c r="R292">
        <v>6.154486E-2</v>
      </c>
      <c r="S292">
        <v>3.0580440000000002</v>
      </c>
      <c r="T292">
        <v>-0.1023978</v>
      </c>
      <c r="U292">
        <v>-3.6468510000000003E-2</v>
      </c>
      <c r="V292">
        <v>-6.0580839999999997E-2</v>
      </c>
      <c r="W292">
        <v>0.1619874</v>
      </c>
      <c r="X292">
        <v>0.98493149999999996</v>
      </c>
      <c r="Y292">
        <v>1.2886440000000001E-2</v>
      </c>
      <c r="Z292">
        <v>-3.1254740000000002E-4</v>
      </c>
      <c r="AA292">
        <v>0.9999169</v>
      </c>
      <c r="AB292">
        <v>30</v>
      </c>
      <c r="AC292">
        <v>31.493799999999901</v>
      </c>
      <c r="AD292">
        <v>-1.060239627731</v>
      </c>
      <c r="AE292">
        <v>-0.377800000000036</v>
      </c>
      <c r="AF292">
        <v>0.40794669016735002</v>
      </c>
      <c r="AG292">
        <v>-1.060239627731</v>
      </c>
      <c r="AH292">
        <v>31.457770904752099</v>
      </c>
      <c r="AI292">
        <v>91.930180262655</v>
      </c>
      <c r="AJ292">
        <v>89.257025758081497</v>
      </c>
      <c r="AK292">
        <v>31.478276300745801</v>
      </c>
      <c r="AL292">
        <v>80.677729186714302</v>
      </c>
      <c r="AM292">
        <v>93.519695707241596</v>
      </c>
      <c r="AN292">
        <v>1.00000000781305</v>
      </c>
    </row>
    <row r="293" spans="1:40" x14ac:dyDescent="0.25">
      <c r="A293" t="str">
        <f>"20190304155603488"</f>
        <v>20190304155603488</v>
      </c>
      <c r="B293" t="str">
        <f>"1551686163485573"</f>
        <v>1551686163485573</v>
      </c>
      <c r="C293" t="s">
        <v>40</v>
      </c>
      <c r="D293">
        <v>4.8284529999999997</v>
      </c>
      <c r="E293">
        <v>0.52580539999999998</v>
      </c>
      <c r="F293" t="s">
        <v>41</v>
      </c>
      <c r="G293">
        <v>-397.1386</v>
      </c>
      <c r="H293" s="1">
        <v>-1.6957670000000001E-6</v>
      </c>
      <c r="I293">
        <v>366.8768</v>
      </c>
      <c r="J293">
        <v>-428.54079999999999</v>
      </c>
      <c r="K293">
        <v>1.0601739999999999</v>
      </c>
      <c r="L293">
        <v>367.2432</v>
      </c>
      <c r="M293">
        <v>0.99993100000000001</v>
      </c>
      <c r="N293">
        <v>-1.1707510000000001E-2</v>
      </c>
      <c r="O293">
        <v>9.692387E-4</v>
      </c>
      <c r="P293">
        <v>0.98661860000000001</v>
      </c>
      <c r="Q293">
        <v>0.1508206</v>
      </c>
      <c r="R293">
        <v>6.1942690000000002E-2</v>
      </c>
      <c r="S293">
        <v>3.0582280000000002</v>
      </c>
      <c r="T293">
        <v>-0.1023433</v>
      </c>
      <c r="U293">
        <v>-3.533936E-2</v>
      </c>
      <c r="V293">
        <v>-6.0980920000000001E-2</v>
      </c>
      <c r="W293">
        <v>0.16236429999999999</v>
      </c>
      <c r="X293">
        <v>0.98484470000000002</v>
      </c>
      <c r="Y293">
        <v>1.2514279999999999E-2</v>
      </c>
      <c r="Z293">
        <v>-3.0369739999999999E-4</v>
      </c>
      <c r="AA293">
        <v>0.99992159999999997</v>
      </c>
      <c r="AB293">
        <v>30</v>
      </c>
      <c r="AC293">
        <v>31.402200000000001</v>
      </c>
      <c r="AD293">
        <v>-1.0601756957670001</v>
      </c>
      <c r="AE293">
        <v>-0.36639999999999801</v>
      </c>
      <c r="AF293">
        <v>0.39638639445141199</v>
      </c>
      <c r="AG293">
        <v>-1.0601756957670001</v>
      </c>
      <c r="AH293">
        <v>31.3660833326819</v>
      </c>
      <c r="AI293">
        <v>91.935709717198804</v>
      </c>
      <c r="AJ293">
        <v>89.275967665340204</v>
      </c>
      <c r="AK293">
        <v>31.386498344229899</v>
      </c>
      <c r="AL293">
        <v>80.655844254738795</v>
      </c>
      <c r="AM293">
        <v>93.543192464781399</v>
      </c>
      <c r="AN293">
        <v>0.99999996081831199</v>
      </c>
    </row>
    <row r="294" spans="1:40" x14ac:dyDescent="0.25">
      <c r="A294" t="str">
        <f>"20190304155603502"</f>
        <v>20190304155603502</v>
      </c>
      <c r="B294" t="str">
        <f>"1551686163495334"</f>
        <v>1551686163495334</v>
      </c>
      <c r="C294" t="s">
        <v>40</v>
      </c>
      <c r="D294">
        <v>5.0401980000000002</v>
      </c>
      <c r="E294">
        <v>0.52550209999999997</v>
      </c>
      <c r="F294" t="s">
        <v>41</v>
      </c>
      <c r="G294">
        <v>-397.27269999999999</v>
      </c>
      <c r="H294" s="1">
        <v>-1.639639E-6</v>
      </c>
      <c r="I294">
        <v>366.8897</v>
      </c>
      <c r="J294">
        <v>-428.3537</v>
      </c>
      <c r="K294">
        <v>1.0601400000000001</v>
      </c>
      <c r="L294">
        <v>367.24340000000001</v>
      </c>
      <c r="M294">
        <v>0.99993140000000003</v>
      </c>
      <c r="N294">
        <v>-1.168143E-2</v>
      </c>
      <c r="O294">
        <v>9.6819609999999998E-4</v>
      </c>
      <c r="P294">
        <v>0.98661379999999999</v>
      </c>
      <c r="Q294">
        <v>0.15078559999999999</v>
      </c>
      <c r="R294">
        <v>6.2107740000000002E-2</v>
      </c>
      <c r="S294">
        <v>3.0587460000000002</v>
      </c>
      <c r="T294">
        <v>-0.1037096</v>
      </c>
      <c r="U294">
        <v>-3.4576419999999997E-2</v>
      </c>
      <c r="V294">
        <v>-6.1146829999999999E-2</v>
      </c>
      <c r="W294">
        <v>0.16230310000000001</v>
      </c>
      <c r="X294">
        <v>0.98484459999999996</v>
      </c>
      <c r="Y294">
        <v>1.2261869999999999E-2</v>
      </c>
      <c r="Z294">
        <v>-3.0096849999999999E-4</v>
      </c>
      <c r="AA294">
        <v>0.99992479999999995</v>
      </c>
      <c r="AB294">
        <v>30</v>
      </c>
      <c r="AC294">
        <v>31.081</v>
      </c>
      <c r="AD294">
        <v>-1.06014163963899</v>
      </c>
      <c r="AE294">
        <v>-0.35370000000000301</v>
      </c>
      <c r="AF294">
        <v>0.38334844873144103</v>
      </c>
      <c r="AG294">
        <v>-1.06014163963899</v>
      </c>
      <c r="AH294">
        <v>31.044529698451299</v>
      </c>
      <c r="AI294">
        <v>91.955688238964498</v>
      </c>
      <c r="AJ294">
        <v>89.292528115905895</v>
      </c>
      <c r="AK294">
        <v>31.0649912365554</v>
      </c>
      <c r="AL294">
        <v>80.6593988140269</v>
      </c>
      <c r="AM294">
        <v>93.552808084429401</v>
      </c>
      <c r="AN294">
        <v>1.0000000586189</v>
      </c>
    </row>
    <row r="295" spans="1:40" x14ac:dyDescent="0.25">
      <c r="A295" t="str">
        <f>"20190304155603523"</f>
        <v>20190304155603523</v>
      </c>
      <c r="B295" t="str">
        <f>"1551686163514853"</f>
        <v>1551686163514853</v>
      </c>
      <c r="C295" t="s">
        <v>40</v>
      </c>
      <c r="D295">
        <v>4.8684219999999998</v>
      </c>
      <c r="E295">
        <v>0.5255552</v>
      </c>
      <c r="F295" t="s">
        <v>41</v>
      </c>
      <c r="G295">
        <v>-397.58409999999998</v>
      </c>
      <c r="H295" s="1">
        <v>-1.525277E-6</v>
      </c>
      <c r="I295">
        <v>366.92129999999997</v>
      </c>
      <c r="J295">
        <v>-428.0745</v>
      </c>
      <c r="K295">
        <v>1.0600959999999999</v>
      </c>
      <c r="L295">
        <v>367.24369999999999</v>
      </c>
      <c r="M295">
        <v>0.99993189999999998</v>
      </c>
      <c r="N295">
        <v>-1.164579E-2</v>
      </c>
      <c r="O295">
        <v>9.6756429999999996E-4</v>
      </c>
      <c r="P295">
        <v>0.98664819999999998</v>
      </c>
      <c r="Q295">
        <v>0.15019170000000001</v>
      </c>
      <c r="R295">
        <v>6.2992329999999999E-2</v>
      </c>
      <c r="S295">
        <v>3.0588380000000002</v>
      </c>
      <c r="T295">
        <v>-0.1053895</v>
      </c>
      <c r="U295">
        <v>-3.2012939999999997E-2</v>
      </c>
      <c r="V295">
        <v>-6.2031940000000001E-2</v>
      </c>
      <c r="W295">
        <v>0.1616745</v>
      </c>
      <c r="X295">
        <v>0.98489260000000001</v>
      </c>
      <c r="Y295">
        <v>1.14234E-2</v>
      </c>
      <c r="Z295">
        <v>-2.853353E-4</v>
      </c>
      <c r="AA295">
        <v>0.99993469999999995</v>
      </c>
      <c r="AB295">
        <v>30</v>
      </c>
      <c r="AC295">
        <v>30.490400000000001</v>
      </c>
      <c r="AD295">
        <v>-1.060097525277</v>
      </c>
      <c r="AE295">
        <v>-0.32240000000001601</v>
      </c>
      <c r="AF295">
        <v>0.35147843662693501</v>
      </c>
      <c r="AG295">
        <v>-1.060097525277</v>
      </c>
      <c r="AH295">
        <v>30.453265042766301</v>
      </c>
      <c r="AI295">
        <v>91.993564811200002</v>
      </c>
      <c r="AJ295">
        <v>89.338746211220297</v>
      </c>
      <c r="AK295">
        <v>30.473737801908801</v>
      </c>
      <c r="AL295">
        <v>80.6958966187009</v>
      </c>
      <c r="AM295">
        <v>93.603925763981394</v>
      </c>
      <c r="AN295">
        <v>1.00000001953258</v>
      </c>
    </row>
    <row r="296" spans="1:40" x14ac:dyDescent="0.25">
      <c r="A296" t="str">
        <f>"20190304155603547"</f>
        <v>20190304155603547</v>
      </c>
      <c r="B296" t="str">
        <f>"1551686163535351"</f>
        <v>1551686163535351</v>
      </c>
      <c r="C296" t="s">
        <v>40</v>
      </c>
      <c r="D296">
        <v>4.8493849999999998</v>
      </c>
      <c r="E296">
        <v>0.52563629999999995</v>
      </c>
      <c r="F296" t="s">
        <v>41</v>
      </c>
      <c r="G296">
        <v>-397.92230000000001</v>
      </c>
      <c r="H296" s="1">
        <v>-1.4046770000000001E-6</v>
      </c>
      <c r="I296">
        <v>366.94189999999998</v>
      </c>
      <c r="J296">
        <v>-427.75209999999998</v>
      </c>
      <c r="K296">
        <v>1.0600449999999999</v>
      </c>
      <c r="L296">
        <v>367.24400000000003</v>
      </c>
      <c r="M296">
        <v>0.99993220000000005</v>
      </c>
      <c r="N296">
        <v>-1.1609889999999999E-2</v>
      </c>
      <c r="O296">
        <v>9.6776730000000001E-4</v>
      </c>
      <c r="P296">
        <v>0.9866684</v>
      </c>
      <c r="Q296">
        <v>0.14962400000000001</v>
      </c>
      <c r="R296">
        <v>6.4016809999999993E-2</v>
      </c>
      <c r="S296">
        <v>3.058929</v>
      </c>
      <c r="T296">
        <v>-0.1075463</v>
      </c>
      <c r="U296">
        <v>-3.0609129999999998E-2</v>
      </c>
      <c r="V296">
        <v>-6.3055890000000003E-2</v>
      </c>
      <c r="W296">
        <v>0.1610721</v>
      </c>
      <c r="X296">
        <v>0.98492630000000003</v>
      </c>
      <c r="Y296">
        <v>1.096448E-2</v>
      </c>
      <c r="Z296">
        <v>-2.7913949999999998E-4</v>
      </c>
      <c r="AA296">
        <v>0.99993989999999999</v>
      </c>
      <c r="AB296">
        <v>30</v>
      </c>
      <c r="AC296">
        <v>29.829799999999899</v>
      </c>
      <c r="AD296">
        <v>-1.060046404677</v>
      </c>
      <c r="AE296">
        <v>-0.30210000000005199</v>
      </c>
      <c r="AF296">
        <v>0.330552714306517</v>
      </c>
      <c r="AG296">
        <v>-1.060046404677</v>
      </c>
      <c r="AH296">
        <v>29.791875069588901</v>
      </c>
      <c r="AI296">
        <v>92.037697829889296</v>
      </c>
      <c r="AJ296">
        <v>89.364306601772995</v>
      </c>
      <c r="AK296">
        <v>29.8125608366507</v>
      </c>
      <c r="AL296">
        <v>80.730870182501604</v>
      </c>
      <c r="AM296">
        <v>93.663129436169598</v>
      </c>
      <c r="AN296">
        <v>1.0000000415468899</v>
      </c>
    </row>
    <row r="297" spans="1:40" x14ac:dyDescent="0.25">
      <c r="A297" t="str">
        <f>"20190304155603567"</f>
        <v>20190304155603567</v>
      </c>
      <c r="B297" t="str">
        <f>"1551686163565606"</f>
        <v>1551686163565606</v>
      </c>
      <c r="C297" t="s">
        <v>40</v>
      </c>
      <c r="D297">
        <v>4.8428139999999997</v>
      </c>
      <c r="E297">
        <v>0.52571389999999996</v>
      </c>
      <c r="F297" t="s">
        <v>41</v>
      </c>
      <c r="G297">
        <v>-398.3673</v>
      </c>
      <c r="H297" s="1">
        <v>-1.246567E-6</v>
      </c>
      <c r="I297">
        <v>366.96690000000001</v>
      </c>
      <c r="J297">
        <v>-427.47140000000002</v>
      </c>
      <c r="K297">
        <v>1.060006</v>
      </c>
      <c r="L297">
        <v>367.24430000000001</v>
      </c>
      <c r="M297">
        <v>0.9999325</v>
      </c>
      <c r="N297">
        <v>-1.1582790000000001E-2</v>
      </c>
      <c r="O297">
        <v>9.6839829999999997E-4</v>
      </c>
      <c r="P297">
        <v>0.98673960000000005</v>
      </c>
      <c r="Q297">
        <v>0.1488421</v>
      </c>
      <c r="R297">
        <v>6.4739350000000001E-2</v>
      </c>
      <c r="S297">
        <v>3.059113</v>
      </c>
      <c r="T297">
        <v>-0.1103562</v>
      </c>
      <c r="U297">
        <v>-2.8839110000000001E-2</v>
      </c>
      <c r="V297">
        <v>-6.3777780000000006E-2</v>
      </c>
      <c r="W297">
        <v>0.16026399999999999</v>
      </c>
      <c r="X297">
        <v>0.98501159999999999</v>
      </c>
      <c r="Y297">
        <v>1.0386060000000001E-2</v>
      </c>
      <c r="Z297">
        <v>-2.7115849999999998E-4</v>
      </c>
      <c r="AA297">
        <v>0.999946</v>
      </c>
      <c r="AB297">
        <v>30</v>
      </c>
      <c r="AC297">
        <v>29.104099999999999</v>
      </c>
      <c r="AD297">
        <v>-1.0600072465670001</v>
      </c>
      <c r="AE297">
        <v>-0.27739999999999998</v>
      </c>
      <c r="AF297">
        <v>0.30518133203811598</v>
      </c>
      <c r="AG297">
        <v>-1.0600072465670001</v>
      </c>
      <c r="AH297">
        <v>29.0652659431743</v>
      </c>
      <c r="AI297">
        <v>92.088530463076907</v>
      </c>
      <c r="AJ297">
        <v>89.398424228787505</v>
      </c>
      <c r="AK297">
        <v>29.086189770329899</v>
      </c>
      <c r="AL297">
        <v>80.7777799809257</v>
      </c>
      <c r="AM297">
        <v>93.7046303674868</v>
      </c>
      <c r="AN297">
        <v>1.00000000352614</v>
      </c>
    </row>
    <row r="298" spans="1:40" x14ac:dyDescent="0.25">
      <c r="A298" t="str">
        <f>"20190304155603580"</f>
        <v>20190304155603580</v>
      </c>
      <c r="B298" t="str">
        <f>"1551686163575365"</f>
        <v>1551686163575365</v>
      </c>
      <c r="C298" t="s">
        <v>40</v>
      </c>
      <c r="D298">
        <v>4.8572280000000001</v>
      </c>
      <c r="E298">
        <v>0.52578760000000002</v>
      </c>
      <c r="F298" t="s">
        <v>41</v>
      </c>
      <c r="G298">
        <v>-398.94850000000002</v>
      </c>
      <c r="H298" s="1">
        <v>-1.0437629999999999E-6</v>
      </c>
      <c r="I298">
        <v>366.98590000000002</v>
      </c>
      <c r="J298">
        <v>-427.30950000000001</v>
      </c>
      <c r="K298">
        <v>1.059992</v>
      </c>
      <c r="L298">
        <v>367.24450000000002</v>
      </c>
      <c r="M298">
        <v>0.99993259999999995</v>
      </c>
      <c r="N298">
        <v>-1.1569019999999999E-2</v>
      </c>
      <c r="O298">
        <v>9.6883500000000003E-4</v>
      </c>
      <c r="P298">
        <v>0.98678460000000001</v>
      </c>
      <c r="Q298">
        <v>0.14823229999999901</v>
      </c>
      <c r="R298">
        <v>6.5446610000000002E-2</v>
      </c>
      <c r="S298">
        <v>3.059326</v>
      </c>
      <c r="T298">
        <v>-0.1136943</v>
      </c>
      <c r="U298">
        <v>-2.7709959999999999E-2</v>
      </c>
      <c r="V298">
        <v>-6.4484659999999999E-2</v>
      </c>
      <c r="W298">
        <v>0.1596417</v>
      </c>
      <c r="X298">
        <v>0.98506660000000001</v>
      </c>
      <c r="Y298">
        <v>1.001664E-2</v>
      </c>
      <c r="Z298">
        <v>-2.688136E-4</v>
      </c>
      <c r="AA298">
        <v>0.9999498</v>
      </c>
      <c r="AB298">
        <v>30</v>
      </c>
      <c r="AC298">
        <v>28.360999999999901</v>
      </c>
      <c r="AD298">
        <v>-1.0599930437630001</v>
      </c>
      <c r="AE298">
        <v>-0.258600000000001</v>
      </c>
      <c r="AF298">
        <v>0.28567981645239998</v>
      </c>
      <c r="AG298">
        <v>-1.0599930437630001</v>
      </c>
      <c r="AH298">
        <v>28.321177781570601</v>
      </c>
      <c r="AI298">
        <v>92.143332736669606</v>
      </c>
      <c r="AJ298">
        <v>89.4220687862679</v>
      </c>
      <c r="AK298">
        <v>28.342447126980499</v>
      </c>
      <c r="AL298">
        <v>80.813899941918905</v>
      </c>
      <c r="AM298">
        <v>93.745365799340306</v>
      </c>
      <c r="AN298">
        <v>0.99999997509488203</v>
      </c>
    </row>
    <row r="299" spans="1:40" x14ac:dyDescent="0.25">
      <c r="A299" t="str">
        <f>"20190304155603599"</f>
        <v>20190304155603599</v>
      </c>
      <c r="B299" t="str">
        <f>"1551686163594886"</f>
        <v>1551686163594886</v>
      </c>
      <c r="C299" t="s">
        <v>40</v>
      </c>
      <c r="D299">
        <v>4.8291409999999999</v>
      </c>
      <c r="E299">
        <v>0.52592240000000001</v>
      </c>
      <c r="F299" t="s">
        <v>41</v>
      </c>
      <c r="G299">
        <v>-399.21510000000001</v>
      </c>
      <c r="H299" s="1">
        <v>-9.4829009999999997E-7</v>
      </c>
      <c r="I299">
        <v>367.00369999999998</v>
      </c>
      <c r="J299">
        <v>-427.03989999999999</v>
      </c>
      <c r="K299">
        <v>1.059965</v>
      </c>
      <c r="L299">
        <v>367.2448</v>
      </c>
      <c r="M299">
        <v>0.99993299999999996</v>
      </c>
      <c r="N299">
        <v>-1.1548050000000001E-2</v>
      </c>
      <c r="O299">
        <v>9.6895620000000005E-4</v>
      </c>
      <c r="P299">
        <v>0.98679640000000002</v>
      </c>
      <c r="Q299">
        <v>0.14773610000000001</v>
      </c>
      <c r="R299">
        <v>6.6386810000000004E-2</v>
      </c>
      <c r="S299">
        <v>3.0592350000000001</v>
      </c>
      <c r="T299">
        <v>-0.11542379999999999</v>
      </c>
      <c r="U299">
        <v>-2.62145999999999E-2</v>
      </c>
      <c r="V299">
        <v>-6.5424430000000006E-2</v>
      </c>
      <c r="W299">
        <v>0.1591254</v>
      </c>
      <c r="X299">
        <v>0.98508819999999997</v>
      </c>
      <c r="Y299">
        <v>9.5284849999999997E-3</v>
      </c>
      <c r="Z299">
        <v>-2.6008980000000003E-4</v>
      </c>
      <c r="AA299">
        <v>0.99995460000000003</v>
      </c>
      <c r="AB299">
        <v>30</v>
      </c>
      <c r="AC299">
        <v>27.8247999999999</v>
      </c>
      <c r="AD299">
        <v>-1.0599659482901</v>
      </c>
      <c r="AE299">
        <v>-0.241100000000017</v>
      </c>
      <c r="AF299">
        <v>0.26767428012274402</v>
      </c>
      <c r="AG299">
        <v>-1.0599659482901</v>
      </c>
      <c r="AH299">
        <v>27.784236548797601</v>
      </c>
      <c r="AI299">
        <v>92.1846676817852</v>
      </c>
      <c r="AJ299">
        <v>89.448027587597593</v>
      </c>
      <c r="AK299">
        <v>27.805736421309099</v>
      </c>
      <c r="AL299">
        <v>80.843865082336293</v>
      </c>
      <c r="AM299">
        <v>93.799707215926006</v>
      </c>
      <c r="AN299">
        <v>1.0000000053726099</v>
      </c>
    </row>
    <row r="300" spans="1:40" x14ac:dyDescent="0.25">
      <c r="A300" t="str">
        <f>"20190304155603623"</f>
        <v>20190304155603623</v>
      </c>
      <c r="B300" t="str">
        <f>"1551686163615382"</f>
        <v>1551686163615382</v>
      </c>
      <c r="C300" t="s">
        <v>40</v>
      </c>
      <c r="D300">
        <v>4.8387560000000001</v>
      </c>
      <c r="E300">
        <v>0.52607369999999898</v>
      </c>
      <c r="F300" t="s">
        <v>41</v>
      </c>
      <c r="G300">
        <v>-399.57510000000002</v>
      </c>
      <c r="H300" s="1">
        <v>-8.2009769999999895E-7</v>
      </c>
      <c r="I300">
        <v>367.02499999999998</v>
      </c>
      <c r="J300">
        <v>-426.7296</v>
      </c>
      <c r="K300">
        <v>1.0599479999999999</v>
      </c>
      <c r="L300">
        <v>367.24509999999998</v>
      </c>
      <c r="M300">
        <v>0.99993310000000002</v>
      </c>
      <c r="N300">
        <v>-1.152716E-2</v>
      </c>
      <c r="O300">
        <v>9.6955429999999996E-4</v>
      </c>
      <c r="P300">
        <v>0.98675420000000003</v>
      </c>
      <c r="Q300">
        <v>0.1477472</v>
      </c>
      <c r="R300">
        <v>6.6983039999999994E-2</v>
      </c>
      <c r="S300">
        <v>3.0595089999999998</v>
      </c>
      <c r="T300">
        <v>-0.1180774</v>
      </c>
      <c r="U300">
        <v>-2.44751E-2</v>
      </c>
      <c r="V300">
        <v>-6.6020129999999996E-2</v>
      </c>
      <c r="W300">
        <v>0.15911549999999999</v>
      </c>
      <c r="X300">
        <v>0.98505010000000004</v>
      </c>
      <c r="Y300">
        <v>8.9599899999999993E-3</v>
      </c>
      <c r="Z300">
        <v>-2.5073169999999999E-4</v>
      </c>
      <c r="AA300">
        <v>0.99995979999999995</v>
      </c>
      <c r="AB300">
        <v>30</v>
      </c>
      <c r="AC300">
        <v>27.154499999999899</v>
      </c>
      <c r="AD300">
        <v>-1.0599488200977001</v>
      </c>
      <c r="AE300">
        <v>-0.22010000000000199</v>
      </c>
      <c r="AF300">
        <v>0.24605453066208299</v>
      </c>
      <c r="AG300">
        <v>-1.0599488200977001</v>
      </c>
      <c r="AH300">
        <v>27.112965774906499</v>
      </c>
      <c r="AI300">
        <v>92.238677508284297</v>
      </c>
      <c r="AJ300">
        <v>89.480045847952198</v>
      </c>
      <c r="AK300">
        <v>27.134792194607599</v>
      </c>
      <c r="AL300">
        <v>80.844440040173694</v>
      </c>
      <c r="AM300">
        <v>93.834349289023706</v>
      </c>
      <c r="AN300">
        <v>1.0000000497077299</v>
      </c>
    </row>
    <row r="301" spans="1:40" x14ac:dyDescent="0.25">
      <c r="A301" t="str">
        <f>"20190304155603645"</f>
        <v>20190304155603645</v>
      </c>
      <c r="B301" t="str">
        <f>"1551686163634902"</f>
        <v>1551686163634902</v>
      </c>
      <c r="C301" t="s">
        <v>40</v>
      </c>
      <c r="D301">
        <v>4.8651549999999997</v>
      </c>
      <c r="E301">
        <v>0.52619579999999999</v>
      </c>
      <c r="F301" t="s">
        <v>41</v>
      </c>
      <c r="G301">
        <v>-399.298</v>
      </c>
      <c r="H301" s="1">
        <v>-9.1279549999999995E-7</v>
      </c>
      <c r="I301">
        <v>367.03100000000001</v>
      </c>
      <c r="J301">
        <v>-426.42380000000003</v>
      </c>
      <c r="K301">
        <v>1.059928</v>
      </c>
      <c r="L301">
        <v>367.24540000000002</v>
      </c>
      <c r="M301">
        <v>0.99993339999999997</v>
      </c>
      <c r="N301">
        <v>-1.1509470000000001E-2</v>
      </c>
      <c r="O301">
        <v>9.6965690000000004E-4</v>
      </c>
      <c r="P301">
        <v>0.98670570000000002</v>
      </c>
      <c r="Q301">
        <v>0.14781739999999999</v>
      </c>
      <c r="R301">
        <v>6.7545279999999999E-2</v>
      </c>
      <c r="S301">
        <v>3.0596009999999998</v>
      </c>
      <c r="T301">
        <v>-0.11822199999999999</v>
      </c>
      <c r="U301">
        <v>-2.3864750000000001E-2</v>
      </c>
      <c r="V301">
        <v>-6.6582719999999998E-2</v>
      </c>
      <c r="W301">
        <v>0.15916720000000001</v>
      </c>
      <c r="X301">
        <v>0.98500379999999998</v>
      </c>
      <c r="Y301">
        <v>8.7605619999999995E-3</v>
      </c>
      <c r="Z301">
        <v>-2.4592370000000002E-4</v>
      </c>
      <c r="AA301">
        <v>0.99996160000000001</v>
      </c>
      <c r="AB301">
        <v>30</v>
      </c>
      <c r="AC301">
        <v>27.125800000000002</v>
      </c>
      <c r="AD301">
        <v>-1.0599289127955001</v>
      </c>
      <c r="AE301">
        <v>-0.214400000000011</v>
      </c>
      <c r="AF301">
        <v>0.24033742832652499</v>
      </c>
      <c r="AG301">
        <v>-1.0599289127955001</v>
      </c>
      <c r="AH301">
        <v>27.0842291281282</v>
      </c>
      <c r="AI301">
        <v>92.241012347784903</v>
      </c>
      <c r="AJ301">
        <v>89.491587564961193</v>
      </c>
      <c r="AK301">
        <v>27.106026614843099</v>
      </c>
      <c r="AL301">
        <v>80.841438884217794</v>
      </c>
      <c r="AM301">
        <v>93.867106164605801</v>
      </c>
      <c r="AN301">
        <v>0.99999997108643801</v>
      </c>
    </row>
    <row r="302" spans="1:40" x14ac:dyDescent="0.25">
      <c r="A302" t="str">
        <f>"20190304155603668"</f>
        <v>20190304155603668</v>
      </c>
      <c r="B302" t="str">
        <f>"1551686163665157"</f>
        <v>1551686163665157</v>
      </c>
      <c r="C302" t="s">
        <v>40</v>
      </c>
      <c r="D302">
        <v>4.8074890000000003</v>
      </c>
      <c r="E302">
        <v>0.52632299999999999</v>
      </c>
      <c r="F302" t="s">
        <v>41</v>
      </c>
      <c r="G302">
        <v>-398.82240000000002</v>
      </c>
      <c r="H302" s="1">
        <v>-1.0747010000000001E-6</v>
      </c>
      <c r="I302">
        <v>367.03089999999997</v>
      </c>
      <c r="J302">
        <v>-426.11930000000001</v>
      </c>
      <c r="K302">
        <v>1.0599209999999999</v>
      </c>
      <c r="L302">
        <v>367.2457</v>
      </c>
      <c r="M302">
        <v>0.99993359999999998</v>
      </c>
      <c r="N302">
        <v>-1.1494529999999999E-2</v>
      </c>
      <c r="O302">
        <v>9.7010070000000002E-4</v>
      </c>
      <c r="P302">
        <v>0.98662919999999998</v>
      </c>
      <c r="Q302">
        <v>0.14801520000000001</v>
      </c>
      <c r="R302">
        <v>6.8224499999999993E-2</v>
      </c>
      <c r="S302">
        <v>3.0596619999999999</v>
      </c>
      <c r="T302">
        <v>-0.1174945</v>
      </c>
      <c r="U302">
        <v>-2.377319E-2</v>
      </c>
      <c r="V302">
        <v>-6.7260819999999999E-2</v>
      </c>
      <c r="W302">
        <v>0.1593494</v>
      </c>
      <c r="X302">
        <v>0.98492829999999998</v>
      </c>
      <c r="Y302">
        <v>8.7310600000000006E-3</v>
      </c>
      <c r="Z302">
        <v>-2.438737E-4</v>
      </c>
      <c r="AA302">
        <v>0.99996189999999996</v>
      </c>
      <c r="AB302">
        <v>30</v>
      </c>
      <c r="AC302">
        <v>27.296899999999901</v>
      </c>
      <c r="AD302">
        <v>-1.0599220747010001</v>
      </c>
      <c r="AE302">
        <v>-0.214800000000025</v>
      </c>
      <c r="AF302">
        <v>0.24091917008996599</v>
      </c>
      <c r="AG302">
        <v>-1.0599220747010001</v>
      </c>
      <c r="AH302">
        <v>27.2555874632457</v>
      </c>
      <c r="AI302">
        <v>92.226923457460202</v>
      </c>
      <c r="AJ302">
        <v>89.493561010897494</v>
      </c>
      <c r="AK302">
        <v>27.277252882531801</v>
      </c>
      <c r="AL302">
        <v>80.830864925199293</v>
      </c>
      <c r="AM302">
        <v>93.9066672216195</v>
      </c>
      <c r="AN302">
        <v>1.00000000266416</v>
      </c>
    </row>
    <row r="303" spans="1:40" x14ac:dyDescent="0.25">
      <c r="A303" t="str">
        <f>"20190304155603689"</f>
        <v>20190304155603689</v>
      </c>
      <c r="B303" t="str">
        <f>"1551686163685653"</f>
        <v>1551686163685653</v>
      </c>
      <c r="C303" t="s">
        <v>40</v>
      </c>
      <c r="D303">
        <v>4.9004250000000003</v>
      </c>
      <c r="E303">
        <v>0.52649559999999995</v>
      </c>
      <c r="F303" t="s">
        <v>41</v>
      </c>
      <c r="G303">
        <v>-398.49700000000001</v>
      </c>
      <c r="H303" s="1">
        <v>-1.1828970000000001E-6</v>
      </c>
      <c r="I303">
        <v>367.04039999999998</v>
      </c>
      <c r="J303">
        <v>-425.83229999999998</v>
      </c>
      <c r="K303">
        <v>1.059911</v>
      </c>
      <c r="L303">
        <v>367.24599999999998</v>
      </c>
      <c r="M303">
        <v>0.99993370000000004</v>
      </c>
      <c r="N303">
        <v>-1.148244E-2</v>
      </c>
      <c r="O303">
        <v>9.7052779999999995E-4</v>
      </c>
      <c r="P303">
        <v>0.98654390000000003</v>
      </c>
      <c r="Q303">
        <v>0.14833460000000001</v>
      </c>
      <c r="R303">
        <v>6.8762439999999994E-2</v>
      </c>
      <c r="S303">
        <v>3.0598450000000001</v>
      </c>
      <c r="T303">
        <v>-0.1174119</v>
      </c>
      <c r="U303">
        <v>-2.2735600000000002E-2</v>
      </c>
      <c r="V303">
        <v>-6.7798919999999999E-2</v>
      </c>
      <c r="W303">
        <v>0.1596563</v>
      </c>
      <c r="X303">
        <v>0.98484170000000004</v>
      </c>
      <c r="Y303">
        <v>8.3922900000000002E-3</v>
      </c>
      <c r="Z303">
        <v>-2.35245E-4</v>
      </c>
      <c r="AA303">
        <v>0.99996479999999999</v>
      </c>
      <c r="AB303">
        <v>30</v>
      </c>
      <c r="AC303">
        <v>27.3353</v>
      </c>
      <c r="AD303">
        <v>-1.059912182897</v>
      </c>
      <c r="AE303">
        <v>-0.205600000000003</v>
      </c>
      <c r="AF303">
        <v>0.231782861555928</v>
      </c>
      <c r="AG303">
        <v>-1.059912182897</v>
      </c>
      <c r="AH303">
        <v>27.2940543541255</v>
      </c>
      <c r="AI303">
        <v>92.223774045339994</v>
      </c>
      <c r="AJ303">
        <v>89.513452258207494</v>
      </c>
      <c r="AK303">
        <v>27.315609826916202</v>
      </c>
      <c r="AL303">
        <v>80.813052793649703</v>
      </c>
      <c r="AM303">
        <v>93.938168576017702</v>
      </c>
      <c r="AN303">
        <v>1.00000000087087</v>
      </c>
    </row>
    <row r="304" spans="1:40" x14ac:dyDescent="0.25">
      <c r="A304" t="str">
        <f>"20190304155603703"</f>
        <v>20190304155603703</v>
      </c>
      <c r="B304" t="str">
        <f>"1551686163695414"</f>
        <v>1551686163695414</v>
      </c>
      <c r="C304" t="s">
        <v>40</v>
      </c>
      <c r="D304">
        <v>4.8827239999999996</v>
      </c>
      <c r="E304">
        <v>0.5265031</v>
      </c>
      <c r="F304" t="s">
        <v>41</v>
      </c>
      <c r="G304">
        <v>-398.15839999999997</v>
      </c>
      <c r="H304" s="1">
        <v>-1.298286E-6</v>
      </c>
      <c r="I304">
        <v>367.03980000000001</v>
      </c>
      <c r="J304">
        <v>-425.65010000000001</v>
      </c>
      <c r="K304">
        <v>1.059906</v>
      </c>
      <c r="L304">
        <v>367.24619999999999</v>
      </c>
      <c r="M304">
        <v>0.99993370000000004</v>
      </c>
      <c r="N304">
        <v>-1.1475900000000001E-2</v>
      </c>
      <c r="O304">
        <v>9.7086340000000001E-4</v>
      </c>
      <c r="P304">
        <v>0.9865429</v>
      </c>
      <c r="Q304">
        <v>0.14831759999999999</v>
      </c>
      <c r="R304">
        <v>6.8810689999999994E-2</v>
      </c>
      <c r="S304">
        <v>3.0600890000000001</v>
      </c>
      <c r="T304">
        <v>-0.11720129999999999</v>
      </c>
      <c r="U304">
        <v>-2.2796629999999998E-2</v>
      </c>
      <c r="V304">
        <v>-6.7847069999999995E-2</v>
      </c>
      <c r="W304">
        <v>0.15963279999999999</v>
      </c>
      <c r="X304">
        <v>0.9848422</v>
      </c>
      <c r="Y304">
        <v>8.4119880000000005E-3</v>
      </c>
      <c r="Z304">
        <v>-2.3535210000000001E-4</v>
      </c>
      <c r="AA304">
        <v>0.99996459999999998</v>
      </c>
      <c r="AB304">
        <v>30</v>
      </c>
      <c r="AC304">
        <v>27.491700000000002</v>
      </c>
      <c r="AD304">
        <v>-1.0599072982860001</v>
      </c>
      <c r="AE304">
        <v>-0.20639999999997299</v>
      </c>
      <c r="AF304">
        <v>0.23274641289421599</v>
      </c>
      <c r="AG304">
        <v>-1.0599072982860001</v>
      </c>
      <c r="AH304">
        <v>27.450686535118599</v>
      </c>
      <c r="AI304">
        <v>92.211088007756302</v>
      </c>
      <c r="AJ304">
        <v>89.514217336655605</v>
      </c>
      <c r="AK304">
        <v>27.472127067684699</v>
      </c>
      <c r="AL304">
        <v>80.814416797416499</v>
      </c>
      <c r="AM304">
        <v>93.940954612891403</v>
      </c>
      <c r="AN304">
        <v>1.00000000732213</v>
      </c>
    </row>
    <row r="305" spans="1:40" x14ac:dyDescent="0.25">
      <c r="A305" t="str">
        <f>"20190304155603724"</f>
        <v>20190304155603724</v>
      </c>
      <c r="B305" t="str">
        <f>"1551686163714933"</f>
        <v>1551686163714933</v>
      </c>
      <c r="C305" t="s">
        <v>40</v>
      </c>
      <c r="D305">
        <v>4.8844969999999996</v>
      </c>
      <c r="E305">
        <v>0.52661910000000001</v>
      </c>
      <c r="F305" t="s">
        <v>41</v>
      </c>
      <c r="G305">
        <v>-397.88060000000002</v>
      </c>
      <c r="H305" s="1">
        <v>-1.3931219999999901E-6</v>
      </c>
      <c r="I305">
        <v>367.03870000000001</v>
      </c>
      <c r="J305">
        <v>-425.37079999999997</v>
      </c>
      <c r="K305">
        <v>1.0598959999999999</v>
      </c>
      <c r="L305">
        <v>367.24650000000003</v>
      </c>
      <c r="M305">
        <v>0.99993390000000004</v>
      </c>
      <c r="N305">
        <v>-1.146688E-2</v>
      </c>
      <c r="O305">
        <v>9.710939E-4</v>
      </c>
      <c r="P305">
        <v>0.98640700000000003</v>
      </c>
      <c r="Q305">
        <v>0.14897869999999999</v>
      </c>
      <c r="R305">
        <v>6.9329619999999995E-2</v>
      </c>
      <c r="S305">
        <v>3.0600890000000001</v>
      </c>
      <c r="T305">
        <v>-0.1167971</v>
      </c>
      <c r="U305">
        <v>-2.285767E-2</v>
      </c>
      <c r="V305">
        <v>-6.8365250000000002E-2</v>
      </c>
      <c r="W305">
        <v>0.16028329999999999</v>
      </c>
      <c r="X305">
        <v>0.98470069999999998</v>
      </c>
      <c r="Y305">
        <v>8.4321959999999994E-3</v>
      </c>
      <c r="Z305">
        <v>-2.3514710000000001E-4</v>
      </c>
      <c r="AA305">
        <v>0.99996439999999998</v>
      </c>
      <c r="AB305">
        <v>30</v>
      </c>
      <c r="AC305">
        <v>27.490199999999898</v>
      </c>
      <c r="AD305">
        <v>-1.0598973931219999</v>
      </c>
      <c r="AE305">
        <v>-0.20780000000002</v>
      </c>
      <c r="AF305">
        <v>0.234149171226365</v>
      </c>
      <c r="AG305">
        <v>-1.0598973931219999</v>
      </c>
      <c r="AH305">
        <v>27.449183697983099</v>
      </c>
      <c r="AI305">
        <v>92.211187331574493</v>
      </c>
      <c r="AJ305">
        <v>89.5112629196028</v>
      </c>
      <c r="AK305">
        <v>27.470636942087001</v>
      </c>
      <c r="AL305">
        <v>80.776659714123099</v>
      </c>
      <c r="AM305">
        <v>93.971526404058096</v>
      </c>
      <c r="AN305">
        <v>1.00000000612347</v>
      </c>
    </row>
    <row r="306" spans="1:40" x14ac:dyDescent="0.25">
      <c r="A306" t="str">
        <f>"20190304155603746"</f>
        <v>20190304155603746</v>
      </c>
      <c r="B306" t="str">
        <f>"1551686163735429"</f>
        <v>1551686163735429</v>
      </c>
      <c r="C306" t="s">
        <v>40</v>
      </c>
      <c r="D306">
        <v>4.8388010000000001</v>
      </c>
      <c r="E306">
        <v>0.52670340000000004</v>
      </c>
      <c r="F306" t="s">
        <v>41</v>
      </c>
      <c r="G306">
        <v>-397.1361</v>
      </c>
      <c r="H306" s="1">
        <v>-1.6685E-6</v>
      </c>
      <c r="I306">
        <v>367.0367</v>
      </c>
      <c r="J306">
        <v>-425.0727</v>
      </c>
      <c r="K306">
        <v>1.0598959999999999</v>
      </c>
      <c r="L306">
        <v>367.24680000000001</v>
      </c>
      <c r="M306">
        <v>0.99993399999999999</v>
      </c>
      <c r="N306">
        <v>-1.145875E-2</v>
      </c>
      <c r="O306">
        <v>9.7131940000000003E-4</v>
      </c>
      <c r="P306">
        <v>0.98625059999999998</v>
      </c>
      <c r="Q306">
        <v>0.14994739999999901</v>
      </c>
      <c r="R306">
        <v>6.9467940000000006E-2</v>
      </c>
      <c r="S306">
        <v>3.0603030000000002</v>
      </c>
      <c r="T306">
        <v>-0.1148796</v>
      </c>
      <c r="U306">
        <v>-2.2735600000000002E-2</v>
      </c>
      <c r="V306">
        <v>-6.8503729999999999E-2</v>
      </c>
      <c r="W306">
        <v>0.161242</v>
      </c>
      <c r="X306">
        <v>0.98453460000000004</v>
      </c>
      <c r="Y306">
        <v>8.3922990000000006E-3</v>
      </c>
      <c r="Z306">
        <v>-2.3088819999999999E-4</v>
      </c>
      <c r="AA306">
        <v>0.99996479999999999</v>
      </c>
      <c r="AB306">
        <v>30</v>
      </c>
      <c r="AC306">
        <v>27.936599999999999</v>
      </c>
      <c r="AD306">
        <v>-1.0598976684999999</v>
      </c>
      <c r="AE306">
        <v>-0.210100000000011</v>
      </c>
      <c r="AF306">
        <v>0.236896072322169</v>
      </c>
      <c r="AG306">
        <v>-1.0598976684999999</v>
      </c>
      <c r="AH306">
        <v>27.8962312347678</v>
      </c>
      <c r="AI306">
        <v>92.175787833539999</v>
      </c>
      <c r="AJ306">
        <v>89.513453313743</v>
      </c>
      <c r="AK306">
        <v>27.9173641291653</v>
      </c>
      <c r="AL306">
        <v>80.721006885151894</v>
      </c>
      <c r="AM306">
        <v>93.9802144965455</v>
      </c>
      <c r="AN306">
        <v>1.0000000610925299</v>
      </c>
    </row>
    <row r="307" spans="1:40" x14ac:dyDescent="0.25">
      <c r="A307" t="str">
        <f>"20190304155603767"</f>
        <v>20190304155603767</v>
      </c>
      <c r="B307" t="str">
        <f>"1551686163765687"</f>
        <v>1551686163765687</v>
      </c>
      <c r="C307" t="s">
        <v>40</v>
      </c>
      <c r="D307">
        <v>4.8872099999999996</v>
      </c>
      <c r="E307">
        <v>0.52681630000000002</v>
      </c>
      <c r="F307" t="s">
        <v>41</v>
      </c>
      <c r="G307">
        <v>-396.25360000000001</v>
      </c>
      <c r="H307" s="1">
        <v>-2.0471050000000002E-6</v>
      </c>
      <c r="I307">
        <v>367.0367</v>
      </c>
      <c r="J307">
        <v>-424.78210000000001</v>
      </c>
      <c r="K307">
        <v>1.0598879999999999</v>
      </c>
      <c r="L307">
        <v>367.24709999999999</v>
      </c>
      <c r="M307">
        <v>0.99993399999999999</v>
      </c>
      <c r="N307">
        <v>-1.1452199999999999E-2</v>
      </c>
      <c r="O307">
        <v>9.7171449999999999E-4</v>
      </c>
      <c r="P307">
        <v>0.98620699999999994</v>
      </c>
      <c r="Q307">
        <v>0.15014229999999901</v>
      </c>
      <c r="R307">
        <v>6.9663030000000001E-2</v>
      </c>
      <c r="S307">
        <v>3.0605159999999998</v>
      </c>
      <c r="T307">
        <v>-0.11255800000000001</v>
      </c>
      <c r="U307">
        <v>-2.2308350000000001E-2</v>
      </c>
      <c r="V307">
        <v>-6.8698289999999995E-2</v>
      </c>
      <c r="W307">
        <v>0.1614302</v>
      </c>
      <c r="X307">
        <v>0.98449019999999998</v>
      </c>
      <c r="Y307">
        <v>8.2530060000000002E-3</v>
      </c>
      <c r="Z307">
        <v>-2.2358839999999999E-4</v>
      </c>
      <c r="AA307">
        <v>0.99996589999999996</v>
      </c>
      <c r="AB307">
        <v>30</v>
      </c>
      <c r="AC307">
        <v>28.528500000000001</v>
      </c>
      <c r="AD307">
        <v>-1.0598900471049999</v>
      </c>
      <c r="AE307">
        <v>-0.21039999999999201</v>
      </c>
      <c r="AF307">
        <v>0.23779507109289899</v>
      </c>
      <c r="AG307">
        <v>-1.0598900471049999</v>
      </c>
      <c r="AH307">
        <v>28.488961773606501</v>
      </c>
      <c r="AI307">
        <v>92.130548672355104</v>
      </c>
      <c r="AJ307">
        <v>89.521767845756798</v>
      </c>
      <c r="AK307">
        <v>28.509662508451399</v>
      </c>
      <c r="AL307">
        <v>80.710080663938996</v>
      </c>
      <c r="AM307">
        <v>93.991661796684994</v>
      </c>
      <c r="AN307">
        <v>1.0000000592085001</v>
      </c>
    </row>
    <row r="308" spans="1:40" x14ac:dyDescent="0.25">
      <c r="A308" t="str">
        <f>"20190304155603789"</f>
        <v>20190304155603789</v>
      </c>
      <c r="B308" t="str">
        <f>"1551686163785206"</f>
        <v>1551686163785206</v>
      </c>
      <c r="C308" t="s">
        <v>40</v>
      </c>
      <c r="D308">
        <v>4.8550000000000004</v>
      </c>
      <c r="E308">
        <v>0.52692810000000001</v>
      </c>
      <c r="F308" t="s">
        <v>41</v>
      </c>
      <c r="G308">
        <v>-396.39370000000002</v>
      </c>
      <c r="H308" s="1">
        <v>-1.9870260000000001E-6</v>
      </c>
      <c r="I308">
        <v>367.03649999999999</v>
      </c>
      <c r="J308">
        <v>-424.48790000000002</v>
      </c>
      <c r="K308">
        <v>1.0598799999999999</v>
      </c>
      <c r="L308">
        <v>367.24740000000003</v>
      </c>
      <c r="M308">
        <v>0.99993410000000005</v>
      </c>
      <c r="N308">
        <v>-1.144679E-2</v>
      </c>
      <c r="O308">
        <v>9.7204349999999997E-4</v>
      </c>
      <c r="P308">
        <v>0.98617600000000005</v>
      </c>
      <c r="Q308">
        <v>0.1501325</v>
      </c>
      <c r="R308">
        <v>7.0124190000000003E-2</v>
      </c>
      <c r="S308">
        <v>3.0609739999999999</v>
      </c>
      <c r="T308">
        <v>-0.11428199999999999</v>
      </c>
      <c r="U308">
        <v>-2.2705079999999999E-2</v>
      </c>
      <c r="V308">
        <v>-6.9159460000000006E-2</v>
      </c>
      <c r="W308">
        <v>0.16141420000000001</v>
      </c>
      <c r="X308">
        <v>0.98446049999999996</v>
      </c>
      <c r="Y308">
        <v>8.3815169999999998E-3</v>
      </c>
      <c r="Z308">
        <v>-2.2955490000000001E-4</v>
      </c>
      <c r="AA308">
        <v>0.99996479999999999</v>
      </c>
      <c r="AB308">
        <v>30</v>
      </c>
      <c r="AC308">
        <v>28.094200000000001</v>
      </c>
      <c r="AD308">
        <v>-1.0598819870259999</v>
      </c>
      <c r="AE308">
        <v>-0.210900000000037</v>
      </c>
      <c r="AF308">
        <v>0.237871939169332</v>
      </c>
      <c r="AG308">
        <v>-1.0598819870259999</v>
      </c>
      <c r="AH308">
        <v>28.054055977895999</v>
      </c>
      <c r="AI308">
        <v>92.163527346779702</v>
      </c>
      <c r="AJ308">
        <v>89.514197462707799</v>
      </c>
      <c r="AK308">
        <v>28.0750777326936</v>
      </c>
      <c r="AL308">
        <v>80.711009262441294</v>
      </c>
      <c r="AM308">
        <v>94.018491069684998</v>
      </c>
      <c r="AN308">
        <v>1.0000000254646899</v>
      </c>
    </row>
    <row r="309" spans="1:40" x14ac:dyDescent="0.25">
      <c r="A309" t="str">
        <f>"20190304155603802"</f>
        <v>20190304155603802</v>
      </c>
      <c r="B309" t="str">
        <f>"1551686163795003"</f>
        <v>1551686163795003</v>
      </c>
      <c r="C309" t="s">
        <v>40</v>
      </c>
      <c r="D309">
        <v>4.8344129999999996</v>
      </c>
      <c r="E309">
        <v>0.52693210000000001</v>
      </c>
      <c r="F309" t="s">
        <v>41</v>
      </c>
      <c r="G309">
        <v>-396.33530000000002</v>
      </c>
      <c r="H309" s="1">
        <v>-2.011195E-6</v>
      </c>
      <c r="I309">
        <v>367.04129999999998</v>
      </c>
      <c r="J309">
        <v>-424.31400000000002</v>
      </c>
      <c r="K309">
        <v>1.059877</v>
      </c>
      <c r="L309">
        <v>367.24759999999998</v>
      </c>
      <c r="M309">
        <v>0.99993410000000005</v>
      </c>
      <c r="N309">
        <v>-1.144413E-2</v>
      </c>
      <c r="O309">
        <v>9.7241630000000003E-4</v>
      </c>
      <c r="P309">
        <v>0.98615189999999997</v>
      </c>
      <c r="Q309">
        <v>0.150167299999999</v>
      </c>
      <c r="R309">
        <v>7.0387179999999994E-2</v>
      </c>
      <c r="S309">
        <v>3.0611570000000001</v>
      </c>
      <c r="T309">
        <v>-0.1152455</v>
      </c>
      <c r="U309">
        <v>-2.23999E-2</v>
      </c>
      <c r="V309">
        <v>-6.9421960000000005E-2</v>
      </c>
      <c r="W309">
        <v>0.1614467</v>
      </c>
      <c r="X309">
        <v>0.98443670000000005</v>
      </c>
      <c r="Y309">
        <v>8.281732E-3</v>
      </c>
      <c r="Z309">
        <v>-2.287193E-4</v>
      </c>
      <c r="AA309">
        <v>0.99996569999999996</v>
      </c>
      <c r="AB309">
        <v>30</v>
      </c>
      <c r="AC309">
        <v>27.9787</v>
      </c>
      <c r="AD309">
        <v>-1.0598790111950001</v>
      </c>
      <c r="AE309">
        <v>-0.20629999999999801</v>
      </c>
      <c r="AF309">
        <v>0.23317403569213299</v>
      </c>
      <c r="AG309">
        <v>-1.0598790111950001</v>
      </c>
      <c r="AH309">
        <v>27.938396209702301</v>
      </c>
      <c r="AI309">
        <v>92.172471718836505</v>
      </c>
      <c r="AJ309">
        <v>89.521820155606804</v>
      </c>
      <c r="AK309">
        <v>27.959465238441201</v>
      </c>
      <c r="AL309">
        <v>80.709122452606593</v>
      </c>
      <c r="AM309">
        <v>94.033790503446795</v>
      </c>
      <c r="AN309">
        <v>1.00000003088901</v>
      </c>
    </row>
    <row r="310" spans="1:40" x14ac:dyDescent="0.25">
      <c r="A310" t="str">
        <f>"20190304155603815"</f>
        <v>20190304155603815</v>
      </c>
      <c r="B310" t="str">
        <f>"1551686163805702"</f>
        <v>1551686163805702</v>
      </c>
      <c r="C310" t="s">
        <v>40</v>
      </c>
      <c r="D310">
        <v>4.8821099999999999</v>
      </c>
      <c r="E310">
        <v>0.52693290000000004</v>
      </c>
      <c r="F310" t="s">
        <v>41</v>
      </c>
      <c r="G310">
        <v>-396.31119999999999</v>
      </c>
      <c r="H310" s="1">
        <v>-2.0201630000000002E-6</v>
      </c>
      <c r="I310">
        <v>367.04899999999998</v>
      </c>
      <c r="J310">
        <v>-424.13010000000003</v>
      </c>
      <c r="K310">
        <v>1.059874</v>
      </c>
      <c r="L310">
        <v>367.24770000000001</v>
      </c>
      <c r="M310">
        <v>0.99993410000000005</v>
      </c>
      <c r="N310">
        <v>-1.144159E-2</v>
      </c>
      <c r="O310">
        <v>9.7278839999999996E-4</v>
      </c>
      <c r="P310">
        <v>0.98613660000000003</v>
      </c>
      <c r="Q310">
        <v>0.15026110000000001</v>
      </c>
      <c r="R310">
        <v>7.0402030000000004E-2</v>
      </c>
      <c r="S310">
        <v>3.0613100000000002</v>
      </c>
      <c r="T310">
        <v>-0.1158674</v>
      </c>
      <c r="U310">
        <v>-2.1697999999999999E-2</v>
      </c>
      <c r="V310">
        <v>-6.9436410000000004E-2</v>
      </c>
      <c r="W310">
        <v>0.1615375</v>
      </c>
      <c r="X310">
        <v>0.98442079999999998</v>
      </c>
      <c r="Y310">
        <v>8.0526150000000008E-3</v>
      </c>
      <c r="Z310">
        <v>-2.2410369999999999E-4</v>
      </c>
      <c r="AA310">
        <v>0.99996759999999996</v>
      </c>
      <c r="AB310">
        <v>30</v>
      </c>
      <c r="AC310">
        <v>27.818899999999999</v>
      </c>
      <c r="AD310">
        <v>-1.059876020163</v>
      </c>
      <c r="AE310">
        <v>-0.19869999999997301</v>
      </c>
      <c r="AF310">
        <v>0.22543636575529499</v>
      </c>
      <c r="AG310">
        <v>-1.059876020163</v>
      </c>
      <c r="AH310">
        <v>27.778374052672401</v>
      </c>
      <c r="AI310">
        <v>92.184972505321198</v>
      </c>
      <c r="AJ310">
        <v>89.535024306186202</v>
      </c>
      <c r="AK310">
        <v>27.799500422549102</v>
      </c>
      <c r="AL310">
        <v>80.703850934583599</v>
      </c>
      <c r="AM310">
        <v>94.034692304469402</v>
      </c>
      <c r="AN310">
        <v>1.0000000452062801</v>
      </c>
    </row>
    <row r="311" spans="1:40" x14ac:dyDescent="0.25">
      <c r="A311" t="str">
        <f>"20190304155603835"</f>
        <v>20190304155603835</v>
      </c>
      <c r="B311" t="str">
        <f>"1551686163825221"</f>
        <v>1551686163825221</v>
      </c>
      <c r="C311" t="s">
        <v>40</v>
      </c>
      <c r="D311">
        <v>4.8978140000000003</v>
      </c>
      <c r="E311">
        <v>0.52701039999999999</v>
      </c>
      <c r="F311" t="s">
        <v>41</v>
      </c>
      <c r="G311">
        <v>-396.12369999999999</v>
      </c>
      <c r="H311" s="1">
        <v>-2.1007629999999999E-6</v>
      </c>
      <c r="I311">
        <v>367.04829999999998</v>
      </c>
      <c r="J311">
        <v>-423.86130000000003</v>
      </c>
      <c r="K311">
        <v>1.0598730000000001</v>
      </c>
      <c r="L311">
        <v>367.24799999999999</v>
      </c>
      <c r="M311">
        <v>0.9999342</v>
      </c>
      <c r="N311">
        <v>-1.1438540000000001E-2</v>
      </c>
      <c r="O311">
        <v>9.7292500000000003E-4</v>
      </c>
      <c r="P311">
        <v>0.98618039999999996</v>
      </c>
      <c r="Q311">
        <v>0.1499432</v>
      </c>
      <c r="R311">
        <v>7.0465829999999993E-2</v>
      </c>
      <c r="S311">
        <v>3.061401</v>
      </c>
      <c r="T311">
        <v>-0.1158555</v>
      </c>
      <c r="U311">
        <v>-2.1789550000000001E-2</v>
      </c>
      <c r="V311">
        <v>-6.9500179999999995E-2</v>
      </c>
      <c r="W311">
        <v>0.16121759999999999</v>
      </c>
      <c r="X311">
        <v>0.98446869999999997</v>
      </c>
      <c r="Y311">
        <v>8.0824160000000003E-3</v>
      </c>
      <c r="Z311">
        <v>-2.248071E-4</v>
      </c>
      <c r="AA311">
        <v>0.9999673</v>
      </c>
      <c r="AB311">
        <v>30</v>
      </c>
      <c r="AC311">
        <v>27.7376</v>
      </c>
      <c r="AD311">
        <v>-1.0598751007629901</v>
      </c>
      <c r="AE311">
        <v>-0.19970000000006299</v>
      </c>
      <c r="AF311">
        <v>0.22635779348642601</v>
      </c>
      <c r="AG311">
        <v>-1.0598751007629901</v>
      </c>
      <c r="AH311">
        <v>27.696955358781398</v>
      </c>
      <c r="AI311">
        <v>92.1913863372354</v>
      </c>
      <c r="AJ311">
        <v>89.531751511343998</v>
      </c>
      <c r="AK311">
        <v>27.718151259169801</v>
      </c>
      <c r="AL311">
        <v>80.722422913934693</v>
      </c>
      <c r="AM311">
        <v>94.038189648040401</v>
      </c>
      <c r="AN311">
        <v>1.00000000542474</v>
      </c>
    </row>
    <row r="312" spans="1:40" x14ac:dyDescent="0.25">
      <c r="A312" t="str">
        <f>"20190304155603857"</f>
        <v>20190304155603857</v>
      </c>
      <c r="B312" t="str">
        <f>"1551686163845721"</f>
        <v>1551686163845721</v>
      </c>
      <c r="C312" t="s">
        <v>40</v>
      </c>
      <c r="D312">
        <v>4.824967</v>
      </c>
      <c r="E312">
        <v>0.52710489999999999</v>
      </c>
      <c r="F312" t="s">
        <v>41</v>
      </c>
      <c r="G312">
        <v>-396.06380000000001</v>
      </c>
      <c r="H312" s="1">
        <v>-2.1267279999999998E-6</v>
      </c>
      <c r="I312">
        <v>367.04680000000002</v>
      </c>
      <c r="J312">
        <v>-423.57369999999997</v>
      </c>
      <c r="K312">
        <v>1.0598700000000001</v>
      </c>
      <c r="L312">
        <v>367.24829999999997</v>
      </c>
      <c r="M312">
        <v>0.99993410000000005</v>
      </c>
      <c r="N312">
        <v>-1.143604E-2</v>
      </c>
      <c r="O312">
        <v>9.7347589999999999E-4</v>
      </c>
      <c r="P312">
        <v>0.98616090000000001</v>
      </c>
      <c r="Q312">
        <v>0.1500727</v>
      </c>
      <c r="R312">
        <v>7.0463170000000006E-2</v>
      </c>
      <c r="S312">
        <v>3.0613709999999998</v>
      </c>
      <c r="T312">
        <v>-0.1167247</v>
      </c>
      <c r="U312">
        <v>-2.215576E-2</v>
      </c>
      <c r="V312">
        <v>-6.9496859999999994E-2</v>
      </c>
      <c r="W312">
        <v>0.16134409999999999</v>
      </c>
      <c r="X312">
        <v>0.9844482</v>
      </c>
      <c r="Y312">
        <v>8.2024279999999995E-3</v>
      </c>
      <c r="Z312">
        <v>-2.292122E-4</v>
      </c>
      <c r="AA312">
        <v>0.99996629999999997</v>
      </c>
      <c r="AB312">
        <v>30</v>
      </c>
      <c r="AC312">
        <v>27.509899999999899</v>
      </c>
      <c r="AD312">
        <v>-1.059872126728</v>
      </c>
      <c r="AE312">
        <v>-0.20149999999995299</v>
      </c>
      <c r="AF312">
        <v>0.22794355730971899</v>
      </c>
      <c r="AG312">
        <v>-1.059872126728</v>
      </c>
      <c r="AH312">
        <v>27.468920185376401</v>
      </c>
      <c r="AI312">
        <v>92.209551851402793</v>
      </c>
      <c r="AJ312">
        <v>89.524557064966004</v>
      </c>
      <c r="AK312">
        <v>27.490304897198101</v>
      </c>
      <c r="AL312">
        <v>80.715078758804395</v>
      </c>
      <c r="AM312">
        <v>94.038081191706794</v>
      </c>
      <c r="AN312">
        <v>0.999999995318954</v>
      </c>
    </row>
    <row r="313" spans="1:40" x14ac:dyDescent="0.25">
      <c r="A313" t="str">
        <f>"20190304155603872"</f>
        <v>20190304155603872</v>
      </c>
      <c r="B313" t="str">
        <f>"1551686163865238"</f>
        <v>1551686163865238</v>
      </c>
      <c r="C313" t="s">
        <v>40</v>
      </c>
      <c r="D313">
        <v>4.9381979999999999</v>
      </c>
      <c r="E313">
        <v>0.52730519999999903</v>
      </c>
      <c r="F313" t="s">
        <v>41</v>
      </c>
      <c r="G313">
        <v>-395.84870000000001</v>
      </c>
      <c r="H313" s="1">
        <v>-2.2196950000000002E-6</v>
      </c>
      <c r="I313">
        <v>367.04289999999997</v>
      </c>
      <c r="J313">
        <v>-423.37720000000002</v>
      </c>
      <c r="K313">
        <v>1.059868</v>
      </c>
      <c r="L313">
        <v>367.24849999999998</v>
      </c>
      <c r="M313">
        <v>0.9999342</v>
      </c>
      <c r="N313">
        <v>-1.1434710000000001E-2</v>
      </c>
      <c r="O313">
        <v>9.7366239999999995E-4</v>
      </c>
      <c r="P313">
        <v>0.98615379999999997</v>
      </c>
      <c r="Q313">
        <v>0.15022379999999999</v>
      </c>
      <c r="R313">
        <v>7.0240529999999995E-2</v>
      </c>
      <c r="S313">
        <v>3.0615230000000002</v>
      </c>
      <c r="T313">
        <v>-0.1170354</v>
      </c>
      <c r="U313">
        <v>-2.267456E-2</v>
      </c>
      <c r="V313">
        <v>-6.9274020000000006E-2</v>
      </c>
      <c r="W313">
        <v>0.16149379999999999</v>
      </c>
      <c r="X313">
        <v>0.98443939999999996</v>
      </c>
      <c r="Y313">
        <v>8.3714979999999998E-3</v>
      </c>
      <c r="Z313">
        <v>-2.3391530000000001E-4</v>
      </c>
      <c r="AA313">
        <v>0.99996499999999999</v>
      </c>
      <c r="AB313">
        <v>30</v>
      </c>
      <c r="AC313">
        <v>27.528500000000001</v>
      </c>
      <c r="AD313">
        <v>-1.0598702196950001</v>
      </c>
      <c r="AE313">
        <v>-0.205600000000003</v>
      </c>
      <c r="AF313">
        <v>0.232061150622242</v>
      </c>
      <c r="AG313">
        <v>-1.0598702196950001</v>
      </c>
      <c r="AH313">
        <v>27.487543846193699</v>
      </c>
      <c r="AI313">
        <v>92.208049663115801</v>
      </c>
      <c r="AJ313">
        <v>89.516296955565906</v>
      </c>
      <c r="AK313">
        <v>27.508948434221299</v>
      </c>
      <c r="AL313">
        <v>80.706387974500004</v>
      </c>
      <c r="AM313">
        <v>94.025211673909496</v>
      </c>
      <c r="AN313">
        <v>1.00000003477887</v>
      </c>
    </row>
    <row r="314" spans="1:40" x14ac:dyDescent="0.25">
      <c r="A314" t="str">
        <f>"20190304155603889"</f>
        <v>20190304155603889</v>
      </c>
      <c r="B314" t="str">
        <f>"1551686163884758"</f>
        <v>1551686163884758</v>
      </c>
      <c r="C314" t="s">
        <v>40</v>
      </c>
      <c r="D314">
        <v>4.8900389999999998</v>
      </c>
      <c r="E314">
        <v>0.52733069999999904</v>
      </c>
      <c r="F314" t="s">
        <v>41</v>
      </c>
      <c r="G314">
        <v>-395.56630000000001</v>
      </c>
      <c r="H314" s="1">
        <v>-2.3441289999999999E-6</v>
      </c>
      <c r="I314">
        <v>367.02420000000001</v>
      </c>
      <c r="J314">
        <v>-423.13010000000003</v>
      </c>
      <c r="K314">
        <v>1.059863</v>
      </c>
      <c r="L314">
        <v>367.24869999999999</v>
      </c>
      <c r="M314">
        <v>0.9999342</v>
      </c>
      <c r="N314">
        <v>-1.1433479999999999E-2</v>
      </c>
      <c r="O314">
        <v>9.7384830000000003E-4</v>
      </c>
      <c r="P314">
        <v>0.98611629999999995</v>
      </c>
      <c r="Q314">
        <v>0.1504655</v>
      </c>
      <c r="R314">
        <v>7.0247399999999904E-2</v>
      </c>
      <c r="S314">
        <v>3.0616460000000001</v>
      </c>
      <c r="T314">
        <v>-0.1166788</v>
      </c>
      <c r="U314">
        <v>-2.4688720000000001E-2</v>
      </c>
      <c r="V314">
        <v>-6.9280640000000004E-2</v>
      </c>
      <c r="W314">
        <v>0.16173419999999999</v>
      </c>
      <c r="X314">
        <v>0.98439940000000004</v>
      </c>
      <c r="Y314">
        <v>9.0286210000000006E-3</v>
      </c>
      <c r="Z314">
        <v>-2.49583E-4</v>
      </c>
      <c r="AA314">
        <v>0.99995919999999905</v>
      </c>
      <c r="AB314">
        <v>30</v>
      </c>
      <c r="AC314">
        <v>27.563800000000001</v>
      </c>
      <c r="AD314">
        <v>-1.059865344129</v>
      </c>
      <c r="AE314">
        <v>-0.224499999999977</v>
      </c>
      <c r="AF314">
        <v>0.25097356554925099</v>
      </c>
      <c r="AG314">
        <v>-1.059865344129</v>
      </c>
      <c r="AH314">
        <v>27.522878232734701</v>
      </c>
      <c r="AI314">
        <v>92.205194512262196</v>
      </c>
      <c r="AJ314">
        <v>89.477550007305794</v>
      </c>
      <c r="AK314">
        <v>27.544421004846601</v>
      </c>
      <c r="AL314">
        <v>80.692429965215894</v>
      </c>
      <c r="AM314">
        <v>94.025758106550597</v>
      </c>
      <c r="AN314">
        <v>0.99999996862440399</v>
      </c>
    </row>
    <row r="315" spans="1:40" x14ac:dyDescent="0.25">
      <c r="A315" t="str">
        <f>"20190304155603901"</f>
        <v>20190304155603901</v>
      </c>
      <c r="B315" t="str">
        <f>"1551686163895494"</f>
        <v>1551686163895494</v>
      </c>
      <c r="C315" t="s">
        <v>40</v>
      </c>
      <c r="D315">
        <v>4.9976640000000003</v>
      </c>
      <c r="E315">
        <v>0.52744999999999997</v>
      </c>
      <c r="F315" t="s">
        <v>41</v>
      </c>
      <c r="G315">
        <v>-395.05939999999998</v>
      </c>
      <c r="H315" s="1">
        <v>-2.562353E-6</v>
      </c>
      <c r="I315">
        <v>367.02010000000001</v>
      </c>
      <c r="J315">
        <v>-422.96850000000001</v>
      </c>
      <c r="K315">
        <v>1.0598609999999999</v>
      </c>
      <c r="L315">
        <v>367.24889999999999</v>
      </c>
      <c r="M315">
        <v>0.9999344</v>
      </c>
      <c r="N315">
        <v>-1.1432970000000001E-2</v>
      </c>
      <c r="O315">
        <v>9.7397040000000003E-4</v>
      </c>
      <c r="P315">
        <v>0.98609219999999997</v>
      </c>
      <c r="Q315">
        <v>0.15076589999999901</v>
      </c>
      <c r="R315">
        <v>6.9946229999999998E-2</v>
      </c>
      <c r="S315">
        <v>3.0615839999999999</v>
      </c>
      <c r="T315">
        <v>-0.1155958</v>
      </c>
      <c r="U315">
        <v>-2.4932860000000001E-2</v>
      </c>
      <c r="V315">
        <v>-6.8979620000000005E-2</v>
      </c>
      <c r="W315">
        <v>0.1620335</v>
      </c>
      <c r="X315">
        <v>0.98437140000000001</v>
      </c>
      <c r="Y315">
        <v>9.1087119999999997E-3</v>
      </c>
      <c r="Z315">
        <v>-2.496183E-4</v>
      </c>
      <c r="AA315">
        <v>0.99995849999999997</v>
      </c>
      <c r="AB315">
        <v>30</v>
      </c>
      <c r="AC315">
        <v>27.909099999999999</v>
      </c>
      <c r="AD315">
        <v>-1.0598635623529999</v>
      </c>
      <c r="AE315">
        <v>-0.22879999999997799</v>
      </c>
      <c r="AF315">
        <v>0.25561568960967102</v>
      </c>
      <c r="AG315">
        <v>-1.0598635623529999</v>
      </c>
      <c r="AH315">
        <v>27.868675992908098</v>
      </c>
      <c r="AI315">
        <v>92.177853995977202</v>
      </c>
      <c r="AJ315">
        <v>89.474489225457006</v>
      </c>
      <c r="AK315">
        <v>27.889993756709099</v>
      </c>
      <c r="AL315">
        <v>80.675052868760403</v>
      </c>
      <c r="AM315">
        <v>94.008437224964297</v>
      </c>
      <c r="AN315">
        <v>1.00000004811777</v>
      </c>
    </row>
    <row r="316" spans="1:40" x14ac:dyDescent="0.25">
      <c r="A316" t="str">
        <f>"20190304155603915"</f>
        <v>20190304155603915</v>
      </c>
      <c r="B316" t="str">
        <f>"1551686163905253"</f>
        <v>1551686163905253</v>
      </c>
      <c r="C316" t="s">
        <v>40</v>
      </c>
      <c r="D316">
        <v>4.8727460000000002</v>
      </c>
      <c r="E316">
        <v>0.5275301</v>
      </c>
      <c r="F316" t="s">
        <v>41</v>
      </c>
      <c r="G316">
        <v>-394.84429999999998</v>
      </c>
      <c r="H316" s="1">
        <v>-2.657725E-6</v>
      </c>
      <c r="I316">
        <v>367.00240000000002</v>
      </c>
      <c r="J316">
        <v>-422.79500000000002</v>
      </c>
      <c r="K316">
        <v>1.0598620000000001</v>
      </c>
      <c r="L316">
        <v>367.2491</v>
      </c>
      <c r="M316">
        <v>0.9999342</v>
      </c>
      <c r="N316">
        <v>-1.143251E-2</v>
      </c>
      <c r="O316">
        <v>9.7433060000000002E-4</v>
      </c>
      <c r="P316">
        <v>0.98610699999999996</v>
      </c>
      <c r="Q316">
        <v>0.15079579999999901</v>
      </c>
      <c r="R316">
        <v>6.9667590000000001E-2</v>
      </c>
      <c r="S316">
        <v>3.0618289999999999</v>
      </c>
      <c r="T316">
        <v>-0.1153851</v>
      </c>
      <c r="U316">
        <v>-2.682495E-2</v>
      </c>
      <c r="V316">
        <v>-6.8700460000000005E-2</v>
      </c>
      <c r="W316">
        <v>0.16206309999999999</v>
      </c>
      <c r="X316">
        <v>0.98438599999999998</v>
      </c>
      <c r="Y316">
        <v>9.7257699999999999E-3</v>
      </c>
      <c r="Z316">
        <v>-2.6438049999999999E-4</v>
      </c>
      <c r="AA316">
        <v>0.99995270000000003</v>
      </c>
      <c r="AB316">
        <v>30</v>
      </c>
      <c r="AC316">
        <v>27.950700000000001</v>
      </c>
      <c r="AD316">
        <v>-1.0598646577249999</v>
      </c>
      <c r="AE316">
        <v>-0.24669999999997499</v>
      </c>
      <c r="AF316">
        <v>0.27354160148277901</v>
      </c>
      <c r="AG316">
        <v>-1.0598646577249999</v>
      </c>
      <c r="AH316">
        <v>27.910318450816799</v>
      </c>
      <c r="AI316">
        <v>92.174597030968201</v>
      </c>
      <c r="AJ316">
        <v>89.438477295423894</v>
      </c>
      <c r="AK316">
        <v>27.931774274586299</v>
      </c>
      <c r="AL316">
        <v>80.673333738342606</v>
      </c>
      <c r="AM316">
        <v>93.992208650899002</v>
      </c>
      <c r="AN316">
        <v>0.99999999929090999</v>
      </c>
    </row>
    <row r="317" spans="1:40" x14ac:dyDescent="0.25">
      <c r="A317" t="str">
        <f>"20190304155603936"</f>
        <v>20190304155603936</v>
      </c>
      <c r="B317" t="str">
        <f>"1551686163924774"</f>
        <v>1551686163924774</v>
      </c>
      <c r="C317" t="s">
        <v>40</v>
      </c>
      <c r="D317">
        <v>4.8652240000000004</v>
      </c>
      <c r="E317">
        <v>0.52752659999999996</v>
      </c>
      <c r="F317" t="s">
        <v>41</v>
      </c>
      <c r="G317">
        <v>-394.80040000000002</v>
      </c>
      <c r="H317" s="1">
        <v>-2.678253E-6</v>
      </c>
      <c r="I317">
        <v>366.99290000000002</v>
      </c>
      <c r="J317">
        <v>-422.50020000000001</v>
      </c>
      <c r="K317">
        <v>1.059863</v>
      </c>
      <c r="L317">
        <v>367.24939999999998</v>
      </c>
      <c r="M317">
        <v>0.9999342</v>
      </c>
      <c r="N317">
        <v>-1.1432110000000001E-2</v>
      </c>
      <c r="O317">
        <v>9.7469050000000002E-4</v>
      </c>
      <c r="P317">
        <v>0.98604060000000004</v>
      </c>
      <c r="Q317">
        <v>0.15133940000000001</v>
      </c>
      <c r="R317">
        <v>6.9429080000000004E-2</v>
      </c>
      <c r="S317">
        <v>3.0619809999999998</v>
      </c>
      <c r="T317">
        <v>-0.115925399999999</v>
      </c>
      <c r="U317">
        <v>-2.8015140000000001E-2</v>
      </c>
      <c r="V317">
        <v>-6.8461919999999996E-2</v>
      </c>
      <c r="W317">
        <v>0.16260569999999999</v>
      </c>
      <c r="X317">
        <v>0.98431310000000005</v>
      </c>
      <c r="Y317">
        <v>1.01139E-2</v>
      </c>
      <c r="Z317">
        <v>-2.749707E-4</v>
      </c>
      <c r="AA317">
        <v>0.99994879999999997</v>
      </c>
      <c r="AB317">
        <v>30</v>
      </c>
      <c r="AC317">
        <v>27.6997999999999</v>
      </c>
      <c r="AD317">
        <v>-1.0598656782529901</v>
      </c>
      <c r="AE317">
        <v>-0.25649999999995998</v>
      </c>
      <c r="AF317">
        <v>0.283085964564945</v>
      </c>
      <c r="AG317">
        <v>-1.0598656782529901</v>
      </c>
      <c r="AH317">
        <v>27.659046761665302</v>
      </c>
      <c r="AI317">
        <v>92.194325753001294</v>
      </c>
      <c r="AJ317">
        <v>89.413607242572894</v>
      </c>
      <c r="AK317">
        <v>27.6807933535739</v>
      </c>
      <c r="AL317">
        <v>80.641826800167905</v>
      </c>
      <c r="AM317">
        <v>93.9786852944396</v>
      </c>
      <c r="AN317">
        <v>0.99999996349709197</v>
      </c>
    </row>
    <row r="318" spans="1:40" x14ac:dyDescent="0.25">
      <c r="A318" t="str">
        <f>"20190304155603957"</f>
        <v>20190304155603957</v>
      </c>
      <c r="B318" t="str">
        <f>"1551686163955030"</f>
        <v>1551686163955030</v>
      </c>
      <c r="C318" t="s">
        <v>40</v>
      </c>
      <c r="D318">
        <v>4.8654010000000003</v>
      </c>
      <c r="E318">
        <v>0.52744019999999903</v>
      </c>
      <c r="F318" t="s">
        <v>41</v>
      </c>
      <c r="G318">
        <v>-394.10820000000001</v>
      </c>
      <c r="H318" s="1">
        <v>-2.9759289999999999E-6</v>
      </c>
      <c r="I318">
        <v>366.98899999999998</v>
      </c>
      <c r="J318">
        <v>-422.21179999999998</v>
      </c>
      <c r="K318">
        <v>1.0598650000000001</v>
      </c>
      <c r="L318">
        <v>367.24970000000002</v>
      </c>
      <c r="M318">
        <v>0.9999344</v>
      </c>
      <c r="N318">
        <v>-1.1432100000000001E-2</v>
      </c>
      <c r="O318">
        <v>9.7480959999999997E-4</v>
      </c>
      <c r="P318">
        <v>0.98590219999999995</v>
      </c>
      <c r="Q318">
        <v>0.1523592</v>
      </c>
      <c r="R318">
        <v>6.91687E-2</v>
      </c>
      <c r="S318">
        <v>3.0619809999999998</v>
      </c>
      <c r="T318">
        <v>-0.114302399999999</v>
      </c>
      <c r="U318">
        <v>-2.8076170000000001E-2</v>
      </c>
      <c r="V318">
        <v>-6.8201520000000002E-2</v>
      </c>
      <c r="W318">
        <v>0.1636232</v>
      </c>
      <c r="X318">
        <v>0.9841626</v>
      </c>
      <c r="Y318">
        <v>1.013418E-2</v>
      </c>
      <c r="Z318">
        <v>-2.722736E-4</v>
      </c>
      <c r="AA318">
        <v>0.99994859999999997</v>
      </c>
      <c r="AB318">
        <v>30</v>
      </c>
      <c r="AC318">
        <v>28.103599999999901</v>
      </c>
      <c r="AD318">
        <v>-1.059867975929</v>
      </c>
      <c r="AE318">
        <v>-0.260699999999985</v>
      </c>
      <c r="AF318">
        <v>0.287688186656547</v>
      </c>
      <c r="AG318">
        <v>-1.059867975929</v>
      </c>
      <c r="AH318">
        <v>28.063422389071398</v>
      </c>
      <c r="AI318">
        <v>92.162741512411699</v>
      </c>
      <c r="AJ318">
        <v>89.412661032337397</v>
      </c>
      <c r="AK318">
        <v>28.084902720262001</v>
      </c>
      <c r="AL318">
        <v>80.582737410496307</v>
      </c>
      <c r="AM318">
        <v>93.964204584413906</v>
      </c>
      <c r="AN318">
        <v>1.00000001107365</v>
      </c>
    </row>
    <row r="319" spans="1:40" x14ac:dyDescent="0.25">
      <c r="A319" t="str">
        <f>"20190304155603970"</f>
        <v>20190304155603970</v>
      </c>
      <c r="B319" t="str">
        <f>"1551686163964790"</f>
        <v>1551686163964790</v>
      </c>
      <c r="C319" t="s">
        <v>40</v>
      </c>
      <c r="D319">
        <v>4.7926570000000002</v>
      </c>
      <c r="E319">
        <v>0.52736559999999999</v>
      </c>
      <c r="F319" t="s">
        <v>41</v>
      </c>
      <c r="G319">
        <v>-392.96519999999998</v>
      </c>
      <c r="H319" s="1">
        <v>-3.4673350000000002E-6</v>
      </c>
      <c r="I319">
        <v>366.98289999999997</v>
      </c>
      <c r="J319">
        <v>-422.03629999999998</v>
      </c>
      <c r="K319">
        <v>1.0598669999999999</v>
      </c>
      <c r="L319">
        <v>367.24979999999999</v>
      </c>
      <c r="M319">
        <v>0.99993430000000005</v>
      </c>
      <c r="N319">
        <v>-1.143224E-2</v>
      </c>
      <c r="O319">
        <v>9.7516639999999999E-4</v>
      </c>
      <c r="P319">
        <v>0.98587349999999996</v>
      </c>
      <c r="Q319">
        <v>0.15256330000000001</v>
      </c>
      <c r="R319">
        <v>6.9124660000000004E-2</v>
      </c>
      <c r="S319">
        <v>3.0620120000000002</v>
      </c>
      <c r="T319">
        <v>-0.1109639</v>
      </c>
      <c r="U319">
        <v>-2.792358E-2</v>
      </c>
      <c r="V319">
        <v>-6.8157399999999896E-2</v>
      </c>
      <c r="W319">
        <v>0.1638279</v>
      </c>
      <c r="X319">
        <v>0.9841316</v>
      </c>
      <c r="Y319">
        <v>1.0085159999999999E-2</v>
      </c>
      <c r="Z319">
        <v>-2.6453039999999999E-4</v>
      </c>
      <c r="AA319">
        <v>0.99994910000000004</v>
      </c>
      <c r="AB319">
        <v>30</v>
      </c>
      <c r="AC319">
        <v>29.071100000000001</v>
      </c>
      <c r="AD319">
        <v>-1.0598704673349999</v>
      </c>
      <c r="AE319">
        <v>-0.26690000000002101</v>
      </c>
      <c r="AF319">
        <v>0.29485899557693201</v>
      </c>
      <c r="AG319">
        <v>-1.0598704673349999</v>
      </c>
      <c r="AH319">
        <v>29.0322401679488</v>
      </c>
      <c r="AI319">
        <v>92.090642023189304</v>
      </c>
      <c r="AJ319">
        <v>89.418109141414703</v>
      </c>
      <c r="AK319">
        <v>29.053076195202799</v>
      </c>
      <c r="AL319">
        <v>80.570848515991401</v>
      </c>
      <c r="AM319">
        <v>93.961772677448096</v>
      </c>
      <c r="AN319">
        <v>1.0000000090558601</v>
      </c>
    </row>
    <row r="320" spans="1:40" x14ac:dyDescent="0.25">
      <c r="A320" t="str">
        <f>"20190304155603989"</f>
        <v>20190304155603989</v>
      </c>
      <c r="B320" t="str">
        <f>"1551686163984915"</f>
        <v>1551686163984915</v>
      </c>
      <c r="C320" t="s">
        <v>40</v>
      </c>
      <c r="D320">
        <v>4.7420049999999998</v>
      </c>
      <c r="E320">
        <v>0.52718409999999905</v>
      </c>
      <c r="F320" t="s">
        <v>41</v>
      </c>
      <c r="G320">
        <v>-392.73480000000001</v>
      </c>
      <c r="H320" s="1">
        <v>-3.5647829999999999E-6</v>
      </c>
      <c r="I320">
        <v>366.9907</v>
      </c>
      <c r="J320">
        <v>-421.77199999999999</v>
      </c>
      <c r="K320">
        <v>1.0598669999999999</v>
      </c>
      <c r="L320">
        <v>367.25009999999997</v>
      </c>
      <c r="M320">
        <v>0.99993430000000005</v>
      </c>
      <c r="N320">
        <v>-1.143274E-2</v>
      </c>
      <c r="O320">
        <v>9.7534230000000002E-4</v>
      </c>
      <c r="P320">
        <v>0.98576629999999998</v>
      </c>
      <c r="Q320">
        <v>0.15330550000000001</v>
      </c>
      <c r="R320">
        <v>6.9009829999999994E-2</v>
      </c>
      <c r="S320">
        <v>3.0620419999999999</v>
      </c>
      <c r="T320">
        <v>-0.11075739999999901</v>
      </c>
      <c r="U320">
        <v>-2.7069090000000001E-2</v>
      </c>
      <c r="V320">
        <v>-6.8041909999999997E-2</v>
      </c>
      <c r="W320">
        <v>0.1645691</v>
      </c>
      <c r="X320">
        <v>0.98401590000000005</v>
      </c>
      <c r="Y320">
        <v>9.8064889999999998E-3</v>
      </c>
      <c r="Z320">
        <v>-2.5749719999999999E-4</v>
      </c>
      <c r="AA320">
        <v>0.9999519</v>
      </c>
      <c r="AB320">
        <v>30</v>
      </c>
      <c r="AC320">
        <v>29.037199999999899</v>
      </c>
      <c r="AD320">
        <v>-1.059870564783</v>
      </c>
      <c r="AE320">
        <v>-0.25939999999997099</v>
      </c>
      <c r="AF320">
        <v>0.28734014580503398</v>
      </c>
      <c r="AG320">
        <v>-1.059870564783</v>
      </c>
      <c r="AH320">
        <v>28.9983023305325</v>
      </c>
      <c r="AI320">
        <v>92.093091989882893</v>
      </c>
      <c r="AJ320">
        <v>89.432282667392101</v>
      </c>
      <c r="AK320">
        <v>29.019087305193601</v>
      </c>
      <c r="AL320">
        <v>80.527796378595497</v>
      </c>
      <c r="AM320">
        <v>93.955544494316001</v>
      </c>
      <c r="AN320">
        <v>0.99999999082203395</v>
      </c>
    </row>
    <row r="321" spans="1:40" x14ac:dyDescent="0.25">
      <c r="A321" t="str">
        <f>"20190304155604003"</f>
        <v>20190304155604003</v>
      </c>
      <c r="B321" t="str">
        <f>"1551686163995651"</f>
        <v>1551686163995651</v>
      </c>
      <c r="C321" t="s">
        <v>40</v>
      </c>
      <c r="D321">
        <v>4.8643029999999996</v>
      </c>
      <c r="E321">
        <v>0.52715029999999996</v>
      </c>
      <c r="F321" t="s">
        <v>41</v>
      </c>
      <c r="G321">
        <v>-391.94450000000001</v>
      </c>
      <c r="H321" s="1">
        <v>-3.9021640000000004E-6</v>
      </c>
      <c r="I321">
        <v>367</v>
      </c>
      <c r="J321">
        <v>-421.60050000000001</v>
      </c>
      <c r="K321">
        <v>1.059866</v>
      </c>
      <c r="L321">
        <v>367.25029999999998</v>
      </c>
      <c r="M321">
        <v>0.99993430000000005</v>
      </c>
      <c r="N321">
        <v>-1.1433169999999999E-2</v>
      </c>
      <c r="O321">
        <v>9.755187E-4</v>
      </c>
      <c r="P321">
        <v>0.98570389999999997</v>
      </c>
      <c r="Q321">
        <v>0.1536101</v>
      </c>
      <c r="R321">
        <v>6.9224709999999995E-2</v>
      </c>
      <c r="S321">
        <v>3.0620419999999999</v>
      </c>
      <c r="T321">
        <v>-0.1088042</v>
      </c>
      <c r="U321">
        <v>-2.5665279999999999E-2</v>
      </c>
      <c r="V321">
        <v>-6.8257040000000005E-2</v>
      </c>
      <c r="W321">
        <v>0.1648734</v>
      </c>
      <c r="X321">
        <v>0.98395010000000005</v>
      </c>
      <c r="Y321">
        <v>9.3489230000000003E-3</v>
      </c>
      <c r="Z321">
        <v>-2.4301300000000001E-4</v>
      </c>
      <c r="AA321">
        <v>0.99995630000000002</v>
      </c>
      <c r="AB321">
        <v>30</v>
      </c>
      <c r="AC321">
        <v>29.655999999999999</v>
      </c>
      <c r="AD321">
        <v>-1.0598699021639999</v>
      </c>
      <c r="AE321">
        <v>-0.25029999999998098</v>
      </c>
      <c r="AF321">
        <v>0.278875578719051</v>
      </c>
      <c r="AG321">
        <v>-1.0598699021639999</v>
      </c>
      <c r="AH321">
        <v>29.617914558525701</v>
      </c>
      <c r="AI321">
        <v>92.049350329336505</v>
      </c>
      <c r="AJ321">
        <v>89.460531852581894</v>
      </c>
      <c r="AK321">
        <v>29.638184131185401</v>
      </c>
      <c r="AL321">
        <v>80.510120192780406</v>
      </c>
      <c r="AM321">
        <v>93.968275467721597</v>
      </c>
      <c r="AN321">
        <v>1.0000000304135599</v>
      </c>
    </row>
    <row r="322" spans="1:40" x14ac:dyDescent="0.25">
      <c r="A322" t="str">
        <f>"20190304155604015"</f>
        <v>20190304155604015</v>
      </c>
      <c r="B322" t="str">
        <f>"1551686164005411"</f>
        <v>1551686164005411</v>
      </c>
      <c r="C322" t="s">
        <v>40</v>
      </c>
      <c r="D322">
        <v>4.7456870000000002</v>
      </c>
      <c r="E322">
        <v>0.52709439999999996</v>
      </c>
      <c r="F322" t="s">
        <v>41</v>
      </c>
      <c r="G322">
        <v>-391.70319999999998</v>
      </c>
      <c r="H322" s="1">
        <v>-4.0038979999999901E-6</v>
      </c>
      <c r="I322">
        <v>367.01010000000002</v>
      </c>
      <c r="J322">
        <v>-421.42779999999999</v>
      </c>
      <c r="K322">
        <v>1.0598650000000001</v>
      </c>
      <c r="L322">
        <v>367.25040000000001</v>
      </c>
      <c r="M322">
        <v>0.99993430000000005</v>
      </c>
      <c r="N322">
        <v>-1.143367E-2</v>
      </c>
      <c r="O322">
        <v>9.7581369999999998E-4</v>
      </c>
      <c r="P322">
        <v>0.98568270000000002</v>
      </c>
      <c r="Q322">
        <v>0.15385190000000001</v>
      </c>
      <c r="R322">
        <v>6.8989560000000005E-2</v>
      </c>
      <c r="S322">
        <v>3.0621640000000001</v>
      </c>
      <c r="T322">
        <v>-0.1085545</v>
      </c>
      <c r="U322">
        <v>-2.4597170000000002E-2</v>
      </c>
      <c r="V322">
        <v>-6.8021520000000002E-2</v>
      </c>
      <c r="W322">
        <v>0.1651157</v>
      </c>
      <c r="X322">
        <v>0.98392579999999996</v>
      </c>
      <c r="Y322">
        <v>9.0004349999999993E-3</v>
      </c>
      <c r="Z322">
        <v>-2.343856E-4</v>
      </c>
      <c r="AA322">
        <v>0.9999595</v>
      </c>
      <c r="AB322">
        <v>30</v>
      </c>
      <c r="AC322">
        <v>29.724599999999999</v>
      </c>
      <c r="AD322">
        <v>-1.0598690038979901</v>
      </c>
      <c r="AE322">
        <v>-0.24029999999998999</v>
      </c>
      <c r="AF322">
        <v>0.26896551682360698</v>
      </c>
      <c r="AG322">
        <v>-1.0598690038979901</v>
      </c>
      <c r="AH322">
        <v>29.6866111090192</v>
      </c>
      <c r="AI322">
        <v>92.044617021888001</v>
      </c>
      <c r="AJ322">
        <v>89.480905137827804</v>
      </c>
      <c r="AK322">
        <v>29.706742397859902</v>
      </c>
      <c r="AL322">
        <v>80.496044706195903</v>
      </c>
      <c r="AM322">
        <v>93.954723864077593</v>
      </c>
      <c r="AN322">
        <v>1.0000000507376099</v>
      </c>
    </row>
    <row r="323" spans="1:40" x14ac:dyDescent="0.25">
      <c r="A323" t="str">
        <f>"20190304155604035"</f>
        <v>20190304155604035</v>
      </c>
      <c r="B323" t="str">
        <f>"1551686164024934"</f>
        <v>1551686164024934</v>
      </c>
      <c r="C323" t="s">
        <v>40</v>
      </c>
      <c r="D323">
        <v>4.7817480000000003</v>
      </c>
      <c r="E323">
        <v>0.52703669999999903</v>
      </c>
      <c r="F323" t="s">
        <v>41</v>
      </c>
      <c r="G323">
        <v>-391.47269999999997</v>
      </c>
      <c r="H323" s="1">
        <v>-4.102641E-6</v>
      </c>
      <c r="I323">
        <v>367.01100000000002</v>
      </c>
      <c r="J323">
        <v>-421.15660000000003</v>
      </c>
      <c r="K323">
        <v>1.0598650000000001</v>
      </c>
      <c r="L323">
        <v>367.25069999999999</v>
      </c>
      <c r="M323">
        <v>0.9999342</v>
      </c>
      <c r="N323">
        <v>-1.1434669999999999E-2</v>
      </c>
      <c r="O323">
        <v>9.7616550000000004E-4</v>
      </c>
      <c r="P323">
        <v>0.98555590000000004</v>
      </c>
      <c r="Q323">
        <v>0.154615</v>
      </c>
      <c r="R323">
        <v>6.9090209999999999E-2</v>
      </c>
      <c r="S323">
        <v>3.0621640000000001</v>
      </c>
      <c r="T323">
        <v>-0.10834489999999899</v>
      </c>
      <c r="U323">
        <v>-2.44751E-2</v>
      </c>
      <c r="V323">
        <v>-6.8121550000000003E-2</v>
      </c>
      <c r="W323">
        <v>0.16587750000000001</v>
      </c>
      <c r="X323">
        <v>0.98379070000000002</v>
      </c>
      <c r="Y323">
        <v>8.9609870000000001E-3</v>
      </c>
      <c r="Z323">
        <v>-2.3309970000000001E-4</v>
      </c>
      <c r="AA323">
        <v>0.99995979999999995</v>
      </c>
      <c r="AB323">
        <v>30</v>
      </c>
      <c r="AC323">
        <v>29.683900000000001</v>
      </c>
      <c r="AD323">
        <v>-1.0598691026410001</v>
      </c>
      <c r="AE323">
        <v>-0.239700000000027</v>
      </c>
      <c r="AF323">
        <v>0.26833610912426198</v>
      </c>
      <c r="AG323">
        <v>-1.0598691026410001</v>
      </c>
      <c r="AH323">
        <v>29.645859992080201</v>
      </c>
      <c r="AI323">
        <v>92.047425509610093</v>
      </c>
      <c r="AJ323">
        <v>89.481407970535898</v>
      </c>
      <c r="AK323">
        <v>29.6660132382532</v>
      </c>
      <c r="AL323">
        <v>80.451786142599701</v>
      </c>
      <c r="AM323">
        <v>93.961063195640307</v>
      </c>
      <c r="AN323">
        <v>1.00000001599357</v>
      </c>
    </row>
    <row r="324" spans="1:40" x14ac:dyDescent="0.25">
      <c r="A324" t="str">
        <f>"20190304155604049"</f>
        <v>20190304155604049</v>
      </c>
      <c r="B324" t="str">
        <f>"1551686164045427"</f>
        <v>1551686164045427</v>
      </c>
      <c r="C324" t="s">
        <v>40</v>
      </c>
      <c r="D324">
        <v>4.830667</v>
      </c>
      <c r="E324">
        <v>0.52685719999999903</v>
      </c>
      <c r="F324" t="s">
        <v>41</v>
      </c>
      <c r="G324">
        <v>-390.6114</v>
      </c>
      <c r="H324" s="1">
        <v>-4.4707649999999997E-6</v>
      </c>
      <c r="I324">
        <v>367.01870000000002</v>
      </c>
      <c r="J324">
        <v>-420.96660000000003</v>
      </c>
      <c r="K324">
        <v>1.0598669999999999</v>
      </c>
      <c r="L324">
        <v>367.2509</v>
      </c>
      <c r="M324">
        <v>0.99993430000000005</v>
      </c>
      <c r="N324">
        <v>-1.143547E-2</v>
      </c>
      <c r="O324">
        <v>9.7616089999999999E-4</v>
      </c>
      <c r="P324">
        <v>0.98554160000000002</v>
      </c>
      <c r="Q324">
        <v>0.15467629999999999</v>
      </c>
      <c r="R324">
        <v>6.9159709999999999E-2</v>
      </c>
      <c r="S324">
        <v>3.0622859999999998</v>
      </c>
      <c r="T324">
        <v>-0.1062562</v>
      </c>
      <c r="U324">
        <v>-2.325439E-2</v>
      </c>
      <c r="V324">
        <v>-6.8191180000000004E-2</v>
      </c>
      <c r="W324">
        <v>0.16593959999999999</v>
      </c>
      <c r="X324">
        <v>0.98377539999999997</v>
      </c>
      <c r="Y324">
        <v>8.5626609999999992E-3</v>
      </c>
      <c r="Z324">
        <v>-2.2018879999999999E-4</v>
      </c>
      <c r="AA324">
        <v>0.9999633</v>
      </c>
      <c r="AB324">
        <v>30</v>
      </c>
      <c r="AC324">
        <v>30.3552</v>
      </c>
      <c r="AD324">
        <v>-1.0598714707649901</v>
      </c>
      <c r="AE324">
        <v>-0.23219999999997701</v>
      </c>
      <c r="AF324">
        <v>0.26151458708532899</v>
      </c>
      <c r="AG324">
        <v>-1.0598714707649901</v>
      </c>
      <c r="AH324">
        <v>30.3180002701083</v>
      </c>
      <c r="AI324">
        <v>92.002084099519195</v>
      </c>
      <c r="AJ324">
        <v>89.5057948943317</v>
      </c>
      <c r="AK324">
        <v>30.3376475322674</v>
      </c>
      <c r="AL324">
        <v>80.448178039838993</v>
      </c>
      <c r="AM324">
        <v>93.965160532502907</v>
      </c>
      <c r="AN324">
        <v>1.00000001276155</v>
      </c>
    </row>
    <row r="325" spans="1:40" x14ac:dyDescent="0.25">
      <c r="A325" t="str">
        <f>"20190304155604069"</f>
        <v>20190304155604069</v>
      </c>
      <c r="B325" t="str">
        <f>"1551686164064947"</f>
        <v>1551686164064947</v>
      </c>
      <c r="C325" t="s">
        <v>40</v>
      </c>
      <c r="D325">
        <v>4.767417</v>
      </c>
      <c r="E325">
        <v>0.52678789999999998</v>
      </c>
      <c r="F325" t="s">
        <v>41</v>
      </c>
      <c r="G325">
        <v>-390.44009999999997</v>
      </c>
      <c r="H325" s="1">
        <v>-4.540953E-6</v>
      </c>
      <c r="I325">
        <v>367.03730000000002</v>
      </c>
      <c r="J325">
        <v>-420.69920000000002</v>
      </c>
      <c r="K325">
        <v>1.059868</v>
      </c>
      <c r="L325">
        <v>367.25110000000001</v>
      </c>
      <c r="M325">
        <v>0.9999342</v>
      </c>
      <c r="N325">
        <v>-1.1436709999999999E-2</v>
      </c>
      <c r="O325">
        <v>9.765113E-4</v>
      </c>
      <c r="P325">
        <v>0.9853885</v>
      </c>
      <c r="Q325">
        <v>0.15568180000000001</v>
      </c>
      <c r="R325">
        <v>6.9087239999999994E-2</v>
      </c>
      <c r="S325">
        <v>3.0622250000000002</v>
      </c>
      <c r="T325">
        <v>-0.1063192</v>
      </c>
      <c r="U325">
        <v>-2.1423339999999999E-2</v>
      </c>
      <c r="V325">
        <v>-6.8118479999999995E-2</v>
      </c>
      <c r="W325">
        <v>0.16694479999999901</v>
      </c>
      <c r="X325">
        <v>0.98361030000000005</v>
      </c>
      <c r="Y325">
        <v>7.9657369999999901E-3</v>
      </c>
      <c r="Z325">
        <v>-2.0653880000000001E-4</v>
      </c>
      <c r="AA325">
        <v>0.99996819999999997</v>
      </c>
      <c r="AB325">
        <v>30</v>
      </c>
      <c r="AC325">
        <v>30.2591</v>
      </c>
      <c r="AD325">
        <v>-1.0598725409530001</v>
      </c>
      <c r="AE325">
        <v>-0.213799999999992</v>
      </c>
      <c r="AF325">
        <v>0.24305200536937499</v>
      </c>
      <c r="AG325">
        <v>-1.0598725409530001</v>
      </c>
      <c r="AH325">
        <v>30.221800689495499</v>
      </c>
      <c r="AI325">
        <v>92.008463543576894</v>
      </c>
      <c r="AJ325">
        <v>89.539221569500498</v>
      </c>
      <c r="AK325">
        <v>30.2413564675259</v>
      </c>
      <c r="AL325">
        <v>80.389769061240102</v>
      </c>
      <c r="AM325">
        <v>93.961609389678301</v>
      </c>
      <c r="AN325">
        <v>0.99999995791531904</v>
      </c>
    </row>
    <row r="326" spans="1:40" x14ac:dyDescent="0.25">
      <c r="A326" t="str">
        <f>"20190304155604090"</f>
        <v>20190304155604090</v>
      </c>
      <c r="B326" t="str">
        <f>"1551686164085323"</f>
        <v>1551686164085323</v>
      </c>
      <c r="C326" t="s">
        <v>40</v>
      </c>
      <c r="D326">
        <v>4.7467639999999998</v>
      </c>
      <c r="E326">
        <v>0.5266824</v>
      </c>
      <c r="F326" t="s">
        <v>41</v>
      </c>
      <c r="G326">
        <v>-389.40219999999999</v>
      </c>
      <c r="H326" s="1">
        <v>-8.7531499999999905E-7</v>
      </c>
      <c r="I326">
        <v>367.03870000000001</v>
      </c>
      <c r="J326">
        <v>-420.4092</v>
      </c>
      <c r="K326">
        <v>1.059866</v>
      </c>
      <c r="L326">
        <v>367.25139999999999</v>
      </c>
      <c r="M326">
        <v>0.99993410000000005</v>
      </c>
      <c r="N326">
        <v>-1.1438200000000001E-2</v>
      </c>
      <c r="O326">
        <v>9.7680069999999991E-4</v>
      </c>
      <c r="P326">
        <v>0.98529909999999998</v>
      </c>
      <c r="Q326">
        <v>0.15634729999999999</v>
      </c>
      <c r="R326">
        <v>6.8858310000000006E-2</v>
      </c>
      <c r="S326">
        <v>3.0623170000000002</v>
      </c>
      <c r="T326">
        <v>-0.1037049</v>
      </c>
      <c r="U326">
        <v>-2.0782470000000001E-2</v>
      </c>
      <c r="V326">
        <v>-6.7889790000000005E-2</v>
      </c>
      <c r="W326">
        <v>0.1676105</v>
      </c>
      <c r="X326">
        <v>0.98351290000000002</v>
      </c>
      <c r="Y326">
        <v>7.7570080000000001E-3</v>
      </c>
      <c r="Z326">
        <v>-1.975863E-4</v>
      </c>
      <c r="AA326">
        <v>0.99996989999999997</v>
      </c>
      <c r="AB326">
        <v>30</v>
      </c>
      <c r="AC326">
        <v>31.007000000000001</v>
      </c>
      <c r="AD326">
        <v>-1.059866875315</v>
      </c>
      <c r="AE326">
        <v>-0.21269999999998301</v>
      </c>
      <c r="AF326">
        <v>0.24270598062082099</v>
      </c>
      <c r="AG326">
        <v>-1.059866875315</v>
      </c>
      <c r="AH326">
        <v>30.970593787945798</v>
      </c>
      <c r="AI326">
        <v>91.959934883732799</v>
      </c>
      <c r="AJ326">
        <v>89.551001708700895</v>
      </c>
      <c r="AK326">
        <v>30.989674144210799</v>
      </c>
      <c r="AL326">
        <v>80.3510822112857</v>
      </c>
      <c r="AM326">
        <v>93.948741237396405</v>
      </c>
      <c r="AN326">
        <v>0.99999996388145096</v>
      </c>
    </row>
    <row r="327" spans="1:40" x14ac:dyDescent="0.25">
      <c r="A327" t="str">
        <f>"20190304155604102"</f>
        <v>20190304155604102</v>
      </c>
      <c r="B327" t="str">
        <f>"1551686164095083"</f>
        <v>1551686164095083</v>
      </c>
      <c r="C327" t="s">
        <v>40</v>
      </c>
      <c r="D327">
        <v>4.7910300000000001</v>
      </c>
      <c r="E327">
        <v>0.52658260000000001</v>
      </c>
      <c r="F327" t="s">
        <v>41</v>
      </c>
      <c r="G327">
        <v>-388.5675</v>
      </c>
      <c r="H327" s="1">
        <v>-1.159091E-6</v>
      </c>
      <c r="I327">
        <v>367.03969999999998</v>
      </c>
      <c r="J327">
        <v>-420.24029999999999</v>
      </c>
      <c r="K327">
        <v>1.059863</v>
      </c>
      <c r="L327">
        <v>367.2516</v>
      </c>
      <c r="M327">
        <v>0.99993410000000005</v>
      </c>
      <c r="N327">
        <v>-1.143917E-2</v>
      </c>
      <c r="O327">
        <v>9.7697389999999999E-4</v>
      </c>
      <c r="P327">
        <v>0.98526849999999999</v>
      </c>
      <c r="Q327">
        <v>0.15660789999999999</v>
      </c>
      <c r="R327">
        <v>6.8703059999999996E-2</v>
      </c>
      <c r="S327">
        <v>3.0623779999999998</v>
      </c>
      <c r="T327">
        <v>-0.1019328</v>
      </c>
      <c r="U327">
        <v>-2.035522E-2</v>
      </c>
      <c r="V327">
        <v>-6.7734320000000001E-2</v>
      </c>
      <c r="W327">
        <v>0.16787179999999999</v>
      </c>
      <c r="X327">
        <v>0.98347910000000005</v>
      </c>
      <c r="Y327">
        <v>7.6178340000000004E-3</v>
      </c>
      <c r="Z327">
        <v>-1.9166990000000001E-4</v>
      </c>
      <c r="AA327">
        <v>0.99997100000000005</v>
      </c>
      <c r="AB327">
        <v>30</v>
      </c>
      <c r="AC327">
        <v>31.672799999999899</v>
      </c>
      <c r="AD327">
        <v>-1.0598641590910001</v>
      </c>
      <c r="AE327">
        <v>-0.21190000000001399</v>
      </c>
      <c r="AF327">
        <v>0.24257380845778501</v>
      </c>
      <c r="AG327">
        <v>-1.0598641590910001</v>
      </c>
      <c r="AH327">
        <v>31.6371532074754</v>
      </c>
      <c r="AI327">
        <v>91.918670046695794</v>
      </c>
      <c r="AJ327">
        <v>89.560700578631099</v>
      </c>
      <c r="AK327">
        <v>31.6558306977016</v>
      </c>
      <c r="AL327">
        <v>80.335896093601505</v>
      </c>
      <c r="AM327">
        <v>93.939861963735893</v>
      </c>
      <c r="AN327">
        <v>1.0000000097389501</v>
      </c>
    </row>
    <row r="328" spans="1:40" x14ac:dyDescent="0.25">
      <c r="A328" t="str">
        <f>"20190304155604115"</f>
        <v>20190304155604115</v>
      </c>
      <c r="B328" t="str">
        <f>"1551686164104843"</f>
        <v>1551686164104843</v>
      </c>
      <c r="C328" t="s">
        <v>40</v>
      </c>
      <c r="D328">
        <v>4.7808669999999998</v>
      </c>
      <c r="E328">
        <v>0.52649069999999998</v>
      </c>
      <c r="F328" t="s">
        <v>41</v>
      </c>
      <c r="G328">
        <v>-388.21080000000001</v>
      </c>
      <c r="H328" s="1">
        <v>-1.2788999999999999E-6</v>
      </c>
      <c r="I328">
        <v>367.04570000000001</v>
      </c>
      <c r="J328">
        <v>-420.07369999999997</v>
      </c>
      <c r="K328">
        <v>1.0598639999999999</v>
      </c>
      <c r="L328">
        <v>367.2518</v>
      </c>
      <c r="M328">
        <v>0.99993410000000005</v>
      </c>
      <c r="N328">
        <v>-1.144015E-2</v>
      </c>
      <c r="O328">
        <v>9.7714700000000004E-4</v>
      </c>
      <c r="P328">
        <v>0.98523179999999999</v>
      </c>
      <c r="Q328">
        <v>0.15683759999999999</v>
      </c>
      <c r="R328">
        <v>6.8705210000000003E-2</v>
      </c>
      <c r="S328">
        <v>3.0623469999999999</v>
      </c>
      <c r="T328">
        <v>-0.1013336</v>
      </c>
      <c r="U328">
        <v>-1.9683840000000001E-2</v>
      </c>
      <c r="V328">
        <v>-6.7735840000000005E-2</v>
      </c>
      <c r="W328">
        <v>0.16810220000000001</v>
      </c>
      <c r="X328">
        <v>0.98343959999999997</v>
      </c>
      <c r="Y328">
        <v>7.3990719999999996E-3</v>
      </c>
      <c r="Z328">
        <v>-1.8587209999999999E-4</v>
      </c>
      <c r="AA328">
        <v>0.99997259999999999</v>
      </c>
      <c r="AB328">
        <v>30</v>
      </c>
      <c r="AC328">
        <v>31.8628999999999</v>
      </c>
      <c r="AD328">
        <v>-1.05986527889999</v>
      </c>
      <c r="AE328">
        <v>-0.20609999999999201</v>
      </c>
      <c r="AF328">
        <v>0.23697448697836701</v>
      </c>
      <c r="AG328">
        <v>-1.05986527889999</v>
      </c>
      <c r="AH328">
        <v>31.8274694392992</v>
      </c>
      <c r="AI328">
        <v>91.907210831014893</v>
      </c>
      <c r="AJ328">
        <v>89.5734066420315</v>
      </c>
      <c r="AK328">
        <v>31.845993189511599</v>
      </c>
      <c r="AL328">
        <v>80.322504460136798</v>
      </c>
      <c r="AM328">
        <v>93.940107848489404</v>
      </c>
      <c r="AN328">
        <v>0.99999997025675202</v>
      </c>
    </row>
    <row r="329" spans="1:40" x14ac:dyDescent="0.25">
      <c r="A329" t="str">
        <f>"20190304155604129"</f>
        <v>20190304155604129</v>
      </c>
      <c r="B329" t="str">
        <f>"1551686164125338"</f>
        <v>1551686164125338</v>
      </c>
      <c r="C329" t="s">
        <v>40</v>
      </c>
      <c r="D329">
        <v>4.7793369999999999</v>
      </c>
      <c r="E329">
        <v>0.52635619999999905</v>
      </c>
      <c r="F329" t="s">
        <v>41</v>
      </c>
      <c r="G329">
        <v>-387.8723</v>
      </c>
      <c r="H329" s="1">
        <v>-1.3937549999999999E-6</v>
      </c>
      <c r="I329">
        <v>367.04700000000003</v>
      </c>
      <c r="J329">
        <v>-419.88040000000001</v>
      </c>
      <c r="K329">
        <v>1.059863</v>
      </c>
      <c r="L329">
        <v>367.25200000000001</v>
      </c>
      <c r="M329">
        <v>0.99993399999999999</v>
      </c>
      <c r="N329">
        <v>-1.1441339999999999E-2</v>
      </c>
      <c r="O329">
        <v>9.7749779999999997E-4</v>
      </c>
      <c r="P329">
        <v>0.9851702</v>
      </c>
      <c r="Q329">
        <v>0.15732360000000001</v>
      </c>
      <c r="R329">
        <v>6.8474789999999994E-2</v>
      </c>
      <c r="S329">
        <v>3.062408</v>
      </c>
      <c r="T329">
        <v>-0.1007947</v>
      </c>
      <c r="U329">
        <v>-1.9470210000000002E-2</v>
      </c>
      <c r="V329">
        <v>-6.7505060000000006E-2</v>
      </c>
      <c r="W329">
        <v>0.16858819999999999</v>
      </c>
      <c r="X329">
        <v>0.98337229999999998</v>
      </c>
      <c r="Y329">
        <v>7.3296480000000002E-3</v>
      </c>
      <c r="Z329">
        <v>-1.8351780000000001E-4</v>
      </c>
      <c r="AA329">
        <v>0.99997309999999995</v>
      </c>
      <c r="AB329">
        <v>30</v>
      </c>
      <c r="AC329">
        <v>32.008099999999999</v>
      </c>
      <c r="AD329">
        <v>-1.0598643937549901</v>
      </c>
      <c r="AE329">
        <v>-0.204999999999984</v>
      </c>
      <c r="AF329">
        <v>0.23603101874610299</v>
      </c>
      <c r="AG329">
        <v>-1.0598643937549901</v>
      </c>
      <c r="AH329">
        <v>31.972829781807501</v>
      </c>
      <c r="AI329">
        <v>91.898545610018402</v>
      </c>
      <c r="AJ329">
        <v>89.577036638863504</v>
      </c>
      <c r="AK329">
        <v>31.991262360703999</v>
      </c>
      <c r="AL329">
        <v>80.294255810092906</v>
      </c>
      <c r="AM329">
        <v>93.926993632188001</v>
      </c>
      <c r="AN329">
        <v>0.99999999735606604</v>
      </c>
    </row>
    <row r="330" spans="1:40" x14ac:dyDescent="0.25">
      <c r="A330" t="str">
        <f>"20190304155604148"</f>
        <v>20190304155604148</v>
      </c>
      <c r="B330" t="str">
        <f>"1551686164144859"</f>
        <v>1551686164144859</v>
      </c>
      <c r="C330" t="s">
        <v>40</v>
      </c>
      <c r="D330">
        <v>4.7369279999999998</v>
      </c>
      <c r="E330">
        <v>0.52624019999999905</v>
      </c>
      <c r="F330" t="s">
        <v>41</v>
      </c>
      <c r="G330">
        <v>-387.30849999999998</v>
      </c>
      <c r="H330" s="1">
        <v>-1.592261E-6</v>
      </c>
      <c r="I330">
        <v>367.04939999999999</v>
      </c>
      <c r="J330">
        <v>-419.62139999999999</v>
      </c>
      <c r="K330">
        <v>1.0598620000000001</v>
      </c>
      <c r="L330">
        <v>367.25220000000002</v>
      </c>
      <c r="M330">
        <v>0.9999342</v>
      </c>
      <c r="N330">
        <v>-1.144298E-2</v>
      </c>
      <c r="O330">
        <v>9.7766730000000009E-4</v>
      </c>
      <c r="P330">
        <v>0.98508969999999996</v>
      </c>
      <c r="Q330">
        <v>0.1580713</v>
      </c>
      <c r="R330">
        <v>6.7913559999999998E-2</v>
      </c>
      <c r="S330">
        <v>3.0623779999999998</v>
      </c>
      <c r="T330">
        <v>-9.9647520000000003E-2</v>
      </c>
      <c r="U330">
        <v>-1.9042969999999999E-2</v>
      </c>
      <c r="V330">
        <v>-6.6943970000000005E-2</v>
      </c>
      <c r="W330">
        <v>0.1693364</v>
      </c>
      <c r="X330">
        <v>0.98328210000000005</v>
      </c>
      <c r="Y330">
        <v>7.1905869999999896E-3</v>
      </c>
      <c r="Z330">
        <v>-1.7873149999999999E-4</v>
      </c>
      <c r="AA330">
        <v>0.99997409999999998</v>
      </c>
      <c r="AB330">
        <v>30</v>
      </c>
      <c r="AC330">
        <v>32.312899999999999</v>
      </c>
      <c r="AD330">
        <v>-1.059863592261</v>
      </c>
      <c r="AE330">
        <v>-0.20280000000002399</v>
      </c>
      <c r="AF330">
        <v>0.23414134357941299</v>
      </c>
      <c r="AG330">
        <v>-1.059863592261</v>
      </c>
      <c r="AH330">
        <v>32.277961685772503</v>
      </c>
      <c r="AI330">
        <v>91.880611460889995</v>
      </c>
      <c r="AJ330">
        <v>89.584389013352194</v>
      </c>
      <c r="AK330">
        <v>32.296206334354103</v>
      </c>
      <c r="AL330">
        <v>80.250761796098203</v>
      </c>
      <c r="AM330">
        <v>93.894810175385402</v>
      </c>
      <c r="AN330">
        <v>0.99999999983236498</v>
      </c>
    </row>
    <row r="331" spans="1:40" x14ac:dyDescent="0.25">
      <c r="A331" t="str">
        <f>"20190304155604171"</f>
        <v>20190304155604171</v>
      </c>
      <c r="B331" t="str">
        <f>"1551686164165354"</f>
        <v>1551686164165354</v>
      </c>
      <c r="C331" t="s">
        <v>40</v>
      </c>
      <c r="D331">
        <v>4.8410950000000001</v>
      </c>
      <c r="E331">
        <v>0.52616589999999996</v>
      </c>
      <c r="F331" t="s">
        <v>41</v>
      </c>
      <c r="G331">
        <v>-386.48919999999998</v>
      </c>
      <c r="H331" s="1">
        <v>-1.94503E-6</v>
      </c>
      <c r="I331">
        <v>367.04219999999998</v>
      </c>
      <c r="J331">
        <v>-419.32470000000001</v>
      </c>
      <c r="K331">
        <v>1.0598669999999999</v>
      </c>
      <c r="L331">
        <v>367.2525</v>
      </c>
      <c r="M331">
        <v>0.99993410000000005</v>
      </c>
      <c r="N331">
        <v>-1.144501E-2</v>
      </c>
      <c r="O331">
        <v>9.7813260000000003E-4</v>
      </c>
      <c r="P331">
        <v>0.98497239999999997</v>
      </c>
      <c r="Q331">
        <v>0.15886510000000001</v>
      </c>
      <c r="R331">
        <v>6.7759169999999994E-2</v>
      </c>
      <c r="S331">
        <v>3.0624690000000001</v>
      </c>
      <c r="T331">
        <v>-9.7964999999999997E-2</v>
      </c>
      <c r="U331">
        <v>-1.9409180000000002E-2</v>
      </c>
      <c r="V331">
        <v>-6.678887E-2</v>
      </c>
      <c r="W331">
        <v>0.170131</v>
      </c>
      <c r="X331">
        <v>0.98315549999999996</v>
      </c>
      <c r="Y331">
        <v>7.31051599999999E-3</v>
      </c>
      <c r="Z331">
        <v>-1.7883530000000001E-4</v>
      </c>
      <c r="AA331">
        <v>0.99997320000000001</v>
      </c>
      <c r="AB331">
        <v>30</v>
      </c>
      <c r="AC331">
        <v>32.835500000000003</v>
      </c>
      <c r="AD331">
        <v>-1.0598689450299901</v>
      </c>
      <c r="AE331">
        <v>-0.210300000000017</v>
      </c>
      <c r="AF331">
        <v>0.24216717526776299</v>
      </c>
      <c r="AG331">
        <v>-1.0598689450299901</v>
      </c>
      <c r="AH331">
        <v>32.8011052118487</v>
      </c>
      <c r="AI331">
        <v>91.850646283239897</v>
      </c>
      <c r="AJ331">
        <v>89.576998857215699</v>
      </c>
      <c r="AK331">
        <v>32.819117450659498</v>
      </c>
      <c r="AL331">
        <v>80.204564476771395</v>
      </c>
      <c r="AM331">
        <v>93.886312950401503</v>
      </c>
      <c r="AN331">
        <v>1.00000002374856</v>
      </c>
    </row>
    <row r="332" spans="1:40" x14ac:dyDescent="0.25">
      <c r="A332" t="str">
        <f>"20190304155604192"</f>
        <v>20190304155604192</v>
      </c>
      <c r="B332" t="str">
        <f>"1551686164185646"</f>
        <v>1551686164185646</v>
      </c>
      <c r="C332" t="s">
        <v>40</v>
      </c>
      <c r="D332">
        <v>4.7121069999999996</v>
      </c>
      <c r="E332">
        <v>0.52620699999999998</v>
      </c>
      <c r="F332" t="s">
        <v>41</v>
      </c>
      <c r="G332">
        <v>-385.77960000000002</v>
      </c>
      <c r="H332" s="1">
        <v>-2.2492559999999998E-6</v>
      </c>
      <c r="I332">
        <v>367.04320000000001</v>
      </c>
      <c r="J332">
        <v>-419.03120000000001</v>
      </c>
      <c r="K332">
        <v>1.0598700000000001</v>
      </c>
      <c r="L332">
        <v>367.25279999999998</v>
      </c>
      <c r="M332">
        <v>0.99993399999999999</v>
      </c>
      <c r="N332">
        <v>-1.1450470000000001E-2</v>
      </c>
      <c r="O332">
        <v>9.7845880000000003E-4</v>
      </c>
      <c r="P332">
        <v>0.98477490000000001</v>
      </c>
      <c r="Q332">
        <v>0.16012789999999999</v>
      </c>
      <c r="R332">
        <v>6.7657709999999996E-2</v>
      </c>
      <c r="S332">
        <v>3.0626829999999998</v>
      </c>
      <c r="T332">
        <v>-9.6766469999999993E-2</v>
      </c>
      <c r="U332">
        <v>-1.9103999999999999E-2</v>
      </c>
      <c r="V332">
        <v>-6.6687289999999996E-2</v>
      </c>
      <c r="W332">
        <v>0.17139679999999999</v>
      </c>
      <c r="X332">
        <v>0.98294250000000005</v>
      </c>
      <c r="Y332">
        <v>7.210948E-3</v>
      </c>
      <c r="Z332">
        <v>-1.74891199999999E-4</v>
      </c>
      <c r="AA332">
        <v>0.99997400000000003</v>
      </c>
      <c r="AB332">
        <v>30</v>
      </c>
      <c r="AC332">
        <v>33.251600000000003</v>
      </c>
      <c r="AD332">
        <v>-1.059872249256</v>
      </c>
      <c r="AE332">
        <v>-0.20959999999996601</v>
      </c>
      <c r="AF332">
        <v>0.241891606729807</v>
      </c>
      <c r="AG332">
        <v>-1.059872249256</v>
      </c>
      <c r="AH332">
        <v>33.217632122834303</v>
      </c>
      <c r="AI332">
        <v>91.827463294300202</v>
      </c>
      <c r="AJ332">
        <v>89.582778111812104</v>
      </c>
      <c r="AK332">
        <v>33.2354167204521</v>
      </c>
      <c r="AL332">
        <v>80.130958189854397</v>
      </c>
      <c r="AM332">
        <v>93.881258584452993</v>
      </c>
      <c r="AN332">
        <v>1.0000000080020099</v>
      </c>
    </row>
    <row r="333" spans="1:40" x14ac:dyDescent="0.25">
      <c r="A333" t="str">
        <f>"20190304155604205"</f>
        <v>20190304155604205</v>
      </c>
      <c r="B333" t="str">
        <f>"1551686164195406"</f>
        <v>1551686164195406</v>
      </c>
      <c r="C333" t="s">
        <v>40</v>
      </c>
      <c r="D333">
        <v>4.789739</v>
      </c>
      <c r="E333">
        <v>0.52620699999999998</v>
      </c>
      <c r="F333" t="s">
        <v>41</v>
      </c>
      <c r="G333">
        <v>-383.8168</v>
      </c>
      <c r="H333" s="1">
        <v>-3.0948220000000002E-6</v>
      </c>
      <c r="I333">
        <v>367.02330000000001</v>
      </c>
      <c r="J333">
        <v>-418.83839999999998</v>
      </c>
      <c r="K333">
        <v>1.059874</v>
      </c>
      <c r="L333">
        <v>367.25299999999999</v>
      </c>
      <c r="M333">
        <v>0.99993410000000005</v>
      </c>
      <c r="N333">
        <v>-1.145607E-2</v>
      </c>
      <c r="O333">
        <v>9.7842640000000004E-4</v>
      </c>
      <c r="P333">
        <v>0.98470860000000004</v>
      </c>
      <c r="Q333">
        <v>0.16059479999999901</v>
      </c>
      <c r="R333">
        <v>6.7517530000000006E-2</v>
      </c>
      <c r="S333">
        <v>3.0627140000000002</v>
      </c>
      <c r="T333">
        <v>-9.2180730000000002E-2</v>
      </c>
      <c r="U333">
        <v>-1.9958500000000001E-2</v>
      </c>
      <c r="V333">
        <v>-6.6547209999999996E-2</v>
      </c>
      <c r="W333">
        <v>0.17186889999999999</v>
      </c>
      <c r="X333">
        <v>0.98286960000000001</v>
      </c>
      <c r="Y333">
        <v>7.490081E-3</v>
      </c>
      <c r="Z333">
        <v>-1.738431E-4</v>
      </c>
      <c r="AA333">
        <v>0.99997190000000002</v>
      </c>
      <c r="AB333">
        <v>30</v>
      </c>
      <c r="AC333">
        <v>35.0215999999999</v>
      </c>
      <c r="AD333">
        <v>-1.059877094822</v>
      </c>
      <c r="AE333">
        <v>-0.22970000000003599</v>
      </c>
      <c r="AF333">
        <v>0.26372665808157397</v>
      </c>
      <c r="AG333">
        <v>-1.059877094822</v>
      </c>
      <c r="AH333">
        <v>34.989313806160702</v>
      </c>
      <c r="AI333">
        <v>91.734992515706395</v>
      </c>
      <c r="AJ333">
        <v>89.568149910073402</v>
      </c>
      <c r="AK333">
        <v>35.006356163306997</v>
      </c>
      <c r="AL333">
        <v>80.103501843424098</v>
      </c>
      <c r="AM333">
        <v>93.873417043818193</v>
      </c>
      <c r="AN333">
        <v>1.0000000502750701</v>
      </c>
    </row>
    <row r="334" spans="1:40" x14ac:dyDescent="0.25">
      <c r="A334" t="str">
        <f>"20190304155604225"</f>
        <v>20190304155604225</v>
      </c>
      <c r="B334" t="str">
        <f>"1551686164214929"</f>
        <v>1551686164214929</v>
      </c>
      <c r="C334" t="s">
        <v>40</v>
      </c>
      <c r="D334">
        <v>4.7121950000000004</v>
      </c>
      <c r="E334">
        <v>0.54021330000000001</v>
      </c>
      <c r="F334" t="s">
        <v>41</v>
      </c>
      <c r="G334">
        <v>-383.06099999999998</v>
      </c>
      <c r="H334" s="1">
        <v>-3.4204950000000002E-6</v>
      </c>
      <c r="I334">
        <v>367.01519999999999</v>
      </c>
      <c r="J334">
        <v>-418.57709999999997</v>
      </c>
      <c r="K334">
        <v>1.0598780000000001</v>
      </c>
      <c r="L334">
        <v>367.25330000000002</v>
      </c>
      <c r="M334">
        <v>0.99993379999999998</v>
      </c>
      <c r="N334">
        <v>-1.1465019999999999E-2</v>
      </c>
      <c r="O334">
        <v>9.7885170000000001E-4</v>
      </c>
      <c r="P334">
        <v>0.98458120000000005</v>
      </c>
      <c r="Q334">
        <v>0.16129450000000001</v>
      </c>
      <c r="R334">
        <v>6.7703680000000002E-2</v>
      </c>
      <c r="S334">
        <v>3.062805</v>
      </c>
      <c r="T334">
        <v>-9.0733170000000002E-2</v>
      </c>
      <c r="U334">
        <v>-2.035522E-2</v>
      </c>
      <c r="V334">
        <v>-6.6732879999999994E-2</v>
      </c>
      <c r="W334">
        <v>0.17257529999999999</v>
      </c>
      <c r="X334">
        <v>0.98273319999999997</v>
      </c>
      <c r="Y334">
        <v>7.6198890000000003E-3</v>
      </c>
      <c r="Z334">
        <v>-1.7430669999999999E-4</v>
      </c>
      <c r="AA334">
        <v>0.99997100000000005</v>
      </c>
      <c r="AB334">
        <v>30</v>
      </c>
      <c r="AC334">
        <v>35.516099999999902</v>
      </c>
      <c r="AD334">
        <v>-1.059881420495</v>
      </c>
      <c r="AE334">
        <v>-0.23810000000003101</v>
      </c>
      <c r="AF334">
        <v>0.27262438778688403</v>
      </c>
      <c r="AG334">
        <v>-1.059881420495</v>
      </c>
      <c r="AH334">
        <v>35.484250408479298</v>
      </c>
      <c r="AI334">
        <v>91.7108122951919</v>
      </c>
      <c r="AJ334">
        <v>89.559806976335295</v>
      </c>
      <c r="AK334">
        <v>35.501122513717696</v>
      </c>
      <c r="AL334">
        <v>80.062413945479406</v>
      </c>
      <c r="AM334">
        <v>93.884728495683902</v>
      </c>
      <c r="AN334">
        <v>1.0000000269127101</v>
      </c>
    </row>
    <row r="335" spans="1:40" x14ac:dyDescent="0.25">
      <c r="A335" t="str">
        <f>"20190304155604238"</f>
        <v>20190304155604238</v>
      </c>
      <c r="B335" t="str">
        <f>"1551686164235422"</f>
        <v>1551686164235422</v>
      </c>
      <c r="C335" t="s">
        <v>40</v>
      </c>
      <c r="D335">
        <v>4.6421250000000001</v>
      </c>
      <c r="E335">
        <v>0.53890780000000005</v>
      </c>
      <c r="F335" t="s">
        <v>43</v>
      </c>
      <c r="G335">
        <v>-166.5241</v>
      </c>
      <c r="H335">
        <v>0.78467940000000003</v>
      </c>
      <c r="I335">
        <v>356.61509999999998</v>
      </c>
      <c r="J335">
        <v>-418.399</v>
      </c>
      <c r="K335">
        <v>1.059874</v>
      </c>
      <c r="L335">
        <v>367.2534</v>
      </c>
      <c r="M335">
        <v>0.99993370000000004</v>
      </c>
      <c r="N335">
        <v>-1.147163E-2</v>
      </c>
      <c r="O335">
        <v>9.7899230000000003E-4</v>
      </c>
      <c r="P335">
        <v>0.98451580000000005</v>
      </c>
      <c r="Q335">
        <v>0.1617615</v>
      </c>
      <c r="R335">
        <v>6.7541589999999999E-2</v>
      </c>
      <c r="S335">
        <v>3.0563660000000001</v>
      </c>
      <c r="T335">
        <v>-3.335953E-3</v>
      </c>
      <c r="U335">
        <v>-0.1289978</v>
      </c>
      <c r="V335">
        <v>-6.6570749999999998E-2</v>
      </c>
      <c r="W335">
        <v>0.17304829999999999</v>
      </c>
      <c r="X335">
        <v>0.98266100000000001</v>
      </c>
      <c r="Y335">
        <v>4.3146549999999999E-2</v>
      </c>
      <c r="Z335">
        <v>-2.6097799999999998E-4</v>
      </c>
      <c r="AA335">
        <v>0.99906870000000003</v>
      </c>
      <c r="AB335">
        <v>30</v>
      </c>
      <c r="AC335">
        <v>251.8749</v>
      </c>
      <c r="AD335">
        <v>-0.27519460000000001</v>
      </c>
      <c r="AE335">
        <v>-10.638299999999999</v>
      </c>
      <c r="AF335">
        <v>10.884881749777101</v>
      </c>
      <c r="AG335">
        <v>-0.27519460000000001</v>
      </c>
      <c r="AH335">
        <v>251.864063658014</v>
      </c>
      <c r="AI335">
        <v>90.062544765202702</v>
      </c>
      <c r="AJ335">
        <v>87.525371684090402</v>
      </c>
      <c r="AK335">
        <v>252.099311671219</v>
      </c>
      <c r="AL335">
        <v>80.034898906053996</v>
      </c>
      <c r="AM335">
        <v>93.875603064782695</v>
      </c>
      <c r="AN335">
        <v>1.0000000099047199</v>
      </c>
    </row>
    <row r="336" spans="1:40" x14ac:dyDescent="0.25">
      <c r="A336" t="str">
        <f>"20190304155604251"</f>
        <v>20190304155604251</v>
      </c>
      <c r="B336" t="str">
        <f>"1551686164245182"</f>
        <v>1551686164245182</v>
      </c>
      <c r="C336" t="s">
        <v>40</v>
      </c>
      <c r="D336">
        <v>4.667262</v>
      </c>
      <c r="E336">
        <v>0.53843419999999997</v>
      </c>
      <c r="F336" t="s">
        <v>43</v>
      </c>
      <c r="G336">
        <v>-158.19499999999999</v>
      </c>
      <c r="H336">
        <v>0.70841690000000002</v>
      </c>
      <c r="I336">
        <v>357.125</v>
      </c>
      <c r="J336">
        <v>-418.23079999999999</v>
      </c>
      <c r="K336">
        <v>1.059876</v>
      </c>
      <c r="L336">
        <v>367.25360000000001</v>
      </c>
      <c r="M336">
        <v>0.99993370000000004</v>
      </c>
      <c r="N336">
        <v>-1.147814E-2</v>
      </c>
      <c r="O336">
        <v>9.7913360000000007E-4</v>
      </c>
      <c r="P336">
        <v>0.98449209999999998</v>
      </c>
      <c r="Q336">
        <v>0.1618887</v>
      </c>
      <c r="R336">
        <v>6.7583260000000006E-2</v>
      </c>
      <c r="S336">
        <v>3.0560610000000001</v>
      </c>
      <c r="T336">
        <v>-4.1267869999999998E-3</v>
      </c>
      <c r="U336">
        <v>-0.11895749999999999</v>
      </c>
      <c r="V336">
        <v>-6.6612740000000004E-2</v>
      </c>
      <c r="W336">
        <v>0.17318120000000001</v>
      </c>
      <c r="X336">
        <v>0.98263469999999997</v>
      </c>
      <c r="Y336">
        <v>3.9873699999999998E-2</v>
      </c>
      <c r="Z336">
        <v>-2.4593169999999998E-4</v>
      </c>
      <c r="AA336">
        <v>0.99920469999999895</v>
      </c>
      <c r="AB336">
        <v>30</v>
      </c>
      <c r="AC336">
        <v>260.03579999999999</v>
      </c>
      <c r="AD336">
        <v>-0.35145909999999903</v>
      </c>
      <c r="AE336">
        <v>-10.1286</v>
      </c>
      <c r="AF336">
        <v>10.383202753896599</v>
      </c>
      <c r="AG336">
        <v>-0.35145909999999903</v>
      </c>
      <c r="AH336">
        <v>260.02528314348399</v>
      </c>
      <c r="AI336">
        <v>90.077381227005603</v>
      </c>
      <c r="AJ336">
        <v>87.713307764185998</v>
      </c>
      <c r="AK336">
        <v>260.23274639594598</v>
      </c>
      <c r="AL336">
        <v>80.027167158614006</v>
      </c>
      <c r="AM336">
        <v>93.878143651798098</v>
      </c>
      <c r="AN336">
        <v>0.999999969403918</v>
      </c>
    </row>
    <row r="337" spans="1:40" x14ac:dyDescent="0.25">
      <c r="A337" t="str">
        <f>"20190304155604269"</f>
        <v>20190304155604269</v>
      </c>
      <c r="B337" t="str">
        <f>"1551686164264703"</f>
        <v>1551686164264703</v>
      </c>
      <c r="C337" t="s">
        <v>40</v>
      </c>
      <c r="D337">
        <v>4.6656959999999996</v>
      </c>
      <c r="E337">
        <v>0.53737900000000005</v>
      </c>
      <c r="F337" t="s">
        <v>43</v>
      </c>
      <c r="G337">
        <v>-158.19499999999999</v>
      </c>
      <c r="H337">
        <v>0.98841380000000001</v>
      </c>
      <c r="I337">
        <v>357.45400000000001</v>
      </c>
      <c r="J337">
        <v>-417.97289999999998</v>
      </c>
      <c r="K337">
        <v>1.0598780000000001</v>
      </c>
      <c r="L337">
        <v>367.25389999999999</v>
      </c>
      <c r="M337">
        <v>0.99993359999999998</v>
      </c>
      <c r="N337">
        <v>-1.1490749999999999E-2</v>
      </c>
      <c r="O337">
        <v>9.7935889999999992E-4</v>
      </c>
      <c r="P337">
        <v>0.98448579999999997</v>
      </c>
      <c r="Q337">
        <v>0.16179569999999999</v>
      </c>
      <c r="R337">
        <v>6.7896139999999994E-2</v>
      </c>
      <c r="S337">
        <v>3.0553590000000002</v>
      </c>
      <c r="T337">
        <v>-8.3863739999999996E-4</v>
      </c>
      <c r="U337">
        <v>-0.1151428</v>
      </c>
      <c r="V337">
        <v>-6.6925289999999998E-2</v>
      </c>
      <c r="W337">
        <v>0.1731009</v>
      </c>
      <c r="X337">
        <v>0.98262760000000005</v>
      </c>
      <c r="Y337">
        <v>3.8637379999999999E-2</v>
      </c>
      <c r="Z337">
        <v>-2.1639209999999999E-4</v>
      </c>
      <c r="AA337">
        <v>0.99925330000000001</v>
      </c>
      <c r="AB337">
        <v>30</v>
      </c>
      <c r="AC337">
        <v>259.77789999999999</v>
      </c>
      <c r="AD337">
        <v>-7.1464199999999894E-2</v>
      </c>
      <c r="AE337">
        <v>-9.7998999999999796</v>
      </c>
      <c r="AF337">
        <v>10.054327110491</v>
      </c>
      <c r="AG337">
        <v>-7.1464199999999894E-2</v>
      </c>
      <c r="AH337">
        <v>259.76815751841599</v>
      </c>
      <c r="AI337">
        <v>90.015750711760504</v>
      </c>
      <c r="AJ337">
        <v>87.7834731283629</v>
      </c>
      <c r="AK337">
        <v>259.96267089966801</v>
      </c>
      <c r="AL337">
        <v>80.031838448572501</v>
      </c>
      <c r="AM337">
        <v>93.896312227494505</v>
      </c>
      <c r="AN337">
        <v>0.99999995815207599</v>
      </c>
    </row>
    <row r="338" spans="1:40" x14ac:dyDescent="0.25">
      <c r="A338" t="str">
        <f>"20190304155604282"</f>
        <v>20190304155604282</v>
      </c>
      <c r="B338" t="str">
        <f>"1551686164275439"</f>
        <v>1551686164275439</v>
      </c>
      <c r="C338" t="s">
        <v>40</v>
      </c>
      <c r="D338">
        <v>4.6657000000000002</v>
      </c>
      <c r="E338">
        <v>0.53734910000000002</v>
      </c>
      <c r="F338" t="s">
        <v>43</v>
      </c>
      <c r="G338">
        <v>-158.19499999999999</v>
      </c>
      <c r="H338">
        <v>1.4795579999999999</v>
      </c>
      <c r="I338">
        <v>358.24299999999999</v>
      </c>
      <c r="J338">
        <v>-417.803</v>
      </c>
      <c r="K338">
        <v>1.059877</v>
      </c>
      <c r="L338">
        <v>367.25409999999999</v>
      </c>
      <c r="M338">
        <v>0.99993339999999997</v>
      </c>
      <c r="N338">
        <v>-1.150082E-2</v>
      </c>
      <c r="O338">
        <v>9.7947950000000007E-4</v>
      </c>
      <c r="P338">
        <v>0.98442750000000001</v>
      </c>
      <c r="Q338">
        <v>0.16203319999999999</v>
      </c>
      <c r="R338">
        <v>6.8174819999999997E-2</v>
      </c>
      <c r="S338">
        <v>3.0538020000000001</v>
      </c>
      <c r="T338">
        <v>4.9345489999999999E-3</v>
      </c>
      <c r="U338">
        <v>-0.10592650000000001</v>
      </c>
      <c r="V338">
        <v>-6.7203940000000004E-2</v>
      </c>
      <c r="W338">
        <v>0.17334739999999901</v>
      </c>
      <c r="X338">
        <v>0.98256520000000003</v>
      </c>
      <c r="Y338">
        <v>3.5645049999999998E-2</v>
      </c>
      <c r="Z338">
        <v>-1.6340699999999999E-4</v>
      </c>
      <c r="AA338">
        <v>0.99936449999999999</v>
      </c>
      <c r="AB338">
        <v>30</v>
      </c>
      <c r="AC338">
        <v>259.608</v>
      </c>
      <c r="AD338">
        <v>0.41968100000000003</v>
      </c>
      <c r="AE338">
        <v>-9.0110999999999404</v>
      </c>
      <c r="AF338">
        <v>9.2653690203646093</v>
      </c>
      <c r="AG338">
        <v>0.41968100000000003</v>
      </c>
      <c r="AH338">
        <v>259.59837106812103</v>
      </c>
      <c r="AI338">
        <v>89.907431514031501</v>
      </c>
      <c r="AJ338">
        <v>87.9559143842353</v>
      </c>
      <c r="AK338">
        <v>259.76400338855098</v>
      </c>
      <c r="AL338">
        <v>80.017498988391907</v>
      </c>
      <c r="AM338">
        <v>93.912732325085301</v>
      </c>
      <c r="AN338">
        <v>1.00000003144466</v>
      </c>
    </row>
    <row r="339" spans="1:40" x14ac:dyDescent="0.25">
      <c r="A339" t="str">
        <f>"20190304155604295"</f>
        <v>20190304155604295</v>
      </c>
      <c r="B339" t="str">
        <f>"1551686164284730"</f>
        <v>1551686164284730</v>
      </c>
      <c r="C339" t="s">
        <v>40</v>
      </c>
      <c r="D339">
        <v>4.7251139999999996</v>
      </c>
      <c r="E339">
        <v>0.53763439999999996</v>
      </c>
      <c r="F339" t="s">
        <v>43</v>
      </c>
      <c r="G339">
        <v>-158.19499999999999</v>
      </c>
      <c r="H339">
        <v>1.4464619999999999</v>
      </c>
      <c r="I339">
        <v>358.32499999999999</v>
      </c>
      <c r="J339">
        <v>-417.62259999999998</v>
      </c>
      <c r="K339">
        <v>1.059879</v>
      </c>
      <c r="L339">
        <v>367.25420000000003</v>
      </c>
      <c r="M339">
        <v>0.99993330000000002</v>
      </c>
      <c r="N339">
        <v>-1.151191E-2</v>
      </c>
      <c r="O339">
        <v>9.7977310000000001E-4</v>
      </c>
      <c r="P339">
        <v>0.98445760000000004</v>
      </c>
      <c r="Q339">
        <v>0.16183789999999901</v>
      </c>
      <c r="R339">
        <v>6.8204319999999999E-2</v>
      </c>
      <c r="S339">
        <v>3.0540159999999998</v>
      </c>
      <c r="T339">
        <v>4.5487879999999998E-3</v>
      </c>
      <c r="U339">
        <v>-0.1050415</v>
      </c>
      <c r="V339">
        <v>-6.7233319999999999E-2</v>
      </c>
      <c r="W339">
        <v>0.1731634</v>
      </c>
      <c r="X339">
        <v>0.98259560000000001</v>
      </c>
      <c r="Y339">
        <v>3.5353639999999999E-2</v>
      </c>
      <c r="Z339">
        <v>-1.645044E-4</v>
      </c>
      <c r="AA339">
        <v>0.99937489999999995</v>
      </c>
      <c r="AB339">
        <v>30</v>
      </c>
      <c r="AC339">
        <v>259.42759999999998</v>
      </c>
      <c r="AD339">
        <v>0.38658300000000001</v>
      </c>
      <c r="AE339">
        <v>-8.92920000000003</v>
      </c>
      <c r="AF339">
        <v>9.1833723627554207</v>
      </c>
      <c r="AG339">
        <v>0.38658300000000001</v>
      </c>
      <c r="AH339">
        <v>259.41815093514401</v>
      </c>
      <c r="AI339">
        <v>89.914671766304807</v>
      </c>
      <c r="AJ339">
        <v>87.9725826753251</v>
      </c>
      <c r="AK339">
        <v>259.58093306130598</v>
      </c>
      <c r="AL339">
        <v>80.028202954314295</v>
      </c>
      <c r="AM339">
        <v>93.9143168338056</v>
      </c>
      <c r="AN339">
        <v>0.99999999777857096</v>
      </c>
    </row>
    <row r="340" spans="1:40" x14ac:dyDescent="0.25">
      <c r="A340" t="str">
        <f>"20190304155604314"</f>
        <v>20190304155604314</v>
      </c>
      <c r="B340" t="str">
        <f>"1551686164305230"</f>
        <v>1551686164305230</v>
      </c>
      <c r="C340" t="s">
        <v>40</v>
      </c>
      <c r="D340">
        <v>4.7165860000000004</v>
      </c>
      <c r="E340">
        <v>0.52938260000000004</v>
      </c>
      <c r="F340" t="s">
        <v>43</v>
      </c>
      <c r="G340">
        <v>-158.19499999999999</v>
      </c>
      <c r="H340">
        <v>1.107872</v>
      </c>
      <c r="I340">
        <v>358.15949999999998</v>
      </c>
      <c r="J340">
        <v>-417.3603</v>
      </c>
      <c r="K340">
        <v>1.059885</v>
      </c>
      <c r="L340">
        <v>367.25450000000001</v>
      </c>
      <c r="M340">
        <v>0.99993310000000002</v>
      </c>
      <c r="N340">
        <v>-1.1528740000000001E-2</v>
      </c>
      <c r="O340">
        <v>9.8003340000000008E-4</v>
      </c>
      <c r="P340">
        <v>0.98439840000000001</v>
      </c>
      <c r="Q340">
        <v>0.16200320000000001</v>
      </c>
      <c r="R340">
        <v>6.8665900000000002E-2</v>
      </c>
      <c r="S340">
        <v>3.0546570000000002</v>
      </c>
      <c r="T340">
        <v>5.6612489999999997E-4</v>
      </c>
      <c r="U340">
        <v>-0.10708620000000001</v>
      </c>
      <c r="V340">
        <v>-6.7694030000000002E-2</v>
      </c>
      <c r="W340">
        <v>0.17334459999999999</v>
      </c>
      <c r="X340">
        <v>0.98253199999999996</v>
      </c>
      <c r="Y340">
        <v>3.6014619999999997E-2</v>
      </c>
      <c r="Z340">
        <v>-1.928589E-4</v>
      </c>
      <c r="AA340">
        <v>0.99935130000000005</v>
      </c>
      <c r="AB340">
        <v>30</v>
      </c>
      <c r="AC340">
        <v>259.1653</v>
      </c>
      <c r="AD340">
        <v>4.7987000000000002E-2</v>
      </c>
      <c r="AE340">
        <v>-9.0950000000000202</v>
      </c>
      <c r="AF340">
        <v>9.3490028328068995</v>
      </c>
      <c r="AG340">
        <v>4.7987000000000002E-2</v>
      </c>
      <c r="AH340">
        <v>259.156252653911</v>
      </c>
      <c r="AI340">
        <v>89.989397650250197</v>
      </c>
      <c r="AJ340">
        <v>87.933963722366897</v>
      </c>
      <c r="AK340">
        <v>259.32483384037403</v>
      </c>
      <c r="AL340">
        <v>80.017661379313196</v>
      </c>
      <c r="AM340">
        <v>93.941309387851803</v>
      </c>
      <c r="AN340">
        <v>0.99999998153540004</v>
      </c>
    </row>
    <row r="341" spans="1:40" x14ac:dyDescent="0.25">
      <c r="A341" t="str">
        <f>"20190304155604326"</f>
        <v>20190304155604326</v>
      </c>
      <c r="B341" t="str">
        <f>"1551686164314986"</f>
        <v>1551686164314986</v>
      </c>
      <c r="C341" t="s">
        <v>40</v>
      </c>
      <c r="D341">
        <v>4.706302</v>
      </c>
      <c r="E341">
        <v>0.52831039999999996</v>
      </c>
      <c r="F341" t="s">
        <v>41</v>
      </c>
      <c r="G341">
        <v>-370.5763</v>
      </c>
      <c r="H341" s="1">
        <v>-4.5567379999999997E-6</v>
      </c>
      <c r="I341">
        <v>366.6189</v>
      </c>
      <c r="J341">
        <v>-417.19420000000002</v>
      </c>
      <c r="K341">
        <v>1.059887</v>
      </c>
      <c r="L341">
        <v>367.25470000000001</v>
      </c>
      <c r="M341">
        <v>0.99993299999999996</v>
      </c>
      <c r="N341">
        <v>-1.153934E-2</v>
      </c>
      <c r="O341">
        <v>9.8009130000000009E-4</v>
      </c>
      <c r="P341">
        <v>0.98438360000000003</v>
      </c>
      <c r="Q341">
        <v>0.16200120000000001</v>
      </c>
      <c r="R341">
        <v>6.8882750000000006E-2</v>
      </c>
      <c r="S341">
        <v>3.06189</v>
      </c>
      <c r="T341">
        <v>-6.9366929999999993E-2</v>
      </c>
      <c r="U341">
        <v>-4.1595460000000001E-2</v>
      </c>
      <c r="V341">
        <v>-6.7911319999999997E-2</v>
      </c>
      <c r="W341">
        <v>0.17335309999999901</v>
      </c>
      <c r="X341">
        <v>0.98251549999999999</v>
      </c>
      <c r="Y341">
        <v>1.455801E-2</v>
      </c>
      <c r="Z341">
        <v>-2.5978589999999999E-4</v>
      </c>
      <c r="AA341">
        <v>0.99989399999999995</v>
      </c>
      <c r="AB341">
        <v>30</v>
      </c>
      <c r="AC341">
        <v>46.617899999999999</v>
      </c>
      <c r="AD341">
        <v>-1.0598915567380001</v>
      </c>
      <c r="AE341">
        <v>-0.63580000000001702</v>
      </c>
      <c r="AF341">
        <v>0.68114050737645804</v>
      </c>
      <c r="AG341">
        <v>-1.0598915567380001</v>
      </c>
      <c r="AH341">
        <v>46.593174285141203</v>
      </c>
      <c r="AI341">
        <v>91.302988211389206</v>
      </c>
      <c r="AJ341">
        <v>89.162458940784802</v>
      </c>
      <c r="AK341">
        <v>46.610205024955398</v>
      </c>
      <c r="AL341">
        <v>80.017166824890793</v>
      </c>
      <c r="AM341">
        <v>93.953986661767402</v>
      </c>
      <c r="AN341">
        <v>0.99999997620199998</v>
      </c>
    </row>
    <row r="342" spans="1:40" x14ac:dyDescent="0.25">
      <c r="A342" t="str">
        <f>"20190304155604350"</f>
        <v>20190304155604350</v>
      </c>
      <c r="B342" t="str">
        <f>"1551686164345242"</f>
        <v>1551686164345242</v>
      </c>
      <c r="C342" t="s">
        <v>40</v>
      </c>
      <c r="D342">
        <v>4.7265519999999999</v>
      </c>
      <c r="E342">
        <v>0.52708120000000003</v>
      </c>
      <c r="F342" t="s">
        <v>41</v>
      </c>
      <c r="G342">
        <v>-371.06479999999999</v>
      </c>
      <c r="H342" s="1">
        <v>-4.3198310000000003E-6</v>
      </c>
      <c r="I342">
        <v>366.7731</v>
      </c>
      <c r="J342">
        <v>-416.88440000000003</v>
      </c>
      <c r="K342">
        <v>1.0598939999999999</v>
      </c>
      <c r="L342">
        <v>367.255</v>
      </c>
      <c r="M342">
        <v>0.99993279999999995</v>
      </c>
      <c r="N342">
        <v>-1.155866E-2</v>
      </c>
      <c r="O342">
        <v>9.8051569999999997E-4</v>
      </c>
      <c r="P342">
        <v>0.98429789999999995</v>
      </c>
      <c r="Q342">
        <v>0.16240669999999999</v>
      </c>
      <c r="R342">
        <v>6.9151299999999999E-2</v>
      </c>
      <c r="S342">
        <v>3.0613709999999998</v>
      </c>
      <c r="T342">
        <v>-7.0339319999999997E-2</v>
      </c>
      <c r="U342">
        <v>-3.1951899999999998E-2</v>
      </c>
      <c r="V342">
        <v>-6.8179290000000004E-2</v>
      </c>
      <c r="W342">
        <v>0.17377670000000001</v>
      </c>
      <c r="X342">
        <v>0.98242209999999996</v>
      </c>
      <c r="Y342">
        <v>1.1412490000000001E-2</v>
      </c>
      <c r="Z342">
        <v>-2.0825419999999999E-4</v>
      </c>
      <c r="AA342">
        <v>0.99993489999999996</v>
      </c>
      <c r="AB342">
        <v>30</v>
      </c>
      <c r="AC342">
        <v>45.819600000000001</v>
      </c>
      <c r="AD342">
        <v>-1.0598983198309999</v>
      </c>
      <c r="AE342">
        <v>-0.481899999999996</v>
      </c>
      <c r="AF342">
        <v>0.52654788448290002</v>
      </c>
      <c r="AG342">
        <v>-1.0598983198309999</v>
      </c>
      <c r="AH342">
        <v>45.794603962091699</v>
      </c>
      <c r="AI342">
        <v>91.325764251109106</v>
      </c>
      <c r="AJ342">
        <v>89.341240244618305</v>
      </c>
      <c r="AK342">
        <v>45.809894009568097</v>
      </c>
      <c r="AL342">
        <v>79.992522223142302</v>
      </c>
      <c r="AM342">
        <v>93.9699150252236</v>
      </c>
      <c r="AN342">
        <v>0.99999996980810102</v>
      </c>
    </row>
    <row r="343" spans="1:40" x14ac:dyDescent="0.25">
      <c r="A343" t="str">
        <f>"20190304155604370"</f>
        <v>20190304155604370</v>
      </c>
      <c r="B343" t="str">
        <f>"1551686164364762"</f>
        <v>1551686164364762</v>
      </c>
      <c r="C343" t="s">
        <v>40</v>
      </c>
      <c r="D343">
        <v>4.7179310000000001</v>
      </c>
      <c r="E343">
        <v>0.52707490000000001</v>
      </c>
      <c r="F343" t="s">
        <v>41</v>
      </c>
      <c r="G343">
        <v>-364.47699999999998</v>
      </c>
      <c r="H343" s="1">
        <v>-2.835554E-6</v>
      </c>
      <c r="I343">
        <v>366.88850000000002</v>
      </c>
      <c r="J343">
        <v>-416.6053</v>
      </c>
      <c r="K343">
        <v>1.059901</v>
      </c>
      <c r="L343">
        <v>367.25529999999998</v>
      </c>
      <c r="M343">
        <v>0.99993259999999995</v>
      </c>
      <c r="N343">
        <v>-1.157498E-2</v>
      </c>
      <c r="O343">
        <v>9.8077860000000006E-4</v>
      </c>
      <c r="P343">
        <v>0.98423470000000002</v>
      </c>
      <c r="Q343">
        <v>0.1627999</v>
      </c>
      <c r="R343">
        <v>6.9125469999999994E-2</v>
      </c>
      <c r="S343">
        <v>3.0596009999999998</v>
      </c>
      <c r="T343">
        <v>-6.1877729999999999E-2</v>
      </c>
      <c r="U343">
        <v>-2.139282E-2</v>
      </c>
      <c r="V343">
        <v>-6.8153210000000006E-2</v>
      </c>
      <c r="W343">
        <v>0.1741847</v>
      </c>
      <c r="X343">
        <v>0.98235170000000005</v>
      </c>
      <c r="Y343">
        <v>7.9700769999999903E-3</v>
      </c>
      <c r="Z343">
        <v>-1.352018E-4</v>
      </c>
      <c r="AA343">
        <v>0.99996819999999997</v>
      </c>
      <c r="AB343">
        <v>30</v>
      </c>
      <c r="AC343">
        <v>52.128300000000003</v>
      </c>
      <c r="AD343">
        <v>-1.059903835554</v>
      </c>
      <c r="AE343">
        <v>-0.366799999999955</v>
      </c>
      <c r="AF343">
        <v>0.41775686796954498</v>
      </c>
      <c r="AG343">
        <v>-1.059903835554</v>
      </c>
      <c r="AH343">
        <v>52.106374681957902</v>
      </c>
      <c r="AI343">
        <v>91.165264181311798</v>
      </c>
      <c r="AJ343">
        <v>89.540647517448306</v>
      </c>
      <c r="AK343">
        <v>52.1188276867193</v>
      </c>
      <c r="AL343">
        <v>79.9687839758774</v>
      </c>
      <c r="AM343">
        <v>93.968684788581498</v>
      </c>
      <c r="AN343">
        <v>1.0000000161201399</v>
      </c>
    </row>
    <row r="344" spans="1:40" x14ac:dyDescent="0.25">
      <c r="A344" t="str">
        <f>"20190304155604392"</f>
        <v>20190304155604392</v>
      </c>
      <c r="B344" t="str">
        <f>"1551686164384749"</f>
        <v>1551686164384749</v>
      </c>
      <c r="C344" t="s">
        <v>40</v>
      </c>
      <c r="D344">
        <v>4.6605349999999897</v>
      </c>
      <c r="E344">
        <v>0.52741759999999904</v>
      </c>
      <c r="F344" t="s">
        <v>41</v>
      </c>
      <c r="G344">
        <v>-360.3073</v>
      </c>
      <c r="H344" s="1">
        <v>-4.6269450000000003E-6</v>
      </c>
      <c r="I344">
        <v>366.87380000000002</v>
      </c>
      <c r="J344">
        <v>-416.29899999999998</v>
      </c>
      <c r="K344">
        <v>1.0599019999999999</v>
      </c>
      <c r="L344">
        <v>367.25560000000002</v>
      </c>
      <c r="M344">
        <v>0.9999325</v>
      </c>
      <c r="N344">
        <v>-1.1591499999999999E-2</v>
      </c>
      <c r="O344">
        <v>9.8098030000000011E-4</v>
      </c>
      <c r="P344">
        <v>0.98418030000000001</v>
      </c>
      <c r="Q344">
        <v>0.163159</v>
      </c>
      <c r="R344">
        <v>6.9055569999999997E-2</v>
      </c>
      <c r="S344">
        <v>3.0590519999999999</v>
      </c>
      <c r="T344">
        <v>-5.7591679999999999E-2</v>
      </c>
      <c r="U344">
        <v>-2.0721440000000001E-2</v>
      </c>
      <c r="V344">
        <v>-6.808351E-2</v>
      </c>
      <c r="W344">
        <v>0.17455979999999999</v>
      </c>
      <c r="X344">
        <v>0.98228990000000005</v>
      </c>
      <c r="Y344">
        <v>7.7524300000000003E-3</v>
      </c>
      <c r="Z344">
        <v>-1.2500430000000001E-4</v>
      </c>
      <c r="AA344">
        <v>0.99997000000000003</v>
      </c>
      <c r="AB344">
        <v>30</v>
      </c>
      <c r="AC344">
        <v>55.991700000000002</v>
      </c>
      <c r="AD344">
        <v>-1.0599066269449999</v>
      </c>
      <c r="AE344">
        <v>-0.38179999999999797</v>
      </c>
      <c r="AF344">
        <v>0.436573820373509</v>
      </c>
      <c r="AG344">
        <v>-1.0599066269449999</v>
      </c>
      <c r="AH344">
        <v>55.971243030148997</v>
      </c>
      <c r="AI344">
        <v>91.084826227346497</v>
      </c>
      <c r="AJ344">
        <v>89.553103902264894</v>
      </c>
      <c r="AK344">
        <v>55.982979959077603</v>
      </c>
      <c r="AL344">
        <v>79.946957460189097</v>
      </c>
      <c r="AM344">
        <v>93.964887618032805</v>
      </c>
      <c r="AN344">
        <v>0.999999967875984</v>
      </c>
    </row>
    <row r="345" spans="1:40" x14ac:dyDescent="0.25">
      <c r="A345" t="str">
        <f>"20190304155604405"</f>
        <v>20190304155604405</v>
      </c>
      <c r="B345" t="str">
        <f>"1551686164395482"</f>
        <v>1551686164395482</v>
      </c>
      <c r="C345" t="s">
        <v>40</v>
      </c>
      <c r="D345">
        <v>4.7878049999999996</v>
      </c>
      <c r="E345">
        <v>0.52782769999999901</v>
      </c>
      <c r="F345" t="s">
        <v>41</v>
      </c>
      <c r="G345">
        <v>-364.49110000000002</v>
      </c>
      <c r="H345" s="1">
        <v>-2.835568E-6</v>
      </c>
      <c r="I345">
        <v>366.85410000000002</v>
      </c>
      <c r="J345">
        <v>-416.12329999999997</v>
      </c>
      <c r="K345">
        <v>1.0598959999999999</v>
      </c>
      <c r="L345">
        <v>367.25569999999999</v>
      </c>
      <c r="M345">
        <v>0.9999323</v>
      </c>
      <c r="N345">
        <v>-1.1600320000000001E-2</v>
      </c>
      <c r="O345">
        <v>9.8128660000000004E-4</v>
      </c>
      <c r="P345">
        <v>0.98420909999999995</v>
      </c>
      <c r="Q345">
        <v>0.16301460000000001</v>
      </c>
      <c r="R345">
        <v>6.8984100000000007E-2</v>
      </c>
      <c r="S345">
        <v>3.0602719999999999</v>
      </c>
      <c r="T345">
        <v>-6.2608120000000003E-2</v>
      </c>
      <c r="U345">
        <v>-2.3712159999999999E-2</v>
      </c>
      <c r="V345">
        <v>-6.8011639999999998E-2</v>
      </c>
      <c r="W345">
        <v>0.1744242</v>
      </c>
      <c r="X345">
        <v>0.98231900000000005</v>
      </c>
      <c r="Y345">
        <v>8.7265699999999995E-3</v>
      </c>
      <c r="Z345">
        <v>-1.4857139999999901E-4</v>
      </c>
      <c r="AA345">
        <v>0.99996189999999996</v>
      </c>
      <c r="AB345">
        <v>30</v>
      </c>
      <c r="AC345">
        <v>51.632199999999898</v>
      </c>
      <c r="AD345">
        <v>-1.0598988355679999</v>
      </c>
      <c r="AE345">
        <v>-0.40159999999997298</v>
      </c>
      <c r="AF345">
        <v>0.45207870713938503</v>
      </c>
      <c r="AG345">
        <v>-1.0598988355679999</v>
      </c>
      <c r="AH345">
        <v>51.610034222398802</v>
      </c>
      <c r="AI345">
        <v>91.176454675440795</v>
      </c>
      <c r="AJ345">
        <v>89.498129775269405</v>
      </c>
      <c r="AK345">
        <v>51.6228960165571</v>
      </c>
      <c r="AL345">
        <v>79.954848155981097</v>
      </c>
      <c r="AM345">
        <v>93.960598591618805</v>
      </c>
      <c r="AN345">
        <v>1.0000000012410599</v>
      </c>
    </row>
    <row r="346" spans="1:40" x14ac:dyDescent="0.25">
      <c r="A346" t="str">
        <f>"20190304155604425"</f>
        <v>20190304155604425</v>
      </c>
      <c r="B346" t="str">
        <f>"1551686164415005"</f>
        <v>1551686164415005</v>
      </c>
      <c r="C346" t="s">
        <v>40</v>
      </c>
      <c r="D346">
        <v>4.8295620000000001</v>
      </c>
      <c r="E346">
        <v>0.52723769999999903</v>
      </c>
      <c r="F346" t="s">
        <v>41</v>
      </c>
      <c r="G346">
        <v>-366.55860000000001</v>
      </c>
      <c r="H346" s="1">
        <v>-1.9557909999999999E-6</v>
      </c>
      <c r="I346">
        <v>366.81380000000001</v>
      </c>
      <c r="J346">
        <v>-415.84559999999999</v>
      </c>
      <c r="K346">
        <v>1.0598939999999999</v>
      </c>
      <c r="L346">
        <v>367.2561</v>
      </c>
      <c r="M346">
        <v>0.99993220000000005</v>
      </c>
      <c r="N346">
        <v>-1.161333E-2</v>
      </c>
      <c r="O346">
        <v>9.8156850000000011E-4</v>
      </c>
      <c r="P346">
        <v>0.98419179999999995</v>
      </c>
      <c r="Q346">
        <v>0.163185</v>
      </c>
      <c r="R346">
        <v>6.8827250000000006E-2</v>
      </c>
      <c r="S346">
        <v>3.060883</v>
      </c>
      <c r="T346">
        <v>-6.5454129999999999E-2</v>
      </c>
      <c r="U346">
        <v>-2.7282710000000002E-2</v>
      </c>
      <c r="V346">
        <v>-6.7854830000000005E-2</v>
      </c>
      <c r="W346">
        <v>0.17460680000000001</v>
      </c>
      <c r="X346">
        <v>0.98229739999999999</v>
      </c>
      <c r="Y346">
        <v>9.8910509999999997E-3</v>
      </c>
      <c r="Z346">
        <v>-1.727768E-4</v>
      </c>
      <c r="AA346">
        <v>0.99995109999999998</v>
      </c>
      <c r="AB346">
        <v>30</v>
      </c>
      <c r="AC346">
        <v>49.2869999999999</v>
      </c>
      <c r="AD346">
        <v>-1.0598959557909999</v>
      </c>
      <c r="AE346">
        <v>-0.44229999999998798</v>
      </c>
      <c r="AF346">
        <v>0.49045481957896903</v>
      </c>
      <c r="AG346">
        <v>-1.0598959557909999</v>
      </c>
      <c r="AH346">
        <v>49.263762045842398</v>
      </c>
      <c r="AI346">
        <v>91.232451344238697</v>
      </c>
      <c r="AJ346">
        <v>89.4295997367105</v>
      </c>
      <c r="AK346">
        <v>49.277603191272703</v>
      </c>
      <c r="AL346">
        <v>79.944222855928203</v>
      </c>
      <c r="AM346">
        <v>93.9515824748147</v>
      </c>
      <c r="AN346">
        <v>0.99999999730366396</v>
      </c>
    </row>
    <row r="347" spans="1:40" x14ac:dyDescent="0.25">
      <c r="A347" t="str">
        <f>"20190304155604439"</f>
        <v>20190304155604439</v>
      </c>
      <c r="B347" t="str">
        <f>"1551686164435498"</f>
        <v>1551686164435498</v>
      </c>
      <c r="C347" t="s">
        <v>40</v>
      </c>
      <c r="D347">
        <v>4.8844050000000001</v>
      </c>
      <c r="E347">
        <v>0.52795040000000004</v>
      </c>
      <c r="F347" t="s">
        <v>41</v>
      </c>
      <c r="G347">
        <v>-367.98869999999999</v>
      </c>
      <c r="H347" s="1">
        <v>-1.3948880000000001E-6</v>
      </c>
      <c r="I347">
        <v>366.89389999999997</v>
      </c>
      <c r="J347">
        <v>-415.66890000000001</v>
      </c>
      <c r="K347">
        <v>1.0598970000000001</v>
      </c>
      <c r="L347">
        <v>367.25630000000001</v>
      </c>
      <c r="M347">
        <v>0.99993209999999999</v>
      </c>
      <c r="N347">
        <v>-1.162092E-2</v>
      </c>
      <c r="O347">
        <v>9.8164330000000003E-4</v>
      </c>
      <c r="P347">
        <v>0.98420129999999995</v>
      </c>
      <c r="Q347">
        <v>0.1631271</v>
      </c>
      <c r="R347">
        <v>6.8831320000000001E-2</v>
      </c>
      <c r="S347">
        <v>3.0610659999999998</v>
      </c>
      <c r="T347">
        <v>-6.7793969999999995E-2</v>
      </c>
      <c r="U347">
        <v>-2.3162840000000001E-2</v>
      </c>
      <c r="V347">
        <v>-6.7858260000000004E-2</v>
      </c>
      <c r="W347">
        <v>0.17455660000000001</v>
      </c>
      <c r="X347">
        <v>0.98230609999999996</v>
      </c>
      <c r="Y347">
        <v>8.5451329999999999E-3</v>
      </c>
      <c r="Z347">
        <v>-1.5460570000000001E-4</v>
      </c>
      <c r="AA347">
        <v>0.99996350000000001</v>
      </c>
      <c r="AB347">
        <v>30</v>
      </c>
      <c r="AC347">
        <v>47.680199999999999</v>
      </c>
      <c r="AD347">
        <v>-1.0598983948880001</v>
      </c>
      <c r="AE347">
        <v>-0.36240000000003603</v>
      </c>
      <c r="AF347">
        <v>0.409005834408393</v>
      </c>
      <c r="AG347">
        <v>-1.0598983948880001</v>
      </c>
      <c r="AH347">
        <v>47.656273615931603</v>
      </c>
      <c r="AI347">
        <v>91.274028685732503</v>
      </c>
      <c r="AJ347">
        <v>89.508276015267498</v>
      </c>
      <c r="AK347">
        <v>47.669813145601999</v>
      </c>
      <c r="AL347">
        <v>79.947144114474398</v>
      </c>
      <c r="AM347">
        <v>93.9517467019637</v>
      </c>
      <c r="AN347">
        <v>1.0000000120754899</v>
      </c>
    </row>
    <row r="348" spans="1:40" x14ac:dyDescent="0.25">
      <c r="A348" t="str">
        <f>"20190304155604451"</f>
        <v>20190304155604451</v>
      </c>
      <c r="B348" t="str">
        <f>"1551686164445258"</f>
        <v>1551686164445258</v>
      </c>
      <c r="C348" t="s">
        <v>40</v>
      </c>
      <c r="D348">
        <v>4.8136900000000002</v>
      </c>
      <c r="E348">
        <v>0.52849000000000002</v>
      </c>
      <c r="F348" t="s">
        <v>41</v>
      </c>
      <c r="G348">
        <v>-368.43959999999998</v>
      </c>
      <c r="H348" s="1">
        <v>-1.265047E-6</v>
      </c>
      <c r="I348">
        <v>366.80509999999998</v>
      </c>
      <c r="J348">
        <v>-415.50889999999998</v>
      </c>
      <c r="K348">
        <v>1.0598989999999999</v>
      </c>
      <c r="L348">
        <v>367.25639999999999</v>
      </c>
      <c r="M348">
        <v>0.99993189999999998</v>
      </c>
      <c r="N348">
        <v>-1.162756E-2</v>
      </c>
      <c r="O348">
        <v>9.8196229999999995E-4</v>
      </c>
      <c r="P348">
        <v>0.98425750000000001</v>
      </c>
      <c r="Q348">
        <v>0.1628483</v>
      </c>
      <c r="R348">
        <v>6.8686150000000001E-2</v>
      </c>
      <c r="S348">
        <v>3.0615540000000001</v>
      </c>
      <c r="T348">
        <v>-6.8705799999999997E-2</v>
      </c>
      <c r="U348">
        <v>-2.9235839999999999E-2</v>
      </c>
      <c r="V348">
        <v>-6.771307E-2</v>
      </c>
      <c r="W348">
        <v>0.1742852</v>
      </c>
      <c r="X348">
        <v>0.98236429999999997</v>
      </c>
      <c r="Y348">
        <v>1.0526809999999999E-2</v>
      </c>
      <c r="Z348">
        <v>-1.8993290000000001E-4</v>
      </c>
      <c r="AA348">
        <v>0.99994459999999996</v>
      </c>
      <c r="AB348">
        <v>30</v>
      </c>
      <c r="AC348">
        <v>47.069299999999998</v>
      </c>
      <c r="AD348">
        <v>-1.059900265047</v>
      </c>
      <c r="AE348">
        <v>-0.45130000000000298</v>
      </c>
      <c r="AF348">
        <v>0.497271065716617</v>
      </c>
      <c r="AG348">
        <v>-1.059900265047</v>
      </c>
      <c r="AH348">
        <v>47.044981943553601</v>
      </c>
      <c r="AI348">
        <v>91.290555279678202</v>
      </c>
      <c r="AJ348">
        <v>89.394399335731904</v>
      </c>
      <c r="AK348">
        <v>47.059547311400301</v>
      </c>
      <c r="AL348">
        <v>79.962936185440299</v>
      </c>
      <c r="AM348">
        <v>93.943085336411698</v>
      </c>
      <c r="AN348">
        <v>1.0000000043511701</v>
      </c>
    </row>
    <row r="349" spans="1:40" x14ac:dyDescent="0.25">
      <c r="A349" t="str">
        <f>"20190304155604469"</f>
        <v>20190304155604469</v>
      </c>
      <c r="B349" t="str">
        <f>"1551686164464778"</f>
        <v>1551686164464778</v>
      </c>
      <c r="C349" t="s">
        <v>40</v>
      </c>
      <c r="D349">
        <v>4.8468059999999999</v>
      </c>
      <c r="E349">
        <v>0.52928819999999999</v>
      </c>
      <c r="F349" t="s">
        <v>41</v>
      </c>
      <c r="G349">
        <v>-368.85059999999999</v>
      </c>
      <c r="H349" s="1">
        <v>-1.1423879999999999E-6</v>
      </c>
      <c r="I349">
        <v>366.74059999999997</v>
      </c>
      <c r="J349">
        <v>-415.2466</v>
      </c>
      <c r="K349">
        <v>1.059903</v>
      </c>
      <c r="L349">
        <v>367.25670000000002</v>
      </c>
      <c r="M349">
        <v>0.99993189999999998</v>
      </c>
      <c r="N349">
        <v>-1.1637420000000001E-2</v>
      </c>
      <c r="O349">
        <v>9.8208350000000008E-4</v>
      </c>
      <c r="P349">
        <v>0.98421199999999998</v>
      </c>
      <c r="Q349">
        <v>0.16295560000000001</v>
      </c>
      <c r="R349">
        <v>6.908222E-2</v>
      </c>
      <c r="S349">
        <v>3.061798</v>
      </c>
      <c r="T349">
        <v>-6.9552299999999997E-2</v>
      </c>
      <c r="U349">
        <v>-3.3843989999999997E-2</v>
      </c>
      <c r="V349">
        <v>-6.8108870000000002E-2</v>
      </c>
      <c r="W349">
        <v>0.1744021</v>
      </c>
      <c r="X349">
        <v>0.98231619999999997</v>
      </c>
      <c r="Y349">
        <v>1.2030290000000001E-2</v>
      </c>
      <c r="Z349">
        <v>-2.1751560000000001E-4</v>
      </c>
      <c r="AA349">
        <v>0.99992760000000003</v>
      </c>
      <c r="AB349">
        <v>30</v>
      </c>
      <c r="AC349">
        <v>46.396000000000001</v>
      </c>
      <c r="AD349">
        <v>-1.059904142388</v>
      </c>
      <c r="AE349">
        <v>-0.51610000000005096</v>
      </c>
      <c r="AF349">
        <v>0.56137464341221499</v>
      </c>
      <c r="AG349">
        <v>-1.059904142388</v>
      </c>
      <c r="AH349">
        <v>46.371273408631403</v>
      </c>
      <c r="AI349">
        <v>91.309280726793801</v>
      </c>
      <c r="AJ349">
        <v>89.306406223988901</v>
      </c>
      <c r="AK349">
        <v>46.386781908420502</v>
      </c>
      <c r="AL349">
        <v>79.956134229614705</v>
      </c>
      <c r="AM349">
        <v>93.966253907035906</v>
      </c>
      <c r="AN349">
        <v>1.00000001371976</v>
      </c>
    </row>
    <row r="350" spans="1:40" x14ac:dyDescent="0.25">
      <c r="A350" t="str">
        <f>"20190304155604482"</f>
        <v>20190304155604482</v>
      </c>
      <c r="B350" t="str">
        <f>"1551686164475514"</f>
        <v>1551686164475514</v>
      </c>
      <c r="C350" t="s">
        <v>40</v>
      </c>
      <c r="D350">
        <v>4.89567</v>
      </c>
      <c r="E350">
        <v>0.52962679999999995</v>
      </c>
      <c r="F350" t="s">
        <v>41</v>
      </c>
      <c r="G350">
        <v>-367.63060000000002</v>
      </c>
      <c r="H350" s="1">
        <v>-1.5832599999999999E-6</v>
      </c>
      <c r="I350">
        <v>366.64400000000001</v>
      </c>
      <c r="J350">
        <v>-415.084</v>
      </c>
      <c r="K350">
        <v>1.0599050000000001</v>
      </c>
      <c r="L350">
        <v>367.25689999999997</v>
      </c>
      <c r="M350">
        <v>0.99993180000000004</v>
      </c>
      <c r="N350">
        <v>-1.1642949999999999E-2</v>
      </c>
      <c r="O350">
        <v>9.8222989999999992E-4</v>
      </c>
      <c r="P350">
        <v>0.98417399999999999</v>
      </c>
      <c r="Q350">
        <v>0.16308020000000001</v>
      </c>
      <c r="R350">
        <v>6.9330020000000006E-2</v>
      </c>
      <c r="S350">
        <v>3.0621640000000001</v>
      </c>
      <c r="T350">
        <v>-6.8161849999999996E-2</v>
      </c>
      <c r="U350">
        <v>-3.939819E-2</v>
      </c>
      <c r="V350">
        <v>-6.8356920000000002E-2</v>
      </c>
      <c r="W350">
        <v>0.17453170000000001</v>
      </c>
      <c r="X350">
        <v>0.98227600000000004</v>
      </c>
      <c r="Y350">
        <v>1.384199E-2</v>
      </c>
      <c r="Z350">
        <v>-2.4505860000000003E-4</v>
      </c>
      <c r="AA350">
        <v>0.99990420000000002</v>
      </c>
      <c r="AB350">
        <v>30</v>
      </c>
      <c r="AC350">
        <v>47.453399999999903</v>
      </c>
      <c r="AD350">
        <v>-1.0599065832600001</v>
      </c>
      <c r="AE350">
        <v>-0.61289999999996703</v>
      </c>
      <c r="AF350">
        <v>0.65918420687035795</v>
      </c>
      <c r="AG350">
        <v>-1.0599065832600001</v>
      </c>
      <c r="AH350">
        <v>47.429117324367198</v>
      </c>
      <c r="AI350">
        <v>91.280061906686001</v>
      </c>
      <c r="AJ350">
        <v>89.203737206883204</v>
      </c>
      <c r="AK350">
        <v>47.445538209113103</v>
      </c>
      <c r="AL350">
        <v>79.9485935229348</v>
      </c>
      <c r="AM350">
        <v>93.980814890129693</v>
      </c>
      <c r="AN350">
        <v>1.00000006149638</v>
      </c>
    </row>
    <row r="351" spans="1:40" x14ac:dyDescent="0.25">
      <c r="A351" t="str">
        <f>"20190304155604495"</f>
        <v>20190304155604495</v>
      </c>
      <c r="B351" t="str">
        <f>"1551686164485274"</f>
        <v>1551686164485274</v>
      </c>
      <c r="C351" t="s">
        <v>40</v>
      </c>
      <c r="D351">
        <v>4.8907170000000004</v>
      </c>
      <c r="E351">
        <v>0.52995570000000003</v>
      </c>
      <c r="F351" t="s">
        <v>41</v>
      </c>
      <c r="G351">
        <v>-367.00689999999997</v>
      </c>
      <c r="H351" s="1">
        <v>-1.805673E-6</v>
      </c>
      <c r="I351">
        <v>366.60570000000001</v>
      </c>
      <c r="J351">
        <v>-414.90609999999998</v>
      </c>
      <c r="K351">
        <v>1.0599050000000001</v>
      </c>
      <c r="L351">
        <v>367.25700000000001</v>
      </c>
      <c r="M351">
        <v>0.99993180000000004</v>
      </c>
      <c r="N351">
        <v>-1.1648800000000001E-2</v>
      </c>
      <c r="O351">
        <v>9.8231480000000003E-4</v>
      </c>
      <c r="P351">
        <v>0.98413249999999997</v>
      </c>
      <c r="Q351">
        <v>0.16322300000000001</v>
      </c>
      <c r="R351">
        <v>6.9579390000000005E-2</v>
      </c>
      <c r="S351">
        <v>3.0623779999999998</v>
      </c>
      <c r="T351">
        <v>-6.7512989999999995E-2</v>
      </c>
      <c r="U351">
        <v>-4.1473389999999999E-2</v>
      </c>
      <c r="V351">
        <v>-6.8605680000000002E-2</v>
      </c>
      <c r="W351">
        <v>0.17467959999999999</v>
      </c>
      <c r="X351">
        <v>0.98223229999999995</v>
      </c>
      <c r="Y351">
        <v>1.451847E-2</v>
      </c>
      <c r="Z351">
        <v>-2.548041E-4</v>
      </c>
      <c r="AA351">
        <v>0.99989459999999997</v>
      </c>
      <c r="AB351">
        <v>30</v>
      </c>
      <c r="AC351">
        <v>47.8992</v>
      </c>
      <c r="AD351">
        <v>-1.0599068056730001</v>
      </c>
      <c r="AE351">
        <v>-0.65129999999993504</v>
      </c>
      <c r="AF351">
        <v>0.69801325169102801</v>
      </c>
      <c r="AG351">
        <v>-1.0599068056730001</v>
      </c>
      <c r="AH351">
        <v>47.875099725968497</v>
      </c>
      <c r="AI351">
        <v>91.268129316419603</v>
      </c>
      <c r="AJ351">
        <v>89.164693543583695</v>
      </c>
      <c r="AK351">
        <v>47.891917885042801</v>
      </c>
      <c r="AL351">
        <v>79.939986612362205</v>
      </c>
      <c r="AM351">
        <v>93.995431955484705</v>
      </c>
      <c r="AN351">
        <v>0.99999999657385596</v>
      </c>
    </row>
    <row r="352" spans="1:40" x14ac:dyDescent="0.25">
      <c r="A352" t="str">
        <f>"20190304155604507"</f>
        <v>20190304155604507</v>
      </c>
      <c r="B352" t="str">
        <f>"1551686164495034"</f>
        <v>1551686164495034</v>
      </c>
      <c r="C352" t="s">
        <v>40</v>
      </c>
      <c r="D352">
        <v>4.8676949999999897</v>
      </c>
      <c r="E352">
        <v>0.53020940000000005</v>
      </c>
      <c r="F352" t="s">
        <v>41</v>
      </c>
      <c r="G352">
        <v>-366.21120000000002</v>
      </c>
      <c r="H352" s="1">
        <v>-2.1480360000000002E-6</v>
      </c>
      <c r="I352">
        <v>366.57029999999997</v>
      </c>
      <c r="J352">
        <v>-414.73129999999998</v>
      </c>
      <c r="K352">
        <v>1.059906</v>
      </c>
      <c r="L352">
        <v>367.25720000000001</v>
      </c>
      <c r="M352">
        <v>0.99993169999999998</v>
      </c>
      <c r="N352">
        <v>-1.165421E-2</v>
      </c>
      <c r="O352">
        <v>9.8246199999999992E-4</v>
      </c>
      <c r="P352">
        <v>0.98411510000000002</v>
      </c>
      <c r="Q352">
        <v>0.1630125</v>
      </c>
      <c r="R352">
        <v>7.0317939999999995E-2</v>
      </c>
      <c r="S352">
        <v>3.0624690000000001</v>
      </c>
      <c r="T352">
        <v>-6.6658380000000003E-2</v>
      </c>
      <c r="U352">
        <v>-4.3182369999999998E-2</v>
      </c>
      <c r="V352">
        <v>-6.9344039999999996E-2</v>
      </c>
      <c r="W352">
        <v>0.17447389999999999</v>
      </c>
      <c r="X352">
        <v>0.98221700000000001</v>
      </c>
      <c r="Y352">
        <v>1.5076000000000001E-2</v>
      </c>
      <c r="Z352">
        <v>-2.618508E-4</v>
      </c>
      <c r="AA352">
        <v>0.99988630000000001</v>
      </c>
      <c r="AB352">
        <v>31</v>
      </c>
      <c r="AC352">
        <v>48.5200999999999</v>
      </c>
      <c r="AD352">
        <v>-1.059908148036</v>
      </c>
      <c r="AE352">
        <v>-0.68690000000003604</v>
      </c>
      <c r="AF352">
        <v>0.73422176145729501</v>
      </c>
      <c r="AG352">
        <v>-1.059908148036</v>
      </c>
      <c r="AH352">
        <v>48.496264292785902</v>
      </c>
      <c r="AI352">
        <v>91.251882855684599</v>
      </c>
      <c r="AJ352">
        <v>89.132621964590001</v>
      </c>
      <c r="AK352">
        <v>48.513401625046001</v>
      </c>
      <c r="AL352">
        <v>79.951956060339299</v>
      </c>
      <c r="AM352">
        <v>94.038353473754796</v>
      </c>
      <c r="AN352">
        <v>0.99999998637686505</v>
      </c>
    </row>
    <row r="353" spans="1:40" x14ac:dyDescent="0.25">
      <c r="A353" t="str">
        <f>"20190304155604527"</f>
        <v>20190304155604527</v>
      </c>
      <c r="B353" t="str">
        <f>"1551686164515530"</f>
        <v>1551686164515530</v>
      </c>
      <c r="C353" t="s">
        <v>40</v>
      </c>
      <c r="D353">
        <v>4.9178920000000002</v>
      </c>
      <c r="E353">
        <v>0.53088199999999997</v>
      </c>
      <c r="F353" t="s">
        <v>41</v>
      </c>
      <c r="G353">
        <v>-366.11410000000001</v>
      </c>
      <c r="H353" s="1">
        <v>-2.1895080000000002E-6</v>
      </c>
      <c r="I353">
        <v>366.5711</v>
      </c>
      <c r="J353">
        <v>-414.46839999999997</v>
      </c>
      <c r="K353">
        <v>1.059909</v>
      </c>
      <c r="L353">
        <v>367.25749999999999</v>
      </c>
      <c r="M353">
        <v>0.99993169999999998</v>
      </c>
      <c r="N353">
        <v>-1.1661639999999999E-2</v>
      </c>
      <c r="O353">
        <v>9.8241840000000001E-4</v>
      </c>
      <c r="P353">
        <v>0.98404049999999998</v>
      </c>
      <c r="Q353">
        <v>0.16296279999999999</v>
      </c>
      <c r="R353">
        <v>7.1468409999999996E-2</v>
      </c>
      <c r="S353">
        <v>3.0625309999999999</v>
      </c>
      <c r="T353">
        <v>-6.676638E-2</v>
      </c>
      <c r="U353">
        <v>-4.3212889999999997E-2</v>
      </c>
      <c r="V353">
        <v>-7.049482E-2</v>
      </c>
      <c r="W353">
        <v>0.17443069999999999</v>
      </c>
      <c r="X353">
        <v>0.98214270000000004</v>
      </c>
      <c r="Y353">
        <v>1.5085619999999999E-2</v>
      </c>
      <c r="Z353">
        <v>-2.623568E-4</v>
      </c>
      <c r="AA353">
        <v>0.99988619999999995</v>
      </c>
      <c r="AB353">
        <v>31</v>
      </c>
      <c r="AC353">
        <v>48.354299999999903</v>
      </c>
      <c r="AD353">
        <v>-1.059911189508</v>
      </c>
      <c r="AE353">
        <v>-0.68639999999999102</v>
      </c>
      <c r="AF353">
        <v>0.73355466257014601</v>
      </c>
      <c r="AG353">
        <v>-1.059911189508</v>
      </c>
      <c r="AH353">
        <v>48.3303855301331</v>
      </c>
      <c r="AI353">
        <v>91.256181050522599</v>
      </c>
      <c r="AJ353">
        <v>89.130436085880305</v>
      </c>
      <c r="AK353">
        <v>48.347571600483903</v>
      </c>
      <c r="AL353">
        <v>79.954469272678807</v>
      </c>
      <c r="AM353">
        <v>94.105453098149795</v>
      </c>
      <c r="AN353">
        <v>0.99999993595630399</v>
      </c>
    </row>
    <row r="354" spans="1:40" x14ac:dyDescent="0.25">
      <c r="A354" t="str">
        <f>"20190304155604540"</f>
        <v>20190304155604540</v>
      </c>
      <c r="B354" t="str">
        <f>"1551686164535050"</f>
        <v>1551686164535050</v>
      </c>
      <c r="C354" t="s">
        <v>40</v>
      </c>
      <c r="D354">
        <v>4.8813630000000003</v>
      </c>
      <c r="E354">
        <v>0.53115679999999998</v>
      </c>
      <c r="F354" t="s">
        <v>41</v>
      </c>
      <c r="G354">
        <v>-368.58839999999998</v>
      </c>
      <c r="H354" s="1">
        <v>-1.27828E-6</v>
      </c>
      <c r="I354">
        <v>366.56509999999997</v>
      </c>
      <c r="J354">
        <v>-414.28570000000002</v>
      </c>
      <c r="K354">
        <v>1.0599130000000001</v>
      </c>
      <c r="L354">
        <v>367.2577</v>
      </c>
      <c r="M354">
        <v>0.99993140000000003</v>
      </c>
      <c r="N354">
        <v>-1.1666370000000001E-2</v>
      </c>
      <c r="O354">
        <v>9.8292720000000004E-4</v>
      </c>
      <c r="P354">
        <v>0.98405690000000001</v>
      </c>
      <c r="Q354">
        <v>0.162511299999999</v>
      </c>
      <c r="R354">
        <v>7.2263499999999994E-2</v>
      </c>
      <c r="S354">
        <v>3.0637509999999999</v>
      </c>
      <c r="T354">
        <v>-7.0778129999999995E-2</v>
      </c>
      <c r="U354">
        <v>-4.6234129999999998E-2</v>
      </c>
      <c r="V354">
        <v>-7.1289640000000001E-2</v>
      </c>
      <c r="W354">
        <v>0.17398369999999999</v>
      </c>
      <c r="X354">
        <v>0.9821647</v>
      </c>
      <c r="Y354">
        <v>1.6065340000000001E-2</v>
      </c>
      <c r="Z354">
        <v>-2.9051009999999999E-4</v>
      </c>
      <c r="AA354">
        <v>0.99987090000000001</v>
      </c>
      <c r="AB354">
        <v>31</v>
      </c>
      <c r="AC354">
        <v>45.697299999999998</v>
      </c>
      <c r="AD354">
        <v>-1.05991427828</v>
      </c>
      <c r="AE354">
        <v>-0.69260000000002697</v>
      </c>
      <c r="AF354">
        <v>0.73712338300125102</v>
      </c>
      <c r="AG354">
        <v>-1.05991427828</v>
      </c>
      <c r="AH354">
        <v>45.672032426901602</v>
      </c>
      <c r="AI354">
        <v>91.329255768279893</v>
      </c>
      <c r="AJ354">
        <v>89.075355527924998</v>
      </c>
      <c r="AK354">
        <v>45.690275936604102</v>
      </c>
      <c r="AL354">
        <v>79.980479033416003</v>
      </c>
      <c r="AM354">
        <v>94.151487933286703</v>
      </c>
      <c r="AN354">
        <v>1.0000000192815499</v>
      </c>
    </row>
    <row r="355" spans="1:40" x14ac:dyDescent="0.25">
      <c r="A355" t="str">
        <f>"20190304155604561"</f>
        <v>20190304155604561</v>
      </c>
      <c r="B355" t="str">
        <f>"1551686164555546"</f>
        <v>1551686164555546</v>
      </c>
      <c r="C355" t="s">
        <v>40</v>
      </c>
      <c r="D355">
        <v>4.9022439999999996</v>
      </c>
      <c r="E355">
        <v>0.53157049999999995</v>
      </c>
      <c r="F355" t="s">
        <v>41</v>
      </c>
      <c r="G355">
        <v>-368.65109999999999</v>
      </c>
      <c r="H355" s="1">
        <v>-1.2560299999999999E-6</v>
      </c>
      <c r="I355">
        <v>366.56849999999997</v>
      </c>
      <c r="J355">
        <v>-414.00490000000002</v>
      </c>
      <c r="K355">
        <v>1.0599149999999999</v>
      </c>
      <c r="L355">
        <v>367.25799999999998</v>
      </c>
      <c r="M355">
        <v>0.99993149999999997</v>
      </c>
      <c r="N355">
        <v>-1.167312E-2</v>
      </c>
      <c r="O355">
        <v>9.8288749999999995E-4</v>
      </c>
      <c r="P355">
        <v>0.98397210000000002</v>
      </c>
      <c r="Q355">
        <v>0.1620489</v>
      </c>
      <c r="R355">
        <v>7.4425790000000006E-2</v>
      </c>
      <c r="S355">
        <v>3.063812</v>
      </c>
      <c r="T355">
        <v>-7.1160319999999999E-2</v>
      </c>
      <c r="U355">
        <v>-4.6264649999999997E-2</v>
      </c>
      <c r="V355">
        <v>-7.3451680000000005E-2</v>
      </c>
      <c r="W355">
        <v>0.17352779999999901</v>
      </c>
      <c r="X355">
        <v>0.98208600000000001</v>
      </c>
      <c r="Y355">
        <v>1.6074890000000001E-2</v>
      </c>
      <c r="Z355">
        <v>-2.9184399999999998E-4</v>
      </c>
      <c r="AA355">
        <v>0.99987079999999995</v>
      </c>
      <c r="AB355">
        <v>31</v>
      </c>
      <c r="AC355">
        <v>45.3538</v>
      </c>
      <c r="AD355">
        <v>-1.0599162560299999</v>
      </c>
      <c r="AE355">
        <v>-0.68950000000006595</v>
      </c>
      <c r="AF355">
        <v>0.73367977211367097</v>
      </c>
      <c r="AG355">
        <v>-1.0599162560299999</v>
      </c>
      <c r="AH355">
        <v>45.328349767732398</v>
      </c>
      <c r="AI355">
        <v>91.339332113932997</v>
      </c>
      <c r="AJ355">
        <v>89.072697676498507</v>
      </c>
      <c r="AK355">
        <v>45.346675745237299</v>
      </c>
      <c r="AL355">
        <v>80.007003244504205</v>
      </c>
      <c r="AM355">
        <v>94.277273501484999</v>
      </c>
      <c r="AN355">
        <v>0.99999997903183102</v>
      </c>
    </row>
    <row r="356" spans="1:40" x14ac:dyDescent="0.25">
      <c r="A356" t="str">
        <f>"20190304155604582"</f>
        <v>20190304155604582</v>
      </c>
      <c r="B356" t="str">
        <f>"1551686164575069"</f>
        <v>1551686164575069</v>
      </c>
      <c r="C356" t="s">
        <v>40</v>
      </c>
      <c r="D356">
        <v>4.9036520000000001</v>
      </c>
      <c r="E356">
        <v>0.53203339999999999</v>
      </c>
      <c r="F356" t="s">
        <v>41</v>
      </c>
      <c r="G356">
        <v>-368.38900000000001</v>
      </c>
      <c r="H356" s="1">
        <v>-1.333132E-6</v>
      </c>
      <c r="I356">
        <v>366.61399999999998</v>
      </c>
      <c r="J356">
        <v>-413.71089999999998</v>
      </c>
      <c r="K356">
        <v>1.059911</v>
      </c>
      <c r="L356">
        <v>367.25819999999999</v>
      </c>
      <c r="M356">
        <v>0.99993140000000003</v>
      </c>
      <c r="N356">
        <v>-1.1679480000000001E-2</v>
      </c>
      <c r="O356">
        <v>9.8314800000000009E-4</v>
      </c>
      <c r="P356">
        <v>0.98373460000000001</v>
      </c>
      <c r="Q356">
        <v>0.16273789999999999</v>
      </c>
      <c r="R356">
        <v>7.6043990000000006E-2</v>
      </c>
      <c r="S356">
        <v>3.063812</v>
      </c>
      <c r="T356">
        <v>-7.1189520000000006E-2</v>
      </c>
      <c r="U356">
        <v>-4.3243410000000003E-2</v>
      </c>
      <c r="V356">
        <v>-7.5069579999999997E-2</v>
      </c>
      <c r="W356">
        <v>0.17421989999999901</v>
      </c>
      <c r="X356">
        <v>0.98184110000000002</v>
      </c>
      <c r="Y356">
        <v>1.5089770000000001E-2</v>
      </c>
      <c r="Z356">
        <v>-2.7478129999999998E-4</v>
      </c>
      <c r="AA356">
        <v>0.9998861</v>
      </c>
      <c r="AB356">
        <v>31</v>
      </c>
      <c r="AC356">
        <v>45.3218999999999</v>
      </c>
      <c r="AD356">
        <v>-1.059912333132</v>
      </c>
      <c r="AE356">
        <v>-0.64419999999995503</v>
      </c>
      <c r="AF356">
        <v>0.68838444426358303</v>
      </c>
      <c r="AG356">
        <v>-1.059912333132</v>
      </c>
      <c r="AH356">
        <v>45.296476169084897</v>
      </c>
      <c r="AI356">
        <v>91.3402900326398</v>
      </c>
      <c r="AJ356">
        <v>89.129325487364994</v>
      </c>
      <c r="AK356">
        <v>45.314104213076</v>
      </c>
      <c r="AL356">
        <v>79.966735487519301</v>
      </c>
      <c r="AM356">
        <v>94.372212660409204</v>
      </c>
      <c r="AN356">
        <v>0.99999998052329797</v>
      </c>
    </row>
    <row r="357" spans="1:40" x14ac:dyDescent="0.25">
      <c r="A357" t="str">
        <f>"20190304155604594"</f>
        <v>20190304155604594</v>
      </c>
      <c r="B357" t="str">
        <f>"1551686164584826"</f>
        <v>1551686164584826</v>
      </c>
      <c r="C357" t="s">
        <v>40</v>
      </c>
      <c r="D357">
        <v>4.9855159999999996</v>
      </c>
      <c r="E357">
        <v>0.53236090000000003</v>
      </c>
      <c r="F357" t="s">
        <v>41</v>
      </c>
      <c r="G357">
        <v>-366.27280000000002</v>
      </c>
      <c r="H357" s="1">
        <v>-2.112466E-6</v>
      </c>
      <c r="I357">
        <v>366.62169999999998</v>
      </c>
      <c r="J357">
        <v>-413.54559999999998</v>
      </c>
      <c r="K357">
        <v>1.059909</v>
      </c>
      <c r="L357">
        <v>367.25839999999999</v>
      </c>
      <c r="M357">
        <v>0.99993129999999997</v>
      </c>
      <c r="N357">
        <v>-1.168279E-2</v>
      </c>
      <c r="O357">
        <v>9.8330729999999999E-4</v>
      </c>
      <c r="P357">
        <v>0.98351980000000006</v>
      </c>
      <c r="Q357">
        <v>0.16373289999999999</v>
      </c>
      <c r="R357">
        <v>7.6684050000000004E-2</v>
      </c>
      <c r="S357">
        <v>3.064117</v>
      </c>
      <c r="T357">
        <v>-6.8461659999999994E-2</v>
      </c>
      <c r="U357">
        <v>-4.110718E-2</v>
      </c>
      <c r="V357">
        <v>-7.5710029999999998E-2</v>
      </c>
      <c r="W357">
        <v>0.1752157</v>
      </c>
      <c r="X357">
        <v>0.98161469999999995</v>
      </c>
      <c r="Y357">
        <v>1.4392220000000001E-2</v>
      </c>
      <c r="Z357">
        <v>-2.5532819999999999E-4</v>
      </c>
      <c r="AA357">
        <v>0.99989640000000002</v>
      </c>
      <c r="AB357">
        <v>31</v>
      </c>
      <c r="AC357">
        <v>47.272799999999897</v>
      </c>
      <c r="AD357">
        <v>-1.0599111124659999</v>
      </c>
      <c r="AE357">
        <v>-0.63670000000001803</v>
      </c>
      <c r="AF357">
        <v>0.68284334374995104</v>
      </c>
      <c r="AG357">
        <v>-1.0599111124659999</v>
      </c>
      <c r="AH357">
        <v>47.248403162108197</v>
      </c>
      <c r="AI357">
        <v>91.284951613122203</v>
      </c>
      <c r="AJ357">
        <v>89.172007613090102</v>
      </c>
      <c r="AK357">
        <v>47.265222817284503</v>
      </c>
      <c r="AL357">
        <v>79.908789088940793</v>
      </c>
      <c r="AM357">
        <v>94.410380316803995</v>
      </c>
      <c r="AN357">
        <v>0.99999998471259</v>
      </c>
    </row>
    <row r="358" spans="1:40" x14ac:dyDescent="0.25">
      <c r="A358" t="str">
        <f>"20190304155604606"</f>
        <v>20190304155604606</v>
      </c>
      <c r="B358" t="str">
        <f>"1551686164595563"</f>
        <v>1551686164595563</v>
      </c>
      <c r="C358" t="s">
        <v>40</v>
      </c>
      <c r="D358">
        <v>4.9126010000000004</v>
      </c>
      <c r="E358">
        <v>0.53247049999999996</v>
      </c>
      <c r="F358" t="s">
        <v>41</v>
      </c>
      <c r="G358">
        <v>-363.70940000000002</v>
      </c>
      <c r="H358" s="1">
        <v>-3.2184119999999999E-6</v>
      </c>
      <c r="I358">
        <v>366.58629999999999</v>
      </c>
      <c r="J358">
        <v>-413.37950000000001</v>
      </c>
      <c r="K358">
        <v>1.0599080000000001</v>
      </c>
      <c r="L358">
        <v>367.2586</v>
      </c>
      <c r="M358">
        <v>0.99993129999999997</v>
      </c>
      <c r="N358">
        <v>-1.1685920000000001E-2</v>
      </c>
      <c r="O358">
        <v>9.8346760000000001E-4</v>
      </c>
      <c r="P358">
        <v>0.98338099999999995</v>
      </c>
      <c r="Q358">
        <v>0.16434689999999999</v>
      </c>
      <c r="R358">
        <v>7.7148499999999995E-2</v>
      </c>
      <c r="S358">
        <v>3.0643009999999999</v>
      </c>
      <c r="T358">
        <v>-6.5171240000000005E-2</v>
      </c>
      <c r="U358">
        <v>-4.1320799999999998E-2</v>
      </c>
      <c r="V358">
        <v>-7.6174740000000005E-2</v>
      </c>
      <c r="W358">
        <v>0.1758316</v>
      </c>
      <c r="X358">
        <v>0.98146860000000002</v>
      </c>
      <c r="Y358">
        <v>1.4461679999999999E-2</v>
      </c>
      <c r="Z358">
        <v>-2.4770199999999998E-4</v>
      </c>
      <c r="AA358">
        <v>0.99989539999999999</v>
      </c>
      <c r="AB358">
        <v>31</v>
      </c>
      <c r="AC358">
        <v>49.670099999999898</v>
      </c>
      <c r="AD358">
        <v>-1.0599112184119901</v>
      </c>
      <c r="AE358">
        <v>-0.672300000000007</v>
      </c>
      <c r="AF358">
        <v>0.72082377171212197</v>
      </c>
      <c r="AG358">
        <v>-1.0599112184119901</v>
      </c>
      <c r="AH358">
        <v>49.6468120249992</v>
      </c>
      <c r="AI358">
        <v>91.222894609083397</v>
      </c>
      <c r="AJ358">
        <v>89.168179052847194</v>
      </c>
      <c r="AK358">
        <v>49.663356138569497</v>
      </c>
      <c r="AL358">
        <v>79.872944059910495</v>
      </c>
      <c r="AM358">
        <v>94.438001446924204</v>
      </c>
      <c r="AN358">
        <v>0.99999997767929305</v>
      </c>
    </row>
    <row r="359" spans="1:40" x14ac:dyDescent="0.25">
      <c r="A359" t="str">
        <f>"20190304155604618"</f>
        <v>20190304155604618</v>
      </c>
      <c r="B359" t="str">
        <f>"1551686164615082"</f>
        <v>1551686164615082</v>
      </c>
      <c r="C359" t="s">
        <v>40</v>
      </c>
      <c r="D359">
        <v>5.0675210000000002</v>
      </c>
      <c r="E359">
        <v>0.53265660000000004</v>
      </c>
      <c r="F359" t="s">
        <v>41</v>
      </c>
      <c r="G359">
        <v>-363.1499</v>
      </c>
      <c r="H359" s="1">
        <v>-3.455807E-6</v>
      </c>
      <c r="I359">
        <v>366.60129999999998</v>
      </c>
      <c r="J359">
        <v>-413.21409999999997</v>
      </c>
      <c r="K359">
        <v>1.059904</v>
      </c>
      <c r="L359">
        <v>367.25880000000001</v>
      </c>
      <c r="M359">
        <v>0.99993120000000002</v>
      </c>
      <c r="N359">
        <v>-1.1688830000000001E-2</v>
      </c>
      <c r="O359">
        <v>9.836291E-4</v>
      </c>
      <c r="P359">
        <v>0.98326709999999995</v>
      </c>
      <c r="Q359">
        <v>0.1647701</v>
      </c>
      <c r="R359">
        <v>7.7696290000000001E-2</v>
      </c>
      <c r="S359">
        <v>3.0646360000000001</v>
      </c>
      <c r="T359">
        <v>-6.4667820000000001E-2</v>
      </c>
      <c r="U359">
        <v>-4.01001E-2</v>
      </c>
      <c r="V359">
        <v>-7.6722470000000001E-2</v>
      </c>
      <c r="W359">
        <v>0.176256</v>
      </c>
      <c r="X359">
        <v>0.98134980000000005</v>
      </c>
      <c r="Y359">
        <v>1.4062359999999999E-2</v>
      </c>
      <c r="Z359">
        <v>-2.39807E-4</v>
      </c>
      <c r="AA359">
        <v>0.99990109999999999</v>
      </c>
      <c r="AB359">
        <v>31</v>
      </c>
      <c r="AC359">
        <v>50.0641999999999</v>
      </c>
      <c r="AD359">
        <v>-1.0599074558069901</v>
      </c>
      <c r="AE359">
        <v>-0.65750000000002695</v>
      </c>
      <c r="AF359">
        <v>0.70643107558729401</v>
      </c>
      <c r="AG359">
        <v>-1.0599074558069901</v>
      </c>
      <c r="AH359">
        <v>50.041103952600999</v>
      </c>
      <c r="AI359">
        <v>91.2132645468904</v>
      </c>
      <c r="AJ359">
        <v>89.191208277157003</v>
      </c>
      <c r="AK359">
        <v>50.057312487532201</v>
      </c>
      <c r="AL359">
        <v>79.848241887232106</v>
      </c>
      <c r="AM359">
        <v>94.470322687906204</v>
      </c>
      <c r="AN359">
        <v>0.99999997244947003</v>
      </c>
    </row>
    <row r="360" spans="1:40" x14ac:dyDescent="0.25">
      <c r="A360" t="str">
        <f>"20190304155604638"</f>
        <v>20190304155604638</v>
      </c>
      <c r="B360" t="str">
        <f>"1551686164635578"</f>
        <v>1551686164635578</v>
      </c>
      <c r="C360" t="s">
        <v>40</v>
      </c>
      <c r="D360">
        <v>4.949268</v>
      </c>
      <c r="E360">
        <v>0.53286859999999903</v>
      </c>
      <c r="F360" t="s">
        <v>41</v>
      </c>
      <c r="G360">
        <v>-362.0582</v>
      </c>
      <c r="H360" s="1">
        <v>-3.9230969999999999E-6</v>
      </c>
      <c r="I360">
        <v>366.60719999999998</v>
      </c>
      <c r="J360">
        <v>-412.9443</v>
      </c>
      <c r="K360">
        <v>1.05989</v>
      </c>
      <c r="L360">
        <v>367.25909999999999</v>
      </c>
      <c r="M360">
        <v>0.99993120000000002</v>
      </c>
      <c r="N360">
        <v>-1.169327E-2</v>
      </c>
      <c r="O360">
        <v>9.8378180000000003E-4</v>
      </c>
      <c r="P360">
        <v>0.98321590000000003</v>
      </c>
      <c r="Q360">
        <v>0.16478370000000001</v>
      </c>
      <c r="R360">
        <v>7.8312380000000001E-2</v>
      </c>
      <c r="S360">
        <v>3.0647579999999999</v>
      </c>
      <c r="T360">
        <v>-6.3499089999999994E-2</v>
      </c>
      <c r="U360">
        <v>-3.9031980000000001E-2</v>
      </c>
      <c r="V360">
        <v>-7.7338480000000001E-2</v>
      </c>
      <c r="W360">
        <v>0.17627329999999999</v>
      </c>
      <c r="X360">
        <v>0.98129840000000002</v>
      </c>
      <c r="Y360">
        <v>1.371383E-2</v>
      </c>
      <c r="Z360">
        <v>-2.3112459999999999E-4</v>
      </c>
      <c r="AA360">
        <v>0.99990590000000001</v>
      </c>
      <c r="AB360">
        <v>31</v>
      </c>
      <c r="AC360">
        <v>50.886099999999999</v>
      </c>
      <c r="AD360">
        <v>-1.0598939230969999</v>
      </c>
      <c r="AE360">
        <v>-0.65190000000001103</v>
      </c>
      <c r="AF360">
        <v>0.70165956788993</v>
      </c>
      <c r="AG360">
        <v>-1.0598939230969999</v>
      </c>
      <c r="AH360">
        <v>50.863371215582198</v>
      </c>
      <c r="AI360">
        <v>91.193646520898199</v>
      </c>
      <c r="AJ360">
        <v>89.209655572413894</v>
      </c>
      <c r="AK360">
        <v>50.879251495000801</v>
      </c>
      <c r="AL360">
        <v>79.847235528162003</v>
      </c>
      <c r="AM360">
        <v>94.506303038125097</v>
      </c>
      <c r="AN360">
        <v>1.00000003331207</v>
      </c>
    </row>
    <row r="361" spans="1:40" x14ac:dyDescent="0.25">
      <c r="A361" t="str">
        <f>"20190304155604653"</f>
        <v>20190304155604653</v>
      </c>
      <c r="B361" t="str">
        <f>"1551686164645339"</f>
        <v>1551686164645339</v>
      </c>
      <c r="C361" t="s">
        <v>40</v>
      </c>
      <c r="D361">
        <v>4.9169910000000003</v>
      </c>
      <c r="E361">
        <v>0.53306629999999999</v>
      </c>
      <c r="F361" t="s">
        <v>41</v>
      </c>
      <c r="G361">
        <v>-361.26010000000002</v>
      </c>
      <c r="H361" s="1">
        <v>-4.2657030000000004E-6</v>
      </c>
      <c r="I361">
        <v>366.60590000000002</v>
      </c>
      <c r="J361">
        <v>-412.75310000000002</v>
      </c>
      <c r="K361">
        <v>1.059885</v>
      </c>
      <c r="L361">
        <v>367.25920000000002</v>
      </c>
      <c r="M361">
        <v>0.99993120000000002</v>
      </c>
      <c r="N361">
        <v>-1.169621E-2</v>
      </c>
      <c r="O361">
        <v>9.8394330000000003E-4</v>
      </c>
      <c r="P361">
        <v>0.98315730000000001</v>
      </c>
      <c r="Q361">
        <v>0.16490639999999901</v>
      </c>
      <c r="R361">
        <v>7.8789230000000002E-2</v>
      </c>
      <c r="S361">
        <v>3.064819</v>
      </c>
      <c r="T361">
        <v>-6.285048E-2</v>
      </c>
      <c r="U361">
        <v>-3.872681E-2</v>
      </c>
      <c r="V361">
        <v>-7.7815380000000003E-2</v>
      </c>
      <c r="W361">
        <v>0.1763982</v>
      </c>
      <c r="X361">
        <v>0.98123819999999995</v>
      </c>
      <c r="Y361">
        <v>1.3614299999999999E-2</v>
      </c>
      <c r="Z361">
        <v>-2.278785E-4</v>
      </c>
      <c r="AA361">
        <v>0.99990730000000005</v>
      </c>
      <c r="AB361">
        <v>31</v>
      </c>
      <c r="AC361">
        <v>51.493000000000002</v>
      </c>
      <c r="AD361">
        <v>-1.0598892657029999</v>
      </c>
      <c r="AE361">
        <v>-0.65330000000000099</v>
      </c>
      <c r="AF361">
        <v>0.70367126331518803</v>
      </c>
      <c r="AG361">
        <v>-1.0598892657029999</v>
      </c>
      <c r="AH361">
        <v>51.470529362875801</v>
      </c>
      <c r="AI361">
        <v>91.179566815456099</v>
      </c>
      <c r="AJ361">
        <v>89.216738539818195</v>
      </c>
      <c r="AK361">
        <v>51.486249731331498</v>
      </c>
      <c r="AL361">
        <v>79.839964833014903</v>
      </c>
      <c r="AM361">
        <v>94.534252202911603</v>
      </c>
      <c r="AN361">
        <v>0.99999998173351101</v>
      </c>
    </row>
    <row r="362" spans="1:40" x14ac:dyDescent="0.25">
      <c r="A362" t="str">
        <f>"20190304155604672"</f>
        <v>20190304155604672</v>
      </c>
      <c r="B362" t="str">
        <f>"1551686164664858"</f>
        <v>1551686164664858</v>
      </c>
      <c r="C362" t="s">
        <v>40</v>
      </c>
      <c r="D362">
        <v>4.8778499999999996</v>
      </c>
      <c r="E362">
        <v>0.53322979999999998</v>
      </c>
      <c r="F362" t="s">
        <v>41</v>
      </c>
      <c r="G362">
        <v>-359.7706</v>
      </c>
      <c r="H362" s="1">
        <v>-8.6957149999999996E-7</v>
      </c>
      <c r="I362">
        <v>366.58920000000001</v>
      </c>
      <c r="J362">
        <v>-412.48570000000001</v>
      </c>
      <c r="K362">
        <v>1.059879</v>
      </c>
      <c r="L362">
        <v>367.2595</v>
      </c>
      <c r="M362">
        <v>0.99993120000000002</v>
      </c>
      <c r="N362">
        <v>-1.1699970000000001E-2</v>
      </c>
      <c r="O362">
        <v>9.8404039999999996E-4</v>
      </c>
      <c r="P362">
        <v>0.98325759999999995</v>
      </c>
      <c r="Q362">
        <v>0.16405220000000001</v>
      </c>
      <c r="R362">
        <v>7.9320329999999994E-2</v>
      </c>
      <c r="S362">
        <v>3.064819</v>
      </c>
      <c r="T362">
        <v>-6.1309929999999999E-2</v>
      </c>
      <c r="U362">
        <v>-3.8757319999999998E-2</v>
      </c>
      <c r="V362">
        <v>-7.8345880000000007E-2</v>
      </c>
      <c r="W362">
        <v>0.17554910000000001</v>
      </c>
      <c r="X362">
        <v>0.98134829999999995</v>
      </c>
      <c r="Y362">
        <v>1.3624529999999999E-2</v>
      </c>
      <c r="Z362">
        <v>-2.24148E-4</v>
      </c>
      <c r="AA362">
        <v>0.99990710000000005</v>
      </c>
      <c r="AB362">
        <v>31</v>
      </c>
      <c r="AC362">
        <v>52.7151</v>
      </c>
      <c r="AD362">
        <v>-1.0598798695714999</v>
      </c>
      <c r="AE362">
        <v>-0.67029999999999701</v>
      </c>
      <c r="AF362">
        <v>0.72188523719338105</v>
      </c>
      <c r="AG362">
        <v>-1.0598798695714999</v>
      </c>
      <c r="AH362">
        <v>52.693117411007997</v>
      </c>
      <c r="AI362">
        <v>91.152195259110599</v>
      </c>
      <c r="AJ362">
        <v>89.2151083082219</v>
      </c>
      <c r="AK362">
        <v>52.708719260895201</v>
      </c>
      <c r="AL362">
        <v>79.889386342502306</v>
      </c>
      <c r="AM362">
        <v>94.564523883042199</v>
      </c>
      <c r="AN362">
        <v>1.00000002466833</v>
      </c>
    </row>
    <row r="363" spans="1:40" x14ac:dyDescent="0.25">
      <c r="A363" t="str">
        <f>"20190304155604686"</f>
        <v>20190304155604686</v>
      </c>
      <c r="B363" t="str">
        <f>"1551686164675595"</f>
        <v>1551686164675595</v>
      </c>
      <c r="C363" t="s">
        <v>40</v>
      </c>
      <c r="D363">
        <v>4.875991</v>
      </c>
      <c r="E363">
        <v>0.53339490000000001</v>
      </c>
      <c r="F363" t="s">
        <v>41</v>
      </c>
      <c r="G363">
        <v>-360.11309999999997</v>
      </c>
      <c r="H363" s="1">
        <v>-4.7612539999999996E-6</v>
      </c>
      <c r="I363">
        <v>366.58609999999999</v>
      </c>
      <c r="J363">
        <v>-412.2903</v>
      </c>
      <c r="K363">
        <v>1.0598810000000001</v>
      </c>
      <c r="L363">
        <v>367.25970000000001</v>
      </c>
      <c r="M363">
        <v>0.99993109999999996</v>
      </c>
      <c r="N363">
        <v>-1.1702519999999999E-2</v>
      </c>
      <c r="O363">
        <v>9.8420439999999994E-4</v>
      </c>
      <c r="P363">
        <v>0.98326530000000001</v>
      </c>
      <c r="Q363">
        <v>0.16402549999999999</v>
      </c>
      <c r="R363">
        <v>7.9279150000000007E-2</v>
      </c>
      <c r="S363">
        <v>3.0646059999999999</v>
      </c>
      <c r="T363">
        <v>-6.201947E-2</v>
      </c>
      <c r="U363">
        <v>-3.939819E-2</v>
      </c>
      <c r="V363">
        <v>-7.8305040000000006E-2</v>
      </c>
      <c r="W363">
        <v>0.1755246</v>
      </c>
      <c r="X363">
        <v>0.98135589999999995</v>
      </c>
      <c r="Y363">
        <v>1.383449E-2</v>
      </c>
      <c r="Z363">
        <v>-2.293327E-4</v>
      </c>
      <c r="AA363">
        <v>0.99990429999999997</v>
      </c>
      <c r="AB363">
        <v>31</v>
      </c>
      <c r="AC363">
        <v>52.177199999999999</v>
      </c>
      <c r="AD363">
        <v>-1.05988576125399</v>
      </c>
      <c r="AE363">
        <v>-0.67360000000002096</v>
      </c>
      <c r="AF363">
        <v>0.72465725453306096</v>
      </c>
      <c r="AG363">
        <v>-1.05988576125399</v>
      </c>
      <c r="AH363">
        <v>52.154994800051597</v>
      </c>
      <c r="AI363">
        <v>91.164083423110597</v>
      </c>
      <c r="AJ363">
        <v>89.203966352119593</v>
      </c>
      <c r="AK363">
        <v>52.170796127305401</v>
      </c>
      <c r="AL363">
        <v>79.890811808243299</v>
      </c>
      <c r="AM363">
        <v>94.562119361119201</v>
      </c>
      <c r="AN363">
        <v>0.999999983479685</v>
      </c>
    </row>
    <row r="364" spans="1:40" x14ac:dyDescent="0.25">
      <c r="A364" t="str">
        <f>"20190304155604704"</f>
        <v>20190304155604704</v>
      </c>
      <c r="B364" t="str">
        <f>"1551686164695117"</f>
        <v>1551686164695117</v>
      </c>
      <c r="C364" t="s">
        <v>40</v>
      </c>
      <c r="D364">
        <v>4.8306440000000004</v>
      </c>
      <c r="E364">
        <v>0.53376569999999901</v>
      </c>
      <c r="F364" t="s">
        <v>41</v>
      </c>
      <c r="G364">
        <v>-358.86900000000003</v>
      </c>
      <c r="H364" s="1">
        <v>-1.186139E-6</v>
      </c>
      <c r="I364">
        <v>366.55259999999998</v>
      </c>
      <c r="J364">
        <v>-412.03289999999998</v>
      </c>
      <c r="K364">
        <v>1.0598890000000001</v>
      </c>
      <c r="L364">
        <v>367.26</v>
      </c>
      <c r="M364">
        <v>0.99993100000000001</v>
      </c>
      <c r="N364">
        <v>-1.170565E-2</v>
      </c>
      <c r="O364">
        <v>9.8454360000000004E-4</v>
      </c>
      <c r="P364">
        <v>0.98303289999999999</v>
      </c>
      <c r="Q364">
        <v>0.16540299999999999</v>
      </c>
      <c r="R364">
        <v>7.9299099999999997E-2</v>
      </c>
      <c r="S364">
        <v>3.064514</v>
      </c>
      <c r="T364">
        <v>-6.0800079999999999E-2</v>
      </c>
      <c r="U364">
        <v>-4.0557860000000001E-2</v>
      </c>
      <c r="V364">
        <v>-7.8324249999999998E-2</v>
      </c>
      <c r="W364">
        <v>0.1769027</v>
      </c>
      <c r="X364">
        <v>0.9811069</v>
      </c>
      <c r="Y364">
        <v>1.421356E-2</v>
      </c>
      <c r="Z364">
        <v>-2.3219429999999999E-4</v>
      </c>
      <c r="AA364">
        <v>0.99989899999999998</v>
      </c>
      <c r="AB364">
        <v>31</v>
      </c>
      <c r="AC364">
        <v>53.163899999999899</v>
      </c>
      <c r="AD364">
        <v>-1.05989018613899</v>
      </c>
      <c r="AE364">
        <v>-0.70740000000000602</v>
      </c>
      <c r="AF364">
        <v>0.75944362977065505</v>
      </c>
      <c r="AG364">
        <v>-1.05989018613899</v>
      </c>
      <c r="AH364">
        <v>53.142059872078597</v>
      </c>
      <c r="AI364">
        <v>91.142465812279795</v>
      </c>
      <c r="AJ364">
        <v>89.181252043051799</v>
      </c>
      <c r="AK364">
        <v>53.158053475283097</v>
      </c>
      <c r="AL364">
        <v>79.810597468408304</v>
      </c>
      <c r="AM364">
        <v>94.564387058941193</v>
      </c>
      <c r="AN364">
        <v>1.00000000131648</v>
      </c>
    </row>
    <row r="365" spans="1:40" x14ac:dyDescent="0.25">
      <c r="A365" t="str">
        <f>"20190304155604718"</f>
        <v>20190304155604718</v>
      </c>
      <c r="B365" t="str">
        <f>"1551686164715611"</f>
        <v>1551686164715611</v>
      </c>
      <c r="C365" t="s">
        <v>40</v>
      </c>
      <c r="D365">
        <v>4.8540919999999996</v>
      </c>
      <c r="E365">
        <v>0.53395859999999995</v>
      </c>
      <c r="F365" t="s">
        <v>41</v>
      </c>
      <c r="G365">
        <v>-353.64729999999997</v>
      </c>
      <c r="H365" s="1">
        <v>-3.2710250000000002E-6</v>
      </c>
      <c r="I365">
        <v>366.44009999999997</v>
      </c>
      <c r="J365">
        <v>-411.85559999999998</v>
      </c>
      <c r="K365">
        <v>1.0598970000000001</v>
      </c>
      <c r="L365">
        <v>367.2602</v>
      </c>
      <c r="M365">
        <v>0.99993100000000001</v>
      </c>
      <c r="N365">
        <v>-1.170768E-2</v>
      </c>
      <c r="O365">
        <v>9.845317000000001E-4</v>
      </c>
      <c r="P365">
        <v>0.98280330000000005</v>
      </c>
      <c r="Q365">
        <v>0.16688620000000001</v>
      </c>
      <c r="R365">
        <v>7.903578E-2</v>
      </c>
      <c r="S365">
        <v>3.064575</v>
      </c>
      <c r="T365">
        <v>-5.5632109999999999E-2</v>
      </c>
      <c r="U365">
        <v>-4.3029789999999998E-2</v>
      </c>
      <c r="V365">
        <v>-7.8061160000000004E-2</v>
      </c>
      <c r="W365">
        <v>0.17838509999999999</v>
      </c>
      <c r="X365">
        <v>0.9808595</v>
      </c>
      <c r="Y365">
        <v>1.502005E-2</v>
      </c>
      <c r="Z365">
        <v>-2.30602E-4</v>
      </c>
      <c r="AA365">
        <v>0.99988719999999998</v>
      </c>
      <c r="AB365">
        <v>31</v>
      </c>
      <c r="AC365">
        <v>58.208300000000001</v>
      </c>
      <c r="AD365">
        <v>-1.0599002710249901</v>
      </c>
      <c r="AE365">
        <v>-0.82010000000002403</v>
      </c>
      <c r="AF365">
        <v>0.87712068666604104</v>
      </c>
      <c r="AG365">
        <v>-1.0599002710249901</v>
      </c>
      <c r="AH365">
        <v>58.188175359979802</v>
      </c>
      <c r="AI365">
        <v>91.043411330201494</v>
      </c>
      <c r="AJ365">
        <v>89.136396573415993</v>
      </c>
      <c r="AK365">
        <v>58.204436952926997</v>
      </c>
      <c r="AL365">
        <v>79.724290204527904</v>
      </c>
      <c r="AM365">
        <v>94.550262406214699</v>
      </c>
      <c r="AN365">
        <v>1.0000000736714001</v>
      </c>
    </row>
    <row r="366" spans="1:40" x14ac:dyDescent="0.25">
      <c r="A366" t="str">
        <f>"20190304155604730"</f>
        <v>20190304155604730</v>
      </c>
      <c r="B366" t="str">
        <f>"1551686164725370"</f>
        <v>1551686164725370</v>
      </c>
      <c r="C366" t="s">
        <v>40</v>
      </c>
      <c r="D366">
        <v>4.8287589999999998</v>
      </c>
      <c r="E366">
        <v>0.53404180000000001</v>
      </c>
      <c r="F366" t="s">
        <v>41</v>
      </c>
      <c r="G366">
        <v>-346.49709999999999</v>
      </c>
      <c r="H366" s="1">
        <v>-2.2252650000000002E-6</v>
      </c>
      <c r="I366">
        <v>366.29629999999997</v>
      </c>
      <c r="J366">
        <v>-411.6884</v>
      </c>
      <c r="K366">
        <v>1.059906</v>
      </c>
      <c r="L366">
        <v>367.26029999999997</v>
      </c>
      <c r="M366">
        <v>0.99993100000000001</v>
      </c>
      <c r="N366">
        <v>-1.1709539999999999E-2</v>
      </c>
      <c r="O366">
        <v>9.8469959999999989E-4</v>
      </c>
      <c r="P366">
        <v>0.98262620000000001</v>
      </c>
      <c r="Q366">
        <v>0.16799979999999901</v>
      </c>
      <c r="R366">
        <v>7.8877890000000006E-2</v>
      </c>
      <c r="S366">
        <v>3.064575</v>
      </c>
      <c r="T366">
        <v>-4.9697280000000003E-2</v>
      </c>
      <c r="U366">
        <v>-4.5196529999999999E-2</v>
      </c>
      <c r="V366">
        <v>-7.7902929999999995E-2</v>
      </c>
      <c r="W366">
        <v>0.1794984</v>
      </c>
      <c r="X366">
        <v>0.98066889999999995</v>
      </c>
      <c r="Y366">
        <v>1.5727540000000002E-2</v>
      </c>
      <c r="Z366">
        <v>-2.2404550000000001E-4</v>
      </c>
      <c r="AA366">
        <v>0.99987630000000005</v>
      </c>
      <c r="AB366">
        <v>31</v>
      </c>
      <c r="AC366">
        <v>65.191299999999998</v>
      </c>
      <c r="AD366">
        <v>-1.0599082252650001</v>
      </c>
      <c r="AE366">
        <v>-0.96399999999999797</v>
      </c>
      <c r="AF366">
        <v>1.0279261191009901</v>
      </c>
      <c r="AG366">
        <v>-1.0599082252650001</v>
      </c>
      <c r="AH366">
        <v>65.173095208487695</v>
      </c>
      <c r="AI366">
        <v>90.931601677859803</v>
      </c>
      <c r="AJ366">
        <v>89.096391768715193</v>
      </c>
      <c r="AK366">
        <v>65.189818043977695</v>
      </c>
      <c r="AL366">
        <v>79.659455779995696</v>
      </c>
      <c r="AM366">
        <v>94.541956536684395</v>
      </c>
      <c r="AN366">
        <v>1.00000001676617</v>
      </c>
    </row>
    <row r="367" spans="1:40" x14ac:dyDescent="0.25">
      <c r="A367" t="str">
        <f>"20190304155604750"</f>
        <v>20190304155604750</v>
      </c>
      <c r="B367" t="str">
        <f>"1551686164745111"</f>
        <v>1551686164745111</v>
      </c>
      <c r="C367" t="s">
        <v>40</v>
      </c>
      <c r="D367">
        <v>4.8718949999999897</v>
      </c>
      <c r="E367">
        <v>0.53378249999999905</v>
      </c>
      <c r="F367" t="s">
        <v>41</v>
      </c>
      <c r="G367">
        <v>-343.60500000000002</v>
      </c>
      <c r="H367" s="1">
        <v>-3.6040129999999999E-6</v>
      </c>
      <c r="I367">
        <v>366.23059999999998</v>
      </c>
      <c r="J367">
        <v>-411.41590000000002</v>
      </c>
      <c r="K367">
        <v>1.0599229999999999</v>
      </c>
      <c r="L367">
        <v>367.26060000000001</v>
      </c>
      <c r="M367">
        <v>0.99993100000000001</v>
      </c>
      <c r="N367">
        <v>-1.171239E-2</v>
      </c>
      <c r="O367">
        <v>9.8468280000000002E-4</v>
      </c>
      <c r="P367">
        <v>0.98218209999999995</v>
      </c>
      <c r="Q367">
        <v>0.17076469999999999</v>
      </c>
      <c r="R367">
        <v>7.8472689999999998E-2</v>
      </c>
      <c r="S367">
        <v>3.06488</v>
      </c>
      <c r="T367">
        <v>-4.7713520000000002E-2</v>
      </c>
      <c r="U367">
        <v>-4.6356199999999903E-2</v>
      </c>
      <c r="V367">
        <v>-7.7498620000000004E-2</v>
      </c>
      <c r="W367">
        <v>0.18226059999999999</v>
      </c>
      <c r="X367">
        <v>0.98019129999999999</v>
      </c>
      <c r="Y367">
        <v>1.6104440000000001E-2</v>
      </c>
      <c r="Z367">
        <v>-2.2346519999999999E-4</v>
      </c>
      <c r="AA367">
        <v>0.99987029999999999</v>
      </c>
      <c r="AB367">
        <v>31</v>
      </c>
      <c r="AC367">
        <v>67.810900000000004</v>
      </c>
      <c r="AD367">
        <v>-1.059926604013</v>
      </c>
      <c r="AE367">
        <v>-1.03000000000002</v>
      </c>
      <c r="AF367">
        <v>1.09650846951648</v>
      </c>
      <c r="AG367">
        <v>-1.059926604013</v>
      </c>
      <c r="AH367">
        <v>67.793293636938003</v>
      </c>
      <c r="AI367">
        <v>90.895611203562297</v>
      </c>
      <c r="AJ367">
        <v>89.073362179865498</v>
      </c>
      <c r="AK367">
        <v>67.810444898803894</v>
      </c>
      <c r="AL367">
        <v>79.498538584918094</v>
      </c>
      <c r="AM367">
        <v>94.520674525967493</v>
      </c>
      <c r="AN367">
        <v>0.99999997350497605</v>
      </c>
    </row>
    <row r="368" spans="1:40" x14ac:dyDescent="0.25">
      <c r="A368" t="str">
        <f>"20190304155604772"</f>
        <v>20190304155604772</v>
      </c>
      <c r="B368" t="str">
        <f>"1551686164765607"</f>
        <v>1551686164765607</v>
      </c>
      <c r="C368" t="s">
        <v>40</v>
      </c>
      <c r="D368">
        <v>4.8484150000000001</v>
      </c>
      <c r="E368">
        <v>0.51656869999999999</v>
      </c>
      <c r="F368" t="s">
        <v>41</v>
      </c>
      <c r="G368">
        <v>-329.37099999999998</v>
      </c>
      <c r="H368" s="1">
        <v>-1.1488820000000001E-6</v>
      </c>
      <c r="I368">
        <v>366.05070000000001</v>
      </c>
      <c r="J368">
        <v>-411.11419999999998</v>
      </c>
      <c r="K368">
        <v>1.0599240000000001</v>
      </c>
      <c r="L368">
        <v>367.26089999999999</v>
      </c>
      <c r="M368">
        <v>0.99993100000000001</v>
      </c>
      <c r="N368">
        <v>-1.171532E-2</v>
      </c>
      <c r="O368">
        <v>9.8466419999999996E-4</v>
      </c>
      <c r="P368">
        <v>0.98189879999999996</v>
      </c>
      <c r="Q368">
        <v>0.1726763</v>
      </c>
      <c r="R368">
        <v>7.7834199999999895E-2</v>
      </c>
      <c r="S368">
        <v>3.0649109999999999</v>
      </c>
      <c r="T368">
        <v>-3.959501E-2</v>
      </c>
      <c r="U368">
        <v>-4.5196529999999999E-2</v>
      </c>
      <c r="V368">
        <v>-7.6860330000000004E-2</v>
      </c>
      <c r="W368">
        <v>0.18417130000000001</v>
      </c>
      <c r="X368">
        <v>0.97988439999999999</v>
      </c>
      <c r="Y368">
        <v>1.572695E-2</v>
      </c>
      <c r="Z368">
        <v>-1.9489980000000001E-4</v>
      </c>
      <c r="AA368">
        <v>0.99987630000000005</v>
      </c>
      <c r="AB368">
        <v>31</v>
      </c>
      <c r="AC368">
        <v>81.743200000000002</v>
      </c>
      <c r="AD368">
        <v>-1.0599251488820001</v>
      </c>
      <c r="AE368">
        <v>-1.21019999999998</v>
      </c>
      <c r="AF368">
        <v>1.29047760959877</v>
      </c>
      <c r="AG368">
        <v>-1.0599251488820001</v>
      </c>
      <c r="AH368">
        <v>81.728230627981901</v>
      </c>
      <c r="AI368">
        <v>90.742928911644597</v>
      </c>
      <c r="AJ368">
        <v>89.095382634310795</v>
      </c>
      <c r="AK368">
        <v>81.745290111190499</v>
      </c>
      <c r="AL368">
        <v>79.387178857534707</v>
      </c>
      <c r="AM368">
        <v>94.484992561847307</v>
      </c>
      <c r="AN368">
        <v>1.0000000077173701</v>
      </c>
    </row>
    <row r="369" spans="1:40" x14ac:dyDescent="0.25">
      <c r="A369" t="str">
        <f>"20190304155604785"</f>
        <v>20190304155604785</v>
      </c>
      <c r="B369" t="str">
        <f>"1551686164775367"</f>
        <v>1551686164775367</v>
      </c>
      <c r="C369" t="s">
        <v>40</v>
      </c>
      <c r="D369">
        <v>4.8069069999999998</v>
      </c>
      <c r="E369">
        <v>0.51668689999999995</v>
      </c>
      <c r="F369" t="s">
        <v>44</v>
      </c>
      <c r="G369">
        <v>-285.88490000000002</v>
      </c>
      <c r="H369">
        <v>-0.05</v>
      </c>
      <c r="I369">
        <v>370.96249999999998</v>
      </c>
      <c r="J369">
        <v>-410.9332</v>
      </c>
      <c r="K369">
        <v>1.0599209999999999</v>
      </c>
      <c r="L369">
        <v>367.2611</v>
      </c>
      <c r="M369">
        <v>0.99993100000000001</v>
      </c>
      <c r="N369">
        <v>-1.171702E-2</v>
      </c>
      <c r="O369">
        <v>9.8381329999999993E-4</v>
      </c>
      <c r="P369">
        <v>0.98188880000000001</v>
      </c>
      <c r="Q369">
        <v>0.1729927</v>
      </c>
      <c r="R369">
        <v>7.7253279999999994E-2</v>
      </c>
      <c r="S369">
        <v>3.0529790000000001</v>
      </c>
      <c r="T369">
        <v>-2.705896E-2</v>
      </c>
      <c r="U369">
        <v>9.0240479999999998E-2</v>
      </c>
      <c r="V369">
        <v>-7.6280029999999999E-2</v>
      </c>
      <c r="W369">
        <v>0.1844895</v>
      </c>
      <c r="X369">
        <v>0.97986989999999996</v>
      </c>
      <c r="Y369">
        <v>-2.8559210000000002E-2</v>
      </c>
      <c r="Z369">
        <v>2.9670389999999998E-4</v>
      </c>
      <c r="AA369">
        <v>0.99959209999999998</v>
      </c>
      <c r="AB369">
        <v>31</v>
      </c>
      <c r="AC369">
        <v>125.048299999999</v>
      </c>
      <c r="AD369">
        <v>-1.1099209999999999</v>
      </c>
      <c r="AE369">
        <v>3.7013999999999698</v>
      </c>
      <c r="AF369">
        <v>-3.5780839552384398</v>
      </c>
      <c r="AG369">
        <v>-1.1099209999999999</v>
      </c>
      <c r="AH369">
        <v>125.04203873770901</v>
      </c>
      <c r="AI369">
        <v>90.508357840996098</v>
      </c>
      <c r="AJ369">
        <v>91.639074215909801</v>
      </c>
      <c r="AK369">
        <v>125.09814571407399</v>
      </c>
      <c r="AL369">
        <v>79.368629614219898</v>
      </c>
      <c r="AM369">
        <v>94.451332811432096</v>
      </c>
      <c r="AN369">
        <v>1.00000001975653</v>
      </c>
    </row>
    <row r="370" spans="1:40" x14ac:dyDescent="0.25">
      <c r="A370" t="str">
        <f>"20190304155604796"</f>
        <v>20190304155604796</v>
      </c>
      <c r="B370" t="str">
        <f>"1551686164785128"</f>
        <v>1551686164785128</v>
      </c>
      <c r="C370" t="s">
        <v>40</v>
      </c>
      <c r="D370">
        <v>4.8852120000000001</v>
      </c>
      <c r="E370">
        <v>0.51744509999999999</v>
      </c>
      <c r="F370" t="s">
        <v>41</v>
      </c>
      <c r="G370">
        <v>-267.97230000000002</v>
      </c>
      <c r="H370" s="1">
        <v>-1.317749E-6</v>
      </c>
      <c r="I370">
        <v>371.36599999999999</v>
      </c>
      <c r="J370">
        <v>-410.78019999999998</v>
      </c>
      <c r="K370">
        <v>1.0599160000000001</v>
      </c>
      <c r="L370">
        <v>367.26119999999997</v>
      </c>
      <c r="M370">
        <v>0.99993100000000001</v>
      </c>
      <c r="N370">
        <v>-1.17184E-2</v>
      </c>
      <c r="O370">
        <v>9.8176589999999998E-4</v>
      </c>
      <c r="P370">
        <v>0.98195710000000003</v>
      </c>
      <c r="Q370">
        <v>0.17280989999999999</v>
      </c>
      <c r="R370">
        <v>7.6794589999999996E-2</v>
      </c>
      <c r="S370">
        <v>3.0524290000000001</v>
      </c>
      <c r="T370">
        <v>-2.263093E-2</v>
      </c>
      <c r="U370">
        <v>8.7646479999999999E-2</v>
      </c>
      <c r="V370">
        <v>-7.5822879999999995E-2</v>
      </c>
      <c r="W370">
        <v>0.1843091</v>
      </c>
      <c r="X370">
        <v>0.97993929999999996</v>
      </c>
      <c r="Y370">
        <v>-2.7718449999999999E-2</v>
      </c>
      <c r="Z370">
        <v>2.6940919999999998E-4</v>
      </c>
      <c r="AA370">
        <v>0.9996157</v>
      </c>
      <c r="AB370">
        <v>31</v>
      </c>
      <c r="AC370">
        <v>142.80789999999899</v>
      </c>
      <c r="AD370">
        <v>-1.059917317749</v>
      </c>
      <c r="AE370">
        <v>4.1048000000000098</v>
      </c>
      <c r="AF370">
        <v>-3.9643662879287001</v>
      </c>
      <c r="AG370">
        <v>-1.059917317749</v>
      </c>
      <c r="AH370">
        <v>142.804001419538</v>
      </c>
      <c r="AI370">
        <v>90.425088143056797</v>
      </c>
      <c r="AJ370">
        <v>91.590173463664797</v>
      </c>
      <c r="AK370">
        <v>142.86294987230499</v>
      </c>
      <c r="AL370">
        <v>79.379145823804507</v>
      </c>
      <c r="AM370">
        <v>94.424449890929296</v>
      </c>
      <c r="AN370">
        <v>0.99999999257939698</v>
      </c>
    </row>
    <row r="371" spans="1:40" x14ac:dyDescent="0.25">
      <c r="A371" t="str">
        <f>"20190304155604819"</f>
        <v>20190304155604819</v>
      </c>
      <c r="B371" t="str">
        <f>"1551686164815383"</f>
        <v>1551686164815383</v>
      </c>
      <c r="C371" t="s">
        <v>40</v>
      </c>
      <c r="D371">
        <v>4.8321009999999998</v>
      </c>
      <c r="E371">
        <v>0.51780649999999995</v>
      </c>
      <c r="F371" t="s">
        <v>41</v>
      </c>
      <c r="G371">
        <v>-268.90320000000003</v>
      </c>
      <c r="H371" s="1">
        <v>-8.1415690000000001E-7</v>
      </c>
      <c r="I371">
        <v>370.97410000000002</v>
      </c>
      <c r="J371">
        <v>-410.48160000000001</v>
      </c>
      <c r="K371">
        <v>1.0599069999999999</v>
      </c>
      <c r="L371">
        <v>367.26159999999999</v>
      </c>
      <c r="M371">
        <v>0.99993089999999996</v>
      </c>
      <c r="N371">
        <v>-1.172102E-2</v>
      </c>
      <c r="O371">
        <v>9.7293409999999999E-4</v>
      </c>
      <c r="P371">
        <v>0.98228369999999998</v>
      </c>
      <c r="Q371">
        <v>0.17137949999999999</v>
      </c>
      <c r="R371">
        <v>7.5814660000000006E-2</v>
      </c>
      <c r="S371">
        <v>3.0528870000000001</v>
      </c>
      <c r="T371">
        <v>-2.280712E-2</v>
      </c>
      <c r="U371">
        <v>7.9895019999999997E-2</v>
      </c>
      <c r="V371">
        <v>-7.4849669999999993E-2</v>
      </c>
      <c r="W371">
        <v>0.18288599999999999</v>
      </c>
      <c r="X371">
        <v>0.9802807</v>
      </c>
      <c r="Y371">
        <v>-2.518689E-2</v>
      </c>
      <c r="Z371">
        <v>2.4584299999999998E-4</v>
      </c>
      <c r="AA371">
        <v>0.99968270000000004</v>
      </c>
      <c r="AB371">
        <v>31</v>
      </c>
      <c r="AC371">
        <v>141.57839999999999</v>
      </c>
      <c r="AD371">
        <v>-1.0599078141568901</v>
      </c>
      <c r="AE371">
        <v>3.7125000000000301</v>
      </c>
      <c r="AF371">
        <v>-3.5745421357115101</v>
      </c>
      <c r="AG371">
        <v>-1.0599078141568901</v>
      </c>
      <c r="AH371">
        <v>141.57401608672001</v>
      </c>
      <c r="AI371">
        <v>90.428805829240005</v>
      </c>
      <c r="AJ371">
        <v>91.446329486867398</v>
      </c>
      <c r="AK371">
        <v>141.62310117695301</v>
      </c>
      <c r="AL371">
        <v>79.462093589369502</v>
      </c>
      <c r="AM371">
        <v>94.366366595579294</v>
      </c>
      <c r="AN371">
        <v>1.0000000064437899</v>
      </c>
    </row>
    <row r="372" spans="1:40" x14ac:dyDescent="0.25">
      <c r="A372" t="str">
        <f>"20190304155604831"</f>
        <v>20190304155604831</v>
      </c>
      <c r="B372" t="str">
        <f>"1551686164825143"</f>
        <v>1551686164825143</v>
      </c>
      <c r="C372" t="s">
        <v>40</v>
      </c>
      <c r="D372">
        <v>4.8354559999999998</v>
      </c>
      <c r="E372">
        <v>0.51782720000000004</v>
      </c>
      <c r="F372" t="s">
        <v>41</v>
      </c>
      <c r="G372">
        <v>-273.55509999999998</v>
      </c>
      <c r="H372" s="1">
        <v>-3.001318E-6</v>
      </c>
      <c r="I372">
        <v>370.57150000000001</v>
      </c>
      <c r="J372">
        <v>-410.30529999999999</v>
      </c>
      <c r="K372">
        <v>1.0599000000000001</v>
      </c>
      <c r="L372">
        <v>367.26170000000002</v>
      </c>
      <c r="M372">
        <v>0.99993089999999996</v>
      </c>
      <c r="N372">
        <v>-1.172251E-2</v>
      </c>
      <c r="O372">
        <v>9.6339359999999998E-4</v>
      </c>
      <c r="P372">
        <v>0.9823037</v>
      </c>
      <c r="Q372">
        <v>0.17128550000000001</v>
      </c>
      <c r="R372">
        <v>7.5766230000000004E-2</v>
      </c>
      <c r="S372">
        <v>3.0525509999999998</v>
      </c>
      <c r="T372">
        <v>-2.3628949999999999E-2</v>
      </c>
      <c r="U372">
        <v>7.3791499999999996E-2</v>
      </c>
      <c r="V372">
        <v>-7.4808899999999998E-2</v>
      </c>
      <c r="W372">
        <v>0.18279419999999999</v>
      </c>
      <c r="X372">
        <v>0.98030099999999998</v>
      </c>
      <c r="Y372">
        <v>-2.320173E-2</v>
      </c>
      <c r="Z372">
        <v>2.2964160000000001E-4</v>
      </c>
      <c r="AA372">
        <v>0.99973080000000003</v>
      </c>
      <c r="AB372">
        <v>31</v>
      </c>
      <c r="AC372">
        <v>136.75020000000001</v>
      </c>
      <c r="AD372">
        <v>-1.059903001318</v>
      </c>
      <c r="AE372">
        <v>3.3097999999999899</v>
      </c>
      <c r="AF372">
        <v>-3.1778543631902298</v>
      </c>
      <c r="AG372">
        <v>-1.059903001318</v>
      </c>
      <c r="AH372">
        <v>136.74511556652701</v>
      </c>
      <c r="AI372">
        <v>90.443967314697304</v>
      </c>
      <c r="AJ372">
        <v>91.331271504567894</v>
      </c>
      <c r="AK372">
        <v>136.78614251461499</v>
      </c>
      <c r="AL372">
        <v>79.467444213570602</v>
      </c>
      <c r="AM372">
        <v>94.363907441375204</v>
      </c>
      <c r="AN372">
        <v>1.0000000708369201</v>
      </c>
    </row>
    <row r="373" spans="1:40" x14ac:dyDescent="0.25">
      <c r="A373" t="str">
        <f>"20190304155604850"</f>
        <v>20190304155604850</v>
      </c>
      <c r="B373" t="str">
        <f>"1551686164845639"</f>
        <v>1551686164845639</v>
      </c>
      <c r="C373" t="s">
        <v>40</v>
      </c>
      <c r="D373">
        <v>4.8390420000000001</v>
      </c>
      <c r="E373">
        <v>0.5180958</v>
      </c>
      <c r="F373" t="s">
        <v>41</v>
      </c>
      <c r="G373">
        <v>-265.80529999999999</v>
      </c>
      <c r="H373" s="1">
        <v>-2.0817599999999999E-6</v>
      </c>
      <c r="I373">
        <v>370.74349999999998</v>
      </c>
      <c r="J373">
        <v>-410.04730000000001</v>
      </c>
      <c r="K373">
        <v>1.059885</v>
      </c>
      <c r="L373">
        <v>367.26190000000003</v>
      </c>
      <c r="M373">
        <v>0.99993089999999996</v>
      </c>
      <c r="N373">
        <v>-1.172455E-2</v>
      </c>
      <c r="O373">
        <v>9.4055549999999999E-4</v>
      </c>
      <c r="P373">
        <v>0.98232790000000003</v>
      </c>
      <c r="Q373">
        <v>0.17152329999999999</v>
      </c>
      <c r="R373">
        <v>7.4912069999999997E-2</v>
      </c>
      <c r="S373">
        <v>3.0522770000000001</v>
      </c>
      <c r="T373">
        <v>-2.238834E-2</v>
      </c>
      <c r="U373">
        <v>7.3547360000000006E-2</v>
      </c>
      <c r="V373">
        <v>-7.3973430000000007E-2</v>
      </c>
      <c r="W373">
        <v>0.18303549999999999</v>
      </c>
      <c r="X373">
        <v>0.9803193</v>
      </c>
      <c r="Y373">
        <v>-2.3146949999999999E-2</v>
      </c>
      <c r="Z373">
        <v>2.2472909999999999E-4</v>
      </c>
      <c r="AA373">
        <v>0.99973210000000001</v>
      </c>
      <c r="AB373">
        <v>31</v>
      </c>
      <c r="AC373">
        <v>144.24199999999999</v>
      </c>
      <c r="AD373">
        <v>-1.0598870817599999</v>
      </c>
      <c r="AE373">
        <v>3.4815999999999501</v>
      </c>
      <c r="AF373">
        <v>-3.3457409974201902</v>
      </c>
      <c r="AG373">
        <v>-1.0598870817599999</v>
      </c>
      <c r="AH373">
        <v>144.237427806818</v>
      </c>
      <c r="AI373">
        <v>90.420900695751996</v>
      </c>
      <c r="AJ373">
        <v>91.328798434620296</v>
      </c>
      <c r="AK373">
        <v>144.280119641532</v>
      </c>
      <c r="AL373">
        <v>79.453380691978097</v>
      </c>
      <c r="AM373">
        <v>94.315275960375104</v>
      </c>
      <c r="AN373">
        <v>0.99999999627935199</v>
      </c>
    </row>
    <row r="374" spans="1:40" x14ac:dyDescent="0.25">
      <c r="A374" t="str">
        <f>"20190304155604862"</f>
        <v>20190304155604862</v>
      </c>
      <c r="B374" t="str">
        <f>"1551686164855399"</f>
        <v>1551686164855399</v>
      </c>
      <c r="C374" t="s">
        <v>40</v>
      </c>
      <c r="D374">
        <v>4.8278160000000003</v>
      </c>
      <c r="E374">
        <v>0.51810199999999995</v>
      </c>
      <c r="F374" t="s">
        <v>41</v>
      </c>
      <c r="G374">
        <v>-273.70100000000002</v>
      </c>
      <c r="H374" s="1">
        <v>-2.8693830000000002E-6</v>
      </c>
      <c r="I374">
        <v>370.31079999999997</v>
      </c>
      <c r="J374">
        <v>-409.87509999999997</v>
      </c>
      <c r="K374">
        <v>1.059876</v>
      </c>
      <c r="L374">
        <v>367.26209999999998</v>
      </c>
      <c r="M374">
        <v>0.99993089999999996</v>
      </c>
      <c r="N374">
        <v>-1.172574E-2</v>
      </c>
      <c r="O374">
        <v>9.1732369999999997E-4</v>
      </c>
      <c r="P374">
        <v>0.98228289999999996</v>
      </c>
      <c r="Q374">
        <v>0.17185259999999999</v>
      </c>
      <c r="R374">
        <v>7.4749590000000005E-2</v>
      </c>
      <c r="S374">
        <v>3.0529169999999999</v>
      </c>
      <c r="T374">
        <v>-2.3731829999999999E-2</v>
      </c>
      <c r="U374">
        <v>6.8267820000000007E-2</v>
      </c>
      <c r="V374">
        <v>-7.3830899999999894E-2</v>
      </c>
      <c r="W374">
        <v>0.18336649999999999</v>
      </c>
      <c r="X374">
        <v>0.98026820000000003</v>
      </c>
      <c r="Y374">
        <v>-2.143714E-2</v>
      </c>
      <c r="Z374">
        <v>2.1264259999999999E-4</v>
      </c>
      <c r="AA374">
        <v>0.99977020000000005</v>
      </c>
      <c r="AB374">
        <v>31</v>
      </c>
      <c r="AC374">
        <v>136.17410000000001</v>
      </c>
      <c r="AD374">
        <v>-1.0598788693829999</v>
      </c>
      <c r="AE374">
        <v>3.04869999999999</v>
      </c>
      <c r="AF374">
        <v>-2.9235973877236501</v>
      </c>
      <c r="AG374">
        <v>-1.0598788693829999</v>
      </c>
      <c r="AH374">
        <v>136.16859468472799</v>
      </c>
      <c r="AI374">
        <v>90.445854410723697</v>
      </c>
      <c r="AJ374">
        <v>91.229975673270005</v>
      </c>
      <c r="AK374">
        <v>136.20410031756401</v>
      </c>
      <c r="AL374">
        <v>79.434089432581004</v>
      </c>
      <c r="AM374">
        <v>94.307216392912196</v>
      </c>
      <c r="AN374">
        <v>1.0000000095241499</v>
      </c>
    </row>
    <row r="375" spans="1:40" x14ac:dyDescent="0.25">
      <c r="A375" t="str">
        <f>"20190304155604873"</f>
        <v>20190304155604873</v>
      </c>
      <c r="B375" t="str">
        <f>"1551686164865159"</f>
        <v>1551686164865159</v>
      </c>
      <c r="C375" t="s">
        <v>40</v>
      </c>
      <c r="D375">
        <v>4.8512950000000004</v>
      </c>
      <c r="E375">
        <v>0.51819280000000001</v>
      </c>
      <c r="F375" t="s">
        <v>41</v>
      </c>
      <c r="G375">
        <v>-261.6343</v>
      </c>
      <c r="H375" s="1">
        <v>-3.8185230000000004E-6</v>
      </c>
      <c r="I375">
        <v>370.54590000000002</v>
      </c>
      <c r="J375">
        <v>-409.71910000000003</v>
      </c>
      <c r="K375">
        <v>1.059871</v>
      </c>
      <c r="L375">
        <v>367.26220000000001</v>
      </c>
      <c r="M375">
        <v>0.99993100000000001</v>
      </c>
      <c r="N375">
        <v>-1.1726830000000001E-2</v>
      </c>
      <c r="O375">
        <v>8.9331999999999996E-4</v>
      </c>
      <c r="P375">
        <v>0.98227260000000005</v>
      </c>
      <c r="Q375">
        <v>0.17194309999999999</v>
      </c>
      <c r="R375">
        <v>7.4674770000000001E-2</v>
      </c>
      <c r="S375">
        <v>3.0527950000000001</v>
      </c>
      <c r="T375">
        <v>-2.1826620000000001E-2</v>
      </c>
      <c r="U375">
        <v>6.7626950000000005E-2</v>
      </c>
      <c r="V375">
        <v>-7.3776309999999998E-2</v>
      </c>
      <c r="W375">
        <v>0.18345929999999999</v>
      </c>
      <c r="X375">
        <v>0.98025490000000004</v>
      </c>
      <c r="Y375">
        <v>-2.1252440000000001E-2</v>
      </c>
      <c r="Z375">
        <v>2.0468870000000001E-4</v>
      </c>
      <c r="AA375">
        <v>0.9997741</v>
      </c>
      <c r="AB375">
        <v>31</v>
      </c>
      <c r="AC375">
        <v>148.0848</v>
      </c>
      <c r="AD375">
        <v>-1.059874818523</v>
      </c>
      <c r="AE375">
        <v>3.2837000000000098</v>
      </c>
      <c r="AF375">
        <v>-3.1512411551044202</v>
      </c>
      <c r="AG375">
        <v>-1.059874818523</v>
      </c>
      <c r="AH375">
        <v>148.08009271736901</v>
      </c>
      <c r="AI375">
        <v>90.409991449651102</v>
      </c>
      <c r="AJ375">
        <v>91.219107626704897</v>
      </c>
      <c r="AK375">
        <v>148.11741124740601</v>
      </c>
      <c r="AL375">
        <v>79.428680140490798</v>
      </c>
      <c r="AM375">
        <v>94.304101819362202</v>
      </c>
      <c r="AN375">
        <v>0.99999996382385703</v>
      </c>
    </row>
    <row r="376" spans="1:40" x14ac:dyDescent="0.25">
      <c r="A376" t="str">
        <f>"20190304155604886"</f>
        <v>20190304155604886</v>
      </c>
      <c r="B376" t="str">
        <f>"1551686164874919"</f>
        <v>1551686164874919</v>
      </c>
      <c r="C376" t="s">
        <v>40</v>
      </c>
      <c r="D376">
        <v>4.5927759999999997</v>
      </c>
      <c r="E376">
        <v>0.51819280000000001</v>
      </c>
      <c r="F376" t="s">
        <v>41</v>
      </c>
      <c r="G376">
        <v>-260.75099999999998</v>
      </c>
      <c r="H376" s="1">
        <v>-4.1829680000000004E-6</v>
      </c>
      <c r="I376">
        <v>370.53230000000002</v>
      </c>
      <c r="J376">
        <v>-409.55099999999999</v>
      </c>
      <c r="K376">
        <v>1.0598609999999999</v>
      </c>
      <c r="L376">
        <v>367.26240000000001</v>
      </c>
      <c r="M376">
        <v>0.99993089999999996</v>
      </c>
      <c r="N376">
        <v>-1.172802E-2</v>
      </c>
      <c r="O376">
        <v>8.6250140000000003E-4</v>
      </c>
      <c r="P376">
        <v>0.98225770000000001</v>
      </c>
      <c r="Q376">
        <v>0.17200470000000001</v>
      </c>
      <c r="R376">
        <v>7.472819E-2</v>
      </c>
      <c r="S376">
        <v>3.052826</v>
      </c>
      <c r="T376">
        <v>-2.172017E-2</v>
      </c>
      <c r="U376">
        <v>6.7016599999999996E-2</v>
      </c>
      <c r="V376">
        <v>-7.3856290000000005E-2</v>
      </c>
      <c r="W376">
        <v>0.18352309999999999</v>
      </c>
      <c r="X376">
        <v>0.98023689999999997</v>
      </c>
      <c r="Y376">
        <v>-2.1083270000000001E-2</v>
      </c>
      <c r="Z376">
        <v>2.0262599999999999E-4</v>
      </c>
      <c r="AA376">
        <v>0.99977769999999999</v>
      </c>
      <c r="AB376">
        <v>31</v>
      </c>
      <c r="AC376">
        <v>148.80000000000001</v>
      </c>
      <c r="AD376">
        <v>-1.0598651829679999</v>
      </c>
      <c r="AE376">
        <v>3.2698999999999998</v>
      </c>
      <c r="AF376">
        <v>-3.1413904570701301</v>
      </c>
      <c r="AG376">
        <v>-1.0598651829679999</v>
      </c>
      <c r="AH376">
        <v>148.795219864312</v>
      </c>
      <c r="AI376">
        <v>90.408018796917105</v>
      </c>
      <c r="AJ376">
        <v>91.209458748715207</v>
      </c>
      <c r="AK376">
        <v>148.83215076951299</v>
      </c>
      <c r="AL376">
        <v>79.424961170496701</v>
      </c>
      <c r="AM376">
        <v>94.308829104413306</v>
      </c>
      <c r="AN376">
        <v>0.99999992996388898</v>
      </c>
    </row>
    <row r="377" spans="1:40" x14ac:dyDescent="0.25">
      <c r="A377" t="str">
        <f>"20190304155604899"</f>
        <v>20190304155604899</v>
      </c>
      <c r="B377" t="str">
        <f>"1551686164895415"</f>
        <v>1551686164895415</v>
      </c>
      <c r="C377" t="s">
        <v>40</v>
      </c>
      <c r="D377">
        <v>4.8345949999999904</v>
      </c>
      <c r="E377">
        <v>0.5180517</v>
      </c>
      <c r="F377" t="s">
        <v>41</v>
      </c>
      <c r="G377">
        <v>-258.93299999999999</v>
      </c>
      <c r="H377" s="1">
        <v>-6.9306330000000005E-7</v>
      </c>
      <c r="I377">
        <v>370.56729999999999</v>
      </c>
      <c r="J377">
        <v>-409.37900000000002</v>
      </c>
      <c r="K377">
        <v>1.05985</v>
      </c>
      <c r="L377">
        <v>367.26240000000001</v>
      </c>
      <c r="M377">
        <v>0.99993089999999996</v>
      </c>
      <c r="N377">
        <v>-1.172919E-2</v>
      </c>
      <c r="O377">
        <v>8.2177429999999896E-4</v>
      </c>
      <c r="P377">
        <v>0.98224199999999995</v>
      </c>
      <c r="Q377">
        <v>0.1721242</v>
      </c>
      <c r="R377">
        <v>7.4658660000000002E-2</v>
      </c>
      <c r="S377">
        <v>3.052826</v>
      </c>
      <c r="T377">
        <v>-2.1481989999999999E-2</v>
      </c>
      <c r="U377">
        <v>6.6986080000000003E-2</v>
      </c>
      <c r="V377">
        <v>-7.3822789999999999E-2</v>
      </c>
      <c r="W377">
        <v>0.18364539999999999</v>
      </c>
      <c r="X377">
        <v>0.98021659999999999</v>
      </c>
      <c r="Y377">
        <v>-2.1114009999999999E-2</v>
      </c>
      <c r="Z377">
        <v>2.019818E-4</v>
      </c>
      <c r="AA377">
        <v>0.99977709999999997</v>
      </c>
      <c r="AB377">
        <v>31</v>
      </c>
      <c r="AC377">
        <v>150.446</v>
      </c>
      <c r="AD377">
        <v>-1.0598506930633</v>
      </c>
      <c r="AE377">
        <v>3.3048999999999702</v>
      </c>
      <c r="AF377">
        <v>-3.1810999297771101</v>
      </c>
      <c r="AG377">
        <v>-1.0598506930633</v>
      </c>
      <c r="AH377">
        <v>150.441202745163</v>
      </c>
      <c r="AI377">
        <v>90.403548998371704</v>
      </c>
      <c r="AJ377">
        <v>91.2113466242633</v>
      </c>
      <c r="AK377">
        <v>150.478563801181</v>
      </c>
      <c r="AL377">
        <v>79.417833598900202</v>
      </c>
      <c r="AM377">
        <v>94.3069709044739</v>
      </c>
      <c r="AN377">
        <v>1.0000000100900499</v>
      </c>
    </row>
    <row r="378" spans="1:40" x14ac:dyDescent="0.25">
      <c r="A378" t="str">
        <f>"20190304155604916"</f>
        <v>20190304155604916</v>
      </c>
      <c r="B378" t="str">
        <f>"1551686164905175"</f>
        <v>1551686164905175</v>
      </c>
      <c r="C378" t="s">
        <v>40</v>
      </c>
      <c r="D378">
        <v>4.7928069999999998</v>
      </c>
      <c r="E378">
        <v>0.51800069999999998</v>
      </c>
      <c r="F378" t="s">
        <v>41</v>
      </c>
      <c r="G378">
        <v>-253.01910000000001</v>
      </c>
      <c r="H378" s="1">
        <v>-3.272861E-6</v>
      </c>
      <c r="I378">
        <v>370.7278</v>
      </c>
      <c r="J378">
        <v>-409.13279999999997</v>
      </c>
      <c r="K378">
        <v>1.059833</v>
      </c>
      <c r="L378">
        <v>367.26260000000002</v>
      </c>
      <c r="M378">
        <v>0.99993100000000001</v>
      </c>
      <c r="N378">
        <v>-1.1730839999999999E-2</v>
      </c>
      <c r="O378">
        <v>7.5080969999999998E-4</v>
      </c>
      <c r="P378">
        <v>0.98238179999999997</v>
      </c>
      <c r="Q378">
        <v>0.17125850000000001</v>
      </c>
      <c r="R378">
        <v>7.4810790000000002E-2</v>
      </c>
      <c r="S378">
        <v>3.0527039999999999</v>
      </c>
      <c r="T378">
        <v>-2.069211E-2</v>
      </c>
      <c r="U378">
        <v>6.7657469999999997E-2</v>
      </c>
      <c r="V378">
        <v>-7.4038640000000003E-2</v>
      </c>
      <c r="W378">
        <v>0.1827857</v>
      </c>
      <c r="X378">
        <v>0.98036100000000004</v>
      </c>
      <c r="Y378">
        <v>-2.140568E-2</v>
      </c>
      <c r="Z378">
        <v>2.018326E-4</v>
      </c>
      <c r="AA378">
        <v>0.99977090000000002</v>
      </c>
      <c r="AB378">
        <v>31</v>
      </c>
      <c r="AC378">
        <v>156.113699999999</v>
      </c>
      <c r="AD378">
        <v>-1.059836272861</v>
      </c>
      <c r="AE378">
        <v>3.4651999999999799</v>
      </c>
      <c r="AF378">
        <v>-3.3478250664890798</v>
      </c>
      <c r="AG378">
        <v>-1.059836272861</v>
      </c>
      <c r="AH378">
        <v>156.109066538192</v>
      </c>
      <c r="AI378">
        <v>90.388889995807006</v>
      </c>
      <c r="AJ378">
        <v>91.228543949405605</v>
      </c>
      <c r="AK378">
        <v>156.14855696107699</v>
      </c>
      <c r="AL378">
        <v>79.467938939595996</v>
      </c>
      <c r="AM378">
        <v>94.318882611341195</v>
      </c>
      <c r="AN378">
        <v>1.00000001132926</v>
      </c>
    </row>
    <row r="379" spans="1:40" x14ac:dyDescent="0.25">
      <c r="A379" t="str">
        <f>"20190304155604928"</f>
        <v>20190304155604928</v>
      </c>
      <c r="B379" t="str">
        <f>"1551686164925671"</f>
        <v>1551686164925671</v>
      </c>
      <c r="C379" t="s">
        <v>40</v>
      </c>
      <c r="D379">
        <v>4.775385</v>
      </c>
      <c r="E379">
        <v>0.51788310000000004</v>
      </c>
      <c r="F379" t="s">
        <v>41</v>
      </c>
      <c r="G379">
        <v>-272.4083</v>
      </c>
      <c r="H379" s="1">
        <v>-3.4344300000000001E-6</v>
      </c>
      <c r="I379">
        <v>370.35019999999997</v>
      </c>
      <c r="J379">
        <v>-408.97219999999999</v>
      </c>
      <c r="K379">
        <v>1.059823</v>
      </c>
      <c r="L379">
        <v>367.2627</v>
      </c>
      <c r="M379">
        <v>0.99993100000000001</v>
      </c>
      <c r="N379">
        <v>-1.17319E-2</v>
      </c>
      <c r="O379">
        <v>6.9689429999999998E-4</v>
      </c>
      <c r="P379">
        <v>0.98248329999999995</v>
      </c>
      <c r="Q379">
        <v>0.17065229999999901</v>
      </c>
      <c r="R379">
        <v>7.4863440000000003E-2</v>
      </c>
      <c r="S379">
        <v>3.0526430000000002</v>
      </c>
      <c r="T379">
        <v>-2.366292E-2</v>
      </c>
      <c r="U379">
        <v>6.8939210000000001E-2</v>
      </c>
      <c r="V379">
        <v>-7.41396E-2</v>
      </c>
      <c r="W379">
        <v>0.1821837</v>
      </c>
      <c r="X379">
        <v>0.98046540000000004</v>
      </c>
      <c r="Y379">
        <v>-2.1879280000000001E-2</v>
      </c>
      <c r="Z379">
        <v>2.1593010000000001E-4</v>
      </c>
      <c r="AA379">
        <v>0.9997606</v>
      </c>
      <c r="AB379">
        <v>31</v>
      </c>
      <c r="AC379">
        <v>136.56389999999999</v>
      </c>
      <c r="AD379">
        <v>-1.0598264344299999</v>
      </c>
      <c r="AE379">
        <v>3.0874999999999702</v>
      </c>
      <c r="AF379">
        <v>-2.99214198420872</v>
      </c>
      <c r="AG379">
        <v>-1.0598264344299999</v>
      </c>
      <c r="AH379">
        <v>136.55779825587999</v>
      </c>
      <c r="AI379">
        <v>90.444557489753606</v>
      </c>
      <c r="AJ379">
        <v>91.255217071871996</v>
      </c>
      <c r="AK379">
        <v>136.594686610492</v>
      </c>
      <c r="AL379">
        <v>79.5030198380218</v>
      </c>
      <c r="AM379">
        <v>94.324290811620699</v>
      </c>
      <c r="AN379">
        <v>0.99999999071550505</v>
      </c>
    </row>
    <row r="380" spans="1:40" x14ac:dyDescent="0.25">
      <c r="A380" t="str">
        <f>"20190304155604940"</f>
        <v>20190304155604940</v>
      </c>
      <c r="B380" t="str">
        <f>"1551686164935431"</f>
        <v>1551686164935431</v>
      </c>
      <c r="C380" t="s">
        <v>40</v>
      </c>
      <c r="D380">
        <v>4.7551459999999999</v>
      </c>
      <c r="E380">
        <v>0.51773709999999995</v>
      </c>
      <c r="F380" t="s">
        <v>44</v>
      </c>
      <c r="G380">
        <v>-278.9076</v>
      </c>
      <c r="H380">
        <v>-0.05</v>
      </c>
      <c r="I380">
        <v>370.22980000000001</v>
      </c>
      <c r="J380">
        <v>-408.8159</v>
      </c>
      <c r="K380">
        <v>1.0598069999999999</v>
      </c>
      <c r="L380">
        <v>367.2627</v>
      </c>
      <c r="M380">
        <v>0.99993089999999996</v>
      </c>
      <c r="N380">
        <v>-1.1732899999999999E-2</v>
      </c>
      <c r="O380">
        <v>6.3451299999999996E-4</v>
      </c>
      <c r="P380">
        <v>0.98250970000000004</v>
      </c>
      <c r="Q380">
        <v>0.17035639999999999</v>
      </c>
      <c r="R380">
        <v>7.5188820000000003E-2</v>
      </c>
      <c r="S380">
        <v>3.0527039999999999</v>
      </c>
      <c r="T380">
        <v>-2.60483E-2</v>
      </c>
      <c r="U380">
        <v>6.9641110000000006E-2</v>
      </c>
      <c r="V380">
        <v>-7.4521489999999996E-2</v>
      </c>
      <c r="W380">
        <v>0.1818911</v>
      </c>
      <c r="X380">
        <v>0.9804908</v>
      </c>
      <c r="Y380">
        <v>-2.217069E-2</v>
      </c>
      <c r="Z380">
        <v>2.2669659999999999E-4</v>
      </c>
      <c r="AA380">
        <v>0.99975420000000004</v>
      </c>
      <c r="AB380">
        <v>31</v>
      </c>
      <c r="AC380">
        <v>129.9083</v>
      </c>
      <c r="AD380">
        <v>-1.109807</v>
      </c>
      <c r="AE380">
        <v>2.9671000000000101</v>
      </c>
      <c r="AF380">
        <v>-2.8844548117478701</v>
      </c>
      <c r="AG380">
        <v>-1.109807</v>
      </c>
      <c r="AH380">
        <v>129.90068105322001</v>
      </c>
      <c r="AI380">
        <v>90.489374191220307</v>
      </c>
      <c r="AJ380">
        <v>91.272048237949406</v>
      </c>
      <c r="AK380">
        <v>129.93744144483</v>
      </c>
      <c r="AL380">
        <v>79.520069731569507</v>
      </c>
      <c r="AM380">
        <v>94.346367748001498</v>
      </c>
      <c r="AN380">
        <v>1.00000001680783</v>
      </c>
    </row>
    <row r="381" spans="1:40" x14ac:dyDescent="0.25">
      <c r="A381" t="str">
        <f>"20190304155604954"</f>
        <v>20190304155604954</v>
      </c>
      <c r="B381" t="str">
        <f>"1551686164945191"</f>
        <v>1551686164945191</v>
      </c>
      <c r="C381" t="s">
        <v>40</v>
      </c>
      <c r="D381">
        <v>4.872808</v>
      </c>
      <c r="E381">
        <v>0.51787179999999999</v>
      </c>
      <c r="F381" t="s">
        <v>44</v>
      </c>
      <c r="G381">
        <v>-283.96409999999997</v>
      </c>
      <c r="H381">
        <v>-0.05</v>
      </c>
      <c r="I381">
        <v>370.19459999999998</v>
      </c>
      <c r="J381">
        <v>-408.61739999999998</v>
      </c>
      <c r="K381">
        <v>1.0597970000000001</v>
      </c>
      <c r="L381">
        <v>367.26280000000003</v>
      </c>
      <c r="M381">
        <v>0.99993109999999996</v>
      </c>
      <c r="N381">
        <v>-1.173417E-2</v>
      </c>
      <c r="O381">
        <v>5.4920499999999998E-4</v>
      </c>
      <c r="P381">
        <v>0.98249980000000003</v>
      </c>
      <c r="Q381">
        <v>0.17026929999999901</v>
      </c>
      <c r="R381">
        <v>7.5515520000000003E-2</v>
      </c>
      <c r="S381">
        <v>3.0526119999999999</v>
      </c>
      <c r="T381">
        <v>-2.7134660000000001E-2</v>
      </c>
      <c r="U381">
        <v>7.1685789999999999E-2</v>
      </c>
      <c r="V381">
        <v>-7.4926610000000005E-2</v>
      </c>
      <c r="W381">
        <v>0.1818072</v>
      </c>
      <c r="X381">
        <v>0.98047550000000006</v>
      </c>
      <c r="Y381">
        <v>-2.292576E-2</v>
      </c>
      <c r="Z381">
        <v>2.3797689999999999E-4</v>
      </c>
      <c r="AA381">
        <v>0.99973710000000005</v>
      </c>
      <c r="AB381">
        <v>31</v>
      </c>
      <c r="AC381">
        <v>124.6533</v>
      </c>
      <c r="AD381">
        <v>-1.1097969999999999</v>
      </c>
      <c r="AE381">
        <v>2.9317999999999498</v>
      </c>
      <c r="AF381">
        <v>-2.86310781748948</v>
      </c>
      <c r="AG381">
        <v>-1.1097969999999999</v>
      </c>
      <c r="AH381">
        <v>124.645016986957</v>
      </c>
      <c r="AI381">
        <v>90.509994210319505</v>
      </c>
      <c r="AJ381">
        <v>91.315858075014006</v>
      </c>
      <c r="AK381">
        <v>124.68283480669901</v>
      </c>
      <c r="AL381">
        <v>79.524958503024607</v>
      </c>
      <c r="AM381">
        <v>94.369972487988804</v>
      </c>
      <c r="AN381">
        <v>1.0000000304790899</v>
      </c>
    </row>
    <row r="382" spans="1:40" x14ac:dyDescent="0.25">
      <c r="A382" t="str">
        <f>"20190304155604974"</f>
        <v>20190304155604974</v>
      </c>
      <c r="B382" t="str">
        <f>"1551686164964710"</f>
        <v>1551686164964710</v>
      </c>
      <c r="C382" t="s">
        <v>40</v>
      </c>
      <c r="D382">
        <v>4.8054290000000002</v>
      </c>
      <c r="E382">
        <v>0.51773539999999996</v>
      </c>
      <c r="F382" t="s">
        <v>44</v>
      </c>
      <c r="G382">
        <v>-286.59519999999998</v>
      </c>
      <c r="H382">
        <v>-0.05</v>
      </c>
      <c r="I382">
        <v>370.12079999999997</v>
      </c>
      <c r="J382">
        <v>-408.35230000000001</v>
      </c>
      <c r="K382">
        <v>1.0597890000000001</v>
      </c>
      <c r="L382">
        <v>367.26280000000003</v>
      </c>
      <c r="M382">
        <v>0.99993120000000002</v>
      </c>
      <c r="N382">
        <v>-1.1735840000000001E-2</v>
      </c>
      <c r="O382">
        <v>4.2075590000000001E-4</v>
      </c>
      <c r="P382">
        <v>0.9824117</v>
      </c>
      <c r="Q382">
        <v>0.17063</v>
      </c>
      <c r="R382">
        <v>7.5848940000000004E-2</v>
      </c>
      <c r="S382">
        <v>3.052765</v>
      </c>
      <c r="T382">
        <v>-2.7765040000000001E-2</v>
      </c>
      <c r="U382">
        <v>7.1502689999999994E-2</v>
      </c>
      <c r="V382">
        <v>-7.5379150000000006E-2</v>
      </c>
      <c r="W382">
        <v>0.18217149999999999</v>
      </c>
      <c r="X382">
        <v>0.9803731</v>
      </c>
      <c r="Y382">
        <v>-2.2993010000000001E-2</v>
      </c>
      <c r="Z382">
        <v>2.406067E-4</v>
      </c>
      <c r="AA382">
        <v>0.99973559999999995</v>
      </c>
      <c r="AB382">
        <v>31</v>
      </c>
      <c r="AC382">
        <v>121.75709999999999</v>
      </c>
      <c r="AD382">
        <v>-1.1097889999999999</v>
      </c>
      <c r="AE382">
        <v>2.8579999999999401</v>
      </c>
      <c r="AF382">
        <v>-2.80653317236</v>
      </c>
      <c r="AG382">
        <v>-1.1097889999999999</v>
      </c>
      <c r="AH382">
        <v>121.748182653702</v>
      </c>
      <c r="AI382">
        <v>90.522123426482693</v>
      </c>
      <c r="AJ382">
        <v>91.320545640466904</v>
      </c>
      <c r="AK382">
        <v>121.785583052967</v>
      </c>
      <c r="AL382">
        <v>79.503730241185593</v>
      </c>
      <c r="AM382">
        <v>94.396720373325707</v>
      </c>
      <c r="AN382">
        <v>0.99999994343528897</v>
      </c>
    </row>
    <row r="383" spans="1:40" x14ac:dyDescent="0.25">
      <c r="A383" t="str">
        <f>"20190304155604994"</f>
        <v>20190304155604994</v>
      </c>
      <c r="B383" t="str">
        <f>"1551686164985210"</f>
        <v>1551686164985210</v>
      </c>
      <c r="C383" t="s">
        <v>40</v>
      </c>
      <c r="D383">
        <v>4.7844439999999997</v>
      </c>
      <c r="E383">
        <v>0.5175478</v>
      </c>
      <c r="F383" t="s">
        <v>44</v>
      </c>
      <c r="G383">
        <v>-280.69959999999998</v>
      </c>
      <c r="H383">
        <v>-0.05</v>
      </c>
      <c r="I383">
        <v>370.35239999999999</v>
      </c>
      <c r="J383">
        <v>-408.06360000000001</v>
      </c>
      <c r="K383">
        <v>1.0597749999999999</v>
      </c>
      <c r="L383">
        <v>367.2627</v>
      </c>
      <c r="M383">
        <v>0.99993129999999997</v>
      </c>
      <c r="N383">
        <v>-1.1737610000000001E-2</v>
      </c>
      <c r="O383">
        <v>2.6580480000000002E-4</v>
      </c>
      <c r="P383">
        <v>0.98230700000000004</v>
      </c>
      <c r="Q383">
        <v>0.1712852</v>
      </c>
      <c r="R383">
        <v>7.5728039999999996E-2</v>
      </c>
      <c r="S383">
        <v>3.0526119999999999</v>
      </c>
      <c r="T383">
        <v>-2.6538849999999999E-2</v>
      </c>
      <c r="U383">
        <v>7.388306E-2</v>
      </c>
      <c r="V383">
        <v>-7.5403910000000005E-2</v>
      </c>
      <c r="W383">
        <v>0.1828293</v>
      </c>
      <c r="X383">
        <v>0.98024880000000003</v>
      </c>
      <c r="Y383">
        <v>-2.3928270000000001E-2</v>
      </c>
      <c r="Z383">
        <v>2.4526780000000002E-4</v>
      </c>
      <c r="AA383">
        <v>0.99971370000000004</v>
      </c>
      <c r="AB383">
        <v>31</v>
      </c>
      <c r="AC383">
        <v>127.364</v>
      </c>
      <c r="AD383">
        <v>-1.109775</v>
      </c>
      <c r="AE383">
        <v>3.0896999999999899</v>
      </c>
      <c r="AF383">
        <v>-3.0556117471204201</v>
      </c>
      <c r="AG383">
        <v>-1.109775</v>
      </c>
      <c r="AH383">
        <v>127.355153245436</v>
      </c>
      <c r="AI383">
        <v>90.499120140322503</v>
      </c>
      <c r="AJ383">
        <v>91.374424748360894</v>
      </c>
      <c r="AK383">
        <v>127.39663818903701</v>
      </c>
      <c r="AL383">
        <v>79.465397971799106</v>
      </c>
      <c r="AM383">
        <v>94.398714428535897</v>
      </c>
      <c r="AN383">
        <v>1.0000000062415999</v>
      </c>
    </row>
    <row r="384" spans="1:40" x14ac:dyDescent="0.25">
      <c r="A384" t="str">
        <f>"20190304155605007"</f>
        <v>20190304155605007</v>
      </c>
      <c r="B384" t="str">
        <f>"1551686165004727"</f>
        <v>1551686165004727</v>
      </c>
      <c r="C384" t="s">
        <v>40</v>
      </c>
      <c r="D384">
        <v>5.2533269999999996</v>
      </c>
      <c r="E384">
        <v>0.51747549999999998</v>
      </c>
      <c r="F384" t="s">
        <v>41</v>
      </c>
      <c r="G384">
        <v>-274.11619999999999</v>
      </c>
      <c r="H384" s="1">
        <v>-2.756039E-6</v>
      </c>
      <c r="I384">
        <v>370.55430000000001</v>
      </c>
      <c r="J384">
        <v>-407.89249999999998</v>
      </c>
      <c r="K384">
        <v>1.059774</v>
      </c>
      <c r="L384">
        <v>367.26260000000002</v>
      </c>
      <c r="M384">
        <v>0.99993120000000002</v>
      </c>
      <c r="N384">
        <v>-1.173863E-2</v>
      </c>
      <c r="O384">
        <v>1.689033E-4</v>
      </c>
      <c r="P384">
        <v>0.98226690000000005</v>
      </c>
      <c r="Q384">
        <v>0.171616299999999</v>
      </c>
      <c r="R384">
        <v>7.5495309999999996E-2</v>
      </c>
      <c r="S384">
        <v>3.05246</v>
      </c>
      <c r="T384">
        <v>-2.4150729999999999E-2</v>
      </c>
      <c r="U384">
        <v>7.5012209999999996E-2</v>
      </c>
      <c r="V384">
        <v>-7.5263120000000003E-2</v>
      </c>
      <c r="W384">
        <v>0.18316260000000001</v>
      </c>
      <c r="X384">
        <v>0.9801974</v>
      </c>
      <c r="Y384">
        <v>-2.4396169999999998E-2</v>
      </c>
      <c r="Z384">
        <v>2.4036120000000001E-4</v>
      </c>
      <c r="AA384">
        <v>0.99970230000000004</v>
      </c>
      <c r="AB384">
        <v>31</v>
      </c>
      <c r="AC384">
        <v>133.77629999999999</v>
      </c>
      <c r="AD384">
        <v>-1.0597767560389999</v>
      </c>
      <c r="AE384">
        <v>3.2916999999999899</v>
      </c>
      <c r="AF384">
        <v>-3.2688981141703501</v>
      </c>
      <c r="AG384">
        <v>-1.0597767560389999</v>
      </c>
      <c r="AH384">
        <v>133.76846412164701</v>
      </c>
      <c r="AI384">
        <v>90.453779180827595</v>
      </c>
      <c r="AJ384">
        <v>91.399857569428605</v>
      </c>
      <c r="AK384">
        <v>133.81259587616501</v>
      </c>
      <c r="AL384">
        <v>79.445973307353697</v>
      </c>
      <c r="AM384">
        <v>94.390762868816594</v>
      </c>
      <c r="AN384">
        <v>1.0000000091188199</v>
      </c>
    </row>
    <row r="385" spans="1:40" x14ac:dyDescent="0.25">
      <c r="A385" t="str">
        <f>"20190304155605019"</f>
        <v>20190304155605019</v>
      </c>
      <c r="B385" t="str">
        <f>"1551686165015463"</f>
        <v>1551686165015463</v>
      </c>
      <c r="C385" t="s">
        <v>40</v>
      </c>
      <c r="D385">
        <v>4.8770089999999904</v>
      </c>
      <c r="E385">
        <v>0.53329569999999904</v>
      </c>
      <c r="F385" t="s">
        <v>41</v>
      </c>
      <c r="G385">
        <v>-266.6078</v>
      </c>
      <c r="H385" s="1">
        <v>-1.737027E-6</v>
      </c>
      <c r="I385">
        <v>370.74180000000001</v>
      </c>
      <c r="J385">
        <v>-407.73390000000001</v>
      </c>
      <c r="K385">
        <v>1.059768</v>
      </c>
      <c r="L385">
        <v>367.26260000000002</v>
      </c>
      <c r="M385">
        <v>0.99993109999999996</v>
      </c>
      <c r="N385">
        <v>-1.173957E-2</v>
      </c>
      <c r="O385" s="1">
        <v>7.5789630000000006E-5</v>
      </c>
      <c r="P385">
        <v>0.98211530000000002</v>
      </c>
      <c r="Q385">
        <v>0.17253250000000001</v>
      </c>
      <c r="R385">
        <v>7.5379790000000002E-2</v>
      </c>
      <c r="S385">
        <v>3.0523380000000002</v>
      </c>
      <c r="T385">
        <v>-2.2895570000000001E-2</v>
      </c>
      <c r="U385">
        <v>7.5164789999999995E-2</v>
      </c>
      <c r="V385">
        <v>-7.5236940000000002E-2</v>
      </c>
      <c r="W385">
        <v>0.18407899999999999</v>
      </c>
      <c r="X385">
        <v>0.98002769999999995</v>
      </c>
      <c r="Y385">
        <v>-2.4540320000000001E-2</v>
      </c>
      <c r="Z385">
        <v>2.3642269999999999E-4</v>
      </c>
      <c r="AA385">
        <v>0.9996988</v>
      </c>
      <c r="AB385">
        <v>31</v>
      </c>
      <c r="AC385">
        <v>141.12610000000001</v>
      </c>
      <c r="AD385">
        <v>-1.0597697370270001</v>
      </c>
      <c r="AE385">
        <v>3.4791999999999899</v>
      </c>
      <c r="AF385">
        <v>-3.46830789623588</v>
      </c>
      <c r="AG385">
        <v>-1.0597697370270001</v>
      </c>
      <c r="AH385">
        <v>141.118410351965</v>
      </c>
      <c r="AI385">
        <v>90.430141340747994</v>
      </c>
      <c r="AJ385">
        <v>91.407891477871004</v>
      </c>
      <c r="AK385">
        <v>141.165002786896</v>
      </c>
      <c r="AL385">
        <v>79.392558993809999</v>
      </c>
      <c r="AM385">
        <v>94.389998590614596</v>
      </c>
      <c r="AN385">
        <v>0.99999998407442603</v>
      </c>
    </row>
    <row r="386" spans="1:40" x14ac:dyDescent="0.25">
      <c r="A386" t="str">
        <f>"20190304155605032"</f>
        <v>20190304155605032</v>
      </c>
      <c r="B386" t="str">
        <f>"1551686165025223"</f>
        <v>1551686165025223</v>
      </c>
      <c r="C386" t="s">
        <v>40</v>
      </c>
      <c r="D386">
        <v>4.723776</v>
      </c>
      <c r="E386">
        <v>0.5327596</v>
      </c>
      <c r="F386" t="s">
        <v>43</v>
      </c>
      <c r="G386">
        <v>-158.19499999999999</v>
      </c>
      <c r="H386">
        <v>1.0685009999999999</v>
      </c>
      <c r="I386">
        <v>363.17419999999998</v>
      </c>
      <c r="J386">
        <v>-407.56380000000001</v>
      </c>
      <c r="K386">
        <v>1.059761</v>
      </c>
      <c r="L386">
        <v>367.26249999999999</v>
      </c>
      <c r="M386">
        <v>0.99993109999999996</v>
      </c>
      <c r="N386">
        <v>-1.1740799999999999E-2</v>
      </c>
      <c r="O386" s="1">
        <v>-2.560568E-5</v>
      </c>
      <c r="P386">
        <v>0.98207250000000001</v>
      </c>
      <c r="Q386">
        <v>0.1729289</v>
      </c>
      <c r="R386">
        <v>7.5029139999999994E-2</v>
      </c>
      <c r="S386">
        <v>3.0585019999999998</v>
      </c>
      <c r="T386">
        <v>1.0812279999999999E-4</v>
      </c>
      <c r="U386">
        <v>-5.0109859999999999E-2</v>
      </c>
      <c r="V386">
        <v>-7.4983590000000003E-2</v>
      </c>
      <c r="W386">
        <v>0.1844759</v>
      </c>
      <c r="X386">
        <v>0.97997250000000002</v>
      </c>
      <c r="Y386">
        <v>1.6355999999999999E-2</v>
      </c>
      <c r="Z386" s="1">
        <v>-9.6038420000000007E-5</v>
      </c>
      <c r="AA386">
        <v>0.99986620000000004</v>
      </c>
      <c r="AB386">
        <v>31</v>
      </c>
      <c r="AC386">
        <v>249.36879999999999</v>
      </c>
      <c r="AD386">
        <v>8.73999999999997E-3</v>
      </c>
      <c r="AE386">
        <v>-4.0883000000000003</v>
      </c>
      <c r="AF386">
        <v>4.0819142959794403</v>
      </c>
      <c r="AG386">
        <v>8.73999999999997E-3</v>
      </c>
      <c r="AH386">
        <v>249.368904302912</v>
      </c>
      <c r="AI386">
        <v>89.9979921392394</v>
      </c>
      <c r="AJ386">
        <v>89.062210354781499</v>
      </c>
      <c r="AK386">
        <v>249.40231060265299</v>
      </c>
      <c r="AL386">
        <v>79.369422217655895</v>
      </c>
      <c r="AM386">
        <v>94.375518868400704</v>
      </c>
      <c r="AN386">
        <v>0.99999999860317401</v>
      </c>
    </row>
    <row r="387" spans="1:40" x14ac:dyDescent="0.25">
      <c r="A387" t="str">
        <f>"20190304155605051"</f>
        <v>20190304155605051</v>
      </c>
      <c r="B387" t="str">
        <f>"1551686165044743"</f>
        <v>1551686165044743</v>
      </c>
      <c r="C387" t="s">
        <v>40</v>
      </c>
      <c r="D387">
        <v>4.744281</v>
      </c>
      <c r="E387">
        <v>0.53325059999999902</v>
      </c>
      <c r="F387" t="s">
        <v>43</v>
      </c>
      <c r="G387">
        <v>-158.19499999999999</v>
      </c>
      <c r="H387">
        <v>2.9432900000000002</v>
      </c>
      <c r="I387">
        <v>363.47770000000003</v>
      </c>
      <c r="J387">
        <v>-407.29520000000002</v>
      </c>
      <c r="K387">
        <v>1.059758</v>
      </c>
      <c r="L387">
        <v>367.26229999999998</v>
      </c>
      <c r="M387">
        <v>0.99993100000000001</v>
      </c>
      <c r="N387">
        <v>-1.1745419999999999E-2</v>
      </c>
      <c r="O387">
        <v>-1.8918750000000001E-4</v>
      </c>
      <c r="P387">
        <v>0.98200969999999999</v>
      </c>
      <c r="Q387">
        <v>0.17356849999999999</v>
      </c>
      <c r="R387">
        <v>7.4370140000000001E-2</v>
      </c>
      <c r="S387">
        <v>3.0542600000000002</v>
      </c>
      <c r="T387">
        <v>2.3070449999999999E-2</v>
      </c>
      <c r="U387">
        <v>-4.6356199999999903E-2</v>
      </c>
      <c r="V387">
        <v>-7.4482809999999997E-2</v>
      </c>
      <c r="W387">
        <v>0.1851198</v>
      </c>
      <c r="X387">
        <v>0.97988929999999996</v>
      </c>
      <c r="Y387">
        <v>1.4986899999999999E-2</v>
      </c>
      <c r="Z387" s="1">
        <v>-3.5074070000000001E-5</v>
      </c>
      <c r="AA387">
        <v>0.99988770000000005</v>
      </c>
      <c r="AB387">
        <v>31</v>
      </c>
      <c r="AC387">
        <v>249.1002</v>
      </c>
      <c r="AD387">
        <v>1.883532</v>
      </c>
      <c r="AE387">
        <v>-3.78459999999995</v>
      </c>
      <c r="AF387">
        <v>3.7372564128236001</v>
      </c>
      <c r="AG387">
        <v>1.883532</v>
      </c>
      <c r="AH387">
        <v>249.08667361871099</v>
      </c>
      <c r="AI387">
        <v>89.566800457621497</v>
      </c>
      <c r="AJ387">
        <v>89.140407832447096</v>
      </c>
      <c r="AK387">
        <v>249.12182913732099</v>
      </c>
      <c r="AL387">
        <v>79.331883298799696</v>
      </c>
      <c r="AM387">
        <v>94.346776824793494</v>
      </c>
      <c r="AN387">
        <v>1.0000000347960101</v>
      </c>
    </row>
    <row r="388" spans="1:40" x14ac:dyDescent="0.25">
      <c r="A388" t="str">
        <f>"20190304155605063"</f>
        <v>20190304155605063</v>
      </c>
      <c r="B388" t="str">
        <f>"1551686165055478"</f>
        <v>1551686165055478</v>
      </c>
      <c r="C388" t="s">
        <v>40</v>
      </c>
      <c r="D388">
        <v>4.7684259999999998</v>
      </c>
      <c r="E388">
        <v>0.53349190000000002</v>
      </c>
      <c r="F388" t="s">
        <v>43</v>
      </c>
      <c r="G388">
        <v>-158.19499999999999</v>
      </c>
      <c r="H388">
        <v>1.792923</v>
      </c>
      <c r="I388">
        <v>362.9633</v>
      </c>
      <c r="J388">
        <v>-407.1277</v>
      </c>
      <c r="K388">
        <v>1.0597589999999999</v>
      </c>
      <c r="L388">
        <v>367.26209999999998</v>
      </c>
      <c r="M388">
        <v>0.99993100000000001</v>
      </c>
      <c r="N388">
        <v>-1.1750089999999999E-2</v>
      </c>
      <c r="O388">
        <v>-2.9247289999999998E-4</v>
      </c>
      <c r="P388">
        <v>0.98203130000000005</v>
      </c>
      <c r="Q388">
        <v>0.17361960000000001</v>
      </c>
      <c r="R388">
        <v>7.3965879999999998E-2</v>
      </c>
      <c r="S388">
        <v>3.0573730000000001</v>
      </c>
      <c r="T388">
        <v>8.9997050000000002E-3</v>
      </c>
      <c r="U388">
        <v>-5.2764890000000002E-2</v>
      </c>
      <c r="V388">
        <v>-7.4179229999999999E-2</v>
      </c>
      <c r="W388">
        <v>0.18517600000000001</v>
      </c>
      <c r="X388">
        <v>0.97990169999999999</v>
      </c>
      <c r="Y388">
        <v>1.696348E-2</v>
      </c>
      <c r="Z388" s="1">
        <v>-7.9003689999999996E-5</v>
      </c>
      <c r="AA388">
        <v>0.99985610000000003</v>
      </c>
      <c r="AB388">
        <v>31</v>
      </c>
      <c r="AC388">
        <v>248.93270000000001</v>
      </c>
      <c r="AD388">
        <v>0.73316399999999904</v>
      </c>
      <c r="AE388">
        <v>-4.2987999999999698</v>
      </c>
      <c r="AF388">
        <v>4.22595208001046</v>
      </c>
      <c r="AG388">
        <v>0.73316399999999904</v>
      </c>
      <c r="AH388">
        <v>248.931788036059</v>
      </c>
      <c r="AI388">
        <v>89.831274944995997</v>
      </c>
      <c r="AJ388">
        <v>89.0274204660994</v>
      </c>
      <c r="AK388">
        <v>248.968735577909</v>
      </c>
      <c r="AL388">
        <v>79.328606523163302</v>
      </c>
      <c r="AM388">
        <v>94.329072974274695</v>
      </c>
      <c r="AN388">
        <v>1.0000000254011401</v>
      </c>
    </row>
    <row r="389" spans="1:40" x14ac:dyDescent="0.25">
      <c r="A389" t="str">
        <f>"20190304155605075"</f>
        <v>20190304155605075</v>
      </c>
      <c r="B389" t="str">
        <f>"1551686165065239"</f>
        <v>1551686165065239</v>
      </c>
      <c r="C389" t="s">
        <v>40</v>
      </c>
      <c r="D389">
        <v>4.7663599999999997</v>
      </c>
      <c r="E389">
        <v>0.53355489999999905</v>
      </c>
      <c r="F389" t="s">
        <v>43</v>
      </c>
      <c r="G389">
        <v>-158.19499999999999</v>
      </c>
      <c r="H389">
        <v>2.168088</v>
      </c>
      <c r="I389">
        <v>362.70409999999998</v>
      </c>
      <c r="J389">
        <v>-406.95569999999998</v>
      </c>
      <c r="K389">
        <v>1.0597559999999999</v>
      </c>
      <c r="L389">
        <v>367.262</v>
      </c>
      <c r="M389">
        <v>0.99993089999999996</v>
      </c>
      <c r="N389">
        <v>-1.1755349999999999E-2</v>
      </c>
      <c r="O389">
        <v>-3.9838120000000002E-4</v>
      </c>
      <c r="P389">
        <v>0.98201499999999997</v>
      </c>
      <c r="Q389">
        <v>0.173875</v>
      </c>
      <c r="R389">
        <v>7.3583419999999997E-2</v>
      </c>
      <c r="S389">
        <v>3.0566710000000001</v>
      </c>
      <c r="T389">
        <v>1.361036E-2</v>
      </c>
      <c r="U389">
        <v>-5.5969240000000003E-2</v>
      </c>
      <c r="V389">
        <v>-7.390033E-2</v>
      </c>
      <c r="W389">
        <v>0.18543660000000001</v>
      </c>
      <c r="X389">
        <v>0.97987349999999995</v>
      </c>
      <c r="Y389">
        <v>1.790945E-2</v>
      </c>
      <c r="Z389" s="1">
        <v>-7.1865099999999997E-5</v>
      </c>
      <c r="AA389">
        <v>0.99983960000000005</v>
      </c>
      <c r="AB389">
        <v>31</v>
      </c>
      <c r="AC389">
        <v>248.76070000000001</v>
      </c>
      <c r="AD389">
        <v>1.1083319999999901</v>
      </c>
      <c r="AE389">
        <v>-4.5578999999999601</v>
      </c>
      <c r="AF389">
        <v>4.4587027328132702</v>
      </c>
      <c r="AG389">
        <v>1.1083319999999901</v>
      </c>
      <c r="AH389">
        <v>248.75755980537201</v>
      </c>
      <c r="AI389">
        <v>89.744763022350497</v>
      </c>
      <c r="AJ389">
        <v>88.973146798855495</v>
      </c>
      <c r="AK389">
        <v>248.79998390314401</v>
      </c>
      <c r="AL389">
        <v>79.313412177771994</v>
      </c>
      <c r="AM389">
        <v>94.312981652265194</v>
      </c>
      <c r="AN389">
        <v>1.00000003369795</v>
      </c>
    </row>
    <row r="390" spans="1:40" x14ac:dyDescent="0.25">
      <c r="A390" t="str">
        <f>"20190304155605095"</f>
        <v>20190304155605095</v>
      </c>
      <c r="B390" t="str">
        <f>"1551686165084759"</f>
        <v>1551686165084759</v>
      </c>
      <c r="C390" t="s">
        <v>40</v>
      </c>
      <c r="D390">
        <v>4.738353</v>
      </c>
      <c r="E390">
        <v>0.53314569999999994</v>
      </c>
      <c r="F390" t="s">
        <v>43</v>
      </c>
      <c r="G390">
        <v>-158.19499999999999</v>
      </c>
      <c r="H390">
        <v>2.6470020000000001</v>
      </c>
      <c r="I390">
        <v>362.55419999999998</v>
      </c>
      <c r="J390">
        <v>-406.6848</v>
      </c>
      <c r="K390">
        <v>1.059761</v>
      </c>
      <c r="L390">
        <v>367.26170000000002</v>
      </c>
      <c r="M390">
        <v>0.9999306</v>
      </c>
      <c r="N390">
        <v>-1.176458E-2</v>
      </c>
      <c r="O390">
        <v>-5.6487159999999998E-4</v>
      </c>
      <c r="P390">
        <v>0.98211700000000002</v>
      </c>
      <c r="Q390">
        <v>0.17362710000000001</v>
      </c>
      <c r="R390">
        <v>7.2800970000000007E-2</v>
      </c>
      <c r="S390">
        <v>3.0558169999999998</v>
      </c>
      <c r="T390">
        <v>1.9499059999999999E-2</v>
      </c>
      <c r="U390">
        <v>-5.7830810000000003E-2</v>
      </c>
      <c r="V390">
        <v>-7.3280819999999997E-2</v>
      </c>
      <c r="W390">
        <v>0.18519849999999999</v>
      </c>
      <c r="X390">
        <v>0.97996499999999997</v>
      </c>
      <c r="Y390">
        <v>1.8357040000000002E-2</v>
      </c>
      <c r="Z390" s="1">
        <v>-5.9680959999999997E-5</v>
      </c>
      <c r="AA390">
        <v>0.99983149999999998</v>
      </c>
      <c r="AB390">
        <v>31</v>
      </c>
      <c r="AC390">
        <v>248.4898</v>
      </c>
      <c r="AD390">
        <v>1.5872409999999999</v>
      </c>
      <c r="AE390">
        <v>-4.7075000000000298</v>
      </c>
      <c r="AF390">
        <v>4.56693843049149</v>
      </c>
      <c r="AG390">
        <v>1.5872409999999999</v>
      </c>
      <c r="AH390">
        <v>248.482285030388</v>
      </c>
      <c r="AI390">
        <v>89.634076055519202</v>
      </c>
      <c r="AJ390">
        <v>88.947060392294205</v>
      </c>
      <c r="AK390">
        <v>248.52931866188899</v>
      </c>
      <c r="AL390">
        <v>79.327294209972607</v>
      </c>
      <c r="AM390">
        <v>94.276562585442605</v>
      </c>
      <c r="AN390">
        <v>0.999999982103561</v>
      </c>
    </row>
    <row r="391" spans="1:40" x14ac:dyDescent="0.25">
      <c r="A391" t="str">
        <f>"20190304155605107"</f>
        <v>20190304155605107</v>
      </c>
      <c r="B391" t="str">
        <f>"1551686165095495"</f>
        <v>1551686165095495</v>
      </c>
      <c r="C391" t="s">
        <v>40</v>
      </c>
      <c r="D391">
        <v>4.7504720000000002</v>
      </c>
      <c r="E391">
        <v>0.53281489999999998</v>
      </c>
      <c r="F391" t="s">
        <v>43</v>
      </c>
      <c r="G391">
        <v>-158.19499999999999</v>
      </c>
      <c r="H391">
        <v>2.7399659999999999</v>
      </c>
      <c r="I391">
        <v>362.59789999999998</v>
      </c>
      <c r="J391">
        <v>-406.52659999999997</v>
      </c>
      <c r="K391">
        <v>1.0597589999999999</v>
      </c>
      <c r="L391">
        <v>367.26150000000001</v>
      </c>
      <c r="M391">
        <v>0.9999306</v>
      </c>
      <c r="N391">
        <v>-1.177017E-2</v>
      </c>
      <c r="O391">
        <v>-6.6218509999999996E-4</v>
      </c>
      <c r="P391">
        <v>0.98217540000000003</v>
      </c>
      <c r="Q391">
        <v>0.17353199999999999</v>
      </c>
      <c r="R391">
        <v>7.2238460000000004E-2</v>
      </c>
      <c r="S391">
        <v>3.055237</v>
      </c>
      <c r="T391">
        <v>2.0659569999999999E-2</v>
      </c>
      <c r="U391">
        <v>-5.7342530000000003E-2</v>
      </c>
      <c r="V391">
        <v>-7.2813849999999999E-2</v>
      </c>
      <c r="W391">
        <v>0.18510950000000001</v>
      </c>
      <c r="X391">
        <v>0.98001660000000002</v>
      </c>
      <c r="Y391">
        <v>1.8103609999999999E-2</v>
      </c>
      <c r="Z391" s="1">
        <v>-5.762164E-5</v>
      </c>
      <c r="AA391">
        <v>0.99983610000000001</v>
      </c>
      <c r="AB391">
        <v>31</v>
      </c>
      <c r="AC391">
        <v>248.33160000000001</v>
      </c>
      <c r="AD391">
        <v>1.68020699999999</v>
      </c>
      <c r="AE391">
        <v>-4.6636000000000299</v>
      </c>
      <c r="AF391">
        <v>4.4989402328916697</v>
      </c>
      <c r="AG391">
        <v>1.68020699999999</v>
      </c>
      <c r="AH391">
        <v>248.323270066915</v>
      </c>
      <c r="AI391">
        <v>89.612394336197198</v>
      </c>
      <c r="AJ391">
        <v>88.962070328784506</v>
      </c>
      <c r="AK391">
        <v>248.369704302896</v>
      </c>
      <c r="AL391">
        <v>79.332483017088293</v>
      </c>
      <c r="AM391">
        <v>94.249188113554496</v>
      </c>
      <c r="AN391">
        <v>0.99999996000881497</v>
      </c>
    </row>
    <row r="392" spans="1:40" x14ac:dyDescent="0.25">
      <c r="A392" t="str">
        <f>"20190304155605118"</f>
        <v>20190304155605118</v>
      </c>
      <c r="B392" t="str">
        <f>"1551686165115015"</f>
        <v>1551686165115015</v>
      </c>
      <c r="C392" t="s">
        <v>40</v>
      </c>
      <c r="D392">
        <v>4.7985720000000001</v>
      </c>
      <c r="E392">
        <v>0.53182489999999905</v>
      </c>
      <c r="F392" t="s">
        <v>43</v>
      </c>
      <c r="G392">
        <v>-158.19499999999999</v>
      </c>
      <c r="H392">
        <v>2.7005590000000002</v>
      </c>
      <c r="I392">
        <v>362.69459999999998</v>
      </c>
      <c r="J392">
        <v>-406.37079999999997</v>
      </c>
      <c r="K392">
        <v>1.0597639999999999</v>
      </c>
      <c r="L392">
        <v>367.26130000000001</v>
      </c>
      <c r="M392">
        <v>0.9999304</v>
      </c>
      <c r="N392">
        <v>-1.177566E-2</v>
      </c>
      <c r="O392">
        <v>-7.5735129999999996E-4</v>
      </c>
      <c r="P392">
        <v>0.98216680000000001</v>
      </c>
      <c r="Q392">
        <v>0.1737736</v>
      </c>
      <c r="R392">
        <v>7.1772080000000002E-2</v>
      </c>
      <c r="S392">
        <v>3.0549930000000001</v>
      </c>
      <c r="T392">
        <v>2.0186309999999999E-2</v>
      </c>
      <c r="U392">
        <v>-5.6182860000000001E-2</v>
      </c>
      <c r="V392">
        <v>-7.2440290000000004E-2</v>
      </c>
      <c r="W392">
        <v>0.18535650000000001</v>
      </c>
      <c r="X392">
        <v>0.97999760000000002</v>
      </c>
      <c r="Y392">
        <v>1.7630549999999998E-2</v>
      </c>
      <c r="Z392" s="1">
        <v>-5.9495930000000003E-5</v>
      </c>
      <c r="AA392">
        <v>0.99984459999999997</v>
      </c>
      <c r="AB392">
        <v>31</v>
      </c>
      <c r="AC392">
        <v>248.17580000000001</v>
      </c>
      <c r="AD392">
        <v>1.640795</v>
      </c>
      <c r="AE392">
        <v>-4.5667000000000204</v>
      </c>
      <c r="AF392">
        <v>4.3785380715481903</v>
      </c>
      <c r="AG392">
        <v>1.640795</v>
      </c>
      <c r="AH392">
        <v>248.16834366074599</v>
      </c>
      <c r="AI392">
        <v>89.621246492967501</v>
      </c>
      <c r="AJ392">
        <v>88.989211428867506</v>
      </c>
      <c r="AK392">
        <v>248.21239010008</v>
      </c>
      <c r="AL392">
        <v>79.318081759453307</v>
      </c>
      <c r="AM392">
        <v>94.227549221401901</v>
      </c>
      <c r="AN392">
        <v>0.99999996185664597</v>
      </c>
    </row>
    <row r="393" spans="1:40" x14ac:dyDescent="0.25">
      <c r="A393" t="str">
        <f>"20190304155605129"</f>
        <v>20190304155605129</v>
      </c>
      <c r="B393" t="str">
        <f>"1551686165125751"</f>
        <v>1551686165125751</v>
      </c>
      <c r="C393" t="s">
        <v>40</v>
      </c>
      <c r="D393">
        <v>4.799633</v>
      </c>
      <c r="E393">
        <v>0.53144979999999997</v>
      </c>
      <c r="F393" t="s">
        <v>43</v>
      </c>
      <c r="G393">
        <v>-158.19499999999999</v>
      </c>
      <c r="H393">
        <v>2.2960259999999999</v>
      </c>
      <c r="I393">
        <v>363.21850000000001</v>
      </c>
      <c r="J393">
        <v>-406.22050000000002</v>
      </c>
      <c r="K393">
        <v>1.0597700000000001</v>
      </c>
      <c r="L393">
        <v>367.2611</v>
      </c>
      <c r="M393">
        <v>0.99993030000000005</v>
      </c>
      <c r="N393">
        <v>-1.178096E-2</v>
      </c>
      <c r="O393">
        <v>-8.4882039999999897E-4</v>
      </c>
      <c r="P393">
        <v>0.98214129999999999</v>
      </c>
      <c r="Q393">
        <v>0.17390559999999999</v>
      </c>
      <c r="R393">
        <v>7.1801589999999998E-2</v>
      </c>
      <c r="S393">
        <v>3.05545</v>
      </c>
      <c r="T393">
        <v>1.5221480000000001E-2</v>
      </c>
      <c r="U393">
        <v>-4.977417E-2</v>
      </c>
      <c r="V393">
        <v>-7.2559419999999999E-2</v>
      </c>
      <c r="W393">
        <v>0.1854933</v>
      </c>
      <c r="X393">
        <v>0.97996289999999997</v>
      </c>
      <c r="Y393">
        <v>1.543974E-2</v>
      </c>
      <c r="Z393" s="1">
        <v>-6.6727889999999994E-5</v>
      </c>
      <c r="AA393">
        <v>0.99988080000000001</v>
      </c>
      <c r="AB393">
        <v>31</v>
      </c>
      <c r="AC393">
        <v>248.02549999999999</v>
      </c>
      <c r="AD393">
        <v>1.23625599999999</v>
      </c>
      <c r="AE393">
        <v>-4.0425999999999904</v>
      </c>
      <c r="AF393">
        <v>3.8319596637968401</v>
      </c>
      <c r="AG393">
        <v>1.23625599999999</v>
      </c>
      <c r="AH393">
        <v>248.02268203982001</v>
      </c>
      <c r="AI393">
        <v>89.714448647251302</v>
      </c>
      <c r="AJ393">
        <v>89.114848500305797</v>
      </c>
      <c r="AK393">
        <v>248.05536287286401</v>
      </c>
      <c r="AL393">
        <v>79.310105348844104</v>
      </c>
      <c r="AM393">
        <v>94.234625667206899</v>
      </c>
      <c r="AN393">
        <v>0.99999995957601695</v>
      </c>
    </row>
    <row r="394" spans="1:40" x14ac:dyDescent="0.25">
      <c r="A394" t="str">
        <f>"20190304155605140"</f>
        <v>20190304155605140</v>
      </c>
      <c r="B394" t="str">
        <f>"1551686165135511"</f>
        <v>1551686165135511</v>
      </c>
      <c r="C394" t="s">
        <v>40</v>
      </c>
      <c r="D394">
        <v>4.9830019999999999</v>
      </c>
      <c r="E394">
        <v>0.53144979999999997</v>
      </c>
      <c r="F394" t="s">
        <v>43</v>
      </c>
      <c r="G394">
        <v>-158.19499999999999</v>
      </c>
      <c r="H394">
        <v>2.2056249999999999</v>
      </c>
      <c r="I394">
        <v>363.45359999999999</v>
      </c>
      <c r="J394">
        <v>-406.07119999999998</v>
      </c>
      <c r="K394">
        <v>1.0597799999999999</v>
      </c>
      <c r="L394">
        <v>367.26089999999999</v>
      </c>
      <c r="M394">
        <v>0.99993010000000004</v>
      </c>
      <c r="N394">
        <v>-1.1786039999999999E-2</v>
      </c>
      <c r="O394">
        <v>-9.3945170000000002E-4</v>
      </c>
      <c r="P394">
        <v>0.98205730000000002</v>
      </c>
      <c r="Q394">
        <v>0.17443439999999999</v>
      </c>
      <c r="R394">
        <v>7.1668280000000001E-2</v>
      </c>
      <c r="S394">
        <v>3.0554809999999999</v>
      </c>
      <c r="T394">
        <v>1.411712E-2</v>
      </c>
      <c r="U394">
        <v>-4.6905519999999999E-2</v>
      </c>
      <c r="V394">
        <v>-7.2515079999999996E-2</v>
      </c>
      <c r="W394">
        <v>0.186026</v>
      </c>
      <c r="X394">
        <v>0.97986530000000005</v>
      </c>
      <c r="Y394">
        <v>1.441042E-2</v>
      </c>
      <c r="Z394" s="1">
        <v>-6.7052480000000001E-5</v>
      </c>
      <c r="AA394">
        <v>0.99989620000000001</v>
      </c>
      <c r="AB394">
        <v>31</v>
      </c>
      <c r="AC394">
        <v>247.87620000000001</v>
      </c>
      <c r="AD394">
        <v>1.145845</v>
      </c>
      <c r="AE394">
        <v>-3.8072999999999899</v>
      </c>
      <c r="AF394">
        <v>3.57433806473066</v>
      </c>
      <c r="AG394">
        <v>1.145845</v>
      </c>
      <c r="AH394">
        <v>247.87437207131401</v>
      </c>
      <c r="AI394">
        <v>89.735169110827698</v>
      </c>
      <c r="AJ394">
        <v>89.173854517265099</v>
      </c>
      <c r="AK394">
        <v>247.90278978485301</v>
      </c>
      <c r="AL394">
        <v>79.279044322075606</v>
      </c>
      <c r="AM394">
        <v>94.232467357551897</v>
      </c>
      <c r="AN394">
        <v>1.00000005782374</v>
      </c>
    </row>
    <row r="395" spans="1:40" x14ac:dyDescent="0.25">
      <c r="A395" t="str">
        <f>"20190304155605153"</f>
        <v>20190304155605153</v>
      </c>
      <c r="B395" t="str">
        <f>"1551686165145271"</f>
        <v>1551686165145271</v>
      </c>
      <c r="C395" t="s">
        <v>40</v>
      </c>
      <c r="D395">
        <v>4.8151699999999904</v>
      </c>
      <c r="E395">
        <v>0.53368959999999999</v>
      </c>
      <c r="F395" t="s">
        <v>43</v>
      </c>
      <c r="G395">
        <v>-158.19499999999999</v>
      </c>
      <c r="H395">
        <v>2.328884</v>
      </c>
      <c r="I395">
        <v>363.4581</v>
      </c>
      <c r="J395">
        <v>-405.89589999999998</v>
      </c>
      <c r="K395">
        <v>1.0597829999999999</v>
      </c>
      <c r="L395">
        <v>367.26060000000001</v>
      </c>
      <c r="M395">
        <v>0.99992999999999999</v>
      </c>
      <c r="N395">
        <v>-1.1791950000000001E-2</v>
      </c>
      <c r="O395">
        <v>-1.0457039999999999E-3</v>
      </c>
      <c r="P395">
        <v>0.9819329</v>
      </c>
      <c r="Q395">
        <v>0.17513609999999999</v>
      </c>
      <c r="R395">
        <v>7.1660920000000003E-2</v>
      </c>
      <c r="S395">
        <v>3.0554199999999998</v>
      </c>
      <c r="T395">
        <v>1.564455E-2</v>
      </c>
      <c r="U395">
        <v>-4.6875E-2</v>
      </c>
      <c r="V395">
        <v>-7.261078E-2</v>
      </c>
      <c r="W395">
        <v>0.18673200000000001</v>
      </c>
      <c r="X395">
        <v>0.97972389999999998</v>
      </c>
      <c r="Y395">
        <v>1.429452E-2</v>
      </c>
      <c r="Z395" s="1">
        <v>-6.5378140000000006E-5</v>
      </c>
      <c r="AA395">
        <v>0.99989779999999995</v>
      </c>
      <c r="AB395">
        <v>31</v>
      </c>
      <c r="AC395">
        <v>247.70089999999999</v>
      </c>
      <c r="AD395">
        <v>1.269101</v>
      </c>
      <c r="AE395">
        <v>-3.8025000000000002</v>
      </c>
      <c r="AF395">
        <v>3.5433651145080001</v>
      </c>
      <c r="AG395">
        <v>1.269101</v>
      </c>
      <c r="AH395">
        <v>247.69824045162801</v>
      </c>
      <c r="AI395">
        <v>89.706473263659106</v>
      </c>
      <c r="AJ395">
        <v>89.180430110650903</v>
      </c>
      <c r="AK395">
        <v>247.726834187408</v>
      </c>
      <c r="AL395">
        <v>79.237871915428798</v>
      </c>
      <c r="AM395">
        <v>94.238642145432607</v>
      </c>
      <c r="AN395">
        <v>1.0000000427136999</v>
      </c>
    </row>
    <row r="396" spans="1:40" x14ac:dyDescent="0.25">
      <c r="A396" t="str">
        <f>"20190304155605175"</f>
        <v>20190304155605175</v>
      </c>
      <c r="B396" t="str">
        <f>"1551686165165767"</f>
        <v>1551686165165767</v>
      </c>
      <c r="C396" t="s">
        <v>40</v>
      </c>
      <c r="D396">
        <v>5.0088379999999999</v>
      </c>
      <c r="E396">
        <v>0.53136269999999997</v>
      </c>
      <c r="F396" t="s">
        <v>43</v>
      </c>
      <c r="G396">
        <v>-170.08879999999999</v>
      </c>
      <c r="H396">
        <v>13.18609</v>
      </c>
      <c r="I396">
        <v>362.45420000000001</v>
      </c>
      <c r="J396">
        <v>-405.5899</v>
      </c>
      <c r="K396">
        <v>1.059787</v>
      </c>
      <c r="L396">
        <v>367.26</v>
      </c>
      <c r="M396">
        <v>0.99992970000000003</v>
      </c>
      <c r="N396">
        <v>-1.180176E-2</v>
      </c>
      <c r="O396">
        <v>-1.2310120000000001E-3</v>
      </c>
      <c r="P396">
        <v>0.98171889999999995</v>
      </c>
      <c r="Q396">
        <v>0.17633070000000001</v>
      </c>
      <c r="R396">
        <v>7.1663210000000005E-2</v>
      </c>
      <c r="S396">
        <v>3.0318909999999999</v>
      </c>
      <c r="T396">
        <v>0.155915</v>
      </c>
      <c r="U396">
        <v>-6.1798100000000002E-2</v>
      </c>
      <c r="V396">
        <v>-7.2794209999999998E-2</v>
      </c>
      <c r="W396">
        <v>0.1879334</v>
      </c>
      <c r="X396">
        <v>0.97948049999999998</v>
      </c>
      <c r="Y396">
        <v>1.9130600000000001E-2</v>
      </c>
      <c r="Z396">
        <v>3.0078789999999999E-4</v>
      </c>
      <c r="AA396">
        <v>0.99981699999999996</v>
      </c>
      <c r="AB396">
        <v>31</v>
      </c>
      <c r="AC396">
        <v>235.50110000000001</v>
      </c>
      <c r="AD396">
        <v>12.126303</v>
      </c>
      <c r="AE396">
        <v>-4.8057999999999703</v>
      </c>
      <c r="AF396">
        <v>4.5039348721658001</v>
      </c>
      <c r="AG396">
        <v>12.126303</v>
      </c>
      <c r="AH396">
        <v>234.884331030076</v>
      </c>
      <c r="AI396">
        <v>87.045173963779007</v>
      </c>
      <c r="AJ396">
        <v>88.901481263663896</v>
      </c>
      <c r="AK396">
        <v>235.240263597086</v>
      </c>
      <c r="AL396">
        <v>79.167795765089807</v>
      </c>
      <c r="AM396">
        <v>94.250362749671694</v>
      </c>
      <c r="AN396">
        <v>1.0000000048626601</v>
      </c>
    </row>
    <row r="397" spans="1:40" x14ac:dyDescent="0.25">
      <c r="A397" t="str">
        <f>"20190304155605196"</f>
        <v>20190304155605196</v>
      </c>
      <c r="B397" t="str">
        <f>"1551686165185287"</f>
        <v>1551686165185287</v>
      </c>
      <c r="C397" t="s">
        <v>40</v>
      </c>
      <c r="D397">
        <v>4.8150620000000002</v>
      </c>
      <c r="E397">
        <v>0.52833769999999902</v>
      </c>
      <c r="F397" t="s">
        <v>43</v>
      </c>
      <c r="G397">
        <v>-170.08879999999999</v>
      </c>
      <c r="H397">
        <v>13.991239999999999</v>
      </c>
      <c r="I397">
        <v>363.95729999999998</v>
      </c>
      <c r="J397">
        <v>-405.3082</v>
      </c>
      <c r="K397">
        <v>1.0597890000000001</v>
      </c>
      <c r="L397">
        <v>367.2595</v>
      </c>
      <c r="M397">
        <v>0.99992919999999996</v>
      </c>
      <c r="N397">
        <v>-1.1809979999999999E-2</v>
      </c>
      <c r="O397">
        <v>-1.4016440000000001E-3</v>
      </c>
      <c r="P397">
        <v>0.98152139999999999</v>
      </c>
      <c r="Q397">
        <v>0.17743510000000001</v>
      </c>
      <c r="R397">
        <v>7.1640510000000004E-2</v>
      </c>
      <c r="S397">
        <v>3.0290530000000002</v>
      </c>
      <c r="T397">
        <v>0.16632749999999999</v>
      </c>
      <c r="U397">
        <v>-4.2480469999999999E-2</v>
      </c>
      <c r="V397">
        <v>-7.2938580000000003E-2</v>
      </c>
      <c r="W397">
        <v>0.18904380000000001</v>
      </c>
      <c r="X397">
        <v>0.97925600000000002</v>
      </c>
      <c r="Y397">
        <v>1.2609560000000001E-2</v>
      </c>
      <c r="Z397">
        <v>1.7797160000000001E-4</v>
      </c>
      <c r="AA397">
        <v>0.99992049999999999</v>
      </c>
      <c r="AB397">
        <v>31</v>
      </c>
      <c r="AC397">
        <v>235.21940000000001</v>
      </c>
      <c r="AD397">
        <v>12.931450999999999</v>
      </c>
      <c r="AE397">
        <v>-3.30220000000002</v>
      </c>
      <c r="AF397">
        <v>2.9635247590486502</v>
      </c>
      <c r="AG397">
        <v>12.931450999999999</v>
      </c>
      <c r="AH397">
        <v>234.51514487344701</v>
      </c>
      <c r="AI397">
        <v>86.844088566213799</v>
      </c>
      <c r="AJ397">
        <v>89.276002307380097</v>
      </c>
      <c r="AK397">
        <v>234.89009787340299</v>
      </c>
      <c r="AL397">
        <v>79.103012768015503</v>
      </c>
      <c r="AM397">
        <v>94.259734101627799</v>
      </c>
      <c r="AN397">
        <v>0.99999995415342702</v>
      </c>
    </row>
    <row r="398" spans="1:40" x14ac:dyDescent="0.25">
      <c r="A398" t="str">
        <f>"20190304155605208"</f>
        <v>20190304155605208</v>
      </c>
      <c r="B398" t="str">
        <f>"1551686165205783"</f>
        <v>1551686165205783</v>
      </c>
      <c r="C398" t="s">
        <v>40</v>
      </c>
      <c r="D398">
        <v>4.7785339999999996</v>
      </c>
      <c r="E398">
        <v>0.52870010000000001</v>
      </c>
      <c r="F398" t="s">
        <v>43</v>
      </c>
      <c r="G398">
        <v>-158.19499999999999</v>
      </c>
      <c r="H398">
        <v>1.16445</v>
      </c>
      <c r="I398">
        <v>365.51100000000002</v>
      </c>
      <c r="J398">
        <v>-405.137</v>
      </c>
      <c r="K398">
        <v>1.059782</v>
      </c>
      <c r="L398">
        <v>367.25920000000002</v>
      </c>
      <c r="M398">
        <v>0.99992910000000002</v>
      </c>
      <c r="N398">
        <v>-1.1814699999999999E-2</v>
      </c>
      <c r="O398">
        <v>-1.505262E-3</v>
      </c>
      <c r="P398">
        <v>0.98144129999999996</v>
      </c>
      <c r="Q398">
        <v>0.17777009999999999</v>
      </c>
      <c r="R398">
        <v>7.1909829999999994E-2</v>
      </c>
      <c r="S398">
        <v>3.0577999999999999</v>
      </c>
      <c r="T398">
        <v>1.2961629999999999E-3</v>
      </c>
      <c r="U398">
        <v>-2.163696E-2</v>
      </c>
      <c r="V398">
        <v>-7.3309120000000005E-2</v>
      </c>
      <c r="W398">
        <v>0.18938179999999999</v>
      </c>
      <c r="X398">
        <v>0.97916309999999995</v>
      </c>
      <c r="Y398">
        <v>5.5706009999999997E-3</v>
      </c>
      <c r="Z398" s="1">
        <v>-5.0151059999999999E-5</v>
      </c>
      <c r="AA398">
        <v>0.99998450000000005</v>
      </c>
      <c r="AB398">
        <v>31</v>
      </c>
      <c r="AC398">
        <v>246.94199999999901</v>
      </c>
      <c r="AD398">
        <v>0.104667999999999</v>
      </c>
      <c r="AE398">
        <v>-1.7482000000000499</v>
      </c>
      <c r="AF398">
        <v>1.3764594280221101</v>
      </c>
      <c r="AG398">
        <v>0.104667999999999</v>
      </c>
      <c r="AH398">
        <v>246.944307518736</v>
      </c>
      <c r="AI398">
        <v>89.975715410522497</v>
      </c>
      <c r="AJ398">
        <v>89.680638521511298</v>
      </c>
      <c r="AK398">
        <v>246.948165840233</v>
      </c>
      <c r="AL398">
        <v>79.083291424624605</v>
      </c>
      <c r="AM398">
        <v>94.281698678544103</v>
      </c>
      <c r="AN398">
        <v>1.0000000348240099</v>
      </c>
    </row>
    <row r="399" spans="1:40" x14ac:dyDescent="0.25">
      <c r="A399" t="str">
        <f>"20190304155605219"</f>
        <v>20190304155605219</v>
      </c>
      <c r="B399" t="str">
        <f>"1551686165215543"</f>
        <v>1551686165215543</v>
      </c>
      <c r="C399" t="s">
        <v>40</v>
      </c>
      <c r="D399">
        <v>4.746067</v>
      </c>
      <c r="E399">
        <v>0.52863159999999998</v>
      </c>
      <c r="F399" t="s">
        <v>43</v>
      </c>
      <c r="G399">
        <v>-158.19499999999999</v>
      </c>
      <c r="H399">
        <v>0.58589650000000004</v>
      </c>
      <c r="I399">
        <v>365.31580000000002</v>
      </c>
      <c r="J399">
        <v>-404.98480000000001</v>
      </c>
      <c r="K399">
        <v>1.059782</v>
      </c>
      <c r="L399">
        <v>367.25889999999998</v>
      </c>
      <c r="M399">
        <v>0.99992899999999996</v>
      </c>
      <c r="N399">
        <v>-1.181857E-2</v>
      </c>
      <c r="O399">
        <v>-1.5973129999999999E-3</v>
      </c>
      <c r="P399">
        <v>0.98141860000000003</v>
      </c>
      <c r="Q399">
        <v>0.17796609999999999</v>
      </c>
      <c r="R399">
        <v>7.1736629999999996E-2</v>
      </c>
      <c r="S399">
        <v>3.0596009999999998</v>
      </c>
      <c r="T399">
        <v>-5.8703419999999997E-3</v>
      </c>
      <c r="U399">
        <v>-2.4078370000000002E-2</v>
      </c>
      <c r="V399">
        <v>-7.3226869999999999E-2</v>
      </c>
      <c r="W399">
        <v>0.18958120000000001</v>
      </c>
      <c r="X399">
        <v>0.97913059999999996</v>
      </c>
      <c r="Y399">
        <v>6.272143E-3</v>
      </c>
      <c r="Z399" s="1">
        <v>-5.8896729999999997E-5</v>
      </c>
      <c r="AA399">
        <v>0.99998030000000004</v>
      </c>
      <c r="AB399">
        <v>31</v>
      </c>
      <c r="AC399">
        <v>246.78980000000001</v>
      </c>
      <c r="AD399">
        <v>-0.47388550000000002</v>
      </c>
      <c r="AE399">
        <v>-1.9430999999999501</v>
      </c>
      <c r="AF399">
        <v>1.54886376722645</v>
      </c>
      <c r="AG399">
        <v>-0.47388550000000002</v>
      </c>
      <c r="AH399">
        <v>246.79167917543299</v>
      </c>
      <c r="AI399">
        <v>90.110016152629001</v>
      </c>
      <c r="AJ399">
        <v>89.6404165971813</v>
      </c>
      <c r="AK399">
        <v>246.79699442389199</v>
      </c>
      <c r="AL399">
        <v>79.071655130441798</v>
      </c>
      <c r="AM399">
        <v>94.277054048756099</v>
      </c>
      <c r="AN399">
        <v>0.99999996886989795</v>
      </c>
    </row>
    <row r="400" spans="1:40" x14ac:dyDescent="0.25">
      <c r="A400" t="str">
        <f>"20190304155605240"</f>
        <v>20190304155605240</v>
      </c>
      <c r="B400" t="str">
        <f>"1551686165235063"</f>
        <v>1551686165235063</v>
      </c>
      <c r="C400" t="s">
        <v>40</v>
      </c>
      <c r="D400">
        <v>4.78599</v>
      </c>
      <c r="E400">
        <v>0.52832019999999902</v>
      </c>
      <c r="F400" t="s">
        <v>43</v>
      </c>
      <c r="G400">
        <v>-158.19499999999999</v>
      </c>
      <c r="H400">
        <v>0.79326219999999903</v>
      </c>
      <c r="I400">
        <v>365.27699999999999</v>
      </c>
      <c r="J400">
        <v>-404.69779999999997</v>
      </c>
      <c r="K400">
        <v>1.059779</v>
      </c>
      <c r="L400">
        <v>367.25819999999999</v>
      </c>
      <c r="M400">
        <v>0.9999285</v>
      </c>
      <c r="N400">
        <v>-1.182544E-2</v>
      </c>
      <c r="O400">
        <v>-1.77068E-3</v>
      </c>
      <c r="P400">
        <v>0.98151840000000001</v>
      </c>
      <c r="Q400">
        <v>0.1774857</v>
      </c>
      <c r="R400">
        <v>7.1559800000000007E-2</v>
      </c>
      <c r="S400">
        <v>3.0592039999999998</v>
      </c>
      <c r="T400">
        <v>-3.3026930000000002E-3</v>
      </c>
      <c r="U400">
        <v>-2.4566649999999999E-2</v>
      </c>
      <c r="V400">
        <v>-7.3219670000000001E-2</v>
      </c>
      <c r="W400">
        <v>0.18910879999999999</v>
      </c>
      <c r="X400">
        <v>0.9792225</v>
      </c>
      <c r="Y400">
        <v>6.2594469999999996E-3</v>
      </c>
      <c r="Z400" s="1">
        <v>-5.9419120000000003E-5</v>
      </c>
      <c r="AA400">
        <v>0.99998039999999999</v>
      </c>
      <c r="AB400">
        <v>31</v>
      </c>
      <c r="AC400">
        <v>246.50280000000001</v>
      </c>
      <c r="AD400">
        <v>-0.2665168</v>
      </c>
      <c r="AE400">
        <v>-1.9812000000000001</v>
      </c>
      <c r="AF400">
        <v>1.54468698425107</v>
      </c>
      <c r="AG400">
        <v>-0.2665168</v>
      </c>
      <c r="AH400">
        <v>246.50563369067299</v>
      </c>
      <c r="AI400">
        <v>90.061945773128699</v>
      </c>
      <c r="AJ400">
        <v>89.640970126563204</v>
      </c>
      <c r="AK400">
        <v>246.51061747990499</v>
      </c>
      <c r="AL400">
        <v>79.099220432863504</v>
      </c>
      <c r="AM400">
        <v>94.276235196414802</v>
      </c>
      <c r="AN400">
        <v>0.99999998140929902</v>
      </c>
    </row>
    <row r="401" spans="1:40" x14ac:dyDescent="0.25">
      <c r="A401" t="str">
        <f>"20190304155605251"</f>
        <v>20190304155605251</v>
      </c>
      <c r="B401" t="str">
        <f>"1551686165245799"</f>
        <v>1551686165245799</v>
      </c>
      <c r="C401" t="s">
        <v>40</v>
      </c>
      <c r="D401">
        <v>4.7515869999999998</v>
      </c>
      <c r="E401">
        <v>0.52860989999999997</v>
      </c>
      <c r="F401" t="s">
        <v>43</v>
      </c>
      <c r="G401">
        <v>-158.19499999999999</v>
      </c>
      <c r="H401">
        <v>1.3514189999999999</v>
      </c>
      <c r="I401">
        <v>365.50889999999998</v>
      </c>
      <c r="J401">
        <v>-404.5455</v>
      </c>
      <c r="K401">
        <v>1.0597780000000001</v>
      </c>
      <c r="L401">
        <v>367.25779999999997</v>
      </c>
      <c r="M401">
        <v>0.99992840000000005</v>
      </c>
      <c r="N401">
        <v>-1.182887E-2</v>
      </c>
      <c r="O401">
        <v>-1.8628469999999999E-3</v>
      </c>
      <c r="P401">
        <v>0.98166149999999996</v>
      </c>
      <c r="Q401">
        <v>0.17678250000000001</v>
      </c>
      <c r="R401">
        <v>7.1337250000000005E-2</v>
      </c>
      <c r="S401">
        <v>3.0574340000000002</v>
      </c>
      <c r="T401">
        <v>3.6183600000000002E-3</v>
      </c>
      <c r="U401">
        <v>-2.1697999999999999E-2</v>
      </c>
      <c r="V401">
        <v>-7.3088650000000005E-2</v>
      </c>
      <c r="W401">
        <v>0.18841060000000001</v>
      </c>
      <c r="X401">
        <v>0.97936690000000004</v>
      </c>
      <c r="Y401">
        <v>5.2338699999999998E-3</v>
      </c>
      <c r="Z401" s="1">
        <v>-5.2100140000000002E-5</v>
      </c>
      <c r="AA401">
        <v>0.99998629999999999</v>
      </c>
      <c r="AB401">
        <v>31</v>
      </c>
      <c r="AC401">
        <v>246.35050000000001</v>
      </c>
      <c r="AD401">
        <v>0.29164099999999998</v>
      </c>
      <c r="AE401">
        <v>-1.7488999999999899</v>
      </c>
      <c r="AF401">
        <v>1.2899498033074399</v>
      </c>
      <c r="AG401">
        <v>0.29164099999999998</v>
      </c>
      <c r="AH401">
        <v>246.35298541397199</v>
      </c>
      <c r="AI401">
        <v>89.932172279007204</v>
      </c>
      <c r="AJ401">
        <v>89.699991441414198</v>
      </c>
      <c r="AK401">
        <v>246.356535223534</v>
      </c>
      <c r="AL401">
        <v>79.139957018245198</v>
      </c>
      <c r="AM401">
        <v>94.267984519533698</v>
      </c>
      <c r="AN401">
        <v>1.0000000148833901</v>
      </c>
    </row>
    <row r="402" spans="1:40" x14ac:dyDescent="0.25">
      <c r="A402" t="str">
        <f>"20190304155605262"</f>
        <v>20190304155605262</v>
      </c>
      <c r="B402" t="str">
        <f>"1551686165255559"</f>
        <v>1551686165255559</v>
      </c>
      <c r="C402" t="s">
        <v>40</v>
      </c>
      <c r="D402">
        <v>4.6172490000000002</v>
      </c>
      <c r="E402">
        <v>0.52860989999999997</v>
      </c>
      <c r="F402" t="s">
        <v>43</v>
      </c>
      <c r="G402">
        <v>-158.19499999999999</v>
      </c>
      <c r="H402">
        <v>1.027345</v>
      </c>
      <c r="I402">
        <v>365.25420000000003</v>
      </c>
      <c r="J402">
        <v>-404.38339999999999</v>
      </c>
      <c r="K402">
        <v>1.059777</v>
      </c>
      <c r="L402">
        <v>367.25740000000002</v>
      </c>
      <c r="M402">
        <v>0.99992809999999999</v>
      </c>
      <c r="N402">
        <v>-1.1832209999999999E-2</v>
      </c>
      <c r="O402">
        <v>-1.9610909999999999E-3</v>
      </c>
      <c r="P402">
        <v>0.98172499999999996</v>
      </c>
      <c r="Q402">
        <v>0.17657890000000001</v>
      </c>
      <c r="R402">
        <v>7.0963929999999995E-2</v>
      </c>
      <c r="S402">
        <v>3.0579529999999999</v>
      </c>
      <c r="T402">
        <v>-4.0149689999999997E-4</v>
      </c>
      <c r="U402">
        <v>-2.4871830000000001E-2</v>
      </c>
      <c r="V402">
        <v>-7.2811760000000003E-2</v>
      </c>
      <c r="W402">
        <v>0.18821070000000001</v>
      </c>
      <c r="X402">
        <v>0.97942600000000002</v>
      </c>
      <c r="Y402">
        <v>6.1721709999999997E-3</v>
      </c>
      <c r="Z402" s="1">
        <v>-5.9869320000000001E-5</v>
      </c>
      <c r="AA402">
        <v>0.99998089999999995</v>
      </c>
      <c r="AB402">
        <v>31</v>
      </c>
      <c r="AC402">
        <v>246.1884</v>
      </c>
      <c r="AD402">
        <v>-3.2431999999999697E-2</v>
      </c>
      <c r="AE402">
        <v>-2.0031999999999899</v>
      </c>
      <c r="AF402">
        <v>1.5203644784245101</v>
      </c>
      <c r="AG402">
        <v>-3.2431999999999697E-2</v>
      </c>
      <c r="AH402">
        <v>246.191850988174</v>
      </c>
      <c r="AI402">
        <v>90.007547696117598</v>
      </c>
      <c r="AJ402">
        <v>89.646172851661106</v>
      </c>
      <c r="AK402">
        <v>246.19654760569901</v>
      </c>
      <c r="AL402">
        <v>79.151619521975604</v>
      </c>
      <c r="AM402">
        <v>94.251619415664393</v>
      </c>
      <c r="AN402">
        <v>1.00000005473239</v>
      </c>
    </row>
    <row r="403" spans="1:40" x14ac:dyDescent="0.25">
      <c r="A403" t="str">
        <f>"20190304155605275"</f>
        <v>20190304155605275</v>
      </c>
      <c r="B403" t="str">
        <f>"1551686165265319"</f>
        <v>1551686165265319</v>
      </c>
      <c r="C403" t="s">
        <v>40</v>
      </c>
      <c r="D403">
        <v>4.7580600000000004</v>
      </c>
      <c r="E403">
        <v>0.52912269999999995</v>
      </c>
      <c r="F403" t="s">
        <v>43</v>
      </c>
      <c r="G403">
        <v>-158.19499999999999</v>
      </c>
      <c r="H403">
        <v>0.96872570000000002</v>
      </c>
      <c r="I403">
        <v>365.18869999999998</v>
      </c>
      <c r="J403">
        <v>-404.22160000000002</v>
      </c>
      <c r="K403">
        <v>1.059782</v>
      </c>
      <c r="L403">
        <v>367.25700000000001</v>
      </c>
      <c r="M403">
        <v>0.99992789999999998</v>
      </c>
      <c r="N403">
        <v>-1.1835419999999999E-2</v>
      </c>
      <c r="O403">
        <v>-2.058977E-3</v>
      </c>
      <c r="P403">
        <v>0.9818268</v>
      </c>
      <c r="Q403">
        <v>0.17620739999999999</v>
      </c>
      <c r="R403">
        <v>7.0479470000000002E-2</v>
      </c>
      <c r="S403">
        <v>3.057922</v>
      </c>
      <c r="T403">
        <v>-1.129866E-3</v>
      </c>
      <c r="U403">
        <v>-2.5695800000000001E-2</v>
      </c>
      <c r="V403">
        <v>-7.2423689999999999E-2</v>
      </c>
      <c r="W403">
        <v>0.1878435</v>
      </c>
      <c r="X403">
        <v>0.97952519999999998</v>
      </c>
      <c r="Y403">
        <v>6.3437850000000002E-3</v>
      </c>
      <c r="Z403" s="1">
        <v>-6.2323259999999997E-5</v>
      </c>
      <c r="AA403">
        <v>0.99997990000000003</v>
      </c>
      <c r="AB403">
        <v>31</v>
      </c>
      <c r="AC403">
        <v>246.0266</v>
      </c>
      <c r="AD403">
        <v>-9.1056300000000007E-2</v>
      </c>
      <c r="AE403">
        <v>-2.0682999999999598</v>
      </c>
      <c r="AF403">
        <v>1.56169683868006</v>
      </c>
      <c r="AG403">
        <v>-9.1056300000000007E-2</v>
      </c>
      <c r="AH403">
        <v>246.03030360696999</v>
      </c>
      <c r="AI403">
        <v>90.021204852705793</v>
      </c>
      <c r="AJ403">
        <v>89.636315385942694</v>
      </c>
      <c r="AK403">
        <v>246.03527690395001</v>
      </c>
      <c r="AL403">
        <v>79.173039939833899</v>
      </c>
      <c r="AM403">
        <v>94.228614953075194</v>
      </c>
      <c r="AN403">
        <v>0.999999994400253</v>
      </c>
    </row>
    <row r="404" spans="1:40" x14ac:dyDescent="0.25">
      <c r="A404" t="str">
        <f>"20190304155605286"</f>
        <v>20190304155605286</v>
      </c>
      <c r="B404" t="str">
        <f>"1551686165275079"</f>
        <v>1551686165275079</v>
      </c>
      <c r="C404" t="s">
        <v>40</v>
      </c>
      <c r="D404">
        <v>4.6434519999999999</v>
      </c>
      <c r="E404">
        <v>0.52912269999999995</v>
      </c>
      <c r="F404" t="s">
        <v>43</v>
      </c>
      <c r="G404">
        <v>-158.19499999999999</v>
      </c>
      <c r="H404">
        <v>1.03442099999999</v>
      </c>
      <c r="I404">
        <v>364.74509999999998</v>
      </c>
      <c r="J404">
        <v>-404.0598</v>
      </c>
      <c r="K404">
        <v>1.059785</v>
      </c>
      <c r="L404">
        <v>367.25659999999999</v>
      </c>
      <c r="M404">
        <v>0.99992760000000003</v>
      </c>
      <c r="N404">
        <v>-1.183847E-2</v>
      </c>
      <c r="O404">
        <v>-2.1568640000000001E-3</v>
      </c>
      <c r="P404">
        <v>0.98186709999999999</v>
      </c>
      <c r="Q404">
        <v>0.17610719999999999</v>
      </c>
      <c r="R404">
        <v>7.0164989999999997E-2</v>
      </c>
      <c r="S404">
        <v>3.0578310000000002</v>
      </c>
      <c r="T404">
        <v>-3.1411649999999998E-4</v>
      </c>
      <c r="U404">
        <v>-3.1219480000000001E-2</v>
      </c>
      <c r="V404">
        <v>-7.2205519999999995E-2</v>
      </c>
      <c r="W404">
        <v>0.187747</v>
      </c>
      <c r="X404">
        <v>0.97955979999999998</v>
      </c>
      <c r="Y404">
        <v>8.0523699999999997E-3</v>
      </c>
      <c r="Z404" s="1">
        <v>-7.3393079999999999E-5</v>
      </c>
      <c r="AA404">
        <v>0.99996759999999996</v>
      </c>
      <c r="AB404">
        <v>31</v>
      </c>
      <c r="AC404">
        <v>245.8648</v>
      </c>
      <c r="AD404">
        <v>-2.5364000000000098E-2</v>
      </c>
      <c r="AE404">
        <v>-2.5115000000000101</v>
      </c>
      <c r="AF404">
        <v>1.9811600377504901</v>
      </c>
      <c r="AG404">
        <v>-2.5364000000000098E-2</v>
      </c>
      <c r="AH404">
        <v>245.86964275715201</v>
      </c>
      <c r="AI404">
        <v>90.005910461146797</v>
      </c>
      <c r="AJ404">
        <v>89.538334009694694</v>
      </c>
      <c r="AK404">
        <v>245.877625797788</v>
      </c>
      <c r="AL404">
        <v>79.178669060038899</v>
      </c>
      <c r="AM404">
        <v>94.215774242766997</v>
      </c>
      <c r="AN404">
        <v>0.999999987451755</v>
      </c>
    </row>
    <row r="405" spans="1:40" x14ac:dyDescent="0.25">
      <c r="A405" t="str">
        <f>"20190304155605311"</f>
        <v>20190304155605311</v>
      </c>
      <c r="B405" t="str">
        <f>"1551686165305336"</f>
        <v>1551686165305336</v>
      </c>
      <c r="C405" t="s">
        <v>40</v>
      </c>
      <c r="D405">
        <v>4.5013800000000002</v>
      </c>
      <c r="E405">
        <v>0.54708179999999995</v>
      </c>
      <c r="F405" t="s">
        <v>43</v>
      </c>
      <c r="G405">
        <v>-158.19499999999999</v>
      </c>
      <c r="H405">
        <v>1.002829</v>
      </c>
      <c r="I405">
        <v>364.68009999999998</v>
      </c>
      <c r="J405">
        <v>-403.7371</v>
      </c>
      <c r="K405">
        <v>1.059795</v>
      </c>
      <c r="L405">
        <v>367.25569999999999</v>
      </c>
      <c r="M405">
        <v>0.99992700000000001</v>
      </c>
      <c r="N405">
        <v>-1.184404E-2</v>
      </c>
      <c r="O405">
        <v>-2.3518020000000001E-3</v>
      </c>
      <c r="P405">
        <v>0.98192809999999997</v>
      </c>
      <c r="Q405">
        <v>0.1762165</v>
      </c>
      <c r="R405">
        <v>6.9028759999999995E-2</v>
      </c>
      <c r="S405">
        <v>3.0577999999999999</v>
      </c>
      <c r="T405">
        <v>-7.0726869999999996E-4</v>
      </c>
      <c r="U405">
        <v>-3.2043460000000003E-2</v>
      </c>
      <c r="V405">
        <v>-7.1260850000000001E-2</v>
      </c>
      <c r="W405">
        <v>0.18786130000000001</v>
      </c>
      <c r="X405">
        <v>0.97960700000000001</v>
      </c>
      <c r="Y405">
        <v>8.1269559999999994E-3</v>
      </c>
      <c r="Z405" s="1">
        <v>-7.6382139999999998E-5</v>
      </c>
      <c r="AA405">
        <v>0.99996700000000005</v>
      </c>
      <c r="AB405">
        <v>31</v>
      </c>
      <c r="AC405">
        <v>245.5421</v>
      </c>
      <c r="AD405">
        <v>-5.6965999999999802E-2</v>
      </c>
      <c r="AE405">
        <v>-2.5756000000000001</v>
      </c>
      <c r="AF405">
        <v>1.9980858059984401</v>
      </c>
      <c r="AG405">
        <v>-5.6965999999999802E-2</v>
      </c>
      <c r="AH405">
        <v>245.54746537203701</v>
      </c>
      <c r="AI405">
        <v>90.0132919444207</v>
      </c>
      <c r="AJ405">
        <v>89.533779113117703</v>
      </c>
      <c r="AK405">
        <v>245.55560132614599</v>
      </c>
      <c r="AL405">
        <v>79.172000835675505</v>
      </c>
      <c r="AM405">
        <v>94.160614176382893</v>
      </c>
      <c r="AN405">
        <v>0.99999992561470297</v>
      </c>
    </row>
    <row r="406" spans="1:40" x14ac:dyDescent="0.25">
      <c r="A406" t="str">
        <f>"20190304155605389"</f>
        <v>20190304155605389</v>
      </c>
      <c r="B406" t="str">
        <f>"1551686165385367"</f>
        <v>1551686165385367</v>
      </c>
      <c r="C406" t="s">
        <v>40</v>
      </c>
      <c r="D406">
        <v>4.1152049999999996</v>
      </c>
      <c r="E406">
        <v>0.54831099999999999</v>
      </c>
      <c r="F406" t="s">
        <v>43</v>
      </c>
      <c r="G406">
        <v>-158.78319999999999</v>
      </c>
      <c r="H406">
        <v>1.1910369999999999</v>
      </c>
      <c r="I406">
        <v>352.98219999999998</v>
      </c>
      <c r="J406">
        <v>-402.65280000000001</v>
      </c>
      <c r="K406">
        <v>1.059814</v>
      </c>
      <c r="L406">
        <v>367.25209999999998</v>
      </c>
      <c r="M406">
        <v>0.99992519999999996</v>
      </c>
      <c r="N406">
        <v>-1.185844E-2</v>
      </c>
      <c r="O406">
        <v>-3.0076429999999999E-3</v>
      </c>
      <c r="P406">
        <v>0.98156010000000005</v>
      </c>
      <c r="Q406">
        <v>0.17899899999999999</v>
      </c>
      <c r="R406">
        <v>6.7075250000000003E-2</v>
      </c>
      <c r="S406">
        <v>3.0674739999999998</v>
      </c>
      <c r="T406">
        <v>1.644611E-3</v>
      </c>
      <c r="U406">
        <v>-0.1787415</v>
      </c>
      <c r="V406">
        <v>-6.9949090000000005E-2</v>
      </c>
      <c r="W406">
        <v>0.19065280000000001</v>
      </c>
      <c r="X406">
        <v>0.97916219999999998</v>
      </c>
      <c r="Y406">
        <v>5.5168599999999998E-2</v>
      </c>
      <c r="Z406">
        <v>-3.4986739999999999E-4</v>
      </c>
      <c r="AA406">
        <v>0.99847699999999995</v>
      </c>
      <c r="AB406">
        <v>31</v>
      </c>
      <c r="AC406">
        <v>243.86959999999999</v>
      </c>
      <c r="AD406">
        <v>0.13122300000000001</v>
      </c>
      <c r="AE406">
        <v>-14.2699</v>
      </c>
      <c r="AF406">
        <v>13.536307297700899</v>
      </c>
      <c r="AG406">
        <v>0.13122300000000001</v>
      </c>
      <c r="AH406">
        <v>243.911348231228</v>
      </c>
      <c r="AI406">
        <v>89.969222539507399</v>
      </c>
      <c r="AJ406">
        <v>86.823524107654904</v>
      </c>
      <c r="AK406">
        <v>244.28670580019099</v>
      </c>
      <c r="AL406">
        <v>79.009116581439301</v>
      </c>
      <c r="AM406">
        <v>94.086136833381104</v>
      </c>
      <c r="AN406">
        <v>0.99999998962425396</v>
      </c>
    </row>
    <row r="407" spans="1:40" x14ac:dyDescent="0.25">
      <c r="A407" t="str">
        <f>"20190304155605465"</f>
        <v>20190304155605465</v>
      </c>
      <c r="B407" t="str">
        <f>"1551686165455640"</f>
        <v>1551686165455640</v>
      </c>
      <c r="C407" t="s">
        <v>40</v>
      </c>
      <c r="D407">
        <v>5.9721699999999904</v>
      </c>
      <c r="E407">
        <v>0.55139009999999999</v>
      </c>
      <c r="F407" t="s">
        <v>41</v>
      </c>
      <c r="G407">
        <v>-361.42689999999999</v>
      </c>
      <c r="H407" s="1">
        <v>-4.546636E-6</v>
      </c>
      <c r="I407">
        <v>364.61860000000001</v>
      </c>
      <c r="J407">
        <v>-401.60849999999999</v>
      </c>
      <c r="K407">
        <v>1.0598259999999999</v>
      </c>
      <c r="L407">
        <v>367.24799999999999</v>
      </c>
      <c r="M407">
        <v>0.99992300000000001</v>
      </c>
      <c r="N407">
        <v>-1.186803E-2</v>
      </c>
      <c r="O407">
        <v>-3.6310969999999998E-3</v>
      </c>
      <c r="P407">
        <v>0.98169490000000004</v>
      </c>
      <c r="Q407">
        <v>0.17883019999999999</v>
      </c>
      <c r="R407">
        <v>6.5535270000000007E-2</v>
      </c>
      <c r="S407">
        <v>3.08432</v>
      </c>
      <c r="T407">
        <v>-7.9290390000000002E-2</v>
      </c>
      <c r="U407">
        <v>-0.19702149999999999</v>
      </c>
      <c r="V407">
        <v>-6.9022570000000005E-2</v>
      </c>
      <c r="W407">
        <v>0.1904932</v>
      </c>
      <c r="X407">
        <v>0.97925899999999999</v>
      </c>
      <c r="Y407">
        <v>6.0095500000000003E-2</v>
      </c>
      <c r="Z407">
        <v>-1.078426E-3</v>
      </c>
      <c r="AA407">
        <v>0.99819210000000003</v>
      </c>
      <c r="AB407">
        <v>31</v>
      </c>
      <c r="AC407">
        <v>40.181600000000003</v>
      </c>
      <c r="AD407">
        <v>-1.0598305466359901</v>
      </c>
      <c r="AE407">
        <v>-2.6294000000000302</v>
      </c>
      <c r="AF407">
        <v>2.4817499253698498</v>
      </c>
      <c r="AG407">
        <v>-1.0598305466359901</v>
      </c>
      <c r="AH407">
        <v>40.163061272757702</v>
      </c>
      <c r="AI407">
        <v>91.508704987205604</v>
      </c>
      <c r="AJ407">
        <v>86.464083434801495</v>
      </c>
      <c r="AK407">
        <v>40.253618648252498</v>
      </c>
      <c r="AL407">
        <v>79.018431618431805</v>
      </c>
      <c r="AM407">
        <v>94.031795812100796</v>
      </c>
      <c r="AN407">
        <v>0.99999998174832205</v>
      </c>
    </row>
    <row r="408" spans="1:40" x14ac:dyDescent="0.25">
      <c r="A408" t="str">
        <f>"20190304155605477"</f>
        <v>20190304155605477</v>
      </c>
      <c r="B408" t="str">
        <f>"1551686165465400"</f>
        <v>1551686165465400</v>
      </c>
      <c r="C408" t="s">
        <v>40</v>
      </c>
      <c r="D408">
        <v>4.5033139999999996</v>
      </c>
      <c r="E408">
        <v>0.55239079999999996</v>
      </c>
      <c r="F408" t="s">
        <v>46</v>
      </c>
      <c r="G408">
        <v>0</v>
      </c>
      <c r="H408">
        <v>0</v>
      </c>
      <c r="I408">
        <v>0</v>
      </c>
      <c r="J408">
        <v>-401.45089999999999</v>
      </c>
      <c r="K408">
        <v>1.0598259999999999</v>
      </c>
      <c r="L408">
        <v>367.24740000000003</v>
      </c>
      <c r="M408">
        <v>0.9999228</v>
      </c>
      <c r="N408">
        <v>-1.186923E-2</v>
      </c>
      <c r="O408">
        <v>-3.7219140000000002E-3</v>
      </c>
      <c r="P408">
        <v>0.9817863</v>
      </c>
      <c r="Q408">
        <v>0.17846919999999999</v>
      </c>
      <c r="R408">
        <v>6.5151630000000002E-2</v>
      </c>
      <c r="S408">
        <v>3.0639340000000002</v>
      </c>
      <c r="T408">
        <v>3.8569810000000003E-2</v>
      </c>
      <c r="U408">
        <v>-0.22470090000000001</v>
      </c>
      <c r="V408">
        <v>-6.8729070000000003E-2</v>
      </c>
      <c r="W408">
        <v>0.19013459999999999</v>
      </c>
      <c r="X408">
        <v>0.97934929999999998</v>
      </c>
      <c r="Y408">
        <v>6.9429050000000006E-2</v>
      </c>
      <c r="Z408" s="1">
        <v>-6.7110869999999898E-5</v>
      </c>
      <c r="AA408">
        <v>0.99758690000000005</v>
      </c>
      <c r="AB408">
        <v>31</v>
      </c>
      <c r="AC408">
        <v>3.0639340000000002</v>
      </c>
      <c r="AD408">
        <v>3.8569810000000003E-2</v>
      </c>
      <c r="AE408">
        <v>-0.22470090000000001</v>
      </c>
      <c r="AF408">
        <v>0.21326122927187499</v>
      </c>
      <c r="AG408">
        <v>3.8569810000000003E-2</v>
      </c>
      <c r="AH408">
        <v>3.0642661669157998</v>
      </c>
      <c r="AI408">
        <v>89.280598099177396</v>
      </c>
      <c r="AJ408">
        <v>86.018851890312703</v>
      </c>
      <c r="AK408">
        <v>3.0719204292850399</v>
      </c>
      <c r="AL408">
        <v>79.039360056724405</v>
      </c>
      <c r="AM408">
        <v>94.014338897681</v>
      </c>
      <c r="AN408">
        <v>0.99999995129535602</v>
      </c>
    </row>
    <row r="409" spans="1:40" x14ac:dyDescent="0.25">
      <c r="A409" t="str">
        <f>"20190304155605487"</f>
        <v>20190304155605487</v>
      </c>
      <c r="B409" t="str">
        <f>"1551686165484919"</f>
        <v>1551686165484919</v>
      </c>
      <c r="C409" t="s">
        <v>40</v>
      </c>
      <c r="D409">
        <v>4.5316599999999996</v>
      </c>
      <c r="E409">
        <v>0.55326119999999901</v>
      </c>
      <c r="F409" t="s">
        <v>46</v>
      </c>
      <c r="G409">
        <v>0</v>
      </c>
      <c r="H409">
        <v>0</v>
      </c>
      <c r="I409">
        <v>0</v>
      </c>
      <c r="J409">
        <v>-401.28829999999999</v>
      </c>
      <c r="K409">
        <v>1.0598259999999999</v>
      </c>
      <c r="L409">
        <v>367.24669999999998</v>
      </c>
      <c r="M409">
        <v>0.99992230000000004</v>
      </c>
      <c r="N409">
        <v>-1.187041E-2</v>
      </c>
      <c r="O409">
        <v>-3.8149920000000001E-3</v>
      </c>
      <c r="P409">
        <v>0.98181490000000005</v>
      </c>
      <c r="Q409">
        <v>0.17836659999999999</v>
      </c>
      <c r="R409">
        <v>6.5003130000000006E-2</v>
      </c>
      <c r="S409">
        <v>3.0656129999999999</v>
      </c>
      <c r="T409">
        <v>3.0873540000000001E-2</v>
      </c>
      <c r="U409">
        <v>-0.23425289999999999</v>
      </c>
      <c r="V409">
        <v>-6.8672990000000003E-2</v>
      </c>
      <c r="W409">
        <v>0.19003300000000001</v>
      </c>
      <c r="X409">
        <v>0.97937300000000005</v>
      </c>
      <c r="Y409">
        <v>7.2387839999999995E-2</v>
      </c>
      <c r="Z409">
        <v>-1.498913E-4</v>
      </c>
      <c r="AA409">
        <v>0.99737659999999995</v>
      </c>
      <c r="AB409">
        <v>31</v>
      </c>
      <c r="AC409">
        <v>3.0656129999999999</v>
      </c>
      <c r="AD409">
        <v>3.0873540000000001E-2</v>
      </c>
      <c r="AE409">
        <v>-0.23425289999999999</v>
      </c>
      <c r="AF409">
        <v>0.22253264333918199</v>
      </c>
      <c r="AG409">
        <v>3.0873540000000001E-2</v>
      </c>
      <c r="AH409">
        <v>3.0661752472636201</v>
      </c>
      <c r="AI409">
        <v>89.424617437048596</v>
      </c>
      <c r="AJ409">
        <v>85.848944009221398</v>
      </c>
      <c r="AK409">
        <v>3.0743949973540801</v>
      </c>
      <c r="AL409">
        <v>79.045289918636499</v>
      </c>
      <c r="AM409">
        <v>94.010977315858497</v>
      </c>
      <c r="AN409">
        <v>0.99999999688676999</v>
      </c>
    </row>
    <row r="410" spans="1:40" x14ac:dyDescent="0.25">
      <c r="A410" t="str">
        <f>"20190304155605499"</f>
        <v>20190304155605499</v>
      </c>
      <c r="B410" t="str">
        <f>"1551686165495655"</f>
        <v>1551686165495655</v>
      </c>
      <c r="C410" t="s">
        <v>40</v>
      </c>
      <c r="D410">
        <v>4.6095439999999996</v>
      </c>
      <c r="E410">
        <v>0.55343710000000002</v>
      </c>
      <c r="F410" t="s">
        <v>46</v>
      </c>
      <c r="G410">
        <v>0</v>
      </c>
      <c r="H410">
        <v>0</v>
      </c>
      <c r="I410">
        <v>0</v>
      </c>
      <c r="J410">
        <v>-401.14019999999999</v>
      </c>
      <c r="K410">
        <v>1.0599620000000001</v>
      </c>
      <c r="L410">
        <v>367.24599999999998</v>
      </c>
      <c r="M410">
        <v>0.99991640000000004</v>
      </c>
      <c r="N410">
        <v>-1.2347489999999999E-2</v>
      </c>
      <c r="O410">
        <v>-3.8891720000000002E-3</v>
      </c>
      <c r="P410">
        <v>0.9818848</v>
      </c>
      <c r="Q410">
        <v>0.1780312</v>
      </c>
      <c r="R410">
        <v>6.4865980000000004E-2</v>
      </c>
      <c r="S410">
        <v>3.066071</v>
      </c>
      <c r="T410">
        <v>3.03719E-2</v>
      </c>
      <c r="U410">
        <v>-0.24145510000000001</v>
      </c>
      <c r="V410">
        <v>-6.8611439999999996E-2</v>
      </c>
      <c r="W410">
        <v>0.190165</v>
      </c>
      <c r="X410">
        <v>0.97935170000000005</v>
      </c>
      <c r="Y410">
        <v>7.4631420000000004E-2</v>
      </c>
      <c r="Z410">
        <v>-1.78832E-4</v>
      </c>
      <c r="AA410">
        <v>0.99721119999999996</v>
      </c>
      <c r="AB410">
        <v>31</v>
      </c>
      <c r="AC410">
        <v>3.066071</v>
      </c>
      <c r="AD410">
        <v>3.03719E-2</v>
      </c>
      <c r="AE410">
        <v>-0.24145510000000001</v>
      </c>
      <c r="AF410">
        <v>0.22950550796564301</v>
      </c>
      <c r="AG410">
        <v>3.03719E-2</v>
      </c>
      <c r="AH410">
        <v>3.0666878760951901</v>
      </c>
      <c r="AI410">
        <v>89.434154194313905</v>
      </c>
      <c r="AJ410">
        <v>85.720063390224396</v>
      </c>
      <c r="AK410">
        <v>3.0754137542589999</v>
      </c>
      <c r="AL410">
        <v>79.037586487201906</v>
      </c>
      <c r="AM410">
        <v>94.007480961433203</v>
      </c>
      <c r="AN410">
        <v>1.0000000046083799</v>
      </c>
    </row>
    <row r="411" spans="1:40" x14ac:dyDescent="0.25">
      <c r="A411" t="str">
        <f>"20190304155605511"</f>
        <v>20190304155605511</v>
      </c>
      <c r="B411" t="str">
        <f>"1551686165505415"</f>
        <v>1551686165505415</v>
      </c>
      <c r="C411" t="s">
        <v>40</v>
      </c>
      <c r="D411">
        <v>4.5756589999999999</v>
      </c>
      <c r="E411">
        <v>0.55394730000000003</v>
      </c>
      <c r="F411" t="s">
        <v>46</v>
      </c>
      <c r="G411">
        <v>0</v>
      </c>
      <c r="H411">
        <v>0</v>
      </c>
      <c r="I411">
        <v>0</v>
      </c>
      <c r="J411">
        <v>-400.97719999999998</v>
      </c>
      <c r="K411">
        <v>1.0601560000000001</v>
      </c>
      <c r="L411">
        <v>367.24529999999999</v>
      </c>
      <c r="M411">
        <v>0.99990809999999997</v>
      </c>
      <c r="N411">
        <v>-1.2970529999999999E-2</v>
      </c>
      <c r="O411">
        <v>-3.9685759999999997E-3</v>
      </c>
      <c r="P411">
        <v>0.98201059999999996</v>
      </c>
      <c r="Q411">
        <v>0.17737549999999999</v>
      </c>
      <c r="R411">
        <v>6.4756359999999999E-2</v>
      </c>
      <c r="S411">
        <v>3.0654300000000001</v>
      </c>
      <c r="T411">
        <v>3.3227680000000002E-2</v>
      </c>
      <c r="U411">
        <v>-0.2432251</v>
      </c>
      <c r="V411">
        <v>-6.8583560000000002E-2</v>
      </c>
      <c r="W411">
        <v>0.19012009999999999</v>
      </c>
      <c r="X411">
        <v>0.97936239999999997</v>
      </c>
      <c r="Y411">
        <v>7.5140869999999998E-2</v>
      </c>
      <c r="Z411">
        <v>-1.7583869999999999E-4</v>
      </c>
      <c r="AA411">
        <v>0.99717290000000003</v>
      </c>
      <c r="AB411">
        <v>31</v>
      </c>
      <c r="AC411">
        <v>3.0654300000000001</v>
      </c>
      <c r="AD411">
        <v>3.3227680000000002E-2</v>
      </c>
      <c r="AE411">
        <v>-0.2432251</v>
      </c>
      <c r="AF411">
        <v>0.23102979522810699</v>
      </c>
      <c r="AG411">
        <v>3.3227680000000002E-2</v>
      </c>
      <c r="AH411">
        <v>3.0660132088960101</v>
      </c>
      <c r="AI411">
        <v>89.380840885250805</v>
      </c>
      <c r="AJ411">
        <v>85.690799924196895</v>
      </c>
      <c r="AK411">
        <v>3.0748846876145</v>
      </c>
      <c r="AL411">
        <v>79.040207196939804</v>
      </c>
      <c r="AM411">
        <v>94.0058142157894</v>
      </c>
      <c r="AN411">
        <v>1.0000000338300199</v>
      </c>
    </row>
    <row r="412" spans="1:40" x14ac:dyDescent="0.25">
      <c r="A412" t="str">
        <f>"20190304155605522"</f>
        <v>20190304155605522</v>
      </c>
      <c r="B412" t="str">
        <f>"1551686165515176"</f>
        <v>1551686165515176</v>
      </c>
      <c r="C412" t="s">
        <v>40</v>
      </c>
      <c r="D412">
        <v>4.6305430000000003</v>
      </c>
      <c r="E412">
        <v>0.55301859999999903</v>
      </c>
      <c r="F412" t="s">
        <v>46</v>
      </c>
      <c r="G412">
        <v>0</v>
      </c>
      <c r="H412">
        <v>0</v>
      </c>
      <c r="I412">
        <v>0</v>
      </c>
      <c r="J412">
        <v>-400.82799999999997</v>
      </c>
      <c r="K412">
        <v>1.0605150000000001</v>
      </c>
      <c r="L412">
        <v>367.24470000000002</v>
      </c>
      <c r="M412">
        <v>0.99989830000000002</v>
      </c>
      <c r="N412">
        <v>-1.3674550000000001E-2</v>
      </c>
      <c r="O412">
        <v>-4.0388150000000003E-3</v>
      </c>
      <c r="P412">
        <v>0.98211380000000004</v>
      </c>
      <c r="Q412">
        <v>0.176876799999999</v>
      </c>
      <c r="R412">
        <v>6.4556210000000003E-2</v>
      </c>
      <c r="S412">
        <v>3.0664669999999998</v>
      </c>
      <c r="T412">
        <v>2.694011E-2</v>
      </c>
      <c r="U412">
        <v>-0.2476807</v>
      </c>
      <c r="V412">
        <v>-6.8456290000000003E-2</v>
      </c>
      <c r="W412">
        <v>0.1903106</v>
      </c>
      <c r="X412">
        <v>0.97933419999999904</v>
      </c>
      <c r="Y412">
        <v>7.6484419999999997E-2</v>
      </c>
      <c r="Z412">
        <v>-2.7895799999999999E-4</v>
      </c>
      <c r="AA412">
        <v>0.99707069999999998</v>
      </c>
      <c r="AB412">
        <v>30</v>
      </c>
      <c r="AC412">
        <v>3.0664669999999998</v>
      </c>
      <c r="AD412">
        <v>2.694011E-2</v>
      </c>
      <c r="AE412">
        <v>-0.2476807</v>
      </c>
      <c r="AF412">
        <v>0.23527458646185601</v>
      </c>
      <c r="AG412">
        <v>2.694011E-2</v>
      </c>
      <c r="AH412">
        <v>3.0672072131008901</v>
      </c>
      <c r="AI412">
        <v>89.498242522006606</v>
      </c>
      <c r="AJ412">
        <v>85.613633466296506</v>
      </c>
      <c r="AK412">
        <v>3.0763354805124399</v>
      </c>
      <c r="AL412">
        <v>79.0290882319497</v>
      </c>
      <c r="AM412">
        <v>93.998519550226206</v>
      </c>
      <c r="AN412">
        <v>0.99999993170127899</v>
      </c>
    </row>
    <row r="413" spans="1:40" x14ac:dyDescent="0.25">
      <c r="A413" t="str">
        <f>"20190304155605542"</f>
        <v>20190304155605542</v>
      </c>
      <c r="B413" t="str">
        <f>"1551686165535671"</f>
        <v>1551686165535671</v>
      </c>
      <c r="C413" t="s">
        <v>40</v>
      </c>
      <c r="D413">
        <v>4.6262610000000004</v>
      </c>
      <c r="E413">
        <v>0.5517455</v>
      </c>
      <c r="F413" t="s">
        <v>46</v>
      </c>
      <c r="G413">
        <v>0</v>
      </c>
      <c r="H413">
        <v>0</v>
      </c>
      <c r="I413">
        <v>0</v>
      </c>
      <c r="J413">
        <v>-400.55759999999998</v>
      </c>
      <c r="K413">
        <v>1.0612360000000001</v>
      </c>
      <c r="L413">
        <v>367.24340000000001</v>
      </c>
      <c r="M413">
        <v>0.99988779999999999</v>
      </c>
      <c r="N413">
        <v>-1.4397719999999999E-2</v>
      </c>
      <c r="O413">
        <v>-4.1641730000000002E-3</v>
      </c>
      <c r="P413">
        <v>0.98214690000000004</v>
      </c>
      <c r="Q413">
        <v>0.1765555</v>
      </c>
      <c r="R413">
        <v>6.4931039999999995E-2</v>
      </c>
      <c r="S413">
        <v>3.0665589999999998</v>
      </c>
      <c r="T413">
        <v>2.150738E-2</v>
      </c>
      <c r="U413">
        <v>-0.24084469999999999</v>
      </c>
      <c r="V413">
        <v>-6.8956290000000003E-2</v>
      </c>
      <c r="W413">
        <v>0.19069729999999999</v>
      </c>
      <c r="X413">
        <v>0.97922399999999998</v>
      </c>
      <c r="Y413">
        <v>7.4148350000000002E-2</v>
      </c>
      <c r="Z413">
        <v>-3.6403189999999999E-4</v>
      </c>
      <c r="AA413">
        <v>0.9972472</v>
      </c>
      <c r="AB413">
        <v>30</v>
      </c>
      <c r="AC413">
        <v>3.0665589999999998</v>
      </c>
      <c r="AD413">
        <v>2.150738E-2</v>
      </c>
      <c r="AE413">
        <v>-0.24084469999999999</v>
      </c>
      <c r="AF413">
        <v>0.228060457630717</v>
      </c>
      <c r="AG413">
        <v>2.150738E-2</v>
      </c>
      <c r="AH413">
        <v>3.0673854714908</v>
      </c>
      <c r="AI413">
        <v>89.599375379311894</v>
      </c>
      <c r="AJ413">
        <v>85.747875940860297</v>
      </c>
      <c r="AK413">
        <v>3.0759271399761801</v>
      </c>
      <c r="AL413">
        <v>79.006519784877298</v>
      </c>
      <c r="AM413">
        <v>94.0280804618518</v>
      </c>
      <c r="AN413">
        <v>1.0000000361669199</v>
      </c>
    </row>
    <row r="414" spans="1:40" x14ac:dyDescent="0.25">
      <c r="A414" t="str">
        <f>"20190304155605557"</f>
        <v>20190304155605557</v>
      </c>
      <c r="B414" t="str">
        <f>"1551686165545431"</f>
        <v>1551686165545431</v>
      </c>
      <c r="C414" t="s">
        <v>40</v>
      </c>
      <c r="D414">
        <v>4.6400730000000001</v>
      </c>
      <c r="E414">
        <v>0.55150429999999995</v>
      </c>
      <c r="F414" t="s">
        <v>46</v>
      </c>
      <c r="G414">
        <v>0</v>
      </c>
      <c r="H414">
        <v>0</v>
      </c>
      <c r="I414">
        <v>0</v>
      </c>
      <c r="J414">
        <v>-400.37529999999998</v>
      </c>
      <c r="K414">
        <v>1.06172</v>
      </c>
      <c r="L414">
        <v>367.24259999999998</v>
      </c>
      <c r="M414">
        <v>0.99989099999999997</v>
      </c>
      <c r="N414">
        <v>-1.413937E-2</v>
      </c>
      <c r="O414">
        <v>-4.2472909999999899E-3</v>
      </c>
      <c r="P414">
        <v>0.98207800000000001</v>
      </c>
      <c r="Q414">
        <v>0.17694079999999901</v>
      </c>
      <c r="R414">
        <v>6.4921329999999999E-2</v>
      </c>
      <c r="S414">
        <v>3.0664060000000002</v>
      </c>
      <c r="T414">
        <v>1.850021E-2</v>
      </c>
      <c r="U414">
        <v>-0.2299805</v>
      </c>
      <c r="V414">
        <v>-6.9027329999999998E-2</v>
      </c>
      <c r="W414">
        <v>0.19082840000000001</v>
      </c>
      <c r="X414">
        <v>0.97919339999999999</v>
      </c>
      <c r="Y414">
        <v>7.0556030000000006E-2</v>
      </c>
      <c r="Z414">
        <v>-3.725499E-4</v>
      </c>
      <c r="AA414">
        <v>0.99750779999999994</v>
      </c>
      <c r="AB414">
        <v>30</v>
      </c>
      <c r="AC414">
        <v>3.0664060000000002</v>
      </c>
      <c r="AD414">
        <v>1.850021E-2</v>
      </c>
      <c r="AE414">
        <v>-0.2299805</v>
      </c>
      <c r="AF414">
        <v>0.216945351846285</v>
      </c>
      <c r="AG414">
        <v>1.850021E-2</v>
      </c>
      <c r="AH414">
        <v>3.0672442066375298</v>
      </c>
      <c r="AI414">
        <v>89.655283491336505</v>
      </c>
      <c r="AJ414">
        <v>85.954222655287495</v>
      </c>
      <c r="AK414">
        <v>3.07496253092769</v>
      </c>
      <c r="AL414">
        <v>78.998867191360901</v>
      </c>
      <c r="AM414">
        <v>94.032342172902602</v>
      </c>
      <c r="AN414">
        <v>0.99999998256852396</v>
      </c>
    </row>
    <row r="415" spans="1:40" x14ac:dyDescent="0.25">
      <c r="A415" t="str">
        <f>"20190304155605577"</f>
        <v>20190304155605577</v>
      </c>
      <c r="B415" t="str">
        <f>"1551686165564951"</f>
        <v>1551686165564951</v>
      </c>
      <c r="C415" t="s">
        <v>40</v>
      </c>
      <c r="D415">
        <v>4.6101570000000001</v>
      </c>
      <c r="E415">
        <v>0.5508364</v>
      </c>
      <c r="F415" t="s">
        <v>46</v>
      </c>
      <c r="G415">
        <v>0</v>
      </c>
      <c r="H415">
        <v>0</v>
      </c>
      <c r="I415">
        <v>0</v>
      </c>
      <c r="J415">
        <v>-400.09829999999999</v>
      </c>
      <c r="K415">
        <v>1.0624610000000001</v>
      </c>
      <c r="L415">
        <v>367.24119999999999</v>
      </c>
      <c r="M415">
        <v>0.99991079999999999</v>
      </c>
      <c r="N415">
        <v>-1.263305E-2</v>
      </c>
      <c r="O415">
        <v>-4.3685099999999999E-3</v>
      </c>
      <c r="P415">
        <v>0.98184859999999896</v>
      </c>
      <c r="Q415">
        <v>0.17808070000000001</v>
      </c>
      <c r="R415">
        <v>6.5276500000000001E-2</v>
      </c>
      <c r="S415">
        <v>3.0664060000000002</v>
      </c>
      <c r="T415">
        <v>1.8853189999999999E-2</v>
      </c>
      <c r="U415">
        <v>-0.22793579999999999</v>
      </c>
      <c r="V415">
        <v>-6.9499839999999993E-2</v>
      </c>
      <c r="W415">
        <v>0.1904904</v>
      </c>
      <c r="X415">
        <v>0.97922580000000004</v>
      </c>
      <c r="Y415">
        <v>6.9773310000000005E-2</v>
      </c>
      <c r="Z415">
        <v>-3.09084E-4</v>
      </c>
      <c r="AA415">
        <v>0.99756279999999997</v>
      </c>
      <c r="AB415">
        <v>30</v>
      </c>
      <c r="AC415">
        <v>3.0664060000000002</v>
      </c>
      <c r="AD415">
        <v>1.8853189999999999E-2</v>
      </c>
      <c r="AE415">
        <v>-0.22793579999999999</v>
      </c>
      <c r="AF415">
        <v>0.214528867298964</v>
      </c>
      <c r="AG415">
        <v>1.8853189999999999E-2</v>
      </c>
      <c r="AH415">
        <v>3.0672572447370801</v>
      </c>
      <c r="AI415">
        <v>89.648688653863402</v>
      </c>
      <c r="AJ415">
        <v>85.999157053787201</v>
      </c>
      <c r="AK415">
        <v>3.0748081376030401</v>
      </c>
      <c r="AL415">
        <v>79.018595173246496</v>
      </c>
      <c r="AM415">
        <v>94.059718735070405</v>
      </c>
      <c r="AN415">
        <v>0.99999999381891203</v>
      </c>
    </row>
    <row r="416" spans="1:40" x14ac:dyDescent="0.25">
      <c r="A416" t="str">
        <f>"20190304155605598"</f>
        <v>20190304155605598</v>
      </c>
      <c r="B416" t="str">
        <f>"1551686165595207"</f>
        <v>1551686165595207</v>
      </c>
      <c r="C416" t="s">
        <v>40</v>
      </c>
      <c r="D416">
        <v>4.6273799999999996</v>
      </c>
      <c r="E416">
        <v>0.55003709999999995</v>
      </c>
      <c r="F416" t="s">
        <v>46</v>
      </c>
      <c r="G416">
        <v>0</v>
      </c>
      <c r="H416">
        <v>0</v>
      </c>
      <c r="I416">
        <v>0</v>
      </c>
      <c r="J416">
        <v>-399.80900000000003</v>
      </c>
      <c r="K416">
        <v>1.063447</v>
      </c>
      <c r="L416">
        <v>367.23970000000003</v>
      </c>
      <c r="M416">
        <v>0.99993430000000005</v>
      </c>
      <c r="N416">
        <v>-1.0546359999999999E-2</v>
      </c>
      <c r="O416">
        <v>-4.4886259999999999E-3</v>
      </c>
      <c r="P416">
        <v>0.98158230000000002</v>
      </c>
      <c r="Q416">
        <v>0.17945829999999999</v>
      </c>
      <c r="R416">
        <v>6.5504720000000002E-2</v>
      </c>
      <c r="S416">
        <v>3.0661320000000001</v>
      </c>
      <c r="T416">
        <v>2.2442819999999999E-2</v>
      </c>
      <c r="U416">
        <v>-0.2217102</v>
      </c>
      <c r="V416">
        <v>-6.9846640000000002E-2</v>
      </c>
      <c r="W416">
        <v>0.18982099999999999</v>
      </c>
      <c r="X416">
        <v>0.97933110000000001</v>
      </c>
      <c r="Y416">
        <v>6.764473E-2</v>
      </c>
      <c r="Z416">
        <v>-1.9002480000000001E-4</v>
      </c>
      <c r="AA416">
        <v>0.99770950000000003</v>
      </c>
      <c r="AB416">
        <v>30</v>
      </c>
      <c r="AC416">
        <v>3.0661320000000001</v>
      </c>
      <c r="AD416">
        <v>2.2442819999999999E-2</v>
      </c>
      <c r="AE416">
        <v>-0.2217102</v>
      </c>
      <c r="AF416">
        <v>0.207933398474863</v>
      </c>
      <c r="AG416">
        <v>2.2442819999999999E-2</v>
      </c>
      <c r="AH416">
        <v>3.0669328776803799</v>
      </c>
      <c r="AI416">
        <v>89.581695812877399</v>
      </c>
      <c r="AJ416">
        <v>86.121368647409398</v>
      </c>
      <c r="AK416">
        <v>3.0740555060973902</v>
      </c>
      <c r="AL416">
        <v>79.057661675052898</v>
      </c>
      <c r="AM416">
        <v>94.079471045525295</v>
      </c>
      <c r="AN416">
        <v>0.99999998429374903</v>
      </c>
    </row>
    <row r="417" spans="1:40" x14ac:dyDescent="0.25">
      <c r="A417" t="str">
        <f>"20190304155605608"</f>
        <v>20190304155605608</v>
      </c>
      <c r="B417" t="str">
        <f>"1551686165604968"</f>
        <v>1551686165604968</v>
      </c>
      <c r="C417" t="s">
        <v>40</v>
      </c>
      <c r="D417">
        <v>4.6275750000000002</v>
      </c>
      <c r="E417">
        <v>0.54959049999999998</v>
      </c>
      <c r="F417" t="s">
        <v>46</v>
      </c>
      <c r="G417">
        <v>0</v>
      </c>
      <c r="H417">
        <v>0</v>
      </c>
      <c r="I417">
        <v>0</v>
      </c>
      <c r="J417">
        <v>-399.6635</v>
      </c>
      <c r="K417">
        <v>1.0640289999999999</v>
      </c>
      <c r="L417">
        <v>367.23899999999998</v>
      </c>
      <c r="M417">
        <v>0.99994470000000002</v>
      </c>
      <c r="N417">
        <v>-9.4824909999999991E-3</v>
      </c>
      <c r="O417">
        <v>-4.5505559999999999E-3</v>
      </c>
      <c r="P417">
        <v>0.98144719999999996</v>
      </c>
      <c r="Q417">
        <v>0.18010470000000001</v>
      </c>
      <c r="R417">
        <v>6.5756110000000006E-2</v>
      </c>
      <c r="S417">
        <v>3.0658259999999999</v>
      </c>
      <c r="T417">
        <v>2.6133420000000001E-2</v>
      </c>
      <c r="U417">
        <v>-0.21478269999999999</v>
      </c>
      <c r="V417">
        <v>-7.0160330000000007E-2</v>
      </c>
      <c r="W417">
        <v>0.18942349999999999</v>
      </c>
      <c r="X417">
        <v>0.97938570000000003</v>
      </c>
      <c r="Y417">
        <v>6.5346390000000004E-2</v>
      </c>
      <c r="Z417">
        <v>-1.1388359999999999E-4</v>
      </c>
      <c r="AA417">
        <v>0.99786260000000004</v>
      </c>
      <c r="AB417">
        <v>30</v>
      </c>
      <c r="AC417">
        <v>3.0658259999999999</v>
      </c>
      <c r="AD417">
        <v>2.6133420000000001E-2</v>
      </c>
      <c r="AE417">
        <v>-0.21478269999999999</v>
      </c>
      <c r="AF417">
        <v>0.20081411604095301</v>
      </c>
      <c r="AG417">
        <v>2.6133420000000001E-2</v>
      </c>
      <c r="AH417">
        <v>3.0665499503745499</v>
      </c>
      <c r="AI417">
        <v>89.512775453027899</v>
      </c>
      <c r="AJ417">
        <v>86.253315030842899</v>
      </c>
      <c r="AK417">
        <v>3.0732292239571701</v>
      </c>
      <c r="AL417">
        <v>79.080858224408203</v>
      </c>
      <c r="AM417">
        <v>94.097502520491204</v>
      </c>
      <c r="AN417">
        <v>1.00000004181122</v>
      </c>
    </row>
    <row r="418" spans="1:40" x14ac:dyDescent="0.25">
      <c r="A418" t="str">
        <f>"20190304155605620"</f>
        <v>20190304155605620</v>
      </c>
      <c r="B418" t="str">
        <f>"1551686165615704"</f>
        <v>1551686165615704</v>
      </c>
      <c r="C418" t="s">
        <v>40</v>
      </c>
      <c r="D418">
        <v>4.6376850000000003</v>
      </c>
      <c r="E418">
        <v>0.54927019999999904</v>
      </c>
      <c r="F418" t="s">
        <v>46</v>
      </c>
      <c r="G418">
        <v>0</v>
      </c>
      <c r="H418">
        <v>0</v>
      </c>
      <c r="I418">
        <v>0</v>
      </c>
      <c r="J418">
        <v>-399.50659999999999</v>
      </c>
      <c r="K418">
        <v>1.0647629999999999</v>
      </c>
      <c r="L418">
        <v>367.23829999999998</v>
      </c>
      <c r="M418">
        <v>0.99995420000000002</v>
      </c>
      <c r="N418">
        <v>-8.3956069999999994E-3</v>
      </c>
      <c r="O418">
        <v>-4.6176999999999998E-3</v>
      </c>
      <c r="P418">
        <v>0.98127949999999997</v>
      </c>
      <c r="Q418">
        <v>0.1809048</v>
      </c>
      <c r="R418">
        <v>6.6061560000000005E-2</v>
      </c>
      <c r="S418">
        <v>3.065582</v>
      </c>
      <c r="T418">
        <v>2.841115E-2</v>
      </c>
      <c r="U418">
        <v>-0.2107849</v>
      </c>
      <c r="V418">
        <v>-7.0534369999999999E-2</v>
      </c>
      <c r="W418">
        <v>0.18915609999999999</v>
      </c>
      <c r="X418">
        <v>0.97941049999999996</v>
      </c>
      <c r="Y418">
        <v>6.3989320000000002E-2</v>
      </c>
      <c r="Z418" s="1">
        <v>-5.4239059999999998E-5</v>
      </c>
      <c r="AA418">
        <v>0.99795060000000002</v>
      </c>
      <c r="AB418">
        <v>30</v>
      </c>
      <c r="AC418">
        <v>3.065582</v>
      </c>
      <c r="AD418">
        <v>2.841115E-2</v>
      </c>
      <c r="AE418">
        <v>-0.2107849</v>
      </c>
      <c r="AF418">
        <v>0.19660940942492799</v>
      </c>
      <c r="AG418">
        <v>2.841115E-2</v>
      </c>
      <c r="AH418">
        <v>3.0662605618278</v>
      </c>
      <c r="AI418">
        <v>89.470215728499795</v>
      </c>
      <c r="AJ418">
        <v>86.331202474225705</v>
      </c>
      <c r="AK418">
        <v>3.0726887714734898</v>
      </c>
      <c r="AL418">
        <v>79.096461039445998</v>
      </c>
      <c r="AM418">
        <v>94.119168253532195</v>
      </c>
      <c r="AN418">
        <v>1.0000000275143699</v>
      </c>
    </row>
    <row r="419" spans="1:40" x14ac:dyDescent="0.25">
      <c r="A419" t="str">
        <f>"20190304155605634"</f>
        <v>20190304155605634</v>
      </c>
      <c r="B419" t="str">
        <f>"1551686165625465"</f>
        <v>1551686165625465</v>
      </c>
      <c r="C419" t="s">
        <v>40</v>
      </c>
      <c r="D419">
        <v>4.6691580000000004</v>
      </c>
      <c r="E419">
        <v>0.54895689999999997</v>
      </c>
      <c r="F419" t="s">
        <v>43</v>
      </c>
      <c r="G419">
        <v>-158.78319999999999</v>
      </c>
      <c r="H419">
        <v>3.5241579999999999</v>
      </c>
      <c r="I419">
        <v>350.95170000000002</v>
      </c>
      <c r="J419">
        <v>-399.3304</v>
      </c>
      <c r="K419">
        <v>1.065618</v>
      </c>
      <c r="L419">
        <v>367.23739999999998</v>
      </c>
      <c r="M419">
        <v>0.99996300000000005</v>
      </c>
      <c r="N419">
        <v>-7.2012250000000003E-3</v>
      </c>
      <c r="O419">
        <v>-4.69243E-3</v>
      </c>
      <c r="P419">
        <v>0.98109489999999999</v>
      </c>
      <c r="Q419">
        <v>0.18170749999999999</v>
      </c>
      <c r="R419">
        <v>6.6599690000000003E-2</v>
      </c>
      <c r="S419">
        <v>3.0654300000000001</v>
      </c>
      <c r="T419">
        <v>3.1319619999999999E-2</v>
      </c>
      <c r="U419">
        <v>-0.20739750000000001</v>
      </c>
      <c r="V419">
        <v>-7.114943E-2</v>
      </c>
      <c r="W419">
        <v>0.1887857</v>
      </c>
      <c r="X419">
        <v>0.97943749999999996</v>
      </c>
      <c r="Y419">
        <v>6.2819730000000004E-2</v>
      </c>
      <c r="Z419" s="1">
        <v>1.245079E-5</v>
      </c>
      <c r="AA419">
        <v>0.99802489999999999</v>
      </c>
      <c r="AB419">
        <v>31</v>
      </c>
      <c r="AC419">
        <v>240.5472</v>
      </c>
      <c r="AD419">
        <v>2.4585400000000002</v>
      </c>
      <c r="AE419">
        <v>-16.285699999999899</v>
      </c>
      <c r="AF419">
        <v>15.155164558766501</v>
      </c>
      <c r="AG419">
        <v>2.4585400000000002</v>
      </c>
      <c r="AH419">
        <v>240.59595484333499</v>
      </c>
      <c r="AI419">
        <v>89.415698969712594</v>
      </c>
      <c r="AJ419">
        <v>86.395694773187401</v>
      </c>
      <c r="AK419">
        <v>241.085331197713</v>
      </c>
      <c r="AL419">
        <v>79.118073019632604</v>
      </c>
      <c r="AM419">
        <v>94.154848024427096</v>
      </c>
      <c r="AN419">
        <v>1.00000004916003</v>
      </c>
    </row>
    <row r="420" spans="1:40" x14ac:dyDescent="0.25">
      <c r="A420" t="str">
        <f>"20190304155605647"</f>
        <v>20190304155605647</v>
      </c>
      <c r="B420" t="str">
        <f>"1551686165644984"</f>
        <v>1551686165644984</v>
      </c>
      <c r="C420" t="s">
        <v>40</v>
      </c>
      <c r="D420">
        <v>4.6567160000000003</v>
      </c>
      <c r="E420">
        <v>0.54880620000000002</v>
      </c>
      <c r="F420" t="s">
        <v>43</v>
      </c>
      <c r="G420">
        <v>-158.78319999999999</v>
      </c>
      <c r="H420">
        <v>3.7909670000000002</v>
      </c>
      <c r="I420">
        <v>351.29410000000001</v>
      </c>
      <c r="J420">
        <v>-399.13749999999999</v>
      </c>
      <c r="K420">
        <v>1.066611</v>
      </c>
      <c r="L420">
        <v>367.2364</v>
      </c>
      <c r="M420">
        <v>0.99997100000000005</v>
      </c>
      <c r="N420">
        <v>-5.9524290000000004E-3</v>
      </c>
      <c r="O420">
        <v>-4.7718910000000003E-3</v>
      </c>
      <c r="P420">
        <v>0.98088540000000002</v>
      </c>
      <c r="Q420">
        <v>0.18265100000000001</v>
      </c>
      <c r="R420">
        <v>6.7100670000000001E-2</v>
      </c>
      <c r="S420">
        <v>3.0651549999999999</v>
      </c>
      <c r="T420">
        <v>3.472865E-2</v>
      </c>
      <c r="U420">
        <v>-0.20315549999999999</v>
      </c>
      <c r="V420">
        <v>-7.1732509999999999E-2</v>
      </c>
      <c r="W420">
        <v>0.1885029</v>
      </c>
      <c r="X420">
        <v>0.97944940000000003</v>
      </c>
      <c r="Y420">
        <v>6.1370500000000001E-2</v>
      </c>
      <c r="Z420" s="1">
        <v>8.2043729999999997E-5</v>
      </c>
      <c r="AA420">
        <v>0.99811510000000003</v>
      </c>
      <c r="AB420">
        <v>31</v>
      </c>
      <c r="AC420">
        <v>240.35429999999999</v>
      </c>
      <c r="AD420">
        <v>2.7243560000000002</v>
      </c>
      <c r="AE420">
        <v>-15.9422999999999</v>
      </c>
      <c r="AF420">
        <v>14.793261495505901</v>
      </c>
      <c r="AG420">
        <v>2.7243560000000002</v>
      </c>
      <c r="AH420">
        <v>240.39688951515899</v>
      </c>
      <c r="AI420">
        <v>89.351935266263993</v>
      </c>
      <c r="AJ420">
        <v>86.478639994560297</v>
      </c>
      <c r="AK420">
        <v>240.867032177201</v>
      </c>
      <c r="AL420">
        <v>79.134572093997505</v>
      </c>
      <c r="AM420">
        <v>94.188726195924403</v>
      </c>
      <c r="AN420">
        <v>1.00000001172983</v>
      </c>
    </row>
    <row r="421" spans="1:40" x14ac:dyDescent="0.25">
      <c r="A421" t="str">
        <f>"20190304155605666"</f>
        <v>20190304155605666</v>
      </c>
      <c r="B421" t="str">
        <f>"1551686165655719"</f>
        <v>1551686165655719</v>
      </c>
      <c r="C421" t="s">
        <v>40</v>
      </c>
      <c r="D421">
        <v>4.4620699999999998</v>
      </c>
      <c r="E421">
        <v>0.50017670000000003</v>
      </c>
      <c r="F421" t="s">
        <v>43</v>
      </c>
      <c r="G421">
        <v>-158.78319999999999</v>
      </c>
      <c r="H421">
        <v>4.4191580000000004</v>
      </c>
      <c r="I421">
        <v>351.52120000000002</v>
      </c>
      <c r="J421">
        <v>-398.88709999999998</v>
      </c>
      <c r="K421">
        <v>1.067925</v>
      </c>
      <c r="L421">
        <v>367.23509999999999</v>
      </c>
      <c r="M421">
        <v>0.99997840000000005</v>
      </c>
      <c r="N421">
        <v>-4.4289439999999998E-3</v>
      </c>
      <c r="O421">
        <v>-4.8660409999999998E-3</v>
      </c>
      <c r="P421">
        <v>0.98068040000000001</v>
      </c>
      <c r="Q421">
        <v>0.18349460000000001</v>
      </c>
      <c r="R421">
        <v>6.7793119999999998E-2</v>
      </c>
      <c r="S421">
        <v>3.064209</v>
      </c>
      <c r="T421">
        <v>4.274178E-2</v>
      </c>
      <c r="U421">
        <v>-0.2003479</v>
      </c>
      <c r="V421">
        <v>-7.2521199999999994E-2</v>
      </c>
      <c r="W421">
        <v>0.1878515</v>
      </c>
      <c r="X421">
        <v>0.97951639999999995</v>
      </c>
      <c r="Y421">
        <v>6.0384269999999997E-2</v>
      </c>
      <c r="Z421">
        <v>1.9748049999999999E-4</v>
      </c>
      <c r="AA421">
        <v>0.99817520000000004</v>
      </c>
      <c r="AB421">
        <v>31</v>
      </c>
      <c r="AC421">
        <v>240.10390000000001</v>
      </c>
      <c r="AD421">
        <v>3.3512330000000001</v>
      </c>
      <c r="AE421">
        <v>-15.713899999999899</v>
      </c>
      <c r="AF421">
        <v>14.5425261859121</v>
      </c>
      <c r="AG421">
        <v>3.3512330000000001</v>
      </c>
      <c r="AH421">
        <v>240.13094217367299</v>
      </c>
      <c r="AI421">
        <v>89.201902249806494</v>
      </c>
      <c r="AJ421">
        <v>86.534353495521003</v>
      </c>
      <c r="AK421">
        <v>240.59423355455601</v>
      </c>
      <c r="AL421">
        <v>79.172572715698806</v>
      </c>
      <c r="AM421">
        <v>94.234325496364505</v>
      </c>
      <c r="AN421">
        <v>0.99999994418532301</v>
      </c>
    </row>
    <row r="422" spans="1:40" x14ac:dyDescent="0.25">
      <c r="A422" t="str">
        <f>"20190304155605680"</f>
        <v>20190304155605680</v>
      </c>
      <c r="B422" t="str">
        <f>"1551686165675240"</f>
        <v>1551686165675240</v>
      </c>
      <c r="C422" t="s">
        <v>40</v>
      </c>
      <c r="D422">
        <v>4.6196999999999999</v>
      </c>
      <c r="E422">
        <v>0.4974248</v>
      </c>
      <c r="F422" t="s">
        <v>43</v>
      </c>
      <c r="G422">
        <v>-169.2955</v>
      </c>
      <c r="H422">
        <v>5.632536</v>
      </c>
      <c r="I422">
        <v>381.55430000000001</v>
      </c>
      <c r="J422">
        <v>-398.6961</v>
      </c>
      <c r="K422">
        <v>1.0689249999999999</v>
      </c>
      <c r="L422">
        <v>367.23410000000001</v>
      </c>
      <c r="M422">
        <v>0.99998229999999999</v>
      </c>
      <c r="N422">
        <v>-3.350488E-3</v>
      </c>
      <c r="O422">
        <v>-4.9281730000000001E-3</v>
      </c>
      <c r="P422">
        <v>0.98052810000000001</v>
      </c>
      <c r="Q422">
        <v>0.18415899999999999</v>
      </c>
      <c r="R422">
        <v>6.8195389999999995E-2</v>
      </c>
      <c r="S422">
        <v>3.034729</v>
      </c>
      <c r="T422">
        <v>6.033587E-2</v>
      </c>
      <c r="U422">
        <v>0.18926999999999999</v>
      </c>
      <c r="V422">
        <v>-7.298731E-2</v>
      </c>
      <c r="W422">
        <v>0.1874575</v>
      </c>
      <c r="X422">
        <v>0.97955729999999996</v>
      </c>
      <c r="Y422">
        <v>-6.7152660000000003E-2</v>
      </c>
      <c r="Z422">
        <v>-6.686013E-4</v>
      </c>
      <c r="AA422">
        <v>0.99774249999999998</v>
      </c>
      <c r="AB422">
        <v>31</v>
      </c>
      <c r="AC422">
        <v>229.4006</v>
      </c>
      <c r="AD422">
        <v>4.5636109999999999</v>
      </c>
      <c r="AE422">
        <v>14.3202</v>
      </c>
      <c r="AF422">
        <v>-15.4444697006662</v>
      </c>
      <c r="AG422">
        <v>4.5636109999999999</v>
      </c>
      <c r="AH422">
        <v>229.23687157861801</v>
      </c>
      <c r="AI422">
        <v>88.862094402098805</v>
      </c>
      <c r="AJ422">
        <v>93.8543871637075</v>
      </c>
      <c r="AK422">
        <v>229.80187440672799</v>
      </c>
      <c r="AL422">
        <v>79.195555964777796</v>
      </c>
      <c r="AM422">
        <v>94.261263243941798</v>
      </c>
      <c r="AN422">
        <v>0.99999998285528702</v>
      </c>
    </row>
    <row r="423" spans="1:40" x14ac:dyDescent="0.25">
      <c r="A423" t="str">
        <f>"20190304155605698"</f>
        <v>20190304155605698</v>
      </c>
      <c r="B423" t="str">
        <f>"1551686165695735"</f>
        <v>1551686165695735</v>
      </c>
      <c r="C423" t="s">
        <v>40</v>
      </c>
      <c r="D423">
        <v>4.6562299999999999</v>
      </c>
      <c r="E423">
        <v>0.49538929999999998</v>
      </c>
      <c r="F423" t="s">
        <v>43</v>
      </c>
      <c r="G423">
        <v>-169.2955</v>
      </c>
      <c r="H423">
        <v>5.7276129999999998</v>
      </c>
      <c r="I423">
        <v>383.30919999999998</v>
      </c>
      <c r="J423">
        <v>-398.43880000000001</v>
      </c>
      <c r="K423">
        <v>1.070344</v>
      </c>
      <c r="L423">
        <v>367.2328</v>
      </c>
      <c r="M423">
        <v>0.99998500000000001</v>
      </c>
      <c r="N423">
        <v>-2.3072729999999999E-3</v>
      </c>
      <c r="O423">
        <v>-5.002856E-3</v>
      </c>
      <c r="P423">
        <v>0.98038899999999995</v>
      </c>
      <c r="Q423">
        <v>0.18451190000000001</v>
      </c>
      <c r="R423">
        <v>6.9232100000000005E-2</v>
      </c>
      <c r="S423">
        <v>3.0332949999999999</v>
      </c>
      <c r="T423">
        <v>6.160152E-2</v>
      </c>
      <c r="U423">
        <v>0.21255489999999999</v>
      </c>
      <c r="V423">
        <v>-7.4101120000000006E-2</v>
      </c>
      <c r="W423">
        <v>0.1867868</v>
      </c>
      <c r="X423">
        <v>0.97960179999999997</v>
      </c>
      <c r="Y423">
        <v>-7.4877410000000005E-2</v>
      </c>
      <c r="Z423">
        <v>-7.8581449999999998E-4</v>
      </c>
      <c r="AA423">
        <v>0.99719239999999998</v>
      </c>
      <c r="AB423">
        <v>31</v>
      </c>
      <c r="AC423">
        <v>229.14330000000001</v>
      </c>
      <c r="AD423">
        <v>4.6572689999999897</v>
      </c>
      <c r="AE423">
        <v>16.0763999999999</v>
      </c>
      <c r="AF423">
        <v>-17.215495820688599</v>
      </c>
      <c r="AG423">
        <v>4.6572689999999897</v>
      </c>
      <c r="AH423">
        <v>228.96588326711</v>
      </c>
      <c r="AI423">
        <v>88.838017722751303</v>
      </c>
      <c r="AJ423">
        <v>94.299866770573502</v>
      </c>
      <c r="AK423">
        <v>229.65939813379799</v>
      </c>
      <c r="AL423">
        <v>79.234675252525506</v>
      </c>
      <c r="AM423">
        <v>94.325850713099697</v>
      </c>
      <c r="AN423">
        <v>0.99999998560136705</v>
      </c>
    </row>
    <row r="424" spans="1:40" x14ac:dyDescent="0.25">
      <c r="A424" t="str">
        <f>"20190304155605710"</f>
        <v>20190304155605710</v>
      </c>
      <c r="B424" t="str">
        <f>"1551686165705495"</f>
        <v>1551686165705495</v>
      </c>
      <c r="C424" t="s">
        <v>40</v>
      </c>
      <c r="D424">
        <v>4.6071369999999998</v>
      </c>
      <c r="E424">
        <v>0.49455159999999998</v>
      </c>
      <c r="F424" t="s">
        <v>43</v>
      </c>
      <c r="G424">
        <v>-158.78319999999999</v>
      </c>
      <c r="H424">
        <v>2.7854290000000002</v>
      </c>
      <c r="I424">
        <v>385.40120000000002</v>
      </c>
      <c r="J424">
        <v>-398.28399999999999</v>
      </c>
      <c r="K424">
        <v>1.0712549999999901</v>
      </c>
      <c r="L424">
        <v>367.23200000000003</v>
      </c>
      <c r="M424">
        <v>0.99998529999999997</v>
      </c>
      <c r="N424">
        <v>-1.944304E-3</v>
      </c>
      <c r="O424">
        <v>-5.0446190000000002E-3</v>
      </c>
      <c r="P424">
        <v>0.98034019999999999</v>
      </c>
      <c r="Q424">
        <v>0.1846315</v>
      </c>
      <c r="R424">
        <v>6.9600709999999996E-2</v>
      </c>
      <c r="S424">
        <v>3.0396730000000001</v>
      </c>
      <c r="T424">
        <v>2.175438E-2</v>
      </c>
      <c r="U424">
        <v>0.23043820000000001</v>
      </c>
      <c r="V424">
        <v>-7.4513709999999997E-2</v>
      </c>
      <c r="W424">
        <v>0.1865493</v>
      </c>
      <c r="X424">
        <v>0.97961569999999998</v>
      </c>
      <c r="Y424">
        <v>-8.0620849999999994E-2</v>
      </c>
      <c r="Z424">
        <v>-2.5543510000000002E-4</v>
      </c>
      <c r="AA424">
        <v>0.99674479999999999</v>
      </c>
      <c r="AB424">
        <v>31</v>
      </c>
      <c r="AC424">
        <v>239.5008</v>
      </c>
      <c r="AD424">
        <v>1.7141740000000001</v>
      </c>
      <c r="AE424">
        <v>18.1692</v>
      </c>
      <c r="AF424">
        <v>-19.376174587850901</v>
      </c>
      <c r="AG424">
        <v>1.7141740000000001</v>
      </c>
      <c r="AH424">
        <v>239.39390249455801</v>
      </c>
      <c r="AI424">
        <v>89.591079222642307</v>
      </c>
      <c r="AJ424">
        <v>94.627345305001498</v>
      </c>
      <c r="AK424">
        <v>240.18287841920599</v>
      </c>
      <c r="AL424">
        <v>79.2485258249162</v>
      </c>
      <c r="AM424">
        <v>94.349783082779595</v>
      </c>
      <c r="AN424">
        <v>0.99999992699746898</v>
      </c>
    </row>
    <row r="425" spans="1:40" x14ac:dyDescent="0.25">
      <c r="A425" t="str">
        <f>"20190304155605723"</f>
        <v>20190304155605723</v>
      </c>
      <c r="B425" t="str">
        <f>"1551686165715256"</f>
        <v>1551686165715256</v>
      </c>
      <c r="C425" t="s">
        <v>40</v>
      </c>
      <c r="D425">
        <v>4.8426679999999998</v>
      </c>
      <c r="E425">
        <v>0.49522440000000001</v>
      </c>
      <c r="F425" t="s">
        <v>47</v>
      </c>
      <c r="G425">
        <v>-223.24510000000001</v>
      </c>
      <c r="H425">
        <v>1.718513</v>
      </c>
      <c r="I425">
        <v>380.93959999999998</v>
      </c>
      <c r="J425">
        <v>-398.10890000000001</v>
      </c>
      <c r="K425">
        <v>1.0725559999999901</v>
      </c>
      <c r="L425">
        <v>367.23110000000003</v>
      </c>
      <c r="M425">
        <v>0.99998509999999996</v>
      </c>
      <c r="N425">
        <v>-2.058046E-3</v>
      </c>
      <c r="O425">
        <v>-5.0847770000000004E-3</v>
      </c>
      <c r="P425">
        <v>0.98031559999999995</v>
      </c>
      <c r="Q425">
        <v>0.18471170000000001</v>
      </c>
      <c r="R425">
        <v>6.9735370000000005E-2</v>
      </c>
      <c r="S425">
        <v>3.0411679999999999</v>
      </c>
      <c r="T425">
        <v>1.1246920000000001E-2</v>
      </c>
      <c r="U425">
        <v>0.23815919999999999</v>
      </c>
      <c r="V425">
        <v>-7.4690800000000002E-2</v>
      </c>
      <c r="W425">
        <v>0.1867395</v>
      </c>
      <c r="X425">
        <v>0.97956600000000005</v>
      </c>
      <c r="Y425">
        <v>-8.3140629999999993E-2</v>
      </c>
      <c r="Z425" s="1">
        <v>-9.7041090000000001E-5</v>
      </c>
      <c r="AA425">
        <v>0.99653780000000003</v>
      </c>
      <c r="AB425">
        <v>30</v>
      </c>
      <c r="AC425">
        <v>174.8638</v>
      </c>
      <c r="AD425">
        <v>0.645957</v>
      </c>
      <c r="AE425">
        <v>13.7084999999999</v>
      </c>
      <c r="AF425">
        <v>-14.597269985414</v>
      </c>
      <c r="AG425">
        <v>0.645957</v>
      </c>
      <c r="AH425">
        <v>174.78946400669699</v>
      </c>
      <c r="AI425">
        <v>89.788991576951403</v>
      </c>
      <c r="AJ425">
        <v>94.773889907484801</v>
      </c>
      <c r="AK425">
        <v>175.399128501886</v>
      </c>
      <c r="AL425">
        <v>79.237433519607293</v>
      </c>
      <c r="AM425">
        <v>94.360301365862497</v>
      </c>
      <c r="AN425">
        <v>0.99999995241044304</v>
      </c>
    </row>
    <row r="426" spans="1:40" x14ac:dyDescent="0.25">
      <c r="A426" t="str">
        <f>"20190304155605735"</f>
        <v>20190304155605735</v>
      </c>
      <c r="B426" t="str">
        <f>"1551686165725015"</f>
        <v>1551686165725015</v>
      </c>
      <c r="C426" t="s">
        <v>40</v>
      </c>
      <c r="D426">
        <v>4.6102650000000001</v>
      </c>
      <c r="E426">
        <v>0.49503540000000001</v>
      </c>
      <c r="F426" t="s">
        <v>43</v>
      </c>
      <c r="G426">
        <v>-158.78319999999999</v>
      </c>
      <c r="H426">
        <v>1.70624199999999</v>
      </c>
      <c r="I426">
        <v>385.54199999999997</v>
      </c>
      <c r="J426">
        <v>-397.93549999999999</v>
      </c>
      <c r="K426">
        <v>1.0739129999999999</v>
      </c>
      <c r="L426">
        <v>367.23020000000002</v>
      </c>
      <c r="M426">
        <v>0.9999846</v>
      </c>
      <c r="N426">
        <v>-2.1745940000000002E-3</v>
      </c>
      <c r="O426">
        <v>-5.1200600000000001E-3</v>
      </c>
      <c r="P426">
        <v>0.98035260000000002</v>
      </c>
      <c r="Q426">
        <v>0.18453710000000001</v>
      </c>
      <c r="R426">
        <v>6.9677249999999996E-2</v>
      </c>
      <c r="S426">
        <v>3.0421749999999999</v>
      </c>
      <c r="T426">
        <v>8.0561639999999993E-3</v>
      </c>
      <c r="U426">
        <v>0.23275760000000001</v>
      </c>
      <c r="V426">
        <v>-7.4670180000000003E-2</v>
      </c>
      <c r="W426">
        <v>0.1866786</v>
      </c>
      <c r="X426">
        <v>0.97957919999999998</v>
      </c>
      <c r="Y426">
        <v>-8.1391329999999998E-2</v>
      </c>
      <c r="Z426" s="1">
        <v>-4.3642149999999997E-5</v>
      </c>
      <c r="AA426">
        <v>0.99668219999999996</v>
      </c>
      <c r="AB426">
        <v>30</v>
      </c>
      <c r="AC426">
        <v>239.1523</v>
      </c>
      <c r="AD426">
        <v>0.63232899999999903</v>
      </c>
      <c r="AE426">
        <v>18.311799999999899</v>
      </c>
      <c r="AF426">
        <v>-19.535901128649801</v>
      </c>
      <c r="AG426">
        <v>0.63232899999999903</v>
      </c>
      <c r="AH426">
        <v>239.05374606985299</v>
      </c>
      <c r="AI426">
        <v>89.848948936855606</v>
      </c>
      <c r="AJ426">
        <v>94.671931957193806</v>
      </c>
      <c r="AK426">
        <v>239.85150569238101</v>
      </c>
      <c r="AL426">
        <v>79.240985506010006</v>
      </c>
      <c r="AM426">
        <v>94.359043738101903</v>
      </c>
      <c r="AN426">
        <v>0.99999997227591497</v>
      </c>
    </row>
    <row r="427" spans="1:40" x14ac:dyDescent="0.25">
      <c r="A427" t="str">
        <f>"20190304155605748"</f>
        <v>20190304155605748</v>
      </c>
      <c r="B427" t="str">
        <f>"1551686165745511"</f>
        <v>1551686165745511</v>
      </c>
      <c r="C427" t="s">
        <v>40</v>
      </c>
      <c r="D427">
        <v>4.6079739999999996</v>
      </c>
      <c r="E427">
        <v>0.49467689999999997</v>
      </c>
      <c r="F427" t="s">
        <v>43</v>
      </c>
      <c r="G427">
        <v>-158.78319999999999</v>
      </c>
      <c r="H427">
        <v>1.536934</v>
      </c>
      <c r="I427">
        <v>385.62009999999998</v>
      </c>
      <c r="J427">
        <v>-397.76190000000003</v>
      </c>
      <c r="K427">
        <v>1.0753490000000001</v>
      </c>
      <c r="L427">
        <v>367.22930000000002</v>
      </c>
      <c r="M427">
        <v>0.99998410000000004</v>
      </c>
      <c r="N427">
        <v>-2.295685E-3</v>
      </c>
      <c r="O427">
        <v>-5.1505910000000004E-3</v>
      </c>
      <c r="P427">
        <v>0.98036520000000005</v>
      </c>
      <c r="Q427">
        <v>0.1844943</v>
      </c>
      <c r="R427">
        <v>6.9612670000000001E-2</v>
      </c>
      <c r="S427">
        <v>3.042389</v>
      </c>
      <c r="T427">
        <v>5.8914419999999898E-3</v>
      </c>
      <c r="U427">
        <v>0.23394780000000001</v>
      </c>
      <c r="V427">
        <v>-7.4636880000000003E-2</v>
      </c>
      <c r="W427">
        <v>0.186753</v>
      </c>
      <c r="X427">
        <v>0.97956759999999998</v>
      </c>
      <c r="Y427">
        <v>-8.1804150000000006E-2</v>
      </c>
      <c r="Z427" s="1">
        <v>-6.8171070000000003E-6</v>
      </c>
      <c r="AA427">
        <v>0.99664839999999999</v>
      </c>
      <c r="AB427">
        <v>30</v>
      </c>
      <c r="AC427">
        <v>238.9787</v>
      </c>
      <c r="AD427">
        <v>0.46158500000000002</v>
      </c>
      <c r="AE427">
        <v>18.390799999999899</v>
      </c>
      <c r="AF427">
        <v>-19.621368072050501</v>
      </c>
      <c r="AG427">
        <v>0.46158500000000002</v>
      </c>
      <c r="AH427">
        <v>238.879920408261</v>
      </c>
      <c r="AI427">
        <v>89.889659739913796</v>
      </c>
      <c r="AJ427">
        <v>94.695679129784907</v>
      </c>
      <c r="AK427">
        <v>239.68485041818599</v>
      </c>
      <c r="AL427">
        <v>79.236646856549001</v>
      </c>
      <c r="AM427">
        <v>94.357158659491006</v>
      </c>
      <c r="AN427">
        <v>1.0000000149174399</v>
      </c>
    </row>
    <row r="428" spans="1:40" x14ac:dyDescent="0.25">
      <c r="A428" t="str">
        <f>"20190304155605766"</f>
        <v>20190304155605766</v>
      </c>
      <c r="B428" t="str">
        <f>"1551686165755271"</f>
        <v>1551686165755271</v>
      </c>
      <c r="C428" t="s">
        <v>40</v>
      </c>
      <c r="D428">
        <v>4.628247</v>
      </c>
      <c r="E428">
        <v>0.49474760000000001</v>
      </c>
      <c r="F428" t="s">
        <v>47</v>
      </c>
      <c r="G428">
        <v>-223.26130000000001</v>
      </c>
      <c r="H428">
        <v>1.322829</v>
      </c>
      <c r="I428">
        <v>380.79079999999999</v>
      </c>
      <c r="J428">
        <v>-397.52190000000002</v>
      </c>
      <c r="K428">
        <v>1.077399</v>
      </c>
      <c r="L428">
        <v>367.22800000000001</v>
      </c>
      <c r="M428">
        <v>0.99998419999999999</v>
      </c>
      <c r="N428">
        <v>-2.1873700000000001E-3</v>
      </c>
      <c r="O428">
        <v>-5.1806150000000004E-3</v>
      </c>
      <c r="P428">
        <v>0.98026170000000001</v>
      </c>
      <c r="Q428">
        <v>0.18500720000000001</v>
      </c>
      <c r="R428">
        <v>6.9710079999999994E-2</v>
      </c>
      <c r="S428">
        <v>3.0424799999999999</v>
      </c>
      <c r="T428">
        <v>4.3162110000000004E-3</v>
      </c>
      <c r="U428">
        <v>0.2364502</v>
      </c>
      <c r="V428">
        <v>-7.4764570000000002E-2</v>
      </c>
      <c r="W428">
        <v>0.1871592</v>
      </c>
      <c r="X428">
        <v>0.97948029999999997</v>
      </c>
      <c r="Y428">
        <v>-8.2646639999999993E-2</v>
      </c>
      <c r="Z428" s="1">
        <v>1.3337500000000001E-5</v>
      </c>
      <c r="AA428">
        <v>0.99657890000000005</v>
      </c>
      <c r="AB428">
        <v>30</v>
      </c>
      <c r="AC428">
        <v>174.26060000000001</v>
      </c>
      <c r="AD428">
        <v>0.24543000000000001</v>
      </c>
      <c r="AE428">
        <v>13.5627999999999</v>
      </c>
      <c r="AF428">
        <v>-14.465368699871901</v>
      </c>
      <c r="AG428">
        <v>0.24543000000000001</v>
      </c>
      <c r="AH428">
        <v>174.187654250131</v>
      </c>
      <c r="AI428">
        <v>89.919547374145495</v>
      </c>
      <c r="AJ428">
        <v>94.747220233578901</v>
      </c>
      <c r="AK428">
        <v>174.787430957352</v>
      </c>
      <c r="AL428">
        <v>79.212955240105501</v>
      </c>
      <c r="AM428">
        <v>94.3649716857946</v>
      </c>
      <c r="AN428">
        <v>0.999999982580007</v>
      </c>
    </row>
    <row r="429" spans="1:40" x14ac:dyDescent="0.25">
      <c r="A429" t="str">
        <f>"20190304155605780"</f>
        <v>20190304155605780</v>
      </c>
      <c r="B429" t="str">
        <f>"1551686165775767"</f>
        <v>1551686165775767</v>
      </c>
      <c r="C429" t="s">
        <v>40</v>
      </c>
      <c r="D429">
        <v>4.6353479999999996</v>
      </c>
      <c r="E429">
        <v>0.49563689999999999</v>
      </c>
      <c r="F429" t="s">
        <v>47</v>
      </c>
      <c r="G429">
        <v>-223.2071</v>
      </c>
      <c r="H429">
        <v>1.222858</v>
      </c>
      <c r="I429">
        <v>380.74770000000001</v>
      </c>
      <c r="J429">
        <v>-397.33159999999998</v>
      </c>
      <c r="K429">
        <v>1.0790869999999999</v>
      </c>
      <c r="L429">
        <v>367.22710000000001</v>
      </c>
      <c r="M429">
        <v>0.9999844</v>
      </c>
      <c r="N429">
        <v>-2.0949010000000001E-3</v>
      </c>
      <c r="O429">
        <v>-5.1974329999999996E-3</v>
      </c>
      <c r="P429">
        <v>0.98026100000000005</v>
      </c>
      <c r="Q429">
        <v>0.1849807</v>
      </c>
      <c r="R429">
        <v>6.9789690000000001E-2</v>
      </c>
      <c r="S429">
        <v>3.0431520000000001</v>
      </c>
      <c r="T429">
        <v>2.540708E-3</v>
      </c>
      <c r="U429">
        <v>0.23602290000000001</v>
      </c>
      <c r="V429">
        <v>-7.4861559999999994E-2</v>
      </c>
      <c r="W429">
        <v>0.18704209999999999</v>
      </c>
      <c r="X429">
        <v>0.97949529999999996</v>
      </c>
      <c r="Y429">
        <v>-8.2507360000000002E-2</v>
      </c>
      <c r="Z429" s="1">
        <v>3.6956940000000001E-5</v>
      </c>
      <c r="AA429">
        <v>0.99659039999999999</v>
      </c>
      <c r="AB429">
        <v>30</v>
      </c>
      <c r="AC429">
        <v>174.12449999999899</v>
      </c>
      <c r="AD429">
        <v>0.14377099999999901</v>
      </c>
      <c r="AE429">
        <v>13.5206</v>
      </c>
      <c r="AF429">
        <v>-14.4254099211762</v>
      </c>
      <c r="AG429">
        <v>0.14377099999999901</v>
      </c>
      <c r="AH429">
        <v>174.05175762702601</v>
      </c>
      <c r="AI429">
        <v>89.952834014926907</v>
      </c>
      <c r="AJ429">
        <v>94.737845851021603</v>
      </c>
      <c r="AK429">
        <v>174.64858274418199</v>
      </c>
      <c r="AL429">
        <v>79.219785612689407</v>
      </c>
      <c r="AM429">
        <v>94.3705456432495</v>
      </c>
      <c r="AN429">
        <v>1.00000002153006</v>
      </c>
    </row>
    <row r="430" spans="1:40" x14ac:dyDescent="0.25">
      <c r="A430" t="str">
        <f>"20190304155605798"</f>
        <v>20190304155605798</v>
      </c>
      <c r="B430" t="str">
        <f>"1551686165795710"</f>
        <v>1551686165795710</v>
      </c>
      <c r="C430" t="s">
        <v>40</v>
      </c>
      <c r="D430">
        <v>4.606751</v>
      </c>
      <c r="E430">
        <v>0.49639860000000002</v>
      </c>
      <c r="F430" t="s">
        <v>43</v>
      </c>
      <c r="G430">
        <v>-158.78319999999999</v>
      </c>
      <c r="H430">
        <v>1.458874</v>
      </c>
      <c r="I430">
        <v>385.18060000000003</v>
      </c>
      <c r="J430">
        <v>-397.08100000000002</v>
      </c>
      <c r="K430">
        <v>1.0813919999999999</v>
      </c>
      <c r="L430">
        <v>367.22570000000002</v>
      </c>
      <c r="M430">
        <v>0.99998430000000005</v>
      </c>
      <c r="N430">
        <v>-2.0915830000000002E-3</v>
      </c>
      <c r="O430">
        <v>-5.2133969999999998E-3</v>
      </c>
      <c r="P430">
        <v>0.98019610000000001</v>
      </c>
      <c r="Q430">
        <v>0.18498249999999999</v>
      </c>
      <c r="R430">
        <v>7.0690530000000001E-2</v>
      </c>
      <c r="S430">
        <v>3.0431819999999998</v>
      </c>
      <c r="T430">
        <v>4.8460959999999898E-3</v>
      </c>
      <c r="U430">
        <v>0.2290344</v>
      </c>
      <c r="V430">
        <v>-7.5778869999999998E-2</v>
      </c>
      <c r="W430">
        <v>0.18704019999999999</v>
      </c>
      <c r="X430">
        <v>0.97942510000000005</v>
      </c>
      <c r="Y430">
        <v>-8.0246929999999994E-2</v>
      </c>
      <c r="Z430" s="1">
        <v>1.057022E-6</v>
      </c>
      <c r="AA430">
        <v>0.99677499999999997</v>
      </c>
      <c r="AB430">
        <v>30</v>
      </c>
      <c r="AC430">
        <v>238.2978</v>
      </c>
      <c r="AD430">
        <v>0.37748199999999998</v>
      </c>
      <c r="AE430">
        <v>17.954899999999999</v>
      </c>
      <c r="AF430">
        <v>-19.196951752795702</v>
      </c>
      <c r="AG430">
        <v>0.37748199999999998</v>
      </c>
      <c r="AH430">
        <v>238.20036099468101</v>
      </c>
      <c r="AI430">
        <v>89.909495475586496</v>
      </c>
      <c r="AJ430">
        <v>94.6076011452637</v>
      </c>
      <c r="AK430">
        <v>238.97296379979099</v>
      </c>
      <c r="AL430">
        <v>79.219896195847298</v>
      </c>
      <c r="AM430">
        <v>94.424204275378898</v>
      </c>
      <c r="AN430">
        <v>1.00000000003226</v>
      </c>
    </row>
    <row r="431" spans="1:40" x14ac:dyDescent="0.25">
      <c r="A431" t="str">
        <f>"20190304155605809"</f>
        <v>20190304155605809</v>
      </c>
      <c r="B431" t="str">
        <f>"1551686165805470"</f>
        <v>1551686165805470</v>
      </c>
      <c r="C431" t="s">
        <v>40</v>
      </c>
      <c r="D431">
        <v>4.5963789999999998</v>
      </c>
      <c r="E431">
        <v>0.49668380000000001</v>
      </c>
      <c r="F431" t="s">
        <v>43</v>
      </c>
      <c r="G431">
        <v>-169.2955</v>
      </c>
      <c r="H431">
        <v>1.5870299999999999</v>
      </c>
      <c r="I431">
        <v>384.1508</v>
      </c>
      <c r="J431">
        <v>-396.92750000000001</v>
      </c>
      <c r="K431">
        <v>1.0828420000000001</v>
      </c>
      <c r="L431">
        <v>367.22489999999999</v>
      </c>
      <c r="M431">
        <v>0.99998410000000004</v>
      </c>
      <c r="N431">
        <v>-2.1666760000000002E-3</v>
      </c>
      <c r="O431">
        <v>-5.221107E-3</v>
      </c>
      <c r="P431">
        <v>0.98019100000000003</v>
      </c>
      <c r="Q431">
        <v>0.18477009999999999</v>
      </c>
      <c r="R431">
        <v>7.1316499999999894E-2</v>
      </c>
      <c r="S431">
        <v>3.0430299999999999</v>
      </c>
      <c r="T431">
        <v>6.7560669999999897E-3</v>
      </c>
      <c r="U431">
        <v>0.22610469999999999</v>
      </c>
      <c r="V431">
        <v>-7.6412350000000004E-2</v>
      </c>
      <c r="W431">
        <v>0.1869006</v>
      </c>
      <c r="X431">
        <v>0.97940249999999995</v>
      </c>
      <c r="Y431">
        <v>-7.9303940000000003E-2</v>
      </c>
      <c r="Z431" s="1">
        <v>-2.4754509999999999E-5</v>
      </c>
      <c r="AA431">
        <v>0.99685049999999997</v>
      </c>
      <c r="AB431">
        <v>31</v>
      </c>
      <c r="AC431">
        <v>227.63200000000001</v>
      </c>
      <c r="AD431">
        <v>0.50418799999999897</v>
      </c>
      <c r="AE431">
        <v>16.925899999999999</v>
      </c>
      <c r="AF431">
        <v>-18.1140746469496</v>
      </c>
      <c r="AG431">
        <v>0.50418799999999897</v>
      </c>
      <c r="AH431">
        <v>227.539415062834</v>
      </c>
      <c r="AI431">
        <v>89.873443060973599</v>
      </c>
      <c r="AJ431">
        <v>94.551632698462697</v>
      </c>
      <c r="AK431">
        <v>228.25985041831399</v>
      </c>
      <c r="AL431">
        <v>79.228037932206504</v>
      </c>
      <c r="AM431">
        <v>94.461142642314201</v>
      </c>
      <c r="AN431">
        <v>0.99999996925956502</v>
      </c>
    </row>
    <row r="432" spans="1:40" x14ac:dyDescent="0.25">
      <c r="A432" t="str">
        <f>"20190304155605823"</f>
        <v>20190304155605823</v>
      </c>
      <c r="B432" t="str">
        <f>"1551686165815231"</f>
        <v>1551686165815231</v>
      </c>
      <c r="C432" t="s">
        <v>40</v>
      </c>
      <c r="D432">
        <v>4.6939229999999998</v>
      </c>
      <c r="E432">
        <v>0.49713220000000002</v>
      </c>
      <c r="F432" t="s">
        <v>43</v>
      </c>
      <c r="G432">
        <v>-169.2955</v>
      </c>
      <c r="H432">
        <v>1.625507</v>
      </c>
      <c r="I432">
        <v>384.11219999999997</v>
      </c>
      <c r="J432">
        <v>-396.7516</v>
      </c>
      <c r="K432">
        <v>1.0845229999999999</v>
      </c>
      <c r="L432">
        <v>367.22399999999999</v>
      </c>
      <c r="M432">
        <v>0.99998350000000003</v>
      </c>
      <c r="N432">
        <v>-2.4251300000000002E-3</v>
      </c>
      <c r="O432">
        <v>-5.2279680000000004E-3</v>
      </c>
      <c r="P432">
        <v>0.98023939999999998</v>
      </c>
      <c r="Q432">
        <v>0.1842114</v>
      </c>
      <c r="R432">
        <v>7.2091189999999999E-2</v>
      </c>
      <c r="S432">
        <v>3.0428470000000001</v>
      </c>
      <c r="T432">
        <v>7.2551969999999997E-3</v>
      </c>
      <c r="U432">
        <v>0.22573850000000001</v>
      </c>
      <c r="V432">
        <v>-7.7195379999999994E-2</v>
      </c>
      <c r="W432">
        <v>0.18659519999999999</v>
      </c>
      <c r="X432">
        <v>0.97939940000000003</v>
      </c>
      <c r="Y432">
        <v>-7.9195920000000003E-2</v>
      </c>
      <c r="Z432" s="1">
        <v>-2.323267E-5</v>
      </c>
      <c r="AA432">
        <v>0.9968591</v>
      </c>
      <c r="AB432">
        <v>31</v>
      </c>
      <c r="AC432">
        <v>227.45609999999999</v>
      </c>
      <c r="AD432">
        <v>0.54098400000000002</v>
      </c>
      <c r="AE432">
        <v>16.888199999999902</v>
      </c>
      <c r="AF432">
        <v>-18.077004090177699</v>
      </c>
      <c r="AG432">
        <v>0.54098400000000002</v>
      </c>
      <c r="AH432">
        <v>227.36342126018499</v>
      </c>
      <c r="AI432">
        <v>89.864100676851294</v>
      </c>
      <c r="AJ432">
        <v>94.545858120485207</v>
      </c>
      <c r="AK432">
        <v>228.08155573763699</v>
      </c>
      <c r="AL432">
        <v>79.245850175904906</v>
      </c>
      <c r="AM432">
        <v>94.506684710840204</v>
      </c>
      <c r="AN432">
        <v>1.00000004003837</v>
      </c>
    </row>
    <row r="433" spans="1:40" x14ac:dyDescent="0.25">
      <c r="A433" t="str">
        <f>"20190304155605834"</f>
        <v>20190304155605834</v>
      </c>
      <c r="B433" t="str">
        <f>"1551686165824990"</f>
        <v>1551686165824990</v>
      </c>
      <c r="C433" t="s">
        <v>40</v>
      </c>
      <c r="D433">
        <v>4.6039250000000003</v>
      </c>
      <c r="E433">
        <v>0.49729800000000002</v>
      </c>
      <c r="F433" t="s">
        <v>43</v>
      </c>
      <c r="G433">
        <v>-169.2955</v>
      </c>
      <c r="H433">
        <v>1.5156989999999999</v>
      </c>
      <c r="I433">
        <v>384.02050000000003</v>
      </c>
      <c r="J433">
        <v>-396.58479999999997</v>
      </c>
      <c r="K433">
        <v>1.0861019999999999</v>
      </c>
      <c r="L433">
        <v>367.22309999999999</v>
      </c>
      <c r="M433">
        <v>0.99998279999999995</v>
      </c>
      <c r="N433">
        <v>-2.7098679999999998E-3</v>
      </c>
      <c r="O433">
        <v>-5.2343009999999898E-3</v>
      </c>
      <c r="P433">
        <v>0.98028389999999999</v>
      </c>
      <c r="Q433">
        <v>0.18366750000000001</v>
      </c>
      <c r="R433">
        <v>7.2869870000000003E-2</v>
      </c>
      <c r="S433">
        <v>3.0428769999999998</v>
      </c>
      <c r="T433">
        <v>5.7693719999999896E-3</v>
      </c>
      <c r="U433">
        <v>0.22470090000000001</v>
      </c>
      <c r="V433">
        <v>-7.7981159999999994E-2</v>
      </c>
      <c r="W433">
        <v>0.1863301</v>
      </c>
      <c r="X433">
        <v>0.97938760000000002</v>
      </c>
      <c r="Y433">
        <v>-7.8863489999999994E-2</v>
      </c>
      <c r="Z433" s="1">
        <v>8.2627229999999993E-6</v>
      </c>
      <c r="AA433">
        <v>0.99688540000000003</v>
      </c>
      <c r="AB433">
        <v>31</v>
      </c>
      <c r="AC433">
        <v>227.2893</v>
      </c>
      <c r="AD433">
        <v>0.42959699999999901</v>
      </c>
      <c r="AE433">
        <v>16.7974</v>
      </c>
      <c r="AF433">
        <v>-17.9868107576409</v>
      </c>
      <c r="AG433">
        <v>0.42959699999999901</v>
      </c>
      <c r="AH433">
        <v>227.19745613633299</v>
      </c>
      <c r="AI433">
        <v>89.892000150959902</v>
      </c>
      <c r="AJ433">
        <v>94.526561861348895</v>
      </c>
      <c r="AK433">
        <v>227.90874048538501</v>
      </c>
      <c r="AL433">
        <v>79.2613102017811</v>
      </c>
      <c r="AM433">
        <v>94.552421495820298</v>
      </c>
      <c r="AN433">
        <v>1.0000000192573499</v>
      </c>
    </row>
    <row r="434" spans="1:40" x14ac:dyDescent="0.25">
      <c r="A434" t="str">
        <f>"20190304155605847"</f>
        <v>20190304155605847</v>
      </c>
      <c r="B434" t="str">
        <f>"1551686165835726"</f>
        <v>1551686165835726</v>
      </c>
      <c r="C434" t="s">
        <v>40</v>
      </c>
      <c r="D434">
        <v>4.7673420000000002</v>
      </c>
      <c r="E434">
        <v>0.49774200000000002</v>
      </c>
      <c r="F434" t="s">
        <v>43</v>
      </c>
      <c r="G434">
        <v>-169.2955</v>
      </c>
      <c r="H434">
        <v>1.3548500000000001</v>
      </c>
      <c r="I434">
        <v>384.13060000000002</v>
      </c>
      <c r="J434">
        <v>-396.41239999999999</v>
      </c>
      <c r="K434">
        <v>1.0877110000000001</v>
      </c>
      <c r="L434">
        <v>367.22219999999999</v>
      </c>
      <c r="M434">
        <v>0.99998169999999997</v>
      </c>
      <c r="N434">
        <v>-3.0644159999999999E-3</v>
      </c>
      <c r="O434">
        <v>-5.2401849999999996E-3</v>
      </c>
      <c r="P434">
        <v>0.98035539999999999</v>
      </c>
      <c r="Q434">
        <v>0.18303910000000001</v>
      </c>
      <c r="R434">
        <v>7.3485690000000006E-2</v>
      </c>
      <c r="S434">
        <v>3.0428470000000001</v>
      </c>
      <c r="T434">
        <v>3.5990480000000001E-3</v>
      </c>
      <c r="U434">
        <v>0.22634889999999999</v>
      </c>
      <c r="V434">
        <v>-7.8603709999999993E-2</v>
      </c>
      <c r="W434">
        <v>0.18604889999999999</v>
      </c>
      <c r="X434">
        <v>0.97939129999999996</v>
      </c>
      <c r="Y434">
        <v>-7.9407050000000007E-2</v>
      </c>
      <c r="Z434" s="1">
        <v>5.2715040000000002E-5</v>
      </c>
      <c r="AA434">
        <v>0.99684229999999996</v>
      </c>
      <c r="AB434">
        <v>31</v>
      </c>
      <c r="AC434">
        <v>227.11689999999999</v>
      </c>
      <c r="AD434">
        <v>0.26713899999999902</v>
      </c>
      <c r="AE434">
        <v>16.9084</v>
      </c>
      <c r="AF434">
        <v>-18.098282958743599</v>
      </c>
      <c r="AG434">
        <v>0.26713899999999902</v>
      </c>
      <c r="AH434">
        <v>227.024865783286</v>
      </c>
      <c r="AI434">
        <v>89.932793596009802</v>
      </c>
      <c r="AJ434">
        <v>94.557945163875701</v>
      </c>
      <c r="AK434">
        <v>227.745271944818</v>
      </c>
      <c r="AL434">
        <v>79.277708607160903</v>
      </c>
      <c r="AM434">
        <v>94.588593165715494</v>
      </c>
      <c r="AN434">
        <v>1.0000000274663301</v>
      </c>
    </row>
    <row r="435" spans="1:40" x14ac:dyDescent="0.25">
      <c r="A435" t="str">
        <f>"20190304155605859"</f>
        <v>20190304155605859</v>
      </c>
      <c r="B435" t="str">
        <f>"1551686165855247"</f>
        <v>1551686165855247</v>
      </c>
      <c r="C435" t="s">
        <v>40</v>
      </c>
      <c r="D435">
        <v>4.611326</v>
      </c>
      <c r="E435">
        <v>0.49777280000000002</v>
      </c>
      <c r="F435" t="s">
        <v>43</v>
      </c>
      <c r="G435">
        <v>-169.2955</v>
      </c>
      <c r="H435">
        <v>1.3161560000000001</v>
      </c>
      <c r="I435">
        <v>383.99689999999998</v>
      </c>
      <c r="J435">
        <v>-396.25400000000002</v>
      </c>
      <c r="K435">
        <v>1.089132</v>
      </c>
      <c r="L435">
        <v>367.22140000000002</v>
      </c>
      <c r="M435">
        <v>0.99998039999999999</v>
      </c>
      <c r="N435">
        <v>-3.4181960000000001E-3</v>
      </c>
      <c r="O435">
        <v>-5.2456530000000003E-3</v>
      </c>
      <c r="P435">
        <v>0.98045930000000003</v>
      </c>
      <c r="Q435">
        <v>0.1820658</v>
      </c>
      <c r="R435">
        <v>7.4511599999999997E-2</v>
      </c>
      <c r="S435">
        <v>3.042694</v>
      </c>
      <c r="T435">
        <v>3.0616520000000002E-3</v>
      </c>
      <c r="U435">
        <v>0.2247314</v>
      </c>
      <c r="V435">
        <v>-7.9636949999999998E-2</v>
      </c>
      <c r="W435">
        <v>0.18542210000000001</v>
      </c>
      <c r="X435">
        <v>0.97942669999999998</v>
      </c>
      <c r="Y435">
        <v>-7.8889189999999998E-2</v>
      </c>
      <c r="Z435" s="1">
        <v>7.2199750000000003E-5</v>
      </c>
      <c r="AA435">
        <v>0.99688339999999998</v>
      </c>
      <c r="AB435">
        <v>31</v>
      </c>
      <c r="AC435">
        <v>226.95849999999999</v>
      </c>
      <c r="AD435">
        <v>0.227023999999999</v>
      </c>
      <c r="AE435">
        <v>16.775499999999901</v>
      </c>
      <c r="AF435">
        <v>-17.965803803423899</v>
      </c>
      <c r="AG435">
        <v>0.227023999999999</v>
      </c>
      <c r="AH435">
        <v>226.86715261702699</v>
      </c>
      <c r="AI435">
        <v>89.942843566734993</v>
      </c>
      <c r="AJ435">
        <v>94.527852538202495</v>
      </c>
      <c r="AK435">
        <v>227.57751774451901</v>
      </c>
      <c r="AL435">
        <v>79.3142575868048</v>
      </c>
      <c r="AM435">
        <v>94.648479954746094</v>
      </c>
      <c r="AN435">
        <v>1.0000000298233001</v>
      </c>
    </row>
    <row r="436" spans="1:40" x14ac:dyDescent="0.25">
      <c r="A436" t="str">
        <f>"20190304155605877"</f>
        <v>20190304155605877</v>
      </c>
      <c r="B436" t="str">
        <f>"1551686165875742"</f>
        <v>1551686165875742</v>
      </c>
      <c r="C436" t="s">
        <v>40</v>
      </c>
      <c r="D436">
        <v>4.6667489999999896</v>
      </c>
      <c r="E436">
        <v>0.49817489999999998</v>
      </c>
      <c r="F436" t="s">
        <v>43</v>
      </c>
      <c r="G436">
        <v>-169.2955</v>
      </c>
      <c r="H436">
        <v>1.2301420000000001</v>
      </c>
      <c r="I436">
        <v>384.19450000000001</v>
      </c>
      <c r="J436">
        <v>-395.99709999999999</v>
      </c>
      <c r="K436">
        <v>1.091342</v>
      </c>
      <c r="L436">
        <v>367.22</v>
      </c>
      <c r="M436">
        <v>0.99997829999999999</v>
      </c>
      <c r="N436">
        <v>-4.0115289999999998E-3</v>
      </c>
      <c r="O436">
        <v>-5.25487E-3</v>
      </c>
      <c r="P436">
        <v>0.9805412</v>
      </c>
      <c r="Q436">
        <v>0.180808</v>
      </c>
      <c r="R436">
        <v>7.6469579999999995E-2</v>
      </c>
      <c r="S436">
        <v>3.0421749999999999</v>
      </c>
      <c r="T436">
        <v>1.8912550000000001E-3</v>
      </c>
      <c r="U436">
        <v>0.2275085</v>
      </c>
      <c r="V436">
        <v>-8.1605159999999996E-2</v>
      </c>
      <c r="W436">
        <v>0.18474579999999999</v>
      </c>
      <c r="X436">
        <v>0.9793925</v>
      </c>
      <c r="Y436">
        <v>-7.9815849999999994E-2</v>
      </c>
      <c r="Z436">
        <v>1.11228E-4</v>
      </c>
      <c r="AA436">
        <v>0.99680959999999996</v>
      </c>
      <c r="AB436">
        <v>31</v>
      </c>
      <c r="AC436">
        <v>226.70160000000001</v>
      </c>
      <c r="AD436">
        <v>0.13880000000000001</v>
      </c>
      <c r="AE436">
        <v>16.9744999999999</v>
      </c>
      <c r="AF436">
        <v>-18.165555698728902</v>
      </c>
      <c r="AG436">
        <v>0.13880000000000001</v>
      </c>
      <c r="AH436">
        <v>226.609185930552</v>
      </c>
      <c r="AI436">
        <v>89.965018083017</v>
      </c>
      <c r="AJ436">
        <v>94.583171699825499</v>
      </c>
      <c r="AK436">
        <v>227.33616040434799</v>
      </c>
      <c r="AL436">
        <v>79.353688091577396</v>
      </c>
      <c r="AM436">
        <v>94.763009488288802</v>
      </c>
      <c r="AN436">
        <v>1.0000000409062499</v>
      </c>
    </row>
    <row r="437" spans="1:40" x14ac:dyDescent="0.25">
      <c r="A437" t="str">
        <f>"20190304155605889"</f>
        <v>20190304155605889</v>
      </c>
      <c r="B437" t="str">
        <f>"1551686165885503"</f>
        <v>1551686165885503</v>
      </c>
      <c r="C437" t="s">
        <v>40</v>
      </c>
      <c r="D437">
        <v>4.5492249999999999</v>
      </c>
      <c r="E437">
        <v>0.49836019999999998</v>
      </c>
      <c r="F437" t="s">
        <v>43</v>
      </c>
      <c r="G437">
        <v>-158.78319999999999</v>
      </c>
      <c r="H437">
        <v>1.1164229999999999</v>
      </c>
      <c r="I437">
        <v>385.23059999999998</v>
      </c>
      <c r="J437">
        <v>-395.83699999999999</v>
      </c>
      <c r="K437">
        <v>1.0926670000000001</v>
      </c>
      <c r="L437">
        <v>367.21910000000003</v>
      </c>
      <c r="M437">
        <v>0.99997670000000005</v>
      </c>
      <c r="N437">
        <v>-4.3864899999999998E-3</v>
      </c>
      <c r="O437">
        <v>-5.2607890000000001E-3</v>
      </c>
      <c r="P437">
        <v>0.98062309999999997</v>
      </c>
      <c r="Q437">
        <v>0.17993999999999999</v>
      </c>
      <c r="R437">
        <v>7.7459349999999996E-2</v>
      </c>
      <c r="S437">
        <v>3.0415040000000002</v>
      </c>
      <c r="T437">
        <v>3.2269949999999998E-4</v>
      </c>
      <c r="U437">
        <v>0.23092650000000001</v>
      </c>
      <c r="V437">
        <v>-8.2602140000000004E-2</v>
      </c>
      <c r="W437">
        <v>0.18424479999999999</v>
      </c>
      <c r="X437">
        <v>0.97940329999999998</v>
      </c>
      <c r="Y437">
        <v>-8.0951880000000004E-2</v>
      </c>
      <c r="Z437">
        <v>1.499153E-4</v>
      </c>
      <c r="AA437">
        <v>0.99671799999999999</v>
      </c>
      <c r="AB437">
        <v>31</v>
      </c>
      <c r="AC437">
        <v>237.0538</v>
      </c>
      <c r="AD437">
        <v>2.3755999999999802E-2</v>
      </c>
      <c r="AE437">
        <v>18.011499999999899</v>
      </c>
      <c r="AF437">
        <v>-19.258352382322101</v>
      </c>
      <c r="AG437">
        <v>2.3755999999999802E-2</v>
      </c>
      <c r="AH437">
        <v>236.95576161282301</v>
      </c>
      <c r="AI437">
        <v>89.994274689674</v>
      </c>
      <c r="AJ437">
        <v>94.646446860896006</v>
      </c>
      <c r="AK437">
        <v>237.737076751487</v>
      </c>
      <c r="AL437">
        <v>79.382894664994893</v>
      </c>
      <c r="AM437">
        <v>94.820874218872305</v>
      </c>
      <c r="AN437">
        <v>1.0000000419552499</v>
      </c>
    </row>
    <row r="438" spans="1:40" x14ac:dyDescent="0.25">
      <c r="A438" t="str">
        <f>"20190304155605900"</f>
        <v>20190304155605900</v>
      </c>
      <c r="B438" t="str">
        <f>"1551686165895770"</f>
        <v>1551686165895770</v>
      </c>
      <c r="C438" t="s">
        <v>40</v>
      </c>
      <c r="D438">
        <v>4.7049510000000003</v>
      </c>
      <c r="E438">
        <v>0.49833749999999999</v>
      </c>
      <c r="F438" t="s">
        <v>43</v>
      </c>
      <c r="G438">
        <v>-158.78319999999999</v>
      </c>
      <c r="H438">
        <v>0.91753200000000001</v>
      </c>
      <c r="I438">
        <v>385.35199999999998</v>
      </c>
      <c r="J438">
        <v>-395.68770000000001</v>
      </c>
      <c r="K438">
        <v>1.093809</v>
      </c>
      <c r="L438">
        <v>367.21839999999997</v>
      </c>
      <c r="M438">
        <v>0.99997499999999995</v>
      </c>
      <c r="N438">
        <v>-4.7315279999999996E-3</v>
      </c>
      <c r="O438">
        <v>-5.2656319999999897E-3</v>
      </c>
      <c r="P438">
        <v>0.98064130000000005</v>
      </c>
      <c r="Q438">
        <v>0.17956949999999999</v>
      </c>
      <c r="R438">
        <v>7.8086950000000002E-2</v>
      </c>
      <c r="S438">
        <v>3.04129</v>
      </c>
      <c r="T438">
        <v>-2.2457839999999998E-3</v>
      </c>
      <c r="U438">
        <v>0.2326355</v>
      </c>
      <c r="V438">
        <v>-8.3234500000000003E-2</v>
      </c>
      <c r="W438">
        <v>0.18421209999999999</v>
      </c>
      <c r="X438">
        <v>0.97935589999999995</v>
      </c>
      <c r="Y438">
        <v>-8.1518660000000007E-2</v>
      </c>
      <c r="Z438">
        <v>2.0219619999999999E-4</v>
      </c>
      <c r="AA438">
        <v>0.9966718</v>
      </c>
      <c r="AB438">
        <v>31</v>
      </c>
      <c r="AC438">
        <v>236.90450000000001</v>
      </c>
      <c r="AD438">
        <v>-0.17627699999999999</v>
      </c>
      <c r="AE438">
        <v>18.133600000000001</v>
      </c>
      <c r="AF438">
        <v>-19.380803738977601</v>
      </c>
      <c r="AG438">
        <v>-0.17627699999999999</v>
      </c>
      <c r="AH438">
        <v>236.805599318367</v>
      </c>
      <c r="AI438">
        <v>90.042508578791796</v>
      </c>
      <c r="AJ438">
        <v>94.678811888755405</v>
      </c>
      <c r="AK438">
        <v>237.597429480372</v>
      </c>
      <c r="AL438">
        <v>79.384800728786502</v>
      </c>
      <c r="AM438">
        <v>94.857838429659907</v>
      </c>
      <c r="AN438">
        <v>1.0000000293207301</v>
      </c>
    </row>
    <row r="439" spans="1:40" x14ac:dyDescent="0.25">
      <c r="A439" t="str">
        <f>"20190304155605911"</f>
        <v>20190304155605911</v>
      </c>
      <c r="B439" t="str">
        <f>"1551686165905530"</f>
        <v>1551686165905530</v>
      </c>
      <c r="C439" t="s">
        <v>40</v>
      </c>
      <c r="D439">
        <v>4.5023540000000004</v>
      </c>
      <c r="E439">
        <v>0.4983146</v>
      </c>
      <c r="F439" t="s">
        <v>43</v>
      </c>
      <c r="G439">
        <v>-158.78319999999999</v>
      </c>
      <c r="H439">
        <v>0.71591000000000005</v>
      </c>
      <c r="I439">
        <v>385.52690000000001</v>
      </c>
      <c r="J439">
        <v>-395.53629999999998</v>
      </c>
      <c r="K439">
        <v>1.0949469999999999</v>
      </c>
      <c r="L439">
        <v>367.21749999999997</v>
      </c>
      <c r="M439">
        <v>0.99997320000000001</v>
      </c>
      <c r="N439">
        <v>-5.0796230000000001E-3</v>
      </c>
      <c r="O439">
        <v>-5.2704219999999899E-3</v>
      </c>
      <c r="P439">
        <v>0.98070639999999998</v>
      </c>
      <c r="Q439">
        <v>0.17902309999999999</v>
      </c>
      <c r="R439">
        <v>7.8522560000000005E-2</v>
      </c>
      <c r="S439">
        <v>3.0414119999999998</v>
      </c>
      <c r="T439">
        <v>-4.8503879999999997E-3</v>
      </c>
      <c r="U439">
        <v>0.23504639999999999</v>
      </c>
      <c r="V439">
        <v>-8.367629E-2</v>
      </c>
      <c r="W439">
        <v>0.1840068</v>
      </c>
      <c r="X439">
        <v>0.97935680000000003</v>
      </c>
      <c r="Y439">
        <v>-8.2305509999999998E-2</v>
      </c>
      <c r="Z439">
        <v>2.5654779999999998E-4</v>
      </c>
      <c r="AA439">
        <v>0.99660709999999997</v>
      </c>
      <c r="AB439">
        <v>31</v>
      </c>
      <c r="AC439">
        <v>236.75309999999999</v>
      </c>
      <c r="AD439">
        <v>-0.37903699999999901</v>
      </c>
      <c r="AE439">
        <v>18.3094</v>
      </c>
      <c r="AF439">
        <v>-19.5569007266533</v>
      </c>
      <c r="AG439">
        <v>-0.37903699999999901</v>
      </c>
      <c r="AH439">
        <v>236.652709227976</v>
      </c>
      <c r="AI439">
        <v>90.091456475979797</v>
      </c>
      <c r="AJ439">
        <v>94.724169289076897</v>
      </c>
      <c r="AK439">
        <v>237.45972462718899</v>
      </c>
      <c r="AL439">
        <v>79.396767627025298</v>
      </c>
      <c r="AM439">
        <v>94.883493908385702</v>
      </c>
      <c r="AN439">
        <v>0.99999998283032199</v>
      </c>
    </row>
    <row r="440" spans="1:40" x14ac:dyDescent="0.25">
      <c r="A440" t="str">
        <f>"20190304155605922"</f>
        <v>20190304155605922</v>
      </c>
      <c r="B440" t="str">
        <f>"1551686165915290"</f>
        <v>1551686165915290</v>
      </c>
      <c r="C440" t="s">
        <v>40</v>
      </c>
      <c r="D440">
        <v>4.4930260000000004</v>
      </c>
      <c r="E440">
        <v>0.4983339</v>
      </c>
      <c r="F440" t="s">
        <v>47</v>
      </c>
      <c r="G440">
        <v>-223.4366</v>
      </c>
      <c r="H440">
        <v>0.63432149999999998</v>
      </c>
      <c r="I440">
        <v>380.62439999999998</v>
      </c>
      <c r="J440">
        <v>-395.38240000000002</v>
      </c>
      <c r="K440">
        <v>1.096007</v>
      </c>
      <c r="L440">
        <v>367.2167</v>
      </c>
      <c r="M440">
        <v>0.99997150000000001</v>
      </c>
      <c r="N440">
        <v>-5.4214750000000003E-3</v>
      </c>
      <c r="O440">
        <v>-5.2750169999999999E-3</v>
      </c>
      <c r="P440">
        <v>0.98084479999999996</v>
      </c>
      <c r="Q440">
        <v>0.17803440000000001</v>
      </c>
      <c r="R440">
        <v>7.903992E-2</v>
      </c>
      <c r="S440">
        <v>3.0415040000000002</v>
      </c>
      <c r="T440">
        <v>-8.1392530000000008E-3</v>
      </c>
      <c r="U440">
        <v>0.2369385</v>
      </c>
      <c r="V440">
        <v>-8.4199029999999994E-2</v>
      </c>
      <c r="W440">
        <v>0.1833534</v>
      </c>
      <c r="X440">
        <v>0.97943449999999999</v>
      </c>
      <c r="Y440">
        <v>-8.2923620000000003E-2</v>
      </c>
      <c r="Z440">
        <v>3.2145490000000002E-4</v>
      </c>
      <c r="AA440">
        <v>0.99655590000000005</v>
      </c>
      <c r="AB440">
        <v>31</v>
      </c>
      <c r="AC440">
        <v>171.94579999999999</v>
      </c>
      <c r="AD440">
        <v>-0.46168550000000003</v>
      </c>
      <c r="AE440">
        <v>13.407699999999901</v>
      </c>
      <c r="AF440">
        <v>-14.3144411247318</v>
      </c>
      <c r="AG440">
        <v>-0.46168550000000003</v>
      </c>
      <c r="AH440">
        <v>171.87144914091201</v>
      </c>
      <c r="AI440">
        <v>90.153377991467707</v>
      </c>
      <c r="AJ440">
        <v>94.760933687826395</v>
      </c>
      <c r="AK440">
        <v>172.467131384537</v>
      </c>
      <c r="AL440">
        <v>79.434852239785002</v>
      </c>
      <c r="AM440">
        <v>94.913465093088305</v>
      </c>
      <c r="AN440">
        <v>0.99999994286737304</v>
      </c>
    </row>
    <row r="441" spans="1:40" x14ac:dyDescent="0.25">
      <c r="A441" t="str">
        <f>"20190304155605933"</f>
        <v>20190304155605933</v>
      </c>
      <c r="B441" t="str">
        <f>"1551686165925049"</f>
        <v>1551686165925049</v>
      </c>
      <c r="C441" t="s">
        <v>40</v>
      </c>
      <c r="D441">
        <v>4.6013080000000004</v>
      </c>
      <c r="E441">
        <v>0.4983339</v>
      </c>
      <c r="F441" t="s">
        <v>47</v>
      </c>
      <c r="G441">
        <v>-223.47059999999999</v>
      </c>
      <c r="H441">
        <v>0.48233039999999999</v>
      </c>
      <c r="I441">
        <v>380.68549999999999</v>
      </c>
      <c r="J441">
        <v>-395.22370000000001</v>
      </c>
      <c r="K441">
        <v>1.097064</v>
      </c>
      <c r="L441">
        <v>367.21589999999998</v>
      </c>
      <c r="M441">
        <v>0.99996949999999996</v>
      </c>
      <c r="N441">
        <v>-5.7676589999999996E-3</v>
      </c>
      <c r="O441">
        <v>-5.2793249999999996E-3</v>
      </c>
      <c r="P441">
        <v>0.98092979999999996</v>
      </c>
      <c r="Q441">
        <v>0.17741309999999999</v>
      </c>
      <c r="R441">
        <v>7.9383640000000005E-2</v>
      </c>
      <c r="S441">
        <v>3.0413510000000001</v>
      </c>
      <c r="T441">
        <v>-1.0855439999999999E-2</v>
      </c>
      <c r="U441">
        <v>0.2382813</v>
      </c>
      <c r="V441">
        <v>-8.4548189999999995E-2</v>
      </c>
      <c r="W441">
        <v>0.18307209999999999</v>
      </c>
      <c r="X441">
        <v>0.97945709999999997</v>
      </c>
      <c r="Y441">
        <v>-8.3368609999999996E-2</v>
      </c>
      <c r="Z441">
        <v>3.7776139999999998E-4</v>
      </c>
      <c r="AA441">
        <v>0.99651869999999998</v>
      </c>
      <c r="AB441">
        <v>31</v>
      </c>
      <c r="AC441">
        <v>171.75309999999999</v>
      </c>
      <c r="AD441">
        <v>-0.61473359999999999</v>
      </c>
      <c r="AE441">
        <v>13.4696</v>
      </c>
      <c r="AF441">
        <v>-14.3759847019783</v>
      </c>
      <c r="AG441">
        <v>-0.61473359999999999</v>
      </c>
      <c r="AH441">
        <v>171.67740901835199</v>
      </c>
      <c r="AI441">
        <v>90.204445352755101</v>
      </c>
      <c r="AJ441">
        <v>94.786687199227003</v>
      </c>
      <c r="AK441">
        <v>172.279364988396</v>
      </c>
      <c r="AL441">
        <v>79.451247668644996</v>
      </c>
      <c r="AM441">
        <v>94.933626806936999</v>
      </c>
      <c r="AN441">
        <v>1.0000000004855401</v>
      </c>
    </row>
    <row r="442" spans="1:40" x14ac:dyDescent="0.25">
      <c r="A442" t="str">
        <f>"20190304155605944"</f>
        <v>20190304155605944</v>
      </c>
      <c r="B442" t="str">
        <f>"1551686165935787"</f>
        <v>1551686165935787</v>
      </c>
      <c r="C442" t="s">
        <v>40</v>
      </c>
      <c r="D442">
        <v>4.6713849999999999</v>
      </c>
      <c r="E442">
        <v>0.52586980000000005</v>
      </c>
      <c r="F442" t="s">
        <v>47</v>
      </c>
      <c r="G442">
        <v>-223.49449999999999</v>
      </c>
      <c r="H442">
        <v>0.37538909999999998</v>
      </c>
      <c r="I442">
        <v>380.74689999999998</v>
      </c>
      <c r="J442">
        <v>-395.06540000000001</v>
      </c>
      <c r="K442">
        <v>1.098044</v>
      </c>
      <c r="L442">
        <v>367.21499999999997</v>
      </c>
      <c r="M442">
        <v>0.99996750000000001</v>
      </c>
      <c r="N442">
        <v>-6.0996039999999998E-3</v>
      </c>
      <c r="O442">
        <v>-5.2831730000000004E-3</v>
      </c>
      <c r="P442">
        <v>0.98105750000000003</v>
      </c>
      <c r="Q442">
        <v>0.17665649999999999</v>
      </c>
      <c r="R442">
        <v>7.9490309999999995E-2</v>
      </c>
      <c r="S442">
        <v>3.0411990000000002</v>
      </c>
      <c r="T442">
        <v>-1.2779E-2</v>
      </c>
      <c r="U442">
        <v>0.239624</v>
      </c>
      <c r="V442">
        <v>-8.465926E-2</v>
      </c>
      <c r="W442">
        <v>0.18264079999999999</v>
      </c>
      <c r="X442">
        <v>0.97952799999999995</v>
      </c>
      <c r="Y442">
        <v>-8.3813219999999994E-2</v>
      </c>
      <c r="Z442">
        <v>4.2182310000000002E-4</v>
      </c>
      <c r="AA442">
        <v>0.99648139999999996</v>
      </c>
      <c r="AB442">
        <v>31</v>
      </c>
      <c r="AC442">
        <v>171.57089999999999</v>
      </c>
      <c r="AD442">
        <v>-0.72265489999999999</v>
      </c>
      <c r="AE442">
        <v>13.5319</v>
      </c>
      <c r="AF442">
        <v>-14.437912139064901</v>
      </c>
      <c r="AG442">
        <v>-0.72265489999999999</v>
      </c>
      <c r="AH442">
        <v>171.493989121769</v>
      </c>
      <c r="AI442">
        <v>90.240584953975699</v>
      </c>
      <c r="AJ442">
        <v>94.812327764710602</v>
      </c>
      <c r="AK442">
        <v>172.10219011371501</v>
      </c>
      <c r="AL442">
        <v>79.476382886823004</v>
      </c>
      <c r="AM442">
        <v>94.939720201887098</v>
      </c>
      <c r="AN442">
        <v>0.99999997745619296</v>
      </c>
    </row>
    <row r="443" spans="1:40" x14ac:dyDescent="0.25">
      <c r="A443" t="str">
        <f>"20190304155605957"</f>
        <v>20190304155605957</v>
      </c>
      <c r="B443" t="str">
        <f>"1551686165945545"</f>
        <v>1551686165945545</v>
      </c>
      <c r="C443" t="s">
        <v>40</v>
      </c>
      <c r="D443">
        <v>4.5845190000000002</v>
      </c>
      <c r="E443">
        <v>0.52922760000000002</v>
      </c>
      <c r="F443" t="s">
        <v>43</v>
      </c>
      <c r="G443">
        <v>-158.78319999999999</v>
      </c>
      <c r="H443">
        <v>4.6572339999999999</v>
      </c>
      <c r="I443">
        <v>368.92320000000001</v>
      </c>
      <c r="J443">
        <v>-394.89769999999999</v>
      </c>
      <c r="K443">
        <v>1.0990139999999999</v>
      </c>
      <c r="L443">
        <v>367.21409999999997</v>
      </c>
      <c r="M443">
        <v>0.9999654</v>
      </c>
      <c r="N443">
        <v>-6.4369329999999997E-3</v>
      </c>
      <c r="O443">
        <v>-5.2878069999999899E-3</v>
      </c>
      <c r="P443">
        <v>0.98122819999999999</v>
      </c>
      <c r="Q443">
        <v>0.17566780000000001</v>
      </c>
      <c r="R443">
        <v>7.9574110000000003E-2</v>
      </c>
      <c r="S443">
        <v>3.047882</v>
      </c>
      <c r="T443">
        <v>4.5912269999999998E-2</v>
      </c>
      <c r="U443">
        <v>2.2033690000000002E-2</v>
      </c>
      <c r="V443">
        <v>-8.4748690000000002E-2</v>
      </c>
      <c r="W443">
        <v>0.18198349999999999</v>
      </c>
      <c r="X443">
        <v>0.97964260000000003</v>
      </c>
      <c r="Y443">
        <v>-1.2514630000000001E-2</v>
      </c>
      <c r="Z443">
        <v>-1.6765399999999999E-4</v>
      </c>
      <c r="AA443">
        <v>0.99992170000000002</v>
      </c>
      <c r="AB443">
        <v>31</v>
      </c>
      <c r="AC443">
        <v>236.11449999999999</v>
      </c>
      <c r="AD443">
        <v>3.5582199999999902</v>
      </c>
      <c r="AE443">
        <v>1.70910000000003</v>
      </c>
      <c r="AF443">
        <v>-2.9569582599939999</v>
      </c>
      <c r="AG443">
        <v>3.5582199999999902</v>
      </c>
      <c r="AH443">
        <v>236.04855706964699</v>
      </c>
      <c r="AI443">
        <v>89.136450733285699</v>
      </c>
      <c r="AJ443">
        <v>90.717701346621695</v>
      </c>
      <c r="AK443">
        <v>236.09389197177899</v>
      </c>
      <c r="AL443">
        <v>79.514685345138403</v>
      </c>
      <c r="AM443">
        <v>94.944336831843003</v>
      </c>
      <c r="AN443">
        <v>0.99999997923186201</v>
      </c>
    </row>
    <row r="444" spans="1:40" x14ac:dyDescent="0.25">
      <c r="A444" t="str">
        <f>"20190304155605971"</f>
        <v>20190304155605971</v>
      </c>
      <c r="B444" t="str">
        <f>"1551686165965065"</f>
        <v>1551686165965065</v>
      </c>
      <c r="C444" t="s">
        <v>40</v>
      </c>
      <c r="D444">
        <v>4.5194229999999997</v>
      </c>
      <c r="E444">
        <v>0.53795319999999902</v>
      </c>
      <c r="F444" t="s">
        <v>43</v>
      </c>
      <c r="G444">
        <v>-158.19499999999999</v>
      </c>
      <c r="H444">
        <v>3.2542390000000001</v>
      </c>
      <c r="I444">
        <v>366.86630000000002</v>
      </c>
      <c r="J444">
        <v>-394.7045</v>
      </c>
      <c r="K444">
        <v>1.1000700000000001</v>
      </c>
      <c r="L444">
        <v>367.2131</v>
      </c>
      <c r="M444">
        <v>0.99996280000000004</v>
      </c>
      <c r="N444">
        <v>-6.8115340000000002E-3</v>
      </c>
      <c r="O444">
        <v>-5.2929780000000003E-3</v>
      </c>
      <c r="P444">
        <v>0.98139449999999995</v>
      </c>
      <c r="Q444">
        <v>0.17479549999999999</v>
      </c>
      <c r="R444">
        <v>7.9446359999999994E-2</v>
      </c>
      <c r="S444">
        <v>3.0527340000000001</v>
      </c>
      <c r="T444">
        <v>2.779686E-2</v>
      </c>
      <c r="U444">
        <v>-4.4860840000000004E-3</v>
      </c>
      <c r="V444">
        <v>-8.462778E-2</v>
      </c>
      <c r="W444">
        <v>0.18147949999999999</v>
      </c>
      <c r="X444">
        <v>0.97974660000000002</v>
      </c>
      <c r="Y444">
        <v>-3.8228770000000001E-3</v>
      </c>
      <c r="Z444" s="1">
        <v>-8.8631149999999996E-5</v>
      </c>
      <c r="AA444">
        <v>0.99999269999999996</v>
      </c>
      <c r="AB444">
        <v>31</v>
      </c>
      <c r="AC444">
        <v>236.5095</v>
      </c>
      <c r="AD444">
        <v>2.154169</v>
      </c>
      <c r="AE444">
        <v>-0.34679999999997302</v>
      </c>
      <c r="AF444">
        <v>-0.904998394103397</v>
      </c>
      <c r="AG444">
        <v>2.154169</v>
      </c>
      <c r="AH444">
        <v>236.48840374318999</v>
      </c>
      <c r="AI444">
        <v>89.478111937230494</v>
      </c>
      <c r="AJ444">
        <v>90.219259526093097</v>
      </c>
      <c r="AK444">
        <v>236.499946239266</v>
      </c>
      <c r="AL444">
        <v>79.544052008394999</v>
      </c>
      <c r="AM444">
        <v>94.936796190337205</v>
      </c>
      <c r="AN444">
        <v>1.00000003513976</v>
      </c>
    </row>
    <row r="445" spans="1:40" x14ac:dyDescent="0.25">
      <c r="A445" t="str">
        <f>"20190304155605990"</f>
        <v>20190304155605990</v>
      </c>
      <c r="B445" t="str">
        <f>"1551686165985561"</f>
        <v>1551686165985561</v>
      </c>
      <c r="C445" t="s">
        <v>40</v>
      </c>
      <c r="D445">
        <v>4.5581670000000001</v>
      </c>
      <c r="E445">
        <v>0.54170769999999902</v>
      </c>
      <c r="F445" t="s">
        <v>43</v>
      </c>
      <c r="G445">
        <v>-158.19499999999999</v>
      </c>
      <c r="H445">
        <v>4.61883</v>
      </c>
      <c r="I445">
        <v>361.48579999999998</v>
      </c>
      <c r="J445">
        <v>-394.44639999999998</v>
      </c>
      <c r="K445">
        <v>1.1013360000000001</v>
      </c>
      <c r="L445">
        <v>367.21170000000001</v>
      </c>
      <c r="M445">
        <v>0.99995959999999995</v>
      </c>
      <c r="N445">
        <v>-7.2758379999999998E-3</v>
      </c>
      <c r="O445">
        <v>-5.300211E-3</v>
      </c>
      <c r="P445">
        <v>0.98160040000000004</v>
      </c>
      <c r="Q445">
        <v>0.17373369999999999</v>
      </c>
      <c r="R445">
        <v>7.923202E-2</v>
      </c>
      <c r="S445">
        <v>3.0548099999999998</v>
      </c>
      <c r="T445">
        <v>4.5450209999999998E-2</v>
      </c>
      <c r="U445">
        <v>-7.3974609999999996E-2</v>
      </c>
      <c r="V445">
        <v>-8.4422469999999999E-2</v>
      </c>
      <c r="W445">
        <v>0.18087310000000001</v>
      </c>
      <c r="X445">
        <v>0.97987639999999998</v>
      </c>
      <c r="Y445">
        <v>1.8909780000000001E-2</v>
      </c>
      <c r="Z445" s="1">
        <v>-4.555771E-5</v>
      </c>
      <c r="AA445">
        <v>0.99982119999999997</v>
      </c>
      <c r="AB445">
        <v>31</v>
      </c>
      <c r="AC445">
        <v>236.25139999999999</v>
      </c>
      <c r="AD445">
        <v>3.5174940000000001</v>
      </c>
      <c r="AE445">
        <v>-5.7259000000000198</v>
      </c>
      <c r="AF445">
        <v>4.4726134119987604</v>
      </c>
      <c r="AG445">
        <v>3.5174940000000001</v>
      </c>
      <c r="AH445">
        <v>236.22609583811499</v>
      </c>
      <c r="AI445">
        <v>89.147060528174606</v>
      </c>
      <c r="AJ445">
        <v>88.915313501469498</v>
      </c>
      <c r="AK445">
        <v>236.29461565954401</v>
      </c>
      <c r="AL445">
        <v>79.579380420618506</v>
      </c>
      <c r="AM445">
        <v>94.924229154446707</v>
      </c>
      <c r="AN445">
        <v>0.99999999551073504</v>
      </c>
    </row>
    <row r="446" spans="1:40" x14ac:dyDescent="0.25">
      <c r="A446" t="str">
        <f>"20190304155606002"</f>
        <v>20190304155606002</v>
      </c>
      <c r="B446" t="str">
        <f>"1551686165995322"</f>
        <v>1551686165995322</v>
      </c>
      <c r="C446" t="s">
        <v>40</v>
      </c>
      <c r="D446">
        <v>4.5507739999999997</v>
      </c>
      <c r="E446">
        <v>0.54259449999999998</v>
      </c>
      <c r="F446" t="s">
        <v>43</v>
      </c>
      <c r="G446">
        <v>-158.19499999999999</v>
      </c>
      <c r="H446">
        <v>5.415832</v>
      </c>
      <c r="I446">
        <v>359.15179999999998</v>
      </c>
      <c r="J446">
        <v>-394.27080000000001</v>
      </c>
      <c r="K446">
        <v>1.1020939999999999</v>
      </c>
      <c r="L446">
        <v>367.21080000000001</v>
      </c>
      <c r="M446">
        <v>0.9999574</v>
      </c>
      <c r="N446">
        <v>-7.5656769999999998E-3</v>
      </c>
      <c r="O446">
        <v>-5.3055740000000004E-3</v>
      </c>
      <c r="P446">
        <v>0.98172380000000004</v>
      </c>
      <c r="Q446">
        <v>0.17307139999999999</v>
      </c>
      <c r="R446">
        <v>7.914939E-2</v>
      </c>
      <c r="S446">
        <v>3.0547789999999999</v>
      </c>
      <c r="T446">
        <v>5.5788400000000002E-2</v>
      </c>
      <c r="U446">
        <v>-0.1042175</v>
      </c>
      <c r="V446">
        <v>-8.4345710000000004E-2</v>
      </c>
      <c r="W446">
        <v>0.18049599999999999</v>
      </c>
      <c r="X446">
        <v>0.97995259999999995</v>
      </c>
      <c r="Y446">
        <v>2.8792229999999999E-2</v>
      </c>
      <c r="Z446" s="1">
        <v>1.6877490000000002E-5</v>
      </c>
      <c r="AA446">
        <v>0.99958539999999996</v>
      </c>
      <c r="AB446">
        <v>31</v>
      </c>
      <c r="AC446">
        <v>236.07579999999999</v>
      </c>
      <c r="AD446">
        <v>4.3137379999999999</v>
      </c>
      <c r="AE446">
        <v>-8.0590000000000206</v>
      </c>
      <c r="AF446">
        <v>6.8040640396509904</v>
      </c>
      <c r="AG446">
        <v>4.3137379999999999</v>
      </c>
      <c r="AH446">
        <v>236.036517254448</v>
      </c>
      <c r="AI446">
        <v>88.953429403594797</v>
      </c>
      <c r="AJ446">
        <v>88.348830807434595</v>
      </c>
      <c r="AK446">
        <v>236.17396363824099</v>
      </c>
      <c r="AL446">
        <v>79.601348814237198</v>
      </c>
      <c r="AM446">
        <v>94.919393171333596</v>
      </c>
      <c r="AN446">
        <v>1.0000000515290799</v>
      </c>
    </row>
    <row r="447" spans="1:40" x14ac:dyDescent="0.25">
      <c r="A447" t="str">
        <f>"20190304155606013"</f>
        <v>20190304155606013</v>
      </c>
      <c r="B447" t="str">
        <f>"1551686166005081"</f>
        <v>1551686166005081</v>
      </c>
      <c r="C447" t="s">
        <v>40</v>
      </c>
      <c r="D447">
        <v>4.6136699999999999</v>
      </c>
      <c r="E447">
        <v>0.54339090000000001</v>
      </c>
      <c r="F447" t="s">
        <v>43</v>
      </c>
      <c r="G447">
        <v>-170.08879999999999</v>
      </c>
      <c r="H447">
        <v>6.9155649999999902</v>
      </c>
      <c r="I447">
        <v>359.04809999999998</v>
      </c>
      <c r="J447">
        <v>-394.11540000000002</v>
      </c>
      <c r="K447">
        <v>1.10273</v>
      </c>
      <c r="L447">
        <v>367.21</v>
      </c>
      <c r="M447">
        <v>0.99995529999999999</v>
      </c>
      <c r="N447">
        <v>-7.8136630000000002E-3</v>
      </c>
      <c r="O447">
        <v>-5.3103380000000004E-3</v>
      </c>
      <c r="P447">
        <v>0.98185149999999999</v>
      </c>
      <c r="Q447">
        <v>0.1724252</v>
      </c>
      <c r="R447">
        <v>7.8974520000000006E-2</v>
      </c>
      <c r="S447">
        <v>3.0508419999999998</v>
      </c>
      <c r="T447">
        <v>7.9115389999999994E-2</v>
      </c>
      <c r="U447">
        <v>-0.111084</v>
      </c>
      <c r="V447">
        <v>-8.4176790000000001E-2</v>
      </c>
      <c r="W447">
        <v>0.18009359999999999</v>
      </c>
      <c r="X447">
        <v>0.9800411</v>
      </c>
      <c r="Y447">
        <v>3.107505E-2</v>
      </c>
      <c r="Z447">
        <v>1.0215259999999999E-4</v>
      </c>
      <c r="AA447">
        <v>0.99951699999999999</v>
      </c>
      <c r="AB447">
        <v>31</v>
      </c>
      <c r="AC447">
        <v>224.0266</v>
      </c>
      <c r="AD447">
        <v>5.81283499999999</v>
      </c>
      <c r="AE447">
        <v>-8.1618999999999993</v>
      </c>
      <c r="AF447">
        <v>6.96740694590265</v>
      </c>
      <c r="AG447">
        <v>5.81283499999999</v>
      </c>
      <c r="AH447">
        <v>223.91623289109401</v>
      </c>
      <c r="AI447">
        <v>88.513662382961499</v>
      </c>
      <c r="AJ447">
        <v>88.217752041208101</v>
      </c>
      <c r="AK447">
        <v>224.10000705583599</v>
      </c>
      <c r="AL447">
        <v>79.624788184288903</v>
      </c>
      <c r="AM447">
        <v>94.909148076000903</v>
      </c>
      <c r="AN447">
        <v>0.99999999721243604</v>
      </c>
    </row>
    <row r="448" spans="1:40" x14ac:dyDescent="0.25">
      <c r="A448" t="str">
        <f>"20190304155606025"</f>
        <v>20190304155606025</v>
      </c>
      <c r="B448" t="str">
        <f>"1551686166015817"</f>
        <v>1551686166015817</v>
      </c>
      <c r="C448" t="s">
        <v>40</v>
      </c>
      <c r="D448">
        <v>4.5053809999999999</v>
      </c>
      <c r="E448">
        <v>0.54423529999999998</v>
      </c>
      <c r="F448" t="s">
        <v>43</v>
      </c>
      <c r="G448">
        <v>-170.08879999999999</v>
      </c>
      <c r="H448">
        <v>7.6306070000000004</v>
      </c>
      <c r="I448">
        <v>358.56670000000003</v>
      </c>
      <c r="J448">
        <v>-393.95179999999999</v>
      </c>
      <c r="K448">
        <v>1.1033459999999999</v>
      </c>
      <c r="L448">
        <v>367.20909999999998</v>
      </c>
      <c r="M448">
        <v>0.99995350000000005</v>
      </c>
      <c r="N448">
        <v>-8.0594180000000005E-3</v>
      </c>
      <c r="O448">
        <v>-5.3154839999999997E-3</v>
      </c>
      <c r="P448">
        <v>0.98195759999999999</v>
      </c>
      <c r="Q448">
        <v>0.17182790000000001</v>
      </c>
      <c r="R448">
        <v>7.8960089999999997E-2</v>
      </c>
      <c r="S448">
        <v>3.0492859999999999</v>
      </c>
      <c r="T448">
        <v>8.8853840000000003E-2</v>
      </c>
      <c r="U448">
        <v>-0.11764529999999999</v>
      </c>
      <c r="V448">
        <v>-8.4168320000000005E-2</v>
      </c>
      <c r="W448">
        <v>0.17973810000000001</v>
      </c>
      <c r="X448">
        <v>0.98010710000000001</v>
      </c>
      <c r="Y448">
        <v>3.3233810000000003E-2</v>
      </c>
      <c r="Z448">
        <v>1.5231779999999999E-4</v>
      </c>
      <c r="AA448">
        <v>0.99944759999999999</v>
      </c>
      <c r="AB448">
        <v>31</v>
      </c>
      <c r="AC448">
        <v>223.863</v>
      </c>
      <c r="AD448">
        <v>6.5272610000000002</v>
      </c>
      <c r="AE448">
        <v>-8.6423999999999506</v>
      </c>
      <c r="AF448">
        <v>7.4459783778463802</v>
      </c>
      <c r="AG448">
        <v>6.5272610000000002</v>
      </c>
      <c r="AH448">
        <v>223.71586747201201</v>
      </c>
      <c r="AI448">
        <v>88.329704334694398</v>
      </c>
      <c r="AJ448">
        <v>88.093717216977694</v>
      </c>
      <c r="AK448">
        <v>223.93489475497199</v>
      </c>
      <c r="AL448">
        <v>79.645494847491605</v>
      </c>
      <c r="AM448">
        <v>94.908327591500694</v>
      </c>
      <c r="AN448">
        <v>1.00000000907682</v>
      </c>
    </row>
    <row r="449" spans="1:40" x14ac:dyDescent="0.25">
      <c r="A449" t="str">
        <f>"20190304155606037"</f>
        <v>20190304155606037</v>
      </c>
      <c r="B449" t="str">
        <f>"1551686166035337"</f>
        <v>1551686166035337</v>
      </c>
      <c r="C449" t="s">
        <v>40</v>
      </c>
      <c r="D449">
        <v>4.4840660000000003</v>
      </c>
      <c r="E449">
        <v>0.54545559999999904</v>
      </c>
      <c r="F449" t="s">
        <v>43</v>
      </c>
      <c r="G449">
        <v>-168.84350000000001</v>
      </c>
      <c r="H449">
        <v>8.6444320000000001</v>
      </c>
      <c r="I449">
        <v>358.04270000000002</v>
      </c>
      <c r="J449">
        <v>-393.78809999999999</v>
      </c>
      <c r="K449">
        <v>1.103912</v>
      </c>
      <c r="L449">
        <v>367.20819999999998</v>
      </c>
      <c r="M449">
        <v>0.99995149999999999</v>
      </c>
      <c r="N449">
        <v>-8.290492E-3</v>
      </c>
      <c r="O449">
        <v>-5.3203599999999997E-3</v>
      </c>
      <c r="P449">
        <v>0.98209760000000002</v>
      </c>
      <c r="Q449">
        <v>0.1711609</v>
      </c>
      <c r="R449">
        <v>7.8665860000000004E-2</v>
      </c>
      <c r="S449">
        <v>3.047272</v>
      </c>
      <c r="T449">
        <v>0.1020842</v>
      </c>
      <c r="U449">
        <v>-0.1240845</v>
      </c>
      <c r="V449">
        <v>-8.3879800000000004E-2</v>
      </c>
      <c r="W449">
        <v>0.1792985</v>
      </c>
      <c r="X449">
        <v>0.98021230000000004</v>
      </c>
      <c r="Y449">
        <v>3.5359170000000002E-2</v>
      </c>
      <c r="Z449">
        <v>2.2301100000000001E-4</v>
      </c>
      <c r="AA449">
        <v>0.9993746</v>
      </c>
      <c r="AB449">
        <v>31</v>
      </c>
      <c r="AC449">
        <v>224.94460000000001</v>
      </c>
      <c r="AD449">
        <v>7.5405199999999999</v>
      </c>
      <c r="AE449">
        <v>-9.16549999999995</v>
      </c>
      <c r="AF449">
        <v>7.9596134961171998</v>
      </c>
      <c r="AG449">
        <v>7.5405199999999999</v>
      </c>
      <c r="AH449">
        <v>224.73806131686399</v>
      </c>
      <c r="AI449">
        <v>88.079508476522093</v>
      </c>
      <c r="AJ449">
        <v>87.971586511439298</v>
      </c>
      <c r="AK449">
        <v>225.00535792140701</v>
      </c>
      <c r="AL449">
        <v>79.671097523786997</v>
      </c>
      <c r="AM449">
        <v>94.891061710328202</v>
      </c>
      <c r="AN449">
        <v>0.99999996301078897</v>
      </c>
    </row>
    <row r="450" spans="1:40" x14ac:dyDescent="0.25">
      <c r="A450" t="str">
        <f>"20190304155606055"</f>
        <v>20190304155606055</v>
      </c>
      <c r="B450" t="str">
        <f>"1551686166045098"</f>
        <v>1551686166045098</v>
      </c>
      <c r="C450" t="s">
        <v>40</v>
      </c>
      <c r="D450">
        <v>4.6202709999999998</v>
      </c>
      <c r="E450">
        <v>0.54578660000000001</v>
      </c>
      <c r="F450" t="s">
        <v>43</v>
      </c>
      <c r="G450">
        <v>-168.84350000000001</v>
      </c>
      <c r="H450">
        <v>9.9614799999999999</v>
      </c>
      <c r="I450">
        <v>357.27370000000002</v>
      </c>
      <c r="J450">
        <v>-393.53750000000002</v>
      </c>
      <c r="K450">
        <v>1.104697</v>
      </c>
      <c r="L450">
        <v>367.20690000000002</v>
      </c>
      <c r="M450">
        <v>0.99994859999999997</v>
      </c>
      <c r="N450">
        <v>-8.621765E-3</v>
      </c>
      <c r="O450">
        <v>-5.3276010000000004E-3</v>
      </c>
      <c r="P450">
        <v>0.98236820000000002</v>
      </c>
      <c r="Q450">
        <v>0.16956450000000001</v>
      </c>
      <c r="R450">
        <v>7.8743869999999994E-2</v>
      </c>
      <c r="S450">
        <v>3.0445250000000001</v>
      </c>
      <c r="T450">
        <v>0.1198844</v>
      </c>
      <c r="U450">
        <v>-0.13446040000000001</v>
      </c>
      <c r="V450">
        <v>-8.3966310000000002E-2</v>
      </c>
      <c r="W450">
        <v>0.17802899999999999</v>
      </c>
      <c r="X450">
        <v>0.98043630000000004</v>
      </c>
      <c r="Y450">
        <v>3.8781139999999999E-2</v>
      </c>
      <c r="Z450">
        <v>3.4007349999999999E-4</v>
      </c>
      <c r="AA450">
        <v>0.99924769999999896</v>
      </c>
      <c r="AB450">
        <v>31</v>
      </c>
      <c r="AC450">
        <v>224.69399999999999</v>
      </c>
      <c r="AD450">
        <v>8.8567830000000001</v>
      </c>
      <c r="AE450">
        <v>-9.9331999999999994</v>
      </c>
      <c r="AF450">
        <v>8.7224088662226595</v>
      </c>
      <c r="AG450">
        <v>8.8567830000000001</v>
      </c>
      <c r="AH450">
        <v>224.39576786520499</v>
      </c>
      <c r="AI450">
        <v>87.741442767402006</v>
      </c>
      <c r="AJ450">
        <v>87.773996591051002</v>
      </c>
      <c r="AK450">
        <v>224.739813244902</v>
      </c>
      <c r="AL450">
        <v>79.745024393157806</v>
      </c>
      <c r="AM450">
        <v>94.894968460810503</v>
      </c>
      <c r="AN450">
        <v>1.00000000220685</v>
      </c>
    </row>
    <row r="451" spans="1:40" x14ac:dyDescent="0.25">
      <c r="A451" t="str">
        <f>"20190304155606066"</f>
        <v>20190304155606066</v>
      </c>
      <c r="B451" t="str">
        <f>"1551686166054858"</f>
        <v>1551686166054858</v>
      </c>
      <c r="C451" t="s">
        <v>40</v>
      </c>
      <c r="D451">
        <v>4.6280960000000002</v>
      </c>
      <c r="E451">
        <v>0.54596350000000005</v>
      </c>
      <c r="F451" t="s">
        <v>43</v>
      </c>
      <c r="G451">
        <v>-168.84350000000001</v>
      </c>
      <c r="H451">
        <v>9.9328009999999995</v>
      </c>
      <c r="I451">
        <v>357.11540000000002</v>
      </c>
      <c r="J451">
        <v>-393.37819999999999</v>
      </c>
      <c r="K451">
        <v>1.1051569999999999</v>
      </c>
      <c r="L451">
        <v>367.20600000000002</v>
      </c>
      <c r="M451">
        <v>0.99994689999999997</v>
      </c>
      <c r="N451">
        <v>-8.8185019999999902E-3</v>
      </c>
      <c r="O451">
        <v>-5.3320349999999997E-3</v>
      </c>
      <c r="P451">
        <v>0.98260890000000001</v>
      </c>
      <c r="Q451">
        <v>0.168327799999999</v>
      </c>
      <c r="R451">
        <v>7.8391719999999998E-2</v>
      </c>
      <c r="S451">
        <v>3.0441280000000002</v>
      </c>
      <c r="T451">
        <v>0.1196033</v>
      </c>
      <c r="U451">
        <v>-0.136718799999999</v>
      </c>
      <c r="V451">
        <v>-8.3619940000000004E-2</v>
      </c>
      <c r="W451">
        <v>0.1769877</v>
      </c>
      <c r="X451">
        <v>0.98065440000000004</v>
      </c>
      <c r="Y451">
        <v>3.9522109999999999E-2</v>
      </c>
      <c r="Z451">
        <v>3.4503369999999998E-4</v>
      </c>
      <c r="AA451">
        <v>0.99921859999999996</v>
      </c>
      <c r="AB451">
        <v>31</v>
      </c>
      <c r="AC451">
        <v>224.53469999999999</v>
      </c>
      <c r="AD451">
        <v>8.8276439999999994</v>
      </c>
      <c r="AE451">
        <v>-10.090599999999901</v>
      </c>
      <c r="AF451">
        <v>8.8794858344946892</v>
      </c>
      <c r="AG451">
        <v>8.8276439999999994</v>
      </c>
      <c r="AH451">
        <v>224.239407180233</v>
      </c>
      <c r="AI451">
        <v>87.747361866841402</v>
      </c>
      <c r="AJ451">
        <v>87.732372712716099</v>
      </c>
      <c r="AK451">
        <v>224.58870029415601</v>
      </c>
      <c r="AL451">
        <v>79.805649195809096</v>
      </c>
      <c r="AM451">
        <v>94.873794739291895</v>
      </c>
      <c r="AN451">
        <v>0.99999999627812597</v>
      </c>
    </row>
    <row r="452" spans="1:40" x14ac:dyDescent="0.25">
      <c r="A452" t="str">
        <f>"20190304155606078"</f>
        <v>20190304155606078</v>
      </c>
      <c r="B452" t="str">
        <f>"1551686166075353"</f>
        <v>1551686166075353</v>
      </c>
      <c r="C452" t="s">
        <v>40</v>
      </c>
      <c r="D452">
        <v>4.6429689999999999</v>
      </c>
      <c r="E452">
        <v>0.54589519999999903</v>
      </c>
      <c r="F452" t="s">
        <v>43</v>
      </c>
      <c r="G452">
        <v>-168.84350000000001</v>
      </c>
      <c r="H452">
        <v>9.3762050000000006</v>
      </c>
      <c r="I452">
        <v>356.92880000000002</v>
      </c>
      <c r="J452">
        <v>-393.22629999999998</v>
      </c>
      <c r="K452">
        <v>1.1055429999999999</v>
      </c>
      <c r="L452">
        <v>367.20519999999999</v>
      </c>
      <c r="M452">
        <v>0.99994550000000004</v>
      </c>
      <c r="N452">
        <v>-8.992E-3</v>
      </c>
      <c r="O452">
        <v>-5.3363839999999996E-3</v>
      </c>
      <c r="P452">
        <v>0.98279519999999998</v>
      </c>
      <c r="Q452">
        <v>0.16726949999999999</v>
      </c>
      <c r="R452">
        <v>7.832538E-2</v>
      </c>
      <c r="S452">
        <v>3.045013</v>
      </c>
      <c r="T452">
        <v>0.1121684</v>
      </c>
      <c r="U452">
        <v>-0.13937379999999999</v>
      </c>
      <c r="V452">
        <v>-8.3559079999999994E-2</v>
      </c>
      <c r="W452">
        <v>0.17610110000000001</v>
      </c>
      <c r="X452">
        <v>0.9808192</v>
      </c>
      <c r="Y452">
        <v>4.0376570000000001E-2</v>
      </c>
      <c r="Z452">
        <v>3.1701130000000001E-4</v>
      </c>
      <c r="AA452">
        <v>0.99918450000000003</v>
      </c>
      <c r="AB452">
        <v>31</v>
      </c>
      <c r="AC452">
        <v>224.3828</v>
      </c>
      <c r="AD452">
        <v>8.2706619999999997</v>
      </c>
      <c r="AE452">
        <v>-10.276399999999899</v>
      </c>
      <c r="AF452">
        <v>9.0665204031814497</v>
      </c>
      <c r="AG452">
        <v>8.2706619999999997</v>
      </c>
      <c r="AH452">
        <v>224.130572572728</v>
      </c>
      <c r="AI452">
        <v>87.888407665682706</v>
      </c>
      <c r="AJ452">
        <v>87.683536532920499</v>
      </c>
      <c r="AK452">
        <v>224.466298592725</v>
      </c>
      <c r="AL452">
        <v>79.857258418977906</v>
      </c>
      <c r="AM452">
        <v>94.869450197139997</v>
      </c>
      <c r="AN452">
        <v>1.0000000101801401</v>
      </c>
    </row>
    <row r="453" spans="1:40" x14ac:dyDescent="0.25">
      <c r="A453" t="str">
        <f>"20190304155606089"</f>
        <v>20190304155606089</v>
      </c>
      <c r="B453" t="str">
        <f>"1551686166085114"</f>
        <v>1551686166085114</v>
      </c>
      <c r="C453" t="s">
        <v>40</v>
      </c>
      <c r="D453">
        <v>4.4373630000000004</v>
      </c>
      <c r="E453">
        <v>0.54588630000000005</v>
      </c>
      <c r="F453" t="s">
        <v>43</v>
      </c>
      <c r="G453">
        <v>-170.08879999999999</v>
      </c>
      <c r="H453">
        <v>8.3750660000000003</v>
      </c>
      <c r="I453">
        <v>356.99759999999998</v>
      </c>
      <c r="J453">
        <v>-393.07319999999999</v>
      </c>
      <c r="K453">
        <v>1.1059209999999999</v>
      </c>
      <c r="L453">
        <v>367.20440000000002</v>
      </c>
      <c r="M453">
        <v>0.99994380000000005</v>
      </c>
      <c r="N453">
        <v>-9.162969E-3</v>
      </c>
      <c r="O453">
        <v>-5.3404969999999996E-3</v>
      </c>
      <c r="P453">
        <v>0.98298680000000005</v>
      </c>
      <c r="Q453">
        <v>0.1663115</v>
      </c>
      <c r="R453">
        <v>7.7959000000000001E-2</v>
      </c>
      <c r="S453">
        <v>3.0466920000000002</v>
      </c>
      <c r="T453">
        <v>9.9258299999999994E-2</v>
      </c>
      <c r="U453">
        <v>-0.13937379999999999</v>
      </c>
      <c r="V453">
        <v>-8.3197759999999996E-2</v>
      </c>
      <c r="W453">
        <v>0.17531240000000001</v>
      </c>
      <c r="X453">
        <v>0.98099119999999995</v>
      </c>
      <c r="Y453">
        <v>4.0351650000000003E-2</v>
      </c>
      <c r="Z453">
        <v>2.490449E-4</v>
      </c>
      <c r="AA453">
        <v>0.99918549999999995</v>
      </c>
      <c r="AB453">
        <v>31</v>
      </c>
      <c r="AC453">
        <v>222.98439999999999</v>
      </c>
      <c r="AD453">
        <v>7.269145</v>
      </c>
      <c r="AE453">
        <v>-10.206799999999999</v>
      </c>
      <c r="AF453">
        <v>9.0062059308066402</v>
      </c>
      <c r="AG453">
        <v>7.269145</v>
      </c>
      <c r="AH453">
        <v>222.799453769682</v>
      </c>
      <c r="AI453">
        <v>88.132831408134294</v>
      </c>
      <c r="AJ453">
        <v>87.685197176413098</v>
      </c>
      <c r="AK453">
        <v>223.09986287393301</v>
      </c>
      <c r="AL453">
        <v>79.903161836480905</v>
      </c>
      <c r="AM453">
        <v>94.847648624518399</v>
      </c>
      <c r="AN453">
        <v>1.0000000196701</v>
      </c>
    </row>
    <row r="454" spans="1:40" x14ac:dyDescent="0.25">
      <c r="A454" t="str">
        <f>"20190304155606101"</f>
        <v>20190304155606101</v>
      </c>
      <c r="B454" t="str">
        <f>"1551686166094874"</f>
        <v>1551686166094874</v>
      </c>
      <c r="C454" t="s">
        <v>40</v>
      </c>
      <c r="D454">
        <v>4.5068590000000004</v>
      </c>
      <c r="E454">
        <v>0.5457398</v>
      </c>
      <c r="F454" t="s">
        <v>43</v>
      </c>
      <c r="G454">
        <v>-170.08879999999999</v>
      </c>
      <c r="H454">
        <v>7.6942690000000002</v>
      </c>
      <c r="I454">
        <v>356.89830000000001</v>
      </c>
      <c r="J454">
        <v>-392.9135</v>
      </c>
      <c r="K454">
        <v>1.106263</v>
      </c>
      <c r="L454">
        <v>367.20350000000002</v>
      </c>
      <c r="M454">
        <v>0.99994229999999995</v>
      </c>
      <c r="N454">
        <v>-9.3243049999999997E-3</v>
      </c>
      <c r="O454">
        <v>-5.3452949999999999E-3</v>
      </c>
      <c r="P454">
        <v>0.98316579999999998</v>
      </c>
      <c r="Q454">
        <v>0.1652438</v>
      </c>
      <c r="R454">
        <v>7.7973609999999999E-2</v>
      </c>
      <c r="S454">
        <v>3.0478519999999998</v>
      </c>
      <c r="T454">
        <v>9.0053679999999997E-2</v>
      </c>
      <c r="U454">
        <v>-0.1408691</v>
      </c>
      <c r="V454">
        <v>-8.3218410000000007E-2</v>
      </c>
      <c r="W454">
        <v>0.17440449999999999</v>
      </c>
      <c r="X454">
        <v>0.98115129999999995</v>
      </c>
      <c r="Y454">
        <v>4.0821259999999998E-2</v>
      </c>
      <c r="Z454">
        <v>2.045486E-4</v>
      </c>
      <c r="AA454">
        <v>0.99916640000000001</v>
      </c>
      <c r="AB454">
        <v>31</v>
      </c>
      <c r="AC454">
        <v>222.82470000000001</v>
      </c>
      <c r="AD454">
        <v>6.588006</v>
      </c>
      <c r="AE454">
        <v>-10.305199999999999</v>
      </c>
      <c r="AF454">
        <v>9.10599436948152</v>
      </c>
      <c r="AG454">
        <v>6.588006</v>
      </c>
      <c r="AH454">
        <v>222.68236288620199</v>
      </c>
      <c r="AI454">
        <v>88.306826182432502</v>
      </c>
      <c r="AJ454">
        <v>87.658348337007098</v>
      </c>
      <c r="AK454">
        <v>222.965817328789</v>
      </c>
      <c r="AL454">
        <v>79.955994982572705</v>
      </c>
      <c r="AM454">
        <v>94.848058651205903</v>
      </c>
      <c r="AN454">
        <v>1.00000005343743</v>
      </c>
    </row>
    <row r="455" spans="1:40" x14ac:dyDescent="0.25">
      <c r="A455" t="str">
        <f>"20190304155606113"</f>
        <v>20190304155606113</v>
      </c>
      <c r="B455" t="str">
        <f>"1551686166105610"</f>
        <v>1551686166105610</v>
      </c>
      <c r="C455" t="s">
        <v>40</v>
      </c>
      <c r="D455">
        <v>4.5401490000000004</v>
      </c>
      <c r="E455">
        <v>0.54553169999999995</v>
      </c>
      <c r="F455" t="s">
        <v>43</v>
      </c>
      <c r="G455">
        <v>-170.08879999999999</v>
      </c>
      <c r="H455">
        <v>7.2952859999999999</v>
      </c>
      <c r="I455">
        <v>356.95299999999997</v>
      </c>
      <c r="J455">
        <v>-392.75209999999998</v>
      </c>
      <c r="K455">
        <v>1.1065910000000001</v>
      </c>
      <c r="L455">
        <v>367.20260000000002</v>
      </c>
      <c r="M455">
        <v>0.99994079999999996</v>
      </c>
      <c r="N455">
        <v>-9.4826760000000006E-3</v>
      </c>
      <c r="O455">
        <v>-5.3499709999999898E-3</v>
      </c>
      <c r="P455">
        <v>0.98324350000000005</v>
      </c>
      <c r="Q455">
        <v>0.16471729999999901</v>
      </c>
      <c r="R455">
        <v>7.8107510000000005E-2</v>
      </c>
      <c r="S455">
        <v>3.048279</v>
      </c>
      <c r="T455">
        <v>8.466804E-2</v>
      </c>
      <c r="U455">
        <v>-0.1402283</v>
      </c>
      <c r="V455">
        <v>-8.3357280000000006E-2</v>
      </c>
      <c r="W455">
        <v>0.17403440000000001</v>
      </c>
      <c r="X455">
        <v>0.9812052</v>
      </c>
      <c r="Y455">
        <v>4.0602050000000001E-2</v>
      </c>
      <c r="Z455">
        <v>1.7164820000000001E-4</v>
      </c>
      <c r="AA455">
        <v>0.99917540000000005</v>
      </c>
      <c r="AB455">
        <v>31</v>
      </c>
      <c r="AC455">
        <v>222.66329999999999</v>
      </c>
      <c r="AD455">
        <v>6.1886950000000001</v>
      </c>
      <c r="AE455">
        <v>-10.2495999999999</v>
      </c>
      <c r="AF455">
        <v>9.0511803390658994</v>
      </c>
      <c r="AG455">
        <v>6.1886950000000001</v>
      </c>
      <c r="AH455">
        <v>222.54339844600199</v>
      </c>
      <c r="AI455">
        <v>88.408391081087402</v>
      </c>
      <c r="AJ455">
        <v>87.670976664434306</v>
      </c>
      <c r="AK455">
        <v>222.81334790184701</v>
      </c>
      <c r="AL455">
        <v>79.977529207134907</v>
      </c>
      <c r="AM455">
        <v>94.855844668820893</v>
      </c>
      <c r="AN455">
        <v>1.00000002650969</v>
      </c>
    </row>
    <row r="456" spans="1:40" x14ac:dyDescent="0.25">
      <c r="A456" t="str">
        <f>"20190304155606125"</f>
        <v>20190304155606125</v>
      </c>
      <c r="B456" t="str">
        <f>"1551686166115370"</f>
        <v>1551686166115370</v>
      </c>
      <c r="C456" t="s">
        <v>40</v>
      </c>
      <c r="D456">
        <v>4.4540100000000002</v>
      </c>
      <c r="E456">
        <v>0.54546779999999995</v>
      </c>
      <c r="F456" t="s">
        <v>43</v>
      </c>
      <c r="G456">
        <v>-170.08879999999999</v>
      </c>
      <c r="H456">
        <v>7.0799050000000001</v>
      </c>
      <c r="I456">
        <v>357.09609999999998</v>
      </c>
      <c r="J456">
        <v>-392.5718</v>
      </c>
      <c r="K456">
        <v>1.1069180000000001</v>
      </c>
      <c r="L456">
        <v>367.20170000000002</v>
      </c>
      <c r="M456">
        <v>0.99993920000000003</v>
      </c>
      <c r="N456">
        <v>-9.6461159999999997E-3</v>
      </c>
      <c r="O456">
        <v>-5.3551639999999999E-3</v>
      </c>
      <c r="P456">
        <v>0.98328669999999996</v>
      </c>
      <c r="Q456">
        <v>0.1645375</v>
      </c>
      <c r="R456">
        <v>7.7940609999999994E-2</v>
      </c>
      <c r="S456">
        <v>3.0484309999999999</v>
      </c>
      <c r="T456">
        <v>8.1780430000000001E-2</v>
      </c>
      <c r="U456">
        <v>-0.13836670000000001</v>
      </c>
      <c r="V456">
        <v>-8.3196149999999996E-2</v>
      </c>
      <c r="W456">
        <v>0.17401520000000001</v>
      </c>
      <c r="X456">
        <v>0.98122229999999999</v>
      </c>
      <c r="Y456">
        <v>3.9986609999999999E-2</v>
      </c>
      <c r="Z456">
        <v>1.4782670000000001E-4</v>
      </c>
      <c r="AA456">
        <v>0.99920019999999998</v>
      </c>
      <c r="AB456">
        <v>31</v>
      </c>
      <c r="AC456">
        <v>222.483</v>
      </c>
      <c r="AD456">
        <v>5.9729869999999998</v>
      </c>
      <c r="AE456">
        <v>-10.105600000000001</v>
      </c>
      <c r="AF456">
        <v>8.9075597967464404</v>
      </c>
      <c r="AG456">
        <v>5.9729869999999998</v>
      </c>
      <c r="AH456">
        <v>222.373981349795</v>
      </c>
      <c r="AI456">
        <v>88.462631968579899</v>
      </c>
      <c r="AJ456">
        <v>87.706148557464999</v>
      </c>
      <c r="AK456">
        <v>222.632452209002</v>
      </c>
      <c r="AL456">
        <v>79.978646525380597</v>
      </c>
      <c r="AM456">
        <v>94.846418992312294</v>
      </c>
      <c r="AN456">
        <v>1.0000000456115701</v>
      </c>
    </row>
    <row r="457" spans="1:40" x14ac:dyDescent="0.25">
      <c r="A457" t="str">
        <f>"20190304155606137"</f>
        <v>20190304155606137</v>
      </c>
      <c r="B457" t="str">
        <f>"1551686166134890"</f>
        <v>1551686166134890</v>
      </c>
      <c r="C457" t="s">
        <v>40</v>
      </c>
      <c r="D457">
        <v>4.4024760000000001</v>
      </c>
      <c r="E457">
        <v>0.54605329999999996</v>
      </c>
      <c r="F457" t="s">
        <v>43</v>
      </c>
      <c r="G457">
        <v>-165.94900000000001</v>
      </c>
      <c r="H457">
        <v>6.6740880000000002</v>
      </c>
      <c r="I457">
        <v>356.89609999999999</v>
      </c>
      <c r="J457">
        <v>-392.40879999999999</v>
      </c>
      <c r="K457">
        <v>1.1071879999999901</v>
      </c>
      <c r="L457">
        <v>367.20069999999998</v>
      </c>
      <c r="M457">
        <v>0.99993770000000004</v>
      </c>
      <c r="N457">
        <v>-9.7839250000000006E-3</v>
      </c>
      <c r="O457">
        <v>-5.3598860000000003E-3</v>
      </c>
      <c r="P457">
        <v>0.9833115</v>
      </c>
      <c r="Q457">
        <v>0.1643385</v>
      </c>
      <c r="R457">
        <v>7.8047069999999996E-2</v>
      </c>
      <c r="S457">
        <v>3.0494379999999999</v>
      </c>
      <c r="T457">
        <v>7.4913019999999997E-2</v>
      </c>
      <c r="U457">
        <v>-0.13867189999999999</v>
      </c>
      <c r="V457">
        <v>-8.3307069999999997E-2</v>
      </c>
      <c r="W457">
        <v>0.17395179999999999</v>
      </c>
      <c r="X457">
        <v>0.98122410000000004</v>
      </c>
      <c r="Y457">
        <v>4.0068260000000001E-2</v>
      </c>
      <c r="Z457">
        <v>1.117123E-4</v>
      </c>
      <c r="AA457">
        <v>0.99919690000000005</v>
      </c>
      <c r="AB457">
        <v>31</v>
      </c>
      <c r="AC457">
        <v>226.4598</v>
      </c>
      <c r="AD457">
        <v>5.5669000000000004</v>
      </c>
      <c r="AE457">
        <v>-10.304599999999899</v>
      </c>
      <c r="AF457">
        <v>9.0851163786583999</v>
      </c>
      <c r="AG457">
        <v>5.5669000000000004</v>
      </c>
      <c r="AH457">
        <v>226.37526748002699</v>
      </c>
      <c r="AI457">
        <v>88.592429273626607</v>
      </c>
      <c r="AJ457">
        <v>87.701782395996204</v>
      </c>
      <c r="AK457">
        <v>226.62588431571001</v>
      </c>
      <c r="AL457">
        <v>79.9823350328206</v>
      </c>
      <c r="AM457">
        <v>94.852840709690099</v>
      </c>
      <c r="AN457">
        <v>1.00000001552801</v>
      </c>
    </row>
    <row r="458" spans="1:40" x14ac:dyDescent="0.25">
      <c r="A458" t="str">
        <f>"20190304155606150"</f>
        <v>20190304155606150</v>
      </c>
      <c r="B458" t="str">
        <f>"1551686166145625"</f>
        <v>1551686166145625</v>
      </c>
      <c r="C458" t="s">
        <v>40</v>
      </c>
      <c r="D458">
        <v>4.4330759999999998</v>
      </c>
      <c r="E458">
        <v>0.5460469</v>
      </c>
      <c r="F458" t="s">
        <v>43</v>
      </c>
      <c r="G458">
        <v>-167.554</v>
      </c>
      <c r="H458">
        <v>6.274508</v>
      </c>
      <c r="I458">
        <v>356.61509999999998</v>
      </c>
      <c r="J458">
        <v>-392.24040000000002</v>
      </c>
      <c r="K458">
        <v>1.107456</v>
      </c>
      <c r="L458">
        <v>367.19990000000001</v>
      </c>
      <c r="M458">
        <v>0.99993650000000001</v>
      </c>
      <c r="N458">
        <v>-9.9210649999999997E-3</v>
      </c>
      <c r="O458">
        <v>-5.3650919999999897E-3</v>
      </c>
      <c r="P458">
        <v>0.98332960000000003</v>
      </c>
      <c r="Q458">
        <v>0.164165899999999</v>
      </c>
      <c r="R458">
        <v>7.8182639999999998E-2</v>
      </c>
      <c r="S458">
        <v>3.0505979999999999</v>
      </c>
      <c r="T458">
        <v>7.010603E-2</v>
      </c>
      <c r="U458">
        <v>-0.14361570000000001</v>
      </c>
      <c r="V458">
        <v>-8.344799E-2</v>
      </c>
      <c r="W458">
        <v>0.17391419999999999</v>
      </c>
      <c r="X458">
        <v>0.98121879999999995</v>
      </c>
      <c r="Y458">
        <v>4.1662379999999999E-2</v>
      </c>
      <c r="Z458" s="1">
        <v>9.5194729999999994E-5</v>
      </c>
      <c r="AA458">
        <v>0.99913169999999996</v>
      </c>
      <c r="AB458">
        <v>31</v>
      </c>
      <c r="AC458">
        <v>224.68639999999999</v>
      </c>
      <c r="AD458">
        <v>5.167052</v>
      </c>
      <c r="AE458">
        <v>-10.5848</v>
      </c>
      <c r="AF458">
        <v>9.3741786876628499</v>
      </c>
      <c r="AG458">
        <v>5.167052</v>
      </c>
      <c r="AH458">
        <v>224.62142928052199</v>
      </c>
      <c r="AI458">
        <v>88.683381486697002</v>
      </c>
      <c r="AJ458">
        <v>87.610248558399704</v>
      </c>
      <c r="AK458">
        <v>224.876321884861</v>
      </c>
      <c r="AL458">
        <v>79.9845227927959</v>
      </c>
      <c r="AM458">
        <v>94.861036473289801</v>
      </c>
      <c r="AN458">
        <v>1.00000002473505</v>
      </c>
    </row>
    <row r="459" spans="1:40" x14ac:dyDescent="0.25">
      <c r="A459" t="str">
        <f>"20190304155606169"</f>
        <v>20190304155606169</v>
      </c>
      <c r="B459" t="str">
        <f>"1551686166165146"</f>
        <v>1551686166165146</v>
      </c>
      <c r="C459" t="s">
        <v>40</v>
      </c>
      <c r="D459">
        <v>4.652183</v>
      </c>
      <c r="E459">
        <v>0.5459714</v>
      </c>
      <c r="F459" t="s">
        <v>43</v>
      </c>
      <c r="G459">
        <v>-166.98330000000001</v>
      </c>
      <c r="H459">
        <v>6.0616279999999998</v>
      </c>
      <c r="I459">
        <v>356.61509999999998</v>
      </c>
      <c r="J459">
        <v>-391.98289999999997</v>
      </c>
      <c r="K459">
        <v>1.1078030000000001</v>
      </c>
      <c r="L459">
        <v>367.19850000000002</v>
      </c>
      <c r="M459">
        <v>0.99993449999999995</v>
      </c>
      <c r="N459">
        <v>-1.0109760000000001E-2</v>
      </c>
      <c r="O459">
        <v>-5.3725939999999996E-3</v>
      </c>
      <c r="P459">
        <v>0.9834387</v>
      </c>
      <c r="Q459">
        <v>0.16344429999999999</v>
      </c>
      <c r="R459">
        <v>7.8322370000000002E-2</v>
      </c>
      <c r="S459">
        <v>3.0511170000000001</v>
      </c>
      <c r="T459">
        <v>6.7105650000000003E-2</v>
      </c>
      <c r="U459">
        <v>-0.14337159999999999</v>
      </c>
      <c r="V459">
        <v>-8.3595429999999998E-2</v>
      </c>
      <c r="W459">
        <v>0.17337839999999999</v>
      </c>
      <c r="X459">
        <v>0.98130099999999998</v>
      </c>
      <c r="Y459">
        <v>4.1567800000000002E-2</v>
      </c>
      <c r="Z459" s="1">
        <v>7.4194919999999998E-5</v>
      </c>
      <c r="AA459">
        <v>0.99913569999999996</v>
      </c>
      <c r="AB459">
        <v>31</v>
      </c>
      <c r="AC459">
        <v>224.99959999999999</v>
      </c>
      <c r="AD459">
        <v>4.9538250000000001</v>
      </c>
      <c r="AE459">
        <v>-10.583399999999999</v>
      </c>
      <c r="AF459">
        <v>9.3698220101547491</v>
      </c>
      <c r="AG459">
        <v>4.9538250000000001</v>
      </c>
      <c r="AH459">
        <v>224.94441449627499</v>
      </c>
      <c r="AI459">
        <v>88.739503711807203</v>
      </c>
      <c r="AJ459">
        <v>87.614783670489899</v>
      </c>
      <c r="AK459">
        <v>225.19396874628899</v>
      </c>
      <c r="AL459">
        <v>80.015694780858993</v>
      </c>
      <c r="AM459">
        <v>94.869177981152305</v>
      </c>
      <c r="AN459">
        <v>0.99999995905222105</v>
      </c>
    </row>
    <row r="460" spans="1:40" x14ac:dyDescent="0.25">
      <c r="A460" t="str">
        <f>"20190304155606191"</f>
        <v>20190304155606191</v>
      </c>
      <c r="B460" t="str">
        <f>"1551686166185641"</f>
        <v>1551686166185641</v>
      </c>
      <c r="C460" t="s">
        <v>40</v>
      </c>
      <c r="D460">
        <v>4.6525280000000002</v>
      </c>
      <c r="E460">
        <v>0.54560090000000006</v>
      </c>
      <c r="F460" t="s">
        <v>43</v>
      </c>
      <c r="G460">
        <v>-158.19499999999999</v>
      </c>
      <c r="H460">
        <v>6.1123440000000002</v>
      </c>
      <c r="I460">
        <v>356.24290000000002</v>
      </c>
      <c r="J460">
        <v>-391.68270000000001</v>
      </c>
      <c r="K460">
        <v>1.1081559999999999</v>
      </c>
      <c r="L460">
        <v>367.1968</v>
      </c>
      <c r="M460">
        <v>0.99993240000000005</v>
      </c>
      <c r="N460">
        <v>-1.030798E-2</v>
      </c>
      <c r="O460">
        <v>-5.3807550000000001E-3</v>
      </c>
      <c r="P460">
        <v>0.98357000000000006</v>
      </c>
      <c r="Q460">
        <v>0.1625511</v>
      </c>
      <c r="R460">
        <v>7.8530699999999995E-2</v>
      </c>
      <c r="S460">
        <v>3.0510250000000001</v>
      </c>
      <c r="T460">
        <v>6.5312389999999998E-2</v>
      </c>
      <c r="U460">
        <v>-0.14297489999999999</v>
      </c>
      <c r="V460">
        <v>-8.3812680000000001E-2</v>
      </c>
      <c r="W460">
        <v>0.17268149999999999</v>
      </c>
      <c r="X460">
        <v>0.98140539999999998</v>
      </c>
      <c r="Y460">
        <v>4.1431849999999999E-2</v>
      </c>
      <c r="Z460" s="1">
        <v>5.8958710000000003E-5</v>
      </c>
      <c r="AA460">
        <v>0.99914130000000001</v>
      </c>
      <c r="AB460">
        <v>31</v>
      </c>
      <c r="AC460">
        <v>233.48769999999999</v>
      </c>
      <c r="AD460">
        <v>5.0041880000000001</v>
      </c>
      <c r="AE460">
        <v>-10.9538999999999</v>
      </c>
      <c r="AF460">
        <v>9.6928919514928502</v>
      </c>
      <c r="AG460">
        <v>5.0041880000000001</v>
      </c>
      <c r="AH460">
        <v>233.43627061545499</v>
      </c>
      <c r="AI460">
        <v>88.772991851526498</v>
      </c>
      <c r="AJ460">
        <v>87.622293414908199</v>
      </c>
      <c r="AK460">
        <v>233.691006439646</v>
      </c>
      <c r="AL460">
        <v>80.0562362451941</v>
      </c>
      <c r="AM460">
        <v>94.881254250029997</v>
      </c>
      <c r="AN460">
        <v>1.0000000124600901</v>
      </c>
    </row>
    <row r="461" spans="1:40" x14ac:dyDescent="0.25">
      <c r="A461" t="str">
        <f>"20190304155606203"</f>
        <v>20190304155606203</v>
      </c>
      <c r="B461" t="str">
        <f>"1551686166195402"</f>
        <v>1551686166195402</v>
      </c>
      <c r="C461" t="s">
        <v>40</v>
      </c>
      <c r="D461">
        <v>4.659249</v>
      </c>
      <c r="E461">
        <v>0.54566040000000005</v>
      </c>
      <c r="F461" t="s">
        <v>43</v>
      </c>
      <c r="G461">
        <v>-158.19499999999999</v>
      </c>
      <c r="H461">
        <v>5.6827079999999999</v>
      </c>
      <c r="I461">
        <v>356.52730000000003</v>
      </c>
      <c r="J461">
        <v>-391.50839999999999</v>
      </c>
      <c r="K461">
        <v>1.108325</v>
      </c>
      <c r="L461">
        <v>367.19589999999999</v>
      </c>
      <c r="M461">
        <v>0.99993140000000003</v>
      </c>
      <c r="N461">
        <v>-1.041077E-2</v>
      </c>
      <c r="O461">
        <v>-5.3842600000000001E-3</v>
      </c>
      <c r="P461">
        <v>0.98364529999999994</v>
      </c>
      <c r="Q461">
        <v>0.1622181</v>
      </c>
      <c r="R461">
        <v>7.8277650000000004E-2</v>
      </c>
      <c r="S461">
        <v>3.0513309999999998</v>
      </c>
      <c r="T461">
        <v>5.9783580000000003E-2</v>
      </c>
      <c r="U461">
        <v>-0.1394348</v>
      </c>
      <c r="V461">
        <v>-8.3563860000000004E-2</v>
      </c>
      <c r="W461">
        <v>0.17244989999999999</v>
      </c>
      <c r="X461">
        <v>0.98146730000000004</v>
      </c>
      <c r="Y461">
        <v>4.026797E-2</v>
      </c>
      <c r="Z461" s="1">
        <v>2.3056169999999999E-5</v>
      </c>
      <c r="AA461">
        <v>0.99918890000000005</v>
      </c>
      <c r="AB461">
        <v>31</v>
      </c>
      <c r="AC461">
        <v>233.3134</v>
      </c>
      <c r="AD461">
        <v>4.5743830000000001</v>
      </c>
      <c r="AE461">
        <v>-10.6685999999999</v>
      </c>
      <c r="AF461">
        <v>9.40854824336974</v>
      </c>
      <c r="AG461">
        <v>4.5743830000000001</v>
      </c>
      <c r="AH461">
        <v>233.27797790182601</v>
      </c>
      <c r="AI461">
        <v>88.877534734678605</v>
      </c>
      <c r="AJ461">
        <v>87.690403096573704</v>
      </c>
      <c r="AK461">
        <v>233.51244235338601</v>
      </c>
      <c r="AL461">
        <v>80.069707664090799</v>
      </c>
      <c r="AM461">
        <v>94.866527197963904</v>
      </c>
      <c r="AN461">
        <v>0.99999997383869899</v>
      </c>
    </row>
    <row r="462" spans="1:40" x14ac:dyDescent="0.25">
      <c r="A462" t="str">
        <f>"20190304155606214"</f>
        <v>20190304155606214</v>
      </c>
      <c r="B462" t="str">
        <f>"1551686166205162"</f>
        <v>1551686166205162</v>
      </c>
      <c r="C462" t="s">
        <v>40</v>
      </c>
      <c r="D462">
        <v>4.4793450000000004</v>
      </c>
      <c r="E462">
        <v>0.54564029999999997</v>
      </c>
      <c r="F462" t="s">
        <v>43</v>
      </c>
      <c r="G462">
        <v>-158.19499999999999</v>
      </c>
      <c r="H462">
        <v>5.4400589999999998</v>
      </c>
      <c r="I462">
        <v>356.42610000000002</v>
      </c>
      <c r="J462">
        <v>-391.33980000000003</v>
      </c>
      <c r="K462">
        <v>1.108481</v>
      </c>
      <c r="L462">
        <v>367.19499999999999</v>
      </c>
      <c r="M462">
        <v>0.9999304</v>
      </c>
      <c r="N462">
        <v>-1.050569E-2</v>
      </c>
      <c r="O462">
        <v>-5.3873690000000004E-3</v>
      </c>
      <c r="P462">
        <v>0.98356469999999896</v>
      </c>
      <c r="Q462">
        <v>0.16274739999999999</v>
      </c>
      <c r="R462">
        <v>7.8192700000000004E-2</v>
      </c>
      <c r="S462">
        <v>3.051758</v>
      </c>
      <c r="T462">
        <v>5.6660530000000001E-2</v>
      </c>
      <c r="U462">
        <v>-0.1408691</v>
      </c>
      <c r="V462">
        <v>-8.3481620000000006E-2</v>
      </c>
      <c r="W462">
        <v>0.17307129999999901</v>
      </c>
      <c r="X462">
        <v>0.98136500000000004</v>
      </c>
      <c r="Y462">
        <v>4.072754E-2</v>
      </c>
      <c r="Z462" s="1">
        <v>7.2644320000000003E-6</v>
      </c>
      <c r="AA462">
        <v>0.99917029999999996</v>
      </c>
      <c r="AB462">
        <v>31</v>
      </c>
      <c r="AC462">
        <v>233.1448</v>
      </c>
      <c r="AD462">
        <v>4.3315780000000004</v>
      </c>
      <c r="AE462">
        <v>-10.768899999999901</v>
      </c>
      <c r="AF462">
        <v>9.5093620241794099</v>
      </c>
      <c r="AG462">
        <v>4.3315780000000004</v>
      </c>
      <c r="AH462">
        <v>233.11913960701099</v>
      </c>
      <c r="AI462">
        <v>88.936396095718493</v>
      </c>
      <c r="AJ462">
        <v>87.664093954253104</v>
      </c>
      <c r="AK462">
        <v>233.35321678774901</v>
      </c>
      <c r="AL462">
        <v>80.0335614138789</v>
      </c>
      <c r="AM462">
        <v>94.862265109397399</v>
      </c>
      <c r="AN462">
        <v>1.0000000594932501</v>
      </c>
    </row>
    <row r="463" spans="1:40" x14ac:dyDescent="0.25">
      <c r="A463" t="str">
        <f>"20190304155606226"</f>
        <v>20190304155606226</v>
      </c>
      <c r="B463" t="str">
        <f>"1551686166214922"</f>
        <v>1551686166214922</v>
      </c>
      <c r="C463" t="s">
        <v>40</v>
      </c>
      <c r="D463">
        <v>4.4929030000000001</v>
      </c>
      <c r="E463">
        <v>0.54553739999999995</v>
      </c>
      <c r="F463" t="s">
        <v>43</v>
      </c>
      <c r="G463">
        <v>-158.19499999999999</v>
      </c>
      <c r="H463">
        <v>5.392665</v>
      </c>
      <c r="I463">
        <v>356.45269999999999</v>
      </c>
      <c r="J463">
        <v>-391.17500000000001</v>
      </c>
      <c r="K463">
        <v>1.1086240000000001</v>
      </c>
      <c r="L463">
        <v>367.19409999999999</v>
      </c>
      <c r="M463">
        <v>0.99992950000000003</v>
      </c>
      <c r="N463">
        <v>-1.059294E-2</v>
      </c>
      <c r="O463">
        <v>-5.3896049999999996E-3</v>
      </c>
      <c r="P463">
        <v>0.98351500000000003</v>
      </c>
      <c r="Q463">
        <v>0.16311129999999999</v>
      </c>
      <c r="R463">
        <v>7.8061409999999998E-2</v>
      </c>
      <c r="S463">
        <v>3.0520320000000001</v>
      </c>
      <c r="T463">
        <v>5.6084160000000001E-2</v>
      </c>
      <c r="U463">
        <v>-0.140625</v>
      </c>
      <c r="V463">
        <v>-8.3352800000000005E-2</v>
      </c>
      <c r="W463">
        <v>0.17352029999999999</v>
      </c>
      <c r="X463">
        <v>0.98129659999999996</v>
      </c>
      <c r="Y463">
        <v>4.064152E-2</v>
      </c>
      <c r="Z463" s="1">
        <v>1.7678250000000001E-6</v>
      </c>
      <c r="AA463">
        <v>0.9991738</v>
      </c>
      <c r="AB463">
        <v>31</v>
      </c>
      <c r="AC463">
        <v>232.98</v>
      </c>
      <c r="AD463">
        <v>4.2840410000000002</v>
      </c>
      <c r="AE463">
        <v>-10.741400000000001</v>
      </c>
      <c r="AF463">
        <v>9.4823041615628707</v>
      </c>
      <c r="AG463">
        <v>4.2840410000000002</v>
      </c>
      <c r="AH463">
        <v>232.955911141667</v>
      </c>
      <c r="AI463">
        <v>88.947325346664698</v>
      </c>
      <c r="AJ463">
        <v>87.669102911117605</v>
      </c>
      <c r="AK463">
        <v>233.188172160053</v>
      </c>
      <c r="AL463">
        <v>80.007439798743107</v>
      </c>
      <c r="AM463">
        <v>94.855134844094493</v>
      </c>
      <c r="AN463">
        <v>1.0000000004757399</v>
      </c>
    </row>
    <row r="464" spans="1:40" x14ac:dyDescent="0.25">
      <c r="A464" t="str">
        <f>"20190304155606246"</f>
        <v>20190304155606246</v>
      </c>
      <c r="B464" t="str">
        <f>"1551686166235417"</f>
        <v>1551686166235417</v>
      </c>
      <c r="C464" t="s">
        <v>40</v>
      </c>
      <c r="D464">
        <v>4.5054970000000001</v>
      </c>
      <c r="E464">
        <v>0.5454717</v>
      </c>
      <c r="F464" t="s">
        <v>43</v>
      </c>
      <c r="G464">
        <v>-158.19499999999999</v>
      </c>
      <c r="H464">
        <v>5.346946</v>
      </c>
      <c r="I464">
        <v>356.50659999999999</v>
      </c>
      <c r="J464">
        <v>-390.91770000000002</v>
      </c>
      <c r="K464">
        <v>1.1088089999999999</v>
      </c>
      <c r="L464">
        <v>367.1927</v>
      </c>
      <c r="M464">
        <v>0.99992809999999999</v>
      </c>
      <c r="N464">
        <v>-1.071687E-2</v>
      </c>
      <c r="O464">
        <v>-5.3922709999999997E-3</v>
      </c>
      <c r="P464">
        <v>0.98332640000000004</v>
      </c>
      <c r="Q464">
        <v>0.16455729999999999</v>
      </c>
      <c r="R464">
        <v>7.7397060000000004E-2</v>
      </c>
      <c r="S464">
        <v>3.052216</v>
      </c>
      <c r="T464">
        <v>5.552638E-2</v>
      </c>
      <c r="U464">
        <v>-0.14001459999999999</v>
      </c>
      <c r="V464">
        <v>-8.2690810000000003E-2</v>
      </c>
      <c r="W464">
        <v>0.1750852</v>
      </c>
      <c r="X464">
        <v>0.98107460000000002</v>
      </c>
      <c r="Y464">
        <v>4.043687E-2</v>
      </c>
      <c r="Z464" s="1">
        <v>-5.0005620000000003E-6</v>
      </c>
      <c r="AA464">
        <v>0.99918209999999996</v>
      </c>
      <c r="AB464">
        <v>31</v>
      </c>
      <c r="AC464">
        <v>232.7227</v>
      </c>
      <c r="AD464">
        <v>4.238137</v>
      </c>
      <c r="AE464">
        <v>-10.6861</v>
      </c>
      <c r="AF464">
        <v>9.4278486574084592</v>
      </c>
      <c r="AG464">
        <v>4.238137</v>
      </c>
      <c r="AH464">
        <v>232.699930625375</v>
      </c>
      <c r="AI464">
        <v>88.957449052066707</v>
      </c>
      <c r="AJ464">
        <v>87.679927679546296</v>
      </c>
      <c r="AK464">
        <v>232.92939670336199</v>
      </c>
      <c r="AL464">
        <v>79.916383579623798</v>
      </c>
      <c r="AM464">
        <v>94.817842204350299</v>
      </c>
      <c r="AN464">
        <v>0.99999998404132795</v>
      </c>
    </row>
    <row r="465" spans="1:40" x14ac:dyDescent="0.25">
      <c r="A465" t="str">
        <f>"20190304155606257"</f>
        <v>20190304155606257</v>
      </c>
      <c r="B465" t="str">
        <f>"1551686166254938"</f>
        <v>1551686166254938</v>
      </c>
      <c r="C465" t="s">
        <v>40</v>
      </c>
      <c r="D465">
        <v>4.5378910000000001</v>
      </c>
      <c r="E465">
        <v>0.54573839999999996</v>
      </c>
      <c r="F465" t="s">
        <v>43</v>
      </c>
      <c r="G465">
        <v>-158.19499999999999</v>
      </c>
      <c r="H465">
        <v>5.4137329999999997</v>
      </c>
      <c r="I465">
        <v>356.45740000000001</v>
      </c>
      <c r="J465">
        <v>-390.75779999999997</v>
      </c>
      <c r="K465">
        <v>1.1089119999999999</v>
      </c>
      <c r="L465">
        <v>367.1918</v>
      </c>
      <c r="M465">
        <v>0.99992729999999996</v>
      </c>
      <c r="N465">
        <v>-1.0787390000000001E-2</v>
      </c>
      <c r="O465">
        <v>-5.3933540000000004E-3</v>
      </c>
      <c r="P465">
        <v>0.98332419999999998</v>
      </c>
      <c r="Q465">
        <v>0.1646831</v>
      </c>
      <c r="R465">
        <v>7.7154340000000002E-2</v>
      </c>
      <c r="S465">
        <v>3.0524900000000001</v>
      </c>
      <c r="T465">
        <v>5.6466339999999997E-2</v>
      </c>
      <c r="U465">
        <v>-0.14080809999999999</v>
      </c>
      <c r="V465">
        <v>-8.2449300000000003E-2</v>
      </c>
      <c r="W465">
        <v>0.17527999999999999</v>
      </c>
      <c r="X465">
        <v>0.98106009999999999</v>
      </c>
      <c r="Y465">
        <v>4.0690749999999998E-2</v>
      </c>
      <c r="Z465" s="1">
        <v>-1.3272509999999999E-6</v>
      </c>
      <c r="AA465">
        <v>0.99917180000000005</v>
      </c>
      <c r="AB465">
        <v>31</v>
      </c>
      <c r="AC465">
        <v>232.56280000000001</v>
      </c>
      <c r="AD465">
        <v>4.3048209999999996</v>
      </c>
      <c r="AE465">
        <v>-10.7343999999999</v>
      </c>
      <c r="AF465">
        <v>9.4766372934123098</v>
      </c>
      <c r="AG465">
        <v>4.3048209999999996</v>
      </c>
      <c r="AH465">
        <v>232.53780910743001</v>
      </c>
      <c r="AI465">
        <v>88.940321094795905</v>
      </c>
      <c r="AJ465">
        <v>87.666310564971795</v>
      </c>
      <c r="AK465">
        <v>232.77063990700401</v>
      </c>
      <c r="AL465">
        <v>79.905046630760793</v>
      </c>
      <c r="AM465">
        <v>94.803907641218004</v>
      </c>
      <c r="AN465">
        <v>0.99999994264124803</v>
      </c>
    </row>
    <row r="466" spans="1:40" x14ac:dyDescent="0.25">
      <c r="A466" t="str">
        <f>"20190304155606268"</f>
        <v>20190304155606268</v>
      </c>
      <c r="B466" t="str">
        <f>"1551686166265673"</f>
        <v>1551686166265673</v>
      </c>
      <c r="C466" t="s">
        <v>40</v>
      </c>
      <c r="D466">
        <v>4.5081889999999998</v>
      </c>
      <c r="E466">
        <v>0.54590709999999998</v>
      </c>
      <c r="F466" t="s">
        <v>43</v>
      </c>
      <c r="G466">
        <v>-158.19499999999999</v>
      </c>
      <c r="H466">
        <v>5.4871589999999903</v>
      </c>
      <c r="I466">
        <v>356.30329999999998</v>
      </c>
      <c r="J466">
        <v>-390.59820000000002</v>
      </c>
      <c r="K466">
        <v>1.109011</v>
      </c>
      <c r="L466">
        <v>367.1909</v>
      </c>
      <c r="M466">
        <v>0.99992650000000005</v>
      </c>
      <c r="N466">
        <v>-1.085509E-2</v>
      </c>
      <c r="O466">
        <v>-5.3940669999999998E-3</v>
      </c>
      <c r="P466">
        <v>0.98345459999999996</v>
      </c>
      <c r="Q466">
        <v>0.16426859999999999</v>
      </c>
      <c r="R466">
        <v>7.6372720000000005E-2</v>
      </c>
      <c r="S466">
        <v>3.0524290000000001</v>
      </c>
      <c r="T466">
        <v>5.7466389999999999E-2</v>
      </c>
      <c r="U466">
        <v>-0.14291379999999901</v>
      </c>
      <c r="V466">
        <v>-8.1669420000000006E-2</v>
      </c>
      <c r="W466">
        <v>0.17493310000000001</v>
      </c>
      <c r="X466">
        <v>0.98118729999999998</v>
      </c>
      <c r="Y466">
        <v>4.1378579999999998E-2</v>
      </c>
      <c r="Z466" s="1">
        <v>4.5363559999999999E-6</v>
      </c>
      <c r="AA466">
        <v>0.99914349999999996</v>
      </c>
      <c r="AB466">
        <v>31</v>
      </c>
      <c r="AC466">
        <v>232.4032</v>
      </c>
      <c r="AD466">
        <v>4.3781480000000004</v>
      </c>
      <c r="AE466">
        <v>-10.887600000000001</v>
      </c>
      <c r="AF466">
        <v>9.6303589940564809</v>
      </c>
      <c r="AG466">
        <v>4.3781480000000004</v>
      </c>
      <c r="AH466">
        <v>232.37626252146799</v>
      </c>
      <c r="AI466">
        <v>88.921556537311801</v>
      </c>
      <c r="AJ466">
        <v>87.6268516075326</v>
      </c>
      <c r="AK466">
        <v>232.616936996665</v>
      </c>
      <c r="AL466">
        <v>79.925235040713901</v>
      </c>
      <c r="AM466">
        <v>94.7580635286877</v>
      </c>
      <c r="AN466">
        <v>1.00000000066001</v>
      </c>
    </row>
    <row r="467" spans="1:40" x14ac:dyDescent="0.25">
      <c r="A467" t="str">
        <f>"20190304155606280"</f>
        <v>20190304155606280</v>
      </c>
      <c r="B467" t="str">
        <f>"1551686166275433"</f>
        <v>1551686166275433</v>
      </c>
      <c r="C467" t="s">
        <v>40</v>
      </c>
      <c r="D467">
        <v>4.5832079999999999</v>
      </c>
      <c r="E467">
        <v>0.54596540000000005</v>
      </c>
      <c r="F467" t="s">
        <v>43</v>
      </c>
      <c r="G467">
        <v>-169.2955</v>
      </c>
      <c r="H467">
        <v>5.2960200000000004</v>
      </c>
      <c r="I467">
        <v>356.56560000000002</v>
      </c>
      <c r="J467">
        <v>-390.4461</v>
      </c>
      <c r="K467">
        <v>1.1090880000000001</v>
      </c>
      <c r="L467">
        <v>367.19009999999997</v>
      </c>
      <c r="M467">
        <v>0.99992599999999998</v>
      </c>
      <c r="N467">
        <v>-1.0913229999999999E-2</v>
      </c>
      <c r="O467">
        <v>-5.394734E-3</v>
      </c>
      <c r="P467">
        <v>0.98359079999999999</v>
      </c>
      <c r="Q467">
        <v>0.16371820000000001</v>
      </c>
      <c r="R467">
        <v>7.5798389999999993E-2</v>
      </c>
      <c r="S467">
        <v>3.052216</v>
      </c>
      <c r="T467">
        <v>5.7748559999999997E-2</v>
      </c>
      <c r="U467">
        <v>-0.14654539999999999</v>
      </c>
      <c r="V467">
        <v>-8.1096429999999997E-2</v>
      </c>
      <c r="W467">
        <v>0.17444100000000001</v>
      </c>
      <c r="X467">
        <v>0.98132240000000004</v>
      </c>
      <c r="Y467">
        <v>4.2567189999999998E-2</v>
      </c>
      <c r="Z467" s="1">
        <v>9.1665419999999993E-6</v>
      </c>
      <c r="AA467">
        <v>0.99909360000000003</v>
      </c>
      <c r="AB467">
        <v>31</v>
      </c>
      <c r="AC467">
        <v>221.1506</v>
      </c>
      <c r="AD467">
        <v>4.1869319999999997</v>
      </c>
      <c r="AE467">
        <v>-10.6244999999999</v>
      </c>
      <c r="AF467">
        <v>9.4278542568846397</v>
      </c>
      <c r="AG467">
        <v>4.1869319999999997</v>
      </c>
      <c r="AH467">
        <v>221.12562367114799</v>
      </c>
      <c r="AI467">
        <v>88.916239552848893</v>
      </c>
      <c r="AJ467">
        <v>87.558630725666703</v>
      </c>
      <c r="AK467">
        <v>221.36611366560999</v>
      </c>
      <c r="AL467">
        <v>79.953870314354702</v>
      </c>
      <c r="AM467">
        <v>94.724185244014606</v>
      </c>
      <c r="AN467">
        <v>0.99999997309075195</v>
      </c>
    </row>
    <row r="468" spans="1:40" x14ac:dyDescent="0.25">
      <c r="A468" t="str">
        <f>"20190304155606293"</f>
        <v>20190304155606293</v>
      </c>
      <c r="B468" t="str">
        <f>"1551686166285194"</f>
        <v>1551686166285194</v>
      </c>
      <c r="C468" t="s">
        <v>40</v>
      </c>
      <c r="D468">
        <v>4.6768660000000004</v>
      </c>
      <c r="E468">
        <v>0.54579350000000004</v>
      </c>
      <c r="F468" t="s">
        <v>43</v>
      </c>
      <c r="G468">
        <v>-169.2955</v>
      </c>
      <c r="H468">
        <v>5.0401829999999999</v>
      </c>
      <c r="I468">
        <v>356.45569999999998</v>
      </c>
      <c r="J468">
        <v>-390.26949999999999</v>
      </c>
      <c r="K468">
        <v>1.109173</v>
      </c>
      <c r="L468">
        <v>367.1891</v>
      </c>
      <c r="M468">
        <v>0.99992530000000002</v>
      </c>
      <c r="N468">
        <v>-1.0978419999999999E-2</v>
      </c>
      <c r="O468">
        <v>-5.3950830000000002E-3</v>
      </c>
      <c r="P468">
        <v>0.9837186</v>
      </c>
      <c r="Q468">
        <v>0.1633703</v>
      </c>
      <c r="R468">
        <v>7.4889029999999995E-2</v>
      </c>
      <c r="S468">
        <v>3.05246</v>
      </c>
      <c r="T468">
        <v>5.4260610000000001E-2</v>
      </c>
      <c r="U468">
        <v>-0.14816279999999901</v>
      </c>
      <c r="V468">
        <v>-8.0188969999999998E-2</v>
      </c>
      <c r="W468">
        <v>0.17415839999999999</v>
      </c>
      <c r="X468">
        <v>0.98144719999999996</v>
      </c>
      <c r="Y468">
        <v>4.3091619999999997E-2</v>
      </c>
      <c r="Z468" s="1">
        <v>-8.9755629999999997E-6</v>
      </c>
      <c r="AA468">
        <v>0.99907109999999999</v>
      </c>
      <c r="AB468">
        <v>31</v>
      </c>
      <c r="AC468">
        <v>220.97399999999999</v>
      </c>
      <c r="AD468">
        <v>3.9310100000000001</v>
      </c>
      <c r="AE468">
        <v>-10.7334</v>
      </c>
      <c r="AF468">
        <v>9.5379876566324402</v>
      </c>
      <c r="AG468">
        <v>3.9310100000000001</v>
      </c>
      <c r="AH468">
        <v>220.95893350111001</v>
      </c>
      <c r="AI468">
        <v>88.981724611348497</v>
      </c>
      <c r="AJ468">
        <v>87.528285553197193</v>
      </c>
      <c r="AK468">
        <v>221.19963006774199</v>
      </c>
      <c r="AL468">
        <v>79.970314210807601</v>
      </c>
      <c r="AM468">
        <v>94.670966021224899</v>
      </c>
      <c r="AN468">
        <v>1.0000000127940301</v>
      </c>
    </row>
    <row r="469" spans="1:40" x14ac:dyDescent="0.25">
      <c r="A469" t="str">
        <f>"20190304155606306"</f>
        <v>20190304155606306</v>
      </c>
      <c r="B469" t="str">
        <f>"1551686166294954"</f>
        <v>1551686166294954</v>
      </c>
      <c r="C469" t="s">
        <v>40</v>
      </c>
      <c r="D469">
        <v>4.5910729999999997</v>
      </c>
      <c r="E469">
        <v>0.54568809999999901</v>
      </c>
      <c r="F469" t="s">
        <v>43</v>
      </c>
      <c r="G469">
        <v>-169.2955</v>
      </c>
      <c r="H469">
        <v>4.9142619999999999</v>
      </c>
      <c r="I469">
        <v>356.36110000000002</v>
      </c>
      <c r="J469">
        <v>-390.08240000000001</v>
      </c>
      <c r="K469">
        <v>1.109253</v>
      </c>
      <c r="L469">
        <v>367.18810000000002</v>
      </c>
      <c r="M469">
        <v>0.9999247</v>
      </c>
      <c r="N469">
        <v>-1.1041509999999999E-2</v>
      </c>
      <c r="O469">
        <v>-5.3948299999999998E-3</v>
      </c>
      <c r="P469">
        <v>0.98386940000000001</v>
      </c>
      <c r="Q469">
        <v>0.162918799999999</v>
      </c>
      <c r="R469">
        <v>7.3884430000000001E-2</v>
      </c>
      <c r="S469">
        <v>3.0522770000000001</v>
      </c>
      <c r="T469">
        <v>5.2560210000000003E-2</v>
      </c>
      <c r="U469">
        <v>-0.1495667</v>
      </c>
      <c r="V469">
        <v>-7.9184959999999999E-2</v>
      </c>
      <c r="W469">
        <v>0.17377100000000001</v>
      </c>
      <c r="X469">
        <v>0.98159739999999995</v>
      </c>
      <c r="Y469">
        <v>4.3553389999999997E-2</v>
      </c>
      <c r="Z469" s="1">
        <v>-1.8224409999999999E-5</v>
      </c>
      <c r="AA469">
        <v>0.99905109999999997</v>
      </c>
      <c r="AB469">
        <v>31</v>
      </c>
      <c r="AC469">
        <v>220.7869</v>
      </c>
      <c r="AD469">
        <v>3.8050089999999899</v>
      </c>
      <c r="AE469">
        <v>-10.8269999999999</v>
      </c>
      <c r="AF469">
        <v>9.6328081365533595</v>
      </c>
      <c r="AG469">
        <v>3.8050089999999899</v>
      </c>
      <c r="AH469">
        <v>220.77668542043301</v>
      </c>
      <c r="AI469">
        <v>89.013563330846097</v>
      </c>
      <c r="AJ469">
        <v>87.5016862887868</v>
      </c>
      <c r="AK469">
        <v>221.01948762794299</v>
      </c>
      <c r="AL469">
        <v>79.992854534087002</v>
      </c>
      <c r="AM469">
        <v>94.612034145986897</v>
      </c>
      <c r="AN469">
        <v>1.0000000370089801</v>
      </c>
    </row>
    <row r="470" spans="1:40" x14ac:dyDescent="0.25">
      <c r="A470" t="str">
        <f>"20190304155606324"</f>
        <v>20190304155606324</v>
      </c>
      <c r="B470" t="str">
        <f>"1551686166315449"</f>
        <v>1551686166315449</v>
      </c>
      <c r="C470" t="s">
        <v>40</v>
      </c>
      <c r="D470">
        <v>4.6397360000000001</v>
      </c>
      <c r="E470">
        <v>0.54557060000000002</v>
      </c>
      <c r="F470" t="s">
        <v>43</v>
      </c>
      <c r="G470">
        <v>-169.2955</v>
      </c>
      <c r="H470">
        <v>4.7859749999999996</v>
      </c>
      <c r="I470">
        <v>356.22750000000002</v>
      </c>
      <c r="J470">
        <v>-389.83499999999998</v>
      </c>
      <c r="K470">
        <v>1.1093519999999999</v>
      </c>
      <c r="L470">
        <v>367.18680000000001</v>
      </c>
      <c r="M470">
        <v>0.99992380000000003</v>
      </c>
      <c r="N470">
        <v>-1.1117999999999999E-2</v>
      </c>
      <c r="O470">
        <v>-5.394416E-3</v>
      </c>
      <c r="P470">
        <v>0.98404460000000005</v>
      </c>
      <c r="Q470">
        <v>0.162826</v>
      </c>
      <c r="R470">
        <v>7.1722869999999994E-2</v>
      </c>
      <c r="S470">
        <v>3.052155</v>
      </c>
      <c r="T470">
        <v>5.0828100000000001E-2</v>
      </c>
      <c r="U470">
        <v>-0.15151979999999901</v>
      </c>
      <c r="V470">
        <v>-7.7023480000000005E-2</v>
      </c>
      <c r="W470">
        <v>0.1737551</v>
      </c>
      <c r="X470">
        <v>0.98177210000000004</v>
      </c>
      <c r="Y470">
        <v>4.4193709999999997E-2</v>
      </c>
      <c r="Z470" s="1">
        <v>-2.7810750000000001E-5</v>
      </c>
      <c r="AA470">
        <v>0.99902299999999999</v>
      </c>
      <c r="AB470">
        <v>31</v>
      </c>
      <c r="AC470">
        <v>220.5395</v>
      </c>
      <c r="AD470">
        <v>3.67662299999999</v>
      </c>
      <c r="AE470">
        <v>-10.959299999999899</v>
      </c>
      <c r="AF470">
        <v>9.7666776642659006</v>
      </c>
      <c r="AG470">
        <v>3.67662299999999</v>
      </c>
      <c r="AH470">
        <v>220.53427273192801</v>
      </c>
      <c r="AI470">
        <v>89.045820641988499</v>
      </c>
      <c r="AJ470">
        <v>87.464230868918904</v>
      </c>
      <c r="AK470">
        <v>220.781047643774</v>
      </c>
      <c r="AL470">
        <v>79.993778768418196</v>
      </c>
      <c r="AM470">
        <v>94.485867373810805</v>
      </c>
      <c r="AN470">
        <v>0.99999995379286399</v>
      </c>
    </row>
    <row r="471" spans="1:40" x14ac:dyDescent="0.25">
      <c r="A471" t="str">
        <f>"20190304155606336"</f>
        <v>20190304155606336</v>
      </c>
      <c r="B471" t="str">
        <f>"1551686166325210"</f>
        <v>1551686166325210</v>
      </c>
      <c r="C471" t="s">
        <v>40</v>
      </c>
      <c r="D471">
        <v>4.6501939999999999</v>
      </c>
      <c r="E471">
        <v>0.54564019999999902</v>
      </c>
      <c r="F471" t="s">
        <v>43</v>
      </c>
      <c r="G471">
        <v>-169.2955</v>
      </c>
      <c r="H471">
        <v>4.5862129999999999</v>
      </c>
      <c r="I471">
        <v>355.85250000000002</v>
      </c>
      <c r="J471">
        <v>-389.66489999999999</v>
      </c>
      <c r="K471">
        <v>1.109416</v>
      </c>
      <c r="L471">
        <v>367.1859</v>
      </c>
      <c r="M471">
        <v>0.99992320000000001</v>
      </c>
      <c r="N471">
        <v>-1.1166270000000001E-2</v>
      </c>
      <c r="O471">
        <v>-5.3922900000000001E-3</v>
      </c>
      <c r="P471">
        <v>0.98412900000000003</v>
      </c>
      <c r="Q471">
        <v>0.16276589999999999</v>
      </c>
      <c r="R471">
        <v>7.0691610000000002E-2</v>
      </c>
      <c r="S471">
        <v>3.052155</v>
      </c>
      <c r="T471">
        <v>4.8119189999999999E-2</v>
      </c>
      <c r="U471">
        <v>-0.15686040000000001</v>
      </c>
      <c r="V471">
        <v>-7.5991329999999996E-2</v>
      </c>
      <c r="W471">
        <v>0.17374329999999999</v>
      </c>
      <c r="X471">
        <v>0.98185469999999997</v>
      </c>
      <c r="Y471">
        <v>4.593962E-2</v>
      </c>
      <c r="Z471" s="1">
        <v>-3.991433E-5</v>
      </c>
      <c r="AA471">
        <v>0.99894419999999995</v>
      </c>
      <c r="AB471">
        <v>31</v>
      </c>
      <c r="AC471">
        <v>220.36940000000001</v>
      </c>
      <c r="AD471">
        <v>3.4767969999999999</v>
      </c>
      <c r="AE471">
        <v>-11.3333999999999</v>
      </c>
      <c r="AF471">
        <v>10.1423475565304</v>
      </c>
      <c r="AG471">
        <v>3.4767969999999999</v>
      </c>
      <c r="AH471">
        <v>220.37260256950699</v>
      </c>
      <c r="AI471">
        <v>89.097080685516204</v>
      </c>
      <c r="AJ471">
        <v>87.364899614929598</v>
      </c>
      <c r="AK471">
        <v>220.63326878463801</v>
      </c>
      <c r="AL471">
        <v>79.994466113860199</v>
      </c>
      <c r="AM471">
        <v>94.425624292985702</v>
      </c>
      <c r="AN471">
        <v>1.00000003422107</v>
      </c>
    </row>
    <row r="472" spans="1:40" x14ac:dyDescent="0.25">
      <c r="A472" t="str">
        <f>"20190304155606347"</f>
        <v>20190304155606347</v>
      </c>
      <c r="B472" t="str">
        <f>"1551686166345705"</f>
        <v>1551686166345705</v>
      </c>
      <c r="C472" t="s">
        <v>40</v>
      </c>
      <c r="D472">
        <v>4.4914949999999996</v>
      </c>
      <c r="E472">
        <v>0.54560520000000001</v>
      </c>
      <c r="F472" t="s">
        <v>43</v>
      </c>
      <c r="G472">
        <v>-169.2955</v>
      </c>
      <c r="H472">
        <v>4.4649839999999896</v>
      </c>
      <c r="I472">
        <v>355.58510000000001</v>
      </c>
      <c r="J472">
        <v>-389.50659999999999</v>
      </c>
      <c r="K472">
        <v>1.109467</v>
      </c>
      <c r="L472">
        <v>367.185</v>
      </c>
      <c r="M472">
        <v>0.99992289999999995</v>
      </c>
      <c r="N472">
        <v>-1.120879E-2</v>
      </c>
      <c r="O472">
        <v>-5.3892920000000004E-3</v>
      </c>
      <c r="P472">
        <v>0.98417239999999995</v>
      </c>
      <c r="Q472">
        <v>0.16307449999999901</v>
      </c>
      <c r="R472">
        <v>6.9365930000000006E-2</v>
      </c>
      <c r="S472">
        <v>3.052216</v>
      </c>
      <c r="T472">
        <v>4.6477320000000003E-2</v>
      </c>
      <c r="U472">
        <v>-0.16067500000000001</v>
      </c>
      <c r="V472">
        <v>-7.4663489999999999E-2</v>
      </c>
      <c r="W472">
        <v>0.1740941</v>
      </c>
      <c r="X472">
        <v>0.98189439999999995</v>
      </c>
      <c r="Y472">
        <v>4.7186819999999997E-2</v>
      </c>
      <c r="Z472" s="1">
        <v>-4.801567E-5</v>
      </c>
      <c r="AA472">
        <v>0.9988861</v>
      </c>
      <c r="AB472">
        <v>31</v>
      </c>
      <c r="AC472">
        <v>220.21109999999999</v>
      </c>
      <c r="AD472">
        <v>3.3555169999999901</v>
      </c>
      <c r="AE472">
        <v>-11.5998999999999</v>
      </c>
      <c r="AF472">
        <v>10.410464831789</v>
      </c>
      <c r="AG472">
        <v>3.3555169999999901</v>
      </c>
      <c r="AH472">
        <v>220.21942987707999</v>
      </c>
      <c r="AI472">
        <v>89.128016671729796</v>
      </c>
      <c r="AJ472">
        <v>87.293463305807805</v>
      </c>
      <c r="AK472">
        <v>220.490894523419</v>
      </c>
      <c r="AL472">
        <v>79.974055380009105</v>
      </c>
      <c r="AM472">
        <v>94.348416931125499</v>
      </c>
      <c r="AN472">
        <v>1.0000000025725699</v>
      </c>
    </row>
    <row r="473" spans="1:40" x14ac:dyDescent="0.25">
      <c r="A473" t="str">
        <f>"20190304155606359"</f>
        <v>20190304155606359</v>
      </c>
      <c r="B473" t="str">
        <f>"1551686166355465"</f>
        <v>1551686166355465</v>
      </c>
      <c r="C473" t="s">
        <v>40</v>
      </c>
      <c r="D473">
        <v>4.5233600000000003</v>
      </c>
      <c r="E473">
        <v>0.54555319999999996</v>
      </c>
      <c r="F473" t="s">
        <v>43</v>
      </c>
      <c r="G473">
        <v>-169.2955</v>
      </c>
      <c r="H473">
        <v>4.3064439999999999</v>
      </c>
      <c r="I473">
        <v>355.34679999999997</v>
      </c>
      <c r="J473">
        <v>-389.36160000000001</v>
      </c>
      <c r="K473">
        <v>1.109507</v>
      </c>
      <c r="L473">
        <v>367.18419999999998</v>
      </c>
      <c r="M473">
        <v>0.99992230000000004</v>
      </c>
      <c r="N473">
        <v>-1.124437E-2</v>
      </c>
      <c r="O473">
        <v>-5.3831390000000003E-3</v>
      </c>
      <c r="P473">
        <v>0.98418139999999998</v>
      </c>
      <c r="Q473">
        <v>0.16341169999999999</v>
      </c>
      <c r="R473">
        <v>6.8439529999999998E-2</v>
      </c>
      <c r="S473">
        <v>3.0524290000000001</v>
      </c>
      <c r="T473">
        <v>4.43157E-2</v>
      </c>
      <c r="U473">
        <v>-0.16409299999999999</v>
      </c>
      <c r="V473">
        <v>-7.3732430000000002E-2</v>
      </c>
      <c r="W473">
        <v>0.1744655</v>
      </c>
      <c r="X473">
        <v>0.98189879999999996</v>
      </c>
      <c r="Y473">
        <v>4.8304809999999997E-2</v>
      </c>
      <c r="Z473" s="1">
        <v>-5.9983520000000001E-5</v>
      </c>
      <c r="AA473">
        <v>0.99883259999999996</v>
      </c>
      <c r="AB473">
        <v>31</v>
      </c>
      <c r="AC473">
        <v>220.06610000000001</v>
      </c>
      <c r="AD473">
        <v>3.1969369999999899</v>
      </c>
      <c r="AE473">
        <v>-11.837400000000001</v>
      </c>
      <c r="AF473">
        <v>10.650266039708301</v>
      </c>
      <c r="AG473">
        <v>3.1969369999999899</v>
      </c>
      <c r="AH473">
        <v>220.08032597011299</v>
      </c>
      <c r="AI473">
        <v>89.168739611482096</v>
      </c>
      <c r="AJ473">
        <v>87.229467846763001</v>
      </c>
      <c r="AK473">
        <v>220.361063829366</v>
      </c>
      <c r="AL473">
        <v>79.952444651774698</v>
      </c>
      <c r="AM473">
        <v>94.294376760028797</v>
      </c>
      <c r="AN473">
        <v>0.99999996768269594</v>
      </c>
    </row>
    <row r="474" spans="1:40" x14ac:dyDescent="0.25">
      <c r="A474" t="str">
        <f>"20190304155606372"</f>
        <v>20190304155606372</v>
      </c>
      <c r="B474" t="str">
        <f>"1551686166365226"</f>
        <v>1551686166365226</v>
      </c>
      <c r="C474" t="s">
        <v>40</v>
      </c>
      <c r="D474">
        <v>4.5400299999999998</v>
      </c>
      <c r="E474">
        <v>0.54553819999999997</v>
      </c>
      <c r="F474" t="s">
        <v>43</v>
      </c>
      <c r="G474">
        <v>-169.2955</v>
      </c>
      <c r="H474">
        <v>4.2449009999999996</v>
      </c>
      <c r="I474">
        <v>355.19810000000001</v>
      </c>
      <c r="J474">
        <v>-389.18259999999998</v>
      </c>
      <c r="K474">
        <v>1.1095569999999999</v>
      </c>
      <c r="L474">
        <v>367.1832</v>
      </c>
      <c r="M474">
        <v>0.99992190000000003</v>
      </c>
      <c r="N474">
        <v>-1.1286829999999999E-2</v>
      </c>
      <c r="O474">
        <v>-5.3740289999999998E-3</v>
      </c>
      <c r="P474">
        <v>0.98416309999999996</v>
      </c>
      <c r="Q474">
        <v>0.163934</v>
      </c>
      <c r="R474">
        <v>6.7443489999999995E-2</v>
      </c>
      <c r="S474">
        <v>3.0525509999999998</v>
      </c>
      <c r="T474">
        <v>4.349244E-2</v>
      </c>
      <c r="U474">
        <v>-0.16625980000000001</v>
      </c>
      <c r="V474">
        <v>-7.2728650000000006E-2</v>
      </c>
      <c r="W474">
        <v>0.17502889999999999</v>
      </c>
      <c r="X474">
        <v>0.98187349999999995</v>
      </c>
      <c r="Y474">
        <v>4.9018760000000001E-2</v>
      </c>
      <c r="Z474" s="1">
        <v>-6.5033729999999996E-5</v>
      </c>
      <c r="AA474">
        <v>0.99879779999999996</v>
      </c>
      <c r="AB474">
        <v>31</v>
      </c>
      <c r="AC474">
        <v>219.8871</v>
      </c>
      <c r="AD474">
        <v>3.1353439999999999</v>
      </c>
      <c r="AE474">
        <v>-11.9850999999999</v>
      </c>
      <c r="AF474">
        <v>10.800982524962301</v>
      </c>
      <c r="AG474">
        <v>3.1353439999999999</v>
      </c>
      <c r="AH474">
        <v>219.90375930746399</v>
      </c>
      <c r="AI474">
        <v>89.1841269433652</v>
      </c>
      <c r="AJ474">
        <v>87.188070898821906</v>
      </c>
      <c r="AK474">
        <v>220.19117821352</v>
      </c>
      <c r="AL474">
        <v>79.919660812031694</v>
      </c>
      <c r="AM474">
        <v>94.2362369220928</v>
      </c>
      <c r="AN474">
        <v>1.0000000711841299</v>
      </c>
    </row>
    <row r="475" spans="1:40" x14ac:dyDescent="0.25">
      <c r="A475" t="str">
        <f>"20190304155606385"</f>
        <v>20190304155606385</v>
      </c>
      <c r="B475" t="str">
        <f>"1551686166374986"</f>
        <v>1551686166374986</v>
      </c>
      <c r="C475" t="s">
        <v>40</v>
      </c>
      <c r="D475">
        <v>4.5234160000000001</v>
      </c>
      <c r="E475">
        <v>0.54548339999999995</v>
      </c>
      <c r="F475" t="s">
        <v>43</v>
      </c>
      <c r="G475">
        <v>-169.2955</v>
      </c>
      <c r="H475">
        <v>4.2691800000000004</v>
      </c>
      <c r="I475">
        <v>354.98509999999999</v>
      </c>
      <c r="J475">
        <v>-388.98779999999999</v>
      </c>
      <c r="K475">
        <v>1.109607</v>
      </c>
      <c r="L475">
        <v>367.18220000000002</v>
      </c>
      <c r="M475">
        <v>0.99992159999999997</v>
      </c>
      <c r="N475">
        <v>-1.132855E-2</v>
      </c>
      <c r="O475">
        <v>-5.3597669999999997E-3</v>
      </c>
      <c r="P475">
        <v>0.98417399999999999</v>
      </c>
      <c r="Q475">
        <v>0.1642834</v>
      </c>
      <c r="R475">
        <v>6.6427420000000001E-2</v>
      </c>
      <c r="S475">
        <v>3.0526119999999999</v>
      </c>
      <c r="T475">
        <v>4.3865080000000001E-2</v>
      </c>
      <c r="U475">
        <v>-0.16934199999999999</v>
      </c>
      <c r="V475">
        <v>-7.1700570000000005E-2</v>
      </c>
      <c r="W475">
        <v>0.17541799999999999</v>
      </c>
      <c r="X475">
        <v>0.98187959999999996</v>
      </c>
      <c r="Y475">
        <v>5.0037310000000002E-2</v>
      </c>
      <c r="Z475" s="1">
        <v>-6.2061939999999999E-5</v>
      </c>
      <c r="AA475">
        <v>0.9987473</v>
      </c>
      <c r="AB475">
        <v>31</v>
      </c>
      <c r="AC475">
        <v>219.69229999999999</v>
      </c>
      <c r="AD475">
        <v>3.159573</v>
      </c>
      <c r="AE475">
        <v>-12.197100000000001</v>
      </c>
      <c r="AF475">
        <v>11.0170781051788</v>
      </c>
      <c r="AG475">
        <v>3.159573</v>
      </c>
      <c r="AH475">
        <v>219.70921757721399</v>
      </c>
      <c r="AI475">
        <v>89.177136921057397</v>
      </c>
      <c r="AJ475">
        <v>87.129370252742305</v>
      </c>
      <c r="AK475">
        <v>220.00795258333099</v>
      </c>
      <c r="AL475">
        <v>79.897015941093997</v>
      </c>
      <c r="AM475">
        <v>94.176541748111504</v>
      </c>
      <c r="AN475">
        <v>0.99999999767924197</v>
      </c>
    </row>
    <row r="476" spans="1:40" x14ac:dyDescent="0.25">
      <c r="A476" t="str">
        <f>"20190304155606404"</f>
        <v>20190304155606404</v>
      </c>
      <c r="B476" t="str">
        <f>"1551686166395481"</f>
        <v>1551686166395481</v>
      </c>
      <c r="C476" t="s">
        <v>40</v>
      </c>
      <c r="D476">
        <v>4.7190789999999998</v>
      </c>
      <c r="E476">
        <v>0.54525059999999903</v>
      </c>
      <c r="F476" t="s">
        <v>43</v>
      </c>
      <c r="G476">
        <v>-169.2955</v>
      </c>
      <c r="H476">
        <v>4.2165330000000001</v>
      </c>
      <c r="I476">
        <v>354.82799999999997</v>
      </c>
      <c r="J476">
        <v>-388.74270000000001</v>
      </c>
      <c r="K476">
        <v>1.109661</v>
      </c>
      <c r="L476">
        <v>367.18090000000001</v>
      </c>
      <c r="M476">
        <v>0.99992119999999995</v>
      </c>
      <c r="N476">
        <v>-1.137671E-2</v>
      </c>
      <c r="O476">
        <v>-5.3364559999999998E-3</v>
      </c>
      <c r="P476">
        <v>0.98409049999999998</v>
      </c>
      <c r="Q476">
        <v>0.16511799999999999</v>
      </c>
      <c r="R476">
        <v>6.559326E-2</v>
      </c>
      <c r="S476">
        <v>3.0526119999999999</v>
      </c>
      <c r="T476">
        <v>4.3171760000000003E-2</v>
      </c>
      <c r="U476">
        <v>-0.17166139999999999</v>
      </c>
      <c r="V476">
        <v>-7.0846469999999995E-2</v>
      </c>
      <c r="W476">
        <v>0.17629819999999999</v>
      </c>
      <c r="X476">
        <v>0.98178390000000004</v>
      </c>
      <c r="Y476">
        <v>5.0817130000000002E-2</v>
      </c>
      <c r="Z476" s="1">
        <v>-6.6332460000000006E-5</v>
      </c>
      <c r="AA476">
        <v>0.99870800000000004</v>
      </c>
      <c r="AB476">
        <v>31</v>
      </c>
      <c r="AC476">
        <v>219.44720000000001</v>
      </c>
      <c r="AD476">
        <v>3.1068720000000001</v>
      </c>
      <c r="AE476">
        <v>-12.352899999999901</v>
      </c>
      <c r="AF476">
        <v>11.1793444267193</v>
      </c>
      <c r="AG476">
        <v>3.1068720000000001</v>
      </c>
      <c r="AH476">
        <v>219.46614878308301</v>
      </c>
      <c r="AI476">
        <v>89.189996676320106</v>
      </c>
      <c r="AJ476">
        <v>87.083941597492398</v>
      </c>
      <c r="AK476">
        <v>219.772657209931</v>
      </c>
      <c r="AL476">
        <v>79.845785330118701</v>
      </c>
      <c r="AM476">
        <v>94.127364438164307</v>
      </c>
      <c r="AN476">
        <v>0.99999995196695401</v>
      </c>
    </row>
    <row r="477" spans="1:40" x14ac:dyDescent="0.25">
      <c r="A477" t="str">
        <f>"20190304155606416"</f>
        <v>20190304155606416</v>
      </c>
      <c r="B477" t="str">
        <f>"1551686166405243"</f>
        <v>1551686166405243</v>
      </c>
      <c r="C477" t="s">
        <v>40</v>
      </c>
      <c r="D477">
        <v>4.4961549999999999</v>
      </c>
      <c r="E477">
        <v>0.54534780000000005</v>
      </c>
      <c r="F477" t="s">
        <v>43</v>
      </c>
      <c r="G477">
        <v>-169.2955</v>
      </c>
      <c r="H477">
        <v>4.2030589999999997</v>
      </c>
      <c r="I477">
        <v>354.79939999999999</v>
      </c>
      <c r="J477">
        <v>-388.55599999999998</v>
      </c>
      <c r="K477">
        <v>1.109699</v>
      </c>
      <c r="L477">
        <v>367.17989999999998</v>
      </c>
      <c r="M477">
        <v>0.9999207</v>
      </c>
      <c r="N477">
        <v>-1.1410389999999999E-2</v>
      </c>
      <c r="O477">
        <v>-5.3147589999999996E-3</v>
      </c>
      <c r="P477">
        <v>0.98405949999999998</v>
      </c>
      <c r="Q477">
        <v>0.16546529999999901</v>
      </c>
      <c r="R477">
        <v>6.5178379999999994E-2</v>
      </c>
      <c r="S477">
        <v>3.052765</v>
      </c>
      <c r="T477">
        <v>4.3033960000000003E-2</v>
      </c>
      <c r="U477">
        <v>-0.17224120000000001</v>
      </c>
      <c r="V477">
        <v>-7.0412779999999994E-2</v>
      </c>
      <c r="W477">
        <v>0.176677</v>
      </c>
      <c r="X477">
        <v>0.98174709999999998</v>
      </c>
      <c r="Y477">
        <v>5.1025090000000002E-2</v>
      </c>
      <c r="Z477" s="1">
        <v>-6.7460870000000001E-5</v>
      </c>
      <c r="AA477">
        <v>0.99869730000000001</v>
      </c>
      <c r="AB477">
        <v>31</v>
      </c>
      <c r="AC477">
        <v>219.26050000000001</v>
      </c>
      <c r="AD477">
        <v>3.0933600000000001</v>
      </c>
      <c r="AE477">
        <v>-12.3804999999999</v>
      </c>
      <c r="AF477">
        <v>11.2127077678603</v>
      </c>
      <c r="AG477">
        <v>3.0933600000000001</v>
      </c>
      <c r="AH477">
        <v>219.27969985142701</v>
      </c>
      <c r="AI477">
        <v>89.192841356987898</v>
      </c>
      <c r="AJ477">
        <v>87.072771550265998</v>
      </c>
      <c r="AK477">
        <v>219.587978857015</v>
      </c>
      <c r="AL477">
        <v>79.823736527737395</v>
      </c>
      <c r="AM477">
        <v>94.102338343532395</v>
      </c>
      <c r="AN477">
        <v>1.0000000451373601</v>
      </c>
    </row>
    <row r="478" spans="1:40" x14ac:dyDescent="0.25">
      <c r="A478" t="str">
        <f>"20190304155606428"</f>
        <v>20190304155606428</v>
      </c>
      <c r="B478" t="str">
        <f>"1551686166425738"</f>
        <v>1551686166425738</v>
      </c>
      <c r="C478" t="s">
        <v>40</v>
      </c>
      <c r="D478">
        <v>4.4917870000000004</v>
      </c>
      <c r="E478">
        <v>0.5456259</v>
      </c>
      <c r="F478" t="s">
        <v>43</v>
      </c>
      <c r="G478">
        <v>-169.2955</v>
      </c>
      <c r="H478">
        <v>4.2119730000000004</v>
      </c>
      <c r="I478">
        <v>354.67349999999999</v>
      </c>
      <c r="J478">
        <v>-388.39769999999999</v>
      </c>
      <c r="K478">
        <v>1.1097250000000001</v>
      </c>
      <c r="L478">
        <v>367.17910000000001</v>
      </c>
      <c r="M478">
        <v>0.9999207</v>
      </c>
      <c r="N478">
        <v>-1.143741E-2</v>
      </c>
      <c r="O478">
        <v>-5.2950660000000002E-3</v>
      </c>
      <c r="P478">
        <v>0.98395659999999896</v>
      </c>
      <c r="Q478">
        <v>0.16614599999999999</v>
      </c>
      <c r="R478">
        <v>6.5003580000000005E-2</v>
      </c>
      <c r="S478">
        <v>3.0528559999999998</v>
      </c>
      <c r="T478">
        <v>4.3195490000000003E-2</v>
      </c>
      <c r="U478">
        <v>-0.17413329999999999</v>
      </c>
      <c r="V478">
        <v>-7.0219290000000004E-2</v>
      </c>
      <c r="W478">
        <v>0.17738280000000001</v>
      </c>
      <c r="X478">
        <v>0.9816336</v>
      </c>
      <c r="Y478">
        <v>5.1660030000000003E-2</v>
      </c>
      <c r="Z478" s="1">
        <v>-6.5886759999999998E-5</v>
      </c>
      <c r="AA478">
        <v>0.99866469999999896</v>
      </c>
      <c r="AB478">
        <v>31</v>
      </c>
      <c r="AC478">
        <v>219.10220000000001</v>
      </c>
      <c r="AD478">
        <v>3.1022479999999999</v>
      </c>
      <c r="AE478">
        <v>-12.505599999999999</v>
      </c>
      <c r="AF478">
        <v>11.3429217266974</v>
      </c>
      <c r="AG478">
        <v>3.1022479999999999</v>
      </c>
      <c r="AH478">
        <v>219.12156462870999</v>
      </c>
      <c r="AI478">
        <v>89.189964623061499</v>
      </c>
      <c r="AJ478">
        <v>87.036704397544995</v>
      </c>
      <c r="AK478">
        <v>219.43688363920401</v>
      </c>
      <c r="AL478">
        <v>79.782647374724803</v>
      </c>
      <c r="AM478">
        <v>94.091575120721899</v>
      </c>
      <c r="AN478">
        <v>0.99999996553645099</v>
      </c>
    </row>
    <row r="479" spans="1:40" x14ac:dyDescent="0.25">
      <c r="A479" t="str">
        <f>"20190304155606439"</f>
        <v>20190304155606439</v>
      </c>
      <c r="B479" t="str">
        <f>"1551686166435498"</f>
        <v>1551686166435498</v>
      </c>
      <c r="C479" t="s">
        <v>40</v>
      </c>
      <c r="D479">
        <v>4.8230649999999997</v>
      </c>
      <c r="E479">
        <v>0.54571769999999997</v>
      </c>
      <c r="F479" t="s">
        <v>43</v>
      </c>
      <c r="G479">
        <v>-169.2955</v>
      </c>
      <c r="H479">
        <v>4.4940199999999999</v>
      </c>
      <c r="I479">
        <v>354.4683</v>
      </c>
      <c r="J479">
        <v>-388.24579999999997</v>
      </c>
      <c r="K479">
        <v>1.1097490000000001</v>
      </c>
      <c r="L479">
        <v>367.17829999999998</v>
      </c>
      <c r="M479">
        <v>0.99992049999999999</v>
      </c>
      <c r="N479">
        <v>-1.14609E-2</v>
      </c>
      <c r="O479">
        <v>-5.273341E-3</v>
      </c>
      <c r="P479">
        <v>0.9839331</v>
      </c>
      <c r="Q479">
        <v>0.16640659999999999</v>
      </c>
      <c r="R479">
        <v>6.4691419999999999E-2</v>
      </c>
      <c r="S479">
        <v>3.0526430000000002</v>
      </c>
      <c r="T479">
        <v>4.7152880000000001E-2</v>
      </c>
      <c r="U479">
        <v>-0.17709349999999999</v>
      </c>
      <c r="V479">
        <v>-6.9887060000000001E-2</v>
      </c>
      <c r="W479">
        <v>0.177665299999999</v>
      </c>
      <c r="X479">
        <v>0.98160619999999998</v>
      </c>
      <c r="Y479">
        <v>5.2650469999999998E-2</v>
      </c>
      <c r="Z479" s="1">
        <v>-3.7472870000000003E-5</v>
      </c>
      <c r="AA479">
        <v>0.99861299999999997</v>
      </c>
      <c r="AB479">
        <v>31</v>
      </c>
      <c r="AC479">
        <v>218.9503</v>
      </c>
      <c r="AD479">
        <v>3.384271</v>
      </c>
      <c r="AE479">
        <v>-12.7099999999999</v>
      </c>
      <c r="AF479">
        <v>11.552397175506099</v>
      </c>
      <c r="AG479">
        <v>3.384271</v>
      </c>
      <c r="AH479">
        <v>218.96214670127</v>
      </c>
      <c r="AI479">
        <v>89.115738677573006</v>
      </c>
      <c r="AJ479">
        <v>86.979886807979497</v>
      </c>
      <c r="AK479">
        <v>219.29280165735099</v>
      </c>
      <c r="AL479">
        <v>79.766199872253495</v>
      </c>
      <c r="AM479">
        <v>94.072395137236398</v>
      </c>
      <c r="AN479">
        <v>0.999999945928985</v>
      </c>
    </row>
    <row r="480" spans="1:40" x14ac:dyDescent="0.25">
      <c r="A480" t="str">
        <f>"20190304155606458"</f>
        <v>20190304155606458</v>
      </c>
      <c r="B480" t="str">
        <f>"1551686166455018"</f>
        <v>1551686166455018</v>
      </c>
      <c r="C480" t="s">
        <v>40</v>
      </c>
      <c r="D480">
        <v>4.4552610000000001</v>
      </c>
      <c r="E480">
        <v>0.54605130000000002</v>
      </c>
      <c r="F480" t="s">
        <v>43</v>
      </c>
      <c r="G480">
        <v>-169.2955</v>
      </c>
      <c r="H480">
        <v>4.5796720000000004</v>
      </c>
      <c r="I480">
        <v>354.35989999999998</v>
      </c>
      <c r="J480">
        <v>-387.98059999999998</v>
      </c>
      <c r="K480">
        <v>1.109788</v>
      </c>
      <c r="L480">
        <v>367.17689999999999</v>
      </c>
      <c r="M480">
        <v>0.99992020000000004</v>
      </c>
      <c r="N480">
        <v>-1.1499240000000001E-2</v>
      </c>
      <c r="O480">
        <v>-5.2326109999999999E-3</v>
      </c>
      <c r="P480">
        <v>0.98387619999999998</v>
      </c>
      <c r="Q480">
        <v>0.16687660000000001</v>
      </c>
      <c r="R480">
        <v>6.4341640000000005E-2</v>
      </c>
      <c r="S480">
        <v>3.0525509999999998</v>
      </c>
      <c r="T480">
        <v>4.8377990000000003E-2</v>
      </c>
      <c r="U480">
        <v>-0.17871090000000001</v>
      </c>
      <c r="V480">
        <v>-6.949864E-2</v>
      </c>
      <c r="W480">
        <v>0.17817160000000001</v>
      </c>
      <c r="X480">
        <v>0.98154209999999997</v>
      </c>
      <c r="Y480">
        <v>5.3220040000000003E-2</v>
      </c>
      <c r="Z480" s="1">
        <v>-2.789975E-5</v>
      </c>
      <c r="AA480">
        <v>0.99858279999999999</v>
      </c>
      <c r="AB480">
        <v>31</v>
      </c>
      <c r="AC480">
        <v>218.68510000000001</v>
      </c>
      <c r="AD480">
        <v>3.469884</v>
      </c>
      <c r="AE480">
        <v>-12.817</v>
      </c>
      <c r="AF480">
        <v>11.669526901622399</v>
      </c>
      <c r="AG480">
        <v>3.469884</v>
      </c>
      <c r="AH480">
        <v>218.69430596734099</v>
      </c>
      <c r="AI480">
        <v>89.092291557545096</v>
      </c>
      <c r="AJ480">
        <v>86.945594264002196</v>
      </c>
      <c r="AK480">
        <v>219.03291400065501</v>
      </c>
      <c r="AL480">
        <v>79.736721628830296</v>
      </c>
      <c r="AM480">
        <v>94.050100597211099</v>
      </c>
      <c r="AN480">
        <v>1.0000000370404001</v>
      </c>
    </row>
    <row r="481" spans="1:40" x14ac:dyDescent="0.25">
      <c r="A481" t="str">
        <f>"20190304155606469"</f>
        <v>20190304155606469</v>
      </c>
      <c r="B481" t="str">
        <f>"1551686166465753"</f>
        <v>1551686166465753</v>
      </c>
      <c r="C481" t="s">
        <v>40</v>
      </c>
      <c r="D481">
        <v>4.3622129999999997</v>
      </c>
      <c r="E481">
        <v>0.54605130000000002</v>
      </c>
      <c r="F481" t="s">
        <v>43</v>
      </c>
      <c r="G481">
        <v>-169.2955</v>
      </c>
      <c r="H481">
        <v>4.8525039999999997</v>
      </c>
      <c r="I481">
        <v>354.11009999999999</v>
      </c>
      <c r="J481">
        <v>-387.82350000000002</v>
      </c>
      <c r="K481">
        <v>1.109807</v>
      </c>
      <c r="L481">
        <v>367.17610000000002</v>
      </c>
      <c r="M481">
        <v>0.99992009999999998</v>
      </c>
      <c r="N481">
        <v>-1.1520519999999999E-2</v>
      </c>
      <c r="O481">
        <v>-5.2071970000000002E-3</v>
      </c>
      <c r="P481">
        <v>0.98382619999999998</v>
      </c>
      <c r="Q481">
        <v>0.1671917</v>
      </c>
      <c r="R481">
        <v>6.4289159999999998E-2</v>
      </c>
      <c r="S481">
        <v>3.0521850000000001</v>
      </c>
      <c r="T481">
        <v>5.2238229999999997E-2</v>
      </c>
      <c r="U481">
        <v>-0.18237300000000001</v>
      </c>
      <c r="V481">
        <v>-6.942181E-2</v>
      </c>
      <c r="W481">
        <v>0.1785071</v>
      </c>
      <c r="X481">
        <v>0.98148659999999999</v>
      </c>
      <c r="Y481">
        <v>5.4445710000000001E-2</v>
      </c>
      <c r="Z481" s="1">
        <v>2.5869810000000001E-6</v>
      </c>
      <c r="AA481">
        <v>0.99851670000000003</v>
      </c>
      <c r="AB481">
        <v>31</v>
      </c>
      <c r="AC481">
        <v>218.52799999999999</v>
      </c>
      <c r="AD481">
        <v>3.7426970000000002</v>
      </c>
      <c r="AE481">
        <v>-13.066000000000001</v>
      </c>
      <c r="AF481">
        <v>11.924343694088</v>
      </c>
      <c r="AG481">
        <v>3.7426970000000002</v>
      </c>
      <c r="AH481">
        <v>218.52920602009101</v>
      </c>
      <c r="AI481">
        <v>89.020262143671303</v>
      </c>
      <c r="AJ481">
        <v>86.876675201874406</v>
      </c>
      <c r="AK481">
        <v>218.886298422583</v>
      </c>
      <c r="AL481">
        <v>79.717185946561798</v>
      </c>
      <c r="AM481">
        <v>94.045866138241195</v>
      </c>
      <c r="AN481">
        <v>1.0000000592168199</v>
      </c>
    </row>
    <row r="482" spans="1:40" x14ac:dyDescent="0.25">
      <c r="A482" t="str">
        <f>"20190304155606480"</f>
        <v>20190304155606480</v>
      </c>
      <c r="B482" t="str">
        <f>"1551686166475514"</f>
        <v>1551686166475514</v>
      </c>
      <c r="C482" t="s">
        <v>40</v>
      </c>
      <c r="D482">
        <v>4.4274570000000004</v>
      </c>
      <c r="E482">
        <v>0.5869761</v>
      </c>
      <c r="F482" t="s">
        <v>43</v>
      </c>
      <c r="G482">
        <v>-169.2955</v>
      </c>
      <c r="H482">
        <v>4.9295010000000001</v>
      </c>
      <c r="I482">
        <v>354.09249999999997</v>
      </c>
      <c r="J482">
        <v>-387.6694</v>
      </c>
      <c r="K482">
        <v>1.1098250000000001</v>
      </c>
      <c r="L482">
        <v>367.17529999999999</v>
      </c>
      <c r="M482">
        <v>0.99992009999999998</v>
      </c>
      <c r="N482">
        <v>-1.153903E-2</v>
      </c>
      <c r="O482">
        <v>-5.1812999999999998E-3</v>
      </c>
      <c r="P482">
        <v>0.98378580000000004</v>
      </c>
      <c r="Q482">
        <v>0.1673811</v>
      </c>
      <c r="R482">
        <v>6.4416490000000007E-2</v>
      </c>
      <c r="S482">
        <v>3.0521850000000001</v>
      </c>
      <c r="T482">
        <v>5.3350929999999998E-2</v>
      </c>
      <c r="U482">
        <v>-0.18273929999999999</v>
      </c>
      <c r="V482">
        <v>-6.952448E-2</v>
      </c>
      <c r="W482">
        <v>0.1787135</v>
      </c>
      <c r="X482">
        <v>0.98144169999999997</v>
      </c>
      <c r="Y482">
        <v>5.4590769999999997E-2</v>
      </c>
      <c r="Z482" s="1">
        <v>1.118047E-5</v>
      </c>
      <c r="AA482">
        <v>0.99850879999999997</v>
      </c>
      <c r="AB482">
        <v>31</v>
      </c>
      <c r="AC482">
        <v>218.37389999999999</v>
      </c>
      <c r="AD482">
        <v>3.8196759999999998</v>
      </c>
      <c r="AE482">
        <v>-13.082800000000001</v>
      </c>
      <c r="AF482">
        <v>11.9474461999094</v>
      </c>
      <c r="AG482">
        <v>3.8196759999999998</v>
      </c>
      <c r="AH482">
        <v>218.372186587356</v>
      </c>
      <c r="AI482">
        <v>88.999404240290701</v>
      </c>
      <c r="AJ482">
        <v>86.868390337398793</v>
      </c>
      <c r="AK482">
        <v>218.732126744993</v>
      </c>
      <c r="AL482">
        <v>79.705166103648693</v>
      </c>
      <c r="AM482">
        <v>94.052014526418802</v>
      </c>
      <c r="AN482">
        <v>0.99999998945020496</v>
      </c>
    </row>
    <row r="483" spans="1:40" x14ac:dyDescent="0.25">
      <c r="A483" t="str">
        <f>"20190304155606492"</f>
        <v>20190304155606492</v>
      </c>
      <c r="B483" t="str">
        <f>"1551686166485274"</f>
        <v>1551686166485274</v>
      </c>
      <c r="C483" t="s">
        <v>40</v>
      </c>
      <c r="D483">
        <v>4.8453889999999999</v>
      </c>
      <c r="E483">
        <v>0.57658199999999904</v>
      </c>
      <c r="F483" t="s">
        <v>48</v>
      </c>
      <c r="G483">
        <v>-240.56729999999999</v>
      </c>
      <c r="H483">
        <v>12.54914</v>
      </c>
      <c r="I483">
        <v>342.77730000000003</v>
      </c>
      <c r="J483">
        <v>-387.5163</v>
      </c>
      <c r="K483">
        <v>1.1098440000000001</v>
      </c>
      <c r="L483">
        <v>367.1746</v>
      </c>
      <c r="M483">
        <v>0.99992009999999998</v>
      </c>
      <c r="N483">
        <v>-1.155699E-2</v>
      </c>
      <c r="O483">
        <v>-5.1552809999999899E-3</v>
      </c>
      <c r="P483">
        <v>0.98376680000000005</v>
      </c>
      <c r="Q483">
        <v>0.16746320000000001</v>
      </c>
      <c r="R483">
        <v>6.4493439999999999E-2</v>
      </c>
      <c r="S483">
        <v>3.0422359999999999</v>
      </c>
      <c r="T483">
        <v>0.23657790000000001</v>
      </c>
      <c r="U483">
        <v>-0.50457759999999996</v>
      </c>
      <c r="V483">
        <v>-6.9576070000000004E-2</v>
      </c>
      <c r="W483">
        <v>0.178813</v>
      </c>
      <c r="X483">
        <v>0.98141990000000001</v>
      </c>
      <c r="Y483">
        <v>0.15815989999999999</v>
      </c>
      <c r="Z483">
        <v>4.7209449999999998E-3</v>
      </c>
      <c r="AA483">
        <v>0.98740229999999996</v>
      </c>
      <c r="AB483">
        <v>31</v>
      </c>
      <c r="AC483">
        <v>146.94899999999899</v>
      </c>
      <c r="AD483">
        <v>11.439296000000001</v>
      </c>
      <c r="AE483">
        <v>-24.397299999999898</v>
      </c>
      <c r="AF483">
        <v>23.5007698491996</v>
      </c>
      <c r="AG483">
        <v>11.439296000000001</v>
      </c>
      <c r="AH483">
        <v>146.21057670916599</v>
      </c>
      <c r="AI483">
        <v>85.582843300581601</v>
      </c>
      <c r="AJ483">
        <v>80.868814474148905</v>
      </c>
      <c r="AK483">
        <v>148.528369068362</v>
      </c>
      <c r="AL483">
        <v>79.699371630395703</v>
      </c>
      <c r="AM483">
        <v>94.055101032258406</v>
      </c>
      <c r="AN483">
        <v>0.99999996930082702</v>
      </c>
    </row>
    <row r="484" spans="1:40" x14ac:dyDescent="0.25">
      <c r="A484" t="str">
        <f>"20190304155606503"</f>
        <v>20190304155606503</v>
      </c>
      <c r="B484" t="str">
        <f>"1551686166495034"</f>
        <v>1551686166495034</v>
      </c>
      <c r="C484" t="s">
        <v>40</v>
      </c>
      <c r="D484">
        <v>4.3618069999999998</v>
      </c>
      <c r="E484">
        <v>0.57937780000000005</v>
      </c>
      <c r="F484" t="s">
        <v>49</v>
      </c>
      <c r="G484">
        <v>-168.405</v>
      </c>
      <c r="H484">
        <v>14.86713</v>
      </c>
      <c r="I484">
        <v>336.76799999999997</v>
      </c>
      <c r="J484">
        <v>-387.3526</v>
      </c>
      <c r="K484">
        <v>1.1098589999999999</v>
      </c>
      <c r="L484">
        <v>367.17380000000003</v>
      </c>
      <c r="M484">
        <v>0.99991980000000003</v>
      </c>
      <c r="N484">
        <v>-1.157449E-2</v>
      </c>
      <c r="O484">
        <v>-5.126645E-3</v>
      </c>
      <c r="P484">
        <v>0.98373569999999999</v>
      </c>
      <c r="Q484">
        <v>0.16763520000000001</v>
      </c>
      <c r="R484">
        <v>6.4517649999999996E-2</v>
      </c>
      <c r="S484">
        <v>3.0446780000000002</v>
      </c>
      <c r="T484">
        <v>0.19116540000000001</v>
      </c>
      <c r="U484">
        <v>-0.4225159</v>
      </c>
      <c r="V484">
        <v>-6.9571759999999996E-2</v>
      </c>
      <c r="W484">
        <v>0.17900160000000001</v>
      </c>
      <c r="X484">
        <v>0.98138590000000003</v>
      </c>
      <c r="Y484">
        <v>0.13218099999999999</v>
      </c>
      <c r="Z484">
        <v>2.9775729999999999E-3</v>
      </c>
      <c r="AA484">
        <v>0.99122109999999997</v>
      </c>
      <c r="AB484">
        <v>31</v>
      </c>
      <c r="AC484">
        <v>218.94759999999999</v>
      </c>
      <c r="AD484">
        <v>13.757270999999999</v>
      </c>
      <c r="AE484">
        <v>-30.405799999999999</v>
      </c>
      <c r="AF484">
        <v>29.169872939144501</v>
      </c>
      <c r="AG484">
        <v>13.757270999999999</v>
      </c>
      <c r="AH484">
        <v>218.25523055806099</v>
      </c>
      <c r="AI484">
        <v>86.424954254217894</v>
      </c>
      <c r="AJ484">
        <v>82.3875147985962</v>
      </c>
      <c r="AK484">
        <v>220.625224438652</v>
      </c>
      <c r="AL484">
        <v>79.688389217654205</v>
      </c>
      <c r="AM484">
        <v>94.0549906817444</v>
      </c>
      <c r="AN484">
        <v>1.0000000436554299</v>
      </c>
    </row>
    <row r="485" spans="1:40" x14ac:dyDescent="0.25">
      <c r="A485" t="str">
        <f>"20190304155606515"</f>
        <v>20190304155606515</v>
      </c>
      <c r="B485" t="str">
        <f>"1551686166505770"</f>
        <v>1551686166505770</v>
      </c>
      <c r="C485" t="s">
        <v>40</v>
      </c>
      <c r="D485">
        <v>4.8503210000000001</v>
      </c>
      <c r="E485">
        <v>0.57442079999999995</v>
      </c>
      <c r="F485" t="s">
        <v>50</v>
      </c>
      <c r="G485">
        <v>-232.37260000000001</v>
      </c>
      <c r="H485">
        <v>11.30017</v>
      </c>
      <c r="I485">
        <v>344.54509999999999</v>
      </c>
      <c r="J485">
        <v>-387.19720000000001</v>
      </c>
      <c r="K485">
        <v>1.109872</v>
      </c>
      <c r="L485">
        <v>367.173</v>
      </c>
      <c r="M485">
        <v>0.99992000000000003</v>
      </c>
      <c r="N485">
        <v>-1.159019E-2</v>
      </c>
      <c r="O485">
        <v>-5.1000250000000002E-3</v>
      </c>
      <c r="P485">
        <v>0.98373659999999996</v>
      </c>
      <c r="Q485">
        <v>0.167564299999999</v>
      </c>
      <c r="R485">
        <v>6.469192E-2</v>
      </c>
      <c r="S485">
        <v>3.0446469999999999</v>
      </c>
      <c r="T485">
        <v>0.20019290000000001</v>
      </c>
      <c r="U485">
        <v>-0.44454959999999999</v>
      </c>
      <c r="V485">
        <v>-6.9720370000000004E-2</v>
      </c>
      <c r="W485">
        <v>0.1789462</v>
      </c>
      <c r="X485">
        <v>0.98138539999999996</v>
      </c>
      <c r="Y485">
        <v>0.13920299999999999</v>
      </c>
      <c r="Z485">
        <v>3.343908E-3</v>
      </c>
      <c r="AA485">
        <v>0.99025819999999998</v>
      </c>
      <c r="AB485">
        <v>31</v>
      </c>
      <c r="AC485">
        <v>154.8246</v>
      </c>
      <c r="AD485">
        <v>10.190298</v>
      </c>
      <c r="AE485">
        <v>-22.6279</v>
      </c>
      <c r="AF485">
        <v>21.745710001955</v>
      </c>
      <c r="AG485">
        <v>10.190298</v>
      </c>
      <c r="AH485">
        <v>154.28360984245299</v>
      </c>
      <c r="AI485">
        <v>86.258031669375697</v>
      </c>
      <c r="AJ485">
        <v>81.977217596549394</v>
      </c>
      <c r="AK485">
        <v>156.14144338655299</v>
      </c>
      <c r="AL485">
        <v>79.691614914832698</v>
      </c>
      <c r="AM485">
        <v>94.063625493766693</v>
      </c>
      <c r="AN485">
        <v>0.99999998791026801</v>
      </c>
    </row>
    <row r="486" spans="1:40" x14ac:dyDescent="0.25">
      <c r="A486" t="str">
        <f>"20190304155606527"</f>
        <v>20190304155606527</v>
      </c>
      <c r="B486" t="str">
        <f>"1551686166515530"</f>
        <v>1551686166515530</v>
      </c>
      <c r="C486" t="s">
        <v>40</v>
      </c>
      <c r="D486">
        <v>4.4270209999999999</v>
      </c>
      <c r="E486">
        <v>0.5720655</v>
      </c>
      <c r="F486" t="s">
        <v>49</v>
      </c>
      <c r="G486">
        <v>-168.40459999999999</v>
      </c>
      <c r="H486">
        <v>13.666639999999999</v>
      </c>
      <c r="I486">
        <v>338.08640000000003</v>
      </c>
      <c r="J486">
        <v>-387.02429999999998</v>
      </c>
      <c r="K486">
        <v>1.109883</v>
      </c>
      <c r="L486">
        <v>367.1721</v>
      </c>
      <c r="M486">
        <v>0.99991989999999997</v>
      </c>
      <c r="N486">
        <v>-1.160656E-2</v>
      </c>
      <c r="O486">
        <v>-5.0701899999999996E-3</v>
      </c>
      <c r="P486">
        <v>0.98371299999999995</v>
      </c>
      <c r="Q486">
        <v>0.16760510000000001</v>
      </c>
      <c r="R486">
        <v>6.4944100000000005E-2</v>
      </c>
      <c r="S486">
        <v>3.0464479999999998</v>
      </c>
      <c r="T486">
        <v>0.17483940000000001</v>
      </c>
      <c r="U486">
        <v>-0.40499879999999999</v>
      </c>
      <c r="V486">
        <v>-6.9943290000000005E-2</v>
      </c>
      <c r="W486">
        <v>0.179003</v>
      </c>
      <c r="X486">
        <v>0.98135919999999999</v>
      </c>
      <c r="Y486">
        <v>0.12660299999999999</v>
      </c>
      <c r="Z486">
        <v>2.52769E-3</v>
      </c>
      <c r="AA486">
        <v>0.9919502</v>
      </c>
      <c r="AB486">
        <v>31</v>
      </c>
      <c r="AC486">
        <v>218.61969999999999</v>
      </c>
      <c r="AD486">
        <v>12.556756999999999</v>
      </c>
      <c r="AE486">
        <v>-29.0856999999999</v>
      </c>
      <c r="AF486">
        <v>27.886412153602901</v>
      </c>
      <c r="AG486">
        <v>12.556756999999999</v>
      </c>
      <c r="AH486">
        <v>218.05751905491601</v>
      </c>
      <c r="AI486">
        <v>86.730850709004898</v>
      </c>
      <c r="AJ486">
        <v>82.712253926208305</v>
      </c>
      <c r="AK486">
        <v>220.19174767811501</v>
      </c>
      <c r="AL486">
        <v>79.688307321556394</v>
      </c>
      <c r="AM486">
        <v>94.0766830350953</v>
      </c>
      <c r="AN486">
        <v>1.00000000862483</v>
      </c>
    </row>
    <row r="487" spans="1:40" x14ac:dyDescent="0.25">
      <c r="A487" t="str">
        <f>"20190304155606538"</f>
        <v>20190304155606538</v>
      </c>
      <c r="B487" t="str">
        <f>"1551686166535050"</f>
        <v>1551686166535050</v>
      </c>
      <c r="C487" t="s">
        <v>40</v>
      </c>
      <c r="D487">
        <v>4.9061849999999998</v>
      </c>
      <c r="E487">
        <v>0.56768299999999905</v>
      </c>
      <c r="F487" t="s">
        <v>49</v>
      </c>
      <c r="G487">
        <v>-168.4042</v>
      </c>
      <c r="H487">
        <v>12.31081</v>
      </c>
      <c r="I487">
        <v>339.48489999999998</v>
      </c>
      <c r="J487">
        <v>-386.87130000000002</v>
      </c>
      <c r="K487">
        <v>1.1098889999999999</v>
      </c>
      <c r="L487">
        <v>367.17140000000001</v>
      </c>
      <c r="M487">
        <v>0.99991989999999997</v>
      </c>
      <c r="N487">
        <v>-1.1619819999999999E-2</v>
      </c>
      <c r="O487">
        <v>-5.0438000000000002E-3</v>
      </c>
      <c r="P487">
        <v>0.98373600000000005</v>
      </c>
      <c r="Q487">
        <v>0.167466899999999</v>
      </c>
      <c r="R487">
        <v>6.4949560000000003E-2</v>
      </c>
      <c r="S487">
        <v>3.048492</v>
      </c>
      <c r="T487">
        <v>0.15618850000000001</v>
      </c>
      <c r="U487">
        <v>-0.38607789999999997</v>
      </c>
      <c r="V487">
        <v>-6.992292E-2</v>
      </c>
      <c r="W487">
        <v>0.17887809999999901</v>
      </c>
      <c r="X487">
        <v>0.98138340000000002</v>
      </c>
      <c r="Y487">
        <v>0.1205261</v>
      </c>
      <c r="Z487">
        <v>2.054344E-3</v>
      </c>
      <c r="AA487">
        <v>0.99270800000000003</v>
      </c>
      <c r="AB487">
        <v>31</v>
      </c>
      <c r="AC487">
        <v>218.46709999999999</v>
      </c>
      <c r="AD487">
        <v>11.200920999999999</v>
      </c>
      <c r="AE487">
        <v>-27.686499999999999</v>
      </c>
      <c r="AF487">
        <v>26.515570340058598</v>
      </c>
      <c r="AG487">
        <v>11.200920999999999</v>
      </c>
      <c r="AH487">
        <v>218.03988104670799</v>
      </c>
      <c r="AI487">
        <v>87.080714445547898</v>
      </c>
      <c r="AJ487">
        <v>83.066374484770407</v>
      </c>
      <c r="AK487">
        <v>219.93163898941199</v>
      </c>
      <c r="AL487">
        <v>79.695580701023502</v>
      </c>
      <c r="AM487">
        <v>94.075399600369096</v>
      </c>
      <c r="AN487">
        <v>0.99999998359824804</v>
      </c>
    </row>
    <row r="488" spans="1:40" x14ac:dyDescent="0.25">
      <c r="A488" t="str">
        <f>"20190304155606551"</f>
        <v>20190304155606551</v>
      </c>
      <c r="B488" t="str">
        <f>"1551686166545786"</f>
        <v>1551686166545786</v>
      </c>
      <c r="C488" t="s">
        <v>40</v>
      </c>
      <c r="D488">
        <v>4.3208209999999996</v>
      </c>
      <c r="E488">
        <v>0.56933210000000001</v>
      </c>
      <c r="F488" t="s">
        <v>49</v>
      </c>
      <c r="G488">
        <v>-168.9854</v>
      </c>
      <c r="H488">
        <v>10.148960000000001</v>
      </c>
      <c r="I488">
        <v>342.06029999999998</v>
      </c>
      <c r="J488">
        <v>-386.70280000000002</v>
      </c>
      <c r="K488">
        <v>1.109896</v>
      </c>
      <c r="L488">
        <v>367.17059999999998</v>
      </c>
      <c r="M488">
        <v>0.99991969999999997</v>
      </c>
      <c r="N488">
        <v>-1.163398E-2</v>
      </c>
      <c r="O488">
        <v>-5.0145559999999999E-3</v>
      </c>
      <c r="P488">
        <v>0.98377550000000002</v>
      </c>
      <c r="Q488">
        <v>0.16714499999999999</v>
      </c>
      <c r="R488">
        <v>6.5179599999999893E-2</v>
      </c>
      <c r="S488">
        <v>3.0512700000000001</v>
      </c>
      <c r="T488">
        <v>0.1265831</v>
      </c>
      <c r="U488">
        <v>-0.35165410000000002</v>
      </c>
      <c r="V488">
        <v>-7.0124850000000002E-2</v>
      </c>
      <c r="W488">
        <v>0.17857039999999999</v>
      </c>
      <c r="X488">
        <v>0.98142499999999999</v>
      </c>
      <c r="Y488">
        <v>0.10944760000000001</v>
      </c>
      <c r="Z488">
        <v>1.3574539999999999E-3</v>
      </c>
      <c r="AA488">
        <v>0.99399159999999998</v>
      </c>
      <c r="AB488">
        <v>31</v>
      </c>
      <c r="AC488">
        <v>217.7174</v>
      </c>
      <c r="AD488">
        <v>9.0390639999999998</v>
      </c>
      <c r="AE488">
        <v>-25.110299999999899</v>
      </c>
      <c r="AF488">
        <v>23.977367068698101</v>
      </c>
      <c r="AG488">
        <v>9.0390639999999998</v>
      </c>
      <c r="AH488">
        <v>217.47065538440501</v>
      </c>
      <c r="AI488">
        <v>87.634217979625504</v>
      </c>
      <c r="AJ488">
        <v>83.708229728168106</v>
      </c>
      <c r="AK488">
        <v>218.97512361650999</v>
      </c>
      <c r="AL488">
        <v>79.713498831528497</v>
      </c>
      <c r="AM488">
        <v>94.086956440143396</v>
      </c>
      <c r="AN488">
        <v>0.99999995648434004</v>
      </c>
    </row>
    <row r="489" spans="1:40" x14ac:dyDescent="0.25">
      <c r="A489" t="str">
        <f>"20190304155606569"</f>
        <v>20190304155606569</v>
      </c>
      <c r="B489" t="str">
        <f>"1551686166565306"</f>
        <v>1551686166565306</v>
      </c>
      <c r="C489" t="s">
        <v>40</v>
      </c>
      <c r="D489">
        <v>4.3618980000000001</v>
      </c>
      <c r="E489">
        <v>0.57172389999999995</v>
      </c>
      <c r="F489" t="s">
        <v>49</v>
      </c>
      <c r="G489">
        <v>-168.9854</v>
      </c>
      <c r="H489">
        <v>10.332739999999999</v>
      </c>
      <c r="I489">
        <v>341.19779999999997</v>
      </c>
      <c r="J489">
        <v>-386.44240000000002</v>
      </c>
      <c r="K489">
        <v>1.1099030000000001</v>
      </c>
      <c r="L489">
        <v>367.16930000000002</v>
      </c>
      <c r="M489">
        <v>0.99991980000000003</v>
      </c>
      <c r="N489">
        <v>-1.1653810000000001E-2</v>
      </c>
      <c r="O489">
        <v>-4.9705579999999999E-3</v>
      </c>
      <c r="P489">
        <v>0.9838789</v>
      </c>
      <c r="Q489">
        <v>0.1663973</v>
      </c>
      <c r="R489">
        <v>6.5531439999999996E-2</v>
      </c>
      <c r="S489">
        <v>3.0516049999999999</v>
      </c>
      <c r="T489">
        <v>0.12927079999999999</v>
      </c>
      <c r="U489">
        <v>-0.36404419999999998</v>
      </c>
      <c r="V489">
        <v>-7.0433800000000005E-2</v>
      </c>
      <c r="W489">
        <v>0.17784320000000001</v>
      </c>
      <c r="X489">
        <v>0.98153500000000005</v>
      </c>
      <c r="Y489">
        <v>0.113453399999999</v>
      </c>
      <c r="Z489">
        <v>1.4624270000000001E-3</v>
      </c>
      <c r="AA489">
        <v>0.99354229999999999</v>
      </c>
      <c r="AB489">
        <v>31</v>
      </c>
      <c r="AC489">
        <v>217.45699999999999</v>
      </c>
      <c r="AD489">
        <v>9.2228369999999895</v>
      </c>
      <c r="AE489">
        <v>-25.971499999999999</v>
      </c>
      <c r="AF489">
        <v>24.8461584918374</v>
      </c>
      <c r="AG489">
        <v>9.2228369999999895</v>
      </c>
      <c r="AH489">
        <v>217.19821390278301</v>
      </c>
      <c r="AI489">
        <v>87.584259325923298</v>
      </c>
      <c r="AJ489">
        <v>83.474077642583893</v>
      </c>
      <c r="AK489">
        <v>218.80917813631399</v>
      </c>
      <c r="AL489">
        <v>79.755842977558203</v>
      </c>
      <c r="AM489">
        <v>94.104442520761907</v>
      </c>
      <c r="AN489">
        <v>1.0000000400968301</v>
      </c>
    </row>
    <row r="490" spans="1:40" x14ac:dyDescent="0.25">
      <c r="A490" t="str">
        <f>"20190304155606582"</f>
        <v>20190304155606582</v>
      </c>
      <c r="B490" t="str">
        <f>"1551686166575066"</f>
        <v>1551686166575066</v>
      </c>
      <c r="C490" t="s">
        <v>40</v>
      </c>
      <c r="D490">
        <v>4.4216439999999997</v>
      </c>
      <c r="E490">
        <v>0.57034169999999995</v>
      </c>
      <c r="F490" t="s">
        <v>49</v>
      </c>
      <c r="G490">
        <v>-168.98580000000001</v>
      </c>
      <c r="H490">
        <v>11.476380000000001</v>
      </c>
      <c r="I490">
        <v>339.95620000000002</v>
      </c>
      <c r="J490">
        <v>-386.26740000000001</v>
      </c>
      <c r="K490">
        <v>1.1099079999999999</v>
      </c>
      <c r="L490">
        <v>367.16849999999999</v>
      </c>
      <c r="M490">
        <v>0.99991989999999997</v>
      </c>
      <c r="N490">
        <v>-1.166561E-2</v>
      </c>
      <c r="O490">
        <v>-4.9412980000000002E-3</v>
      </c>
      <c r="P490">
        <v>0.98390940000000005</v>
      </c>
      <c r="Q490">
        <v>0.1662063</v>
      </c>
      <c r="R490">
        <v>6.5558149999999996E-2</v>
      </c>
      <c r="S490">
        <v>3.0499879999999999</v>
      </c>
      <c r="T490">
        <v>0.14539739999999901</v>
      </c>
      <c r="U490">
        <v>-0.3816833</v>
      </c>
      <c r="V490">
        <v>-7.0431889999999997E-2</v>
      </c>
      <c r="W490">
        <v>0.1776644</v>
      </c>
      <c r="X490">
        <v>0.98156750000000004</v>
      </c>
      <c r="Y490">
        <v>0.1191774</v>
      </c>
      <c r="Z490">
        <v>1.8380250000000001E-3</v>
      </c>
      <c r="AA490">
        <v>0.99287130000000001</v>
      </c>
      <c r="AB490">
        <v>31</v>
      </c>
      <c r="AC490">
        <v>217.2816</v>
      </c>
      <c r="AD490">
        <v>10.366472</v>
      </c>
      <c r="AE490">
        <v>-27.2122999999999</v>
      </c>
      <c r="AF490">
        <v>26.079794847103202</v>
      </c>
      <c r="AG490">
        <v>10.366472</v>
      </c>
      <c r="AH490">
        <v>216.927269236028</v>
      </c>
      <c r="AI490">
        <v>87.283574665949104</v>
      </c>
      <c r="AJ490">
        <v>83.144592867008598</v>
      </c>
      <c r="AK490">
        <v>218.73513567598999</v>
      </c>
      <c r="AL490">
        <v>79.7662530755766</v>
      </c>
      <c r="AM490">
        <v>94.104196166973693</v>
      </c>
      <c r="AN490">
        <v>1.00000002360629</v>
      </c>
    </row>
    <row r="491" spans="1:40" x14ac:dyDescent="0.25">
      <c r="A491" t="str">
        <f>"20190304155606597"</f>
        <v>20190304155606597</v>
      </c>
      <c r="B491" t="str">
        <f>"1551686166595562"</f>
        <v>1551686166595562</v>
      </c>
      <c r="C491" t="s">
        <v>40</v>
      </c>
      <c r="D491">
        <v>4.7701330000000004</v>
      </c>
      <c r="E491">
        <v>0.57063319999999995</v>
      </c>
      <c r="F491" t="s">
        <v>49</v>
      </c>
      <c r="G491">
        <v>-168.98560000000001</v>
      </c>
      <c r="H491">
        <v>10.91625</v>
      </c>
      <c r="I491">
        <v>340.72739999999999</v>
      </c>
      <c r="J491">
        <v>-386.06209999999999</v>
      </c>
      <c r="K491">
        <v>1.109912</v>
      </c>
      <c r="L491">
        <v>367.16750000000002</v>
      </c>
      <c r="M491">
        <v>0.99991980000000003</v>
      </c>
      <c r="N491">
        <v>-1.167868E-2</v>
      </c>
      <c r="O491">
        <v>-4.9065619999999997E-3</v>
      </c>
      <c r="P491">
        <v>0.98396090000000003</v>
      </c>
      <c r="Q491">
        <v>0.16595179999999901</v>
      </c>
      <c r="R491">
        <v>6.54304E-2</v>
      </c>
      <c r="S491">
        <v>3.0505070000000001</v>
      </c>
      <c r="T491">
        <v>0.1376753</v>
      </c>
      <c r="U491">
        <v>-0.37121579999999998</v>
      </c>
      <c r="V491">
        <v>-7.0270239999999998E-2</v>
      </c>
      <c r="W491">
        <v>0.1774232</v>
      </c>
      <c r="X491">
        <v>0.98162269999999896</v>
      </c>
      <c r="Y491">
        <v>0.1158484</v>
      </c>
      <c r="Z491">
        <v>1.646514E-3</v>
      </c>
      <c r="AA491">
        <v>0.99326559999999997</v>
      </c>
      <c r="AB491">
        <v>31</v>
      </c>
      <c r="AC491">
        <v>217.07650000000001</v>
      </c>
      <c r="AD491">
        <v>9.8063380000000002</v>
      </c>
      <c r="AE491">
        <v>-26.440100000000001</v>
      </c>
      <c r="AF491">
        <v>25.323686146151299</v>
      </c>
      <c r="AG491">
        <v>9.8063380000000002</v>
      </c>
      <c r="AH491">
        <v>216.76772525345299</v>
      </c>
      <c r="AI491">
        <v>87.427239906346003</v>
      </c>
      <c r="AJ491">
        <v>83.3366781322718</v>
      </c>
      <c r="AK491">
        <v>218.46212499322499</v>
      </c>
      <c r="AL491">
        <v>79.780295795810503</v>
      </c>
      <c r="AM491">
        <v>94.0945791201719</v>
      </c>
      <c r="AN491">
        <v>1.0000000118415899</v>
      </c>
    </row>
    <row r="492" spans="1:40" x14ac:dyDescent="0.25">
      <c r="A492" t="str">
        <f>"20190304155606615"</f>
        <v>20190304155606615</v>
      </c>
      <c r="B492" t="str">
        <f>"1551686166605321"</f>
        <v>1551686166605321</v>
      </c>
      <c r="C492" t="s">
        <v>40</v>
      </c>
      <c r="D492">
        <v>4.4487410000000001</v>
      </c>
      <c r="E492">
        <v>0.57239969999999996</v>
      </c>
      <c r="F492" t="s">
        <v>49</v>
      </c>
      <c r="G492">
        <v>-168.9853</v>
      </c>
      <c r="H492">
        <v>10.09493</v>
      </c>
      <c r="I492">
        <v>340.55970000000002</v>
      </c>
      <c r="J492">
        <v>-385.82459999999998</v>
      </c>
      <c r="K492">
        <v>1.109918</v>
      </c>
      <c r="L492">
        <v>367.16640000000001</v>
      </c>
      <c r="M492">
        <v>0.99991980000000003</v>
      </c>
      <c r="N492">
        <v>-1.169254E-2</v>
      </c>
      <c r="O492">
        <v>-4.8667049999999998E-3</v>
      </c>
      <c r="P492">
        <v>0.98406340000000003</v>
      </c>
      <c r="Q492">
        <v>0.1653308</v>
      </c>
      <c r="R492">
        <v>6.5458859999999994E-2</v>
      </c>
      <c r="S492">
        <v>3.0524290000000001</v>
      </c>
      <c r="T492">
        <v>0.12634310000000001</v>
      </c>
      <c r="U492">
        <v>-0.37414550000000002</v>
      </c>
      <c r="V492">
        <v>-7.0260249999999996E-2</v>
      </c>
      <c r="W492">
        <v>0.17681729999999901</v>
      </c>
      <c r="X492">
        <v>0.98173270000000001</v>
      </c>
      <c r="Y492">
        <v>0.1167666</v>
      </c>
      <c r="Z492">
        <v>1.463839E-3</v>
      </c>
      <c r="AA492">
        <v>0.99315830000000005</v>
      </c>
      <c r="AB492">
        <v>31</v>
      </c>
      <c r="AC492">
        <v>216.83930000000001</v>
      </c>
      <c r="AD492">
        <v>8.9850119999999993</v>
      </c>
      <c r="AE492">
        <v>-26.606699999999901</v>
      </c>
      <c r="AF492">
        <v>25.507873314935399</v>
      </c>
      <c r="AG492">
        <v>8.9850119999999993</v>
      </c>
      <c r="AH492">
        <v>216.59984942538699</v>
      </c>
      <c r="AI492">
        <v>87.640897602509995</v>
      </c>
      <c r="AJ492">
        <v>83.283500079728896</v>
      </c>
      <c r="AK492">
        <v>218.28164561591399</v>
      </c>
      <c r="AL492">
        <v>79.815568650073004</v>
      </c>
      <c r="AM492">
        <v>94.093541832039605</v>
      </c>
      <c r="AN492">
        <v>0.999999977279321</v>
      </c>
    </row>
    <row r="493" spans="1:40" x14ac:dyDescent="0.25">
      <c r="A493" t="str">
        <f>"20190304155606627"</f>
        <v>20190304155606627</v>
      </c>
      <c r="B493" t="str">
        <f>"1551686166624842"</f>
        <v>1551686166624842</v>
      </c>
      <c r="C493" t="s">
        <v>40</v>
      </c>
      <c r="D493">
        <v>4.8771769999999997</v>
      </c>
      <c r="E493">
        <v>0.57174669999999905</v>
      </c>
      <c r="F493" t="s">
        <v>49</v>
      </c>
      <c r="G493">
        <v>-168.4034</v>
      </c>
      <c r="H493">
        <v>9.9337579999999992</v>
      </c>
      <c r="I493">
        <v>339.5505</v>
      </c>
      <c r="J493">
        <v>-385.6438</v>
      </c>
      <c r="K493">
        <v>1.109923</v>
      </c>
      <c r="L493">
        <v>367.16550000000001</v>
      </c>
      <c r="M493">
        <v>0.99991989999999997</v>
      </c>
      <c r="N493">
        <v>-1.1702229999999999E-2</v>
      </c>
      <c r="O493">
        <v>-4.8364819999999996E-3</v>
      </c>
      <c r="P493">
        <v>0.9840835</v>
      </c>
      <c r="Q493">
        <v>0.16518720000000001</v>
      </c>
      <c r="R493">
        <v>6.55192E-2</v>
      </c>
      <c r="S493">
        <v>3.0535580000000002</v>
      </c>
      <c r="T493">
        <v>0.12392590000000001</v>
      </c>
      <c r="U493">
        <v>-0.38784790000000002</v>
      </c>
      <c r="V493">
        <v>-7.0290519999999995E-2</v>
      </c>
      <c r="W493">
        <v>0.17668310000000001</v>
      </c>
      <c r="X493">
        <v>0.98175469999999998</v>
      </c>
      <c r="Y493">
        <v>0.12114</v>
      </c>
      <c r="Z493">
        <v>1.483729E-3</v>
      </c>
      <c r="AA493">
        <v>0.99263429999999997</v>
      </c>
      <c r="AB493">
        <v>31</v>
      </c>
      <c r="AC493">
        <v>217.24039999999999</v>
      </c>
      <c r="AD493">
        <v>8.8238350000000008</v>
      </c>
      <c r="AE493">
        <v>-27.614999999999998</v>
      </c>
      <c r="AF493">
        <v>26.520867235008701</v>
      </c>
      <c r="AG493">
        <v>8.8238350000000008</v>
      </c>
      <c r="AH493">
        <v>217.01908097077401</v>
      </c>
      <c r="AI493">
        <v>87.688853206226199</v>
      </c>
      <c r="AJ493">
        <v>83.0327023755993</v>
      </c>
      <c r="AK493">
        <v>218.81155812342999</v>
      </c>
      <c r="AL493">
        <v>79.823380798251193</v>
      </c>
      <c r="AM493">
        <v>94.095207981611694</v>
      </c>
      <c r="AN493">
        <v>0.99999998299978499</v>
      </c>
    </row>
    <row r="494" spans="1:40" x14ac:dyDescent="0.25">
      <c r="A494" t="str">
        <f>"20190304155606641"</f>
        <v>20190304155606641</v>
      </c>
      <c r="B494" t="str">
        <f>"1551686166635578"</f>
        <v>1551686166635578</v>
      </c>
      <c r="C494" t="s">
        <v>40</v>
      </c>
      <c r="D494">
        <v>5.1298159999999999</v>
      </c>
      <c r="E494">
        <v>0.57345519999999905</v>
      </c>
      <c r="F494" t="s">
        <v>49</v>
      </c>
      <c r="G494">
        <v>-168.98519999999999</v>
      </c>
      <c r="H494">
        <v>9.6709049999999994</v>
      </c>
      <c r="I494">
        <v>340.03800000000001</v>
      </c>
      <c r="J494">
        <v>-385.46319999999997</v>
      </c>
      <c r="K494">
        <v>1.1099239999999999</v>
      </c>
      <c r="L494">
        <v>367.16469999999998</v>
      </c>
      <c r="M494">
        <v>0.99992000000000003</v>
      </c>
      <c r="N494">
        <v>-1.1711070000000001E-2</v>
      </c>
      <c r="O494">
        <v>-4.8064919999999999E-3</v>
      </c>
      <c r="P494">
        <v>0.98412330000000003</v>
      </c>
      <c r="Q494">
        <v>0.16503389999999901</v>
      </c>
      <c r="R494">
        <v>6.5309060000000002E-2</v>
      </c>
      <c r="S494">
        <v>3.053741</v>
      </c>
      <c r="T494">
        <v>0.1206647</v>
      </c>
      <c r="U494">
        <v>-0.38235469999999999</v>
      </c>
      <c r="V494">
        <v>-7.0051269999999999E-2</v>
      </c>
      <c r="W494">
        <v>0.176539</v>
      </c>
      <c r="X494">
        <v>0.98179780000000005</v>
      </c>
      <c r="Y494">
        <v>0.1194095</v>
      </c>
      <c r="Z494">
        <v>1.401795E-3</v>
      </c>
      <c r="AA494">
        <v>0.99284410000000001</v>
      </c>
      <c r="AB494">
        <v>31</v>
      </c>
      <c r="AC494">
        <v>216.47800000000001</v>
      </c>
      <c r="AD494">
        <v>8.560981</v>
      </c>
      <c r="AE494">
        <v>-27.1266999999999</v>
      </c>
      <c r="AF494">
        <v>26.0457114636095</v>
      </c>
      <c r="AG494">
        <v>8.560981</v>
      </c>
      <c r="AH494">
        <v>216.27288391067501</v>
      </c>
      <c r="AI494">
        <v>87.749422819681897</v>
      </c>
      <c r="AJ494">
        <v>83.132948720426199</v>
      </c>
      <c r="AK494">
        <v>218.00373803301599</v>
      </c>
      <c r="AL494">
        <v>79.831769762666298</v>
      </c>
      <c r="AM494">
        <v>94.081137619631505</v>
      </c>
      <c r="AN494">
        <v>1.00000005951722</v>
      </c>
    </row>
    <row r="495" spans="1:40" x14ac:dyDescent="0.25">
      <c r="A495" t="str">
        <f>"20190304155606659"</f>
        <v>20190304155606659</v>
      </c>
      <c r="B495" t="str">
        <f>"1551686166655097"</f>
        <v>1551686166655097</v>
      </c>
      <c r="C495" t="s">
        <v>40</v>
      </c>
      <c r="D495">
        <v>4.4571300000000003</v>
      </c>
      <c r="E495">
        <v>0.57408119999999996</v>
      </c>
      <c r="F495" t="s">
        <v>49</v>
      </c>
      <c r="G495">
        <v>-168.40379999999999</v>
      </c>
      <c r="H495">
        <v>11.175240000000001</v>
      </c>
      <c r="I495">
        <v>338.96559999999999</v>
      </c>
      <c r="J495">
        <v>-385.2081</v>
      </c>
      <c r="K495">
        <v>1.1099319999999999</v>
      </c>
      <c r="L495">
        <v>367.1635</v>
      </c>
      <c r="M495">
        <v>0.99992000000000003</v>
      </c>
      <c r="N495">
        <v>-1.1722649999999999E-2</v>
      </c>
      <c r="O495">
        <v>-4.7639989999999997E-3</v>
      </c>
      <c r="P495">
        <v>0.98414979999999996</v>
      </c>
      <c r="Q495">
        <v>0.16466169999999999</v>
      </c>
      <c r="R495">
        <v>6.5844910000000006E-2</v>
      </c>
      <c r="S495">
        <v>3.050964</v>
      </c>
      <c r="T495">
        <v>0.14147709999999999</v>
      </c>
      <c r="U495">
        <v>-0.3963623</v>
      </c>
      <c r="V495">
        <v>-7.0545579999999997E-2</v>
      </c>
      <c r="W495">
        <v>0.17617849999999999</v>
      </c>
      <c r="X495">
        <v>0.98182709999999995</v>
      </c>
      <c r="Y495">
        <v>0.1240155</v>
      </c>
      <c r="Z495">
        <v>1.856145E-3</v>
      </c>
      <c r="AA495">
        <v>0.99227860000000001</v>
      </c>
      <c r="AB495">
        <v>31</v>
      </c>
      <c r="AC495">
        <v>216.80430000000001</v>
      </c>
      <c r="AD495">
        <v>10.0653079999999</v>
      </c>
      <c r="AE495">
        <v>-28.197900000000001</v>
      </c>
      <c r="AF495">
        <v>27.1071998981317</v>
      </c>
      <c r="AG495">
        <v>10.0653079999999</v>
      </c>
      <c r="AH495">
        <v>216.47735976952501</v>
      </c>
      <c r="AI495">
        <v>87.358498056881302</v>
      </c>
      <c r="AJ495">
        <v>82.862597619844905</v>
      </c>
      <c r="AK495">
        <v>218.39999543094399</v>
      </c>
      <c r="AL495">
        <v>79.852753169000493</v>
      </c>
      <c r="AM495">
        <v>94.109715208551194</v>
      </c>
      <c r="AN495">
        <v>0.99999999850709798</v>
      </c>
    </row>
    <row r="496" spans="1:40" x14ac:dyDescent="0.25">
      <c r="A496" t="str">
        <f>"20190304155606671"</f>
        <v>20190304155606671</v>
      </c>
      <c r="B496" t="str">
        <f>"1551686166664858"</f>
        <v>1551686166664858</v>
      </c>
      <c r="C496" t="s">
        <v>40</v>
      </c>
      <c r="D496">
        <v>4.5037979999999997</v>
      </c>
      <c r="E496">
        <v>0.57621990000000001</v>
      </c>
      <c r="F496" t="s">
        <v>49</v>
      </c>
      <c r="G496">
        <v>-168.40350000000001</v>
      </c>
      <c r="H496">
        <v>10.314590000000001</v>
      </c>
      <c r="I496">
        <v>338.77089999999998</v>
      </c>
      <c r="J496">
        <v>-385.0376</v>
      </c>
      <c r="K496">
        <v>1.109937</v>
      </c>
      <c r="L496">
        <v>367.16269999999997</v>
      </c>
      <c r="M496">
        <v>0.99992009999999998</v>
      </c>
      <c r="N496">
        <v>-1.172986E-2</v>
      </c>
      <c r="O496">
        <v>-4.7357859999999996E-3</v>
      </c>
      <c r="P496">
        <v>0.98410370000000003</v>
      </c>
      <c r="Q496">
        <v>0.16476650000000001</v>
      </c>
      <c r="R496">
        <v>6.6272830000000005E-2</v>
      </c>
      <c r="S496">
        <v>3.0534059999999998</v>
      </c>
      <c r="T496">
        <v>0.12963549999999999</v>
      </c>
      <c r="U496">
        <v>-0.3998718</v>
      </c>
      <c r="V496">
        <v>-7.0945830000000001E-2</v>
      </c>
      <c r="W496">
        <v>0.1762898</v>
      </c>
      <c r="X496">
        <v>0.98177829999999999</v>
      </c>
      <c r="Y496">
        <v>0.1250801</v>
      </c>
      <c r="Z496">
        <v>1.6503829999999901E-3</v>
      </c>
      <c r="AA496">
        <v>0.99214530000000001</v>
      </c>
      <c r="AB496">
        <v>31</v>
      </c>
      <c r="AC496">
        <v>216.63409999999999</v>
      </c>
      <c r="AD496">
        <v>9.2046530000000004</v>
      </c>
      <c r="AE496">
        <v>-28.3917999999999</v>
      </c>
      <c r="AF496">
        <v>27.316994431397202</v>
      </c>
      <c r="AG496">
        <v>9.2046530000000004</v>
      </c>
      <c r="AH496">
        <v>216.382088435355</v>
      </c>
      <c r="AI496">
        <v>87.583328757423502</v>
      </c>
      <c r="AJ496">
        <v>82.804800943188397</v>
      </c>
      <c r="AK496">
        <v>218.29372876301599</v>
      </c>
      <c r="AL496">
        <v>79.846274943796502</v>
      </c>
      <c r="AM496">
        <v>94.133156387264705</v>
      </c>
      <c r="AN496">
        <v>1.0000000173646499</v>
      </c>
    </row>
    <row r="497" spans="1:40" x14ac:dyDescent="0.25">
      <c r="A497" t="str">
        <f>"20190304155606685"</f>
        <v>20190304155606685</v>
      </c>
      <c r="B497" t="str">
        <f>"1551686166675594"</f>
        <v>1551686166675594</v>
      </c>
      <c r="C497" t="s">
        <v>40</v>
      </c>
      <c r="D497">
        <v>3.5067409999999999</v>
      </c>
      <c r="E497">
        <v>0.57621990000000001</v>
      </c>
      <c r="F497" t="s">
        <v>49</v>
      </c>
      <c r="G497">
        <v>-168.40350000000001</v>
      </c>
      <c r="H497">
        <v>10.2432</v>
      </c>
      <c r="I497">
        <v>337.70690000000002</v>
      </c>
      <c r="J497">
        <v>-384.84679999999997</v>
      </c>
      <c r="K497">
        <v>1.1099410000000001</v>
      </c>
      <c r="L497">
        <v>367.1619</v>
      </c>
      <c r="M497">
        <v>0.99992009999999998</v>
      </c>
      <c r="N497">
        <v>-1.173719E-2</v>
      </c>
      <c r="O497">
        <v>-4.703881E-3</v>
      </c>
      <c r="P497">
        <v>0.98407860000000003</v>
      </c>
      <c r="Q497">
        <v>0.1648376</v>
      </c>
      <c r="R497">
        <v>6.6468429999999995E-2</v>
      </c>
      <c r="S497">
        <v>3.0549010000000001</v>
      </c>
      <c r="T497">
        <v>0.1287943</v>
      </c>
      <c r="U497">
        <v>-0.41537479999999899</v>
      </c>
      <c r="V497">
        <v>-7.1110080000000006E-2</v>
      </c>
      <c r="W497">
        <v>0.17636769999999999</v>
      </c>
      <c r="X497">
        <v>0.98175239999999997</v>
      </c>
      <c r="Y497">
        <v>0.12999279999999999</v>
      </c>
      <c r="Z497">
        <v>1.7076260000000001E-3</v>
      </c>
      <c r="AA497">
        <v>0.99151350000000005</v>
      </c>
      <c r="AB497">
        <v>31</v>
      </c>
      <c r="AC497">
        <v>216.44329999999999</v>
      </c>
      <c r="AD497">
        <v>9.1332590000000007</v>
      </c>
      <c r="AE497">
        <v>-29.454999999999899</v>
      </c>
      <c r="AF497">
        <v>28.386854254303898</v>
      </c>
      <c r="AG497">
        <v>9.1332590000000007</v>
      </c>
      <c r="AH497">
        <v>216.20150155937799</v>
      </c>
      <c r="AI497">
        <v>87.601584712076999</v>
      </c>
      <c r="AJ497">
        <v>82.519958400801102</v>
      </c>
      <c r="AK497">
        <v>218.24829710892601</v>
      </c>
      <c r="AL497">
        <v>79.841740294353997</v>
      </c>
      <c r="AM497">
        <v>94.142800883507505</v>
      </c>
      <c r="AN497">
        <v>0.99999999199332801</v>
      </c>
    </row>
    <row r="498" spans="1:40" x14ac:dyDescent="0.25">
      <c r="A498" t="str">
        <f>"20190304155606747"</f>
        <v>20190304155606747</v>
      </c>
      <c r="B498" t="str">
        <f>"1551686166744891"</f>
        <v>1551686166744891</v>
      </c>
      <c r="C498" t="s">
        <v>40</v>
      </c>
      <c r="D498">
        <v>4.0535860000000001</v>
      </c>
      <c r="E498">
        <v>0.67196239999999996</v>
      </c>
      <c r="F498" t="s">
        <v>49</v>
      </c>
      <c r="G498">
        <v>-168.40350000000001</v>
      </c>
      <c r="H498">
        <v>10.257300000000001</v>
      </c>
      <c r="I498">
        <v>337.76479999999998</v>
      </c>
      <c r="J498">
        <v>-383.9769</v>
      </c>
      <c r="K498">
        <v>1.1099479999999999</v>
      </c>
      <c r="L498">
        <v>367.15800000000002</v>
      </c>
      <c r="M498">
        <v>0.9999207</v>
      </c>
      <c r="N498">
        <v>-1.1748689999999999E-2</v>
      </c>
      <c r="O498">
        <v>-4.5582799999999996E-3</v>
      </c>
      <c r="P498">
        <v>0.98400989999999999</v>
      </c>
      <c r="Q498">
        <v>0.16471749999999999</v>
      </c>
      <c r="R498">
        <v>6.776944E-2</v>
      </c>
      <c r="S498">
        <v>3.054932</v>
      </c>
      <c r="T498">
        <v>0.1291081</v>
      </c>
      <c r="U498">
        <v>-0.41491699999999998</v>
      </c>
      <c r="V498">
        <v>-7.2266819999999996E-2</v>
      </c>
      <c r="W498">
        <v>0.17625829999999901</v>
      </c>
      <c r="X498">
        <v>0.98168759999999999</v>
      </c>
      <c r="Y498">
        <v>0.1299893</v>
      </c>
      <c r="Z498">
        <v>1.720755E-3</v>
      </c>
      <c r="AA498">
        <v>0.99151389999999995</v>
      </c>
      <c r="AB498">
        <v>31</v>
      </c>
      <c r="AC498">
        <v>215.57339999999999</v>
      </c>
      <c r="AD498">
        <v>9.1473519999999997</v>
      </c>
      <c r="AE498">
        <v>-29.3932</v>
      </c>
      <c r="AF498">
        <v>28.360051811099801</v>
      </c>
      <c r="AG498">
        <v>9.1473519999999997</v>
      </c>
      <c r="AH498">
        <v>215.32452957814999</v>
      </c>
      <c r="AI498">
        <v>87.588244178324601</v>
      </c>
      <c r="AJ498">
        <v>82.496850955547302</v>
      </c>
      <c r="AK498">
        <v>217.376676820196</v>
      </c>
      <c r="AL498">
        <v>79.848108424891294</v>
      </c>
      <c r="AM498">
        <v>94.210227904673005</v>
      </c>
      <c r="AN498">
        <v>1.0000000127927799</v>
      </c>
    </row>
    <row r="499" spans="1:40" x14ac:dyDescent="0.25">
      <c r="A499" t="str">
        <f>"20190304155606771"</f>
        <v>20190304155606771</v>
      </c>
      <c r="B499" t="str">
        <f>"1551686166765387"</f>
        <v>1551686166765387</v>
      </c>
      <c r="C499" t="s">
        <v>40</v>
      </c>
      <c r="D499">
        <v>4.348884</v>
      </c>
      <c r="E499">
        <v>0.67196239999999996</v>
      </c>
      <c r="F499" t="s">
        <v>41</v>
      </c>
      <c r="G499">
        <v>-371.94159999999999</v>
      </c>
      <c r="H499" s="1">
        <v>-4.66889599999999E-6</v>
      </c>
      <c r="I499">
        <v>362.68459999999999</v>
      </c>
      <c r="J499">
        <v>-383.65980000000002</v>
      </c>
      <c r="K499">
        <v>1.109945</v>
      </c>
      <c r="L499">
        <v>367.15660000000003</v>
      </c>
      <c r="M499">
        <v>0.99992080000000005</v>
      </c>
      <c r="N499">
        <v>-1.174713E-2</v>
      </c>
      <c r="O499">
        <v>-4.5058169999999996E-3</v>
      </c>
      <c r="P499">
        <v>0.98404349999999996</v>
      </c>
      <c r="Q499">
        <v>0.1645353</v>
      </c>
      <c r="R499">
        <v>6.7725820000000006E-2</v>
      </c>
      <c r="S499">
        <v>3.1791689999999999</v>
      </c>
      <c r="T499">
        <v>-0.29319580000000001</v>
      </c>
      <c r="U499">
        <v>-1.18161</v>
      </c>
      <c r="V499">
        <v>-7.2172340000000001E-2</v>
      </c>
      <c r="W499">
        <v>0.176074799999999</v>
      </c>
      <c r="X499">
        <v>0.98172749999999998</v>
      </c>
      <c r="Y499">
        <v>0.34271459999999998</v>
      </c>
      <c r="Z499">
        <v>-1.6995150000000001E-2</v>
      </c>
      <c r="AA499">
        <v>0.93928579999999995</v>
      </c>
      <c r="AB499">
        <v>31</v>
      </c>
      <c r="AC499">
        <v>11.7182</v>
      </c>
      <c r="AD499">
        <v>-1.109949668896</v>
      </c>
      <c r="AE499">
        <v>-4.4720000000000297</v>
      </c>
      <c r="AF499">
        <v>4.3848119044000402</v>
      </c>
      <c r="AG499">
        <v>-1.109949668896</v>
      </c>
      <c r="AH499">
        <v>11.647020578221801</v>
      </c>
      <c r="AI499">
        <v>95.096606923653795</v>
      </c>
      <c r="AJ499">
        <v>69.369899380237001</v>
      </c>
      <c r="AK499">
        <v>12.494464856646401</v>
      </c>
      <c r="AL499">
        <v>79.858789451995605</v>
      </c>
      <c r="AM499">
        <v>94.204573023670804</v>
      </c>
      <c r="AN499">
        <v>1.00000003305618</v>
      </c>
    </row>
    <row r="500" spans="1:40" x14ac:dyDescent="0.25">
      <c r="A500" t="str">
        <f>"20190304155606816"</f>
        <v>20190304155606816</v>
      </c>
      <c r="B500" t="str">
        <f>"1551686166805402"</f>
        <v>1551686166805402</v>
      </c>
      <c r="C500" t="s">
        <v>40</v>
      </c>
      <c r="D500">
        <v>4.6077269999999997</v>
      </c>
      <c r="E500">
        <v>0.5560136</v>
      </c>
      <c r="F500" t="s">
        <v>41</v>
      </c>
      <c r="G500">
        <v>-371.63619999999997</v>
      </c>
      <c r="H500" s="1">
        <v>-4.7994709999999901E-6</v>
      </c>
      <c r="I500">
        <v>362.68709999999999</v>
      </c>
      <c r="J500">
        <v>-383.03579999999999</v>
      </c>
      <c r="K500">
        <v>1.1099479999999999</v>
      </c>
      <c r="L500">
        <v>367.15390000000002</v>
      </c>
      <c r="M500">
        <v>0.99992139999999996</v>
      </c>
      <c r="N500">
        <v>-1.174186E-2</v>
      </c>
      <c r="O500">
        <v>-4.401365E-3</v>
      </c>
      <c r="P500">
        <v>0.98412160000000004</v>
      </c>
      <c r="Q500">
        <v>0.16419249999999999</v>
      </c>
      <c r="R500">
        <v>6.7420540000000001E-2</v>
      </c>
      <c r="S500">
        <v>3.1790769999999999</v>
      </c>
      <c r="T500">
        <v>-0.29347319999999999</v>
      </c>
      <c r="U500">
        <v>-1.181702</v>
      </c>
      <c r="V500">
        <v>-7.1764419999999995E-2</v>
      </c>
      <c r="W500">
        <v>0.17572739999999901</v>
      </c>
      <c r="X500">
        <v>0.98181960000000001</v>
      </c>
      <c r="Y500">
        <v>0.34284199999999998</v>
      </c>
      <c r="Z500">
        <v>-1.7023119999999999E-2</v>
      </c>
      <c r="AA500">
        <v>0.93923880000000004</v>
      </c>
      <c r="AB500">
        <v>31</v>
      </c>
      <c r="AC500">
        <v>11.3996</v>
      </c>
      <c r="AD500">
        <v>-1.1099527994709999</v>
      </c>
      <c r="AE500">
        <v>-4.4668000000000303</v>
      </c>
      <c r="AF500">
        <v>4.3805772310577504</v>
      </c>
      <c r="AG500">
        <v>-1.1099527994709999</v>
      </c>
      <c r="AH500">
        <v>11.326066460265601</v>
      </c>
      <c r="AI500">
        <v>95.222414983767493</v>
      </c>
      <c r="AJ500">
        <v>68.855049039643404</v>
      </c>
      <c r="AK500">
        <v>12.1943115245047</v>
      </c>
      <c r="AL500">
        <v>79.8790088254636</v>
      </c>
      <c r="AM500">
        <v>94.180502370950506</v>
      </c>
      <c r="AN500">
        <v>0.99999998901642795</v>
      </c>
    </row>
    <row r="501" spans="1:40" x14ac:dyDescent="0.25">
      <c r="A501" t="str">
        <f>"20190304155606829"</f>
        <v>20190304155606829</v>
      </c>
      <c r="B501" t="str">
        <f>"1551686166824922"</f>
        <v>1551686166824922</v>
      </c>
      <c r="C501" t="s">
        <v>40</v>
      </c>
      <c r="D501">
        <v>4.4022189999999997</v>
      </c>
      <c r="E501">
        <v>0.55943880000000001</v>
      </c>
      <c r="F501" t="s">
        <v>41</v>
      </c>
      <c r="G501">
        <v>-343.68119999999999</v>
      </c>
      <c r="H501" s="1">
        <v>-3.9843579999999996E-6</v>
      </c>
      <c r="I501">
        <v>363.88319999999999</v>
      </c>
      <c r="J501">
        <v>-382.84539999999998</v>
      </c>
      <c r="K501">
        <v>1.1099479999999999</v>
      </c>
      <c r="L501">
        <v>367.15309999999999</v>
      </c>
      <c r="M501">
        <v>0.99992159999999997</v>
      </c>
      <c r="N501">
        <v>-1.174014E-2</v>
      </c>
      <c r="O501">
        <v>-4.3697620000000001E-3</v>
      </c>
      <c r="P501">
        <v>0.98414990000000002</v>
      </c>
      <c r="Q501">
        <v>0.1640134</v>
      </c>
      <c r="R501">
        <v>6.7443359999999994E-2</v>
      </c>
      <c r="S501">
        <v>3.080444</v>
      </c>
      <c r="T501">
        <v>-8.6880559999999996E-2</v>
      </c>
      <c r="U501">
        <v>-0.25601200000000002</v>
      </c>
      <c r="V501">
        <v>-7.1756470000000003E-2</v>
      </c>
      <c r="W501">
        <v>0.17554710000000001</v>
      </c>
      <c r="X501">
        <v>0.98185239999999996</v>
      </c>
      <c r="Y501">
        <v>7.842404E-2</v>
      </c>
      <c r="Z501">
        <v>-1.4933119999999999E-3</v>
      </c>
      <c r="AA501">
        <v>0.996919</v>
      </c>
      <c r="AB501">
        <v>31</v>
      </c>
      <c r="AC501">
        <v>39.164200000000001</v>
      </c>
      <c r="AD501">
        <v>-1.1099519843579999</v>
      </c>
      <c r="AE501">
        <v>-3.2698999999999998</v>
      </c>
      <c r="AF501">
        <v>3.0962490333058299</v>
      </c>
      <c r="AG501">
        <v>-1.1099519843579999</v>
      </c>
      <c r="AH501">
        <v>39.146890141220098</v>
      </c>
      <c r="AI501">
        <v>91.619048133732406</v>
      </c>
      <c r="AJ501">
        <v>85.477713353087296</v>
      </c>
      <c r="AK501">
        <v>39.2848286137611</v>
      </c>
      <c r="AL501">
        <v>79.889502033382499</v>
      </c>
      <c r="AM501">
        <v>94.179901755628293</v>
      </c>
      <c r="AN501">
        <v>0.999999955345514</v>
      </c>
    </row>
    <row r="502" spans="1:40" x14ac:dyDescent="0.25">
      <c r="A502" t="str">
        <f>"20190304155606842"</f>
        <v>20190304155606842</v>
      </c>
      <c r="B502" t="str">
        <f>"1551686166835658"</f>
        <v>1551686166835658</v>
      </c>
      <c r="C502" t="s">
        <v>40</v>
      </c>
      <c r="D502">
        <v>4.4987709999999996</v>
      </c>
      <c r="E502">
        <v>0.55976590000000004</v>
      </c>
      <c r="F502" t="s">
        <v>44</v>
      </c>
      <c r="G502">
        <v>-276.64069999999998</v>
      </c>
      <c r="H502">
        <v>-0.05</v>
      </c>
      <c r="I502">
        <v>357.3999</v>
      </c>
      <c r="J502">
        <v>-382.678</v>
      </c>
      <c r="K502">
        <v>1.10995</v>
      </c>
      <c r="L502">
        <v>367.15230000000003</v>
      </c>
      <c r="M502">
        <v>0.99992179999999997</v>
      </c>
      <c r="N502">
        <v>-1.173868E-2</v>
      </c>
      <c r="O502">
        <v>-4.3416210000000004E-3</v>
      </c>
      <c r="P502">
        <v>0.98419330000000005</v>
      </c>
      <c r="Q502">
        <v>0.16365360000000001</v>
      </c>
      <c r="R502">
        <v>6.7684289999999994E-2</v>
      </c>
      <c r="S502">
        <v>3.073242</v>
      </c>
      <c r="T502">
        <v>-3.3565400000000002E-2</v>
      </c>
      <c r="U502">
        <v>-0.28222659999999899</v>
      </c>
      <c r="V502">
        <v>-7.1969980000000003E-2</v>
      </c>
      <c r="W502">
        <v>0.1751866</v>
      </c>
      <c r="X502">
        <v>0.98190120000000003</v>
      </c>
      <c r="Y502">
        <v>8.7113380000000004E-2</v>
      </c>
      <c r="Z502">
        <v>-9.906737000000001E-4</v>
      </c>
      <c r="AA502">
        <v>0.99619789999999997</v>
      </c>
      <c r="AB502">
        <v>31</v>
      </c>
      <c r="AC502">
        <v>106.0373</v>
      </c>
      <c r="AD502">
        <v>-1.15995</v>
      </c>
      <c r="AE502">
        <v>-9.7524000000000193</v>
      </c>
      <c r="AF502">
        <v>9.2908001963956099</v>
      </c>
      <c r="AG502">
        <v>-1.15995</v>
      </c>
      <c r="AH502">
        <v>106.06605884845401</v>
      </c>
      <c r="AI502">
        <v>90.624178094189801</v>
      </c>
      <c r="AJ502">
        <v>84.993983847785302</v>
      </c>
      <c r="AK502">
        <v>106.47851093969901</v>
      </c>
      <c r="AL502">
        <v>79.910482691944793</v>
      </c>
      <c r="AM502">
        <v>94.192087083347701</v>
      </c>
      <c r="AN502">
        <v>0.99999999470110001</v>
      </c>
    </row>
    <row r="503" spans="1:40" x14ac:dyDescent="0.25">
      <c r="A503" t="str">
        <f>"20190304155606854"</f>
        <v>20190304155606854</v>
      </c>
      <c r="B503" t="str">
        <f>"1551686166845418"</f>
        <v>1551686166845418</v>
      </c>
      <c r="C503" t="s">
        <v>40</v>
      </c>
      <c r="D503">
        <v>4.5188990000000002</v>
      </c>
      <c r="E503">
        <v>0.55982290000000001</v>
      </c>
      <c r="F503" t="s">
        <v>44</v>
      </c>
      <c r="G503">
        <v>-280.80340000000001</v>
      </c>
      <c r="H503">
        <v>-0.05</v>
      </c>
      <c r="I503">
        <v>357.7199</v>
      </c>
      <c r="J503">
        <v>-382.50229999999999</v>
      </c>
      <c r="K503">
        <v>1.10995</v>
      </c>
      <c r="L503">
        <v>367.15159999999997</v>
      </c>
      <c r="M503">
        <v>0.99992190000000003</v>
      </c>
      <c r="N503">
        <v>-1.173721E-2</v>
      </c>
      <c r="O503">
        <v>-4.312766E-3</v>
      </c>
      <c r="P503">
        <v>0.98423629999999995</v>
      </c>
      <c r="Q503">
        <v>0.16338810000000001</v>
      </c>
      <c r="R503">
        <v>6.7700090000000004E-2</v>
      </c>
      <c r="S503">
        <v>3.0735779999999999</v>
      </c>
      <c r="T503">
        <v>-3.4995909999999998E-2</v>
      </c>
      <c r="U503">
        <v>-0.28457640000000001</v>
      </c>
      <c r="V503">
        <v>-7.1957060000000003E-2</v>
      </c>
      <c r="W503">
        <v>0.17491989999999999</v>
      </c>
      <c r="X503">
        <v>0.98194970000000004</v>
      </c>
      <c r="Y503">
        <v>8.7886599999999995E-2</v>
      </c>
      <c r="Z503">
        <v>-1.017701E-3</v>
      </c>
      <c r="AA503">
        <v>0.99612999999999996</v>
      </c>
      <c r="AB503">
        <v>31</v>
      </c>
      <c r="AC503">
        <v>101.698899999999</v>
      </c>
      <c r="AD503">
        <v>-1.15995</v>
      </c>
      <c r="AE503">
        <v>-9.4316999999999709</v>
      </c>
      <c r="AF503">
        <v>8.9918187608794895</v>
      </c>
      <c r="AG503">
        <v>-1.15995</v>
      </c>
      <c r="AH503">
        <v>101.72551289624199</v>
      </c>
      <c r="AI503">
        <v>90.650763658217798</v>
      </c>
      <c r="AJ503">
        <v>84.948585493568899</v>
      </c>
      <c r="AK503">
        <v>102.128733775733</v>
      </c>
      <c r="AL503">
        <v>79.926003198417305</v>
      </c>
      <c r="AM503">
        <v>94.191130926119698</v>
      </c>
      <c r="AN503">
        <v>1.0000000016149699</v>
      </c>
    </row>
    <row r="504" spans="1:40" x14ac:dyDescent="0.25">
      <c r="A504" t="str">
        <f>"20190304155606870"</f>
        <v>20190304155606870</v>
      </c>
      <c r="B504" t="str">
        <f>"1551686166864938"</f>
        <v>1551686166864938</v>
      </c>
      <c r="C504" t="s">
        <v>40</v>
      </c>
      <c r="D504">
        <v>4.5544339999999996</v>
      </c>
      <c r="E504">
        <v>0.55881000000000003</v>
      </c>
      <c r="F504" t="s">
        <v>41</v>
      </c>
      <c r="G504">
        <v>-272.67489999999998</v>
      </c>
      <c r="H504">
        <v>7.9986160000000001E-2</v>
      </c>
      <c r="I504">
        <v>356.95839999999998</v>
      </c>
      <c r="J504">
        <v>-382.27879999999999</v>
      </c>
      <c r="K504">
        <v>1.109942</v>
      </c>
      <c r="L504">
        <v>367.15069999999997</v>
      </c>
      <c r="M504">
        <v>0.99992190000000003</v>
      </c>
      <c r="N504">
        <v>-1.1735489999999999E-2</v>
      </c>
      <c r="O504">
        <v>-4.2769990000000001E-3</v>
      </c>
      <c r="P504">
        <v>0.98430810000000002</v>
      </c>
      <c r="Q504">
        <v>0.16275970000000001</v>
      </c>
      <c r="R504">
        <v>6.8167340000000007E-2</v>
      </c>
      <c r="S504">
        <v>3.0724490000000002</v>
      </c>
      <c r="T504">
        <v>-2.8813479999999999E-2</v>
      </c>
      <c r="U504">
        <v>-0.28515629999999997</v>
      </c>
      <c r="V504">
        <v>-7.2389460000000003E-2</v>
      </c>
      <c r="W504">
        <v>0.17429129999999901</v>
      </c>
      <c r="X504">
        <v>0.98202970000000001</v>
      </c>
      <c r="Y504">
        <v>8.8145050000000003E-2</v>
      </c>
      <c r="Z504">
        <v>-9.4085169999999995E-4</v>
      </c>
      <c r="AA504">
        <v>0.99610719999999997</v>
      </c>
      <c r="AB504">
        <v>31</v>
      </c>
      <c r="AC504">
        <v>109.6039</v>
      </c>
      <c r="AD504">
        <v>-1.02995584</v>
      </c>
      <c r="AE504">
        <v>-10.1922999999999</v>
      </c>
      <c r="AF504">
        <v>9.7225474791938193</v>
      </c>
      <c r="AG504">
        <v>-1.02995584</v>
      </c>
      <c r="AH504">
        <v>109.63689436285701</v>
      </c>
      <c r="AI504">
        <v>90.536130923249502</v>
      </c>
      <c r="AJ504">
        <v>84.932294111269499</v>
      </c>
      <c r="AK504">
        <v>110.071964387167</v>
      </c>
      <c r="AL504">
        <v>79.9625813205394</v>
      </c>
      <c r="AM504">
        <v>94.215883233100996</v>
      </c>
      <c r="AN504">
        <v>1.00000001142843</v>
      </c>
    </row>
    <row r="505" spans="1:40" x14ac:dyDescent="0.25">
      <c r="A505" t="str">
        <f>"20190304155606881"</f>
        <v>20190304155606881</v>
      </c>
      <c r="B505" t="str">
        <f>"1551686166875674"</f>
        <v>1551686166875674</v>
      </c>
      <c r="C505" t="s">
        <v>40</v>
      </c>
      <c r="D505">
        <v>4.5343359999999997</v>
      </c>
      <c r="E505">
        <v>0.55839850000000002</v>
      </c>
      <c r="F505" t="s">
        <v>45</v>
      </c>
      <c r="G505">
        <v>-194.4462</v>
      </c>
      <c r="H505" s="1">
        <v>-1.5930390000000001E-6</v>
      </c>
      <c r="I505">
        <v>350.29539999999997</v>
      </c>
      <c r="J505">
        <v>-382.12029999999999</v>
      </c>
      <c r="K505">
        <v>1.1099410000000001</v>
      </c>
      <c r="L505">
        <v>367.15010000000001</v>
      </c>
      <c r="M505">
        <v>0.99992219999999998</v>
      </c>
      <c r="N505">
        <v>-1.173444E-2</v>
      </c>
      <c r="O505">
        <v>-4.2523309999999998E-3</v>
      </c>
      <c r="P505">
        <v>0.98432750000000002</v>
      </c>
      <c r="Q505">
        <v>0.16256309999999999</v>
      </c>
      <c r="R505">
        <v>6.8360219999999999E-2</v>
      </c>
      <c r="S505">
        <v>3.0699160000000001</v>
      </c>
      <c r="T505">
        <v>-1.814079E-2</v>
      </c>
      <c r="U505">
        <v>-0.27548220000000001</v>
      </c>
      <c r="V505">
        <v>-7.2557789999999997E-2</v>
      </c>
      <c r="W505">
        <v>0.1740941</v>
      </c>
      <c r="X505">
        <v>0.98205229999999999</v>
      </c>
      <c r="Y505">
        <v>8.5136149999999994E-2</v>
      </c>
      <c r="Z505">
        <v>-7.7630880000000002E-4</v>
      </c>
      <c r="AA505">
        <v>0.99636899999999995</v>
      </c>
      <c r="AB505">
        <v>31</v>
      </c>
      <c r="AC505">
        <v>187.67410000000001</v>
      </c>
      <c r="AD505">
        <v>-1.1099425930389999</v>
      </c>
      <c r="AE505">
        <v>-16.854700000000001</v>
      </c>
      <c r="AF505">
        <v>16.0558832166613</v>
      </c>
      <c r="AG505">
        <v>-1.1099425930389999</v>
      </c>
      <c r="AH505">
        <v>187.737565554014</v>
      </c>
      <c r="AI505">
        <v>90.337508309202903</v>
      </c>
      <c r="AJ505">
        <v>85.111786623656997</v>
      </c>
      <c r="AK505">
        <v>188.426157628326</v>
      </c>
      <c r="AL505">
        <v>79.974055903375501</v>
      </c>
      <c r="AM505">
        <v>94.225554226743597</v>
      </c>
      <c r="AN505">
        <v>1.0000000542398899</v>
      </c>
    </row>
    <row r="506" spans="1:40" x14ac:dyDescent="0.25">
      <c r="A506" t="str">
        <f>"20190304155606894"</f>
        <v>20190304155606894</v>
      </c>
      <c r="B506" t="str">
        <f>"1551686166885434"</f>
        <v>1551686166885434</v>
      </c>
      <c r="C506" t="s">
        <v>40</v>
      </c>
      <c r="D506">
        <v>4.5361500000000001</v>
      </c>
      <c r="E506">
        <v>0.55816829999999995</v>
      </c>
      <c r="F506" t="s">
        <v>45</v>
      </c>
      <c r="G506">
        <v>-194.18989999999999</v>
      </c>
      <c r="H506" s="1">
        <v>-1.6608470000000001E-6</v>
      </c>
      <c r="I506">
        <v>350.52510000000001</v>
      </c>
      <c r="J506">
        <v>-381.9563</v>
      </c>
      <c r="K506">
        <v>1.1099399999999999</v>
      </c>
      <c r="L506">
        <v>367.14940000000001</v>
      </c>
      <c r="M506">
        <v>0.99992239999999999</v>
      </c>
      <c r="N506">
        <v>-1.173341E-2</v>
      </c>
      <c r="O506">
        <v>-4.2268280000000002E-3</v>
      </c>
      <c r="P506">
        <v>0.98437129999999995</v>
      </c>
      <c r="Q506">
        <v>0.16221830000000001</v>
      </c>
      <c r="R506">
        <v>6.8547670000000005E-2</v>
      </c>
      <c r="S506">
        <v>3.0695800000000002</v>
      </c>
      <c r="T506">
        <v>-1.8129349999999999E-2</v>
      </c>
      <c r="U506">
        <v>-0.27154539999999999</v>
      </c>
      <c r="V506">
        <v>-7.2719649999999997E-2</v>
      </c>
      <c r="W506">
        <v>0.17374890000000001</v>
      </c>
      <c r="X506">
        <v>0.98210140000000001</v>
      </c>
      <c r="Y506">
        <v>8.3903499999999895E-2</v>
      </c>
      <c r="Z506">
        <v>-7.6510259999999905E-4</v>
      </c>
      <c r="AA506">
        <v>0.99647359999999896</v>
      </c>
      <c r="AB506">
        <v>31</v>
      </c>
      <c r="AC506">
        <v>187.7664</v>
      </c>
      <c r="AD506">
        <v>-1.1099416608470001</v>
      </c>
      <c r="AE506">
        <v>-16.624300000000002</v>
      </c>
      <c r="AF506">
        <v>15.829891848131799</v>
      </c>
      <c r="AG506">
        <v>-1.1099416608470001</v>
      </c>
      <c r="AH506">
        <v>187.828483012248</v>
      </c>
      <c r="AI506">
        <v>90.337380052018503</v>
      </c>
      <c r="AJ506">
        <v>85.182585265746198</v>
      </c>
      <c r="AK506">
        <v>188.497629897823</v>
      </c>
      <c r="AL506">
        <v>79.994139893603901</v>
      </c>
      <c r="AM506">
        <v>94.234735269698106</v>
      </c>
      <c r="AN506">
        <v>0.99999999381464599</v>
      </c>
    </row>
    <row r="507" spans="1:40" x14ac:dyDescent="0.25">
      <c r="A507" t="str">
        <f>"20190304155606903"</f>
        <v>20190304155606903</v>
      </c>
      <c r="B507" t="str">
        <f>"1551686166895194"</f>
        <v>1551686166895194</v>
      </c>
      <c r="C507" t="s">
        <v>40</v>
      </c>
      <c r="D507">
        <v>4.5924870000000002</v>
      </c>
      <c r="E507">
        <v>0.55876309999999996</v>
      </c>
      <c r="F507" t="s">
        <v>44</v>
      </c>
      <c r="G507">
        <v>-138.78739999999999</v>
      </c>
      <c r="H507">
        <v>-0.05</v>
      </c>
      <c r="I507">
        <v>345.85230000000001</v>
      </c>
      <c r="J507">
        <v>-381.81180000000001</v>
      </c>
      <c r="K507">
        <v>1.1099330000000001</v>
      </c>
      <c r="L507">
        <v>367.14879999999999</v>
      </c>
      <c r="M507">
        <v>0.99992250000000005</v>
      </c>
      <c r="N507">
        <v>-1.1732609999999999E-2</v>
      </c>
      <c r="O507">
        <v>-4.2050220000000001E-3</v>
      </c>
      <c r="P507">
        <v>0.98436679999999999</v>
      </c>
      <c r="Q507">
        <v>0.1621175</v>
      </c>
      <c r="R507">
        <v>6.8850209999999995E-2</v>
      </c>
      <c r="S507">
        <v>3.0687869999999999</v>
      </c>
      <c r="T507">
        <v>-1.4638419999999999E-2</v>
      </c>
      <c r="U507">
        <v>-0.26876830000000002</v>
      </c>
      <c r="V507">
        <v>-7.3000560000000006E-2</v>
      </c>
      <c r="W507">
        <v>0.173647</v>
      </c>
      <c r="X507">
        <v>0.98209860000000004</v>
      </c>
      <c r="Y507">
        <v>8.3054130000000004E-2</v>
      </c>
      <c r="Z507">
        <v>-7.1511380000000002E-4</v>
      </c>
      <c r="AA507">
        <v>0.99654480000000001</v>
      </c>
      <c r="AB507">
        <v>31</v>
      </c>
      <c r="AC507">
        <v>243.02440000000001</v>
      </c>
      <c r="AD507">
        <v>-1.1599330000000001</v>
      </c>
      <c r="AE507">
        <v>-21.296499999999899</v>
      </c>
      <c r="AF507">
        <v>20.2738602399039</v>
      </c>
      <c r="AG507">
        <v>-1.1599330000000001</v>
      </c>
      <c r="AH507">
        <v>243.10631357638701</v>
      </c>
      <c r="AI507">
        <v>90.272427567365796</v>
      </c>
      <c r="AJ507">
        <v>85.232847296826606</v>
      </c>
      <c r="AK507">
        <v>243.9529761128</v>
      </c>
      <c r="AL507">
        <v>80.000068629864998</v>
      </c>
      <c r="AM507">
        <v>94.251045924786794</v>
      </c>
      <c r="AN507">
        <v>1.00000001124563</v>
      </c>
    </row>
    <row r="508" spans="1:40" x14ac:dyDescent="0.25">
      <c r="A508" t="str">
        <f>"20190304155606915"</f>
        <v>20190304155606915</v>
      </c>
      <c r="B508" t="str">
        <f>"1551686166905930"</f>
        <v>1551686166905930</v>
      </c>
      <c r="C508" t="s">
        <v>40</v>
      </c>
      <c r="D508">
        <v>4.5539449999999997</v>
      </c>
      <c r="E508">
        <v>0.55869840000000004</v>
      </c>
      <c r="F508" t="s">
        <v>44</v>
      </c>
      <c r="G508">
        <v>-198.00800000000001</v>
      </c>
      <c r="H508">
        <v>-0.05</v>
      </c>
      <c r="I508">
        <v>350.81040000000002</v>
      </c>
      <c r="J508">
        <v>-381.65660000000003</v>
      </c>
      <c r="K508">
        <v>1.1099300000000001</v>
      </c>
      <c r="L508">
        <v>367.14819999999997</v>
      </c>
      <c r="M508">
        <v>0.99992250000000005</v>
      </c>
      <c r="N508">
        <v>-1.173182E-2</v>
      </c>
      <c r="O508">
        <v>-4.1822639999999998E-3</v>
      </c>
      <c r="P508">
        <v>0.98435249999999996</v>
      </c>
      <c r="Q508">
        <v>0.16211410000000001</v>
      </c>
      <c r="R508">
        <v>6.9057629999999995E-2</v>
      </c>
      <c r="S508">
        <v>3.0699459999999998</v>
      </c>
      <c r="T508">
        <v>-1.9373540000000002E-2</v>
      </c>
      <c r="U508">
        <v>-0.27288820000000003</v>
      </c>
      <c r="V508">
        <v>-7.3185109999999998E-2</v>
      </c>
      <c r="W508">
        <v>0.17364280000000001</v>
      </c>
      <c r="X508">
        <v>0.9820856</v>
      </c>
      <c r="Y508">
        <v>8.4369490000000005E-2</v>
      </c>
      <c r="Z508">
        <v>-7.8423199999999897E-4</v>
      </c>
      <c r="AA508">
        <v>0.99643419999999905</v>
      </c>
      <c r="AB508">
        <v>31</v>
      </c>
      <c r="AC508">
        <v>183.64859999999999</v>
      </c>
      <c r="AD508">
        <v>-1.1599299999999999</v>
      </c>
      <c r="AE508">
        <v>-16.337799999999898</v>
      </c>
      <c r="AF508">
        <v>15.5689211530949</v>
      </c>
      <c r="AG508">
        <v>-1.1599299999999999</v>
      </c>
      <c r="AH508">
        <v>183.70805635427001</v>
      </c>
      <c r="AI508">
        <v>90.360467777594096</v>
      </c>
      <c r="AJ508">
        <v>85.155862816386303</v>
      </c>
      <c r="AK508">
        <v>184.370243566959</v>
      </c>
      <c r="AL508">
        <v>80.000312911315703</v>
      </c>
      <c r="AM508">
        <v>94.261809495771303</v>
      </c>
      <c r="AN508">
        <v>1.0000000040224499</v>
      </c>
    </row>
    <row r="509" spans="1:40" x14ac:dyDescent="0.25">
      <c r="A509" t="str">
        <f>"20190304155606927"</f>
        <v>20190304155606927</v>
      </c>
      <c r="B509" t="str">
        <f>"1551686166925450"</f>
        <v>1551686166925450</v>
      </c>
      <c r="C509" t="s">
        <v>40</v>
      </c>
      <c r="D509">
        <v>4.5587910000000003</v>
      </c>
      <c r="E509">
        <v>0.557892099999999</v>
      </c>
      <c r="F509" t="s">
        <v>41</v>
      </c>
      <c r="G509">
        <v>-176.6848</v>
      </c>
      <c r="H509">
        <v>7.9986779999999993E-2</v>
      </c>
      <c r="I509">
        <v>348.99590000000001</v>
      </c>
      <c r="J509">
        <v>-381.4889</v>
      </c>
      <c r="K509">
        <v>1.1099300000000001</v>
      </c>
      <c r="L509">
        <v>367.14749999999998</v>
      </c>
      <c r="M509">
        <v>0.99992259999999999</v>
      </c>
      <c r="N509">
        <v>-1.173106E-2</v>
      </c>
      <c r="O509">
        <v>-4.1589110000000004E-3</v>
      </c>
      <c r="P509">
        <v>0.98436849999999998</v>
      </c>
      <c r="Q509">
        <v>0.16182679999999999</v>
      </c>
      <c r="R509">
        <v>6.9503969999999998E-2</v>
      </c>
      <c r="S509">
        <v>3.0693359999999998</v>
      </c>
      <c r="T509">
        <v>-1.542282E-2</v>
      </c>
      <c r="U509">
        <v>-0.27182009999999901</v>
      </c>
      <c r="V509">
        <v>-7.3608000000000007E-2</v>
      </c>
      <c r="W509">
        <v>0.17335539999999999</v>
      </c>
      <c r="X509">
        <v>0.9821048</v>
      </c>
      <c r="Y509">
        <v>8.4067459999999997E-2</v>
      </c>
      <c r="Z509">
        <v>-7.3272979999999897E-4</v>
      </c>
      <c r="AA509">
        <v>0.99645980000000001</v>
      </c>
      <c r="AB509">
        <v>31</v>
      </c>
      <c r="AC509">
        <v>204.80410000000001</v>
      </c>
      <c r="AD509">
        <v>-1.0299432199999901</v>
      </c>
      <c r="AE509">
        <v>-18.151599999999899</v>
      </c>
      <c r="AF509">
        <v>17.299188322738601</v>
      </c>
      <c r="AG509">
        <v>-1.0299432199999901</v>
      </c>
      <c r="AH509">
        <v>204.872683773418</v>
      </c>
      <c r="AI509">
        <v>90.287015586326604</v>
      </c>
      <c r="AJ509">
        <v>85.173466566170703</v>
      </c>
      <c r="AK509">
        <v>205.60432693935499</v>
      </c>
      <c r="AL509">
        <v>80.017033614502907</v>
      </c>
      <c r="AM509">
        <v>94.286260766958904</v>
      </c>
      <c r="AN509">
        <v>1.00000003527809</v>
      </c>
    </row>
    <row r="510" spans="1:40" x14ac:dyDescent="0.25">
      <c r="A510" t="str">
        <f>"20190304155606939"</f>
        <v>20190304155606939</v>
      </c>
      <c r="B510" t="str">
        <f>"1551686166935210"</f>
        <v>1551686166935210</v>
      </c>
      <c r="C510" t="s">
        <v>40</v>
      </c>
      <c r="D510">
        <v>4.695506</v>
      </c>
      <c r="E510">
        <v>0.55728129999999998</v>
      </c>
      <c r="F510" t="s">
        <v>51</v>
      </c>
      <c r="G510">
        <v>290.75619999999998</v>
      </c>
      <c r="H510">
        <v>-0.1</v>
      </c>
      <c r="I510">
        <v>309.34339999999997</v>
      </c>
      <c r="J510">
        <v>-381.33620000000002</v>
      </c>
      <c r="K510">
        <v>1.1099330000000001</v>
      </c>
      <c r="L510">
        <v>367.14690000000002</v>
      </c>
      <c r="M510">
        <v>0.9999228</v>
      </c>
      <c r="N510">
        <v>-1.173049E-2</v>
      </c>
      <c r="O510">
        <v>-4.1384250000000003E-3</v>
      </c>
      <c r="P510">
        <v>0.98434549999999998</v>
      </c>
      <c r="Q510">
        <v>0.1617722</v>
      </c>
      <c r="R510">
        <v>6.9957430000000001E-2</v>
      </c>
      <c r="S510">
        <v>3.0671390000000001</v>
      </c>
      <c r="T510">
        <v>-5.5203439999999999E-3</v>
      </c>
      <c r="U510">
        <v>-0.26373289999999999</v>
      </c>
      <c r="V510">
        <v>-7.4040990000000001E-2</v>
      </c>
      <c r="W510">
        <v>0.1733005</v>
      </c>
      <c r="X510">
        <v>0.98208189999999995</v>
      </c>
      <c r="Y510">
        <v>8.154546E-2</v>
      </c>
      <c r="Z510">
        <v>-5.9345939999999999E-4</v>
      </c>
      <c r="AA510">
        <v>0.99666949999999999</v>
      </c>
      <c r="AB510">
        <v>31</v>
      </c>
      <c r="AC510">
        <v>672.0924</v>
      </c>
      <c r="AD510">
        <v>-1.2099329999999999</v>
      </c>
      <c r="AE510">
        <v>-57.8035</v>
      </c>
      <c r="AF510">
        <v>55.021233025439898</v>
      </c>
      <c r="AG510">
        <v>-1.2099329999999999</v>
      </c>
      <c r="AH510">
        <v>672.32371280862105</v>
      </c>
      <c r="AI510">
        <v>90.102767453284997</v>
      </c>
      <c r="AJ510">
        <v>85.321487632234195</v>
      </c>
      <c r="AK510">
        <v>674.57243853145496</v>
      </c>
      <c r="AL510">
        <v>80.020227087682301</v>
      </c>
      <c r="AM510">
        <v>94.311479529252395</v>
      </c>
      <c r="AN510">
        <v>0.99999999490401903</v>
      </c>
    </row>
    <row r="511" spans="1:40" x14ac:dyDescent="0.25">
      <c r="A511" t="str">
        <f>"20190304155606949"</f>
        <v>20190304155606949</v>
      </c>
      <c r="B511" t="str">
        <f>"1551686166944971"</f>
        <v>1551686166944971</v>
      </c>
      <c r="C511" t="s">
        <v>40</v>
      </c>
      <c r="D511">
        <v>4.532076</v>
      </c>
      <c r="E511">
        <v>0.55706679999999997</v>
      </c>
      <c r="F511" t="s">
        <v>46</v>
      </c>
      <c r="G511">
        <v>0</v>
      </c>
      <c r="H511">
        <v>0</v>
      </c>
      <c r="I511">
        <v>0</v>
      </c>
      <c r="J511">
        <v>-381.17520000000002</v>
      </c>
      <c r="K511">
        <v>1.1099330000000001</v>
      </c>
      <c r="L511">
        <v>367.1463</v>
      </c>
      <c r="M511">
        <v>0.9999228</v>
      </c>
      <c r="N511">
        <v>-1.172993E-2</v>
      </c>
      <c r="O511">
        <v>-4.117346E-3</v>
      </c>
      <c r="P511">
        <v>0.98426009999999997</v>
      </c>
      <c r="Q511">
        <v>0.1621196</v>
      </c>
      <c r="R511">
        <v>7.035276E-2</v>
      </c>
      <c r="S511">
        <v>3.0661320000000001</v>
      </c>
      <c r="T511">
        <v>-9.329319E-4</v>
      </c>
      <c r="U511">
        <v>-0.25729370000000001</v>
      </c>
      <c r="V511">
        <v>-7.4414279999999999E-2</v>
      </c>
      <c r="W511">
        <v>0.17364660000000001</v>
      </c>
      <c r="X511">
        <v>0.98199250000000005</v>
      </c>
      <c r="Y511">
        <v>7.9517069999999995E-2</v>
      </c>
      <c r="Z511">
        <v>-5.2624010000000001E-4</v>
      </c>
      <c r="AA511">
        <v>0.99683339999999998</v>
      </c>
      <c r="AB511">
        <v>31</v>
      </c>
      <c r="AC511">
        <v>3.0661320000000001</v>
      </c>
      <c r="AD511">
        <v>-9.329319E-4</v>
      </c>
      <c r="AE511">
        <v>-0.25729370000000001</v>
      </c>
      <c r="AF511">
        <v>0.244666302339175</v>
      </c>
      <c r="AG511">
        <v>-9.329319E-4</v>
      </c>
      <c r="AH511">
        <v>3.0671651649788498</v>
      </c>
      <c r="AI511">
        <v>90.017372328402701</v>
      </c>
      <c r="AJ511">
        <v>85.439200359704003</v>
      </c>
      <c r="AK511">
        <v>3.0769082890333199</v>
      </c>
      <c r="AL511">
        <v>80.000091266891701</v>
      </c>
      <c r="AM511">
        <v>94.333526973241604</v>
      </c>
      <c r="AN511">
        <v>0.99999994840786299</v>
      </c>
    </row>
    <row r="512" spans="1:40" x14ac:dyDescent="0.25">
      <c r="A512" t="str">
        <f>"20190304155606960"</f>
        <v>20190304155606960</v>
      </c>
      <c r="B512" t="str">
        <f>"1551686166955706"</f>
        <v>1551686166955706</v>
      </c>
      <c r="C512" t="s">
        <v>40</v>
      </c>
      <c r="D512">
        <v>4.5388869999999999</v>
      </c>
      <c r="E512">
        <v>0.55705719999999903</v>
      </c>
      <c r="F512" t="s">
        <v>46</v>
      </c>
      <c r="G512">
        <v>0</v>
      </c>
      <c r="H512">
        <v>0</v>
      </c>
      <c r="I512">
        <v>0</v>
      </c>
      <c r="J512">
        <v>-381.02269999999999</v>
      </c>
      <c r="K512">
        <v>1.109934</v>
      </c>
      <c r="L512">
        <v>367.14569999999998</v>
      </c>
      <c r="M512">
        <v>0.99992289999999995</v>
      </c>
      <c r="N512">
        <v>-1.1729659999999999E-2</v>
      </c>
      <c r="O512">
        <v>-4.0990089999999998E-3</v>
      </c>
      <c r="P512">
        <v>0.98419109999999999</v>
      </c>
      <c r="Q512">
        <v>0.16244159999999999</v>
      </c>
      <c r="R512">
        <v>7.0575620000000006E-2</v>
      </c>
      <c r="S512">
        <v>3.0654599999999999</v>
      </c>
      <c r="T512">
        <v>4.4195650000000003E-3</v>
      </c>
      <c r="U512">
        <v>-0.25424190000000002</v>
      </c>
      <c r="V512">
        <v>-7.4618359999999995E-2</v>
      </c>
      <c r="W512">
        <v>0.17396779999999901</v>
      </c>
      <c r="X512">
        <v>0.98192020000000002</v>
      </c>
      <c r="Y512">
        <v>7.8568799999999994E-2</v>
      </c>
      <c r="Z512">
        <v>-4.589563E-4</v>
      </c>
      <c r="AA512">
        <v>0.99690860000000003</v>
      </c>
      <c r="AB512">
        <v>31</v>
      </c>
      <c r="AC512">
        <v>3.0654599999999999</v>
      </c>
      <c r="AD512">
        <v>4.4195650000000003E-3</v>
      </c>
      <c r="AE512">
        <v>-0.25424190000000002</v>
      </c>
      <c r="AF512">
        <v>0.241673053512728</v>
      </c>
      <c r="AG512">
        <v>4.4195650000000003E-3</v>
      </c>
      <c r="AH512">
        <v>3.0664701246763801</v>
      </c>
      <c r="AI512">
        <v>89.917677502609394</v>
      </c>
      <c r="AJ512">
        <v>85.493749145750201</v>
      </c>
      <c r="AK512">
        <v>3.0759818632238001</v>
      </c>
      <c r="AL512">
        <v>79.981403818823793</v>
      </c>
      <c r="AM512">
        <v>94.345684874186801</v>
      </c>
      <c r="AN512">
        <v>0.99999998712698401</v>
      </c>
    </row>
    <row r="513" spans="1:40" x14ac:dyDescent="0.25">
      <c r="A513" t="str">
        <f>"20190304155606973"</f>
        <v>20190304155606973</v>
      </c>
      <c r="B513" t="str">
        <f>"1551686166965466"</f>
        <v>1551686166965466</v>
      </c>
      <c r="C513" t="s">
        <v>40</v>
      </c>
      <c r="D513">
        <v>4.5353949999999896</v>
      </c>
      <c r="E513">
        <v>0.55686829999999998</v>
      </c>
      <c r="F513" t="s">
        <v>46</v>
      </c>
      <c r="G513">
        <v>0</v>
      </c>
      <c r="H513">
        <v>0</v>
      </c>
      <c r="I513">
        <v>0</v>
      </c>
      <c r="J513">
        <v>-380.8621</v>
      </c>
      <c r="K513">
        <v>1.1099330000000001</v>
      </c>
      <c r="L513">
        <v>367.14510000000001</v>
      </c>
      <c r="M513">
        <v>0.99992300000000001</v>
      </c>
      <c r="N513">
        <v>-1.1729389999999999E-2</v>
      </c>
      <c r="O513">
        <v>-4.0803150000000002E-3</v>
      </c>
      <c r="P513">
        <v>0.98412949999999999</v>
      </c>
      <c r="Q513">
        <v>0.1626735</v>
      </c>
      <c r="R513">
        <v>7.0897150000000006E-2</v>
      </c>
      <c r="S513">
        <v>3.0653079999999999</v>
      </c>
      <c r="T513">
        <v>6.413579E-3</v>
      </c>
      <c r="U513">
        <v>-0.2533569</v>
      </c>
      <c r="V513">
        <v>-7.4920050000000002E-2</v>
      </c>
      <c r="W513">
        <v>0.17419879999999999</v>
      </c>
      <c r="X513">
        <v>0.98185630000000002</v>
      </c>
      <c r="Y513">
        <v>7.8305890000000003E-2</v>
      </c>
      <c r="Z513">
        <v>-4.3455849999999999E-4</v>
      </c>
      <c r="AA513">
        <v>0.99692930000000002</v>
      </c>
      <c r="AB513">
        <v>31</v>
      </c>
      <c r="AC513">
        <v>3.0653079999999999</v>
      </c>
      <c r="AD513">
        <v>6.413579E-3</v>
      </c>
      <c r="AE513">
        <v>-0.2533569</v>
      </c>
      <c r="AF513">
        <v>0.240845462207332</v>
      </c>
      <c r="AG513">
        <v>6.413579E-3</v>
      </c>
      <c r="AH513">
        <v>3.0663029937566701</v>
      </c>
      <c r="AI513">
        <v>89.880526435796995</v>
      </c>
      <c r="AJ513">
        <v>85.5088734557105</v>
      </c>
      <c r="AK513">
        <v>3.07575384583724</v>
      </c>
      <c r="AL513">
        <v>79.967963549658904</v>
      </c>
      <c r="AM513">
        <v>94.363470092591001</v>
      </c>
      <c r="AN513">
        <v>1.00000001483156</v>
      </c>
    </row>
    <row r="514" spans="1:40" x14ac:dyDescent="0.25">
      <c r="A514" t="str">
        <f>"20190304155606986"</f>
        <v>20190304155606986</v>
      </c>
      <c r="B514" t="str">
        <f>"1551686166975226"</f>
        <v>1551686166975226</v>
      </c>
      <c r="C514" t="s">
        <v>40</v>
      </c>
      <c r="D514">
        <v>4.5457479999999997</v>
      </c>
      <c r="E514">
        <v>0.55683899999999997</v>
      </c>
      <c r="F514" t="s">
        <v>46</v>
      </c>
      <c r="G514">
        <v>0</v>
      </c>
      <c r="H514">
        <v>0</v>
      </c>
      <c r="I514">
        <v>0</v>
      </c>
      <c r="J514">
        <v>-380.65660000000003</v>
      </c>
      <c r="K514">
        <v>1.1099319999999999</v>
      </c>
      <c r="L514">
        <v>367.14429999999999</v>
      </c>
      <c r="M514">
        <v>0.99992300000000001</v>
      </c>
      <c r="N514">
        <v>-1.1729130000000001E-2</v>
      </c>
      <c r="O514">
        <v>-4.0581719999999996E-3</v>
      </c>
      <c r="P514">
        <v>0.98411510000000002</v>
      </c>
      <c r="Q514">
        <v>0.16267999999999999</v>
      </c>
      <c r="R514">
        <v>7.1082380000000001E-2</v>
      </c>
      <c r="S514">
        <v>3.064819</v>
      </c>
      <c r="T514">
        <v>9.9304909999999996E-3</v>
      </c>
      <c r="U514">
        <v>-0.2504883</v>
      </c>
      <c r="V514">
        <v>-7.5082430000000006E-2</v>
      </c>
      <c r="W514">
        <v>0.17420539999999901</v>
      </c>
      <c r="X514">
        <v>0.98184269999999996</v>
      </c>
      <c r="Y514">
        <v>7.7414449999999996E-2</v>
      </c>
      <c r="Z514">
        <v>-3.9021120000000002E-4</v>
      </c>
      <c r="AA514">
        <v>0.99699890000000002</v>
      </c>
      <c r="AB514">
        <v>31</v>
      </c>
      <c r="AC514">
        <v>3.064819</v>
      </c>
      <c r="AD514">
        <v>9.9304909999999996E-3</v>
      </c>
      <c r="AE514">
        <v>-0.2504883</v>
      </c>
      <c r="AF514">
        <v>0.238045336551089</v>
      </c>
      <c r="AG514">
        <v>9.9304909999999996E-3</v>
      </c>
      <c r="AH514">
        <v>3.06577838121519</v>
      </c>
      <c r="AI514">
        <v>89.814968418984506</v>
      </c>
      <c r="AJ514">
        <v>85.560121839069893</v>
      </c>
      <c r="AK514">
        <v>3.0750221592098601</v>
      </c>
      <c r="AL514">
        <v>79.967579275217105</v>
      </c>
      <c r="AM514">
        <v>94.372951070605893</v>
      </c>
      <c r="AN514">
        <v>0.99999999011357699</v>
      </c>
    </row>
    <row r="515" spans="1:40" x14ac:dyDescent="0.25">
      <c r="A515" t="str">
        <f>"20190304155607005"</f>
        <v>20190304155607005</v>
      </c>
      <c r="B515" t="str">
        <f>"1551686166995722"</f>
        <v>1551686166995722</v>
      </c>
      <c r="C515" t="s">
        <v>40</v>
      </c>
      <c r="D515">
        <v>4.5380539999999998</v>
      </c>
      <c r="E515">
        <v>0.55680399999999997</v>
      </c>
      <c r="F515" t="s">
        <v>46</v>
      </c>
      <c r="G515">
        <v>0</v>
      </c>
      <c r="H515">
        <v>0</v>
      </c>
      <c r="I515">
        <v>0</v>
      </c>
      <c r="J515">
        <v>-380.40660000000003</v>
      </c>
      <c r="K515">
        <v>1.1099330000000001</v>
      </c>
      <c r="L515">
        <v>367.14319999999998</v>
      </c>
      <c r="M515">
        <v>0.99992320000000001</v>
      </c>
      <c r="N515">
        <v>-1.1728860000000001E-2</v>
      </c>
      <c r="O515">
        <v>-4.0340100000000002E-3</v>
      </c>
      <c r="P515">
        <v>0.9841316</v>
      </c>
      <c r="Q515">
        <v>0.1624814</v>
      </c>
      <c r="R515">
        <v>7.1311100000000002E-2</v>
      </c>
      <c r="S515">
        <v>3.0643919999999998</v>
      </c>
      <c r="T515">
        <v>1.2765530000000001E-2</v>
      </c>
      <c r="U515">
        <v>-0.25018309999999999</v>
      </c>
      <c r="V515">
        <v>-7.5286420000000007E-2</v>
      </c>
      <c r="W515">
        <v>0.1740072</v>
      </c>
      <c r="X515">
        <v>0.98186220000000002</v>
      </c>
      <c r="Y515">
        <v>7.7351429999999999E-2</v>
      </c>
      <c r="Z515">
        <v>-3.5755619999999999E-4</v>
      </c>
      <c r="AA515">
        <v>0.99700390000000005</v>
      </c>
      <c r="AB515">
        <v>31</v>
      </c>
      <c r="AC515">
        <v>3.0643919999999998</v>
      </c>
      <c r="AD515">
        <v>1.2765530000000001E-2</v>
      </c>
      <c r="AE515">
        <v>-0.25018309999999999</v>
      </c>
      <c r="AF515">
        <v>0.237814327638495</v>
      </c>
      <c r="AG515">
        <v>1.2765530000000001E-2</v>
      </c>
      <c r="AH515">
        <v>3.0653235309954598</v>
      </c>
      <c r="AI515">
        <v>89.762108141276798</v>
      </c>
      <c r="AJ515">
        <v>85.563757724913302</v>
      </c>
      <c r="AK515">
        <v>3.0745612634749699</v>
      </c>
      <c r="AL515">
        <v>79.979111179196806</v>
      </c>
      <c r="AM515">
        <v>94.384698842190502</v>
      </c>
      <c r="AN515">
        <v>0.99999996523854695</v>
      </c>
    </row>
    <row r="516" spans="1:40" x14ac:dyDescent="0.25">
      <c r="A516" t="str">
        <f>"20190304155607020"</f>
        <v>20190304155607020</v>
      </c>
      <c r="B516" t="str">
        <f>"1551686167015242"</f>
        <v>1551686167015242</v>
      </c>
      <c r="C516" t="s">
        <v>40</v>
      </c>
      <c r="D516">
        <v>4.5626800000000003</v>
      </c>
      <c r="E516">
        <v>0.55674619999999997</v>
      </c>
      <c r="F516" t="s">
        <v>46</v>
      </c>
      <c r="G516">
        <v>0</v>
      </c>
      <c r="H516">
        <v>0</v>
      </c>
      <c r="I516">
        <v>0</v>
      </c>
      <c r="J516">
        <v>-380.21510000000001</v>
      </c>
      <c r="K516">
        <v>1.1099330000000001</v>
      </c>
      <c r="L516">
        <v>367.14249999999998</v>
      </c>
      <c r="M516">
        <v>0.99992320000000001</v>
      </c>
      <c r="N516">
        <v>-1.172869E-2</v>
      </c>
      <c r="O516">
        <v>-4.0180659999999998E-3</v>
      </c>
      <c r="P516">
        <v>0.98419979999999996</v>
      </c>
      <c r="Q516">
        <v>0.16215189999999999</v>
      </c>
      <c r="R516">
        <v>7.1117330000000006E-2</v>
      </c>
      <c r="S516">
        <v>3.0637210000000001</v>
      </c>
      <c r="T516">
        <v>1.644433E-2</v>
      </c>
      <c r="U516">
        <v>-0.24893190000000001</v>
      </c>
      <c r="V516">
        <v>-7.5076420000000005E-2</v>
      </c>
      <c r="W516">
        <v>0.17367850000000001</v>
      </c>
      <c r="X516">
        <v>0.98193649999999999</v>
      </c>
      <c r="Y516">
        <v>7.6980709999999994E-2</v>
      </c>
      <c r="Z516">
        <v>-3.1452429999999999E-4</v>
      </c>
      <c r="AA516">
        <v>0.99703249999999999</v>
      </c>
      <c r="AB516">
        <v>31</v>
      </c>
      <c r="AC516">
        <v>3.0637210000000001</v>
      </c>
      <c r="AD516">
        <v>1.644433E-2</v>
      </c>
      <c r="AE516">
        <v>-0.24893190000000001</v>
      </c>
      <c r="AF516">
        <v>0.23661203900449401</v>
      </c>
      <c r="AG516">
        <v>1.644433E-2</v>
      </c>
      <c r="AH516">
        <v>3.0646088479471199</v>
      </c>
      <c r="AI516">
        <v>89.693472787233603</v>
      </c>
      <c r="AJ516">
        <v>85.585071359088403</v>
      </c>
      <c r="AK516">
        <v>3.0737734242957502</v>
      </c>
      <c r="AL516">
        <v>79.998235752343405</v>
      </c>
      <c r="AM516">
        <v>94.372186318312799</v>
      </c>
      <c r="AN516">
        <v>0.99999999011725804</v>
      </c>
    </row>
    <row r="517" spans="1:40" x14ac:dyDescent="0.25">
      <c r="A517" t="str">
        <f>"20190304155607031"</f>
        <v>20190304155607031</v>
      </c>
      <c r="B517" t="str">
        <f>"1551686167025002"</f>
        <v>1551686167025002</v>
      </c>
      <c r="C517" t="s">
        <v>40</v>
      </c>
      <c r="D517">
        <v>4.5760040000000002</v>
      </c>
      <c r="E517">
        <v>0.55677769999999904</v>
      </c>
      <c r="F517" t="s">
        <v>46</v>
      </c>
      <c r="G517">
        <v>0</v>
      </c>
      <c r="H517">
        <v>0</v>
      </c>
      <c r="I517">
        <v>0</v>
      </c>
      <c r="J517">
        <v>-380.03719999999998</v>
      </c>
      <c r="K517">
        <v>1.109931</v>
      </c>
      <c r="L517">
        <v>367.14179999999999</v>
      </c>
      <c r="M517">
        <v>0.99992329999999996</v>
      </c>
      <c r="N517">
        <v>-1.1728560000000001E-2</v>
      </c>
      <c r="O517">
        <v>-4.0045059999999997E-3</v>
      </c>
      <c r="P517">
        <v>0.98416289999999995</v>
      </c>
      <c r="Q517">
        <v>0.16221050000000001</v>
      </c>
      <c r="R517">
        <v>7.1495000000000003E-2</v>
      </c>
      <c r="S517">
        <v>3.0629879999999998</v>
      </c>
      <c r="T517">
        <v>1.9298200000000001E-2</v>
      </c>
      <c r="U517">
        <v>-0.2489624</v>
      </c>
      <c r="V517">
        <v>-7.5439889999999996E-2</v>
      </c>
      <c r="W517">
        <v>0.17373669999999999</v>
      </c>
      <c r="X517">
        <v>0.98189839999999995</v>
      </c>
      <c r="Y517">
        <v>7.7023419999999995E-2</v>
      </c>
      <c r="Z517">
        <v>-2.8228239999999999E-4</v>
      </c>
      <c r="AA517">
        <v>0.99702919999999995</v>
      </c>
      <c r="AB517">
        <v>31</v>
      </c>
      <c r="AC517">
        <v>3.0629879999999998</v>
      </c>
      <c r="AD517">
        <v>1.9298200000000001E-2</v>
      </c>
      <c r="AE517">
        <v>-0.2489624</v>
      </c>
      <c r="AF517">
        <v>0.23668447353563299</v>
      </c>
      <c r="AG517">
        <v>1.9298200000000001E-2</v>
      </c>
      <c r="AH517">
        <v>3.0638396543806699</v>
      </c>
      <c r="AI517">
        <v>89.640187974799105</v>
      </c>
      <c r="AJ517">
        <v>85.582620811903595</v>
      </c>
      <c r="AK517">
        <v>3.0730286995554601</v>
      </c>
      <c r="AL517">
        <v>79.994850193906203</v>
      </c>
      <c r="AM517">
        <v>94.393440662442501</v>
      </c>
      <c r="AN517">
        <v>1.00000004292633</v>
      </c>
    </row>
    <row r="518" spans="1:40" x14ac:dyDescent="0.25">
      <c r="A518" t="str">
        <f>"20190304155607042"</f>
        <v>20190304155607042</v>
      </c>
      <c r="B518" t="str">
        <f>"1551686167035739"</f>
        <v>1551686167035739</v>
      </c>
      <c r="C518" t="s">
        <v>40</v>
      </c>
      <c r="D518">
        <v>4.5490180000000002</v>
      </c>
      <c r="E518">
        <v>0.55679829999999997</v>
      </c>
      <c r="F518" t="s">
        <v>46</v>
      </c>
      <c r="G518">
        <v>0</v>
      </c>
      <c r="H518">
        <v>0</v>
      </c>
      <c r="I518">
        <v>0</v>
      </c>
      <c r="J518">
        <v>-379.88080000000002</v>
      </c>
      <c r="K518">
        <v>1.109934</v>
      </c>
      <c r="L518">
        <v>367.14120000000003</v>
      </c>
      <c r="M518">
        <v>0.99992320000000001</v>
      </c>
      <c r="N518">
        <v>-1.1728529999999999E-2</v>
      </c>
      <c r="O518">
        <v>-3.9942830000000004E-3</v>
      </c>
      <c r="P518">
        <v>0.98419849999999998</v>
      </c>
      <c r="Q518">
        <v>0.162214</v>
      </c>
      <c r="R518">
        <v>7.0993570000000006E-2</v>
      </c>
      <c r="S518">
        <v>3.0629879999999998</v>
      </c>
      <c r="T518">
        <v>1.9814849999999998E-2</v>
      </c>
      <c r="U518">
        <v>-0.24798580000000001</v>
      </c>
      <c r="V518">
        <v>-7.4927599999999997E-2</v>
      </c>
      <c r="W518">
        <v>0.17374139999999999</v>
      </c>
      <c r="X518">
        <v>0.98193680000000005</v>
      </c>
      <c r="Y518">
        <v>7.6717800000000003E-2</v>
      </c>
      <c r="Z518">
        <v>-2.7546789999999998E-4</v>
      </c>
      <c r="AA518">
        <v>0.99705279999999996</v>
      </c>
      <c r="AB518">
        <v>31</v>
      </c>
      <c r="AC518">
        <v>3.0629879999999998</v>
      </c>
      <c r="AD518">
        <v>1.9814849999999998E-2</v>
      </c>
      <c r="AE518">
        <v>-0.24798580000000001</v>
      </c>
      <c r="AF518">
        <v>0.23573873722442801</v>
      </c>
      <c r="AG518">
        <v>1.9814849999999998E-2</v>
      </c>
      <c r="AH518">
        <v>3.0638267714292602</v>
      </c>
      <c r="AI518">
        <v>89.630545092836201</v>
      </c>
      <c r="AJ518">
        <v>85.600183761782006</v>
      </c>
      <c r="AK518">
        <v>3.07294644695207</v>
      </c>
      <c r="AL518">
        <v>79.994576809041803</v>
      </c>
      <c r="AM518">
        <v>94.363551743774096</v>
      </c>
      <c r="AN518">
        <v>1.0000000492549701</v>
      </c>
    </row>
    <row r="519" spans="1:40" x14ac:dyDescent="0.25">
      <c r="A519" t="str">
        <f>"20190304155607060"</f>
        <v>20190304155607060</v>
      </c>
      <c r="B519" t="str">
        <f>"1551686167055258"</f>
        <v>1551686167055258</v>
      </c>
      <c r="C519" t="s">
        <v>40</v>
      </c>
      <c r="D519">
        <v>4.9039729999999997</v>
      </c>
      <c r="E519">
        <v>0.55678950000000005</v>
      </c>
      <c r="F519" t="s">
        <v>46</v>
      </c>
      <c r="G519">
        <v>0</v>
      </c>
      <c r="H519">
        <v>0</v>
      </c>
      <c r="I519">
        <v>0</v>
      </c>
      <c r="J519">
        <v>-379.64499999999998</v>
      </c>
      <c r="K519">
        <v>1.1099330000000001</v>
      </c>
      <c r="L519">
        <v>367.14019999999999</v>
      </c>
      <c r="M519">
        <v>0.99992329999999996</v>
      </c>
      <c r="N519">
        <v>-1.1728560000000001E-2</v>
      </c>
      <c r="O519">
        <v>-3.9801389999999997E-3</v>
      </c>
      <c r="P519">
        <v>0.98414769999999896</v>
      </c>
      <c r="Q519">
        <v>0.16260079999999999</v>
      </c>
      <c r="R519">
        <v>7.0808259999999998E-2</v>
      </c>
      <c r="S519">
        <v>3.0627439999999999</v>
      </c>
      <c r="T519">
        <v>2.1194339999999999E-2</v>
      </c>
      <c r="U519">
        <v>-0.25003049999999999</v>
      </c>
      <c r="V519">
        <v>-7.4726689999999998E-2</v>
      </c>
      <c r="W519">
        <v>0.17412839999999999</v>
      </c>
      <c r="X519">
        <v>0.98188350000000002</v>
      </c>
      <c r="Y519">
        <v>7.7399540000000003E-2</v>
      </c>
      <c r="Z519">
        <v>-2.61403E-4</v>
      </c>
      <c r="AA519">
        <v>0.99700009999999994</v>
      </c>
      <c r="AB519">
        <v>31</v>
      </c>
      <c r="AC519">
        <v>3.0627439999999999</v>
      </c>
      <c r="AD519">
        <v>2.1194339999999999E-2</v>
      </c>
      <c r="AE519">
        <v>-0.25003049999999999</v>
      </c>
      <c r="AF519">
        <v>0.23782622056194699</v>
      </c>
      <c r="AG519">
        <v>2.1194339999999999E-2</v>
      </c>
      <c r="AH519">
        <v>3.0635692277611</v>
      </c>
      <c r="AI519">
        <v>89.604812465778096</v>
      </c>
      <c r="AJ519">
        <v>85.561006439398994</v>
      </c>
      <c r="AK519">
        <v>3.0728597306937901</v>
      </c>
      <c r="AL519">
        <v>79.972059552269201</v>
      </c>
      <c r="AM519">
        <v>94.352131703807999</v>
      </c>
      <c r="AN519">
        <v>0.99999999272858298</v>
      </c>
    </row>
    <row r="520" spans="1:40" x14ac:dyDescent="0.25">
      <c r="A520" t="str">
        <f>"20190304155607072"</f>
        <v>20190304155607072</v>
      </c>
      <c r="B520" t="str">
        <f>"1551686167065019"</f>
        <v>1551686167065019</v>
      </c>
      <c r="C520" t="s">
        <v>40</v>
      </c>
      <c r="D520">
        <v>4.6821029999999997</v>
      </c>
      <c r="E520">
        <v>0.52780209999999905</v>
      </c>
      <c r="F520" t="s">
        <v>46</v>
      </c>
      <c r="G520">
        <v>0</v>
      </c>
      <c r="H520">
        <v>0</v>
      </c>
      <c r="I520">
        <v>0</v>
      </c>
      <c r="J520">
        <v>-379.47899999999998</v>
      </c>
      <c r="K520">
        <v>1.109926</v>
      </c>
      <c r="L520">
        <v>367.13959999999997</v>
      </c>
      <c r="M520">
        <v>0.99992329999999996</v>
      </c>
      <c r="N520">
        <v>-1.172864E-2</v>
      </c>
      <c r="O520">
        <v>-3.9712250000000001E-3</v>
      </c>
      <c r="P520">
        <v>0.98412880000000003</v>
      </c>
      <c r="Q520">
        <v>0.16273409999999999</v>
      </c>
      <c r="R520">
        <v>7.0766839999999998E-2</v>
      </c>
      <c r="S520">
        <v>3.062805</v>
      </c>
      <c r="T520">
        <v>2.139425E-2</v>
      </c>
      <c r="U520">
        <v>-0.25003049999999999</v>
      </c>
      <c r="V520">
        <v>-7.4675749999999999E-2</v>
      </c>
      <c r="W520">
        <v>0.1742612</v>
      </c>
      <c r="X520">
        <v>0.98186379999999995</v>
      </c>
      <c r="Y520">
        <v>7.7406820000000001E-2</v>
      </c>
      <c r="Z520">
        <v>-2.5899970000000001E-4</v>
      </c>
      <c r="AA520">
        <v>0.99699959999999999</v>
      </c>
      <c r="AB520">
        <v>31</v>
      </c>
      <c r="AC520">
        <v>3.062805</v>
      </c>
      <c r="AD520">
        <v>2.139425E-2</v>
      </c>
      <c r="AE520">
        <v>-0.25003049999999999</v>
      </c>
      <c r="AF520">
        <v>0.237853074635934</v>
      </c>
      <c r="AG520">
        <v>2.139425E-2</v>
      </c>
      <c r="AH520">
        <v>3.06362534793778</v>
      </c>
      <c r="AI520">
        <v>89.601092617122802</v>
      </c>
      <c r="AJ520">
        <v>85.560588213982697</v>
      </c>
      <c r="AK520">
        <v>3.0729191449782198</v>
      </c>
      <c r="AL520">
        <v>79.964332382648294</v>
      </c>
      <c r="AM520">
        <v>94.3492632381611</v>
      </c>
      <c r="AN520">
        <v>0.99999997760697001</v>
      </c>
    </row>
    <row r="521" spans="1:40" x14ac:dyDescent="0.25">
      <c r="A521" t="str">
        <f>"20190304155607084"</f>
        <v>20190304155607084</v>
      </c>
      <c r="B521" t="str">
        <f>"1551686167075754"</f>
        <v>1551686167075754</v>
      </c>
      <c r="C521" t="s">
        <v>40</v>
      </c>
      <c r="D521">
        <v>4.5823229999999997</v>
      </c>
      <c r="E521">
        <v>0.52137549999999999</v>
      </c>
      <c r="F521" t="s">
        <v>43</v>
      </c>
      <c r="G521">
        <v>-158.19499999999999</v>
      </c>
      <c r="H521">
        <v>5.1328719999999999</v>
      </c>
      <c r="I521">
        <v>365.77370000000002</v>
      </c>
      <c r="J521">
        <v>-379.30329999999998</v>
      </c>
      <c r="K521">
        <v>1.1099239999999999</v>
      </c>
      <c r="L521">
        <v>367.13889999999998</v>
      </c>
      <c r="M521">
        <v>0.99992340000000002</v>
      </c>
      <c r="N521">
        <v>-1.1728799999999999E-2</v>
      </c>
      <c r="O521">
        <v>-3.9629019999999999E-3</v>
      </c>
      <c r="P521">
        <v>0.98414060000000003</v>
      </c>
      <c r="Q521">
        <v>0.16276450000000001</v>
      </c>
      <c r="R521">
        <v>7.0535219999999996E-2</v>
      </c>
      <c r="S521">
        <v>3.0405579999999999</v>
      </c>
      <c r="T521">
        <v>5.5278540000000001E-2</v>
      </c>
      <c r="U521">
        <v>-1.876831E-2</v>
      </c>
      <c r="V521">
        <v>-7.4435609999999999E-2</v>
      </c>
      <c r="W521">
        <v>0.17429269999999999</v>
      </c>
      <c r="X521">
        <v>0.98187650000000004</v>
      </c>
      <c r="Y521">
        <v>2.2110319999999999E-3</v>
      </c>
      <c r="Z521">
        <v>-1.113857E-4</v>
      </c>
      <c r="AA521">
        <v>0.99999760000000004</v>
      </c>
      <c r="AB521">
        <v>31</v>
      </c>
      <c r="AC521">
        <v>221.10830000000001</v>
      </c>
      <c r="AD521">
        <v>4.0229480000000004</v>
      </c>
      <c r="AE521">
        <v>-1.36519999999995</v>
      </c>
      <c r="AF521">
        <v>0.48873672716907501</v>
      </c>
      <c r="AG521">
        <v>4.0229480000000004</v>
      </c>
      <c r="AH521">
        <v>221.03880446681001</v>
      </c>
      <c r="AI521">
        <v>88.957323654618605</v>
      </c>
      <c r="AJ521">
        <v>89.873314071737596</v>
      </c>
      <c r="AK521">
        <v>221.075950872807</v>
      </c>
      <c r="AL521">
        <v>79.962500081223993</v>
      </c>
      <c r="AM521">
        <v>94.335274556929704</v>
      </c>
      <c r="AN521">
        <v>1.0000000332807999</v>
      </c>
    </row>
    <row r="522" spans="1:40" x14ac:dyDescent="0.25">
      <c r="A522" t="str">
        <f>"20190304155607096"</f>
        <v>20190304155607096</v>
      </c>
      <c r="B522" t="str">
        <f>"1551686167085514"</f>
        <v>1551686167085514</v>
      </c>
      <c r="C522" t="s">
        <v>40</v>
      </c>
      <c r="D522">
        <v>4.5913559999999896</v>
      </c>
      <c r="E522">
        <v>0.51800590000000002</v>
      </c>
      <c r="F522" t="s">
        <v>43</v>
      </c>
      <c r="G522">
        <v>-158.78319999999999</v>
      </c>
      <c r="H522">
        <v>5.0898009999999996</v>
      </c>
      <c r="I522">
        <v>369.43459999999999</v>
      </c>
      <c r="J522">
        <v>-379.14089999999999</v>
      </c>
      <c r="K522">
        <v>1.1099209999999999</v>
      </c>
      <c r="L522">
        <v>367.13819999999998</v>
      </c>
      <c r="M522">
        <v>0.99992349999999997</v>
      </c>
      <c r="N522">
        <v>-1.172901E-2</v>
      </c>
      <c r="O522">
        <v>-3.9560059999999998E-3</v>
      </c>
      <c r="P522">
        <v>0.98415399999999997</v>
      </c>
      <c r="Q522">
        <v>0.16275700000000001</v>
      </c>
      <c r="R522">
        <v>7.0364930000000006E-2</v>
      </c>
      <c r="S522">
        <v>3.0370180000000002</v>
      </c>
      <c r="T522">
        <v>5.4812310000000003E-2</v>
      </c>
      <c r="U522">
        <v>3.1616209999999999E-2</v>
      </c>
      <c r="V522">
        <v>-7.4258249999999998E-2</v>
      </c>
      <c r="W522">
        <v>0.17428560000000001</v>
      </c>
      <c r="X522">
        <v>0.98189119999999996</v>
      </c>
      <c r="Y522">
        <v>-1.436313E-2</v>
      </c>
      <c r="Z522">
        <v>-1.6314389999999999E-4</v>
      </c>
      <c r="AA522">
        <v>0.99989680000000003</v>
      </c>
      <c r="AB522">
        <v>31</v>
      </c>
      <c r="AC522">
        <v>220.35769999999999</v>
      </c>
      <c r="AD522">
        <v>3.9798800000000001</v>
      </c>
      <c r="AE522">
        <v>2.2964000000000002</v>
      </c>
      <c r="AF522">
        <v>-3.1671452721171001</v>
      </c>
      <c r="AG522">
        <v>3.9798800000000001</v>
      </c>
      <c r="AH522">
        <v>220.275044422853</v>
      </c>
      <c r="AI522">
        <v>88.965012308905699</v>
      </c>
      <c r="AJ522">
        <v>90.823749937181404</v>
      </c>
      <c r="AK522">
        <v>220.33375921423999</v>
      </c>
      <c r="AL522">
        <v>79.962913306393801</v>
      </c>
      <c r="AM522">
        <v>94.324919503165503</v>
      </c>
      <c r="AN522">
        <v>1.00000004334893</v>
      </c>
    </row>
    <row r="523" spans="1:40" x14ac:dyDescent="0.25">
      <c r="A523" t="str">
        <f>"20190304155607107"</f>
        <v>20190304155607107</v>
      </c>
      <c r="B523" t="str">
        <f>"1551686167105035"</f>
        <v>1551686167105035</v>
      </c>
      <c r="C523" t="s">
        <v>40</v>
      </c>
      <c r="D523">
        <v>4.5232659999999996</v>
      </c>
      <c r="E523">
        <v>0.51295170000000001</v>
      </c>
      <c r="F523" t="s">
        <v>43</v>
      </c>
      <c r="G523">
        <v>-158.19499999999999</v>
      </c>
      <c r="H523">
        <v>5.322584</v>
      </c>
      <c r="I523">
        <v>371.35550000000001</v>
      </c>
      <c r="J523">
        <v>-378.98200000000003</v>
      </c>
      <c r="K523">
        <v>1.109917</v>
      </c>
      <c r="L523">
        <v>367.13760000000002</v>
      </c>
      <c r="M523">
        <v>0.99992349999999997</v>
      </c>
      <c r="N523">
        <v>-1.172923E-2</v>
      </c>
      <c r="O523">
        <v>-3.9493480000000001E-3</v>
      </c>
      <c r="P523">
        <v>0.98415929999999996</v>
      </c>
      <c r="Q523">
        <v>0.16276789999999999</v>
      </c>
      <c r="R523">
        <v>7.0264850000000004E-2</v>
      </c>
      <c r="S523">
        <v>3.0346069999999998</v>
      </c>
      <c r="T523">
        <v>5.7860490000000001E-2</v>
      </c>
      <c r="U523">
        <v>5.7922359999999999E-2</v>
      </c>
      <c r="V523">
        <v>-7.4150899999999895E-2</v>
      </c>
      <c r="W523">
        <v>0.1742969</v>
      </c>
      <c r="X523">
        <v>0.98189720000000003</v>
      </c>
      <c r="Y523">
        <v>-2.3029060000000001E-2</v>
      </c>
      <c r="Z523">
        <v>-2.060296E-4</v>
      </c>
      <c r="AA523">
        <v>0.99973480000000003</v>
      </c>
      <c r="AB523">
        <v>31</v>
      </c>
      <c r="AC523">
        <v>220.78700000000001</v>
      </c>
      <c r="AD523">
        <v>4.2126669999999997</v>
      </c>
      <c r="AE523">
        <v>4.2178999999999798</v>
      </c>
      <c r="AF523">
        <v>-5.0880400551786797</v>
      </c>
      <c r="AG523">
        <v>4.2126669999999997</v>
      </c>
      <c r="AH523">
        <v>220.688305392514</v>
      </c>
      <c r="AI523">
        <v>88.906717650881006</v>
      </c>
      <c r="AJ523">
        <v>91.320738696382406</v>
      </c>
      <c r="AK523">
        <v>220.78714376492999</v>
      </c>
      <c r="AL523">
        <v>79.962254735494795</v>
      </c>
      <c r="AM523">
        <v>94.318664648357696</v>
      </c>
      <c r="AN523">
        <v>0.99999993834412804</v>
      </c>
    </row>
    <row r="524" spans="1:40" x14ac:dyDescent="0.25">
      <c r="A524" t="str">
        <f>"20190304155607119"</f>
        <v>20190304155607119</v>
      </c>
      <c r="B524" t="str">
        <f>"1551686167115771"</f>
        <v>1551686167115771</v>
      </c>
      <c r="C524" t="s">
        <v>40</v>
      </c>
      <c r="D524">
        <v>4.5510599999999997</v>
      </c>
      <c r="E524">
        <v>0.51025240000000005</v>
      </c>
      <c r="F524" t="s">
        <v>43</v>
      </c>
      <c r="G524">
        <v>-158.19499999999999</v>
      </c>
      <c r="H524">
        <v>4.5089519999999998</v>
      </c>
      <c r="I524">
        <v>374.24509999999998</v>
      </c>
      <c r="J524">
        <v>-378.82909999999998</v>
      </c>
      <c r="K524">
        <v>1.1099159999999999</v>
      </c>
      <c r="L524">
        <v>367.137</v>
      </c>
      <c r="M524">
        <v>0.99992349999999997</v>
      </c>
      <c r="N524">
        <v>-1.172951E-2</v>
      </c>
      <c r="O524">
        <v>-3.9435199999999998E-3</v>
      </c>
      <c r="P524">
        <v>0.98418799999999995</v>
      </c>
      <c r="Q524">
        <v>0.1625991</v>
      </c>
      <c r="R524">
        <v>7.0256020000000002E-2</v>
      </c>
      <c r="S524">
        <v>3.03363</v>
      </c>
      <c r="T524">
        <v>4.6704170000000003E-2</v>
      </c>
      <c r="U524">
        <v>9.765625E-2</v>
      </c>
      <c r="V524">
        <v>-7.4136270000000004E-2</v>
      </c>
      <c r="W524">
        <v>0.17412929999999999</v>
      </c>
      <c r="X524">
        <v>0.98192809999999997</v>
      </c>
      <c r="Y524">
        <v>-3.6113590000000001E-2</v>
      </c>
      <c r="Z524">
        <v>-1.729756E-4</v>
      </c>
      <c r="AA524">
        <v>0.99934769999999995</v>
      </c>
      <c r="AB524">
        <v>31</v>
      </c>
      <c r="AC524">
        <v>220.63409999999999</v>
      </c>
      <c r="AD524">
        <v>3.3990360000000002</v>
      </c>
      <c r="AE524">
        <v>7.1081000000000296</v>
      </c>
      <c r="AF524">
        <v>-7.9762883978021497</v>
      </c>
      <c r="AG524">
        <v>3.3990360000000002</v>
      </c>
      <c r="AH524">
        <v>220.55206032913401</v>
      </c>
      <c r="AI524">
        <v>89.117633283605102</v>
      </c>
      <c r="AJ524">
        <v>92.071205204510804</v>
      </c>
      <c r="AK524">
        <v>220.72241829447199</v>
      </c>
      <c r="AL524">
        <v>79.972007225375407</v>
      </c>
      <c r="AM524">
        <v>94.317680434699</v>
      </c>
      <c r="AN524">
        <v>0.99999999660880601</v>
      </c>
    </row>
    <row r="525" spans="1:40" x14ac:dyDescent="0.25">
      <c r="A525" t="str">
        <f>"20190304155607131"</f>
        <v>20190304155607131</v>
      </c>
      <c r="B525" t="str">
        <f>"1551686167125530"</f>
        <v>1551686167125530</v>
      </c>
      <c r="C525" t="s">
        <v>40</v>
      </c>
      <c r="D525">
        <v>4.5559539999999998</v>
      </c>
      <c r="E525">
        <v>0.50943779999999905</v>
      </c>
      <c r="F525" t="s">
        <v>43</v>
      </c>
      <c r="G525">
        <v>-158.19499999999999</v>
      </c>
      <c r="H525">
        <v>3.029137</v>
      </c>
      <c r="I525">
        <v>375.7638</v>
      </c>
      <c r="J525">
        <v>-378.65809999999999</v>
      </c>
      <c r="K525">
        <v>1.1099129999999999</v>
      </c>
      <c r="L525">
        <v>367.13630000000001</v>
      </c>
      <c r="M525">
        <v>0.99992349999999997</v>
      </c>
      <c r="N525">
        <v>-1.172987E-2</v>
      </c>
      <c r="O525">
        <v>-3.9373339999999998E-3</v>
      </c>
      <c r="P525">
        <v>0.98422900000000002</v>
      </c>
      <c r="Q525">
        <v>0.162496</v>
      </c>
      <c r="R525">
        <v>6.9916249999999999E-2</v>
      </c>
      <c r="S525">
        <v>3.0353699999999999</v>
      </c>
      <c r="T525">
        <v>2.6404859999999999E-2</v>
      </c>
      <c r="U525">
        <v>0.11868289999999999</v>
      </c>
      <c r="V525">
        <v>-7.3790190000000005E-2</v>
      </c>
      <c r="W525">
        <v>0.17402690000000001</v>
      </c>
      <c r="X525">
        <v>0.98197230000000002</v>
      </c>
      <c r="Y525">
        <v>-4.300416E-2</v>
      </c>
      <c r="Z525" s="1">
        <v>-1.50564899999999E-5</v>
      </c>
      <c r="AA525">
        <v>0.99907489999999999</v>
      </c>
      <c r="AB525">
        <v>31</v>
      </c>
      <c r="AC525">
        <v>220.4631</v>
      </c>
      <c r="AD525">
        <v>1.919224</v>
      </c>
      <c r="AE525">
        <v>8.6274999999999906</v>
      </c>
      <c r="AF525">
        <v>-9.4948111978090708</v>
      </c>
      <c r="AG525">
        <v>1.919224</v>
      </c>
      <c r="AH525">
        <v>220.41074105570601</v>
      </c>
      <c r="AI525">
        <v>89.501572492996601</v>
      </c>
      <c r="AJ525">
        <v>92.466651456679401</v>
      </c>
      <c r="AK525">
        <v>220.623501996432</v>
      </c>
      <c r="AL525">
        <v>79.977965073205795</v>
      </c>
      <c r="AM525">
        <v>94.297407782562004</v>
      </c>
      <c r="AN525">
        <v>0.999999976015567</v>
      </c>
    </row>
    <row r="526" spans="1:40" x14ac:dyDescent="0.25">
      <c r="A526" t="str">
        <f>"20190304155607142"</f>
        <v>20190304155607142</v>
      </c>
      <c r="B526" t="str">
        <f>"1551686167135291"</f>
        <v>1551686167135291</v>
      </c>
      <c r="C526" t="s">
        <v>40</v>
      </c>
      <c r="D526">
        <v>4.6100320000000004</v>
      </c>
      <c r="E526">
        <v>0.50871899999999903</v>
      </c>
      <c r="F526" t="s">
        <v>43</v>
      </c>
      <c r="G526">
        <v>-158.19499999999999</v>
      </c>
      <c r="H526">
        <v>2.1762410000000001</v>
      </c>
      <c r="I526">
        <v>376.10890000000001</v>
      </c>
      <c r="J526">
        <v>-378.50049999999999</v>
      </c>
      <c r="K526">
        <v>1.109907</v>
      </c>
      <c r="L526">
        <v>367.13569999999999</v>
      </c>
      <c r="M526">
        <v>0.99992349999999997</v>
      </c>
      <c r="N526">
        <v>-1.1730310000000001E-2</v>
      </c>
      <c r="O526">
        <v>-3.9316220000000001E-3</v>
      </c>
      <c r="P526">
        <v>0.98429409999999895</v>
      </c>
      <c r="Q526">
        <v>0.16206119999999999</v>
      </c>
      <c r="R526">
        <v>7.00123E-2</v>
      </c>
      <c r="S526">
        <v>3.0368650000000001</v>
      </c>
      <c r="T526">
        <v>1.4689799999999999E-2</v>
      </c>
      <c r="U526">
        <v>0.1235962</v>
      </c>
      <c r="V526">
        <v>-7.3880689999999999E-2</v>
      </c>
      <c r="W526">
        <v>0.17359349999999901</v>
      </c>
      <c r="X526">
        <v>0.98204230000000003</v>
      </c>
      <c r="Y526">
        <v>-4.4593470000000003E-2</v>
      </c>
      <c r="Z526" s="1">
        <v>8.8745059999999996E-5</v>
      </c>
      <c r="AA526">
        <v>0.99900520000000004</v>
      </c>
      <c r="AB526">
        <v>31</v>
      </c>
      <c r="AC526">
        <v>220.30549999999999</v>
      </c>
      <c r="AD526">
        <v>1.0663339999999999</v>
      </c>
      <c r="AE526">
        <v>8.9732000000000198</v>
      </c>
      <c r="AF526">
        <v>-9.8391180293201597</v>
      </c>
      <c r="AG526">
        <v>1.0663339999999999</v>
      </c>
      <c r="AH526">
        <v>220.26336360883701</v>
      </c>
      <c r="AI526">
        <v>89.7228994584666</v>
      </c>
      <c r="AJ526">
        <v>92.557690102882205</v>
      </c>
      <c r="AK526">
        <v>220.48558832738499</v>
      </c>
      <c r="AL526">
        <v>80.003181812289299</v>
      </c>
      <c r="AM526">
        <v>94.302353016988704</v>
      </c>
      <c r="AN526">
        <v>1.0000000692932001</v>
      </c>
    </row>
    <row r="527" spans="1:40" x14ac:dyDescent="0.25">
      <c r="A527" t="str">
        <f>"20190304155607154"</f>
        <v>20190304155607154</v>
      </c>
      <c r="B527" t="str">
        <f>"1551686167145051"</f>
        <v>1551686167145051</v>
      </c>
      <c r="C527" t="s">
        <v>40</v>
      </c>
      <c r="D527">
        <v>4.582929</v>
      </c>
      <c r="E527">
        <v>0.50842679999999996</v>
      </c>
      <c r="F527" t="s">
        <v>43</v>
      </c>
      <c r="G527">
        <v>-158.19499999999999</v>
      </c>
      <c r="H527">
        <v>0.96381760000000005</v>
      </c>
      <c r="I527">
        <v>376.48039999999997</v>
      </c>
      <c r="J527">
        <v>-378.33260000000001</v>
      </c>
      <c r="K527">
        <v>1.1099049999999999</v>
      </c>
      <c r="L527">
        <v>367.13499999999999</v>
      </c>
      <c r="M527">
        <v>0.99992360000000002</v>
      </c>
      <c r="N527">
        <v>-1.17308E-2</v>
      </c>
      <c r="O527">
        <v>-3.9255519999999997E-3</v>
      </c>
      <c r="P527">
        <v>0.98433939999999998</v>
      </c>
      <c r="Q527">
        <v>0.16180739999999999</v>
      </c>
      <c r="R527">
        <v>6.9959919999999995E-2</v>
      </c>
      <c r="S527">
        <v>3.0390320000000002</v>
      </c>
      <c r="T527">
        <v>-2.0140409999999998E-3</v>
      </c>
      <c r="U527">
        <v>0.1289063</v>
      </c>
      <c r="V527">
        <v>-7.3822219999999994E-2</v>
      </c>
      <c r="W527">
        <v>0.17334079999999999</v>
      </c>
      <c r="X527">
        <v>0.98209120000000005</v>
      </c>
      <c r="Y527">
        <v>-4.6300319999999999E-2</v>
      </c>
      <c r="Z527">
        <v>2.436076E-4</v>
      </c>
      <c r="AA527">
        <v>0.99892749999999997</v>
      </c>
      <c r="AB527">
        <v>31</v>
      </c>
      <c r="AC527">
        <v>220.13759999999999</v>
      </c>
      <c r="AD527">
        <v>-0.14608739999999901</v>
      </c>
      <c r="AE527">
        <v>9.3453999999999802</v>
      </c>
      <c r="AF527">
        <v>-10.209544458775801</v>
      </c>
      <c r="AG527">
        <v>-0.14608739999999901</v>
      </c>
      <c r="AH527">
        <v>220.09911847582501</v>
      </c>
      <c r="AI527">
        <v>90.037988338363604</v>
      </c>
      <c r="AJ527">
        <v>92.655825261642704</v>
      </c>
      <c r="AK527">
        <v>220.33583025331899</v>
      </c>
      <c r="AL527">
        <v>80.017882022148697</v>
      </c>
      <c r="AM527">
        <v>94.2987476064297</v>
      </c>
      <c r="AN527">
        <v>0.99999993911390195</v>
      </c>
    </row>
    <row r="528" spans="1:40" x14ac:dyDescent="0.25">
      <c r="A528" t="str">
        <f>"20190304155607165"</f>
        <v>20190304155607165</v>
      </c>
      <c r="B528" t="str">
        <f>"1551686167155787"</f>
        <v>1551686167155787</v>
      </c>
      <c r="C528" t="s">
        <v>40</v>
      </c>
      <c r="D528">
        <v>4.5749639999999996</v>
      </c>
      <c r="E528">
        <v>0.50816139999999999</v>
      </c>
      <c r="F528" t="s">
        <v>43</v>
      </c>
      <c r="G528">
        <v>-158.19499999999999</v>
      </c>
      <c r="H528">
        <v>0.50488189999999999</v>
      </c>
      <c r="I528">
        <v>376.62729999999999</v>
      </c>
      <c r="J528">
        <v>-378.17540000000002</v>
      </c>
      <c r="K528">
        <v>1.1099049999999999</v>
      </c>
      <c r="L528">
        <v>367.1345</v>
      </c>
      <c r="M528">
        <v>0.99992360000000002</v>
      </c>
      <c r="N528">
        <v>-1.173128E-2</v>
      </c>
      <c r="O528">
        <v>-3.91984E-3</v>
      </c>
      <c r="P528">
        <v>0.98438510000000001</v>
      </c>
      <c r="Q528">
        <v>0.16157479999999999</v>
      </c>
      <c r="R528">
        <v>6.9857269999999999E-2</v>
      </c>
      <c r="S528">
        <v>3.0397639999999999</v>
      </c>
      <c r="T528">
        <v>-8.3532329999999998E-3</v>
      </c>
      <c r="U528">
        <v>0.131073</v>
      </c>
      <c r="V528">
        <v>-7.3714290000000002E-2</v>
      </c>
      <c r="W528">
        <v>0.17310880000000001</v>
      </c>
      <c r="X528">
        <v>0.98214029999999997</v>
      </c>
      <c r="Y528">
        <v>-4.699449E-2</v>
      </c>
      <c r="Z528">
        <v>3.0513529999999999E-4</v>
      </c>
      <c r="AA528">
        <v>0.99889510000000004</v>
      </c>
      <c r="AB528">
        <v>31</v>
      </c>
      <c r="AC528">
        <v>219.9804</v>
      </c>
      <c r="AD528">
        <v>-0.60502309999999904</v>
      </c>
      <c r="AE528">
        <v>9.4927999999999795</v>
      </c>
      <c r="AF528">
        <v>-10.3549961055046</v>
      </c>
      <c r="AG528">
        <v>-0.60502309999999904</v>
      </c>
      <c r="AH528">
        <v>219.93983630539299</v>
      </c>
      <c r="AI528">
        <v>90.157437721990703</v>
      </c>
      <c r="AJ528">
        <v>92.695554353320205</v>
      </c>
      <c r="AK528">
        <v>220.18429460644899</v>
      </c>
      <c r="AL528">
        <v>80.031379406443406</v>
      </c>
      <c r="AM528">
        <v>94.2922724418234</v>
      </c>
      <c r="AN528">
        <v>1.00000001103586</v>
      </c>
    </row>
    <row r="529" spans="1:40" x14ac:dyDescent="0.25">
      <c r="A529" t="str">
        <f>"20190304155607177"</f>
        <v>20190304155607177</v>
      </c>
      <c r="B529" t="str">
        <f>"1551686167165547"</f>
        <v>1551686167165547</v>
      </c>
      <c r="C529" t="s">
        <v>40</v>
      </c>
      <c r="D529">
        <v>4.5836769999999998</v>
      </c>
      <c r="E529">
        <v>0.5079072</v>
      </c>
      <c r="F529" t="s">
        <v>44</v>
      </c>
      <c r="G529">
        <v>-142.0026</v>
      </c>
      <c r="H529">
        <v>-0.05</v>
      </c>
      <c r="I529">
        <v>377.43619999999999</v>
      </c>
      <c r="J529">
        <v>-378.01990000000001</v>
      </c>
      <c r="K529">
        <v>1.109909</v>
      </c>
      <c r="L529">
        <v>367.13389999999998</v>
      </c>
      <c r="M529">
        <v>0.99992360000000002</v>
      </c>
      <c r="N529">
        <v>-1.1731760000000001E-2</v>
      </c>
      <c r="O529">
        <v>-3.9142439999999999E-3</v>
      </c>
      <c r="P529">
        <v>0.98440170000000005</v>
      </c>
      <c r="Q529">
        <v>0.1615326</v>
      </c>
      <c r="R529">
        <v>6.9718230000000006E-2</v>
      </c>
      <c r="S529">
        <v>3.0405880000000001</v>
      </c>
      <c r="T529">
        <v>-1.4933109999999999E-2</v>
      </c>
      <c r="U529">
        <v>0.13262939999999901</v>
      </c>
      <c r="V529">
        <v>-7.3569170000000003E-2</v>
      </c>
      <c r="W529">
        <v>0.17306750000000001</v>
      </c>
      <c r="X529">
        <v>0.98215839999999999</v>
      </c>
      <c r="Y529">
        <v>-4.7486639999999997E-2</v>
      </c>
      <c r="Z529">
        <v>3.6856680000000002E-4</v>
      </c>
      <c r="AA529">
        <v>0.99887179999999998</v>
      </c>
      <c r="AB529">
        <v>31</v>
      </c>
      <c r="AC529">
        <v>236.01730000000001</v>
      </c>
      <c r="AD529">
        <v>-1.1599090000000001</v>
      </c>
      <c r="AE529">
        <v>10.302300000000001</v>
      </c>
      <c r="AF529">
        <v>-11.225843258845901</v>
      </c>
      <c r="AG529">
        <v>-1.1599090000000001</v>
      </c>
      <c r="AH529">
        <v>235.96947482084499</v>
      </c>
      <c r="AI529">
        <v>90.281317233998607</v>
      </c>
      <c r="AJ529">
        <v>92.723694959492903</v>
      </c>
      <c r="AK529">
        <v>236.239196563538</v>
      </c>
      <c r="AL529">
        <v>80.033781396604894</v>
      </c>
      <c r="AM529">
        <v>94.283775156998303</v>
      </c>
      <c r="AN529">
        <v>0.99999995251064799</v>
      </c>
    </row>
    <row r="530" spans="1:40" x14ac:dyDescent="0.25">
      <c r="A530" t="str">
        <f>"20190304155607196"</f>
        <v>20190304155607196</v>
      </c>
      <c r="B530" t="str">
        <f>"1551686167185068"</f>
        <v>1551686167185068</v>
      </c>
      <c r="C530" t="s">
        <v>40</v>
      </c>
      <c r="D530">
        <v>4.5783670000000001</v>
      </c>
      <c r="E530">
        <v>0.50714429999999999</v>
      </c>
      <c r="F530" t="s">
        <v>41</v>
      </c>
      <c r="G530">
        <v>-210.3492</v>
      </c>
      <c r="H530" s="1">
        <v>-5.026659E-6</v>
      </c>
      <c r="I530">
        <v>374.5181</v>
      </c>
      <c r="J530">
        <v>-377.75639999999999</v>
      </c>
      <c r="K530">
        <v>1.1099060000000001</v>
      </c>
      <c r="L530">
        <v>367.13279999999997</v>
      </c>
      <c r="M530">
        <v>0.99992380000000003</v>
      </c>
      <c r="N530">
        <v>-1.1732589999999999E-2</v>
      </c>
      <c r="O530">
        <v>-3.9047180000000002E-3</v>
      </c>
      <c r="P530">
        <v>0.98441279999999998</v>
      </c>
      <c r="Q530">
        <v>0.1614575</v>
      </c>
      <c r="R530">
        <v>6.9738599999999998E-2</v>
      </c>
      <c r="S530">
        <v>3.0413510000000001</v>
      </c>
      <c r="T530">
        <v>-2.0132540000000001E-2</v>
      </c>
      <c r="U530">
        <v>0.1339417</v>
      </c>
      <c r="V530">
        <v>-7.3580450000000006E-2</v>
      </c>
      <c r="W530">
        <v>0.172993799999999</v>
      </c>
      <c r="X530">
        <v>0.9821706</v>
      </c>
      <c r="Y530">
        <v>-4.7895449999999999E-2</v>
      </c>
      <c r="Z530">
        <v>4.1961309999999998E-4</v>
      </c>
      <c r="AA530">
        <v>0.99885230000000003</v>
      </c>
      <c r="AB530">
        <v>31</v>
      </c>
      <c r="AC530">
        <v>167.40719999999999</v>
      </c>
      <c r="AD530">
        <v>-1.109911026659</v>
      </c>
      <c r="AE530">
        <v>7.3853000000000204</v>
      </c>
      <c r="AF530">
        <v>-8.0386137607654806</v>
      </c>
      <c r="AG530">
        <v>-1.109911026659</v>
      </c>
      <c r="AH530">
        <v>167.36974133303801</v>
      </c>
      <c r="AI530">
        <v>90.379513444214794</v>
      </c>
      <c r="AJ530">
        <v>92.749750189550994</v>
      </c>
      <c r="AK530">
        <v>167.566349627752</v>
      </c>
      <c r="AL530">
        <v>80.038069368062807</v>
      </c>
      <c r="AM530">
        <v>94.284376500977203</v>
      </c>
      <c r="AN530">
        <v>1.0000000124824999</v>
      </c>
    </row>
    <row r="531" spans="1:40" x14ac:dyDescent="0.25">
      <c r="A531" t="str">
        <f>"20190304155607211"</f>
        <v>20190304155607211</v>
      </c>
      <c r="B531" t="str">
        <f>"1551686167205564"</f>
        <v>1551686167205564</v>
      </c>
      <c r="C531" t="s">
        <v>40</v>
      </c>
      <c r="D531">
        <v>4.670134</v>
      </c>
      <c r="E531">
        <v>0.50681599999999905</v>
      </c>
      <c r="F531" t="s">
        <v>41</v>
      </c>
      <c r="G531">
        <v>-248.35400000000001</v>
      </c>
      <c r="H531" s="1">
        <v>-1.6846980000000001E-6</v>
      </c>
      <c r="I531">
        <v>373.09699999999998</v>
      </c>
      <c r="J531">
        <v>-377.55610000000001</v>
      </c>
      <c r="K531">
        <v>1.109904</v>
      </c>
      <c r="L531">
        <v>367.13209999999998</v>
      </c>
      <c r="M531">
        <v>0.99992380000000003</v>
      </c>
      <c r="N531">
        <v>-1.1733250000000001E-2</v>
      </c>
      <c r="O531">
        <v>-3.897691E-3</v>
      </c>
      <c r="P531">
        <v>0.98447370000000001</v>
      </c>
      <c r="Q531">
        <v>0.16108259999999999</v>
      </c>
      <c r="R531">
        <v>6.9743449999999999E-2</v>
      </c>
      <c r="S531">
        <v>3.0418400000000001</v>
      </c>
      <c r="T531">
        <v>-2.609038E-2</v>
      </c>
      <c r="U531">
        <v>0.14019779999999901</v>
      </c>
      <c r="V531">
        <v>-7.3578329999999997E-2</v>
      </c>
      <c r="W531">
        <v>0.17262</v>
      </c>
      <c r="X531">
        <v>0.98223649999999996</v>
      </c>
      <c r="Y531">
        <v>-4.993003E-2</v>
      </c>
      <c r="Z531">
        <v>4.9481510000000005E-4</v>
      </c>
      <c r="AA531">
        <v>0.99875259999999999</v>
      </c>
      <c r="AB531">
        <v>31</v>
      </c>
      <c r="AC531">
        <v>129.2021</v>
      </c>
      <c r="AD531">
        <v>-1.109905684698</v>
      </c>
      <c r="AE531">
        <v>5.9649000000000001</v>
      </c>
      <c r="AF531">
        <v>-6.4680027992183398</v>
      </c>
      <c r="AG531">
        <v>-1.109905684698</v>
      </c>
      <c r="AH531">
        <v>129.16835567224101</v>
      </c>
      <c r="AI531">
        <v>90.491697631642495</v>
      </c>
      <c r="AJ531">
        <v>92.866646275562005</v>
      </c>
      <c r="AK531">
        <v>129.33495682880999</v>
      </c>
      <c r="AL531">
        <v>80.059813416509897</v>
      </c>
      <c r="AM531">
        <v>94.2839671510296</v>
      </c>
      <c r="AN531">
        <v>0.99999998848891902</v>
      </c>
    </row>
    <row r="532" spans="1:40" x14ac:dyDescent="0.25">
      <c r="A532" t="str">
        <f>"20190304155607228"</f>
        <v>20190304155607228</v>
      </c>
      <c r="B532" t="str">
        <f>"1551686167225083"</f>
        <v>1551686167225083</v>
      </c>
      <c r="C532" t="s">
        <v>40</v>
      </c>
      <c r="D532">
        <v>4.5064849999999996</v>
      </c>
      <c r="E532">
        <v>0.50680139999999996</v>
      </c>
      <c r="F532" t="s">
        <v>41</v>
      </c>
      <c r="G532">
        <v>-270.94009999999997</v>
      </c>
      <c r="H532" s="1">
        <v>-4.4019140000000001E-6</v>
      </c>
      <c r="I532">
        <v>372.12950000000001</v>
      </c>
      <c r="J532">
        <v>-377.3143</v>
      </c>
      <c r="K532">
        <v>1.1099030000000001</v>
      </c>
      <c r="L532">
        <v>367.13119999999998</v>
      </c>
      <c r="M532">
        <v>0.99992360000000002</v>
      </c>
      <c r="N532">
        <v>-1.1734120000000001E-2</v>
      </c>
      <c r="O532">
        <v>-3.8887570000000001E-3</v>
      </c>
      <c r="P532">
        <v>0.98449719999999996</v>
      </c>
      <c r="Q532">
        <v>0.1610056</v>
      </c>
      <c r="R532">
        <v>6.9588810000000001E-2</v>
      </c>
      <c r="S532">
        <v>3.0424190000000002</v>
      </c>
      <c r="T532">
        <v>-3.1672600000000002E-2</v>
      </c>
      <c r="U532">
        <v>0.1426086</v>
      </c>
      <c r="V532">
        <v>-7.3414919999999995E-2</v>
      </c>
      <c r="W532">
        <v>0.17254430000000001</v>
      </c>
      <c r="X532">
        <v>0.98226199999999997</v>
      </c>
      <c r="Y532">
        <v>-5.0700589999999997E-2</v>
      </c>
      <c r="Z532">
        <v>5.5626099999999995E-4</v>
      </c>
      <c r="AA532">
        <v>0.99871370000000004</v>
      </c>
      <c r="AB532">
        <v>31</v>
      </c>
      <c r="AC532">
        <v>106.3742</v>
      </c>
      <c r="AD532">
        <v>-1.1099074019140001</v>
      </c>
      <c r="AE532">
        <v>4.9983000000000199</v>
      </c>
      <c r="AF532">
        <v>-5.4113662664751496</v>
      </c>
      <c r="AG532">
        <v>-1.1099074019140001</v>
      </c>
      <c r="AH532">
        <v>106.342405258561</v>
      </c>
      <c r="AI532">
        <v>90.597207999334302</v>
      </c>
      <c r="AJ532">
        <v>92.913054754510597</v>
      </c>
      <c r="AK532">
        <v>106.48578278571701</v>
      </c>
      <c r="AL532">
        <v>80.0642165060043</v>
      </c>
      <c r="AM532">
        <v>94.274377640769202</v>
      </c>
      <c r="AN532">
        <v>0.99999996129254698</v>
      </c>
    </row>
    <row r="533" spans="1:40" x14ac:dyDescent="0.25">
      <c r="A533" t="str">
        <f>"20190304155607240"</f>
        <v>20190304155607240</v>
      </c>
      <c r="B533" t="str">
        <f>"1551686167235282"</f>
        <v>1551686167235282</v>
      </c>
      <c r="C533" t="s">
        <v>40</v>
      </c>
      <c r="D533">
        <v>4.4925470000000001</v>
      </c>
      <c r="E533">
        <v>0.50711479999999998</v>
      </c>
      <c r="F533" t="s">
        <v>44</v>
      </c>
      <c r="G533">
        <v>-283.23899999999998</v>
      </c>
      <c r="H533">
        <v>-0.05</v>
      </c>
      <c r="I533">
        <v>371.53579999999999</v>
      </c>
      <c r="J533">
        <v>-377.14830000000001</v>
      </c>
      <c r="K533">
        <v>1.109907</v>
      </c>
      <c r="L533">
        <v>367.13049999999998</v>
      </c>
      <c r="M533">
        <v>0.99992369999999997</v>
      </c>
      <c r="N533">
        <v>-1.173476E-2</v>
      </c>
      <c r="O533">
        <v>-3.8828019999999999E-3</v>
      </c>
      <c r="P533">
        <v>0.98445249999999995</v>
      </c>
      <c r="Q533">
        <v>0.16134189999999901</v>
      </c>
      <c r="R533">
        <v>6.9443110000000002E-2</v>
      </c>
      <c r="S533">
        <v>3.0432739999999998</v>
      </c>
      <c r="T533">
        <v>-3.7522079999999999E-2</v>
      </c>
      <c r="U533">
        <v>0.14248659999999999</v>
      </c>
      <c r="V533">
        <v>-7.326299E-2</v>
      </c>
      <c r="W533">
        <v>0.1728806</v>
      </c>
      <c r="X533">
        <v>0.98221429999999998</v>
      </c>
      <c r="Y533">
        <v>-5.063989E-2</v>
      </c>
      <c r="Z533">
        <v>6.1162469999999998E-4</v>
      </c>
      <c r="AA533">
        <v>0.99871679999999996</v>
      </c>
      <c r="AB533">
        <v>31</v>
      </c>
      <c r="AC533">
        <v>93.909299999999902</v>
      </c>
      <c r="AD533">
        <v>-1.159907</v>
      </c>
      <c r="AE533">
        <v>4.4053000000000102</v>
      </c>
      <c r="AF533">
        <v>-4.76919710813244</v>
      </c>
      <c r="AG533">
        <v>-1.159907</v>
      </c>
      <c r="AH533">
        <v>93.877195842701298</v>
      </c>
      <c r="AI533">
        <v>90.706974809452902</v>
      </c>
      <c r="AJ533">
        <v>92.908269108082493</v>
      </c>
      <c r="AK533">
        <v>94.005417527894394</v>
      </c>
      <c r="AL533">
        <v>80.044654839596603</v>
      </c>
      <c r="AM533">
        <v>94.265771012573495</v>
      </c>
      <c r="AN533">
        <v>1.00000004934229</v>
      </c>
    </row>
    <row r="534" spans="1:40" x14ac:dyDescent="0.25">
      <c r="A534" t="str">
        <f>"20190304155607252"</f>
        <v>20190304155607252</v>
      </c>
      <c r="B534" t="str">
        <f>"1551686167245042"</f>
        <v>1551686167245042</v>
      </c>
      <c r="C534" t="s">
        <v>40</v>
      </c>
      <c r="D534">
        <v>4.5252749999999997</v>
      </c>
      <c r="E534">
        <v>0.50738879999999997</v>
      </c>
      <c r="F534" t="s">
        <v>44</v>
      </c>
      <c r="G534">
        <v>-289.49489999999997</v>
      </c>
      <c r="H534">
        <v>-0.05</v>
      </c>
      <c r="I534">
        <v>371.14800000000002</v>
      </c>
      <c r="J534">
        <v>-376.97059999999999</v>
      </c>
      <c r="K534">
        <v>1.1099060000000001</v>
      </c>
      <c r="L534">
        <v>367.12979999999999</v>
      </c>
      <c r="M534">
        <v>0.99992360000000002</v>
      </c>
      <c r="N534">
        <v>-1.173546E-2</v>
      </c>
      <c r="O534">
        <v>-3.8763690000000002E-3</v>
      </c>
      <c r="P534">
        <v>0.98438890000000001</v>
      </c>
      <c r="Q534">
        <v>0.16178529999999999</v>
      </c>
      <c r="R534">
        <v>6.9311899999999996E-2</v>
      </c>
      <c r="S534">
        <v>3.0441590000000001</v>
      </c>
      <c r="T534">
        <v>-4.028296E-2</v>
      </c>
      <c r="U534">
        <v>0.13952639999999999</v>
      </c>
      <c r="V534">
        <v>-7.3125590000000004E-2</v>
      </c>
      <c r="W534">
        <v>0.17332400000000001</v>
      </c>
      <c r="X534">
        <v>0.98214630000000003</v>
      </c>
      <c r="Y534">
        <v>-4.9650090000000001E-2</v>
      </c>
      <c r="Z534">
        <v>6.2564000000000001E-4</v>
      </c>
      <c r="AA534">
        <v>0.9987665</v>
      </c>
      <c r="AB534">
        <v>31</v>
      </c>
      <c r="AC534">
        <v>87.475700000000003</v>
      </c>
      <c r="AD534">
        <v>-1.1599059999999899</v>
      </c>
      <c r="AE534">
        <v>4.0182000000000304</v>
      </c>
      <c r="AF534">
        <v>-4.3565169040597604</v>
      </c>
      <c r="AG534">
        <v>-1.1599059999999899</v>
      </c>
      <c r="AH534">
        <v>87.444123452158394</v>
      </c>
      <c r="AI534">
        <v>90.759016262982996</v>
      </c>
      <c r="AJ534">
        <v>92.8521507329244</v>
      </c>
      <c r="AK534">
        <v>87.560261236365093</v>
      </c>
      <c r="AL534">
        <v>80.018859573154998</v>
      </c>
      <c r="AM534">
        <v>94.258093992497706</v>
      </c>
      <c r="AN534">
        <v>0.99999995774626804</v>
      </c>
    </row>
    <row r="535" spans="1:40" x14ac:dyDescent="0.25">
      <c r="A535" t="str">
        <f>"20190304155607263"</f>
        <v>20190304155607263</v>
      </c>
      <c r="B535" t="str">
        <f>"1551686167255778"</f>
        <v>1551686167255778</v>
      </c>
      <c r="C535" t="s">
        <v>40</v>
      </c>
      <c r="D535">
        <v>4.511501</v>
      </c>
      <c r="E535">
        <v>0.50761690000000004</v>
      </c>
      <c r="F535" t="s">
        <v>44</v>
      </c>
      <c r="G535">
        <v>-282.24270000000001</v>
      </c>
      <c r="H535">
        <v>-0.05</v>
      </c>
      <c r="I535">
        <v>371.40429999999998</v>
      </c>
      <c r="J535">
        <v>-376.81009999999998</v>
      </c>
      <c r="K535">
        <v>1.109909</v>
      </c>
      <c r="L535">
        <v>367.12920000000003</v>
      </c>
      <c r="M535">
        <v>0.99992360000000002</v>
      </c>
      <c r="N535">
        <v>-1.1736119999999999E-2</v>
      </c>
      <c r="O535">
        <v>-3.8705329999999998E-3</v>
      </c>
      <c r="P535">
        <v>0.98439600000000005</v>
      </c>
      <c r="Q535">
        <v>0.16178299999999901</v>
      </c>
      <c r="R535">
        <v>6.921455E-2</v>
      </c>
      <c r="S535">
        <v>3.0440369999999999</v>
      </c>
      <c r="T535">
        <v>-3.7273050000000002E-2</v>
      </c>
      <c r="U535">
        <v>0.1373596</v>
      </c>
      <c r="V535">
        <v>-7.3022580000000004E-2</v>
      </c>
      <c r="W535">
        <v>0.17332249999999999</v>
      </c>
      <c r="X535">
        <v>0.98215430000000004</v>
      </c>
      <c r="Y535">
        <v>-4.8937639999999998E-2</v>
      </c>
      <c r="Z535">
        <v>5.8875940000000003E-4</v>
      </c>
      <c r="AA535">
        <v>0.99880159999999996</v>
      </c>
      <c r="AB535">
        <v>31</v>
      </c>
      <c r="AC535">
        <v>94.567399999999907</v>
      </c>
      <c r="AD535">
        <v>-1.1599090000000001</v>
      </c>
      <c r="AE535">
        <v>4.2750999999999504</v>
      </c>
      <c r="AF535">
        <v>-4.6404227554133799</v>
      </c>
      <c r="AG535">
        <v>-1.1599090000000001</v>
      </c>
      <c r="AH535">
        <v>94.5359504500165</v>
      </c>
      <c r="AI535">
        <v>90.702110126063005</v>
      </c>
      <c r="AJ535">
        <v>92.810183909592595</v>
      </c>
      <c r="AK535">
        <v>94.656879516098599</v>
      </c>
      <c r="AL535">
        <v>80.018947541952102</v>
      </c>
      <c r="AM535">
        <v>94.252083240372102</v>
      </c>
      <c r="AN535">
        <v>1.00000002760229</v>
      </c>
    </row>
    <row r="536" spans="1:40" x14ac:dyDescent="0.25">
      <c r="A536" t="str">
        <f>"20190304155607274"</f>
        <v>20190304155607274</v>
      </c>
      <c r="B536" t="str">
        <f>"1551686167265537"</f>
        <v>1551686167265537</v>
      </c>
      <c r="C536" t="s">
        <v>40</v>
      </c>
      <c r="D536">
        <v>4.4786210000000004</v>
      </c>
      <c r="E536">
        <v>0.50755479999999997</v>
      </c>
      <c r="F536" t="s">
        <v>44</v>
      </c>
      <c r="G536">
        <v>-277.65190000000001</v>
      </c>
      <c r="H536">
        <v>-0.05</v>
      </c>
      <c r="I536">
        <v>371.53820000000002</v>
      </c>
      <c r="J536">
        <v>-376.67039999999997</v>
      </c>
      <c r="K536">
        <v>1.109909</v>
      </c>
      <c r="L536">
        <v>367.12869999999998</v>
      </c>
      <c r="M536">
        <v>0.99992369999999997</v>
      </c>
      <c r="N536">
        <v>-1.1736699999999999E-2</v>
      </c>
      <c r="O536">
        <v>-3.865411E-3</v>
      </c>
      <c r="P536">
        <v>0.98440419999999995</v>
      </c>
      <c r="Q536">
        <v>0.1619235</v>
      </c>
      <c r="R536">
        <v>6.8770719999999994E-2</v>
      </c>
      <c r="S536">
        <v>3.0439150000000001</v>
      </c>
      <c r="T536">
        <v>-3.560638E-2</v>
      </c>
      <c r="U536">
        <v>0.13534549999999901</v>
      </c>
      <c r="V536">
        <v>-7.2573499999999999E-2</v>
      </c>
      <c r="W536">
        <v>0.17346339999999999</v>
      </c>
      <c r="X536">
        <v>0.98216270000000006</v>
      </c>
      <c r="Y536">
        <v>-4.8275310000000002E-2</v>
      </c>
      <c r="Z536">
        <v>5.6551569999999996E-4</v>
      </c>
      <c r="AA536">
        <v>0.99883390000000005</v>
      </c>
      <c r="AB536">
        <v>31</v>
      </c>
      <c r="AC536">
        <v>99.018499999999904</v>
      </c>
      <c r="AD536">
        <v>-1.1599090000000001</v>
      </c>
      <c r="AE536">
        <v>4.4095000000000297</v>
      </c>
      <c r="AF536">
        <v>-4.7915844017403</v>
      </c>
      <c r="AG536">
        <v>-1.1599090000000001</v>
      </c>
      <c r="AH536">
        <v>98.987158390809796</v>
      </c>
      <c r="AI536">
        <v>90.670563098158496</v>
      </c>
      <c r="AJ536">
        <v>92.771303278305496</v>
      </c>
      <c r="AK536">
        <v>99.109849138491498</v>
      </c>
      <c r="AL536">
        <v>80.010750292032995</v>
      </c>
      <c r="AM536">
        <v>94.225992461745804</v>
      </c>
      <c r="AN536">
        <v>1.0000000166565499</v>
      </c>
    </row>
    <row r="537" spans="1:40" x14ac:dyDescent="0.25">
      <c r="A537" t="str">
        <f>"20190304155607285"</f>
        <v>20190304155607285</v>
      </c>
      <c r="B537" t="str">
        <f>"1551686167275298"</f>
        <v>1551686167275298</v>
      </c>
      <c r="C537" t="s">
        <v>40</v>
      </c>
      <c r="D537">
        <v>4.4362019999999998</v>
      </c>
      <c r="E537">
        <v>0.50770590000000004</v>
      </c>
      <c r="F537" t="s">
        <v>44</v>
      </c>
      <c r="G537">
        <v>-278.49599999999998</v>
      </c>
      <c r="H537">
        <v>-0.05</v>
      </c>
      <c r="I537">
        <v>371.46620000000001</v>
      </c>
      <c r="J537">
        <v>-376.51949999999999</v>
      </c>
      <c r="K537">
        <v>1.109909</v>
      </c>
      <c r="L537">
        <v>367.12810000000002</v>
      </c>
      <c r="M537">
        <v>0.99992380000000003</v>
      </c>
      <c r="N537">
        <v>-1.1737340000000001E-2</v>
      </c>
      <c r="O537">
        <v>-3.8600510000000002E-3</v>
      </c>
      <c r="P537">
        <v>0.98438579999999998</v>
      </c>
      <c r="Q537">
        <v>0.162163</v>
      </c>
      <c r="R537">
        <v>6.8469000000000002E-2</v>
      </c>
      <c r="S537">
        <v>3.0440369999999999</v>
      </c>
      <c r="T537">
        <v>-3.5964610000000001E-2</v>
      </c>
      <c r="U537">
        <v>0.134491</v>
      </c>
      <c r="V537">
        <v>-7.2266430000000006E-2</v>
      </c>
      <c r="W537">
        <v>0.17370379999999999</v>
      </c>
      <c r="X537">
        <v>0.98214279999999998</v>
      </c>
      <c r="Y537">
        <v>-4.7988280000000001E-2</v>
      </c>
      <c r="Z537">
        <v>5.6542859999999997E-4</v>
      </c>
      <c r="AA537">
        <v>0.99884770000000001</v>
      </c>
      <c r="AB537">
        <v>31</v>
      </c>
      <c r="AC537">
        <v>98.023499999999999</v>
      </c>
      <c r="AD537">
        <v>-1.1599090000000001</v>
      </c>
      <c r="AE537">
        <v>4.3380999999999901</v>
      </c>
      <c r="AF537">
        <v>-4.7158103876943596</v>
      </c>
      <c r="AG537">
        <v>-1.1599090000000001</v>
      </c>
      <c r="AH537">
        <v>97.992329201838999</v>
      </c>
      <c r="AI537">
        <v>90.677379291425297</v>
      </c>
      <c r="AJ537">
        <v>92.7551925467328</v>
      </c>
      <c r="AK537">
        <v>98.1125926622192</v>
      </c>
      <c r="AL537">
        <v>79.996763524761207</v>
      </c>
      <c r="AM537">
        <v>94.208260946262101</v>
      </c>
      <c r="AN537">
        <v>0.99999996331561103</v>
      </c>
    </row>
    <row r="538" spans="1:40" x14ac:dyDescent="0.25">
      <c r="A538" t="str">
        <f>"20190304155607295"</f>
        <v>20190304155607295</v>
      </c>
      <c r="B538" t="str">
        <f>"1551686167285058"</f>
        <v>1551686167285058</v>
      </c>
      <c r="C538" t="s">
        <v>40</v>
      </c>
      <c r="D538">
        <v>4.6383559999999999</v>
      </c>
      <c r="E538">
        <v>0.50822230000000002</v>
      </c>
      <c r="F538" t="s">
        <v>44</v>
      </c>
      <c r="G538">
        <v>-277.11279999999999</v>
      </c>
      <c r="H538">
        <v>-0.05</v>
      </c>
      <c r="I538">
        <v>371.45209999999997</v>
      </c>
      <c r="J538">
        <v>-376.36649999999997</v>
      </c>
      <c r="K538">
        <v>1.1099079999999999</v>
      </c>
      <c r="L538">
        <v>367.1275</v>
      </c>
      <c r="M538">
        <v>0.99992369999999997</v>
      </c>
      <c r="N538">
        <v>-1.1738E-2</v>
      </c>
      <c r="O538">
        <v>-3.85469E-3</v>
      </c>
      <c r="P538">
        <v>0.98442739999999995</v>
      </c>
      <c r="Q538">
        <v>0.1621107</v>
      </c>
      <c r="R538">
        <v>6.7993719999999994E-2</v>
      </c>
      <c r="S538">
        <v>3.0441590000000001</v>
      </c>
      <c r="T538">
        <v>-3.5520200000000002E-2</v>
      </c>
      <c r="U538">
        <v>0.1324158</v>
      </c>
      <c r="V538">
        <v>-7.1786119999999995E-2</v>
      </c>
      <c r="W538">
        <v>0.17365220000000001</v>
      </c>
      <c r="X538">
        <v>0.98218720000000004</v>
      </c>
      <c r="Y538">
        <v>-4.7301759999999998E-2</v>
      </c>
      <c r="Z538">
        <v>5.5332980000000003E-4</v>
      </c>
      <c r="AA538">
        <v>0.99888049999999995</v>
      </c>
      <c r="AB538">
        <v>31</v>
      </c>
      <c r="AC538">
        <v>99.253699999999895</v>
      </c>
      <c r="AD538">
        <v>-1.1599079999999999</v>
      </c>
      <c r="AE538">
        <v>4.32459999999997</v>
      </c>
      <c r="AF538">
        <v>-4.7065449100101802</v>
      </c>
      <c r="AG538">
        <v>-1.1599079999999999</v>
      </c>
      <c r="AH538">
        <v>99.222766242404902</v>
      </c>
      <c r="AI538">
        <v>90.669001477323107</v>
      </c>
      <c r="AJ538">
        <v>92.715739479161201</v>
      </c>
      <c r="AK538">
        <v>99.3411007204638</v>
      </c>
      <c r="AL538">
        <v>79.999766130631201</v>
      </c>
      <c r="AM538">
        <v>94.180202434905098</v>
      </c>
      <c r="AN538">
        <v>1.0000000147166599</v>
      </c>
    </row>
    <row r="539" spans="1:40" x14ac:dyDescent="0.25">
      <c r="A539" t="str">
        <f>"20190304155607306"</f>
        <v>20190304155607306</v>
      </c>
      <c r="B539" t="str">
        <f>"1551686167295795"</f>
        <v>1551686167295795</v>
      </c>
      <c r="C539" t="s">
        <v>40</v>
      </c>
      <c r="D539">
        <v>4.5663179999999999</v>
      </c>
      <c r="E539">
        <v>0.50844060000000002</v>
      </c>
      <c r="F539" t="s">
        <v>44</v>
      </c>
      <c r="G539">
        <v>-277.39729999999997</v>
      </c>
      <c r="H539">
        <v>-0.05</v>
      </c>
      <c r="I539">
        <v>371.24829999999997</v>
      </c>
      <c r="J539">
        <v>-376.22030000000001</v>
      </c>
      <c r="K539">
        <v>1.109909</v>
      </c>
      <c r="L539">
        <v>367.12689999999998</v>
      </c>
      <c r="M539">
        <v>0.99992380000000003</v>
      </c>
      <c r="N539">
        <v>-1.173865E-2</v>
      </c>
      <c r="O539">
        <v>-3.8498059999999999E-3</v>
      </c>
      <c r="P539">
        <v>0.98448650000000004</v>
      </c>
      <c r="Q539">
        <v>0.1618482</v>
      </c>
      <c r="R539">
        <v>6.7764599999999994E-2</v>
      </c>
      <c r="S539">
        <v>3.0445859999999998</v>
      </c>
      <c r="T539">
        <v>-3.5682199999999997E-2</v>
      </c>
      <c r="U539">
        <v>0.12676999999999999</v>
      </c>
      <c r="V539">
        <v>-7.1552470000000007E-2</v>
      </c>
      <c r="W539">
        <v>0.17339109999999999</v>
      </c>
      <c r="X539">
        <v>0.98225039999999997</v>
      </c>
      <c r="Y539">
        <v>-4.5442000000000003E-2</v>
      </c>
      <c r="Z539">
        <v>5.329461E-4</v>
      </c>
      <c r="AA539">
        <v>0.99896680000000004</v>
      </c>
      <c r="AB539">
        <v>31</v>
      </c>
      <c r="AC539">
        <v>98.822999999999993</v>
      </c>
      <c r="AD539">
        <v>-1.1599090000000001</v>
      </c>
      <c r="AE539">
        <v>4.1213999999999897</v>
      </c>
      <c r="AF539">
        <v>-4.50122598033904</v>
      </c>
      <c r="AG539">
        <v>-1.1599090000000001</v>
      </c>
      <c r="AH539">
        <v>98.792813548474001</v>
      </c>
      <c r="AI539">
        <v>90.671971680224402</v>
      </c>
      <c r="AJ539">
        <v>92.608722265187893</v>
      </c>
      <c r="AK539">
        <v>98.9021053013428</v>
      </c>
      <c r="AL539">
        <v>80.014956739543805</v>
      </c>
      <c r="AM539">
        <v>94.166377530330394</v>
      </c>
      <c r="AN539">
        <v>1.00000003891123</v>
      </c>
    </row>
    <row r="540" spans="1:40" x14ac:dyDescent="0.25">
      <c r="A540" t="str">
        <f>"20190304155607318"</f>
        <v>20190304155607318</v>
      </c>
      <c r="B540" t="str">
        <f>"1551686167315314"</f>
        <v>1551686167315314</v>
      </c>
      <c r="C540" t="s">
        <v>40</v>
      </c>
      <c r="D540">
        <v>4.6354759999999997</v>
      </c>
      <c r="E540">
        <v>0.50905730000000005</v>
      </c>
      <c r="F540" t="s">
        <v>41</v>
      </c>
      <c r="G540">
        <v>-279.82979999999998</v>
      </c>
      <c r="H540" s="1">
        <v>-4.421503E-7</v>
      </c>
      <c r="I540">
        <v>371.07</v>
      </c>
      <c r="J540">
        <v>-376.06450000000001</v>
      </c>
      <c r="K540">
        <v>1.1099079999999999</v>
      </c>
      <c r="L540">
        <v>367.12630000000001</v>
      </c>
      <c r="M540">
        <v>0.99992369999999997</v>
      </c>
      <c r="N540">
        <v>-1.1739350000000001E-2</v>
      </c>
      <c r="O540">
        <v>-3.8439680000000001E-3</v>
      </c>
      <c r="P540">
        <v>0.98455119999999896</v>
      </c>
      <c r="Q540">
        <v>0.161633</v>
      </c>
      <c r="R540">
        <v>6.7332580000000003E-2</v>
      </c>
      <c r="S540">
        <v>3.0444640000000001</v>
      </c>
      <c r="T540">
        <v>-3.5056110000000001E-2</v>
      </c>
      <c r="U540">
        <v>0.12454220000000001</v>
      </c>
      <c r="V540">
        <v>-7.1114910000000003E-2</v>
      </c>
      <c r="W540">
        <v>0.1731779</v>
      </c>
      <c r="X540">
        <v>0.98231979999999997</v>
      </c>
      <c r="Y540">
        <v>-4.4708329999999998E-2</v>
      </c>
      <c r="Z540">
        <v>5.1898059999999895E-4</v>
      </c>
      <c r="AA540">
        <v>0.999</v>
      </c>
      <c r="AB540">
        <v>31</v>
      </c>
      <c r="AC540">
        <v>96.234700000000004</v>
      </c>
      <c r="AD540">
        <v>-1.1099084421502901</v>
      </c>
      <c r="AE540">
        <v>3.94369999999997</v>
      </c>
      <c r="AF540">
        <v>-4.3130467089625997</v>
      </c>
      <c r="AG540">
        <v>-1.1099084421502901</v>
      </c>
      <c r="AH540">
        <v>96.206052715248802</v>
      </c>
      <c r="AI540">
        <v>90.660316527514894</v>
      </c>
      <c r="AJ540">
        <v>92.566928047432995</v>
      </c>
      <c r="AK540">
        <v>96.309079778143897</v>
      </c>
      <c r="AL540">
        <v>80.0273599722901</v>
      </c>
      <c r="AM540">
        <v>94.140696525933507</v>
      </c>
      <c r="AN540">
        <v>1.00000005247237</v>
      </c>
    </row>
    <row r="541" spans="1:40" x14ac:dyDescent="0.25">
      <c r="A541" t="str">
        <f>"20190304155607328"</f>
        <v>20190304155607328</v>
      </c>
      <c r="B541" t="str">
        <f>"1551686167325075"</f>
        <v>1551686167325075</v>
      </c>
      <c r="C541" t="s">
        <v>40</v>
      </c>
      <c r="D541">
        <v>4.4294750000000001</v>
      </c>
      <c r="E541">
        <v>0.50944309999999904</v>
      </c>
      <c r="F541" t="s">
        <v>41</v>
      </c>
      <c r="G541">
        <v>-251.8664</v>
      </c>
      <c r="H541" s="1">
        <v>-4.0565360000000002E-6</v>
      </c>
      <c r="I541">
        <v>371.9597</v>
      </c>
      <c r="J541">
        <v>-375.90280000000001</v>
      </c>
      <c r="K541">
        <v>1.1099049999999999</v>
      </c>
      <c r="L541">
        <v>367.12569999999999</v>
      </c>
      <c r="M541">
        <v>0.99992360000000002</v>
      </c>
      <c r="N541">
        <v>-1.174009E-2</v>
      </c>
      <c r="O541">
        <v>-3.8381320000000002E-3</v>
      </c>
      <c r="P541">
        <v>0.9846163</v>
      </c>
      <c r="Q541">
        <v>0.1613356</v>
      </c>
      <c r="R541">
        <v>6.7093440000000004E-2</v>
      </c>
      <c r="S541">
        <v>3.0434269999999999</v>
      </c>
      <c r="T541">
        <v>-2.719796E-2</v>
      </c>
      <c r="U541">
        <v>0.11843869999999999</v>
      </c>
      <c r="V541">
        <v>-7.0869920000000003E-2</v>
      </c>
      <c r="W541">
        <v>0.17288199999999901</v>
      </c>
      <c r="X541">
        <v>0.98238959999999997</v>
      </c>
      <c r="Y541">
        <v>-4.2718060000000002E-2</v>
      </c>
      <c r="Z541">
        <v>4.3091640000000002E-4</v>
      </c>
      <c r="AA541">
        <v>0.99908710000000001</v>
      </c>
      <c r="AB541">
        <v>31</v>
      </c>
      <c r="AC541">
        <v>124.0364</v>
      </c>
      <c r="AD541">
        <v>-1.1099090565359999</v>
      </c>
      <c r="AE541">
        <v>4.8339999999999996</v>
      </c>
      <c r="AF541">
        <v>-5.3096408278849596</v>
      </c>
      <c r="AG541">
        <v>-1.1099090565359999</v>
      </c>
      <c r="AH541">
        <v>124.007017117781</v>
      </c>
      <c r="AI541">
        <v>90.512335507400394</v>
      </c>
      <c r="AJ541">
        <v>92.451750802569407</v>
      </c>
      <c r="AK541">
        <v>124.125599608963</v>
      </c>
      <c r="AL541">
        <v>80.044573193011004</v>
      </c>
      <c r="AM541">
        <v>94.126189058354598</v>
      </c>
      <c r="AN541">
        <v>1.0000000288364801</v>
      </c>
    </row>
    <row r="542" spans="1:40" x14ac:dyDescent="0.25">
      <c r="A542" t="str">
        <f>"20190304155607342"</f>
        <v>20190304155607342</v>
      </c>
      <c r="B542" t="str">
        <f>"1551686167335810"</f>
        <v>1551686167335810</v>
      </c>
      <c r="C542" t="s">
        <v>40</v>
      </c>
      <c r="D542">
        <v>4.5921250000000002</v>
      </c>
      <c r="E542">
        <v>0.50944309999999904</v>
      </c>
      <c r="F542" t="s">
        <v>41</v>
      </c>
      <c r="G542">
        <v>-230.57169999999999</v>
      </c>
      <c r="H542" s="1">
        <v>-4.6133679999999997E-6</v>
      </c>
      <c r="I542">
        <v>372.61489999999998</v>
      </c>
      <c r="J542">
        <v>-375.72730000000001</v>
      </c>
      <c r="K542">
        <v>1.1099030000000001</v>
      </c>
      <c r="L542">
        <v>367.125</v>
      </c>
      <c r="M542">
        <v>0.99992380000000003</v>
      </c>
      <c r="N542">
        <v>-1.174091E-2</v>
      </c>
      <c r="O542">
        <v>-3.8318200000000001E-3</v>
      </c>
      <c r="P542">
        <v>0.98468990000000001</v>
      </c>
      <c r="Q542">
        <v>0.1609583</v>
      </c>
      <c r="R542">
        <v>6.6919569999999998E-2</v>
      </c>
      <c r="S542">
        <v>3.0428470000000001</v>
      </c>
      <c r="T542">
        <v>-2.3238539999999999E-2</v>
      </c>
      <c r="U542">
        <v>0.1149292</v>
      </c>
      <c r="V542">
        <v>-7.0690550000000005E-2</v>
      </c>
      <c r="W542">
        <v>0.1725063</v>
      </c>
      <c r="X542">
        <v>0.98246849999999997</v>
      </c>
      <c r="Y542">
        <v>-4.156936E-2</v>
      </c>
      <c r="Z542">
        <v>3.8709079999999998E-4</v>
      </c>
      <c r="AA542">
        <v>0.99913560000000001</v>
      </c>
      <c r="AB542">
        <v>31</v>
      </c>
      <c r="AC542">
        <v>145.15559999999999</v>
      </c>
      <c r="AD542">
        <v>-1.1099076133679999</v>
      </c>
      <c r="AE542">
        <v>5.4898999999999702</v>
      </c>
      <c r="AF542">
        <v>-6.0457551555803404</v>
      </c>
      <c r="AG542">
        <v>-1.1099076133679999</v>
      </c>
      <c r="AH542">
        <v>145.12502363099199</v>
      </c>
      <c r="AI542">
        <v>90.4378064761259</v>
      </c>
      <c r="AJ542">
        <v>92.385502290604094</v>
      </c>
      <c r="AK542">
        <v>145.25513944163001</v>
      </c>
      <c r="AL542">
        <v>80.066426931905895</v>
      </c>
      <c r="AM542">
        <v>94.115452316548399</v>
      </c>
      <c r="AN542">
        <v>0.99999996544561998</v>
      </c>
    </row>
    <row r="543" spans="1:40" x14ac:dyDescent="0.25">
      <c r="A543" t="str">
        <f>"20190304155607354"</f>
        <v>20190304155607354</v>
      </c>
      <c r="B543" t="str">
        <f>"1551686167345570"</f>
        <v>1551686167345570</v>
      </c>
      <c r="C543" t="s">
        <v>40</v>
      </c>
      <c r="D543">
        <v>4.3975749999999998</v>
      </c>
      <c r="E543">
        <v>0.51746610000000004</v>
      </c>
      <c r="F543" t="s">
        <v>41</v>
      </c>
      <c r="G543">
        <v>-237.7098</v>
      </c>
      <c r="H543" s="1">
        <v>-1.6863759999999901E-6</v>
      </c>
      <c r="I543">
        <v>372.32819999999998</v>
      </c>
      <c r="J543">
        <v>-375.55439999999999</v>
      </c>
      <c r="K543">
        <v>1.1099000000000001</v>
      </c>
      <c r="L543">
        <v>367.12439999999998</v>
      </c>
      <c r="M543">
        <v>0.99992380000000003</v>
      </c>
      <c r="N543">
        <v>-1.1741720000000001E-2</v>
      </c>
      <c r="O543">
        <v>-3.8256269999999998E-3</v>
      </c>
      <c r="P543">
        <v>0.98480109999999998</v>
      </c>
      <c r="Q543">
        <v>0.1604305</v>
      </c>
      <c r="R543">
        <v>6.6549129999999998E-2</v>
      </c>
      <c r="S543">
        <v>3.0428769999999998</v>
      </c>
      <c r="T543">
        <v>-2.447009E-2</v>
      </c>
      <c r="U543">
        <v>0.1147156</v>
      </c>
      <c r="V543">
        <v>-7.0313899999999901E-2</v>
      </c>
      <c r="W543">
        <v>0.17198069999999999</v>
      </c>
      <c r="X543">
        <v>0.98258769999999995</v>
      </c>
      <c r="Y543">
        <v>-4.1492519999999998E-2</v>
      </c>
      <c r="Z543">
        <v>3.9632520000000001E-4</v>
      </c>
      <c r="AA543">
        <v>0.99913870000000005</v>
      </c>
      <c r="AB543">
        <v>31</v>
      </c>
      <c r="AC543">
        <v>137.84460000000001</v>
      </c>
      <c r="AD543">
        <v>-1.1099016863760001</v>
      </c>
      <c r="AE543">
        <v>5.2038000000000002</v>
      </c>
      <c r="AF543">
        <v>-5.7307692564582</v>
      </c>
      <c r="AG543">
        <v>-1.1099016863760001</v>
      </c>
      <c r="AH543">
        <v>137.81475988825301</v>
      </c>
      <c r="AI543">
        <v>90.461027551995997</v>
      </c>
      <c r="AJ543">
        <v>92.381166085256794</v>
      </c>
      <c r="AK543">
        <v>137.93832549759699</v>
      </c>
      <c r="AL543">
        <v>80.096998820618694</v>
      </c>
      <c r="AM543">
        <v>94.093104389361102</v>
      </c>
      <c r="AN543">
        <v>0.99999999694849395</v>
      </c>
    </row>
    <row r="544" spans="1:40" x14ac:dyDescent="0.25">
      <c r="A544" t="str">
        <f>"20190304155607366"</f>
        <v>20190304155607366</v>
      </c>
      <c r="B544" t="str">
        <f>"1551686167355329"</f>
        <v>1551686167355329</v>
      </c>
      <c r="C544" t="s">
        <v>40</v>
      </c>
      <c r="D544">
        <v>4.3966750000000001</v>
      </c>
      <c r="E544">
        <v>0.51742479999999902</v>
      </c>
      <c r="F544" t="s">
        <v>43</v>
      </c>
      <c r="G544">
        <v>-170.08879999999999</v>
      </c>
      <c r="H544">
        <v>8.0115970000000001</v>
      </c>
      <c r="I544">
        <v>370.69240000000002</v>
      </c>
      <c r="J544">
        <v>-375.38909999999998</v>
      </c>
      <c r="K544">
        <v>1.1098969999999999</v>
      </c>
      <c r="L544">
        <v>367.12369999999999</v>
      </c>
      <c r="M544">
        <v>0.99992380000000003</v>
      </c>
      <c r="N544">
        <v>-1.1742499999999999E-2</v>
      </c>
      <c r="O544">
        <v>-3.8195519999999999E-3</v>
      </c>
      <c r="P544">
        <v>0.9848903</v>
      </c>
      <c r="Q544">
        <v>0.1600512</v>
      </c>
      <c r="R544">
        <v>6.6141710000000006E-2</v>
      </c>
      <c r="S544">
        <v>3.026154</v>
      </c>
      <c r="T544">
        <v>0.1016513</v>
      </c>
      <c r="U544">
        <v>5.2551269999999997E-2</v>
      </c>
      <c r="V544">
        <v>-6.9901099999999994E-2</v>
      </c>
      <c r="W544">
        <v>0.17160300000000001</v>
      </c>
      <c r="X544">
        <v>0.98268319999999998</v>
      </c>
      <c r="Y544">
        <v>-2.117051E-2</v>
      </c>
      <c r="Z544">
        <v>-4.0419700000000002E-4</v>
      </c>
      <c r="AA544">
        <v>0.99977579999999999</v>
      </c>
      <c r="AB544">
        <v>31</v>
      </c>
      <c r="AC544">
        <v>205.30029999999999</v>
      </c>
      <c r="AD544">
        <v>6.9016999999999999</v>
      </c>
      <c r="AE544">
        <v>3.56870000000003</v>
      </c>
      <c r="AF544">
        <v>-4.3479708320507902</v>
      </c>
      <c r="AG544">
        <v>6.9016999999999999</v>
      </c>
      <c r="AH544">
        <v>205.05350089602601</v>
      </c>
      <c r="AI544">
        <v>88.072696693154498</v>
      </c>
      <c r="AJ544">
        <v>91.214722261175993</v>
      </c>
      <c r="AK544">
        <v>205.21568298490999</v>
      </c>
      <c r="AL544">
        <v>80.118966172095398</v>
      </c>
      <c r="AM544">
        <v>94.068761358535696</v>
      </c>
      <c r="AN544">
        <v>1.0000000124762201</v>
      </c>
    </row>
    <row r="545" spans="1:40" x14ac:dyDescent="0.25">
      <c r="A545" t="str">
        <f>"20190304155607377"</f>
        <v>20190304155607377</v>
      </c>
      <c r="B545" t="str">
        <f>"1551686167365090"</f>
        <v>1551686167365090</v>
      </c>
      <c r="C545" t="s">
        <v>40</v>
      </c>
      <c r="D545">
        <v>4.4191320000000003</v>
      </c>
      <c r="E545">
        <v>0.51571880000000003</v>
      </c>
      <c r="F545" t="s">
        <v>43</v>
      </c>
      <c r="G545">
        <v>-170.08879999999999</v>
      </c>
      <c r="H545">
        <v>7.5745019999999998</v>
      </c>
      <c r="I545">
        <v>370.64440000000002</v>
      </c>
      <c r="J545">
        <v>-375.23599999999999</v>
      </c>
      <c r="K545">
        <v>1.1099000000000001</v>
      </c>
      <c r="L545">
        <v>367.12310000000002</v>
      </c>
      <c r="M545">
        <v>0.99992380000000003</v>
      </c>
      <c r="N545">
        <v>-1.174322E-2</v>
      </c>
      <c r="O545">
        <v>-3.814193E-3</v>
      </c>
      <c r="P545">
        <v>0.98499519999999996</v>
      </c>
      <c r="Q545">
        <v>0.15958599999999901</v>
      </c>
      <c r="R545">
        <v>6.5702699999999906E-2</v>
      </c>
      <c r="S545">
        <v>3.0270079999999999</v>
      </c>
      <c r="T545">
        <v>9.5317239999999998E-2</v>
      </c>
      <c r="U545">
        <v>5.1910400000000002E-2</v>
      </c>
      <c r="V545">
        <v>-6.945693E-2</v>
      </c>
      <c r="W545">
        <v>0.17113979999999901</v>
      </c>
      <c r="X545">
        <v>0.98279550000000004</v>
      </c>
      <c r="Y545">
        <v>-2.0950259999999998E-2</v>
      </c>
      <c r="Z545">
        <v>-3.7154119999999999E-4</v>
      </c>
      <c r="AA545">
        <v>0.99978049999999996</v>
      </c>
      <c r="AB545">
        <v>31</v>
      </c>
      <c r="AC545">
        <v>205.1472</v>
      </c>
      <c r="AD545">
        <v>6.4646020000000002</v>
      </c>
      <c r="AE545">
        <v>3.5212999999999899</v>
      </c>
      <c r="AF545">
        <v>-4.2995311245813204</v>
      </c>
      <c r="AG545">
        <v>6.4646020000000002</v>
      </c>
      <c r="AH545">
        <v>204.928839822329</v>
      </c>
      <c r="AI545">
        <v>88.193567053185106</v>
      </c>
      <c r="AJ545">
        <v>91.201923805479694</v>
      </c>
      <c r="AK545">
        <v>205.075855326354</v>
      </c>
      <c r="AL545">
        <v>80.145904412249095</v>
      </c>
      <c r="AM545">
        <v>94.042532941655907</v>
      </c>
      <c r="AN545">
        <v>1.0000000455446501</v>
      </c>
    </row>
    <row r="546" spans="1:40" x14ac:dyDescent="0.25">
      <c r="A546" t="str">
        <f>"20190304155607390"</f>
        <v>20190304155607390</v>
      </c>
      <c r="B546" t="str">
        <f>"1551686167385585"</f>
        <v>1551686167385585</v>
      </c>
      <c r="C546" t="s">
        <v>40</v>
      </c>
      <c r="D546">
        <v>4.4038490000000001</v>
      </c>
      <c r="E546">
        <v>0.51413690000000001</v>
      </c>
      <c r="F546" t="s">
        <v>43</v>
      </c>
      <c r="G546">
        <v>-158.19499999999999</v>
      </c>
      <c r="H546">
        <v>5.9062219999999996</v>
      </c>
      <c r="I546">
        <v>371.68880000000001</v>
      </c>
      <c r="J546">
        <v>-375.05720000000002</v>
      </c>
      <c r="K546">
        <v>1.1098969999999999</v>
      </c>
      <c r="L546">
        <v>367.1225</v>
      </c>
      <c r="M546">
        <v>0.99992369999999997</v>
      </c>
      <c r="N546">
        <v>-1.1744060000000001E-2</v>
      </c>
      <c r="O546">
        <v>-3.8075230000000002E-3</v>
      </c>
      <c r="P546">
        <v>0.98507</v>
      </c>
      <c r="Q546">
        <v>0.159227799999999</v>
      </c>
      <c r="R546">
        <v>6.544991E-2</v>
      </c>
      <c r="S546">
        <v>3.0306090000000001</v>
      </c>
      <c r="T546">
        <v>6.6973690000000002E-2</v>
      </c>
      <c r="U546">
        <v>6.3751219999999997E-2</v>
      </c>
      <c r="V546">
        <v>-6.9198380000000004E-2</v>
      </c>
      <c r="W546">
        <v>0.17078370000000001</v>
      </c>
      <c r="X546">
        <v>0.98287559999999996</v>
      </c>
      <c r="Y546">
        <v>-2.4832900000000002E-2</v>
      </c>
      <c r="Z546">
        <v>-2.5730680000000001E-4</v>
      </c>
      <c r="AA546">
        <v>0.99969160000000001</v>
      </c>
      <c r="AB546">
        <v>31</v>
      </c>
      <c r="AC546">
        <v>216.8622</v>
      </c>
      <c r="AD546">
        <v>4.7963250000000004</v>
      </c>
      <c r="AE546">
        <v>4.5663000000000098</v>
      </c>
      <c r="AF546">
        <v>-5.3893966299009701</v>
      </c>
      <c r="AG546">
        <v>4.7963250000000004</v>
      </c>
      <c r="AH546">
        <v>216.73726846901999</v>
      </c>
      <c r="AI546">
        <v>88.7326616429186</v>
      </c>
      <c r="AJ546">
        <v>91.424425357084701</v>
      </c>
      <c r="AK546">
        <v>216.857312242295</v>
      </c>
      <c r="AL546">
        <v>80.166611522308401</v>
      </c>
      <c r="AM546">
        <v>94.027207279484898</v>
      </c>
      <c r="AN546">
        <v>0.99999996652783596</v>
      </c>
    </row>
    <row r="547" spans="1:40" x14ac:dyDescent="0.25">
      <c r="A547" t="str">
        <f>"20190304155607407"</f>
        <v>20190304155607407</v>
      </c>
      <c r="B547" t="str">
        <f>"1551686167405728"</f>
        <v>1551686167405728</v>
      </c>
      <c r="C547" t="s">
        <v>40</v>
      </c>
      <c r="D547">
        <v>4.4406049999999997</v>
      </c>
      <c r="E547">
        <v>0.51244069999999997</v>
      </c>
      <c r="F547" t="s">
        <v>43</v>
      </c>
      <c r="G547">
        <v>-158.19499999999999</v>
      </c>
      <c r="H547">
        <v>4.1681699999999999</v>
      </c>
      <c r="I547">
        <v>372.46519999999998</v>
      </c>
      <c r="J547">
        <v>-374.80520000000001</v>
      </c>
      <c r="K547">
        <v>1.1098969999999999</v>
      </c>
      <c r="L547">
        <v>367.12150000000003</v>
      </c>
      <c r="M547">
        <v>0.99992389999999998</v>
      </c>
      <c r="N547">
        <v>-1.174527E-2</v>
      </c>
      <c r="O547">
        <v>-3.7981170000000002E-3</v>
      </c>
      <c r="P547">
        <v>0.98518309999999998</v>
      </c>
      <c r="Q547">
        <v>0.15867210000000001</v>
      </c>
      <c r="R547">
        <v>6.5100000000000005E-2</v>
      </c>
      <c r="S547">
        <v>3.0335999999999999</v>
      </c>
      <c r="T547">
        <v>4.2782189999999998E-2</v>
      </c>
      <c r="U547">
        <v>7.473755E-2</v>
      </c>
      <c r="V547">
        <v>-6.8839490000000003E-2</v>
      </c>
      <c r="W547">
        <v>0.1702302</v>
      </c>
      <c r="X547">
        <v>0.98299689999999995</v>
      </c>
      <c r="Y547">
        <v>-2.8424430000000001E-2</v>
      </c>
      <c r="Z547">
        <v>-1.3158660000000001E-4</v>
      </c>
      <c r="AA547">
        <v>0.99959589999999998</v>
      </c>
      <c r="AB547">
        <v>31</v>
      </c>
      <c r="AC547">
        <v>216.61019999999999</v>
      </c>
      <c r="AD547">
        <v>3.0582729999999998</v>
      </c>
      <c r="AE547">
        <v>5.3436999999999504</v>
      </c>
      <c r="AF547">
        <v>-6.1652007876235198</v>
      </c>
      <c r="AG547">
        <v>3.0582729999999998</v>
      </c>
      <c r="AH547">
        <v>216.54520011746001</v>
      </c>
      <c r="AI547">
        <v>89.191191833092603</v>
      </c>
      <c r="AJ547">
        <v>91.630812355923098</v>
      </c>
      <c r="AK547">
        <v>216.65453244371599</v>
      </c>
      <c r="AL547">
        <v>80.198796867579702</v>
      </c>
      <c r="AM547">
        <v>94.005896021019794</v>
      </c>
      <c r="AN547">
        <v>1.00000005089255</v>
      </c>
    </row>
    <row r="548" spans="1:40" x14ac:dyDescent="0.25">
      <c r="A548" t="str">
        <f>"20190304155607422"</f>
        <v>20190304155607422</v>
      </c>
      <c r="B548" t="str">
        <f>"1551686167415489"</f>
        <v>1551686167415489</v>
      </c>
      <c r="C548" t="s">
        <v>40</v>
      </c>
      <c r="D548">
        <v>4.4285620000000003</v>
      </c>
      <c r="E548">
        <v>0.5125208</v>
      </c>
      <c r="F548" t="s">
        <v>43</v>
      </c>
      <c r="G548">
        <v>-158.19499999999999</v>
      </c>
      <c r="H548">
        <v>2.7615880000000002</v>
      </c>
      <c r="I548">
        <v>373.36270000000002</v>
      </c>
      <c r="J548">
        <v>-374.61599999999999</v>
      </c>
      <c r="K548">
        <v>1.1098939999999999</v>
      </c>
      <c r="L548">
        <v>367.12079999999997</v>
      </c>
      <c r="M548">
        <v>0.99992389999999998</v>
      </c>
      <c r="N548">
        <v>-1.174618E-2</v>
      </c>
      <c r="O548">
        <v>-3.7912089999999998E-3</v>
      </c>
      <c r="P548">
        <v>0.98519820000000002</v>
      </c>
      <c r="Q548">
        <v>0.1587517</v>
      </c>
      <c r="R548">
        <v>6.4672339999999995E-2</v>
      </c>
      <c r="S548">
        <v>3.0355829999999999</v>
      </c>
      <c r="T548">
        <v>2.3148060000000002E-2</v>
      </c>
      <c r="U548">
        <v>8.7463379999999993E-2</v>
      </c>
      <c r="V548">
        <v>-6.8404930000000003E-2</v>
      </c>
      <c r="W548">
        <v>0.17031099999999999</v>
      </c>
      <c r="X548">
        <v>0.98301320000000003</v>
      </c>
      <c r="Y548">
        <v>-3.2590250000000001E-2</v>
      </c>
      <c r="Z548" s="1">
        <v>-6.2082250000000002E-6</v>
      </c>
      <c r="AA548">
        <v>0.99946880000000005</v>
      </c>
      <c r="AB548">
        <v>31</v>
      </c>
      <c r="AC548">
        <v>216.42099999999999</v>
      </c>
      <c r="AD548">
        <v>1.65169399999999</v>
      </c>
      <c r="AE548">
        <v>6.2419000000000402</v>
      </c>
      <c r="AF548">
        <v>-7.0619979392563801</v>
      </c>
      <c r="AG548">
        <v>1.65169399999999</v>
      </c>
      <c r="AH548">
        <v>216.383185649529</v>
      </c>
      <c r="AI548">
        <v>89.562891634972402</v>
      </c>
      <c r="AJ548">
        <v>91.869272360335799</v>
      </c>
      <c r="AK548">
        <v>216.504694960184</v>
      </c>
      <c r="AL548">
        <v>80.194098371684007</v>
      </c>
      <c r="AM548">
        <v>93.980623937862404</v>
      </c>
      <c r="AN548">
        <v>1.00000001127177</v>
      </c>
    </row>
    <row r="549" spans="1:40" x14ac:dyDescent="0.25">
      <c r="A549" t="str">
        <f>"20190304155607434"</f>
        <v>20190304155607434</v>
      </c>
      <c r="B549" t="str">
        <f>"1551686167425248"</f>
        <v>1551686167425248</v>
      </c>
      <c r="C549" t="s">
        <v>40</v>
      </c>
      <c r="D549">
        <v>4.3543399999999997</v>
      </c>
      <c r="E549">
        <v>0.51145989999999997</v>
      </c>
      <c r="F549" t="s">
        <v>43</v>
      </c>
      <c r="G549">
        <v>-158.19499999999999</v>
      </c>
      <c r="H549">
        <v>2.5869870000000001</v>
      </c>
      <c r="I549">
        <v>373.2097</v>
      </c>
      <c r="J549">
        <v>-374.44349999999997</v>
      </c>
      <c r="K549">
        <v>1.1098920000000001</v>
      </c>
      <c r="L549">
        <v>367.12009999999998</v>
      </c>
      <c r="M549">
        <v>0.99992389999999998</v>
      </c>
      <c r="N549">
        <v>-1.174701E-2</v>
      </c>
      <c r="O549">
        <v>-3.784777E-3</v>
      </c>
      <c r="P549">
        <v>0.98524299999999998</v>
      </c>
      <c r="Q549">
        <v>0.15854360000000001</v>
      </c>
      <c r="R549">
        <v>6.4501599999999895E-2</v>
      </c>
      <c r="S549">
        <v>3.036133</v>
      </c>
      <c r="T549">
        <v>2.0723100000000001E-2</v>
      </c>
      <c r="U549">
        <v>8.54187E-2</v>
      </c>
      <c r="V549">
        <v>-6.8227889999999999E-2</v>
      </c>
      <c r="W549">
        <v>0.17010430000000001</v>
      </c>
      <c r="X549">
        <v>0.98306130000000003</v>
      </c>
      <c r="Y549">
        <v>-3.1906150000000001E-2</v>
      </c>
      <c r="Z549" s="1">
        <v>8.2995099999999998E-6</v>
      </c>
      <c r="AA549">
        <v>0.99949089999999996</v>
      </c>
      <c r="AB549">
        <v>31</v>
      </c>
      <c r="AC549">
        <v>216.24850000000001</v>
      </c>
      <c r="AD549">
        <v>1.4770949999999901</v>
      </c>
      <c r="AE549">
        <v>6.0896000000000097</v>
      </c>
      <c r="AF549">
        <v>-6.9077431186516103</v>
      </c>
      <c r="AG549">
        <v>1.4770949999999901</v>
      </c>
      <c r="AH549">
        <v>216.213821832147</v>
      </c>
      <c r="AI549">
        <v>89.608781553028606</v>
      </c>
      <c r="AJ549">
        <v>91.829901272517205</v>
      </c>
      <c r="AK549">
        <v>216.329183135091</v>
      </c>
      <c r="AL549">
        <v>80.206116852696795</v>
      </c>
      <c r="AM549">
        <v>93.970160963151798</v>
      </c>
      <c r="AN549">
        <v>1.00000001870501</v>
      </c>
    </row>
    <row r="550" spans="1:40" x14ac:dyDescent="0.25">
      <c r="A550" t="str">
        <f>"20190304155607443"</f>
        <v>20190304155607443</v>
      </c>
      <c r="B550" t="str">
        <f>"1551686167435009"</f>
        <v>1551686167435009</v>
      </c>
      <c r="C550" t="s">
        <v>40</v>
      </c>
      <c r="D550">
        <v>4.3719210000000004</v>
      </c>
      <c r="E550">
        <v>0.5107815</v>
      </c>
      <c r="F550" t="s">
        <v>43</v>
      </c>
      <c r="G550">
        <v>-158.19499999999999</v>
      </c>
      <c r="H550">
        <v>1.7418309999999999</v>
      </c>
      <c r="I550">
        <v>373.74689999999998</v>
      </c>
      <c r="J550">
        <v>-374.29599999999999</v>
      </c>
      <c r="K550">
        <v>1.1098939999999999</v>
      </c>
      <c r="L550">
        <v>367.11959999999999</v>
      </c>
      <c r="M550">
        <v>0.99992389999999998</v>
      </c>
      <c r="N550">
        <v>-1.174772E-2</v>
      </c>
      <c r="O550">
        <v>-3.7791779999999998E-3</v>
      </c>
      <c r="P550">
        <v>0.98526610000000003</v>
      </c>
      <c r="Q550">
        <v>0.15847520000000001</v>
      </c>
      <c r="R550">
        <v>6.4314999999999997E-2</v>
      </c>
      <c r="S550">
        <v>3.0374150000000002</v>
      </c>
      <c r="T550">
        <v>8.87739699999999E-3</v>
      </c>
      <c r="U550">
        <v>9.3078610000000006E-2</v>
      </c>
      <c r="V550">
        <v>-6.8036020000000003E-2</v>
      </c>
      <c r="W550">
        <v>0.1700371</v>
      </c>
      <c r="X550">
        <v>0.98308620000000002</v>
      </c>
      <c r="Y550">
        <v>-3.4407140000000003E-2</v>
      </c>
      <c r="Z550" s="1">
        <v>9.6457400000000002E-5</v>
      </c>
      <c r="AA550">
        <v>0.99940790000000002</v>
      </c>
      <c r="AB550">
        <v>31</v>
      </c>
      <c r="AC550">
        <v>216.101</v>
      </c>
      <c r="AD550">
        <v>0.63193699999999997</v>
      </c>
      <c r="AE550">
        <v>6.6272999999999902</v>
      </c>
      <c r="AF550">
        <v>-7.4439295374838697</v>
      </c>
      <c r="AG550">
        <v>0.63193699999999997</v>
      </c>
      <c r="AH550">
        <v>216.07256313753001</v>
      </c>
      <c r="AI550">
        <v>89.832529629151793</v>
      </c>
      <c r="AJ550">
        <v>91.973120154249202</v>
      </c>
      <c r="AK550">
        <v>216.201674304694</v>
      </c>
      <c r="AL550">
        <v>80.210023825235297</v>
      </c>
      <c r="AM550">
        <v>93.958931700927593</v>
      </c>
      <c r="AN550">
        <v>0.99999999601214495</v>
      </c>
    </row>
    <row r="551" spans="1:40" x14ac:dyDescent="0.25">
      <c r="A551" t="str">
        <f>"20190304155607456"</f>
        <v>20190304155607456</v>
      </c>
      <c r="B551" t="str">
        <f>"1551686167445745"</f>
        <v>1551686167445745</v>
      </c>
      <c r="C551" t="s">
        <v>40</v>
      </c>
      <c r="D551">
        <v>4.2861390000000004</v>
      </c>
      <c r="E551">
        <v>0.50996549999999996</v>
      </c>
      <c r="F551" t="s">
        <v>43</v>
      </c>
      <c r="G551">
        <v>-158.19499999999999</v>
      </c>
      <c r="H551">
        <v>1.312325</v>
      </c>
      <c r="I551">
        <v>374.0727</v>
      </c>
      <c r="J551">
        <v>-374.13420000000002</v>
      </c>
      <c r="K551">
        <v>1.1098939999999999</v>
      </c>
      <c r="L551">
        <v>367.11900000000003</v>
      </c>
      <c r="M551">
        <v>0.99992389999999998</v>
      </c>
      <c r="N551">
        <v>-1.1748450000000001E-2</v>
      </c>
      <c r="O551">
        <v>-3.7734600000000002E-3</v>
      </c>
      <c r="P551">
        <v>0.98529929999999999</v>
      </c>
      <c r="Q551">
        <v>0.1583811</v>
      </c>
      <c r="R551">
        <v>6.4037259999999999E-2</v>
      </c>
      <c r="S551">
        <v>3.0380250000000002</v>
      </c>
      <c r="T551">
        <v>2.8470750000000001E-3</v>
      </c>
      <c r="U551">
        <v>9.7747799999999996E-2</v>
      </c>
      <c r="V551">
        <v>-6.7752569999999998E-2</v>
      </c>
      <c r="W551">
        <v>0.1699445</v>
      </c>
      <c r="X551">
        <v>0.98312180000000005</v>
      </c>
      <c r="Y551">
        <v>-3.5929559999999999E-2</v>
      </c>
      <c r="Z551">
        <v>1.4643139999999901E-4</v>
      </c>
      <c r="AA551">
        <v>0.99935430000000003</v>
      </c>
      <c r="AB551">
        <v>31</v>
      </c>
      <c r="AC551">
        <v>215.9392</v>
      </c>
      <c r="AD551">
        <v>0.202430999999999</v>
      </c>
      <c r="AE551">
        <v>6.9536999999999596</v>
      </c>
      <c r="AF551">
        <v>-7.76853781120621</v>
      </c>
      <c r="AG551">
        <v>0.202430999999999</v>
      </c>
      <c r="AH551">
        <v>215.91123153762501</v>
      </c>
      <c r="AI551">
        <v>89.946316186481198</v>
      </c>
      <c r="AJ551">
        <v>92.060626959409007</v>
      </c>
      <c r="AK551">
        <v>216.051038095465</v>
      </c>
      <c r="AL551">
        <v>80.2154078999734</v>
      </c>
      <c r="AM551">
        <v>93.942347905509493</v>
      </c>
      <c r="AN551">
        <v>1.0000000087285399</v>
      </c>
    </row>
    <row r="552" spans="1:40" x14ac:dyDescent="0.25">
      <c r="A552" t="str">
        <f>"20190304155607467"</f>
        <v>20190304155607467</v>
      </c>
      <c r="B552" t="str">
        <f>"1551686167465264"</f>
        <v>1551686167465264</v>
      </c>
      <c r="C552" t="s">
        <v>40</v>
      </c>
      <c r="D552">
        <v>4.3762230000000004</v>
      </c>
      <c r="E552">
        <v>0.50891459999999999</v>
      </c>
      <c r="F552" t="s">
        <v>43</v>
      </c>
      <c r="G552">
        <v>-158.19499999999999</v>
      </c>
      <c r="H552">
        <v>0.65413859999999902</v>
      </c>
      <c r="I552">
        <v>374.45690000000002</v>
      </c>
      <c r="J552">
        <v>-373.96800000000002</v>
      </c>
      <c r="K552">
        <v>1.1098950000000001</v>
      </c>
      <c r="L552">
        <v>367.11840000000001</v>
      </c>
      <c r="M552">
        <v>0.99992400000000004</v>
      </c>
      <c r="N552">
        <v>-1.174918E-2</v>
      </c>
      <c r="O552">
        <v>-3.7673849999999998E-3</v>
      </c>
      <c r="P552">
        <v>0.98532299999999995</v>
      </c>
      <c r="Q552">
        <v>0.15832270000000001</v>
      </c>
      <c r="R552">
        <v>6.3817810000000003E-2</v>
      </c>
      <c r="S552">
        <v>3.0390929999999998</v>
      </c>
      <c r="T552">
        <v>-6.4129829999999997E-3</v>
      </c>
      <c r="U552">
        <v>0.1032715</v>
      </c>
      <c r="V552">
        <v>-6.7527770000000001E-2</v>
      </c>
      <c r="W552">
        <v>0.1698867</v>
      </c>
      <c r="X552">
        <v>0.98314729999999995</v>
      </c>
      <c r="Y552">
        <v>-3.7725929999999998E-2</v>
      </c>
      <c r="Z552">
        <v>2.2518559999999999E-4</v>
      </c>
      <c r="AA552">
        <v>0.99928810000000001</v>
      </c>
      <c r="AB552">
        <v>31</v>
      </c>
      <c r="AC552">
        <v>215.773</v>
      </c>
      <c r="AD552">
        <v>-0.45575640000000001</v>
      </c>
      <c r="AE552">
        <v>7.3385000000000096</v>
      </c>
      <c r="AF552">
        <v>-8.1513675683878102</v>
      </c>
      <c r="AG552">
        <v>-0.45575640000000001</v>
      </c>
      <c r="AH552">
        <v>215.742858266501</v>
      </c>
      <c r="AI552">
        <v>90.120950751171307</v>
      </c>
      <c r="AJ552">
        <v>92.1637652991284</v>
      </c>
      <c r="AK552">
        <v>215.89727511048099</v>
      </c>
      <c r="AL552">
        <v>80.218768890913793</v>
      </c>
      <c r="AM552">
        <v>93.929206817900905</v>
      </c>
      <c r="AN552">
        <v>1.00000005202767</v>
      </c>
    </row>
    <row r="553" spans="1:40" x14ac:dyDescent="0.25">
      <c r="A553" t="str">
        <f>"20190304155607484"</f>
        <v>20190304155607484</v>
      </c>
      <c r="B553" t="str">
        <f>"1551686167476000"</f>
        <v>1551686167476000</v>
      </c>
      <c r="C553" t="s">
        <v>40</v>
      </c>
      <c r="D553">
        <v>4.4444280000000003</v>
      </c>
      <c r="E553">
        <v>0.50962529999999995</v>
      </c>
      <c r="F553" t="s">
        <v>45</v>
      </c>
      <c r="G553">
        <v>-207.6181</v>
      </c>
      <c r="H553" s="1">
        <v>-5.4924530000000001E-6</v>
      </c>
      <c r="I553">
        <v>373.18369999999999</v>
      </c>
      <c r="J553">
        <v>-373.73439999999999</v>
      </c>
      <c r="K553">
        <v>1.1098969999999999</v>
      </c>
      <c r="L553">
        <v>367.11759999999998</v>
      </c>
      <c r="M553">
        <v>0.99992400000000004</v>
      </c>
      <c r="N553">
        <v>-1.1750429999999999E-2</v>
      </c>
      <c r="O553">
        <v>-3.7589279999999999E-3</v>
      </c>
      <c r="P553">
        <v>0.9853653</v>
      </c>
      <c r="Q553">
        <v>0.15823489999999901</v>
      </c>
      <c r="R553">
        <v>6.3380430000000001E-2</v>
      </c>
      <c r="S553">
        <v>3.0408019999999998</v>
      </c>
      <c r="T553">
        <v>-2.0288469999999999E-2</v>
      </c>
      <c r="U553">
        <v>0.11087039999999999</v>
      </c>
      <c r="V553">
        <v>-6.7082009999999997E-2</v>
      </c>
      <c r="W553">
        <v>0.16980029999999999</v>
      </c>
      <c r="X553">
        <v>0.98319270000000003</v>
      </c>
      <c r="Y553">
        <v>-4.0190610000000002E-2</v>
      </c>
      <c r="Z553">
        <v>3.5116960000000001E-4</v>
      </c>
      <c r="AA553">
        <v>0.99919190000000002</v>
      </c>
      <c r="AB553">
        <v>31</v>
      </c>
      <c r="AC553">
        <v>166.1163</v>
      </c>
      <c r="AD553">
        <v>-1.1099024924530001</v>
      </c>
      <c r="AE553">
        <v>6.0660999999999996</v>
      </c>
      <c r="AF553">
        <v>-6.6902211286460904</v>
      </c>
      <c r="AG553">
        <v>-1.1099024924530001</v>
      </c>
      <c r="AH553">
        <v>166.08491814074</v>
      </c>
      <c r="AI553">
        <v>90.382576899250694</v>
      </c>
      <c r="AJ553">
        <v>92.306737483855201</v>
      </c>
      <c r="AK553">
        <v>166.223316583773</v>
      </c>
      <c r="AL553">
        <v>80.223791831132999</v>
      </c>
      <c r="AM553">
        <v>93.903170348369002</v>
      </c>
      <c r="AN553">
        <v>1.00000001163951</v>
      </c>
    </row>
    <row r="554" spans="1:40" x14ac:dyDescent="0.25">
      <c r="A554" t="str">
        <f>"20190304155607497"</f>
        <v>20190304155607497</v>
      </c>
      <c r="B554" t="str">
        <f>"1551686167485761"</f>
        <v>1551686167485761</v>
      </c>
      <c r="C554" t="s">
        <v>40</v>
      </c>
      <c r="D554">
        <v>4.3825960000000004</v>
      </c>
      <c r="E554">
        <v>0.50962529999999995</v>
      </c>
      <c r="F554" t="s">
        <v>41</v>
      </c>
      <c r="G554">
        <v>-234.42760000000001</v>
      </c>
      <c r="H554" s="1">
        <v>-2.9730830000000001E-6</v>
      </c>
      <c r="I554">
        <v>371.87220000000002</v>
      </c>
      <c r="J554">
        <v>-373.56389999999999</v>
      </c>
      <c r="K554">
        <v>1.1098969999999999</v>
      </c>
      <c r="L554">
        <v>367.11689999999999</v>
      </c>
      <c r="M554">
        <v>0.99992400000000004</v>
      </c>
      <c r="N554">
        <v>-1.1751259999999999E-2</v>
      </c>
      <c r="O554">
        <v>-3.752853E-3</v>
      </c>
      <c r="P554">
        <v>0.98541400000000001</v>
      </c>
      <c r="Q554">
        <v>0.1579962</v>
      </c>
      <c r="R554">
        <v>6.3220970000000001E-2</v>
      </c>
      <c r="S554">
        <v>3.0418090000000002</v>
      </c>
      <c r="T554">
        <v>-2.4235010000000001E-2</v>
      </c>
      <c r="U554">
        <v>0.1038208</v>
      </c>
      <c r="V554">
        <v>-6.6916470000000006E-2</v>
      </c>
      <c r="W554">
        <v>0.1695634</v>
      </c>
      <c r="X554">
        <v>0.98324480000000003</v>
      </c>
      <c r="Y554">
        <v>-3.7859089999999998E-2</v>
      </c>
      <c r="Z554">
        <v>3.5910039999999997E-4</v>
      </c>
      <c r="AA554">
        <v>0.99928300000000003</v>
      </c>
      <c r="AB554">
        <v>31</v>
      </c>
      <c r="AC554">
        <v>139.13629999999901</v>
      </c>
      <c r="AD554">
        <v>-1.1098999730829999</v>
      </c>
      <c r="AE554">
        <v>4.7553000000000303</v>
      </c>
      <c r="AF554">
        <v>-5.2771251878401504</v>
      </c>
      <c r="AG554">
        <v>-1.1098999730829999</v>
      </c>
      <c r="AH554">
        <v>139.10863123653999</v>
      </c>
      <c r="AI554">
        <v>90.456805080039402</v>
      </c>
      <c r="AJ554">
        <v>92.172489833583299</v>
      </c>
      <c r="AK554">
        <v>139.213114370385</v>
      </c>
      <c r="AL554">
        <v>80.237564305354596</v>
      </c>
      <c r="AM554">
        <v>93.893362379841605</v>
      </c>
      <c r="AN554">
        <v>0.99999994865192898</v>
      </c>
    </row>
    <row r="555" spans="1:40" x14ac:dyDescent="0.25">
      <c r="A555" t="str">
        <f>"20190304155607508"</f>
        <v>20190304155607508</v>
      </c>
      <c r="B555" t="str">
        <f>"1551686167505280"</f>
        <v>1551686167505280</v>
      </c>
      <c r="C555" t="s">
        <v>40</v>
      </c>
      <c r="D555">
        <v>4.4458979999999997</v>
      </c>
      <c r="E555">
        <v>0.54252210000000001</v>
      </c>
      <c r="F555" t="s">
        <v>41</v>
      </c>
      <c r="G555">
        <v>-238.3304</v>
      </c>
      <c r="H555" s="1">
        <v>-1.2569739999999999E-6</v>
      </c>
      <c r="I555">
        <v>371.71499999999997</v>
      </c>
      <c r="J555">
        <v>-373.39760000000001</v>
      </c>
      <c r="K555">
        <v>1.1098969999999999</v>
      </c>
      <c r="L555">
        <v>367.11630000000002</v>
      </c>
      <c r="M555">
        <v>0.99992409999999998</v>
      </c>
      <c r="N555">
        <v>-1.1752E-2</v>
      </c>
      <c r="O555">
        <v>-3.7470160000000001E-3</v>
      </c>
      <c r="P555">
        <v>0.98540499999999998</v>
      </c>
      <c r="Q555">
        <v>0.15822620000000001</v>
      </c>
      <c r="R555">
        <v>6.2783160000000005E-2</v>
      </c>
      <c r="S555">
        <v>3.041779</v>
      </c>
      <c r="T555">
        <v>-2.4964690000000001E-2</v>
      </c>
      <c r="U555">
        <v>0.1034241</v>
      </c>
      <c r="V555">
        <v>-6.6473069999999995E-2</v>
      </c>
      <c r="W555">
        <v>0.16979369999999999</v>
      </c>
      <c r="X555">
        <v>0.98323519999999998</v>
      </c>
      <c r="Y555">
        <v>-3.7723310000000003E-2</v>
      </c>
      <c r="Z555">
        <v>3.6321859999999999E-4</v>
      </c>
      <c r="AA555">
        <v>0.99928810000000001</v>
      </c>
      <c r="AB555">
        <v>31</v>
      </c>
      <c r="AC555">
        <v>135.06720000000001</v>
      </c>
      <c r="AD555">
        <v>-1.1098982569739999</v>
      </c>
      <c r="AE555">
        <v>4.5986999999999503</v>
      </c>
      <c r="AF555">
        <v>-5.10445725302755</v>
      </c>
      <c r="AG555">
        <v>-1.1098982569739999</v>
      </c>
      <c r="AH555">
        <v>135.039911043502</v>
      </c>
      <c r="AI555">
        <v>90.470569584170207</v>
      </c>
      <c r="AJ555">
        <v>92.164728060425304</v>
      </c>
      <c r="AK555">
        <v>135.14090769499001</v>
      </c>
      <c r="AL555">
        <v>80.224175579173505</v>
      </c>
      <c r="AM555">
        <v>93.867680498575396</v>
      </c>
      <c r="AN555">
        <v>1.00000001405697</v>
      </c>
    </row>
    <row r="556" spans="1:40" x14ac:dyDescent="0.25">
      <c r="A556" t="str">
        <f>"20190304155607520"</f>
        <v>20190304155607520</v>
      </c>
      <c r="B556" t="str">
        <f>"1551686167515041"</f>
        <v>1551686167515041</v>
      </c>
      <c r="C556" t="s">
        <v>40</v>
      </c>
      <c r="D556">
        <v>4.4028910000000003</v>
      </c>
      <c r="E556">
        <v>0.54424019999999995</v>
      </c>
      <c r="F556" t="s">
        <v>41</v>
      </c>
      <c r="G556">
        <v>-325.15339999999998</v>
      </c>
      <c r="H556" s="1">
        <v>-2.9738300000000002E-6</v>
      </c>
      <c r="I556">
        <v>364.58600000000001</v>
      </c>
      <c r="J556">
        <v>-373.23180000000002</v>
      </c>
      <c r="K556">
        <v>1.1098969999999999</v>
      </c>
      <c r="L556">
        <v>367.1157</v>
      </c>
      <c r="M556">
        <v>0.99992400000000004</v>
      </c>
      <c r="N556">
        <v>-1.1752719999999999E-2</v>
      </c>
      <c r="O556">
        <v>-3.7409399999999999E-3</v>
      </c>
      <c r="P556">
        <v>0.98540419999999995</v>
      </c>
      <c r="Q556">
        <v>0.15826680000000001</v>
      </c>
      <c r="R556">
        <v>6.2694620000000006E-2</v>
      </c>
      <c r="S556">
        <v>3.065979</v>
      </c>
      <c r="T556">
        <v>-7.0535420000000001E-2</v>
      </c>
      <c r="U556">
        <v>-0.1607971</v>
      </c>
      <c r="V556">
        <v>-6.6378820000000005E-2</v>
      </c>
      <c r="W556">
        <v>0.16983500000000001</v>
      </c>
      <c r="X556">
        <v>0.98323439999999995</v>
      </c>
      <c r="Y556">
        <v>4.861803E-2</v>
      </c>
      <c r="Z556">
        <v>-8.0269640000000001E-4</v>
      </c>
      <c r="AA556">
        <v>0.99881710000000001</v>
      </c>
      <c r="AB556">
        <v>31</v>
      </c>
      <c r="AC556">
        <v>48.078400000000002</v>
      </c>
      <c r="AD556">
        <v>-1.1098999738299999</v>
      </c>
      <c r="AE556">
        <v>-2.5296999999999898</v>
      </c>
      <c r="AF556">
        <v>2.3485633180344299</v>
      </c>
      <c r="AG556">
        <v>-1.1098999738299999</v>
      </c>
      <c r="AH556">
        <v>48.061984829612697</v>
      </c>
      <c r="AI556">
        <v>91.3213256979124</v>
      </c>
      <c r="AJ556">
        <v>87.202449796324601</v>
      </c>
      <c r="AK556">
        <v>48.132130779476697</v>
      </c>
      <c r="AL556">
        <v>80.221774054052204</v>
      </c>
      <c r="AM556">
        <v>93.862216382011596</v>
      </c>
      <c r="AN556">
        <v>0.99999998015647595</v>
      </c>
    </row>
    <row r="557" spans="1:40" x14ac:dyDescent="0.25">
      <c r="A557" t="str">
        <f>"20190304155607534"</f>
        <v>20190304155607534</v>
      </c>
      <c r="B557" t="str">
        <f>"1551686167525776"</f>
        <v>1551686167525776</v>
      </c>
      <c r="C557" t="s">
        <v>40</v>
      </c>
      <c r="D557">
        <v>4.4121519999999999</v>
      </c>
      <c r="E557">
        <v>0.54543090000000005</v>
      </c>
      <c r="F557" t="s">
        <v>44</v>
      </c>
      <c r="G557">
        <v>-316.66640000000001</v>
      </c>
      <c r="H557">
        <v>-0.05</v>
      </c>
      <c r="I557">
        <v>363.9015</v>
      </c>
      <c r="J557">
        <v>-373.04149999999998</v>
      </c>
      <c r="K557">
        <v>1.1098969999999999</v>
      </c>
      <c r="L557">
        <v>367.11500000000001</v>
      </c>
      <c r="M557">
        <v>0.99992409999999998</v>
      </c>
      <c r="N557">
        <v>-1.175353E-2</v>
      </c>
      <c r="O557">
        <v>-3.734149E-3</v>
      </c>
      <c r="P557">
        <v>0.98540179999999999</v>
      </c>
      <c r="Q557">
        <v>0.15829989999999999</v>
      </c>
      <c r="R557">
        <v>6.2645300000000001E-2</v>
      </c>
      <c r="S557">
        <v>3.0656129999999999</v>
      </c>
      <c r="T557">
        <v>-6.2861559999999997E-2</v>
      </c>
      <c r="U557">
        <v>-0.1741943</v>
      </c>
      <c r="V557">
        <v>-6.6322160000000005E-2</v>
      </c>
      <c r="W557">
        <v>0.1698693</v>
      </c>
      <c r="X557">
        <v>0.98323229999999995</v>
      </c>
      <c r="Y557">
        <v>5.2984389999999999E-2</v>
      </c>
      <c r="Z557">
        <v>-8.2178429999999901E-4</v>
      </c>
      <c r="AA557">
        <v>0.99859500000000001</v>
      </c>
      <c r="AB557">
        <v>31</v>
      </c>
      <c r="AC557">
        <v>56.375099999999897</v>
      </c>
      <c r="AD557">
        <v>-1.159897</v>
      </c>
      <c r="AE557">
        <v>-3.21350000000001</v>
      </c>
      <c r="AF557">
        <v>3.0016835141467602</v>
      </c>
      <c r="AG557">
        <v>-1.159897</v>
      </c>
      <c r="AH557">
        <v>56.362925387929302</v>
      </c>
      <c r="AI557">
        <v>91.177260028769794</v>
      </c>
      <c r="AJ557">
        <v>86.951515982177696</v>
      </c>
      <c r="AK557">
        <v>56.454714800935797</v>
      </c>
      <c r="AL557">
        <v>80.219779848828594</v>
      </c>
      <c r="AM557">
        <v>93.858937831921907</v>
      </c>
      <c r="AN557">
        <v>0.99999998187642203</v>
      </c>
    </row>
    <row r="558" spans="1:40" x14ac:dyDescent="0.25">
      <c r="A558" t="str">
        <f>"20190304155607552"</f>
        <v>20190304155607552</v>
      </c>
      <c r="B558" t="str">
        <f>"1551686167545300"</f>
        <v>1551686167545300</v>
      </c>
      <c r="C558" t="s">
        <v>40</v>
      </c>
      <c r="D558">
        <v>4.5852789999999999</v>
      </c>
      <c r="E558">
        <v>0.54558059999999997</v>
      </c>
      <c r="F558" t="s">
        <v>44</v>
      </c>
      <c r="G558">
        <v>-309.60739999999998</v>
      </c>
      <c r="H558">
        <v>-0.05</v>
      </c>
      <c r="I558">
        <v>363.30790000000002</v>
      </c>
      <c r="J558">
        <v>-372.79520000000002</v>
      </c>
      <c r="K558">
        <v>1.1098939999999999</v>
      </c>
      <c r="L558">
        <v>367.11399999999998</v>
      </c>
      <c r="M558">
        <v>0.99992400000000004</v>
      </c>
      <c r="N558">
        <v>-1.1754560000000001E-2</v>
      </c>
      <c r="O558">
        <v>-3.7255690000000002E-3</v>
      </c>
      <c r="P558">
        <v>0.98543829999999999</v>
      </c>
      <c r="Q558">
        <v>0.15811220000000001</v>
      </c>
      <c r="R558">
        <v>6.2546210000000005E-2</v>
      </c>
      <c r="S558">
        <v>3.0651549999999999</v>
      </c>
      <c r="T558">
        <v>-5.6046609999999997E-2</v>
      </c>
      <c r="U558">
        <v>-0.18396000000000001</v>
      </c>
      <c r="V558">
        <v>-6.6215079999999996E-2</v>
      </c>
      <c r="W558">
        <v>0.16968269999999999</v>
      </c>
      <c r="X558">
        <v>0.98327180000000003</v>
      </c>
      <c r="Y558">
        <v>5.6173859999999999E-2</v>
      </c>
      <c r="Z558">
        <v>-8.1927149999999995E-4</v>
      </c>
      <c r="AA558">
        <v>0.99842070000000005</v>
      </c>
      <c r="AB558">
        <v>31</v>
      </c>
      <c r="AC558">
        <v>63.187800000000003</v>
      </c>
      <c r="AD558">
        <v>-1.159894</v>
      </c>
      <c r="AE558">
        <v>-3.80610000000001</v>
      </c>
      <c r="AF558">
        <v>3.56944842429436</v>
      </c>
      <c r="AG558">
        <v>-1.159894</v>
      </c>
      <c r="AH558">
        <v>63.180330406360603</v>
      </c>
      <c r="AI558">
        <v>91.050070413475794</v>
      </c>
      <c r="AJ558">
        <v>86.766443712020603</v>
      </c>
      <c r="AK558">
        <v>63.291709302260401</v>
      </c>
      <c r="AL558">
        <v>80.230629352035095</v>
      </c>
      <c r="AM558">
        <v>93.852571883061103</v>
      </c>
      <c r="AN558">
        <v>1.0000000440869601</v>
      </c>
    </row>
    <row r="559" spans="1:40" x14ac:dyDescent="0.25">
      <c r="A559" t="str">
        <f>"20190304155607574"</f>
        <v>20190304155607574</v>
      </c>
      <c r="B559" t="str">
        <f>"1551686167565796"</f>
        <v>1551686167565796</v>
      </c>
      <c r="C559" t="s">
        <v>40</v>
      </c>
      <c r="D559">
        <v>4.4781579999999996</v>
      </c>
      <c r="E559">
        <v>0.54614010000000002</v>
      </c>
      <c r="F559" t="s">
        <v>44</v>
      </c>
      <c r="G559">
        <v>-305.80180000000001</v>
      </c>
      <c r="H559">
        <v>-0.05</v>
      </c>
      <c r="I559">
        <v>363.04730000000001</v>
      </c>
      <c r="J559">
        <v>-372.48599999999999</v>
      </c>
      <c r="K559">
        <v>1.1098969999999999</v>
      </c>
      <c r="L559">
        <v>367.11290000000002</v>
      </c>
      <c r="M559">
        <v>0.99992400000000004</v>
      </c>
      <c r="N559">
        <v>-1.175583E-2</v>
      </c>
      <c r="O559">
        <v>-3.7146100000000001E-3</v>
      </c>
      <c r="P559">
        <v>0.98538990000000004</v>
      </c>
      <c r="Q559">
        <v>0.15837419999999999</v>
      </c>
      <c r="R559">
        <v>6.2644729999999996E-2</v>
      </c>
      <c r="S559">
        <v>3.064667</v>
      </c>
      <c r="T559">
        <v>-5.3060290000000003E-2</v>
      </c>
      <c r="U559">
        <v>-0.18603520000000001</v>
      </c>
      <c r="V559">
        <v>-6.6302520000000004E-2</v>
      </c>
      <c r="W559">
        <v>0.1699454</v>
      </c>
      <c r="X559">
        <v>0.98322050000000005</v>
      </c>
      <c r="Y559">
        <v>5.6869009999999998E-2</v>
      </c>
      <c r="Z559">
        <v>-8.0582780000000001E-4</v>
      </c>
      <c r="AA559">
        <v>0.99838130000000003</v>
      </c>
      <c r="AB559">
        <v>31</v>
      </c>
      <c r="AC559">
        <v>66.684199999999905</v>
      </c>
      <c r="AD559">
        <v>-1.159897</v>
      </c>
      <c r="AE559">
        <v>-4.0656000000000097</v>
      </c>
      <c r="AF559">
        <v>3.81669857824087</v>
      </c>
      <c r="AG559">
        <v>-1.159897</v>
      </c>
      <c r="AH559">
        <v>66.678744281486502</v>
      </c>
      <c r="AI559">
        <v>90.994948688300497</v>
      </c>
      <c r="AJ559">
        <v>86.723958132729507</v>
      </c>
      <c r="AK559">
        <v>66.797960208704097</v>
      </c>
      <c r="AL559">
        <v>80.215355559269099</v>
      </c>
      <c r="AM559">
        <v>93.857844693805305</v>
      </c>
      <c r="AN559">
        <v>1.00000000737988</v>
      </c>
    </row>
    <row r="560" spans="1:40" x14ac:dyDescent="0.25">
      <c r="A560" t="str">
        <f>"20190304155607585"</f>
        <v>20190304155607585</v>
      </c>
      <c r="B560" t="str">
        <f>"1551686167575553"</f>
        <v>1551686167575553</v>
      </c>
      <c r="C560" t="s">
        <v>40</v>
      </c>
      <c r="D560">
        <v>4.4177269999999904</v>
      </c>
      <c r="E560">
        <v>0.54646329999999999</v>
      </c>
      <c r="F560" t="s">
        <v>44</v>
      </c>
      <c r="G560">
        <v>-306.72809999999998</v>
      </c>
      <c r="H560">
        <v>-0.05</v>
      </c>
      <c r="I560">
        <v>363.0342</v>
      </c>
      <c r="J560">
        <v>-372.32830000000001</v>
      </c>
      <c r="K560">
        <v>1.1098950000000001</v>
      </c>
      <c r="L560">
        <v>367.1123</v>
      </c>
      <c r="M560">
        <v>0.99992400000000004</v>
      </c>
      <c r="N560">
        <v>-1.175646E-2</v>
      </c>
      <c r="O560">
        <v>-3.7087740000000002E-3</v>
      </c>
      <c r="P560">
        <v>0.98531820000000003</v>
      </c>
      <c r="Q560">
        <v>0.15884010000000001</v>
      </c>
      <c r="R560">
        <v>6.259178E-2</v>
      </c>
      <c r="S560">
        <v>3.0652469999999998</v>
      </c>
      <c r="T560">
        <v>-5.4067610000000002E-2</v>
      </c>
      <c r="U560">
        <v>-0.1901245</v>
      </c>
      <c r="V560">
        <v>-6.6243659999999996E-2</v>
      </c>
      <c r="W560">
        <v>0.17041110000000001</v>
      </c>
      <c r="X560">
        <v>0.98314389999999996</v>
      </c>
      <c r="Y560">
        <v>5.8189560000000001E-2</v>
      </c>
      <c r="Z560">
        <v>-8.3331699999999998E-4</v>
      </c>
      <c r="AA560">
        <v>0.9983052</v>
      </c>
      <c r="AB560">
        <v>31</v>
      </c>
      <c r="AC560">
        <v>65.600200000000001</v>
      </c>
      <c r="AD560">
        <v>-1.1598949999999999</v>
      </c>
      <c r="AE560">
        <v>-4.0781000000000001</v>
      </c>
      <c r="AF560">
        <v>3.8335649508458398</v>
      </c>
      <c r="AG560">
        <v>-1.1598949999999999</v>
      </c>
      <c r="AH560">
        <v>65.5944468915025</v>
      </c>
      <c r="AI560">
        <v>91.011320235612502</v>
      </c>
      <c r="AJ560">
        <v>86.655242391662398</v>
      </c>
      <c r="AK560">
        <v>65.716611595893497</v>
      </c>
      <c r="AL560">
        <v>80.188278332084593</v>
      </c>
      <c r="AM560">
        <v>93.854729629919802</v>
      </c>
      <c r="AN560">
        <v>1.0000000468003001</v>
      </c>
    </row>
    <row r="561" spans="1:40" x14ac:dyDescent="0.25">
      <c r="A561" t="str">
        <f>"20190304155607599"</f>
        <v>20190304155607599</v>
      </c>
      <c r="B561" t="str">
        <f>"1551686167595072"</f>
        <v>1551686167595072</v>
      </c>
      <c r="C561" t="s">
        <v>40</v>
      </c>
      <c r="D561">
        <v>4.3738440000000001</v>
      </c>
      <c r="E561">
        <v>0.54683300000000001</v>
      </c>
      <c r="F561" t="s">
        <v>44</v>
      </c>
      <c r="G561">
        <v>-298.06270000000001</v>
      </c>
      <c r="H561">
        <v>-0.05</v>
      </c>
      <c r="I561">
        <v>362.43700000000001</v>
      </c>
      <c r="J561">
        <v>-372.13049999999998</v>
      </c>
      <c r="K561">
        <v>1.1098939999999999</v>
      </c>
      <c r="L561">
        <v>367.11160000000001</v>
      </c>
      <c r="M561">
        <v>0.99992420000000004</v>
      </c>
      <c r="N561">
        <v>-1.175728E-2</v>
      </c>
      <c r="O561">
        <v>-3.7018649999999999E-3</v>
      </c>
      <c r="P561">
        <v>0.98525739999999995</v>
      </c>
      <c r="Q561">
        <v>0.15920279999999901</v>
      </c>
      <c r="R561">
        <v>6.2631069999999997E-2</v>
      </c>
      <c r="S561">
        <v>3.0646360000000001</v>
      </c>
      <c r="T561">
        <v>-4.7864080000000003E-2</v>
      </c>
      <c r="U561">
        <v>-0.1929321</v>
      </c>
      <c r="V561">
        <v>-6.6275539999999994E-2</v>
      </c>
      <c r="W561">
        <v>0.17077429999999999</v>
      </c>
      <c r="X561">
        <v>0.98307869999999997</v>
      </c>
      <c r="Y561">
        <v>5.9122139999999997E-2</v>
      </c>
      <c r="Z561">
        <v>-7.9488559999999896E-4</v>
      </c>
      <c r="AA561">
        <v>0.99825039999999998</v>
      </c>
      <c r="AB561">
        <v>31</v>
      </c>
      <c r="AC561">
        <v>74.067799999999906</v>
      </c>
      <c r="AD561">
        <v>-1.159894</v>
      </c>
      <c r="AE561">
        <v>-4.6746000000000496</v>
      </c>
      <c r="AF561">
        <v>4.3992854963354704</v>
      </c>
      <c r="AG561">
        <v>-1.159894</v>
      </c>
      <c r="AH561">
        <v>74.066506914153905</v>
      </c>
      <c r="AI561">
        <v>90.895610062238902</v>
      </c>
      <c r="AJ561">
        <v>86.600829301947101</v>
      </c>
      <c r="AK561">
        <v>74.206108329664602</v>
      </c>
      <c r="AL561">
        <v>80.167158659430498</v>
      </c>
      <c r="AM561">
        <v>93.8568341407655</v>
      </c>
      <c r="AN561">
        <v>1.0000000195682299</v>
      </c>
    </row>
    <row r="562" spans="1:40" x14ac:dyDescent="0.25">
      <c r="A562" t="str">
        <f>"20190304155607620"</f>
        <v>20190304155607620</v>
      </c>
      <c r="B562" t="str">
        <f>"1551686167615569"</f>
        <v>1551686167615569</v>
      </c>
      <c r="C562" t="s">
        <v>40</v>
      </c>
      <c r="D562">
        <v>4.3667540000000002</v>
      </c>
      <c r="E562">
        <v>0.54756800000000005</v>
      </c>
      <c r="F562" t="s">
        <v>44</v>
      </c>
      <c r="G562">
        <v>-294.89479999999998</v>
      </c>
      <c r="H562">
        <v>-0.05</v>
      </c>
      <c r="I562">
        <v>362.17489999999998</v>
      </c>
      <c r="J562">
        <v>-371.84719999999999</v>
      </c>
      <c r="K562">
        <v>1.1098840000000001</v>
      </c>
      <c r="L562">
        <v>367.11059999999998</v>
      </c>
      <c r="M562">
        <v>0.99992409999999998</v>
      </c>
      <c r="N562">
        <v>-1.175845E-2</v>
      </c>
      <c r="O562">
        <v>-3.6912659999999999E-3</v>
      </c>
      <c r="P562">
        <v>0.98516459999999995</v>
      </c>
      <c r="Q562">
        <v>0.15957189999999999</v>
      </c>
      <c r="R562">
        <v>6.3148239999999994E-2</v>
      </c>
      <c r="S562">
        <v>3.0647579999999999</v>
      </c>
      <c r="T562">
        <v>-4.6025280000000002E-2</v>
      </c>
      <c r="U562">
        <v>-0.19589229999999999</v>
      </c>
      <c r="V562">
        <v>-6.6782620000000001E-2</v>
      </c>
      <c r="W562">
        <v>0.17114309999999999</v>
      </c>
      <c r="X562">
        <v>0.98298030000000003</v>
      </c>
      <c r="Y562">
        <v>6.0091079999999998E-2</v>
      </c>
      <c r="Z562">
        <v>-7.9241229999999895E-4</v>
      </c>
      <c r="AA562">
        <v>0.99819259999999999</v>
      </c>
      <c r="AB562">
        <v>31</v>
      </c>
      <c r="AC562">
        <v>76.952399999999997</v>
      </c>
      <c r="AD562">
        <v>-1.1598839999999999</v>
      </c>
      <c r="AE562">
        <v>-4.93569999999999</v>
      </c>
      <c r="AF562">
        <v>4.6505427490599702</v>
      </c>
      <c r="AG562">
        <v>-1.1598839999999999</v>
      </c>
      <c r="AH562">
        <v>76.952684836189903</v>
      </c>
      <c r="AI562">
        <v>90.861963781510397</v>
      </c>
      <c r="AJ562">
        <v>86.541604837377704</v>
      </c>
      <c r="AK562">
        <v>77.1018066082259</v>
      </c>
      <c r="AL562">
        <v>80.145712794049501</v>
      </c>
      <c r="AM562">
        <v>93.886640873371306</v>
      </c>
      <c r="AN562">
        <v>1.0000000745998701</v>
      </c>
    </row>
    <row r="563" spans="1:40" x14ac:dyDescent="0.25">
      <c r="A563" t="str">
        <f>"20190304155607634"</f>
        <v>20190304155607634</v>
      </c>
      <c r="B563" t="str">
        <f>"1551686167625328"</f>
        <v>1551686167625328</v>
      </c>
      <c r="C563" t="s">
        <v>40</v>
      </c>
      <c r="D563">
        <v>4.5035679999999996</v>
      </c>
      <c r="E563">
        <v>0.54849399999999904</v>
      </c>
      <c r="F563" t="s">
        <v>44</v>
      </c>
      <c r="G563">
        <v>-294.34980000000002</v>
      </c>
      <c r="H563">
        <v>-0.05</v>
      </c>
      <c r="I563">
        <v>362.05329999999998</v>
      </c>
      <c r="J563">
        <v>-371.65620000000001</v>
      </c>
      <c r="K563">
        <v>1.109883</v>
      </c>
      <c r="L563">
        <v>367.10989999999998</v>
      </c>
      <c r="M563">
        <v>0.99992420000000004</v>
      </c>
      <c r="N563">
        <v>-1.1759250000000001E-2</v>
      </c>
      <c r="O563">
        <v>-3.684002E-3</v>
      </c>
      <c r="P563">
        <v>0.98512549999999999</v>
      </c>
      <c r="Q563">
        <v>0.1597256</v>
      </c>
      <c r="R563">
        <v>6.3369389999999998E-2</v>
      </c>
      <c r="S563">
        <v>3.0654300000000001</v>
      </c>
      <c r="T563">
        <v>-4.587948E-2</v>
      </c>
      <c r="U563">
        <v>-0.20004269999999999</v>
      </c>
      <c r="V563">
        <v>-6.6995929999999995E-2</v>
      </c>
      <c r="W563">
        <v>0.17129720000000001</v>
      </c>
      <c r="X563">
        <v>0.98293889999999995</v>
      </c>
      <c r="Y563">
        <v>6.1430020000000002E-2</v>
      </c>
      <c r="Z563">
        <v>-8.0901059999999997E-4</v>
      </c>
      <c r="AA563">
        <v>0.99811110000000003</v>
      </c>
      <c r="AB563">
        <v>31</v>
      </c>
      <c r="AC563">
        <v>77.306399999999996</v>
      </c>
      <c r="AD563">
        <v>-1.159883</v>
      </c>
      <c r="AE563">
        <v>-5.0566000000000004</v>
      </c>
      <c r="AF563">
        <v>4.7706797338203897</v>
      </c>
      <c r="AG563">
        <v>-1.159883</v>
      </c>
      <c r="AH563">
        <v>77.307176553379406</v>
      </c>
      <c r="AI563">
        <v>90.857944453704306</v>
      </c>
      <c r="AJ563">
        <v>86.468715602910294</v>
      </c>
      <c r="AK563">
        <v>77.462921842335305</v>
      </c>
      <c r="AL563">
        <v>80.136750765126493</v>
      </c>
      <c r="AM563">
        <v>93.899180656117395</v>
      </c>
      <c r="AN563">
        <v>1.0000000332487999</v>
      </c>
    </row>
    <row r="564" spans="1:40" x14ac:dyDescent="0.25">
      <c r="A564" t="str">
        <f>"20190304155607653"</f>
        <v>20190304155607653</v>
      </c>
      <c r="B564" t="str">
        <f>"1551686167645824"</f>
        <v>1551686167645824</v>
      </c>
      <c r="C564" t="s">
        <v>40</v>
      </c>
      <c r="D564">
        <v>4.4144509999999997</v>
      </c>
      <c r="E564">
        <v>0.54855489999999996</v>
      </c>
      <c r="F564" t="s">
        <v>44</v>
      </c>
      <c r="G564">
        <v>-299.00009999999997</v>
      </c>
      <c r="H564">
        <v>-0.05</v>
      </c>
      <c r="I564">
        <v>362.20609999999999</v>
      </c>
      <c r="J564">
        <v>-371.3811</v>
      </c>
      <c r="K564">
        <v>1.109888</v>
      </c>
      <c r="L564">
        <v>367.10890000000001</v>
      </c>
      <c r="M564">
        <v>0.99992420000000004</v>
      </c>
      <c r="N564">
        <v>-1.1760410000000001E-2</v>
      </c>
      <c r="O564">
        <v>-3.6735230000000002E-3</v>
      </c>
      <c r="P564">
        <v>0.98509469999999999</v>
      </c>
      <c r="Q564">
        <v>0.1596851</v>
      </c>
      <c r="R564">
        <v>6.3948969999999994E-2</v>
      </c>
      <c r="S564">
        <v>3.0665589999999998</v>
      </c>
      <c r="T564">
        <v>-4.8954610000000003E-2</v>
      </c>
      <c r="U564">
        <v>-0.20697019999999999</v>
      </c>
      <c r="V564">
        <v>-6.7565410000000006E-2</v>
      </c>
      <c r="W564">
        <v>0.1712572</v>
      </c>
      <c r="X564">
        <v>0.98290679999999997</v>
      </c>
      <c r="Y564">
        <v>6.3659540000000001E-2</v>
      </c>
      <c r="Z564">
        <v>-8.6691570000000003E-4</v>
      </c>
      <c r="AA564">
        <v>0.99797130000000001</v>
      </c>
      <c r="AB564">
        <v>31</v>
      </c>
      <c r="AC564">
        <v>72.381</v>
      </c>
      <c r="AD564">
        <v>-1.159888</v>
      </c>
      <c r="AE564">
        <v>-4.9028000000000098</v>
      </c>
      <c r="AF564">
        <v>4.6356703139903699</v>
      </c>
      <c r="AG564">
        <v>-1.159888</v>
      </c>
      <c r="AH564">
        <v>72.380021556857102</v>
      </c>
      <c r="AI564">
        <v>90.916207959289395</v>
      </c>
      <c r="AJ564">
        <v>86.335424241418707</v>
      </c>
      <c r="AK564">
        <v>72.537592322902896</v>
      </c>
      <c r="AL564">
        <v>80.139076095262297</v>
      </c>
      <c r="AM564">
        <v>93.932349017520906</v>
      </c>
      <c r="AN564">
        <v>0.99999994533327197</v>
      </c>
    </row>
    <row r="565" spans="1:40" x14ac:dyDescent="0.25">
      <c r="A565" t="str">
        <f>"20190304155607666"</f>
        <v>20190304155607666</v>
      </c>
      <c r="B565" t="str">
        <f>"1551686167655585"</f>
        <v>1551686167655585</v>
      </c>
      <c r="C565" t="s">
        <v>40</v>
      </c>
      <c r="D565">
        <v>4.3630950000000004</v>
      </c>
      <c r="E565">
        <v>0.54883729999999997</v>
      </c>
      <c r="F565" t="s">
        <v>44</v>
      </c>
      <c r="G565">
        <v>-291.89229999999998</v>
      </c>
      <c r="H565">
        <v>-0.05</v>
      </c>
      <c r="I565">
        <v>361.77229999999997</v>
      </c>
      <c r="J565">
        <v>-371.1979</v>
      </c>
      <c r="K565">
        <v>1.1098859999999999</v>
      </c>
      <c r="L565">
        <v>367.10820000000001</v>
      </c>
      <c r="M565">
        <v>0.99992420000000004</v>
      </c>
      <c r="N565">
        <v>-1.1761199999999999E-2</v>
      </c>
      <c r="O565">
        <v>-3.666613E-3</v>
      </c>
      <c r="P565">
        <v>0.98504159999999996</v>
      </c>
      <c r="Q565">
        <v>0.15986620000000001</v>
      </c>
      <c r="R565">
        <v>6.4310069999999997E-2</v>
      </c>
      <c r="S565">
        <v>3.065979</v>
      </c>
      <c r="T565">
        <v>-4.473829E-2</v>
      </c>
      <c r="U565">
        <v>-0.2058411</v>
      </c>
      <c r="V565">
        <v>-6.7918969999999995E-2</v>
      </c>
      <c r="W565">
        <v>0.1714386</v>
      </c>
      <c r="X565">
        <v>0.98285080000000002</v>
      </c>
      <c r="Y565">
        <v>6.3315140000000006E-2</v>
      </c>
      <c r="Z565">
        <v>-8.2383640000000002E-4</v>
      </c>
      <c r="AA565">
        <v>0.99799320000000002</v>
      </c>
      <c r="AB565">
        <v>31</v>
      </c>
      <c r="AC565">
        <v>79.305599999999998</v>
      </c>
      <c r="AD565">
        <v>-1.159886</v>
      </c>
      <c r="AE565">
        <v>-5.3359000000000298</v>
      </c>
      <c r="AF565">
        <v>5.0439870183773703</v>
      </c>
      <c r="AG565">
        <v>-1.159886</v>
      </c>
      <c r="AH565">
        <v>79.307744913430497</v>
      </c>
      <c r="AI565">
        <v>90.836209150764901</v>
      </c>
      <c r="AJ565">
        <v>86.360879435069506</v>
      </c>
      <c r="AK565">
        <v>79.476446472073206</v>
      </c>
      <c r="AL565">
        <v>80.128526542167194</v>
      </c>
      <c r="AM565">
        <v>93.953085875137901</v>
      </c>
      <c r="AN565">
        <v>0.99999993755822802</v>
      </c>
    </row>
    <row r="566" spans="1:40" x14ac:dyDescent="0.25">
      <c r="A566" t="str">
        <f>"20190304155607679"</f>
        <v>20190304155607679</v>
      </c>
      <c r="B566" t="str">
        <f>"1551686167675105"</f>
        <v>1551686167675105</v>
      </c>
      <c r="C566" t="s">
        <v>40</v>
      </c>
      <c r="D566">
        <v>4.3990919999999996</v>
      </c>
      <c r="E566">
        <v>0.54898959999999997</v>
      </c>
      <c r="F566" t="s">
        <v>44</v>
      </c>
      <c r="G566">
        <v>-288.97829999999999</v>
      </c>
      <c r="H566">
        <v>-0.05</v>
      </c>
      <c r="I566">
        <v>361.56799999999998</v>
      </c>
      <c r="J566">
        <v>-371.02449999999999</v>
      </c>
      <c r="K566">
        <v>1.109885</v>
      </c>
      <c r="L566">
        <v>367.10759999999999</v>
      </c>
      <c r="M566">
        <v>0.99992429999999999</v>
      </c>
      <c r="N566">
        <v>-1.176205E-2</v>
      </c>
      <c r="O566">
        <v>-3.6604189999999998E-3</v>
      </c>
      <c r="P566">
        <v>0.98510279999999995</v>
      </c>
      <c r="Q566">
        <v>0.159470899999999</v>
      </c>
      <c r="R566">
        <v>6.4354709999999996E-2</v>
      </c>
      <c r="S566">
        <v>3.0661010000000002</v>
      </c>
      <c r="T566">
        <v>-4.3254019999999997E-2</v>
      </c>
      <c r="U566">
        <v>-0.20660400000000001</v>
      </c>
      <c r="V566">
        <v>-6.7957890000000007E-2</v>
      </c>
      <c r="W566">
        <v>0.171044899999999</v>
      </c>
      <c r="X566">
        <v>0.98291680000000003</v>
      </c>
      <c r="Y566">
        <v>6.3566460000000005E-2</v>
      </c>
      <c r="Z566">
        <v>-8.1357990000000002E-4</v>
      </c>
      <c r="AA566">
        <v>0.99797729999999996</v>
      </c>
      <c r="AB566">
        <v>31</v>
      </c>
      <c r="AC566">
        <v>82.046199999999999</v>
      </c>
      <c r="AD566">
        <v>-1.1598850000000001</v>
      </c>
      <c r="AE566">
        <v>-5.5395999999999503</v>
      </c>
      <c r="AF566">
        <v>5.2381765699389398</v>
      </c>
      <c r="AG566">
        <v>-1.1598850000000001</v>
      </c>
      <c r="AH566">
        <v>82.049605392915595</v>
      </c>
      <c r="AI566">
        <v>90.808256153281107</v>
      </c>
      <c r="AJ566">
        <v>86.347104200439006</v>
      </c>
      <c r="AK566">
        <v>82.224823332885506</v>
      </c>
      <c r="AL566">
        <v>80.151423042276093</v>
      </c>
      <c r="AM566">
        <v>93.955079199813497</v>
      </c>
      <c r="AN566">
        <v>1.00000003417575</v>
      </c>
    </row>
    <row r="567" spans="1:40" x14ac:dyDescent="0.25">
      <c r="A567" t="str">
        <f>"20190304155607692"</f>
        <v>20190304155607692</v>
      </c>
      <c r="B567" t="str">
        <f>"1551686167685841"</f>
        <v>1551686167685841</v>
      </c>
      <c r="C567" t="s">
        <v>40</v>
      </c>
      <c r="D567">
        <v>4.3537059999999999</v>
      </c>
      <c r="E567">
        <v>0.54918710000000004</v>
      </c>
      <c r="F567" t="s">
        <v>44</v>
      </c>
      <c r="G567">
        <v>-291.52510000000001</v>
      </c>
      <c r="H567">
        <v>-0.05</v>
      </c>
      <c r="I567">
        <v>361.72710000000001</v>
      </c>
      <c r="J567">
        <v>-370.83370000000002</v>
      </c>
      <c r="K567">
        <v>1.1098840000000001</v>
      </c>
      <c r="L567">
        <v>367.1069</v>
      </c>
      <c r="M567">
        <v>0.99992409999999998</v>
      </c>
      <c r="N567">
        <v>-1.1763010000000001E-2</v>
      </c>
      <c r="O567">
        <v>-3.6532719999999999E-3</v>
      </c>
      <c r="P567">
        <v>0.98511090000000001</v>
      </c>
      <c r="Q567">
        <v>0.15943399999999999</v>
      </c>
      <c r="R567">
        <v>6.4320150000000006E-2</v>
      </c>
      <c r="S567">
        <v>3.0661930000000002</v>
      </c>
      <c r="T567">
        <v>-4.473531E-2</v>
      </c>
      <c r="U567">
        <v>-0.2075195</v>
      </c>
      <c r="V567">
        <v>-6.7916610000000002E-2</v>
      </c>
      <c r="W567">
        <v>0.1710092</v>
      </c>
      <c r="X567">
        <v>0.98292579999999996</v>
      </c>
      <c r="Y567">
        <v>6.386754E-2</v>
      </c>
      <c r="Z567">
        <v>-8.3115939999999996E-4</v>
      </c>
      <c r="AA567">
        <v>0.99795809999999996</v>
      </c>
      <c r="AB567">
        <v>31</v>
      </c>
      <c r="AC567">
        <v>79.308599999999998</v>
      </c>
      <c r="AD567">
        <v>-1.1598839999999999</v>
      </c>
      <c r="AE567">
        <v>-5.3797999999999799</v>
      </c>
      <c r="AF567">
        <v>5.0889246682501499</v>
      </c>
      <c r="AG567">
        <v>-1.1598839999999999</v>
      </c>
      <c r="AH567">
        <v>79.310839895885096</v>
      </c>
      <c r="AI567">
        <v>90.836145075852102</v>
      </c>
      <c r="AJ567">
        <v>86.328689123836099</v>
      </c>
      <c r="AK567">
        <v>79.482399373467004</v>
      </c>
      <c r="AL567">
        <v>80.153498454616795</v>
      </c>
      <c r="AM567">
        <v>93.952648286586395</v>
      </c>
      <c r="AN567">
        <v>0.99999997035208499</v>
      </c>
    </row>
    <row r="568" spans="1:40" x14ac:dyDescent="0.25">
      <c r="A568" t="str">
        <f>"20190304155607708"</f>
        <v>20190304155607708</v>
      </c>
      <c r="B568" t="str">
        <f>"1551686167705360"</f>
        <v>1551686167705360</v>
      </c>
      <c r="C568" t="s">
        <v>40</v>
      </c>
      <c r="D568">
        <v>4.368938</v>
      </c>
      <c r="E568">
        <v>0.54966579999999998</v>
      </c>
      <c r="F568" t="s">
        <v>44</v>
      </c>
      <c r="G568">
        <v>-290.79989999999998</v>
      </c>
      <c r="H568">
        <v>-0.05</v>
      </c>
      <c r="I568">
        <v>361.64240000000001</v>
      </c>
      <c r="J568">
        <v>-370.60789999999997</v>
      </c>
      <c r="K568">
        <v>1.109888</v>
      </c>
      <c r="L568">
        <v>367.10610000000003</v>
      </c>
      <c r="M568">
        <v>0.99992409999999998</v>
      </c>
      <c r="N568">
        <v>-1.176409E-2</v>
      </c>
      <c r="O568">
        <v>-3.645171E-3</v>
      </c>
      <c r="P568">
        <v>0.98518349999999999</v>
      </c>
      <c r="Q568">
        <v>0.15877289999999999</v>
      </c>
      <c r="R568">
        <v>6.4845349999999996E-2</v>
      </c>
      <c r="S568">
        <v>3.0661930000000002</v>
      </c>
      <c r="T568">
        <v>-4.4436570000000002E-2</v>
      </c>
      <c r="U568">
        <v>-0.2093506</v>
      </c>
      <c r="V568">
        <v>-6.8434480000000006E-2</v>
      </c>
      <c r="W568">
        <v>0.17035</v>
      </c>
      <c r="X568">
        <v>0.9830044</v>
      </c>
      <c r="Y568">
        <v>6.4468849999999994E-2</v>
      </c>
      <c r="Z568">
        <v>-8.3635920000000002E-4</v>
      </c>
      <c r="AA568">
        <v>0.99791940000000001</v>
      </c>
      <c r="AB568">
        <v>31</v>
      </c>
      <c r="AC568">
        <v>79.807999999999893</v>
      </c>
      <c r="AD568">
        <v>-1.159888</v>
      </c>
      <c r="AE568">
        <v>-5.46370000000001</v>
      </c>
      <c r="AF568">
        <v>5.1716424708962201</v>
      </c>
      <c r="AG568">
        <v>-1.159888</v>
      </c>
      <c r="AH568">
        <v>79.810608090528802</v>
      </c>
      <c r="AI568">
        <v>90.830878941414298</v>
      </c>
      <c r="AJ568">
        <v>86.292477837511498</v>
      </c>
      <c r="AK568">
        <v>79.986401280463298</v>
      </c>
      <c r="AL568">
        <v>80.191830839577506</v>
      </c>
      <c r="AM568">
        <v>93.982373517501898</v>
      </c>
      <c r="AN568">
        <v>1.0000000254861099</v>
      </c>
    </row>
    <row r="569" spans="1:40" x14ac:dyDescent="0.25">
      <c r="A569" t="str">
        <f>"20190304155607720"</f>
        <v>20190304155607720</v>
      </c>
      <c r="B569" t="str">
        <f>"1551686167715120"</f>
        <v>1551686167715120</v>
      </c>
      <c r="C569" t="s">
        <v>40</v>
      </c>
      <c r="D569">
        <v>4.3992339999999999</v>
      </c>
      <c r="E569">
        <v>0.54981709999999995</v>
      </c>
      <c r="F569" t="s">
        <v>44</v>
      </c>
      <c r="G569">
        <v>-295.66210000000001</v>
      </c>
      <c r="H569">
        <v>-0.05</v>
      </c>
      <c r="I569">
        <v>361.9325</v>
      </c>
      <c r="J569">
        <v>-370.44819999999999</v>
      </c>
      <c r="K569">
        <v>1.109885</v>
      </c>
      <c r="L569">
        <v>367.10550000000001</v>
      </c>
      <c r="M569">
        <v>0.99992409999999998</v>
      </c>
      <c r="N569">
        <v>-1.1764739999999999E-2</v>
      </c>
      <c r="O569">
        <v>-3.6394520000000001E-3</v>
      </c>
      <c r="P569">
        <v>0.98519129999999999</v>
      </c>
      <c r="Q569">
        <v>0.15862979999999999</v>
      </c>
      <c r="R569">
        <v>6.5071749999999998E-2</v>
      </c>
      <c r="S569">
        <v>3.0667110000000002</v>
      </c>
      <c r="T569">
        <v>-4.7461509999999998E-2</v>
      </c>
      <c r="U569">
        <v>-0.21170040000000001</v>
      </c>
      <c r="V569">
        <v>-6.8654149999999997E-2</v>
      </c>
      <c r="W569">
        <v>0.17020759999999999</v>
      </c>
      <c r="X569">
        <v>0.98301369999999999</v>
      </c>
      <c r="Y569">
        <v>6.5222649999999993E-2</v>
      </c>
      <c r="Z569">
        <v>-8.747634E-4</v>
      </c>
      <c r="AA569">
        <v>0.99787029999999999</v>
      </c>
      <c r="AB569">
        <v>31</v>
      </c>
      <c r="AC569">
        <v>74.786099999999905</v>
      </c>
      <c r="AD569">
        <v>-1.1598850000000001</v>
      </c>
      <c r="AE569">
        <v>-5.173</v>
      </c>
      <c r="AF569">
        <v>4.8995935187302404</v>
      </c>
      <c r="AG569">
        <v>-1.1598850000000001</v>
      </c>
      <c r="AH569">
        <v>74.786529301905105</v>
      </c>
      <c r="AI569">
        <v>90.886644421197403</v>
      </c>
      <c r="AJ569">
        <v>86.251658878148504</v>
      </c>
      <c r="AK569">
        <v>74.955829092117497</v>
      </c>
      <c r="AL569">
        <v>80.200110196897896</v>
      </c>
      <c r="AM569">
        <v>93.995077661763503</v>
      </c>
      <c r="AN569">
        <v>0.99999997689883602</v>
      </c>
    </row>
    <row r="570" spans="1:40" x14ac:dyDescent="0.25">
      <c r="A570" t="str">
        <f>"20190304155607733"</f>
        <v>20190304155607733</v>
      </c>
      <c r="B570" t="str">
        <f>"1551686167725856"</f>
        <v>1551686167725856</v>
      </c>
      <c r="C570" t="s">
        <v>40</v>
      </c>
      <c r="D570">
        <v>4.3563320000000001</v>
      </c>
      <c r="E570">
        <v>0.54999730000000002</v>
      </c>
      <c r="F570" t="s">
        <v>44</v>
      </c>
      <c r="G570">
        <v>-294.76249999999999</v>
      </c>
      <c r="H570">
        <v>-0.05</v>
      </c>
      <c r="I570">
        <v>361.87020000000001</v>
      </c>
      <c r="J570">
        <v>-370.25869999999998</v>
      </c>
      <c r="K570">
        <v>1.109883</v>
      </c>
      <c r="L570">
        <v>367.10480000000001</v>
      </c>
      <c r="M570">
        <v>0.99992409999999998</v>
      </c>
      <c r="N570">
        <v>-1.176549E-2</v>
      </c>
      <c r="O570">
        <v>-3.63278E-3</v>
      </c>
      <c r="P570">
        <v>0.98520419999999997</v>
      </c>
      <c r="Q570">
        <v>0.15850839999999999</v>
      </c>
      <c r="R570">
        <v>6.5173129999999996E-2</v>
      </c>
      <c r="S570">
        <v>3.066681</v>
      </c>
      <c r="T570">
        <v>-4.6996950000000003E-2</v>
      </c>
      <c r="U570">
        <v>-0.2121277</v>
      </c>
      <c r="V570">
        <v>-6.8749359999999995E-2</v>
      </c>
      <c r="W570">
        <v>0.17008690000000001</v>
      </c>
      <c r="X570">
        <v>0.98302789999999995</v>
      </c>
      <c r="Y570">
        <v>6.5368529999999994E-2</v>
      </c>
      <c r="Z570">
        <v>-8.724103E-4</v>
      </c>
      <c r="AA570">
        <v>0.99786079999999999</v>
      </c>
      <c r="AB570">
        <v>31</v>
      </c>
      <c r="AC570">
        <v>75.496199999999902</v>
      </c>
      <c r="AD570">
        <v>-1.159883</v>
      </c>
      <c r="AE570">
        <v>-5.2346000000000004</v>
      </c>
      <c r="AF570">
        <v>4.95912043063512</v>
      </c>
      <c r="AG570">
        <v>-1.159883</v>
      </c>
      <c r="AH570">
        <v>75.496984488058402</v>
      </c>
      <c r="AI570">
        <v>90.878290697481702</v>
      </c>
      <c r="AJ570">
        <v>86.241848955658398</v>
      </c>
      <c r="AK570">
        <v>75.668572543753996</v>
      </c>
      <c r="AL570">
        <v>80.2071277648147</v>
      </c>
      <c r="AM570">
        <v>94.000542480885201</v>
      </c>
      <c r="AN570">
        <v>0.99999994011521298</v>
      </c>
    </row>
    <row r="571" spans="1:40" x14ac:dyDescent="0.25">
      <c r="A571" t="str">
        <f>"20190304155607745"</f>
        <v>20190304155607745</v>
      </c>
      <c r="B571" t="str">
        <f>"1551686167735617"</f>
        <v>1551686167735617</v>
      </c>
      <c r="C571" t="s">
        <v>40</v>
      </c>
      <c r="D571">
        <v>4.3285220000000004</v>
      </c>
      <c r="E571">
        <v>0.55010550000000003</v>
      </c>
      <c r="F571" t="s">
        <v>44</v>
      </c>
      <c r="G571">
        <v>-294.38080000000002</v>
      </c>
      <c r="H571">
        <v>-0.05</v>
      </c>
      <c r="I571">
        <v>361.82979999999998</v>
      </c>
      <c r="J571">
        <v>-370.0915</v>
      </c>
      <c r="K571">
        <v>1.1098840000000001</v>
      </c>
      <c r="L571">
        <v>367.10419999999999</v>
      </c>
      <c r="M571">
        <v>0.99992429999999999</v>
      </c>
      <c r="N571">
        <v>-1.176612E-2</v>
      </c>
      <c r="O571">
        <v>-3.6268229999999999E-3</v>
      </c>
      <c r="P571">
        <v>0.9852147</v>
      </c>
      <c r="Q571">
        <v>0.158364899999999</v>
      </c>
      <c r="R571">
        <v>6.5367659999999994E-2</v>
      </c>
      <c r="S571">
        <v>3.066681</v>
      </c>
      <c r="T571">
        <v>-4.687786E-2</v>
      </c>
      <c r="U571">
        <v>-0.21319579999999999</v>
      </c>
      <c r="V571">
        <v>-6.8938079999999999E-2</v>
      </c>
      <c r="W571">
        <v>0.1699445</v>
      </c>
      <c r="X571">
        <v>0.98303940000000001</v>
      </c>
      <c r="Y571">
        <v>6.5720329999999993E-2</v>
      </c>
      <c r="Z571">
        <v>-8.7608390000000003E-4</v>
      </c>
      <c r="AA571">
        <v>0.99783770000000005</v>
      </c>
      <c r="AB571">
        <v>31</v>
      </c>
      <c r="AC571">
        <v>75.710699999999903</v>
      </c>
      <c r="AD571">
        <v>-1.1598839999999999</v>
      </c>
      <c r="AE571">
        <v>-5.2744000000000097</v>
      </c>
      <c r="AF571">
        <v>4.9985895091963304</v>
      </c>
      <c r="AG571">
        <v>-1.1598839999999999</v>
      </c>
      <c r="AH571">
        <v>75.7116488617431</v>
      </c>
      <c r="AI571">
        <v>90.875782394900298</v>
      </c>
      <c r="AJ571">
        <v>86.222733862136906</v>
      </c>
      <c r="AK571">
        <v>75.885341149254799</v>
      </c>
      <c r="AL571">
        <v>80.215408080049599</v>
      </c>
      <c r="AM571">
        <v>94.011441566649907</v>
      </c>
      <c r="AN571">
        <v>1.00000002695334</v>
      </c>
    </row>
    <row r="572" spans="1:40" x14ac:dyDescent="0.25">
      <c r="A572" t="str">
        <f>"20190304155607757"</f>
        <v>20190304155607757</v>
      </c>
      <c r="B572" t="str">
        <f>"1551686167745377"</f>
        <v>1551686167745377</v>
      </c>
      <c r="C572" t="s">
        <v>40</v>
      </c>
      <c r="D572">
        <v>4.3954620000000002</v>
      </c>
      <c r="E572">
        <v>0.55024050000000002</v>
      </c>
      <c r="F572" t="s">
        <v>44</v>
      </c>
      <c r="G572">
        <v>-296.8458</v>
      </c>
      <c r="H572">
        <v>-0.05</v>
      </c>
      <c r="I572">
        <v>362.00689999999997</v>
      </c>
      <c r="J572">
        <v>-369.93880000000001</v>
      </c>
      <c r="K572">
        <v>1.109883</v>
      </c>
      <c r="L572">
        <v>367.1037</v>
      </c>
      <c r="M572">
        <v>0.99992429999999999</v>
      </c>
      <c r="N572">
        <v>-1.176669E-2</v>
      </c>
      <c r="O572">
        <v>-3.6212240000000001E-3</v>
      </c>
      <c r="P572">
        <v>0.98525240000000003</v>
      </c>
      <c r="Q572">
        <v>0.15821079999999901</v>
      </c>
      <c r="R572">
        <v>6.516856E-2</v>
      </c>
      <c r="S572">
        <v>3.0670169999999999</v>
      </c>
      <c r="T572">
        <v>-4.8567770000000003E-2</v>
      </c>
      <c r="U572">
        <v>-0.21343989999999999</v>
      </c>
      <c r="V572">
        <v>-6.8733680000000005E-2</v>
      </c>
      <c r="W572">
        <v>0.16979079999999999</v>
      </c>
      <c r="X572">
        <v>0.98308030000000002</v>
      </c>
      <c r="Y572">
        <v>6.5796640000000003E-2</v>
      </c>
      <c r="Z572">
        <v>-8.9321859999999997E-4</v>
      </c>
      <c r="AA572">
        <v>0.99783270000000002</v>
      </c>
      <c r="AB572">
        <v>31</v>
      </c>
      <c r="AC572">
        <v>73.093000000000004</v>
      </c>
      <c r="AD572">
        <v>-1.159883</v>
      </c>
      <c r="AE572">
        <v>-5.0968000000000302</v>
      </c>
      <c r="AF572">
        <v>4.8308515679708597</v>
      </c>
      <c r="AG572">
        <v>-1.159883</v>
      </c>
      <c r="AH572">
        <v>73.092662054927303</v>
      </c>
      <c r="AI572">
        <v>90.907152441681006</v>
      </c>
      <c r="AJ572">
        <v>86.218697840618404</v>
      </c>
      <c r="AK572">
        <v>73.261311083826897</v>
      </c>
      <c r="AL572">
        <v>80.224344593129999</v>
      </c>
      <c r="AM572">
        <v>93.999420523354502</v>
      </c>
      <c r="AN572">
        <v>1.0000000553895301</v>
      </c>
    </row>
    <row r="573" spans="1:40" x14ac:dyDescent="0.25">
      <c r="A573" t="str">
        <f>"20190304155607767"</f>
        <v>20190304155607767</v>
      </c>
      <c r="B573" t="str">
        <f>"1551686167765873"</f>
        <v>1551686167765873</v>
      </c>
      <c r="C573" t="s">
        <v>40</v>
      </c>
      <c r="D573">
        <v>4.41242</v>
      </c>
      <c r="E573">
        <v>0.55058629999999997</v>
      </c>
      <c r="F573" t="s">
        <v>44</v>
      </c>
      <c r="G573">
        <v>-296.78390000000002</v>
      </c>
      <c r="H573">
        <v>-0.05</v>
      </c>
      <c r="I573">
        <v>361.97030000000001</v>
      </c>
      <c r="J573">
        <v>-369.7758</v>
      </c>
      <c r="K573">
        <v>1.1098809999999999</v>
      </c>
      <c r="L573">
        <v>367.10309999999998</v>
      </c>
      <c r="M573">
        <v>0.99992420000000004</v>
      </c>
      <c r="N573">
        <v>-1.176731E-2</v>
      </c>
      <c r="O573">
        <v>-3.6153859999999999E-3</v>
      </c>
      <c r="P573">
        <v>0.98532759999999997</v>
      </c>
      <c r="Q573">
        <v>0.1576167</v>
      </c>
      <c r="R573">
        <v>6.5471570000000007E-2</v>
      </c>
      <c r="S573">
        <v>3.0669559999999998</v>
      </c>
      <c r="T573">
        <v>-4.8627139999999999E-2</v>
      </c>
      <c r="U573">
        <v>-0.21521000000000001</v>
      </c>
      <c r="V573">
        <v>-6.9031449999999994E-2</v>
      </c>
      <c r="W573">
        <v>0.16919870000000001</v>
      </c>
      <c r="X573">
        <v>0.98316139999999996</v>
      </c>
      <c r="Y573">
        <v>6.6376740000000004E-2</v>
      </c>
      <c r="Z573">
        <v>-9.0184870000000004E-4</v>
      </c>
      <c r="AA573">
        <v>0.99779419999999996</v>
      </c>
      <c r="AB573">
        <v>31</v>
      </c>
      <c r="AC573">
        <v>72.991899999999902</v>
      </c>
      <c r="AD573">
        <v>-1.1598809999999999</v>
      </c>
      <c r="AE573">
        <v>-5.1327999999999703</v>
      </c>
      <c r="AF573">
        <v>4.86763120222182</v>
      </c>
      <c r="AG573">
        <v>-1.1598809999999999</v>
      </c>
      <c r="AH573">
        <v>72.991640848985497</v>
      </c>
      <c r="AI573">
        <v>90.908370432630804</v>
      </c>
      <c r="AJ573">
        <v>86.184735885832495</v>
      </c>
      <c r="AK573">
        <v>73.162960514746004</v>
      </c>
      <c r="AL573">
        <v>80.258766347652994</v>
      </c>
      <c r="AM573">
        <v>94.016360086917999</v>
      </c>
      <c r="AN573">
        <v>0.99999993981037405</v>
      </c>
    </row>
    <row r="574" spans="1:40" x14ac:dyDescent="0.25">
      <c r="A574" t="str">
        <f>"20190304155607778"</f>
        <v>20190304155607778</v>
      </c>
      <c r="B574" t="str">
        <f>"1551686167775633"</f>
        <v>1551686167775633</v>
      </c>
      <c r="C574" t="s">
        <v>40</v>
      </c>
      <c r="D574">
        <v>4.4120780000000002</v>
      </c>
      <c r="E574">
        <v>0.55069630000000003</v>
      </c>
      <c r="F574" t="s">
        <v>44</v>
      </c>
      <c r="G574">
        <v>-300.3562</v>
      </c>
      <c r="H574">
        <v>-0.05</v>
      </c>
      <c r="I574">
        <v>362.18880000000001</v>
      </c>
      <c r="J574">
        <v>-369.6293</v>
      </c>
      <c r="K574">
        <v>1.1098749999999999</v>
      </c>
      <c r="L574">
        <v>367.1026</v>
      </c>
      <c r="M574">
        <v>0.99992420000000004</v>
      </c>
      <c r="N574">
        <v>-1.176787E-2</v>
      </c>
      <c r="O574">
        <v>-3.6102619999999999E-3</v>
      </c>
      <c r="P574">
        <v>0.98542980000000002</v>
      </c>
      <c r="Q574">
        <v>0.1570386</v>
      </c>
      <c r="R574">
        <v>6.5323229999999996E-2</v>
      </c>
      <c r="S574">
        <v>3.067291</v>
      </c>
      <c r="T574">
        <v>-5.124915E-2</v>
      </c>
      <c r="U574">
        <v>-0.21713260000000001</v>
      </c>
      <c r="V574">
        <v>-6.8878490000000001E-2</v>
      </c>
      <c r="W574">
        <v>0.16862249999999901</v>
      </c>
      <c r="X574">
        <v>0.98327120000000001</v>
      </c>
      <c r="Y574">
        <v>6.6995180000000001E-2</v>
      </c>
      <c r="Z574">
        <v>-9.3589140000000003E-4</v>
      </c>
      <c r="AA574">
        <v>0.9977528</v>
      </c>
      <c r="AB574">
        <v>31</v>
      </c>
      <c r="AC574">
        <v>69.273099999999999</v>
      </c>
      <c r="AD574">
        <v>-1.159875</v>
      </c>
      <c r="AE574">
        <v>-4.9137999999999797</v>
      </c>
      <c r="AF574">
        <v>4.6623560778982798</v>
      </c>
      <c r="AG574">
        <v>-1.159875</v>
      </c>
      <c r="AH574">
        <v>69.271067230065</v>
      </c>
      <c r="AI574">
        <v>90.957106062360296</v>
      </c>
      <c r="AJ574">
        <v>86.149459654887096</v>
      </c>
      <c r="AK574">
        <v>69.437480004712995</v>
      </c>
      <c r="AL574">
        <v>80.292262275539002</v>
      </c>
      <c r="AM574">
        <v>94.007043607474301</v>
      </c>
      <c r="AN574">
        <v>1.00000002332018</v>
      </c>
    </row>
    <row r="575" spans="1:40" x14ac:dyDescent="0.25">
      <c r="A575" t="str">
        <f>"20190304155607791"</f>
        <v>20190304155607791</v>
      </c>
      <c r="B575" t="str">
        <f>"1551686167785393"</f>
        <v>1551686167785393</v>
      </c>
      <c r="C575" t="s">
        <v>40</v>
      </c>
      <c r="D575">
        <v>4.4557630000000001</v>
      </c>
      <c r="E575">
        <v>0.55069630000000003</v>
      </c>
      <c r="F575" t="s">
        <v>44</v>
      </c>
      <c r="G575">
        <v>-303.4957</v>
      </c>
      <c r="H575">
        <v>-0.05</v>
      </c>
      <c r="I575">
        <v>362.39490000000001</v>
      </c>
      <c r="J575">
        <v>-369.46429999999998</v>
      </c>
      <c r="K575">
        <v>1.109872</v>
      </c>
      <c r="L575">
        <v>367.10199999999998</v>
      </c>
      <c r="M575">
        <v>0.99992429999999999</v>
      </c>
      <c r="N575">
        <v>-1.1768509999999999E-2</v>
      </c>
      <c r="O575">
        <v>-3.6046609999999999E-3</v>
      </c>
      <c r="P575">
        <v>0.98553210000000002</v>
      </c>
      <c r="Q575">
        <v>0.15642310000000001</v>
      </c>
      <c r="R575">
        <v>6.5258189999999994E-2</v>
      </c>
      <c r="S575">
        <v>3.0674440000000001</v>
      </c>
      <c r="T575">
        <v>-5.3797959999999999E-2</v>
      </c>
      <c r="U575">
        <v>-0.2183533</v>
      </c>
      <c r="V575">
        <v>-6.8808449999999993E-2</v>
      </c>
      <c r="W575">
        <v>0.16800870000000001</v>
      </c>
      <c r="X575">
        <v>0.98338119999999996</v>
      </c>
      <c r="Y575">
        <v>6.739096E-2</v>
      </c>
      <c r="Z575">
        <v>-9.6651959999999998E-4</v>
      </c>
      <c r="AA575">
        <v>0.99772620000000001</v>
      </c>
      <c r="AB575">
        <v>31</v>
      </c>
      <c r="AC575">
        <v>65.968599999999896</v>
      </c>
      <c r="AD575">
        <v>-1.159872</v>
      </c>
      <c r="AE575">
        <v>-4.7070999999999596</v>
      </c>
      <c r="AF575">
        <v>4.4678843430025896</v>
      </c>
      <c r="AG575">
        <v>-1.159872</v>
      </c>
      <c r="AH575">
        <v>65.9648514025411</v>
      </c>
      <c r="AI575">
        <v>91.005036122256399</v>
      </c>
      <c r="AJ575">
        <v>86.125201078611397</v>
      </c>
      <c r="AK575">
        <v>66.126159075801098</v>
      </c>
      <c r="AL575">
        <v>80.327939737220106</v>
      </c>
      <c r="AM575">
        <v>94.002535931345193</v>
      </c>
      <c r="AN575">
        <v>1.0000000552902599</v>
      </c>
    </row>
    <row r="576" spans="1:40" x14ac:dyDescent="0.25">
      <c r="A576" t="str">
        <f>"20190304155607808"</f>
        <v>20190304155607808</v>
      </c>
      <c r="B576" t="str">
        <f>"1551686167805889"</f>
        <v>1551686167805889</v>
      </c>
      <c r="C576" t="s">
        <v>40</v>
      </c>
      <c r="D576">
        <v>4.5320609999999997</v>
      </c>
      <c r="E576">
        <v>0.52407899999999996</v>
      </c>
      <c r="F576" t="s">
        <v>44</v>
      </c>
      <c r="G576">
        <v>-305.56200000000001</v>
      </c>
      <c r="H576">
        <v>-0.05</v>
      </c>
      <c r="I576">
        <v>362.5523</v>
      </c>
      <c r="J576">
        <v>-369.19900000000001</v>
      </c>
      <c r="K576">
        <v>1.1098619999999999</v>
      </c>
      <c r="L576">
        <v>367.101</v>
      </c>
      <c r="M576">
        <v>0.99992440000000005</v>
      </c>
      <c r="N576">
        <v>-1.176951E-2</v>
      </c>
      <c r="O576">
        <v>-3.5951300000000002E-3</v>
      </c>
      <c r="P576">
        <v>0.98569010000000001</v>
      </c>
      <c r="Q576">
        <v>0.15563579999999999</v>
      </c>
      <c r="R576">
        <v>6.4753350000000001E-2</v>
      </c>
      <c r="S576">
        <v>3.0673219999999999</v>
      </c>
      <c r="T576">
        <v>-5.5674080000000001E-2</v>
      </c>
      <c r="U576">
        <v>-0.21838379999999999</v>
      </c>
      <c r="V576">
        <v>-6.8294839999999996E-2</v>
      </c>
      <c r="W576">
        <v>0.16722409999999999</v>
      </c>
      <c r="X576">
        <v>0.9835507</v>
      </c>
      <c r="Y576">
        <v>6.741221E-2</v>
      </c>
      <c r="Z576">
        <v>-9.8533660000000006E-4</v>
      </c>
      <c r="AA576">
        <v>0.99772470000000002</v>
      </c>
      <c r="AB576">
        <v>31</v>
      </c>
      <c r="AC576">
        <v>63.637</v>
      </c>
      <c r="AD576">
        <v>-1.1598619999999999</v>
      </c>
      <c r="AE576">
        <v>-4.5486999999999904</v>
      </c>
      <c r="AF576">
        <v>4.3184442198341602</v>
      </c>
      <c r="AG576">
        <v>-1.1598619999999999</v>
      </c>
      <c r="AH576">
        <v>63.631912227872498</v>
      </c>
      <c r="AI576">
        <v>91.041857368802496</v>
      </c>
      <c r="AJ576">
        <v>86.117517186767202</v>
      </c>
      <c r="AK576">
        <v>63.788827345504203</v>
      </c>
      <c r="AL576">
        <v>80.373538906389996</v>
      </c>
      <c r="AM576">
        <v>93.972073194183395</v>
      </c>
      <c r="AN576">
        <v>1.0000000321309599</v>
      </c>
    </row>
    <row r="577" spans="1:40" x14ac:dyDescent="0.25">
      <c r="A577" t="str">
        <f>"20190304155607824"</f>
        <v>20190304155607824</v>
      </c>
      <c r="B577" t="str">
        <f>"1551686167815648"</f>
        <v>1551686167815648</v>
      </c>
      <c r="C577" t="s">
        <v>40</v>
      </c>
      <c r="D577">
        <v>4.6544930000000004</v>
      </c>
      <c r="E577">
        <v>0.52282439999999997</v>
      </c>
      <c r="F577" t="s">
        <v>43</v>
      </c>
      <c r="G577">
        <v>-158.19499999999999</v>
      </c>
      <c r="H577">
        <v>3.6957990000000001</v>
      </c>
      <c r="I577">
        <v>366.68549999999999</v>
      </c>
      <c r="J577">
        <v>-369.00200000000001</v>
      </c>
      <c r="K577">
        <v>1.1098619999999999</v>
      </c>
      <c r="L577">
        <v>367.1003</v>
      </c>
      <c r="M577">
        <v>0.99992440000000005</v>
      </c>
      <c r="N577">
        <v>-1.1770279999999999E-2</v>
      </c>
      <c r="O577">
        <v>-3.5881020000000001E-3</v>
      </c>
      <c r="P577">
        <v>0.98571560000000003</v>
      </c>
      <c r="Q577">
        <v>0.155479799999999</v>
      </c>
      <c r="R577">
        <v>6.4739229999999995E-2</v>
      </c>
      <c r="S577">
        <v>3.0380859999999998</v>
      </c>
      <c r="T577">
        <v>3.723419E-2</v>
      </c>
      <c r="U577">
        <v>-5.9814450000000002E-3</v>
      </c>
      <c r="V577">
        <v>-6.8273669999999995E-2</v>
      </c>
      <c r="W577">
        <v>0.16706940000000001</v>
      </c>
      <c r="X577">
        <v>0.98357839999999996</v>
      </c>
      <c r="Y577">
        <v>-1.6184979999999999E-3</v>
      </c>
      <c r="Z577" s="1">
        <v>-8.6596789999999997E-5</v>
      </c>
      <c r="AA577">
        <v>0.99999870000000002</v>
      </c>
      <c r="AB577">
        <v>31</v>
      </c>
      <c r="AC577">
        <v>210.80699999999999</v>
      </c>
      <c r="AD577">
        <v>2.5859369999999902</v>
      </c>
      <c r="AE577">
        <v>-0.41480000000001299</v>
      </c>
      <c r="AF577">
        <v>-0.341600604305001</v>
      </c>
      <c r="AG577">
        <v>2.5859369999999902</v>
      </c>
      <c r="AH577">
        <v>210.775414825436</v>
      </c>
      <c r="AI577">
        <v>89.297092364636697</v>
      </c>
      <c r="AJ577">
        <v>90.092858343017397</v>
      </c>
      <c r="AK577">
        <v>210.79155404326701</v>
      </c>
      <c r="AL577">
        <v>80.382528468687894</v>
      </c>
      <c r="AM577">
        <v>93.970734401221094</v>
      </c>
      <c r="AN577">
        <v>0.99999997368909399</v>
      </c>
    </row>
    <row r="578" spans="1:40" x14ac:dyDescent="0.25">
      <c r="A578" t="str">
        <f>"20190304155607842"</f>
        <v>20190304155607842</v>
      </c>
      <c r="B578" t="str">
        <f>"1551686167835168"</f>
        <v>1551686167835168</v>
      </c>
      <c r="C578" t="s">
        <v>40</v>
      </c>
      <c r="D578">
        <v>4.3386209999999998</v>
      </c>
      <c r="E578">
        <v>0.55095249999999996</v>
      </c>
      <c r="F578" t="s">
        <v>43</v>
      </c>
      <c r="G578">
        <v>-170.08879999999999</v>
      </c>
      <c r="H578">
        <v>6.7013619999999996</v>
      </c>
      <c r="I578">
        <v>367.42090000000002</v>
      </c>
      <c r="J578">
        <v>-368.73410000000001</v>
      </c>
      <c r="K578">
        <v>1.1098669999999999</v>
      </c>
      <c r="L578">
        <v>367.09930000000003</v>
      </c>
      <c r="M578">
        <v>0.99992449999999999</v>
      </c>
      <c r="N578">
        <v>-1.177133E-2</v>
      </c>
      <c r="O578">
        <v>-3.5786920000000001E-3</v>
      </c>
      <c r="P578">
        <v>0.98580029999999996</v>
      </c>
      <c r="Q578">
        <v>0.1552239</v>
      </c>
      <c r="R578">
        <v>6.4061190000000004E-2</v>
      </c>
      <c r="S578">
        <v>3.0297550000000002</v>
      </c>
      <c r="T578">
        <v>8.5168480000000005E-2</v>
      </c>
      <c r="U578">
        <v>4.8828129999999997E-3</v>
      </c>
      <c r="V578">
        <v>-6.7586690000000005E-2</v>
      </c>
      <c r="W578">
        <v>0.16681550000000001</v>
      </c>
      <c r="X578">
        <v>0.98366900000000002</v>
      </c>
      <c r="Y578">
        <v>-5.1865050000000001E-3</v>
      </c>
      <c r="Z578">
        <v>-1.850481E-4</v>
      </c>
      <c r="AA578">
        <v>0.9999865</v>
      </c>
      <c r="AB578">
        <v>31</v>
      </c>
      <c r="AC578">
        <v>198.64529999999999</v>
      </c>
      <c r="AD578">
        <v>5.5914950000000001</v>
      </c>
      <c r="AE578">
        <v>0.32159999999998901</v>
      </c>
      <c r="AF578">
        <v>-1.0317199616481501</v>
      </c>
      <c r="AG578">
        <v>5.5914950000000001</v>
      </c>
      <c r="AH578">
        <v>198.48561357505699</v>
      </c>
      <c r="AI578">
        <v>88.386381626285001</v>
      </c>
      <c r="AJ578">
        <v>90.297818395988799</v>
      </c>
      <c r="AK578">
        <v>198.567036687062</v>
      </c>
      <c r="AL578">
        <v>80.397283532233899</v>
      </c>
      <c r="AM578">
        <v>93.930545243113301</v>
      </c>
      <c r="AN578">
        <v>1.0000000366332</v>
      </c>
    </row>
    <row r="579" spans="1:40" x14ac:dyDescent="0.25">
      <c r="A579" t="str">
        <f>"20190304155607853"</f>
        <v>20190304155607853</v>
      </c>
      <c r="B579" t="str">
        <f>"1551686167845905"</f>
        <v>1551686167845905</v>
      </c>
      <c r="C579" t="s">
        <v>40</v>
      </c>
      <c r="D579">
        <v>4.5531730000000001</v>
      </c>
      <c r="E579">
        <v>0.54225029999999996</v>
      </c>
      <c r="F579" t="s">
        <v>43</v>
      </c>
      <c r="G579">
        <v>-158.78319999999999</v>
      </c>
      <c r="H579">
        <v>38.078220000000002</v>
      </c>
      <c r="I579">
        <v>352.10750000000002</v>
      </c>
      <c r="J579">
        <v>-368.57960000000003</v>
      </c>
      <c r="K579">
        <v>1.1098669999999999</v>
      </c>
      <c r="L579">
        <v>367.09879999999998</v>
      </c>
      <c r="M579">
        <v>0.99992440000000005</v>
      </c>
      <c r="N579">
        <v>-1.177198E-2</v>
      </c>
      <c r="O579">
        <v>-3.5729749999999999E-3</v>
      </c>
      <c r="P579">
        <v>0.98581680000000005</v>
      </c>
      <c r="Q579">
        <v>0.15529299999999999</v>
      </c>
      <c r="R579">
        <v>6.3637299999999994E-2</v>
      </c>
      <c r="S579">
        <v>2.974548</v>
      </c>
      <c r="T579">
        <v>0.52376199999999995</v>
      </c>
      <c r="U579">
        <v>-0.21240229999999999</v>
      </c>
      <c r="V579">
        <v>-6.7157159999999994E-2</v>
      </c>
      <c r="W579">
        <v>0.1668856</v>
      </c>
      <c r="X579">
        <v>0.98368650000000002</v>
      </c>
      <c r="Y579">
        <v>6.677052E-2</v>
      </c>
      <c r="Z579">
        <v>4.7648859999999899E-3</v>
      </c>
      <c r="AA579">
        <v>0.99775700000000001</v>
      </c>
      <c r="AB579">
        <v>31</v>
      </c>
      <c r="AC579">
        <v>209.79640000000001</v>
      </c>
      <c r="AD579">
        <v>36.968353</v>
      </c>
      <c r="AE579">
        <v>-14.991299999999899</v>
      </c>
      <c r="AF579">
        <v>13.8147827147616</v>
      </c>
      <c r="AG579">
        <v>36.968353</v>
      </c>
      <c r="AH579">
        <v>203.560157165725</v>
      </c>
      <c r="AI579">
        <v>79.729875938294398</v>
      </c>
      <c r="AJ579">
        <v>86.1175266223959</v>
      </c>
      <c r="AK579">
        <v>207.35053636372299</v>
      </c>
      <c r="AL579">
        <v>80.393209727793206</v>
      </c>
      <c r="AM579">
        <v>93.905573951369803</v>
      </c>
      <c r="AN579">
        <v>1.0000000089544301</v>
      </c>
    </row>
    <row r="580" spans="1:40" x14ac:dyDescent="0.25">
      <c r="A580" t="str">
        <f>"20190304155607865"</f>
        <v>20190304155607865</v>
      </c>
      <c r="B580" t="str">
        <f>"1551686167855665"</f>
        <v>1551686167855665</v>
      </c>
      <c r="C580" t="s">
        <v>40</v>
      </c>
      <c r="D580">
        <v>4.5197919999999998</v>
      </c>
      <c r="E580">
        <v>0.53791699999999998</v>
      </c>
      <c r="F580" t="s">
        <v>43</v>
      </c>
      <c r="G580">
        <v>-158.19499999999999</v>
      </c>
      <c r="H580">
        <v>33.995179999999998</v>
      </c>
      <c r="I580">
        <v>356.82990000000001</v>
      </c>
      <c r="J580">
        <v>-368.41149999999999</v>
      </c>
      <c r="K580">
        <v>1.1098680000000001</v>
      </c>
      <c r="L580">
        <v>367.09820000000002</v>
      </c>
      <c r="M580">
        <v>0.99992429999999999</v>
      </c>
      <c r="N580">
        <v>-1.177276E-2</v>
      </c>
      <c r="O580">
        <v>-3.5664260000000001E-3</v>
      </c>
      <c r="P580">
        <v>0.98577159999999997</v>
      </c>
      <c r="Q580">
        <v>0.15571559999999901</v>
      </c>
      <c r="R580">
        <v>6.3298800000000002E-2</v>
      </c>
      <c r="S580">
        <v>2.9792179999999999</v>
      </c>
      <c r="T580">
        <v>0.46568389999999998</v>
      </c>
      <c r="U580">
        <v>-0.145416299999999</v>
      </c>
      <c r="V580">
        <v>-6.6811770000000006E-2</v>
      </c>
      <c r="W580">
        <v>0.16730819999999999</v>
      </c>
      <c r="X580">
        <v>0.98363820000000002</v>
      </c>
      <c r="Y580">
        <v>4.4738809999999997E-2</v>
      </c>
      <c r="Z580">
        <v>2.6130060000000002E-3</v>
      </c>
      <c r="AA580">
        <v>0.99899530000000003</v>
      </c>
      <c r="AB580">
        <v>31</v>
      </c>
      <c r="AC580">
        <v>210.2165</v>
      </c>
      <c r="AD580">
        <v>32.885311999999999</v>
      </c>
      <c r="AE580">
        <v>-10.2683</v>
      </c>
      <c r="AF580">
        <v>9.2916174315956805</v>
      </c>
      <c r="AG580">
        <v>32.885311999999999</v>
      </c>
      <c r="AH580">
        <v>205.24107238920399</v>
      </c>
      <c r="AI580">
        <v>80.906159419337698</v>
      </c>
      <c r="AJ580">
        <v>87.407891114746604</v>
      </c>
      <c r="AK580">
        <v>208.06651747771201</v>
      </c>
      <c r="AL580">
        <v>80.368650944609797</v>
      </c>
      <c r="AM580">
        <v>93.8857394376126</v>
      </c>
      <c r="AN580">
        <v>0.99999997744850599</v>
      </c>
    </row>
    <row r="581" spans="1:40" x14ac:dyDescent="0.25">
      <c r="A581" t="str">
        <f>"20190304155607876"</f>
        <v>20190304155607876</v>
      </c>
      <c r="B581" t="str">
        <f>"1551686167865424"</f>
        <v>1551686167865424</v>
      </c>
      <c r="C581" t="s">
        <v>40</v>
      </c>
      <c r="D581">
        <v>4.5298109999999996</v>
      </c>
      <c r="E581">
        <v>0.53504549999999995</v>
      </c>
      <c r="F581" t="s">
        <v>43</v>
      </c>
      <c r="G581">
        <v>-158.19499999999999</v>
      </c>
      <c r="H581">
        <v>31.35961</v>
      </c>
      <c r="I581">
        <v>359.15750000000003</v>
      </c>
      <c r="J581">
        <v>-368.26549999999997</v>
      </c>
      <c r="K581">
        <v>1.1098749999999999</v>
      </c>
      <c r="L581">
        <v>367.09769999999997</v>
      </c>
      <c r="M581">
        <v>0.99992440000000005</v>
      </c>
      <c r="N581">
        <v>-1.177341E-2</v>
      </c>
      <c r="O581">
        <v>-3.560948E-3</v>
      </c>
      <c r="P581">
        <v>0.98579280000000002</v>
      </c>
      <c r="Q581">
        <v>0.1557539</v>
      </c>
      <c r="R581">
        <v>6.287529E-2</v>
      </c>
      <c r="S581">
        <v>2.982758</v>
      </c>
      <c r="T581">
        <v>0.42921409999999999</v>
      </c>
      <c r="U581">
        <v>-0.11267089999999901</v>
      </c>
      <c r="V581">
        <v>-6.638355E-2</v>
      </c>
      <c r="W581">
        <v>0.16734769999999999</v>
      </c>
      <c r="X581">
        <v>0.98366050000000005</v>
      </c>
      <c r="Y581">
        <v>3.3911179999999999E-2</v>
      </c>
      <c r="Z581">
        <v>1.674608E-3</v>
      </c>
      <c r="AA581">
        <v>0.99942339999999996</v>
      </c>
      <c r="AB581">
        <v>31</v>
      </c>
      <c r="AC581">
        <v>210.07050000000001</v>
      </c>
      <c r="AD581">
        <v>30.249735000000001</v>
      </c>
      <c r="AE581">
        <v>-7.9401999999999404</v>
      </c>
      <c r="AF581">
        <v>7.0461511863014303</v>
      </c>
      <c r="AG581">
        <v>30.249735000000001</v>
      </c>
      <c r="AH581">
        <v>205.83544736171899</v>
      </c>
      <c r="AI581">
        <v>81.644438358166894</v>
      </c>
      <c r="AJ581">
        <v>88.039418641896503</v>
      </c>
      <c r="AK581">
        <v>208.165621812799</v>
      </c>
      <c r="AL581">
        <v>80.3663556536128</v>
      </c>
      <c r="AM581">
        <v>93.860822677081003</v>
      </c>
      <c r="AN581">
        <v>1.0000000038330701</v>
      </c>
    </row>
    <row r="582" spans="1:40" x14ac:dyDescent="0.25">
      <c r="A582" t="str">
        <f>"20190304155607886"</f>
        <v>20190304155607886</v>
      </c>
      <c r="B582" t="str">
        <f>"1551686167875185"</f>
        <v>1551686167875185</v>
      </c>
      <c r="C582" t="s">
        <v>40</v>
      </c>
      <c r="D582">
        <v>4.5195699999999999</v>
      </c>
      <c r="E582">
        <v>0.53272619999999904</v>
      </c>
      <c r="F582" t="s">
        <v>43</v>
      </c>
      <c r="G582">
        <v>-158.19499999999999</v>
      </c>
      <c r="H582">
        <v>29.150670000000002</v>
      </c>
      <c r="I582">
        <v>360.64839999999998</v>
      </c>
      <c r="J582">
        <v>-368.10969999999998</v>
      </c>
      <c r="K582">
        <v>1.1098760000000001</v>
      </c>
      <c r="L582">
        <v>367.09710000000001</v>
      </c>
      <c r="M582">
        <v>0.99992440000000005</v>
      </c>
      <c r="N582">
        <v>-1.1774099999999999E-2</v>
      </c>
      <c r="O582">
        <v>-3.5548749999999999E-3</v>
      </c>
      <c r="P582">
        <v>0.98578540000000003</v>
      </c>
      <c r="Q582">
        <v>0.15592410000000001</v>
      </c>
      <c r="R582">
        <v>6.2569089999999994E-2</v>
      </c>
      <c r="S582">
        <v>2.9861149999999999</v>
      </c>
      <c r="T582">
        <v>0.3985959</v>
      </c>
      <c r="U582">
        <v>-9.1674800000000001E-2</v>
      </c>
      <c r="V582">
        <v>-6.607064E-2</v>
      </c>
      <c r="W582">
        <v>0.16751830000000001</v>
      </c>
      <c r="X582">
        <v>0.98365250000000004</v>
      </c>
      <c r="Y582">
        <v>2.6952009999999998E-2</v>
      </c>
      <c r="Z582">
        <v>1.1171620000000001E-3</v>
      </c>
      <c r="AA582">
        <v>0.99963610000000003</v>
      </c>
      <c r="AB582">
        <v>31</v>
      </c>
      <c r="AC582">
        <v>209.91470000000001</v>
      </c>
      <c r="AD582">
        <v>28.040794000000002</v>
      </c>
      <c r="AE582">
        <v>-6.4487000000000299</v>
      </c>
      <c r="AF582">
        <v>5.6025094864206197</v>
      </c>
      <c r="AG582">
        <v>28.040794000000002</v>
      </c>
      <c r="AH582">
        <v>206.259256579717</v>
      </c>
      <c r="AI582">
        <v>82.260963466726906</v>
      </c>
      <c r="AJ582">
        <v>88.444088066975795</v>
      </c>
      <c r="AK582">
        <v>208.23197440718201</v>
      </c>
      <c r="AL582">
        <v>80.3564407579468</v>
      </c>
      <c r="AM582">
        <v>93.8427098518506</v>
      </c>
      <c r="AN582">
        <v>0.99999997553057396</v>
      </c>
    </row>
    <row r="583" spans="1:40" x14ac:dyDescent="0.25">
      <c r="A583" t="str">
        <f>"20190304155607899"</f>
        <v>20190304155607899</v>
      </c>
      <c r="B583" t="str">
        <f>"1551686167895681"</f>
        <v>1551686167895681</v>
      </c>
      <c r="C583" t="s">
        <v>40</v>
      </c>
      <c r="D583">
        <v>4.6068720000000001</v>
      </c>
      <c r="E583">
        <v>0.52916399999999997</v>
      </c>
      <c r="F583" t="s">
        <v>43</v>
      </c>
      <c r="G583">
        <v>-158.19499999999999</v>
      </c>
      <c r="H583">
        <v>28.33717</v>
      </c>
      <c r="I583">
        <v>361.8723</v>
      </c>
      <c r="J583">
        <v>-367.94580000000002</v>
      </c>
      <c r="K583">
        <v>1.109877</v>
      </c>
      <c r="L583">
        <v>367.09660000000002</v>
      </c>
      <c r="M583">
        <v>0.99992440000000005</v>
      </c>
      <c r="N583">
        <v>-1.177482E-2</v>
      </c>
      <c r="O583">
        <v>-3.5490370000000001E-3</v>
      </c>
      <c r="P583">
        <v>0.98578310000000002</v>
      </c>
      <c r="Q583">
        <v>0.1560608</v>
      </c>
      <c r="R583">
        <v>6.2264399999999998E-2</v>
      </c>
      <c r="S583">
        <v>2.9867249999999999</v>
      </c>
      <c r="T583">
        <v>0.38739859999999998</v>
      </c>
      <c r="U583">
        <v>-7.4340820000000002E-2</v>
      </c>
      <c r="V583">
        <v>-6.5760440000000003E-2</v>
      </c>
      <c r="W583">
        <v>0.1676561</v>
      </c>
      <c r="X583">
        <v>0.98364980000000002</v>
      </c>
      <c r="Y583">
        <v>2.120843E-2</v>
      </c>
      <c r="Z583">
        <v>7.4420009999999904E-4</v>
      </c>
      <c r="AA583">
        <v>0.99977479999999996</v>
      </c>
      <c r="AB583">
        <v>31</v>
      </c>
      <c r="AC583">
        <v>209.7508</v>
      </c>
      <c r="AD583">
        <v>27.227293</v>
      </c>
      <c r="AE583">
        <v>-5.2243000000000199</v>
      </c>
      <c r="AF583">
        <v>4.4056132883126802</v>
      </c>
      <c r="AG583">
        <v>27.227293</v>
      </c>
      <c r="AH583">
        <v>206.29410657475401</v>
      </c>
      <c r="AI583">
        <v>82.483087396137194</v>
      </c>
      <c r="AJ583">
        <v>88.7765783162166</v>
      </c>
      <c r="AK583">
        <v>208.12975116505999</v>
      </c>
      <c r="AL583">
        <v>80.348432044399004</v>
      </c>
      <c r="AM583">
        <v>93.824732566745098</v>
      </c>
      <c r="AN583">
        <v>0.99999996618812104</v>
      </c>
    </row>
    <row r="584" spans="1:40" x14ac:dyDescent="0.25">
      <c r="A584" t="str">
        <f>"20190304155607911"</f>
        <v>20190304155607911</v>
      </c>
      <c r="B584" t="str">
        <f>"1551686167905441"</f>
        <v>1551686167905441</v>
      </c>
      <c r="C584" t="s">
        <v>40</v>
      </c>
      <c r="D584">
        <v>4.5777809999999999</v>
      </c>
      <c r="E584">
        <v>0.52721010000000001</v>
      </c>
      <c r="F584" t="s">
        <v>43</v>
      </c>
      <c r="G584">
        <v>-158.19499999999999</v>
      </c>
      <c r="H584">
        <v>25.31418</v>
      </c>
      <c r="I584">
        <v>363.74579999999997</v>
      </c>
      <c r="J584">
        <v>-367.77980000000002</v>
      </c>
      <c r="K584">
        <v>1.109872</v>
      </c>
      <c r="L584">
        <v>367.096</v>
      </c>
      <c r="M584">
        <v>0.99992449999999999</v>
      </c>
      <c r="N584">
        <v>-1.1775549999999999E-2</v>
      </c>
      <c r="O584">
        <v>-3.5430790000000002E-3</v>
      </c>
      <c r="P584">
        <v>0.98580389999999996</v>
      </c>
      <c r="Q584">
        <v>0.1561051</v>
      </c>
      <c r="R584">
        <v>6.1822700000000001E-2</v>
      </c>
      <c r="S584">
        <v>2.9916079999999998</v>
      </c>
      <c r="T584">
        <v>0.34521929999999901</v>
      </c>
      <c r="U584">
        <v>-4.7790529999999998E-2</v>
      </c>
      <c r="V584">
        <v>-6.531294E-2</v>
      </c>
      <c r="W584">
        <v>0.16770119999999999</v>
      </c>
      <c r="X584">
        <v>0.98367199999999999</v>
      </c>
      <c r="Y584">
        <v>1.238468E-2</v>
      </c>
      <c r="Z584">
        <v>1.8997679999999999E-4</v>
      </c>
      <c r="AA584">
        <v>0.99992329999999996</v>
      </c>
      <c r="AB584">
        <v>31</v>
      </c>
      <c r="AC584">
        <v>209.5848</v>
      </c>
      <c r="AD584">
        <v>24.204307999999902</v>
      </c>
      <c r="AE584">
        <v>-3.3502000000000201</v>
      </c>
      <c r="AF584">
        <v>2.5732409090151198</v>
      </c>
      <c r="AG584">
        <v>24.204307999999902</v>
      </c>
      <c r="AH584">
        <v>206.83742074438101</v>
      </c>
      <c r="AI584">
        <v>83.326062163288</v>
      </c>
      <c r="AJ584">
        <v>89.287226472659995</v>
      </c>
      <c r="AK584">
        <v>208.26470827944601</v>
      </c>
      <c r="AL584">
        <v>80.345811594512398</v>
      </c>
      <c r="AM584">
        <v>93.798696235573402</v>
      </c>
      <c r="AN584">
        <v>1.00000003809844</v>
      </c>
    </row>
    <row r="585" spans="1:40" x14ac:dyDescent="0.25">
      <c r="A585" t="str">
        <f>"20190304155607922"</f>
        <v>20190304155607922</v>
      </c>
      <c r="B585" t="str">
        <f>"1551686167915201"</f>
        <v>1551686167915201</v>
      </c>
      <c r="C585" t="s">
        <v>40</v>
      </c>
      <c r="D585">
        <v>4.5611649999999999</v>
      </c>
      <c r="E585">
        <v>0.52581460000000002</v>
      </c>
      <c r="F585" t="s">
        <v>43</v>
      </c>
      <c r="G585">
        <v>-158.19499999999999</v>
      </c>
      <c r="H585">
        <v>23.927849999999999</v>
      </c>
      <c r="I585">
        <v>364.72239999999999</v>
      </c>
      <c r="J585">
        <v>-367.61559999999997</v>
      </c>
      <c r="K585">
        <v>1.1098730000000001</v>
      </c>
      <c r="L585">
        <v>367.09539999999998</v>
      </c>
      <c r="M585">
        <v>0.99992449999999999</v>
      </c>
      <c r="N585">
        <v>-1.177626E-2</v>
      </c>
      <c r="O585">
        <v>-3.537241E-3</v>
      </c>
      <c r="P585">
        <v>0.9858403</v>
      </c>
      <c r="Q585">
        <v>0.15594939999999999</v>
      </c>
      <c r="R585">
        <v>6.163619E-2</v>
      </c>
      <c r="S585">
        <v>2.9937740000000002</v>
      </c>
      <c r="T585">
        <v>0.32594030000000002</v>
      </c>
      <c r="U585">
        <v>-3.3905030000000003E-2</v>
      </c>
      <c r="V585">
        <v>-6.5120940000000002E-2</v>
      </c>
      <c r="W585">
        <v>0.16754659999999999</v>
      </c>
      <c r="X585">
        <v>0.98371109999999995</v>
      </c>
      <c r="Y585">
        <v>7.7718630000000004E-3</v>
      </c>
      <c r="Z585" s="1">
        <v>-4.9552390000000003E-5</v>
      </c>
      <c r="AA585">
        <v>0.99996980000000002</v>
      </c>
      <c r="AB585">
        <v>31</v>
      </c>
      <c r="AC585">
        <v>209.42060000000001</v>
      </c>
      <c r="AD585">
        <v>22.817976999999999</v>
      </c>
      <c r="AE585">
        <v>-2.37299999999999</v>
      </c>
      <c r="AF585">
        <v>1.61301582798245</v>
      </c>
      <c r="AG585">
        <v>22.817976999999999</v>
      </c>
      <c r="AH585">
        <v>206.970888767606</v>
      </c>
      <c r="AI585">
        <v>83.708892833839499</v>
      </c>
      <c r="AJ585">
        <v>89.553477647304902</v>
      </c>
      <c r="AK585">
        <v>208.231147265933</v>
      </c>
      <c r="AL585">
        <v>80.354796904583296</v>
      </c>
      <c r="AM585">
        <v>93.787411678612798</v>
      </c>
      <c r="AN585">
        <v>1.0000000641306199</v>
      </c>
    </row>
    <row r="586" spans="1:40" x14ac:dyDescent="0.25">
      <c r="A586" t="str">
        <f>"20190304155607934"</f>
        <v>20190304155607934</v>
      </c>
      <c r="B586" t="str">
        <f>"1551686167925937"</f>
        <v>1551686167925937</v>
      </c>
      <c r="C586" t="s">
        <v>40</v>
      </c>
      <c r="D586">
        <v>4.6303449999999904</v>
      </c>
      <c r="E586">
        <v>0.52493999999999996</v>
      </c>
      <c r="F586" t="s">
        <v>43</v>
      </c>
      <c r="G586">
        <v>-158.19499999999999</v>
      </c>
      <c r="H586">
        <v>22.75919</v>
      </c>
      <c r="I586">
        <v>365.45049999999998</v>
      </c>
      <c r="J586">
        <v>-367.45490000000001</v>
      </c>
      <c r="K586">
        <v>1.109872</v>
      </c>
      <c r="L586">
        <v>367.09480000000002</v>
      </c>
      <c r="M586">
        <v>0.99992449999999999</v>
      </c>
      <c r="N586">
        <v>-1.1776969999999999E-2</v>
      </c>
      <c r="O586">
        <v>-3.5316420000000002E-3</v>
      </c>
      <c r="P586">
        <v>0.98580939999999995</v>
      </c>
      <c r="Q586">
        <v>0.15626180000000001</v>
      </c>
      <c r="R586">
        <v>6.1335969999999997E-2</v>
      </c>
      <c r="S586">
        <v>2.9955750000000001</v>
      </c>
      <c r="T586">
        <v>0.30967519999999998</v>
      </c>
      <c r="U586">
        <v>-2.3529049999999999E-2</v>
      </c>
      <c r="V586">
        <v>-6.4814899999999995E-2</v>
      </c>
      <c r="W586">
        <v>0.16785919999999999</v>
      </c>
      <c r="X586">
        <v>0.98367800000000005</v>
      </c>
      <c r="Y586">
        <v>4.325476E-3</v>
      </c>
      <c r="Z586">
        <v>-2.081354E-4</v>
      </c>
      <c r="AA586">
        <v>0.99999059999999995</v>
      </c>
      <c r="AB586">
        <v>31</v>
      </c>
      <c r="AC586">
        <v>209.25989999999999</v>
      </c>
      <c r="AD586">
        <v>21.649318000000001</v>
      </c>
      <c r="AE586">
        <v>-1.6443000000000401</v>
      </c>
      <c r="AF586">
        <v>0.89562201041166301</v>
      </c>
      <c r="AG586">
        <v>21.649318000000001</v>
      </c>
      <c r="AH586">
        <v>207.048444070236</v>
      </c>
      <c r="AI586">
        <v>84.030807795332095</v>
      </c>
      <c r="AJ586">
        <v>89.752159252345905</v>
      </c>
      <c r="AK586">
        <v>208.17913752476801</v>
      </c>
      <c r="AL586">
        <v>80.336628755948396</v>
      </c>
      <c r="AM586">
        <v>93.7697904183362</v>
      </c>
      <c r="AN586">
        <v>1.0000000449853199</v>
      </c>
    </row>
    <row r="587" spans="1:40" x14ac:dyDescent="0.25">
      <c r="A587" t="str">
        <f>"20190304155607944"</f>
        <v>20190304155607944</v>
      </c>
      <c r="B587" t="str">
        <f>"1551686167935697"</f>
        <v>1551686167935697</v>
      </c>
      <c r="C587" t="s">
        <v>40</v>
      </c>
      <c r="D587">
        <v>4.5605260000000003</v>
      </c>
      <c r="E587">
        <v>0.52390530000000002</v>
      </c>
      <c r="F587" t="s">
        <v>43</v>
      </c>
      <c r="G587">
        <v>-158.19499999999999</v>
      </c>
      <c r="H587">
        <v>22.043959999999998</v>
      </c>
      <c r="I587">
        <v>365.86739999999998</v>
      </c>
      <c r="J587">
        <v>-367.3098</v>
      </c>
      <c r="K587">
        <v>1.1098779999999999</v>
      </c>
      <c r="L587">
        <v>367.09429999999998</v>
      </c>
      <c r="M587">
        <v>0.99992449999999999</v>
      </c>
      <c r="N587">
        <v>-1.1777610000000001E-2</v>
      </c>
      <c r="O587">
        <v>-3.5263989999999999E-3</v>
      </c>
      <c r="P587">
        <v>0.98585719999999999</v>
      </c>
      <c r="Q587">
        <v>0.15606429999999999</v>
      </c>
      <c r="R587">
        <v>6.1069659999999998E-2</v>
      </c>
      <c r="S587">
        <v>2.9967350000000001</v>
      </c>
      <c r="T587">
        <v>0.29979050000000002</v>
      </c>
      <c r="U587">
        <v>-1.7578130000000001E-2</v>
      </c>
      <c r="V587">
        <v>-6.4544099999999993E-2</v>
      </c>
      <c r="W587">
        <v>0.1676627</v>
      </c>
      <c r="X587">
        <v>0.98372930000000003</v>
      </c>
      <c r="Y587">
        <v>2.3506830000000001E-3</v>
      </c>
      <c r="Z587">
        <v>-2.8990050000000001E-4</v>
      </c>
      <c r="AA587">
        <v>0.99999720000000003</v>
      </c>
      <c r="AB587">
        <v>31</v>
      </c>
      <c r="AC587">
        <v>209.1148</v>
      </c>
      <c r="AD587">
        <v>20.934082</v>
      </c>
      <c r="AE587">
        <v>-1.2269000000000001</v>
      </c>
      <c r="AF587">
        <v>0.48456311094576898</v>
      </c>
      <c r="AG587">
        <v>20.934082</v>
      </c>
      <c r="AH587">
        <v>207.04298992213401</v>
      </c>
      <c r="AI587">
        <v>84.226470392244096</v>
      </c>
      <c r="AJ587">
        <v>89.865905286218705</v>
      </c>
      <c r="AK587">
        <v>208.09918372374301</v>
      </c>
      <c r="AL587">
        <v>80.348049072229102</v>
      </c>
      <c r="AM587">
        <v>93.7538899623041</v>
      </c>
      <c r="AN587">
        <v>1.0000000287472901</v>
      </c>
    </row>
    <row r="588" spans="1:40" x14ac:dyDescent="0.25">
      <c r="A588" t="str">
        <f>"20190304155607955"</f>
        <v>20190304155607955</v>
      </c>
      <c r="B588" t="str">
        <f>"1551686167945458"</f>
        <v>1551686167945458</v>
      </c>
      <c r="C588" t="s">
        <v>40</v>
      </c>
      <c r="D588">
        <v>4.5536159999999999</v>
      </c>
      <c r="E588">
        <v>0.52303949999999999</v>
      </c>
      <c r="F588" t="s">
        <v>43</v>
      </c>
      <c r="G588">
        <v>-158.19499999999999</v>
      </c>
      <c r="H588">
        <v>21.279869999999999</v>
      </c>
      <c r="I588">
        <v>366.37479999999999</v>
      </c>
      <c r="J588">
        <v>-367.16079999999999</v>
      </c>
      <c r="K588">
        <v>1.1098790000000001</v>
      </c>
      <c r="L588">
        <v>367.09379999999999</v>
      </c>
      <c r="M588">
        <v>0.99992449999999999</v>
      </c>
      <c r="N588">
        <v>-1.177827E-2</v>
      </c>
      <c r="O588">
        <v>-3.5211579999999999E-3</v>
      </c>
      <c r="P588">
        <v>0.98588350000000002</v>
      </c>
      <c r="Q588">
        <v>0.15594340000000001</v>
      </c>
      <c r="R588">
        <v>6.0952480000000003E-2</v>
      </c>
      <c r="S588">
        <v>2.997925</v>
      </c>
      <c r="T588">
        <v>0.28916350000000002</v>
      </c>
      <c r="U588">
        <v>-1.031494E-2</v>
      </c>
      <c r="V588">
        <v>-6.4421590000000001E-2</v>
      </c>
      <c r="W588">
        <v>0.16754279999999999</v>
      </c>
      <c r="X588">
        <v>0.98375769999999996</v>
      </c>
      <c r="Y588" s="1">
        <v>-5.9909360000000003E-5</v>
      </c>
      <c r="Z588">
        <v>-3.8273920000000001E-4</v>
      </c>
      <c r="AA588">
        <v>0.99999990000000005</v>
      </c>
      <c r="AB588">
        <v>31</v>
      </c>
      <c r="AC588">
        <v>208.9658</v>
      </c>
      <c r="AD588">
        <v>20.169991</v>
      </c>
      <c r="AE588">
        <v>-0.71899999999999398</v>
      </c>
      <c r="AF588">
        <v>-1.67014509338539E-2</v>
      </c>
      <c r="AG588">
        <v>20.169991</v>
      </c>
      <c r="AH588">
        <v>207.038151774965</v>
      </c>
      <c r="AI588">
        <v>84.435711842446906</v>
      </c>
      <c r="AJ588">
        <v>90.004621962860298</v>
      </c>
      <c r="AK588">
        <v>208.01832877482701</v>
      </c>
      <c r="AL588">
        <v>80.355016850287399</v>
      </c>
      <c r="AM588">
        <v>93.746677228557402</v>
      </c>
      <c r="AN588">
        <v>0.99999997169962795</v>
      </c>
    </row>
    <row r="589" spans="1:40" x14ac:dyDescent="0.25">
      <c r="A589" t="str">
        <f>"20190304155607964"</f>
        <v>20190304155607964</v>
      </c>
      <c r="B589" t="str">
        <f>"1551686167955217"</f>
        <v>1551686167955217</v>
      </c>
      <c r="C589" t="s">
        <v>40</v>
      </c>
      <c r="D589">
        <v>4.5539999999999896</v>
      </c>
      <c r="E589">
        <v>0.52230829999999995</v>
      </c>
      <c r="F589" t="s">
        <v>43</v>
      </c>
      <c r="G589">
        <v>-158.19499999999999</v>
      </c>
      <c r="H589">
        <v>20.649260000000002</v>
      </c>
      <c r="I589">
        <v>366.82380000000001</v>
      </c>
      <c r="J589">
        <v>-367.00799999999998</v>
      </c>
      <c r="K589">
        <v>1.109882</v>
      </c>
      <c r="L589">
        <v>367.0933</v>
      </c>
      <c r="M589">
        <v>0.99992449999999999</v>
      </c>
      <c r="N589">
        <v>-1.177895E-2</v>
      </c>
      <c r="O589">
        <v>-3.5157970000000002E-3</v>
      </c>
      <c r="P589">
        <v>0.98592069999999998</v>
      </c>
      <c r="Q589">
        <v>0.15583359999999999</v>
      </c>
      <c r="R589">
        <v>6.0635319999999999E-2</v>
      </c>
      <c r="S589">
        <v>2.9988709999999998</v>
      </c>
      <c r="T589">
        <v>0.28041100000000002</v>
      </c>
      <c r="U589">
        <v>-3.8757319999999998E-3</v>
      </c>
      <c r="V589">
        <v>-6.4099099999999895E-2</v>
      </c>
      <c r="W589">
        <v>0.16743420000000001</v>
      </c>
      <c r="X589">
        <v>0.98379729999999999</v>
      </c>
      <c r="Y589">
        <v>-2.1958400000000001E-3</v>
      </c>
      <c r="Z589">
        <v>-4.5882330000000002E-4</v>
      </c>
      <c r="AA589">
        <v>0.99999749999999998</v>
      </c>
      <c r="AB589">
        <v>31</v>
      </c>
      <c r="AC589">
        <v>208.81299999999999</v>
      </c>
      <c r="AD589">
        <v>19.539377999999999</v>
      </c>
      <c r="AE589">
        <v>-0.26949999999999302</v>
      </c>
      <c r="AF589">
        <v>-0.460663113042803</v>
      </c>
      <c r="AG589">
        <v>19.539377999999999</v>
      </c>
      <c r="AH589">
        <v>207.000163709671</v>
      </c>
      <c r="AI589">
        <v>84.607667042629004</v>
      </c>
      <c r="AJ589">
        <v>90.127507186997093</v>
      </c>
      <c r="AK589">
        <v>207.920819734247</v>
      </c>
      <c r="AL589">
        <v>80.361328765938197</v>
      </c>
      <c r="AM589">
        <v>93.727825009194703</v>
      </c>
      <c r="AN589">
        <v>1.0000000167188601</v>
      </c>
    </row>
    <row r="590" spans="1:40" x14ac:dyDescent="0.25">
      <c r="A590" t="str">
        <f>"20190304155607977"</f>
        <v>20190304155607977</v>
      </c>
      <c r="B590" t="str">
        <f>"1551686167965953"</f>
        <v>1551686167965953</v>
      </c>
      <c r="C590" t="s">
        <v>40</v>
      </c>
      <c r="D590">
        <v>4.4384930000000002</v>
      </c>
      <c r="E590">
        <v>0.52145799999999998</v>
      </c>
      <c r="F590" t="s">
        <v>43</v>
      </c>
      <c r="G590">
        <v>-158.19499999999999</v>
      </c>
      <c r="H590">
        <v>20.118860000000002</v>
      </c>
      <c r="I590">
        <v>367.1506</v>
      </c>
      <c r="J590">
        <v>-366.84789999999998</v>
      </c>
      <c r="K590">
        <v>1.1098779999999999</v>
      </c>
      <c r="L590">
        <v>367.09269999999998</v>
      </c>
      <c r="M590">
        <v>0.99992440000000005</v>
      </c>
      <c r="N590">
        <v>-1.1779670000000001E-2</v>
      </c>
      <c r="O590">
        <v>-3.5100790000000002E-3</v>
      </c>
      <c r="P590">
        <v>0.98589669999999896</v>
      </c>
      <c r="Q590">
        <v>0.1559451</v>
      </c>
      <c r="R590">
        <v>6.0734660000000003E-2</v>
      </c>
      <c r="S590">
        <v>2.9996339999999999</v>
      </c>
      <c r="T590">
        <v>0.27306829999999999</v>
      </c>
      <c r="U590">
        <v>8.2397459999999998E-4</v>
      </c>
      <c r="V590">
        <v>-6.4192620000000006E-2</v>
      </c>
      <c r="W590">
        <v>0.1675461</v>
      </c>
      <c r="X590">
        <v>0.98377219999999999</v>
      </c>
      <c r="Y590">
        <v>-3.752998E-3</v>
      </c>
      <c r="Z590">
        <v>-5.0845670000000003E-4</v>
      </c>
      <c r="AA590">
        <v>0.99999280000000002</v>
      </c>
      <c r="AB590">
        <v>31</v>
      </c>
      <c r="AC590">
        <v>208.65289999999999</v>
      </c>
      <c r="AD590">
        <v>19.008982</v>
      </c>
      <c r="AE590">
        <v>5.7900000000017798E-2</v>
      </c>
      <c r="AF590">
        <v>-0.783832990696956</v>
      </c>
      <c r="AG590">
        <v>19.008982</v>
      </c>
      <c r="AH590">
        <v>206.933896469639</v>
      </c>
      <c r="AI590">
        <v>84.751567277689105</v>
      </c>
      <c r="AJ590">
        <v>90.217026346049195</v>
      </c>
      <c r="AK590">
        <v>207.806624771543</v>
      </c>
      <c r="AL590">
        <v>80.354825969661604</v>
      </c>
      <c r="AM590">
        <v>93.733343483054597</v>
      </c>
      <c r="AN590">
        <v>1.0000000647902501</v>
      </c>
    </row>
    <row r="591" spans="1:40" x14ac:dyDescent="0.25">
      <c r="A591" t="str">
        <f>"20190304155607989"</f>
        <v>20190304155607989</v>
      </c>
      <c r="B591" t="str">
        <f>"1551686167985474"</f>
        <v>1551686167985474</v>
      </c>
      <c r="C591" t="s">
        <v>40</v>
      </c>
      <c r="D591">
        <v>4.36944</v>
      </c>
      <c r="E591">
        <v>0.52003109999999997</v>
      </c>
      <c r="F591" t="s">
        <v>43</v>
      </c>
      <c r="G591">
        <v>-158.78319999999999</v>
      </c>
      <c r="H591">
        <v>19.609570000000001</v>
      </c>
      <c r="I591">
        <v>367.61970000000002</v>
      </c>
      <c r="J591">
        <v>-366.68520000000001</v>
      </c>
      <c r="K591">
        <v>1.109877</v>
      </c>
      <c r="L591">
        <v>367.09210000000002</v>
      </c>
      <c r="M591">
        <v>0.99992449999999999</v>
      </c>
      <c r="N591">
        <v>-1.178041E-2</v>
      </c>
      <c r="O591">
        <v>-3.5042430000000002E-3</v>
      </c>
      <c r="P591">
        <v>0.98589179999999998</v>
      </c>
      <c r="Q591">
        <v>0.15590560000000001</v>
      </c>
      <c r="R591">
        <v>6.0916489999999997E-2</v>
      </c>
      <c r="S591">
        <v>3.000305</v>
      </c>
      <c r="T591">
        <v>0.2667679</v>
      </c>
      <c r="U591">
        <v>7.59887699999999E-3</v>
      </c>
      <c r="V591">
        <v>-6.4368969999999998E-2</v>
      </c>
      <c r="W591">
        <v>0.16750709999999999</v>
      </c>
      <c r="X591">
        <v>0.98376730000000001</v>
      </c>
      <c r="Y591">
        <v>-5.9989040000000002E-3</v>
      </c>
      <c r="Z591">
        <v>-5.8292169999999896E-4</v>
      </c>
      <c r="AA591">
        <v>0.99998180000000003</v>
      </c>
      <c r="AB591">
        <v>31</v>
      </c>
      <c r="AC591">
        <v>207.90199999999999</v>
      </c>
      <c r="AD591">
        <v>18.499693000000001</v>
      </c>
      <c r="AE591">
        <v>0.52760000000000595</v>
      </c>
      <c r="AF591">
        <v>-1.2463182250379301</v>
      </c>
      <c r="AG591">
        <v>18.499693000000001</v>
      </c>
      <c r="AH591">
        <v>206.26568741711901</v>
      </c>
      <c r="AI591">
        <v>84.875024156317394</v>
      </c>
      <c r="AJ591">
        <v>90.346193814924703</v>
      </c>
      <c r="AK591">
        <v>207.097382300861</v>
      </c>
      <c r="AL591">
        <v>80.357092360934601</v>
      </c>
      <c r="AM591">
        <v>93.743589194789706</v>
      </c>
      <c r="AN591">
        <v>1.00000004669927</v>
      </c>
    </row>
    <row r="592" spans="1:40" x14ac:dyDescent="0.25">
      <c r="A592" t="str">
        <f>"20190304155608001"</f>
        <v>20190304155608001</v>
      </c>
      <c r="B592" t="str">
        <f>"1551686167995233"</f>
        <v>1551686167995233</v>
      </c>
      <c r="C592" t="s">
        <v>40</v>
      </c>
      <c r="D592">
        <v>4.3139810000000001</v>
      </c>
      <c r="E592">
        <v>0.51948289999999997</v>
      </c>
      <c r="F592" t="s">
        <v>43</v>
      </c>
      <c r="G592">
        <v>-158.78319999999999</v>
      </c>
      <c r="H592">
        <v>18.970829999999999</v>
      </c>
      <c r="I592">
        <v>368.42829999999998</v>
      </c>
      <c r="J592">
        <v>-366.51710000000003</v>
      </c>
      <c r="K592">
        <v>1.109874</v>
      </c>
      <c r="L592">
        <v>367.0915</v>
      </c>
      <c r="M592">
        <v>0.99992460000000005</v>
      </c>
      <c r="N592">
        <v>-1.17812E-2</v>
      </c>
      <c r="O592">
        <v>-3.4984069999999998E-3</v>
      </c>
      <c r="P592">
        <v>0.98590310000000003</v>
      </c>
      <c r="Q592">
        <v>0.15587819999999999</v>
      </c>
      <c r="R592">
        <v>6.0805270000000002E-2</v>
      </c>
      <c r="S592">
        <v>3.0009459999999999</v>
      </c>
      <c r="T592">
        <v>0.25781369999999998</v>
      </c>
      <c r="U592">
        <v>1.928711E-2</v>
      </c>
      <c r="V592">
        <v>-6.4251970000000005E-2</v>
      </c>
      <c r="W592">
        <v>0.1674812</v>
      </c>
      <c r="X592">
        <v>0.98377930000000002</v>
      </c>
      <c r="Y592">
        <v>-9.8773739999999995E-3</v>
      </c>
      <c r="Z592">
        <v>-7.0634959999999998E-4</v>
      </c>
      <c r="AA592">
        <v>0.99995089999999998</v>
      </c>
      <c r="AB592">
        <v>31</v>
      </c>
      <c r="AC592">
        <v>207.73390000000001</v>
      </c>
      <c r="AD592">
        <v>17.860955999999899</v>
      </c>
      <c r="AE592">
        <v>1.33679999999998</v>
      </c>
      <c r="AF592">
        <v>-2.0484373385920902</v>
      </c>
      <c r="AG592">
        <v>17.860955999999899</v>
      </c>
      <c r="AH592">
        <v>206.20364265972901</v>
      </c>
      <c r="AI592">
        <v>85.049750730234095</v>
      </c>
      <c r="AJ592">
        <v>90.569160428098797</v>
      </c>
      <c r="AK592">
        <v>206.98587413373301</v>
      </c>
      <c r="AL592">
        <v>80.358597029551802</v>
      </c>
      <c r="AM592">
        <v>93.736758519864907</v>
      </c>
      <c r="AN592">
        <v>0.99999998955540503</v>
      </c>
    </row>
    <row r="593" spans="1:40" x14ac:dyDescent="0.25">
      <c r="A593" t="str">
        <f>"20190304155608016"</f>
        <v>20190304155608016</v>
      </c>
      <c r="B593" t="str">
        <f>"1551686168005969"</f>
        <v>1551686168005969</v>
      </c>
      <c r="C593" t="s">
        <v>40</v>
      </c>
      <c r="D593">
        <v>4.7839269999999896</v>
      </c>
      <c r="E593">
        <v>0.51903650000000001</v>
      </c>
      <c r="F593" t="s">
        <v>43</v>
      </c>
      <c r="G593">
        <v>-158.78319999999999</v>
      </c>
      <c r="H593">
        <v>18.639720000000001</v>
      </c>
      <c r="I593">
        <v>368.71370000000002</v>
      </c>
      <c r="J593">
        <v>-366.30489999999998</v>
      </c>
      <c r="K593">
        <v>1.1098779999999999</v>
      </c>
      <c r="L593">
        <v>367.0908</v>
      </c>
      <c r="M593">
        <v>0.99992449999999999</v>
      </c>
      <c r="N593">
        <v>-1.178218E-2</v>
      </c>
      <c r="O593">
        <v>-3.490782E-3</v>
      </c>
      <c r="P593">
        <v>0.98602239999999997</v>
      </c>
      <c r="Q593">
        <v>0.15500249999999999</v>
      </c>
      <c r="R593">
        <v>6.1110299999999999E-2</v>
      </c>
      <c r="S593">
        <v>3.001404</v>
      </c>
      <c r="T593">
        <v>0.2532778</v>
      </c>
      <c r="U593">
        <v>2.34375E-2</v>
      </c>
      <c r="V593">
        <v>-6.4549690000000007E-2</v>
      </c>
      <c r="W593">
        <v>0.1666077</v>
      </c>
      <c r="X593">
        <v>0.98390809999999995</v>
      </c>
      <c r="Y593">
        <v>-1.124899E-2</v>
      </c>
      <c r="Z593">
        <v>-7.4250339999999996E-4</v>
      </c>
      <c r="AA593">
        <v>0.99993650000000001</v>
      </c>
      <c r="AB593">
        <v>31</v>
      </c>
      <c r="AC593">
        <v>207.52170000000001</v>
      </c>
      <c r="AD593">
        <v>17.529841999999999</v>
      </c>
      <c r="AE593">
        <v>1.62290000000001</v>
      </c>
      <c r="AF593">
        <v>-2.3307233740662001</v>
      </c>
      <c r="AG593">
        <v>17.529841999999999</v>
      </c>
      <c r="AH593">
        <v>206.04461299241601</v>
      </c>
      <c r="AI593">
        <v>85.137415651166904</v>
      </c>
      <c r="AJ593">
        <v>90.648087398611096</v>
      </c>
      <c r="AK593">
        <v>206.80210389448601</v>
      </c>
      <c r="AL593">
        <v>80.409357919011896</v>
      </c>
      <c r="AM593">
        <v>93.753533866026203</v>
      </c>
      <c r="AN593">
        <v>0.99999996871199703</v>
      </c>
    </row>
    <row r="594" spans="1:40" x14ac:dyDescent="0.25">
      <c r="A594" t="str">
        <f>"20190304155608034"</f>
        <v>20190304155608034</v>
      </c>
      <c r="B594" t="str">
        <f>"1551686168025489"</f>
        <v>1551686168025489</v>
      </c>
      <c r="C594" t="s">
        <v>40</v>
      </c>
      <c r="D594">
        <v>4.3827800000000003</v>
      </c>
      <c r="E594">
        <v>0.51866279999999998</v>
      </c>
      <c r="F594" t="s">
        <v>43</v>
      </c>
      <c r="G594">
        <v>-158.78319999999999</v>
      </c>
      <c r="H594">
        <v>18.00198</v>
      </c>
      <c r="I594">
        <v>369.02719999999999</v>
      </c>
      <c r="J594">
        <v>-366.05829999999997</v>
      </c>
      <c r="K594">
        <v>1.1098730000000001</v>
      </c>
      <c r="L594">
        <v>367.0899</v>
      </c>
      <c r="M594">
        <v>0.9999247</v>
      </c>
      <c r="N594">
        <v>-1.178333E-2</v>
      </c>
      <c r="O594">
        <v>-3.482204E-3</v>
      </c>
      <c r="P594">
        <v>0.98612390000000005</v>
      </c>
      <c r="Q594">
        <v>0.1543119</v>
      </c>
      <c r="R594">
        <v>6.121857E-2</v>
      </c>
      <c r="S594">
        <v>3.00238</v>
      </c>
      <c r="T594">
        <v>0.24439259999999999</v>
      </c>
      <c r="U594">
        <v>2.8015140000000001E-2</v>
      </c>
      <c r="V594">
        <v>-6.4650189999999996E-2</v>
      </c>
      <c r="W594">
        <v>0.16591979999999901</v>
      </c>
      <c r="X594">
        <v>0.98401780000000005</v>
      </c>
      <c r="Y594">
        <v>-1.2761639999999999E-2</v>
      </c>
      <c r="Z594">
        <v>-7.6716149999999999E-4</v>
      </c>
      <c r="AA594">
        <v>0.99991830000000004</v>
      </c>
      <c r="AB594">
        <v>31</v>
      </c>
      <c r="AC594">
        <v>207.27510000000001</v>
      </c>
      <c r="AD594">
        <v>16.892106999999999</v>
      </c>
      <c r="AE594">
        <v>1.93729999999999</v>
      </c>
      <c r="AF594">
        <v>-2.6415696682965302</v>
      </c>
      <c r="AG594">
        <v>16.892106999999999</v>
      </c>
      <c r="AH594">
        <v>205.89971044007001</v>
      </c>
      <c r="AI594">
        <v>85.310315652891703</v>
      </c>
      <c r="AJ594">
        <v>90.735030127018206</v>
      </c>
      <c r="AK594">
        <v>206.608353965943</v>
      </c>
      <c r="AL594">
        <v>80.449328599287796</v>
      </c>
      <c r="AM594">
        <v>93.758943249591198</v>
      </c>
      <c r="AN594">
        <v>1.00000002890795</v>
      </c>
    </row>
    <row r="595" spans="1:40" x14ac:dyDescent="0.25">
      <c r="A595" t="str">
        <f>"20190304155608046"</f>
        <v>20190304155608046</v>
      </c>
      <c r="B595" t="str">
        <f>"1551686168035248"</f>
        <v>1551686168035248</v>
      </c>
      <c r="C595" t="s">
        <v>40</v>
      </c>
      <c r="D595">
        <v>4.3485389999999997</v>
      </c>
      <c r="E595">
        <v>0.51842889999999997</v>
      </c>
      <c r="F595" t="s">
        <v>43</v>
      </c>
      <c r="G595">
        <v>-158.78319999999999</v>
      </c>
      <c r="H595">
        <v>17.194579999999998</v>
      </c>
      <c r="I595">
        <v>369.22739999999999</v>
      </c>
      <c r="J595">
        <v>-365.86680000000001</v>
      </c>
      <c r="K595">
        <v>1.1098749999999999</v>
      </c>
      <c r="L595">
        <v>367.08929999999998</v>
      </c>
      <c r="M595">
        <v>0.9999247</v>
      </c>
      <c r="N595">
        <v>-1.178423E-2</v>
      </c>
      <c r="O595">
        <v>-3.4752950000000002E-3</v>
      </c>
      <c r="P595">
        <v>0.98622410000000005</v>
      </c>
      <c r="Q595">
        <v>0.153676799999999</v>
      </c>
      <c r="R595">
        <v>6.120316E-2</v>
      </c>
      <c r="S595">
        <v>3.0038149999999999</v>
      </c>
      <c r="T595">
        <v>0.23309930000000001</v>
      </c>
      <c r="U595">
        <v>3.0975340000000001E-2</v>
      </c>
      <c r="V595">
        <v>-6.4628560000000002E-2</v>
      </c>
      <c r="W595">
        <v>0.1652864</v>
      </c>
      <c r="X595">
        <v>0.98412580000000005</v>
      </c>
      <c r="Y595">
        <v>-1.3737869999999999E-2</v>
      </c>
      <c r="Z595">
        <v>-7.6132860000000001E-4</v>
      </c>
      <c r="AA595">
        <v>0.9999053</v>
      </c>
      <c r="AB595">
        <v>31</v>
      </c>
      <c r="AC595">
        <v>207.08359999999999</v>
      </c>
      <c r="AD595">
        <v>16.084705</v>
      </c>
      <c r="AE595">
        <v>2.1381000000000001</v>
      </c>
      <c r="AF595">
        <v>-2.8406774966556001</v>
      </c>
      <c r="AG595">
        <v>16.084705</v>
      </c>
      <c r="AH595">
        <v>205.83325439394301</v>
      </c>
      <c r="AI595">
        <v>85.532162972036204</v>
      </c>
      <c r="AJ595">
        <v>90.790681272305704</v>
      </c>
      <c r="AK595">
        <v>206.48030365625399</v>
      </c>
      <c r="AL595">
        <v>80.486127742485806</v>
      </c>
      <c r="AM595">
        <v>93.757278029230093</v>
      </c>
      <c r="AN595">
        <v>1.0000000175091299</v>
      </c>
    </row>
    <row r="596" spans="1:40" x14ac:dyDescent="0.25">
      <c r="A596" t="str">
        <f>"20190304155608058"</f>
        <v>20190304155608058</v>
      </c>
      <c r="B596" t="str">
        <f>"1551686168055745"</f>
        <v>1551686168055745</v>
      </c>
      <c r="C596" t="s">
        <v>40</v>
      </c>
      <c r="D596">
        <v>4.3436909999999997</v>
      </c>
      <c r="E596">
        <v>0.51804799999999995</v>
      </c>
      <c r="F596" t="s">
        <v>43</v>
      </c>
      <c r="G596">
        <v>-158.78319999999999</v>
      </c>
      <c r="H596">
        <v>17.13644</v>
      </c>
      <c r="I596">
        <v>369.3596</v>
      </c>
      <c r="J596">
        <v>-365.7063</v>
      </c>
      <c r="K596">
        <v>1.109874</v>
      </c>
      <c r="L596">
        <v>367.08870000000002</v>
      </c>
      <c r="M596">
        <v>0.99992449999999999</v>
      </c>
      <c r="N596">
        <v>-1.178498E-2</v>
      </c>
      <c r="O596">
        <v>-3.46934E-3</v>
      </c>
      <c r="P596">
        <v>0.98626519999999995</v>
      </c>
      <c r="Q596">
        <v>0.1533234</v>
      </c>
      <c r="R596">
        <v>6.1425340000000002E-2</v>
      </c>
      <c r="S596">
        <v>3.0036010000000002</v>
      </c>
      <c r="T596">
        <v>0.2324551</v>
      </c>
      <c r="U596">
        <v>3.2928470000000001E-2</v>
      </c>
      <c r="V596">
        <v>-6.4845E-2</v>
      </c>
      <c r="W596">
        <v>0.1649341</v>
      </c>
      <c r="X596">
        <v>0.98417069999999995</v>
      </c>
      <c r="Y596">
        <v>-1.4381440000000001E-2</v>
      </c>
      <c r="Z596">
        <v>-7.7971009999999903E-4</v>
      </c>
      <c r="AA596">
        <v>0.99989629999999996</v>
      </c>
      <c r="AB596">
        <v>31</v>
      </c>
      <c r="AC596">
        <v>206.92310000000001</v>
      </c>
      <c r="AD596">
        <v>16.026565999999999</v>
      </c>
      <c r="AE596">
        <v>2.2708999999999802</v>
      </c>
      <c r="AF596">
        <v>-2.9710025553122001</v>
      </c>
      <c r="AG596">
        <v>16.026565999999999</v>
      </c>
      <c r="AH596">
        <v>205.68029302774301</v>
      </c>
      <c r="AI596">
        <v>85.544990129281302</v>
      </c>
      <c r="AJ596">
        <v>90.827566253644306</v>
      </c>
      <c r="AK596">
        <v>206.32513325795799</v>
      </c>
      <c r="AL596">
        <v>80.506594243791099</v>
      </c>
      <c r="AM596">
        <v>93.769653376970794</v>
      </c>
      <c r="AN596">
        <v>1.00000004905314</v>
      </c>
    </row>
    <row r="597" spans="1:40" x14ac:dyDescent="0.25">
      <c r="A597" t="str">
        <f>"20190304155608070"</f>
        <v>20190304155608070</v>
      </c>
      <c r="B597" t="str">
        <f>"1551686168065505"</f>
        <v>1551686168065505</v>
      </c>
      <c r="C597" t="s">
        <v>40</v>
      </c>
      <c r="D597">
        <v>4.2862039999999997</v>
      </c>
      <c r="E597">
        <v>0.51790639999999999</v>
      </c>
      <c r="F597" t="s">
        <v>43</v>
      </c>
      <c r="G597">
        <v>-158.78319999999999</v>
      </c>
      <c r="H597">
        <v>17.265910000000002</v>
      </c>
      <c r="I597">
        <v>369.60789999999997</v>
      </c>
      <c r="J597">
        <v>-365.5428</v>
      </c>
      <c r="K597">
        <v>1.1098730000000001</v>
      </c>
      <c r="L597">
        <v>367.08819999999997</v>
      </c>
      <c r="M597">
        <v>0.99992460000000005</v>
      </c>
      <c r="N597">
        <v>-1.1785759999999999E-2</v>
      </c>
      <c r="O597">
        <v>-3.4635040000000001E-3</v>
      </c>
      <c r="P597">
        <v>0.98632439999999999</v>
      </c>
      <c r="Q597">
        <v>0.1529083</v>
      </c>
      <c r="R597">
        <v>6.1508800000000002E-2</v>
      </c>
      <c r="S597">
        <v>3.0030519999999998</v>
      </c>
      <c r="T597">
        <v>0.23447180000000001</v>
      </c>
      <c r="U597">
        <v>3.6560059999999998E-2</v>
      </c>
      <c r="V597">
        <v>-6.4922279999999999E-2</v>
      </c>
      <c r="W597">
        <v>0.16452069999999999</v>
      </c>
      <c r="X597">
        <v>0.98423479999999997</v>
      </c>
      <c r="Y597">
        <v>-1.558261E-2</v>
      </c>
      <c r="Z597">
        <v>-8.2618179999999902E-4</v>
      </c>
      <c r="AA597">
        <v>0.99987820000000005</v>
      </c>
      <c r="AB597">
        <v>31</v>
      </c>
      <c r="AC597">
        <v>206.75960000000001</v>
      </c>
      <c r="AD597">
        <v>16.156036999999898</v>
      </c>
      <c r="AE597">
        <v>2.5196999999999998</v>
      </c>
      <c r="AF597">
        <v>-3.2162128457001602</v>
      </c>
      <c r="AG597">
        <v>16.156036999999898</v>
      </c>
      <c r="AH597">
        <v>205.49511863076299</v>
      </c>
      <c r="AI597">
        <v>85.505197904913203</v>
      </c>
      <c r="AJ597">
        <v>90.896665473660093</v>
      </c>
      <c r="AK597">
        <v>206.154324081949</v>
      </c>
      <c r="AL597">
        <v>80.530608403370707</v>
      </c>
      <c r="AM597">
        <v>93.773887854764297</v>
      </c>
      <c r="AN597">
        <v>1.0000000523499599</v>
      </c>
    </row>
    <row r="598" spans="1:40" x14ac:dyDescent="0.25">
      <c r="A598" t="str">
        <f>"20190304155608088"</f>
        <v>20190304155608088</v>
      </c>
      <c r="B598" t="str">
        <f>"1551686168085025"</f>
        <v>1551686168085025</v>
      </c>
      <c r="C598" t="s">
        <v>40</v>
      </c>
      <c r="D598">
        <v>4.2746909999999998</v>
      </c>
      <c r="E598">
        <v>0.51767589999999997</v>
      </c>
      <c r="F598" t="s">
        <v>43</v>
      </c>
      <c r="G598">
        <v>-158.78319999999999</v>
      </c>
      <c r="H598">
        <v>17.197759999999999</v>
      </c>
      <c r="I598">
        <v>369.71260000000001</v>
      </c>
      <c r="J598">
        <v>-365.28640000000001</v>
      </c>
      <c r="K598">
        <v>1.109877</v>
      </c>
      <c r="L598">
        <v>367.08730000000003</v>
      </c>
      <c r="M598">
        <v>0.9999247</v>
      </c>
      <c r="N598">
        <v>-1.1786960000000001E-2</v>
      </c>
      <c r="O598">
        <v>-3.4538590000000001E-3</v>
      </c>
      <c r="P598">
        <v>0.98642149999999995</v>
      </c>
      <c r="Q598">
        <v>0.15225420000000001</v>
      </c>
      <c r="R598">
        <v>6.1574619999999997E-2</v>
      </c>
      <c r="S598">
        <v>3.0029599999999999</v>
      </c>
      <c r="T598">
        <v>0.23366020000000001</v>
      </c>
      <c r="U598">
        <v>3.8116459999999998E-2</v>
      </c>
      <c r="V598">
        <v>-6.4979179999999997E-2</v>
      </c>
      <c r="W598">
        <v>0.16386879999999901</v>
      </c>
      <c r="X598">
        <v>0.98433970000000004</v>
      </c>
      <c r="Y598">
        <v>-1.60906E-2</v>
      </c>
      <c r="Z598">
        <v>-8.3904539999999999E-4</v>
      </c>
      <c r="AA598">
        <v>0.99987020000000004</v>
      </c>
      <c r="AB598">
        <v>31</v>
      </c>
      <c r="AC598">
        <v>206.50319999999999</v>
      </c>
      <c r="AD598">
        <v>16.087882999999898</v>
      </c>
      <c r="AE598">
        <v>2.6252999999999802</v>
      </c>
      <c r="AF598">
        <v>-3.3184291820312</v>
      </c>
      <c r="AG598">
        <v>16.087882999999898</v>
      </c>
      <c r="AH598">
        <v>205.247377350991</v>
      </c>
      <c r="AI598">
        <v>85.518738034888599</v>
      </c>
      <c r="AJ598">
        <v>90.926274551215002</v>
      </c>
      <c r="AK598">
        <v>205.903661602017</v>
      </c>
      <c r="AL598">
        <v>80.568472559744393</v>
      </c>
      <c r="AM598">
        <v>93.776784476843801</v>
      </c>
      <c r="AN598">
        <v>0.99999996122150003</v>
      </c>
    </row>
    <row r="599" spans="1:40" x14ac:dyDescent="0.25">
      <c r="A599" t="str">
        <f>"20190304155608099"</f>
        <v>20190304155608099</v>
      </c>
      <c r="B599" t="str">
        <f>"1551686168095761"</f>
        <v>1551686168095761</v>
      </c>
      <c r="C599" t="s">
        <v>40</v>
      </c>
      <c r="D599">
        <v>4.2437389999999997</v>
      </c>
      <c r="E599">
        <v>0.51757500000000001</v>
      </c>
      <c r="F599" t="s">
        <v>43</v>
      </c>
      <c r="G599">
        <v>-158.78319999999999</v>
      </c>
      <c r="H599">
        <v>17.185749999999999</v>
      </c>
      <c r="I599">
        <v>369.84300000000002</v>
      </c>
      <c r="J599">
        <v>-365.13670000000002</v>
      </c>
      <c r="K599">
        <v>1.1098779999999999</v>
      </c>
      <c r="L599">
        <v>367.08679999999998</v>
      </c>
      <c r="M599">
        <v>0.9999247</v>
      </c>
      <c r="N599">
        <v>-1.178765E-2</v>
      </c>
      <c r="O599">
        <v>-3.4481440000000002E-3</v>
      </c>
      <c r="P599">
        <v>0.98644900000000002</v>
      </c>
      <c r="Q599">
        <v>0.152058</v>
      </c>
      <c r="R599">
        <v>6.161983E-2</v>
      </c>
      <c r="S599">
        <v>3.0027159999999999</v>
      </c>
      <c r="T599">
        <v>0.23375670000000001</v>
      </c>
      <c r="U599">
        <v>4.006958E-2</v>
      </c>
      <c r="V599">
        <v>-6.5018870000000006E-2</v>
      </c>
      <c r="W599">
        <v>0.1636736</v>
      </c>
      <c r="X599">
        <v>0.98436959999999996</v>
      </c>
      <c r="Y599">
        <v>-1.6734490000000001E-2</v>
      </c>
      <c r="Z599">
        <v>-8.6019009999999997E-4</v>
      </c>
      <c r="AA599">
        <v>0.99985959999999996</v>
      </c>
      <c r="AB599">
        <v>31</v>
      </c>
      <c r="AC599">
        <v>206.3535</v>
      </c>
      <c r="AD599">
        <v>16.075871999999901</v>
      </c>
      <c r="AE599">
        <v>2.75620000000003</v>
      </c>
      <c r="AF599">
        <v>-3.4468539241376699</v>
      </c>
      <c r="AG599">
        <v>16.075871999999901</v>
      </c>
      <c r="AH599">
        <v>205.09822586491001</v>
      </c>
      <c r="AI599">
        <v>85.518873817900896</v>
      </c>
      <c r="AJ599">
        <v>90.962814728934305</v>
      </c>
      <c r="AK599">
        <v>205.75615839014</v>
      </c>
      <c r="AL599">
        <v>80.579810184478802</v>
      </c>
      <c r="AM599">
        <v>93.7789702394915</v>
      </c>
      <c r="AN599">
        <v>1.00000000509859</v>
      </c>
    </row>
    <row r="600" spans="1:40" x14ac:dyDescent="0.25">
      <c r="A600" t="str">
        <f>"20190304155608109"</f>
        <v>20190304155608109</v>
      </c>
      <c r="B600" t="str">
        <f>"1551686168105521"</f>
        <v>1551686168105521</v>
      </c>
      <c r="C600" t="s">
        <v>40</v>
      </c>
      <c r="D600">
        <v>4.2033170000000002</v>
      </c>
      <c r="E600">
        <v>0.51749559999999994</v>
      </c>
      <c r="F600" t="s">
        <v>43</v>
      </c>
      <c r="G600">
        <v>-158.78319999999999</v>
      </c>
      <c r="H600">
        <v>17.189039999999999</v>
      </c>
      <c r="I600">
        <v>369.88470000000001</v>
      </c>
      <c r="J600">
        <v>-364.9896</v>
      </c>
      <c r="K600">
        <v>1.1098730000000001</v>
      </c>
      <c r="L600">
        <v>367.08629999999999</v>
      </c>
      <c r="M600">
        <v>0.99992460000000005</v>
      </c>
      <c r="N600">
        <v>-1.178834E-2</v>
      </c>
      <c r="O600">
        <v>-3.4423090000000002E-3</v>
      </c>
      <c r="P600">
        <v>0.98646769999999995</v>
      </c>
      <c r="Q600">
        <v>0.1519575</v>
      </c>
      <c r="R600">
        <v>6.1563659999999999E-2</v>
      </c>
      <c r="S600">
        <v>3.0025629999999999</v>
      </c>
      <c r="T600">
        <v>0.23396230000000001</v>
      </c>
      <c r="U600">
        <v>4.0710450000000002E-2</v>
      </c>
      <c r="V600">
        <v>-6.4957050000000002E-2</v>
      </c>
      <c r="W600">
        <v>0.16357430000000001</v>
      </c>
      <c r="X600">
        <v>0.98439019999999999</v>
      </c>
      <c r="Y600">
        <v>-1.694209E-2</v>
      </c>
      <c r="Z600">
        <v>-8.6736490000000001E-4</v>
      </c>
      <c r="AA600">
        <v>0.99985610000000003</v>
      </c>
      <c r="AB600">
        <v>31</v>
      </c>
      <c r="AC600">
        <v>206.2064</v>
      </c>
      <c r="AD600">
        <v>16.079166999999899</v>
      </c>
      <c r="AE600">
        <v>2.7984000000000102</v>
      </c>
      <c r="AF600">
        <v>-3.4870605201188898</v>
      </c>
      <c r="AG600">
        <v>16.079166999999899</v>
      </c>
      <c r="AH600">
        <v>204.94962503621801</v>
      </c>
      <c r="AI600">
        <v>85.514738323947199</v>
      </c>
      <c r="AJ600">
        <v>90.974749648721996</v>
      </c>
      <c r="AK600">
        <v>205.60896868806799</v>
      </c>
      <c r="AL600">
        <v>80.585577502828201</v>
      </c>
      <c r="AM600">
        <v>93.775308809706004</v>
      </c>
      <c r="AN600">
        <v>1.0000000179106101</v>
      </c>
    </row>
    <row r="601" spans="1:40" x14ac:dyDescent="0.25">
      <c r="A601" t="str">
        <f>"20190304155608122"</f>
        <v>20190304155608122</v>
      </c>
      <c r="B601" t="str">
        <f>"1551686168115281"</f>
        <v>1551686168115281</v>
      </c>
      <c r="C601" t="s">
        <v>40</v>
      </c>
      <c r="D601">
        <v>4.3758080000000001</v>
      </c>
      <c r="E601">
        <v>0.51733309999999999</v>
      </c>
      <c r="F601" t="s">
        <v>43</v>
      </c>
      <c r="G601">
        <v>-158.78319999999999</v>
      </c>
      <c r="H601">
        <v>17.20242</v>
      </c>
      <c r="I601">
        <v>369.93880000000001</v>
      </c>
      <c r="J601">
        <v>-364.82740000000001</v>
      </c>
      <c r="K601">
        <v>1.109874</v>
      </c>
      <c r="L601">
        <v>367.08580000000001</v>
      </c>
      <c r="M601">
        <v>0.99992479999999995</v>
      </c>
      <c r="N601">
        <v>-1.178909E-2</v>
      </c>
      <c r="O601">
        <v>-3.4362360000000001E-3</v>
      </c>
      <c r="P601">
        <v>0.98644019999999999</v>
      </c>
      <c r="Q601">
        <v>0.15204479999999901</v>
      </c>
      <c r="R601">
        <v>6.1793550000000003E-2</v>
      </c>
      <c r="S601">
        <v>3.002472</v>
      </c>
      <c r="T601">
        <v>0.23431689999999999</v>
      </c>
      <c r="U601">
        <v>4.1534420000000002E-2</v>
      </c>
      <c r="V601">
        <v>-6.5180459999999996E-2</v>
      </c>
      <c r="W601">
        <v>0.1636618</v>
      </c>
      <c r="X601">
        <v>0.98436089999999998</v>
      </c>
      <c r="Y601">
        <v>-1.720992E-2</v>
      </c>
      <c r="Z601">
        <v>-8.7709609999999999E-4</v>
      </c>
      <c r="AA601">
        <v>0.9998515</v>
      </c>
      <c r="AB601">
        <v>31</v>
      </c>
      <c r="AC601">
        <v>206.04419999999999</v>
      </c>
      <c r="AD601">
        <v>16.092545999999999</v>
      </c>
      <c r="AE601">
        <v>2.8530000000000002</v>
      </c>
      <c r="AF601">
        <v>-3.5394621916998701</v>
      </c>
      <c r="AG601">
        <v>16.092545999999999</v>
      </c>
      <c r="AH601">
        <v>204.78423789236399</v>
      </c>
      <c r="AI601">
        <v>85.507431661530305</v>
      </c>
      <c r="AJ601">
        <v>90.990193664992304</v>
      </c>
      <c r="AK601">
        <v>205.446055981916</v>
      </c>
      <c r="AL601">
        <v>80.580495746020702</v>
      </c>
      <c r="AM601">
        <v>93.788368103169105</v>
      </c>
      <c r="AN601">
        <v>1.00000002929693</v>
      </c>
    </row>
    <row r="602" spans="1:40" x14ac:dyDescent="0.25">
      <c r="A602" t="str">
        <f>"20190304155608133"</f>
        <v>20190304155608133</v>
      </c>
      <c r="B602" t="str">
        <f>"1551686168125041"</f>
        <v>1551686168125041</v>
      </c>
      <c r="C602" t="s">
        <v>40</v>
      </c>
      <c r="D602">
        <v>4.1384499999999997</v>
      </c>
      <c r="E602">
        <v>0.51728830000000003</v>
      </c>
      <c r="F602" t="s">
        <v>43</v>
      </c>
      <c r="G602">
        <v>-158.78319999999999</v>
      </c>
      <c r="H602">
        <v>17.289089999999899</v>
      </c>
      <c r="I602">
        <v>370.0788</v>
      </c>
      <c r="J602">
        <v>-364.661</v>
      </c>
      <c r="K602">
        <v>1.109874</v>
      </c>
      <c r="L602">
        <v>367.08519999999999</v>
      </c>
      <c r="M602">
        <v>0.9999247</v>
      </c>
      <c r="N602">
        <v>-1.1789839999999999E-2</v>
      </c>
      <c r="O602">
        <v>-3.429924E-3</v>
      </c>
      <c r="P602">
        <v>0.98642949999999996</v>
      </c>
      <c r="Q602">
        <v>0.15212339999999999</v>
      </c>
      <c r="R602">
        <v>6.1769159999999997E-2</v>
      </c>
      <c r="S602">
        <v>3.0021360000000001</v>
      </c>
      <c r="T602">
        <v>0.2357379</v>
      </c>
      <c r="U602">
        <v>4.3609620000000002E-2</v>
      </c>
      <c r="V602">
        <v>-6.5150020000000003E-2</v>
      </c>
      <c r="W602">
        <v>0.16374079999999999</v>
      </c>
      <c r="X602">
        <v>0.98434969999999999</v>
      </c>
      <c r="Y602">
        <v>-1.7893639999999999E-2</v>
      </c>
      <c r="Z602">
        <v>-9.0505809999999996E-4</v>
      </c>
      <c r="AA602">
        <v>0.99983949999999999</v>
      </c>
      <c r="AB602">
        <v>31</v>
      </c>
      <c r="AC602">
        <v>205.87780000000001</v>
      </c>
      <c r="AD602">
        <v>16.179215999999901</v>
      </c>
      <c r="AE602">
        <v>2.99360000000001</v>
      </c>
      <c r="AF602">
        <v>-3.6770724141583102</v>
      </c>
      <c r="AG602">
        <v>16.179215999999901</v>
      </c>
      <c r="AH602">
        <v>204.60299241530501</v>
      </c>
      <c r="AI602">
        <v>85.479405888149003</v>
      </c>
      <c r="AJ602">
        <v>91.029594191494098</v>
      </c>
      <c r="AK602">
        <v>205.274626774014</v>
      </c>
      <c r="AL602">
        <v>80.575906760869501</v>
      </c>
      <c r="AM602">
        <v>93.786647000322205</v>
      </c>
      <c r="AN602">
        <v>0.99999995329036395</v>
      </c>
    </row>
    <row r="603" spans="1:40" x14ac:dyDescent="0.25">
      <c r="A603" t="str">
        <f>"20190304155608143"</f>
        <v>20190304155608143</v>
      </c>
      <c r="B603" t="str">
        <f>"1551686168135777"</f>
        <v>1551686168135777</v>
      </c>
      <c r="C603" t="s">
        <v>40</v>
      </c>
      <c r="D603">
        <v>4.2122080000000004</v>
      </c>
      <c r="E603">
        <v>0.5172871</v>
      </c>
      <c r="F603" t="s">
        <v>43</v>
      </c>
      <c r="G603">
        <v>-158.78319999999999</v>
      </c>
      <c r="H603">
        <v>17.337769999999999</v>
      </c>
      <c r="I603">
        <v>370.09469999999999</v>
      </c>
      <c r="J603">
        <v>-364.5095</v>
      </c>
      <c r="K603">
        <v>1.109872</v>
      </c>
      <c r="L603">
        <v>367.0847</v>
      </c>
      <c r="M603">
        <v>0.99992479999999995</v>
      </c>
      <c r="N603">
        <v>-1.179054E-2</v>
      </c>
      <c r="O603">
        <v>-3.4244409999999999E-3</v>
      </c>
      <c r="P603">
        <v>0.98647280000000004</v>
      </c>
      <c r="Q603">
        <v>0.15191160000000001</v>
      </c>
      <c r="R603">
        <v>6.1598819999999999E-2</v>
      </c>
      <c r="S603">
        <v>3.002075</v>
      </c>
      <c r="T603">
        <v>0.2366335</v>
      </c>
      <c r="U603">
        <v>4.3884279999999998E-2</v>
      </c>
      <c r="V603">
        <v>-6.4973950000000003E-2</v>
      </c>
      <c r="W603">
        <v>0.16353099999999901</v>
      </c>
      <c r="X603">
        <v>0.9843963</v>
      </c>
      <c r="Y603">
        <v>-1.7979220000000001E-2</v>
      </c>
      <c r="Z603">
        <v>-9.111128E-4</v>
      </c>
      <c r="AA603">
        <v>0.99983789999999995</v>
      </c>
      <c r="AB603">
        <v>31</v>
      </c>
      <c r="AC603">
        <v>205.72630000000001</v>
      </c>
      <c r="AD603">
        <v>16.227898</v>
      </c>
      <c r="AE603">
        <v>3.00999999999999</v>
      </c>
      <c r="AF603">
        <v>-3.6915639925067798</v>
      </c>
      <c r="AG603">
        <v>16.227898</v>
      </c>
      <c r="AH603">
        <v>204.442969744099</v>
      </c>
      <c r="AI603">
        <v>85.462333148580598</v>
      </c>
      <c r="AJ603">
        <v>91.034459898621805</v>
      </c>
      <c r="AK603">
        <v>205.11923409567399</v>
      </c>
      <c r="AL603">
        <v>80.588092470761197</v>
      </c>
      <c r="AM603">
        <v>93.776264864572397</v>
      </c>
      <c r="AN603">
        <v>1.0000000387966399</v>
      </c>
    </row>
    <row r="604" spans="1:40" x14ac:dyDescent="0.25">
      <c r="A604" t="str">
        <f>"20190304155608155"</f>
        <v>20190304155608155</v>
      </c>
      <c r="B604" t="str">
        <f>"1551686168145537"</f>
        <v>1551686168145537</v>
      </c>
      <c r="C604" t="s">
        <v>40</v>
      </c>
      <c r="D604">
        <v>4.1840449999999896</v>
      </c>
      <c r="E604">
        <v>0.51728669999999999</v>
      </c>
      <c r="F604" t="s">
        <v>43</v>
      </c>
      <c r="G604">
        <v>-158.78319999999999</v>
      </c>
      <c r="H604">
        <v>17.425909999999998</v>
      </c>
      <c r="I604">
        <v>370.03789999999998</v>
      </c>
      <c r="J604">
        <v>-364.35680000000002</v>
      </c>
      <c r="K604">
        <v>1.1098709999999901</v>
      </c>
      <c r="L604">
        <v>367.08420000000001</v>
      </c>
      <c r="M604">
        <v>0.99992479999999995</v>
      </c>
      <c r="N604">
        <v>-1.179124E-2</v>
      </c>
      <c r="O604">
        <v>-3.4190790000000002E-3</v>
      </c>
      <c r="P604">
        <v>0.98645939999999999</v>
      </c>
      <c r="Q604">
        <v>0.15197949999999999</v>
      </c>
      <c r="R604">
        <v>6.1647540000000001E-2</v>
      </c>
      <c r="S604">
        <v>3.00177</v>
      </c>
      <c r="T604">
        <v>0.2380698</v>
      </c>
      <c r="U604">
        <v>4.3090820000000002E-2</v>
      </c>
      <c r="V604">
        <v>-6.5017800000000001E-2</v>
      </c>
      <c r="W604">
        <v>0.1635992</v>
      </c>
      <c r="X604">
        <v>0.98438199999999998</v>
      </c>
      <c r="Y604">
        <v>-1.7711069999999999E-2</v>
      </c>
      <c r="Z604">
        <v>-9.0759819999999998E-4</v>
      </c>
      <c r="AA604">
        <v>0.99984280000000003</v>
      </c>
      <c r="AB604">
        <v>31</v>
      </c>
      <c r="AC604">
        <v>205.5736</v>
      </c>
      <c r="AD604">
        <v>16.316039</v>
      </c>
      <c r="AE604">
        <v>2.95369999999996</v>
      </c>
      <c r="AF604">
        <v>-3.6337185720862801</v>
      </c>
      <c r="AG604">
        <v>16.316039</v>
      </c>
      <c r="AH604">
        <v>204.275762499313</v>
      </c>
      <c r="AI604">
        <v>85.434050389759193</v>
      </c>
      <c r="AJ604">
        <v>91.019087043341301</v>
      </c>
      <c r="AK604">
        <v>204.95854259821999</v>
      </c>
      <c r="AL604">
        <v>80.5841308754012</v>
      </c>
      <c r="AM604">
        <v>93.778860766089096</v>
      </c>
      <c r="AN604">
        <v>0.99999996724073903</v>
      </c>
    </row>
    <row r="605" spans="1:40" x14ac:dyDescent="0.25">
      <c r="A605" t="str">
        <f>"20190304155608166"</f>
        <v>20190304155608166</v>
      </c>
      <c r="B605" t="str">
        <f>"1551686168155297"</f>
        <v>1551686168155297</v>
      </c>
      <c r="C605" t="s">
        <v>40</v>
      </c>
      <c r="D605">
        <v>4.1507139999999998</v>
      </c>
      <c r="E605">
        <v>0.51723209999999997</v>
      </c>
      <c r="F605" t="s">
        <v>43</v>
      </c>
      <c r="G605">
        <v>-158.78319999999999</v>
      </c>
      <c r="H605">
        <v>17.554279999999999</v>
      </c>
      <c r="I605">
        <v>370.06889999999999</v>
      </c>
      <c r="J605">
        <v>-364.19209999999998</v>
      </c>
      <c r="K605">
        <v>1.1098709999999901</v>
      </c>
      <c r="L605">
        <v>367.08359999999999</v>
      </c>
      <c r="M605">
        <v>0.99992479999999995</v>
      </c>
      <c r="N605">
        <v>-1.1792E-2</v>
      </c>
      <c r="O605">
        <v>-3.4131220000000002E-3</v>
      </c>
      <c r="P605">
        <v>0.98645000000000005</v>
      </c>
      <c r="Q605">
        <v>0.15192159999999999</v>
      </c>
      <c r="R605">
        <v>6.1938449999999999E-2</v>
      </c>
      <c r="S605">
        <v>3.0014949999999998</v>
      </c>
      <c r="T605">
        <v>0.24009920000000001</v>
      </c>
      <c r="U605">
        <v>4.3579100000000003E-2</v>
      </c>
      <c r="V605">
        <v>-6.5302879999999994E-2</v>
      </c>
      <c r="W605">
        <v>0.16354179999999999</v>
      </c>
      <c r="X605">
        <v>0.98437269999999999</v>
      </c>
      <c r="Y605">
        <v>-1.7867540000000001E-2</v>
      </c>
      <c r="Z605">
        <v>-9.2071549999999996E-4</v>
      </c>
      <c r="AA605">
        <v>0.99983999999999995</v>
      </c>
      <c r="AB605">
        <v>31</v>
      </c>
      <c r="AC605">
        <v>205.40889999999999</v>
      </c>
      <c r="AD605">
        <v>16.444409</v>
      </c>
      <c r="AE605">
        <v>2.9852999999999899</v>
      </c>
      <c r="AF605">
        <v>-3.6629456058216299</v>
      </c>
      <c r="AG605">
        <v>16.444409</v>
      </c>
      <c r="AH605">
        <v>204.08975511574701</v>
      </c>
      <c r="AI605">
        <v>85.394117560320197</v>
      </c>
      <c r="AJ605">
        <v>91.028218165128905</v>
      </c>
      <c r="AK605">
        <v>204.78394444163899</v>
      </c>
      <c r="AL605">
        <v>80.587464858743004</v>
      </c>
      <c r="AM605">
        <v>93.795417161398504</v>
      </c>
      <c r="AN605">
        <v>0.99999999949441198</v>
      </c>
    </row>
    <row r="606" spans="1:40" x14ac:dyDescent="0.25">
      <c r="A606" t="str">
        <f>"20190304155608177"</f>
        <v>20190304155608177</v>
      </c>
      <c r="B606" t="str">
        <f>"1551686168165057"</f>
        <v>1551686168165057</v>
      </c>
      <c r="C606" t="s">
        <v>40</v>
      </c>
      <c r="D606">
        <v>4.184755</v>
      </c>
      <c r="E606">
        <v>0.51715580000000005</v>
      </c>
      <c r="F606" t="s">
        <v>43</v>
      </c>
      <c r="G606">
        <v>-158.78319999999999</v>
      </c>
      <c r="H606">
        <v>17.651450000000001</v>
      </c>
      <c r="I606">
        <v>370.13940000000002</v>
      </c>
      <c r="J606">
        <v>-364.0446</v>
      </c>
      <c r="K606">
        <v>1.1098779999999999</v>
      </c>
      <c r="L606">
        <v>367.0831</v>
      </c>
      <c r="M606">
        <v>0.9999247</v>
      </c>
      <c r="N606">
        <v>-1.179267E-2</v>
      </c>
      <c r="O606">
        <v>-3.4078799999999999E-3</v>
      </c>
      <c r="P606">
        <v>0.98645470000000002</v>
      </c>
      <c r="Q606">
        <v>0.15193889999999999</v>
      </c>
      <c r="R606">
        <v>6.182124E-2</v>
      </c>
      <c r="S606">
        <v>3.00116</v>
      </c>
      <c r="T606">
        <v>0.24168439999999999</v>
      </c>
      <c r="U606">
        <v>4.4647220000000001E-2</v>
      </c>
      <c r="V606">
        <v>-6.5180639999999998E-2</v>
      </c>
      <c r="W606">
        <v>0.1635597</v>
      </c>
      <c r="X606">
        <v>0.98437779999999997</v>
      </c>
      <c r="Y606">
        <v>-1.8217870000000001E-2</v>
      </c>
      <c r="Z606">
        <v>-9.388364E-4</v>
      </c>
      <c r="AA606">
        <v>0.99983359999999999</v>
      </c>
      <c r="AB606">
        <v>31</v>
      </c>
      <c r="AC606">
        <v>205.26140000000001</v>
      </c>
      <c r="AD606">
        <v>16.541571999999999</v>
      </c>
      <c r="AE606">
        <v>3.0563000000000198</v>
      </c>
      <c r="AF606">
        <v>-3.7316079039849201</v>
      </c>
      <c r="AG606">
        <v>16.541571999999999</v>
      </c>
      <c r="AH606">
        <v>203.92571025772801</v>
      </c>
      <c r="AI606">
        <v>85.363340175659999</v>
      </c>
      <c r="AJ606">
        <v>91.048330414537801</v>
      </c>
      <c r="AK606">
        <v>204.62952818666901</v>
      </c>
      <c r="AL606">
        <v>80.586425006949597</v>
      </c>
      <c r="AM606">
        <v>93.788313684255101</v>
      </c>
      <c r="AN606">
        <v>0.99999997221386905</v>
      </c>
    </row>
    <row r="607" spans="1:40" x14ac:dyDescent="0.25">
      <c r="A607" t="str">
        <f>"20190304155608187"</f>
        <v>20190304155608187</v>
      </c>
      <c r="B607" t="str">
        <f>"1551686168185553"</f>
        <v>1551686168185553</v>
      </c>
      <c r="C607" t="s">
        <v>40</v>
      </c>
      <c r="D607">
        <v>4.1459469999999996</v>
      </c>
      <c r="E607">
        <v>0.51732529999999999</v>
      </c>
      <c r="F607" t="s">
        <v>43</v>
      </c>
      <c r="G607">
        <v>-158.78319999999999</v>
      </c>
      <c r="H607">
        <v>17.737110000000001</v>
      </c>
      <c r="I607">
        <v>370.1474</v>
      </c>
      <c r="J607">
        <v>-363.88869999999997</v>
      </c>
      <c r="K607">
        <v>1.109877</v>
      </c>
      <c r="L607">
        <v>367.08260000000001</v>
      </c>
      <c r="M607">
        <v>0.9999247</v>
      </c>
      <c r="N607">
        <v>-1.1793379999999999E-2</v>
      </c>
      <c r="O607">
        <v>-3.402399E-3</v>
      </c>
      <c r="P607">
        <v>0.98644699999999996</v>
      </c>
      <c r="Q607">
        <v>0.1518631</v>
      </c>
      <c r="R607">
        <v>6.2128320000000001E-2</v>
      </c>
      <c r="S607">
        <v>3.0009160000000001</v>
      </c>
      <c r="T607">
        <v>0.24309069999999999</v>
      </c>
      <c r="U607">
        <v>4.4799800000000001E-2</v>
      </c>
      <c r="V607">
        <v>-6.5482349999999995E-2</v>
      </c>
      <c r="W607">
        <v>0.1634844</v>
      </c>
      <c r="X607">
        <v>0.98437030000000003</v>
      </c>
      <c r="Y607">
        <v>-1.8263519999999998E-2</v>
      </c>
      <c r="Z607">
        <v>-9.458162E-4</v>
      </c>
      <c r="AA607">
        <v>0.99983270000000002</v>
      </c>
      <c r="AB607">
        <v>31</v>
      </c>
      <c r="AC607">
        <v>205.10550000000001</v>
      </c>
      <c r="AD607">
        <v>16.627233</v>
      </c>
      <c r="AE607">
        <v>3.0647999999999902</v>
      </c>
      <c r="AF607">
        <v>-3.7381207624995301</v>
      </c>
      <c r="AG607">
        <v>16.627233</v>
      </c>
      <c r="AH607">
        <v>203.755141994621</v>
      </c>
      <c r="AI607">
        <v>85.335554364471506</v>
      </c>
      <c r="AJ607">
        <v>91.051038596061204</v>
      </c>
      <c r="AK607">
        <v>204.46661417776701</v>
      </c>
      <c r="AL607">
        <v>80.590798388290906</v>
      </c>
      <c r="AM607">
        <v>93.8058266346235</v>
      </c>
      <c r="AN607">
        <v>0.99999998736348605</v>
      </c>
    </row>
    <row r="608" spans="1:40" x14ac:dyDescent="0.25">
      <c r="A608" t="str">
        <f>"20190304155608200"</f>
        <v>20190304155608200</v>
      </c>
      <c r="B608" t="str">
        <f>"1551686168195313"</f>
        <v>1551686168195313</v>
      </c>
      <c r="C608" t="s">
        <v>40</v>
      </c>
      <c r="D608">
        <v>4.1341359999999998</v>
      </c>
      <c r="E608">
        <v>0.5170844</v>
      </c>
      <c r="F608" t="s">
        <v>43</v>
      </c>
      <c r="G608">
        <v>-158.78319999999999</v>
      </c>
      <c r="H608">
        <v>18.047709999999999</v>
      </c>
      <c r="I608">
        <v>370.14109999999999</v>
      </c>
      <c r="J608">
        <v>-363.73059999999998</v>
      </c>
      <c r="K608">
        <v>1.109877</v>
      </c>
      <c r="L608">
        <v>367.08210000000003</v>
      </c>
      <c r="M608">
        <v>0.9999247</v>
      </c>
      <c r="N608">
        <v>-1.179409E-2</v>
      </c>
      <c r="O608">
        <v>-3.3968000000000002E-3</v>
      </c>
      <c r="P608">
        <v>0.98647790000000002</v>
      </c>
      <c r="Q608">
        <v>0.15168980000000001</v>
      </c>
      <c r="R608">
        <v>6.2062609999999997E-2</v>
      </c>
      <c r="S608">
        <v>3.0002439999999999</v>
      </c>
      <c r="T608">
        <v>0.2477645</v>
      </c>
      <c r="U608">
        <v>4.4738769999999997E-2</v>
      </c>
      <c r="V608">
        <v>-6.5410999999999997E-2</v>
      </c>
      <c r="W608">
        <v>0.16331229999999999</v>
      </c>
      <c r="X608">
        <v>0.98440360000000005</v>
      </c>
      <c r="Y608">
        <v>-1.823835E-2</v>
      </c>
      <c r="Z608">
        <v>-9.6404019999999995E-4</v>
      </c>
      <c r="AA608">
        <v>0.99983319999999998</v>
      </c>
      <c r="AB608">
        <v>31</v>
      </c>
      <c r="AC608">
        <v>204.94739999999999</v>
      </c>
      <c r="AD608">
        <v>16.937832999999902</v>
      </c>
      <c r="AE608">
        <v>3.0589999999999602</v>
      </c>
      <c r="AF608">
        <v>-3.7297271276450301</v>
      </c>
      <c r="AG608">
        <v>16.937832999999902</v>
      </c>
      <c r="AH608">
        <v>203.545884654921</v>
      </c>
      <c r="AI608">
        <v>85.243952808159605</v>
      </c>
      <c r="AJ608">
        <v>91.049756968866006</v>
      </c>
      <c r="AK608">
        <v>204.283450654077</v>
      </c>
      <c r="AL608">
        <v>80.600793223696897</v>
      </c>
      <c r="AM608">
        <v>93.801563723042605</v>
      </c>
      <c r="AN608">
        <v>0.99999997697262399</v>
      </c>
    </row>
    <row r="609" spans="1:40" x14ac:dyDescent="0.25">
      <c r="A609" t="str">
        <f>"20190304155608213"</f>
        <v>20190304155608213</v>
      </c>
      <c r="B609" t="str">
        <f>"1551686168205073"</f>
        <v>1551686168205073</v>
      </c>
      <c r="C609" t="s">
        <v>40</v>
      </c>
      <c r="D609">
        <v>4.1132470000000003</v>
      </c>
      <c r="E609">
        <v>0.5170844</v>
      </c>
      <c r="F609" t="s">
        <v>43</v>
      </c>
      <c r="G609">
        <v>-158.78319999999999</v>
      </c>
      <c r="H609">
        <v>18.101109999999998</v>
      </c>
      <c r="I609">
        <v>370.2448</v>
      </c>
      <c r="J609">
        <v>-363.5394</v>
      </c>
      <c r="K609">
        <v>1.1098709999999901</v>
      </c>
      <c r="L609">
        <v>367.08139999999997</v>
      </c>
      <c r="M609">
        <v>0.9999247</v>
      </c>
      <c r="N609">
        <v>-1.179495E-2</v>
      </c>
      <c r="O609">
        <v>-3.3900100000000002E-3</v>
      </c>
      <c r="P609">
        <v>0.98651319999999998</v>
      </c>
      <c r="Q609">
        <v>0.15142630000000001</v>
      </c>
      <c r="R609">
        <v>6.214418E-2</v>
      </c>
      <c r="S609">
        <v>2.9999690000000001</v>
      </c>
      <c r="T609">
        <v>0.24871460000000001</v>
      </c>
      <c r="U609">
        <v>4.6295169999999997E-2</v>
      </c>
      <c r="V609">
        <v>-6.5486169999999996E-2</v>
      </c>
      <c r="W609">
        <v>0.16305020000000001</v>
      </c>
      <c r="X609">
        <v>0.98444209999999999</v>
      </c>
      <c r="Y609">
        <v>-1.8749490000000001E-2</v>
      </c>
      <c r="Z609">
        <v>-9.8555590000000003E-4</v>
      </c>
      <c r="AA609">
        <v>0.99982369999999998</v>
      </c>
      <c r="AB609">
        <v>31</v>
      </c>
      <c r="AC609">
        <v>204.75620000000001</v>
      </c>
      <c r="AD609">
        <v>16.991239</v>
      </c>
      <c r="AE609">
        <v>3.1634000000000202</v>
      </c>
      <c r="AF609">
        <v>-3.83117991466567</v>
      </c>
      <c r="AG609">
        <v>16.991239</v>
      </c>
      <c r="AH609">
        <v>203.34437448891401</v>
      </c>
      <c r="AI609">
        <v>85.224365399537405</v>
      </c>
      <c r="AJ609">
        <v>91.079373215982002</v>
      </c>
      <c r="AK609">
        <v>204.08898740152901</v>
      </c>
      <c r="AL609">
        <v>80.616014947634994</v>
      </c>
      <c r="AM609">
        <v>93.805771222848605</v>
      </c>
      <c r="AN609">
        <v>1.0000000272168501</v>
      </c>
    </row>
    <row r="610" spans="1:40" x14ac:dyDescent="0.25">
      <c r="A610" t="str">
        <f>"20190304155608226"</f>
        <v>20190304155608226</v>
      </c>
      <c r="B610" t="str">
        <f>"1551686168215809"</f>
        <v>1551686168215809</v>
      </c>
      <c r="C610" t="s">
        <v>40</v>
      </c>
      <c r="D610">
        <v>4.0105320000000004</v>
      </c>
      <c r="E610">
        <v>0.4779253</v>
      </c>
      <c r="F610" t="s">
        <v>43</v>
      </c>
      <c r="G610">
        <v>-158.78319999999999</v>
      </c>
      <c r="H610">
        <v>18.035630000000001</v>
      </c>
      <c r="I610">
        <v>370.23899999999998</v>
      </c>
      <c r="J610">
        <v>-363.34769999999997</v>
      </c>
      <c r="K610">
        <v>1.109869</v>
      </c>
      <c r="L610">
        <v>367.08080000000001</v>
      </c>
      <c r="M610">
        <v>0.9999247</v>
      </c>
      <c r="N610">
        <v>-1.179582E-2</v>
      </c>
      <c r="O610">
        <v>-3.3831019999999998E-3</v>
      </c>
      <c r="P610">
        <v>0.98654260000000005</v>
      </c>
      <c r="Q610">
        <v>0.1511962</v>
      </c>
      <c r="R610">
        <v>6.223861E-2</v>
      </c>
      <c r="S610">
        <v>3.0000610000000001</v>
      </c>
      <c r="T610">
        <v>0.2479951</v>
      </c>
      <c r="U610">
        <v>4.6264649999999997E-2</v>
      </c>
      <c r="V610">
        <v>-6.557412E-2</v>
      </c>
      <c r="W610">
        <v>0.16282160000000001</v>
      </c>
      <c r="X610">
        <v>0.98447410000000002</v>
      </c>
      <c r="Y610">
        <v>-1.8732450000000001E-2</v>
      </c>
      <c r="Z610">
        <v>-9.8122120000000007E-4</v>
      </c>
      <c r="AA610">
        <v>0.99982400000000005</v>
      </c>
      <c r="AB610">
        <v>31</v>
      </c>
      <c r="AC610">
        <v>204.56450000000001</v>
      </c>
      <c r="AD610">
        <v>16.925760999999898</v>
      </c>
      <c r="AE610">
        <v>3.1582000000000199</v>
      </c>
      <c r="AF610">
        <v>-3.8241190294133198</v>
      </c>
      <c r="AG610">
        <v>16.925760999999898</v>
      </c>
      <c r="AH610">
        <v>203.16213068259401</v>
      </c>
      <c r="AI610">
        <v>85.238434848049593</v>
      </c>
      <c r="AJ610">
        <v>91.078350619451498</v>
      </c>
      <c r="AK610">
        <v>203.90183082864101</v>
      </c>
      <c r="AL610">
        <v>80.629290342362594</v>
      </c>
      <c r="AM610">
        <v>93.810743937116101</v>
      </c>
      <c r="AN610">
        <v>1.00000004610557</v>
      </c>
    </row>
    <row r="611" spans="1:40" x14ac:dyDescent="0.25">
      <c r="A611" t="str">
        <f>"20190304155608241"</f>
        <v>20190304155608241</v>
      </c>
      <c r="B611" t="str">
        <f>"1551686168235328"</f>
        <v>1551686168235328</v>
      </c>
      <c r="C611" t="s">
        <v>40</v>
      </c>
      <c r="D611">
        <v>4.0847730000000002</v>
      </c>
      <c r="E611">
        <v>0.4714565</v>
      </c>
      <c r="F611" t="s">
        <v>46</v>
      </c>
      <c r="G611">
        <v>0</v>
      </c>
      <c r="H611">
        <v>0</v>
      </c>
      <c r="I611">
        <v>0</v>
      </c>
      <c r="J611">
        <v>-363.15809999999999</v>
      </c>
      <c r="K611">
        <v>1.109866</v>
      </c>
      <c r="L611">
        <v>367.08010000000002</v>
      </c>
      <c r="M611">
        <v>0.99992479999999995</v>
      </c>
      <c r="N611">
        <v>-1.179667E-2</v>
      </c>
      <c r="O611">
        <v>-3.376432E-3</v>
      </c>
      <c r="P611">
        <v>0.98656279999999996</v>
      </c>
      <c r="Q611">
        <v>0.1510109</v>
      </c>
      <c r="R611">
        <v>6.2368670000000001E-2</v>
      </c>
      <c r="S611">
        <v>2.9870909999999999</v>
      </c>
      <c r="T611">
        <v>0.20362160000000001</v>
      </c>
      <c r="U611">
        <v>0.35772710000000002</v>
      </c>
      <c r="V611">
        <v>-6.5697729999999996E-2</v>
      </c>
      <c r="W611">
        <v>0.16263720000000001</v>
      </c>
      <c r="X611">
        <v>0.98449629999999999</v>
      </c>
      <c r="Y611">
        <v>-0.12201910000000001</v>
      </c>
      <c r="Z611">
        <v>-3.6850440000000002E-3</v>
      </c>
      <c r="AA611">
        <v>0.99252090000000004</v>
      </c>
      <c r="AB611">
        <v>31</v>
      </c>
      <c r="AC611">
        <v>2.9870909999999999</v>
      </c>
      <c r="AD611">
        <v>0.20362160000000001</v>
      </c>
      <c r="AE611">
        <v>0.35772710000000002</v>
      </c>
      <c r="AF611">
        <v>-0.36613418688322802</v>
      </c>
      <c r="AG611">
        <v>0.20362160000000001</v>
      </c>
      <c r="AH611">
        <v>2.9722499763408901</v>
      </c>
      <c r="AI611">
        <v>86.1102391651293</v>
      </c>
      <c r="AJ611">
        <v>97.0225555393951</v>
      </c>
      <c r="AK611">
        <v>3.0016305436628299</v>
      </c>
      <c r="AL611">
        <v>80.639998050985795</v>
      </c>
      <c r="AM611">
        <v>93.817820288332598</v>
      </c>
      <c r="AN611">
        <v>1.0000000076323401</v>
      </c>
    </row>
    <row r="612" spans="1:40" x14ac:dyDescent="0.25">
      <c r="A612" t="str">
        <f>"20190304155608255"</f>
        <v>20190304155608255</v>
      </c>
      <c r="B612" t="str">
        <f>"1551686168245088"</f>
        <v>1551686168245088</v>
      </c>
      <c r="C612" t="s">
        <v>40</v>
      </c>
      <c r="D612">
        <v>4.0748350000000002</v>
      </c>
      <c r="E612">
        <v>0.47074290000000002</v>
      </c>
      <c r="F612" t="s">
        <v>52</v>
      </c>
      <c r="G612">
        <v>-182.92060000000001</v>
      </c>
      <c r="H612">
        <v>14.715680000000001</v>
      </c>
      <c r="I612">
        <v>391.87</v>
      </c>
      <c r="J612">
        <v>-362.93700000000001</v>
      </c>
      <c r="K612">
        <v>1.1098749999999999</v>
      </c>
      <c r="L612">
        <v>367.07940000000002</v>
      </c>
      <c r="M612">
        <v>0.99992479999999995</v>
      </c>
      <c r="N612">
        <v>-1.179766E-2</v>
      </c>
      <c r="O612">
        <v>-3.3684499999999998E-3</v>
      </c>
      <c r="P612">
        <v>0.98666670000000001</v>
      </c>
      <c r="Q612">
        <v>0.15028639999999999</v>
      </c>
      <c r="R612">
        <v>6.2474420000000003E-2</v>
      </c>
      <c r="S612">
        <v>2.9805299999999999</v>
      </c>
      <c r="T612">
        <v>0.2249949</v>
      </c>
      <c r="U612">
        <v>0.40994259999999899</v>
      </c>
      <c r="V612">
        <v>-6.5795759999999995E-2</v>
      </c>
      <c r="W612">
        <v>0.1619149</v>
      </c>
      <c r="X612">
        <v>0.98460879999999995</v>
      </c>
      <c r="Y612">
        <v>-0.13925419999999999</v>
      </c>
      <c r="Z612">
        <v>-4.6900320000000002E-3</v>
      </c>
      <c r="AA612">
        <v>0.99024559999999995</v>
      </c>
      <c r="AB612">
        <v>31</v>
      </c>
      <c r="AC612">
        <v>180.01639999999901</v>
      </c>
      <c r="AD612">
        <v>13.605804999999901</v>
      </c>
      <c r="AE612">
        <v>24.790599999999898</v>
      </c>
      <c r="AF612">
        <v>-25.2552926482476</v>
      </c>
      <c r="AG612">
        <v>13.605804999999901</v>
      </c>
      <c r="AH612">
        <v>178.92876443018</v>
      </c>
      <c r="AI612">
        <v>85.694095147127697</v>
      </c>
      <c r="AJ612">
        <v>98.034065939676097</v>
      </c>
      <c r="AK612">
        <v>181.213825291994</v>
      </c>
      <c r="AL612">
        <v>80.681938655787206</v>
      </c>
      <c r="AM612">
        <v>93.823064541382806</v>
      </c>
      <c r="AN612">
        <v>1.00000000295671</v>
      </c>
    </row>
    <row r="613" spans="1:40" x14ac:dyDescent="0.25">
      <c r="A613" t="str">
        <f>"20190304155608267"</f>
        <v>20190304155608267</v>
      </c>
      <c r="B613" t="str">
        <f>"1551686168265585"</f>
        <v>1551686168265585</v>
      </c>
      <c r="C613" t="s">
        <v>40</v>
      </c>
      <c r="D613">
        <v>3.9999929999999999</v>
      </c>
      <c r="E613">
        <v>0.46948820000000002</v>
      </c>
      <c r="F613" t="s">
        <v>52</v>
      </c>
      <c r="G613">
        <v>-185.66200000000001</v>
      </c>
      <c r="H613">
        <v>15.19082</v>
      </c>
      <c r="I613">
        <v>391.87</v>
      </c>
      <c r="J613">
        <v>-362.76859999999999</v>
      </c>
      <c r="K613">
        <v>1.1098749999999999</v>
      </c>
      <c r="L613">
        <v>367.0788</v>
      </c>
      <c r="M613">
        <v>0.99992479999999995</v>
      </c>
      <c r="N613">
        <v>-1.1798400000000001E-2</v>
      </c>
      <c r="O613">
        <v>-3.3624919999999999E-3</v>
      </c>
      <c r="P613">
        <v>0.98663440000000002</v>
      </c>
      <c r="Q613">
        <v>0.15038589999999999</v>
      </c>
      <c r="R613">
        <v>6.2743469999999996E-2</v>
      </c>
      <c r="S613">
        <v>2.9781490000000002</v>
      </c>
      <c r="T613">
        <v>0.2365543</v>
      </c>
      <c r="U613">
        <v>0.41647339999999999</v>
      </c>
      <c r="V613">
        <v>-6.6059010000000001E-2</v>
      </c>
      <c r="W613">
        <v>0.16201470000000001</v>
      </c>
      <c r="X613">
        <v>0.98457470000000002</v>
      </c>
      <c r="Y613">
        <v>-0.14144019999999999</v>
      </c>
      <c r="Z613">
        <v>-5.046689E-3</v>
      </c>
      <c r="AA613">
        <v>0.98993399999999998</v>
      </c>
      <c r="AB613">
        <v>31</v>
      </c>
      <c r="AC613">
        <v>177.10659999999999</v>
      </c>
      <c r="AD613">
        <v>14.080945</v>
      </c>
      <c r="AE613">
        <v>24.7912</v>
      </c>
      <c r="AF613">
        <v>-25.230202487389601</v>
      </c>
      <c r="AG613">
        <v>14.080945</v>
      </c>
      <c r="AH613">
        <v>175.931519738231</v>
      </c>
      <c r="AI613">
        <v>85.470148160245103</v>
      </c>
      <c r="AJ613">
        <v>98.161099161264801</v>
      </c>
      <c r="AK613">
        <v>178.288350059815</v>
      </c>
      <c r="AL613">
        <v>80.676143509446504</v>
      </c>
      <c r="AM613">
        <v>93.838447597434694</v>
      </c>
      <c r="AN613">
        <v>0.99999994784917801</v>
      </c>
    </row>
    <row r="614" spans="1:40" x14ac:dyDescent="0.25">
      <c r="A614" t="str">
        <f>"20190304155608278"</f>
        <v>20190304155608278</v>
      </c>
      <c r="B614" t="str">
        <f>"1551686168275346"</f>
        <v>1551686168275346</v>
      </c>
      <c r="C614" t="s">
        <v>40</v>
      </c>
      <c r="D614">
        <v>3.9677229999999999</v>
      </c>
      <c r="E614">
        <v>0.46834619999999999</v>
      </c>
      <c r="F614" t="s">
        <v>52</v>
      </c>
      <c r="G614">
        <v>-190.16159999999999</v>
      </c>
      <c r="H614">
        <v>15.88232</v>
      </c>
      <c r="I614">
        <v>391.87</v>
      </c>
      <c r="J614">
        <v>-362.6277</v>
      </c>
      <c r="K614">
        <v>1.1098749999999999</v>
      </c>
      <c r="L614">
        <v>367.07830000000001</v>
      </c>
      <c r="M614">
        <v>0.99992490000000001</v>
      </c>
      <c r="N614">
        <v>-1.179901E-2</v>
      </c>
      <c r="O614">
        <v>-3.3576080000000002E-3</v>
      </c>
      <c r="P614">
        <v>0.98666339999999997</v>
      </c>
      <c r="Q614">
        <v>0.15014040000000001</v>
      </c>
      <c r="R614">
        <v>6.2878009999999998E-2</v>
      </c>
      <c r="S614">
        <v>2.9746700000000001</v>
      </c>
      <c r="T614">
        <v>0.2545849</v>
      </c>
      <c r="U614">
        <v>0.42724609999999902</v>
      </c>
      <c r="V614">
        <v>-6.6188460000000005E-2</v>
      </c>
      <c r="W614">
        <v>0.16177</v>
      </c>
      <c r="X614">
        <v>0.98460630000000005</v>
      </c>
      <c r="Y614">
        <v>-0.14502989999999999</v>
      </c>
      <c r="Z614">
        <v>-5.6267720000000004E-3</v>
      </c>
      <c r="AA614">
        <v>0.98941129999999999</v>
      </c>
      <c r="AB614">
        <v>31</v>
      </c>
      <c r="AC614">
        <v>172.46610000000001</v>
      </c>
      <c r="AD614">
        <v>14.772444999999999</v>
      </c>
      <c r="AE614">
        <v>24.791699999999899</v>
      </c>
      <c r="AF614">
        <v>-25.189608362551802</v>
      </c>
      <c r="AG614">
        <v>14.772444999999999</v>
      </c>
      <c r="AH614">
        <v>171.151624544698</v>
      </c>
      <c r="AI614">
        <v>85.119230721476299</v>
      </c>
      <c r="AJ614">
        <v>98.372522118697802</v>
      </c>
      <c r="AK614">
        <v>173.62494084959701</v>
      </c>
      <c r="AL614">
        <v>80.690351751552797</v>
      </c>
      <c r="AM614">
        <v>93.845823850343905</v>
      </c>
      <c r="AN614">
        <v>1.0000000055684299</v>
      </c>
    </row>
    <row r="615" spans="1:40" x14ac:dyDescent="0.25">
      <c r="A615" t="str">
        <f>"20190304155608289"</f>
        <v>20190304155608289</v>
      </c>
      <c r="B615" t="str">
        <f>"1551686168285106"</f>
        <v>1551686168285106</v>
      </c>
      <c r="C615" t="s">
        <v>40</v>
      </c>
      <c r="D615">
        <v>3.9328340000000002</v>
      </c>
      <c r="E615">
        <v>0.46762559999999898</v>
      </c>
      <c r="F615" t="s">
        <v>52</v>
      </c>
      <c r="G615">
        <v>-193.8098</v>
      </c>
      <c r="H615">
        <v>15.101279999999999</v>
      </c>
      <c r="I615">
        <v>391.87</v>
      </c>
      <c r="J615">
        <v>-362.46969999999999</v>
      </c>
      <c r="K615">
        <v>1.109874</v>
      </c>
      <c r="L615">
        <v>367.0779</v>
      </c>
      <c r="M615">
        <v>0.99992479999999995</v>
      </c>
      <c r="N615">
        <v>-1.179969E-2</v>
      </c>
      <c r="O615">
        <v>-3.3518900000000002E-3</v>
      </c>
      <c r="P615">
        <v>0.98665400000000003</v>
      </c>
      <c r="Q615">
        <v>0.1500775</v>
      </c>
      <c r="R615">
        <v>6.3171889999999994E-2</v>
      </c>
      <c r="S615">
        <v>2.9751889999999999</v>
      </c>
      <c r="T615">
        <v>0.24657960000000001</v>
      </c>
      <c r="U615">
        <v>0.43692019999999998</v>
      </c>
      <c r="V615">
        <v>-6.6476480000000004E-2</v>
      </c>
      <c r="W615">
        <v>0.16170789999999999</v>
      </c>
      <c r="X615">
        <v>0.9845971</v>
      </c>
      <c r="Y615">
        <v>-0.148172</v>
      </c>
      <c r="Z615">
        <v>-5.5321060000000002E-3</v>
      </c>
      <c r="AA615">
        <v>0.98894610000000005</v>
      </c>
      <c r="AB615">
        <v>31</v>
      </c>
      <c r="AC615">
        <v>168.65989999999999</v>
      </c>
      <c r="AD615">
        <v>13.991406</v>
      </c>
      <c r="AE615">
        <v>24.792100000000001</v>
      </c>
      <c r="AF615">
        <v>-25.187660351382998</v>
      </c>
      <c r="AG615">
        <v>13.991406</v>
      </c>
      <c r="AH615">
        <v>167.44788372087399</v>
      </c>
      <c r="AI615">
        <v>85.276538460585897</v>
      </c>
      <c r="AJ615">
        <v>98.554348939008904</v>
      </c>
      <c r="AK615">
        <v>169.908715016131</v>
      </c>
      <c r="AL615">
        <v>80.693957317351405</v>
      </c>
      <c r="AM615">
        <v>93.862544440260393</v>
      </c>
      <c r="AN615">
        <v>1.000000008322</v>
      </c>
    </row>
    <row r="616" spans="1:40" x14ac:dyDescent="0.25">
      <c r="A616" t="str">
        <f>"20190304155608300"</f>
        <v>20190304155608300</v>
      </c>
      <c r="B616" t="str">
        <f>"1551686168295841"</f>
        <v>1551686168295841</v>
      </c>
      <c r="C616" t="s">
        <v>40</v>
      </c>
      <c r="D616">
        <v>4.1011340000000001</v>
      </c>
      <c r="E616">
        <v>0.466972</v>
      </c>
      <c r="F616" t="s">
        <v>52</v>
      </c>
      <c r="G616">
        <v>-201.86920000000001</v>
      </c>
      <c r="H616">
        <v>14.227679999999999</v>
      </c>
      <c r="I616">
        <v>391.00349999999997</v>
      </c>
      <c r="J616">
        <v>-362.31659999999999</v>
      </c>
      <c r="K616">
        <v>1.109869</v>
      </c>
      <c r="L616">
        <v>367.07740000000001</v>
      </c>
      <c r="M616">
        <v>0.99992479999999995</v>
      </c>
      <c r="N616">
        <v>-1.1800359999999999E-2</v>
      </c>
      <c r="O616">
        <v>-3.3460550000000001E-3</v>
      </c>
      <c r="P616">
        <v>0.98671750000000003</v>
      </c>
      <c r="Q616">
        <v>0.14960619999999999</v>
      </c>
      <c r="R616">
        <v>6.3296989999999997E-2</v>
      </c>
      <c r="S616">
        <v>2.9752200000000002</v>
      </c>
      <c r="T616">
        <v>0.24301510000000001</v>
      </c>
      <c r="U616">
        <v>0.4432373</v>
      </c>
      <c r="V616">
        <v>-6.6596219999999998E-2</v>
      </c>
      <c r="W616">
        <v>0.16123779999999999</v>
      </c>
      <c r="X616">
        <v>0.98466609999999999</v>
      </c>
      <c r="Y616">
        <v>-0.15022739999999901</v>
      </c>
      <c r="Z616">
        <v>-5.5096939999999999E-3</v>
      </c>
      <c r="AA616">
        <v>0.98863610000000002</v>
      </c>
      <c r="AB616">
        <v>31</v>
      </c>
      <c r="AC616">
        <v>160.44739999999999</v>
      </c>
      <c r="AD616">
        <v>13.1178109999999</v>
      </c>
      <c r="AE616">
        <v>23.926099999999899</v>
      </c>
      <c r="AF616">
        <v>-24.3039477750518</v>
      </c>
      <c r="AG616">
        <v>13.1178109999999</v>
      </c>
      <c r="AH616">
        <v>159.32462778327499</v>
      </c>
      <c r="AI616">
        <v>85.346820751405303</v>
      </c>
      <c r="AJ616">
        <v>98.673241170782603</v>
      </c>
      <c r="AK616">
        <v>161.70063655150901</v>
      </c>
      <c r="AL616">
        <v>80.721250207609302</v>
      </c>
      <c r="AM616">
        <v>93.869210359129397</v>
      </c>
      <c r="AN616">
        <v>1.00000000657816</v>
      </c>
    </row>
    <row r="617" spans="1:40" x14ac:dyDescent="0.25">
      <c r="A617" t="str">
        <f>"20190304155608311"</f>
        <v>20190304155608311</v>
      </c>
      <c r="B617" t="str">
        <f>"1551686168305601"</f>
        <v>1551686168305601</v>
      </c>
      <c r="C617" t="s">
        <v>40</v>
      </c>
      <c r="D617">
        <v>4.0049780000000004</v>
      </c>
      <c r="E617">
        <v>0.46665659999999998</v>
      </c>
      <c r="F617" t="s">
        <v>52</v>
      </c>
      <c r="G617">
        <v>-203.68010000000001</v>
      </c>
      <c r="H617">
        <v>14.06667</v>
      </c>
      <c r="I617">
        <v>391.00349999999997</v>
      </c>
      <c r="J617">
        <v>-362.15809999999999</v>
      </c>
      <c r="K617">
        <v>1.109869</v>
      </c>
      <c r="L617">
        <v>367.07679999999999</v>
      </c>
      <c r="M617">
        <v>0.99992479999999995</v>
      </c>
      <c r="N617">
        <v>-1.180107E-2</v>
      </c>
      <c r="O617">
        <v>-3.3401009999999998E-3</v>
      </c>
      <c r="P617">
        <v>0.98673520000000003</v>
      </c>
      <c r="Q617">
        <v>0.14934500000000001</v>
      </c>
      <c r="R617">
        <v>6.3638399999999998E-2</v>
      </c>
      <c r="S617">
        <v>2.9747919999999999</v>
      </c>
      <c r="T617">
        <v>0.2429692</v>
      </c>
      <c r="U617">
        <v>0.4486694</v>
      </c>
      <c r="V617">
        <v>-6.6931989999999997E-2</v>
      </c>
      <c r="W617">
        <v>0.1609775</v>
      </c>
      <c r="X617">
        <v>0.9846859</v>
      </c>
      <c r="Y617">
        <v>-0.15200279999999899</v>
      </c>
      <c r="Z617">
        <v>-5.5692490000000001E-3</v>
      </c>
      <c r="AA617">
        <v>0.98836429999999997</v>
      </c>
      <c r="AB617">
        <v>31</v>
      </c>
      <c r="AC617">
        <v>158.47799999999901</v>
      </c>
      <c r="AD617">
        <v>12.956801</v>
      </c>
      <c r="AE617">
        <v>23.926699999999901</v>
      </c>
      <c r="AF617">
        <v>-24.297145389059001</v>
      </c>
      <c r="AG617">
        <v>12.956801</v>
      </c>
      <c r="AH617">
        <v>157.36873193656999</v>
      </c>
      <c r="AI617">
        <v>85.348098054434999</v>
      </c>
      <c r="AJ617">
        <v>98.776950335395796</v>
      </c>
      <c r="AK617">
        <v>159.759656226266</v>
      </c>
      <c r="AL617">
        <v>80.736361493957602</v>
      </c>
      <c r="AM617">
        <v>93.888580789282301</v>
      </c>
      <c r="AN617">
        <v>0.99999998422520997</v>
      </c>
    </row>
    <row r="618" spans="1:40" x14ac:dyDescent="0.25">
      <c r="A618" t="str">
        <f>"20190304155608323"</f>
        <v>20190304155608323</v>
      </c>
      <c r="B618" t="str">
        <f>"1551686168315361"</f>
        <v>1551686168315361</v>
      </c>
      <c r="C618" t="s">
        <v>40</v>
      </c>
      <c r="D618">
        <v>3.99898</v>
      </c>
      <c r="E618">
        <v>0.46649040000000003</v>
      </c>
      <c r="F618" t="s">
        <v>52</v>
      </c>
      <c r="G618">
        <v>-204.81610000000001</v>
      </c>
      <c r="H618">
        <v>13.990220000000001</v>
      </c>
      <c r="I618">
        <v>391.00349999999997</v>
      </c>
      <c r="J618">
        <v>-361.99329999999998</v>
      </c>
      <c r="K618">
        <v>1.1098680000000001</v>
      </c>
      <c r="L618">
        <v>367.0763</v>
      </c>
      <c r="M618">
        <v>0.99992499999999995</v>
      </c>
      <c r="N618">
        <v>-1.180179E-2</v>
      </c>
      <c r="O618">
        <v>-3.3339089999999999E-3</v>
      </c>
      <c r="P618">
        <v>0.98671220000000004</v>
      </c>
      <c r="Q618">
        <v>0.1494036</v>
      </c>
      <c r="R618">
        <v>6.3858719999999994E-2</v>
      </c>
      <c r="S618">
        <v>2.974335</v>
      </c>
      <c r="T618">
        <v>0.24348549999999999</v>
      </c>
      <c r="U618">
        <v>0.45230100000000001</v>
      </c>
      <c r="V618">
        <v>-6.7145899999999994E-2</v>
      </c>
      <c r="W618">
        <v>0.16103629999999999</v>
      </c>
      <c r="X618">
        <v>0.98466180000000003</v>
      </c>
      <c r="Y618">
        <v>-0.15319349999999901</v>
      </c>
      <c r="Z618">
        <v>-5.6238490000000002E-3</v>
      </c>
      <c r="AA618">
        <v>0.98818019999999995</v>
      </c>
      <c r="AB618">
        <v>31</v>
      </c>
      <c r="AC618">
        <v>157.177199999999</v>
      </c>
      <c r="AD618">
        <v>12.880352</v>
      </c>
      <c r="AE618">
        <v>23.9271999999999</v>
      </c>
      <c r="AF618">
        <v>-24.291682614444301</v>
      </c>
      <c r="AG618">
        <v>12.880352</v>
      </c>
      <c r="AH618">
        <v>156.07219042035999</v>
      </c>
      <c r="AI618">
        <v>85.338053848478594</v>
      </c>
      <c r="AJ618">
        <v>98.846756029756804</v>
      </c>
      <c r="AK618">
        <v>158.47560674909599</v>
      </c>
      <c r="AL618">
        <v>80.732948685339807</v>
      </c>
      <c r="AM618">
        <v>93.901065297525093</v>
      </c>
      <c r="AN618">
        <v>1.00000006109186</v>
      </c>
    </row>
    <row r="619" spans="1:40" x14ac:dyDescent="0.25">
      <c r="A619" t="str">
        <f>"20190304155608333"</f>
        <v>20190304155608333</v>
      </c>
      <c r="B619" t="str">
        <f>"1551686168325121"</f>
        <v>1551686168325121</v>
      </c>
      <c r="C619" t="s">
        <v>40</v>
      </c>
      <c r="D619">
        <v>4.0171580000000002</v>
      </c>
      <c r="E619">
        <v>0.46632849999999998</v>
      </c>
      <c r="F619" t="s">
        <v>52</v>
      </c>
      <c r="G619">
        <v>-205.25030000000001</v>
      </c>
      <c r="H619">
        <v>14.05484</v>
      </c>
      <c r="I619">
        <v>391.0206</v>
      </c>
      <c r="J619">
        <v>-361.85079999999999</v>
      </c>
      <c r="K619">
        <v>1.1098699999999999</v>
      </c>
      <c r="L619">
        <v>367.07580000000002</v>
      </c>
      <c r="M619">
        <v>0.99992499999999995</v>
      </c>
      <c r="N619">
        <v>-1.1802409999999999E-2</v>
      </c>
      <c r="O619">
        <v>-3.3283119999999999E-3</v>
      </c>
      <c r="P619">
        <v>0.98675749999999995</v>
      </c>
      <c r="Q619">
        <v>0.14893239999999999</v>
      </c>
      <c r="R619">
        <v>6.4258309999999999E-2</v>
      </c>
      <c r="S619">
        <v>2.9738159999999998</v>
      </c>
      <c r="T619">
        <v>0.24559919999999999</v>
      </c>
      <c r="U619">
        <v>0.45428469999999999</v>
      </c>
      <c r="V619">
        <v>-6.7540370000000002E-2</v>
      </c>
      <c r="W619">
        <v>0.1605666</v>
      </c>
      <c r="X619">
        <v>0.98471149999999996</v>
      </c>
      <c r="Y619">
        <v>-0.1538475</v>
      </c>
      <c r="Z619">
        <v>-5.7031199999999999E-3</v>
      </c>
      <c r="AA619">
        <v>0.98807820000000002</v>
      </c>
      <c r="AB619">
        <v>31</v>
      </c>
      <c r="AC619">
        <v>156.60049999999899</v>
      </c>
      <c r="AD619">
        <v>12.9449699999999</v>
      </c>
      <c r="AE619">
        <v>23.944799999999901</v>
      </c>
      <c r="AF619">
        <v>-24.303644312154901</v>
      </c>
      <c r="AG619">
        <v>12.9449699999999</v>
      </c>
      <c r="AH619">
        <v>155.481784818812</v>
      </c>
      <c r="AI619">
        <v>85.297534478197306</v>
      </c>
      <c r="AJ619">
        <v>98.884118005768798</v>
      </c>
      <c r="AK619">
        <v>157.90131343847699</v>
      </c>
      <c r="AL619">
        <v>80.760215108738507</v>
      </c>
      <c r="AM619">
        <v>93.923714536646003</v>
      </c>
      <c r="AN619">
        <v>1.00000003642377</v>
      </c>
    </row>
    <row r="620" spans="1:40" x14ac:dyDescent="0.25">
      <c r="A620" t="str">
        <f>"20190304155608344"</f>
        <v>20190304155608344</v>
      </c>
      <c r="B620" t="str">
        <f>"1551686168335857"</f>
        <v>1551686168335857</v>
      </c>
      <c r="C620" t="s">
        <v>40</v>
      </c>
      <c r="D620">
        <v>3.9691369999999999</v>
      </c>
      <c r="E620">
        <v>0.466113</v>
      </c>
      <c r="F620" t="s">
        <v>52</v>
      </c>
      <c r="G620">
        <v>-205.25020000000001</v>
      </c>
      <c r="H620">
        <v>14.075060000000001</v>
      </c>
      <c r="I620">
        <v>391.14</v>
      </c>
      <c r="J620">
        <v>-361.68439999999998</v>
      </c>
      <c r="K620">
        <v>1.109869</v>
      </c>
      <c r="L620">
        <v>367.07530000000003</v>
      </c>
      <c r="M620">
        <v>0.99992490000000001</v>
      </c>
      <c r="N620">
        <v>-1.180314E-2</v>
      </c>
      <c r="O620">
        <v>-3.3217619999999998E-3</v>
      </c>
      <c r="P620">
        <v>0.98680820000000002</v>
      </c>
      <c r="Q620">
        <v>0.14866399999999999</v>
      </c>
      <c r="R620">
        <v>6.4098959999999996E-2</v>
      </c>
      <c r="S620">
        <v>2.9733890000000001</v>
      </c>
      <c r="T620">
        <v>0.2461711</v>
      </c>
      <c r="U620">
        <v>0.45690920000000002</v>
      </c>
      <c r="V620">
        <v>-6.7374299999999998E-2</v>
      </c>
      <c r="W620">
        <v>0.16029930000000001</v>
      </c>
      <c r="X620">
        <v>0.98476640000000004</v>
      </c>
      <c r="Y620">
        <v>-0.1547095</v>
      </c>
      <c r="Z620">
        <v>-5.7484399999999996E-3</v>
      </c>
      <c r="AA620">
        <v>0.98794329999999997</v>
      </c>
      <c r="AB620">
        <v>31</v>
      </c>
      <c r="AC620">
        <v>156.43419999999901</v>
      </c>
      <c r="AD620">
        <v>12.965191000000001</v>
      </c>
      <c r="AE620">
        <v>24.064699999999899</v>
      </c>
      <c r="AF620">
        <v>-24.420374462893498</v>
      </c>
      <c r="AG620">
        <v>12.965191000000001</v>
      </c>
      <c r="AH620">
        <v>155.311221536207</v>
      </c>
      <c r="AI620">
        <v>85.285735935933204</v>
      </c>
      <c r="AJ620">
        <v>98.935747433583899</v>
      </c>
      <c r="AK620">
        <v>157.75305512617899</v>
      </c>
      <c r="AL620">
        <v>80.775731029576093</v>
      </c>
      <c r="AM620">
        <v>93.913879301246595</v>
      </c>
      <c r="AN620">
        <v>1.0000000122249699</v>
      </c>
    </row>
    <row r="621" spans="1:40" x14ac:dyDescent="0.25">
      <c r="A621" t="str">
        <f>"20190304155608355"</f>
        <v>20190304155608355</v>
      </c>
      <c r="B621" t="str">
        <f>"1551686168345619"</f>
        <v>1551686168345619</v>
      </c>
      <c r="C621" t="s">
        <v>40</v>
      </c>
      <c r="D621">
        <v>3.8768579999999999</v>
      </c>
      <c r="E621">
        <v>0.46588059999999998</v>
      </c>
      <c r="F621" t="s">
        <v>52</v>
      </c>
      <c r="G621">
        <v>-205.25020000000001</v>
      </c>
      <c r="H621">
        <v>14.128439999999999</v>
      </c>
      <c r="I621">
        <v>391.20359999999999</v>
      </c>
      <c r="J621">
        <v>-361.5342</v>
      </c>
      <c r="K621">
        <v>1.1098669999999999</v>
      </c>
      <c r="L621">
        <v>367.07479999999998</v>
      </c>
      <c r="M621">
        <v>0.99992490000000001</v>
      </c>
      <c r="N621">
        <v>-1.18038E-2</v>
      </c>
      <c r="O621">
        <v>-3.316163E-3</v>
      </c>
      <c r="P621">
        <v>0.98687100000000005</v>
      </c>
      <c r="Q621">
        <v>0.14819839999999901</v>
      </c>
      <c r="R621">
        <v>6.4209600000000006E-2</v>
      </c>
      <c r="S621">
        <v>2.9730219999999998</v>
      </c>
      <c r="T621">
        <v>0.247417</v>
      </c>
      <c r="U621">
        <v>0.4585571</v>
      </c>
      <c r="V621">
        <v>-6.7479460000000005E-2</v>
      </c>
      <c r="W621">
        <v>0.15983520000000001</v>
      </c>
      <c r="X621">
        <v>0.9848346</v>
      </c>
      <c r="Y621">
        <v>-0.15525059999999999</v>
      </c>
      <c r="Z621">
        <v>-5.8009019999999897E-3</v>
      </c>
      <c r="AA621">
        <v>0.98785809999999996</v>
      </c>
      <c r="AB621">
        <v>31</v>
      </c>
      <c r="AC621">
        <v>156.28399999999999</v>
      </c>
      <c r="AD621">
        <v>13.018573</v>
      </c>
      <c r="AE621">
        <v>24.128799999999998</v>
      </c>
      <c r="AF621">
        <v>-24.481047223009401</v>
      </c>
      <c r="AG621">
        <v>13.018573</v>
      </c>
      <c r="AH621">
        <v>155.151585898663</v>
      </c>
      <c r="AI621">
        <v>85.261966313677505</v>
      </c>
      <c r="AJ621">
        <v>98.966655663188902</v>
      </c>
      <c r="AK621">
        <v>157.60970630948401</v>
      </c>
      <c r="AL621">
        <v>80.802669032296194</v>
      </c>
      <c r="AM621">
        <v>93.919698568515599</v>
      </c>
      <c r="AN621">
        <v>0.99999997901904503</v>
      </c>
    </row>
    <row r="622" spans="1:40" x14ac:dyDescent="0.25">
      <c r="A622" t="str">
        <f>"20190304155608367"</f>
        <v>20190304155608367</v>
      </c>
      <c r="B622" t="str">
        <f>"1551686168355377"</f>
        <v>1551686168355377</v>
      </c>
      <c r="C622" t="s">
        <v>40</v>
      </c>
      <c r="D622">
        <v>3.9914580000000002</v>
      </c>
      <c r="E622">
        <v>0.46575899999999998</v>
      </c>
      <c r="F622" t="s">
        <v>52</v>
      </c>
      <c r="G622">
        <v>-205.25040000000001</v>
      </c>
      <c r="H622">
        <v>13.763450000000001</v>
      </c>
      <c r="I622">
        <v>391.27510000000001</v>
      </c>
      <c r="J622">
        <v>-361.37610000000001</v>
      </c>
      <c r="K622">
        <v>1.1098680000000001</v>
      </c>
      <c r="L622">
        <v>367.07429999999999</v>
      </c>
      <c r="M622">
        <v>0.99992490000000001</v>
      </c>
      <c r="N622">
        <v>-1.1804479999999999E-2</v>
      </c>
      <c r="O622">
        <v>-3.3105610000000001E-3</v>
      </c>
      <c r="P622">
        <v>0.98690719999999998</v>
      </c>
      <c r="Q622">
        <v>0.1477841</v>
      </c>
      <c r="R622">
        <v>6.4606999999999998E-2</v>
      </c>
      <c r="S622">
        <v>2.9737550000000001</v>
      </c>
      <c r="T622">
        <v>0.24077090000000001</v>
      </c>
      <c r="U622">
        <v>0.46047969999999999</v>
      </c>
      <c r="V622">
        <v>-6.7871959999999995E-2</v>
      </c>
      <c r="W622">
        <v>0.15942190000000001</v>
      </c>
      <c r="X622">
        <v>0.98487469999999999</v>
      </c>
      <c r="Y622">
        <v>-0.1558572</v>
      </c>
      <c r="Z622">
        <v>-5.6402500000000003E-3</v>
      </c>
      <c r="AA622">
        <v>0.98776350000000002</v>
      </c>
      <c r="AB622">
        <v>31</v>
      </c>
      <c r="AC622">
        <v>156.12569999999999</v>
      </c>
      <c r="AD622">
        <v>12.653582</v>
      </c>
      <c r="AE622">
        <v>24.200800000000001</v>
      </c>
      <c r="AF622">
        <v>-24.560025380512698</v>
      </c>
      <c r="AG622">
        <v>12.653582</v>
      </c>
      <c r="AH622">
        <v>155.05014292232801</v>
      </c>
      <c r="AI622">
        <v>85.391656145577599</v>
      </c>
      <c r="AJ622">
        <v>99.0008995121742</v>
      </c>
      <c r="AK622">
        <v>157.492396020749</v>
      </c>
      <c r="AL622">
        <v>80.826657721020197</v>
      </c>
      <c r="AM622">
        <v>93.942266126122306</v>
      </c>
      <c r="AN622">
        <v>1.0000000599269601</v>
      </c>
    </row>
    <row r="623" spans="1:40" x14ac:dyDescent="0.25">
      <c r="A623" t="str">
        <f>"20190304155608378"</f>
        <v>20190304155608378</v>
      </c>
      <c r="B623" t="str">
        <f>"1551686168375873"</f>
        <v>1551686168375873</v>
      </c>
      <c r="C623" t="s">
        <v>40</v>
      </c>
      <c r="D623">
        <v>3.9812979999999998</v>
      </c>
      <c r="E623">
        <v>0.46565030000000002</v>
      </c>
      <c r="F623" t="s">
        <v>52</v>
      </c>
      <c r="G623">
        <v>-205.25040000000001</v>
      </c>
      <c r="H623">
        <v>13.76357</v>
      </c>
      <c r="I623">
        <v>391.35019999999997</v>
      </c>
      <c r="J623">
        <v>-361.22129999999999</v>
      </c>
      <c r="K623">
        <v>1.1098680000000001</v>
      </c>
      <c r="L623">
        <v>367.07380000000001</v>
      </c>
      <c r="M623">
        <v>0.99992499999999995</v>
      </c>
      <c r="N623">
        <v>-1.180526E-2</v>
      </c>
      <c r="O623">
        <v>-3.3051999999999999E-3</v>
      </c>
      <c r="P623">
        <v>0.98696240000000002</v>
      </c>
      <c r="Q623">
        <v>0.14736150000000001</v>
      </c>
      <c r="R623">
        <v>6.4729620000000002E-2</v>
      </c>
      <c r="S623">
        <v>2.9734500000000001</v>
      </c>
      <c r="T623">
        <v>0.2409925</v>
      </c>
      <c r="U623">
        <v>0.46234130000000001</v>
      </c>
      <c r="V623">
        <v>-6.7989339999999995E-2</v>
      </c>
      <c r="W623">
        <v>0.15900110000000001</v>
      </c>
      <c r="X623">
        <v>0.98493459999999999</v>
      </c>
      <c r="Y623">
        <v>-0.15646849999999901</v>
      </c>
      <c r="Z623">
        <v>-5.6669399999999997E-3</v>
      </c>
      <c r="AA623">
        <v>0.98766670000000001</v>
      </c>
      <c r="AB623">
        <v>31</v>
      </c>
      <c r="AC623">
        <v>155.97089999999901</v>
      </c>
      <c r="AD623">
        <v>12.653701999999999</v>
      </c>
      <c r="AE623">
        <v>24.276399999999899</v>
      </c>
      <c r="AF623">
        <v>-24.633519049062699</v>
      </c>
      <c r="AG623">
        <v>12.653701999999999</v>
      </c>
      <c r="AH623">
        <v>154.894425976028</v>
      </c>
      <c r="AI623">
        <v>85.387450365147501</v>
      </c>
      <c r="AJ623">
        <v>99.036316651434902</v>
      </c>
      <c r="AK623">
        <v>157.35059463976799</v>
      </c>
      <c r="AL623">
        <v>80.851079046698203</v>
      </c>
      <c r="AM623">
        <v>93.948823050217996</v>
      </c>
      <c r="AN623">
        <v>1.000000033216</v>
      </c>
    </row>
    <row r="624" spans="1:40" x14ac:dyDescent="0.25">
      <c r="A624" t="str">
        <f>"20190304155608389"</f>
        <v>20190304155608389</v>
      </c>
      <c r="B624" t="str">
        <f>"1551686168385634"</f>
        <v>1551686168385634</v>
      </c>
      <c r="C624" t="s">
        <v>40</v>
      </c>
      <c r="D624">
        <v>3.9620899999999999</v>
      </c>
      <c r="E624">
        <v>0.46562389999999998</v>
      </c>
      <c r="F624" t="s">
        <v>52</v>
      </c>
      <c r="G624">
        <v>-205.25030000000001</v>
      </c>
      <c r="H624">
        <v>13.839429999999901</v>
      </c>
      <c r="I624">
        <v>391.39</v>
      </c>
      <c r="J624">
        <v>-361.06790000000001</v>
      </c>
      <c r="K624">
        <v>1.1098669999999999</v>
      </c>
      <c r="L624">
        <v>367.07330000000002</v>
      </c>
      <c r="M624">
        <v>0.99992479999999995</v>
      </c>
      <c r="N624">
        <v>-1.180605E-2</v>
      </c>
      <c r="O624">
        <v>-3.2994819999999998E-3</v>
      </c>
      <c r="P624">
        <v>0.98697319999999999</v>
      </c>
      <c r="Q624">
        <v>0.1471971</v>
      </c>
      <c r="R624">
        <v>6.4937110000000006E-2</v>
      </c>
      <c r="S624">
        <v>2.9730219999999998</v>
      </c>
      <c r="T624">
        <v>0.242643</v>
      </c>
      <c r="U624">
        <v>0.463501</v>
      </c>
      <c r="V624">
        <v>-6.8191230000000005E-2</v>
      </c>
      <c r="W624">
        <v>0.1588377</v>
      </c>
      <c r="X624">
        <v>0.98494700000000002</v>
      </c>
      <c r="Y624">
        <v>-0.15685289999999999</v>
      </c>
      <c r="Z624">
        <v>-5.7250900000000004E-3</v>
      </c>
      <c r="AA624">
        <v>0.98760539999999997</v>
      </c>
      <c r="AB624">
        <v>31</v>
      </c>
      <c r="AC624">
        <v>155.8176</v>
      </c>
      <c r="AD624">
        <v>12.729563000000001</v>
      </c>
      <c r="AE624">
        <v>24.316699999999901</v>
      </c>
      <c r="AF624">
        <v>-24.669985039531198</v>
      </c>
      <c r="AG624">
        <v>12.729563000000001</v>
      </c>
      <c r="AH624">
        <v>154.72839004505099</v>
      </c>
      <c r="AI624">
        <v>85.355252197373503</v>
      </c>
      <c r="AJ624">
        <v>99.059022135917203</v>
      </c>
      <c r="AK624">
        <v>157.198996885969</v>
      </c>
      <c r="AL624">
        <v>80.860561617957899</v>
      </c>
      <c r="AM624">
        <v>93.960461864840198</v>
      </c>
      <c r="AN624">
        <v>1.0000000257996</v>
      </c>
    </row>
    <row r="625" spans="1:40" x14ac:dyDescent="0.25">
      <c r="A625" t="str">
        <f>"20190304155608401"</f>
        <v>20190304155608401</v>
      </c>
      <c r="B625" t="str">
        <f>"1551686168395394"</f>
        <v>1551686168395394</v>
      </c>
      <c r="C625" t="s">
        <v>40</v>
      </c>
      <c r="D625">
        <v>3.983196</v>
      </c>
      <c r="E625">
        <v>0.46560259999999998</v>
      </c>
      <c r="F625" t="s">
        <v>52</v>
      </c>
      <c r="G625">
        <v>-205.25030000000001</v>
      </c>
      <c r="H625">
        <v>13.923730000000001</v>
      </c>
      <c r="I625">
        <v>391.41359999999997</v>
      </c>
      <c r="J625">
        <v>-360.9074</v>
      </c>
      <c r="K625">
        <v>1.109869</v>
      </c>
      <c r="L625">
        <v>367.07279999999997</v>
      </c>
      <c r="M625">
        <v>0.99992490000000001</v>
      </c>
      <c r="N625">
        <v>-1.1806809999999999E-2</v>
      </c>
      <c r="O625">
        <v>-3.2938820000000001E-3</v>
      </c>
      <c r="P625">
        <v>0.98696600000000001</v>
      </c>
      <c r="Q625">
        <v>0.14719849999999901</v>
      </c>
      <c r="R625">
        <v>6.5044050000000006E-2</v>
      </c>
      <c r="S625">
        <v>2.972626</v>
      </c>
      <c r="T625">
        <v>0.2444576</v>
      </c>
      <c r="U625">
        <v>0.46435549999999998</v>
      </c>
      <c r="V625">
        <v>-6.8292649999999996E-2</v>
      </c>
      <c r="W625">
        <v>0.1588396</v>
      </c>
      <c r="X625">
        <v>0.98493960000000003</v>
      </c>
      <c r="Y625">
        <v>-0.15713640000000001</v>
      </c>
      <c r="Z625">
        <v>-5.7844169999999896E-3</v>
      </c>
      <c r="AA625">
        <v>0.98755999999999999</v>
      </c>
      <c r="AB625">
        <v>31</v>
      </c>
      <c r="AC625">
        <v>155.65710000000001</v>
      </c>
      <c r="AD625">
        <v>12.813860999999999</v>
      </c>
      <c r="AE625">
        <v>24.340800000000002</v>
      </c>
      <c r="AF625">
        <v>-24.690094705077598</v>
      </c>
      <c r="AG625">
        <v>12.813860999999999</v>
      </c>
      <c r="AH625">
        <v>154.553700795884</v>
      </c>
      <c r="AI625">
        <v>85.319593586472095</v>
      </c>
      <c r="AJ625">
        <v>99.076360942923003</v>
      </c>
      <c r="AK625">
        <v>157.03707282032701</v>
      </c>
      <c r="AL625">
        <v>80.860450750640695</v>
      </c>
      <c r="AM625">
        <v>93.966363130417093</v>
      </c>
      <c r="AN625">
        <v>0.99999996011017001</v>
      </c>
    </row>
    <row r="626" spans="1:40" x14ac:dyDescent="0.25">
      <c r="A626" t="str">
        <f>"20190304155608412"</f>
        <v>20190304155608412</v>
      </c>
      <c r="B626" t="str">
        <f>"1551686168405153"</f>
        <v>1551686168405153</v>
      </c>
      <c r="C626" t="s">
        <v>40</v>
      </c>
      <c r="D626">
        <v>3.9635289999999999</v>
      </c>
      <c r="E626">
        <v>0.4655591</v>
      </c>
      <c r="F626" t="s">
        <v>52</v>
      </c>
      <c r="G626">
        <v>-205.25030000000001</v>
      </c>
      <c r="H626">
        <v>14.00339</v>
      </c>
      <c r="I626">
        <v>391.43900000000002</v>
      </c>
      <c r="J626">
        <v>-360.73070000000001</v>
      </c>
      <c r="K626">
        <v>1.109869</v>
      </c>
      <c r="L626">
        <v>367.07220000000001</v>
      </c>
      <c r="M626">
        <v>0.99992499999999995</v>
      </c>
      <c r="N626">
        <v>-1.180762E-2</v>
      </c>
      <c r="O626">
        <v>-3.2875679999999998E-3</v>
      </c>
      <c r="P626">
        <v>0.98696209999999995</v>
      </c>
      <c r="Q626">
        <v>0.14717629999999901</v>
      </c>
      <c r="R626">
        <v>6.5155320000000003E-2</v>
      </c>
      <c r="S626">
        <v>2.9722599999999999</v>
      </c>
      <c r="T626">
        <v>0.24620059999999999</v>
      </c>
      <c r="U626">
        <v>0.46527099999999999</v>
      </c>
      <c r="V626">
        <v>-6.8398089999999995E-2</v>
      </c>
      <c r="W626">
        <v>0.1588184</v>
      </c>
      <c r="X626">
        <v>0.98493580000000003</v>
      </c>
      <c r="Y626">
        <v>-0.15743770000000001</v>
      </c>
      <c r="Z626">
        <v>-5.8424360000000003E-3</v>
      </c>
      <c r="AA626">
        <v>0.98751160000000004</v>
      </c>
      <c r="AB626">
        <v>31</v>
      </c>
      <c r="AC626">
        <v>155.4804</v>
      </c>
      <c r="AD626">
        <v>12.893521</v>
      </c>
      <c r="AE626">
        <v>24.366800000000001</v>
      </c>
      <c r="AF626">
        <v>-24.711988632316601</v>
      </c>
      <c r="AG626">
        <v>12.893521</v>
      </c>
      <c r="AH626">
        <v>154.36335494641699</v>
      </c>
      <c r="AI626">
        <v>85.285094365181195</v>
      </c>
      <c r="AJ626">
        <v>99.0952899683803</v>
      </c>
      <c r="AK626">
        <v>156.859716359092</v>
      </c>
      <c r="AL626">
        <v>80.861681926816701</v>
      </c>
      <c r="AM626">
        <v>93.972482657544901</v>
      </c>
      <c r="AN626">
        <v>1.0000000565079199</v>
      </c>
    </row>
    <row r="627" spans="1:40" x14ac:dyDescent="0.25">
      <c r="A627" t="str">
        <f>"20190304155608426"</f>
        <v>20190304155608426</v>
      </c>
      <c r="B627" t="str">
        <f>"1551686168415889"</f>
        <v>1551686168415889</v>
      </c>
      <c r="C627" t="s">
        <v>40</v>
      </c>
      <c r="D627">
        <v>3.9044080000000001</v>
      </c>
      <c r="E627">
        <v>0.46544000000000002</v>
      </c>
      <c r="F627" t="s">
        <v>52</v>
      </c>
      <c r="G627">
        <v>-205.25020000000001</v>
      </c>
      <c r="H627">
        <v>14.06179</v>
      </c>
      <c r="I627">
        <v>391.447</v>
      </c>
      <c r="J627">
        <v>-360.5453</v>
      </c>
      <c r="K627">
        <v>1.1098669999999999</v>
      </c>
      <c r="L627">
        <v>367.07159999999999</v>
      </c>
      <c r="M627">
        <v>0.99992499999999995</v>
      </c>
      <c r="N627">
        <v>-1.180837E-2</v>
      </c>
      <c r="O627">
        <v>-3.2810159999999999E-3</v>
      </c>
      <c r="P627">
        <v>0.98695670000000002</v>
      </c>
      <c r="Q627">
        <v>0.14714079999999999</v>
      </c>
      <c r="R627">
        <v>6.5318440000000005E-2</v>
      </c>
      <c r="S627">
        <v>2.971924</v>
      </c>
      <c r="T627">
        <v>0.24756880000000001</v>
      </c>
      <c r="U627">
        <v>0.46591189999999999</v>
      </c>
      <c r="V627">
        <v>-6.8554889999999993E-2</v>
      </c>
      <c r="W627">
        <v>0.1587836</v>
      </c>
      <c r="X627">
        <v>0.98493050000000004</v>
      </c>
      <c r="Y627">
        <v>-0.15764990000000001</v>
      </c>
      <c r="Z627">
        <v>-5.887209E-3</v>
      </c>
      <c r="AA627">
        <v>0.98747750000000001</v>
      </c>
      <c r="AB627">
        <v>31</v>
      </c>
      <c r="AC627">
        <v>155.29509999999999</v>
      </c>
      <c r="AD627">
        <v>12.951922999999899</v>
      </c>
      <c r="AE627">
        <v>24.3753999999999</v>
      </c>
      <c r="AF627">
        <v>-24.7170348391079</v>
      </c>
      <c r="AG627">
        <v>12.951922999999899</v>
      </c>
      <c r="AH627">
        <v>154.167692942088</v>
      </c>
      <c r="AI627">
        <v>85.258025275510605</v>
      </c>
      <c r="AJ627">
        <v>99.108468366620798</v>
      </c>
      <c r="AK627">
        <v>156.67278534487599</v>
      </c>
      <c r="AL627">
        <v>80.8637013605384</v>
      </c>
      <c r="AM627">
        <v>93.981581521660004</v>
      </c>
      <c r="AN627">
        <v>1.0000000472010599</v>
      </c>
    </row>
    <row r="628" spans="1:40" x14ac:dyDescent="0.25">
      <c r="A628" t="str">
        <f>"20190304155608440"</f>
        <v>20190304155608440</v>
      </c>
      <c r="B628" t="str">
        <f>"1551686168435409"</f>
        <v>1551686168435409</v>
      </c>
      <c r="C628" t="s">
        <v>40</v>
      </c>
      <c r="D628">
        <v>3.934688</v>
      </c>
      <c r="E628">
        <v>0.46537099999999998</v>
      </c>
      <c r="F628" t="s">
        <v>52</v>
      </c>
      <c r="G628">
        <v>-205.25030000000001</v>
      </c>
      <c r="H628">
        <v>13.9226299999999</v>
      </c>
      <c r="I628">
        <v>391.49029999999999</v>
      </c>
      <c r="J628">
        <v>-360.35520000000002</v>
      </c>
      <c r="K628">
        <v>1.1098669999999999</v>
      </c>
      <c r="L628">
        <v>367.07100000000003</v>
      </c>
      <c r="M628">
        <v>0.99992499999999995</v>
      </c>
      <c r="N628">
        <v>-1.180909E-2</v>
      </c>
      <c r="O628">
        <v>-3.2743450000000001E-3</v>
      </c>
      <c r="P628">
        <v>0.98697009999999996</v>
      </c>
      <c r="Q628">
        <v>0.1470545</v>
      </c>
      <c r="R628">
        <v>6.5306729999999993E-2</v>
      </c>
      <c r="S628">
        <v>2.9721679999999999</v>
      </c>
      <c r="T628">
        <v>0.2452213</v>
      </c>
      <c r="U628">
        <v>0.46734619999999999</v>
      </c>
      <c r="V628">
        <v>-6.8536100000000003E-2</v>
      </c>
      <c r="W628">
        <v>0.1586979</v>
      </c>
      <c r="X628">
        <v>0.98494559999999998</v>
      </c>
      <c r="Y628">
        <v>-0.15810439999999901</v>
      </c>
      <c r="Z628">
        <v>-5.8374919999999997E-3</v>
      </c>
      <c r="AA628">
        <v>0.98740519999999998</v>
      </c>
      <c r="AB628">
        <v>31</v>
      </c>
      <c r="AC628">
        <v>155.10489999999999</v>
      </c>
      <c r="AD628">
        <v>12.812763</v>
      </c>
      <c r="AE628">
        <v>24.4193</v>
      </c>
      <c r="AF628">
        <v>-24.762183010670999</v>
      </c>
      <c r="AG628">
        <v>12.812763</v>
      </c>
      <c r="AH628">
        <v>153.99864721384699</v>
      </c>
      <c r="AI628">
        <v>85.303962800905893</v>
      </c>
      <c r="AJ628">
        <v>99.134673884505503</v>
      </c>
      <c r="AK628">
        <v>156.50212761123399</v>
      </c>
      <c r="AL628">
        <v>80.868674489193396</v>
      </c>
      <c r="AM628">
        <v>93.9804329026869</v>
      </c>
      <c r="AN628">
        <v>1.00000002771348</v>
      </c>
    </row>
    <row r="629" spans="1:40" x14ac:dyDescent="0.25">
      <c r="A629" t="str">
        <f>"20190304155608456"</f>
        <v>20190304155608456</v>
      </c>
      <c r="B629" t="str">
        <f>"1551686168445169"</f>
        <v>1551686168445169</v>
      </c>
      <c r="C629" t="s">
        <v>40</v>
      </c>
      <c r="D629">
        <v>3.9478840000000002</v>
      </c>
      <c r="E629">
        <v>0.46535080000000001</v>
      </c>
      <c r="F629" t="s">
        <v>52</v>
      </c>
      <c r="G629">
        <v>-205.25030000000001</v>
      </c>
      <c r="H629">
        <v>14.037419999999999</v>
      </c>
      <c r="I629">
        <v>391.49200000000002</v>
      </c>
      <c r="J629">
        <v>-360.12119999999999</v>
      </c>
      <c r="K629">
        <v>1.109869</v>
      </c>
      <c r="L629">
        <v>367.0702</v>
      </c>
      <c r="M629">
        <v>0.99992499999999995</v>
      </c>
      <c r="N629">
        <v>-1.180995E-2</v>
      </c>
      <c r="O629">
        <v>-3.265886E-3</v>
      </c>
      <c r="P629">
        <v>0.98695889999999997</v>
      </c>
      <c r="Q629">
        <v>0.1469578</v>
      </c>
      <c r="R629">
        <v>6.5694589999999997E-2</v>
      </c>
      <c r="S629">
        <v>2.9717410000000002</v>
      </c>
      <c r="T629">
        <v>0.24768599999999999</v>
      </c>
      <c r="U629">
        <v>0.46789550000000002</v>
      </c>
      <c r="V629">
        <v>-6.891572E-2</v>
      </c>
      <c r="W629">
        <v>0.1586023</v>
      </c>
      <c r="X629">
        <v>0.98493450000000005</v>
      </c>
      <c r="Y629">
        <v>-0.15828529999999999</v>
      </c>
      <c r="Z629">
        <v>-5.9113669999999998E-3</v>
      </c>
      <c r="AA629">
        <v>0.98737569999999997</v>
      </c>
      <c r="AB629">
        <v>31</v>
      </c>
      <c r="AC629">
        <v>154.87089999999901</v>
      </c>
      <c r="AD629">
        <v>12.927550999999999</v>
      </c>
      <c r="AE629">
        <v>24.421799999999902</v>
      </c>
      <c r="AF629">
        <v>-24.759165669642101</v>
      </c>
      <c r="AG629">
        <v>12.927550999999999</v>
      </c>
      <c r="AH629">
        <v>153.74504393638301</v>
      </c>
      <c r="AI629">
        <v>85.254484685791994</v>
      </c>
      <c r="AJ629">
        <v>99.148390893351007</v>
      </c>
      <c r="AK629">
        <v>156.261564034521</v>
      </c>
      <c r="AL629">
        <v>80.874222135863107</v>
      </c>
      <c r="AM629">
        <v>94.002453937538803</v>
      </c>
      <c r="AN629">
        <v>1.00000001765932</v>
      </c>
    </row>
    <row r="630" spans="1:40" x14ac:dyDescent="0.25">
      <c r="A630" t="str">
        <f>"20190304155608467"</f>
        <v>20190304155608467</v>
      </c>
      <c r="B630" t="str">
        <f>"1551686168455906"</f>
        <v>1551686168455906</v>
      </c>
      <c r="C630" t="s">
        <v>40</v>
      </c>
      <c r="D630">
        <v>3.9571369999999999</v>
      </c>
      <c r="E630">
        <v>0.4653465</v>
      </c>
      <c r="F630" t="s">
        <v>52</v>
      </c>
      <c r="G630">
        <v>-205.25030000000001</v>
      </c>
      <c r="H630">
        <v>14.041130000000001</v>
      </c>
      <c r="I630">
        <v>391.53480000000002</v>
      </c>
      <c r="J630">
        <v>-359.95890000000003</v>
      </c>
      <c r="K630">
        <v>1.109872</v>
      </c>
      <c r="L630">
        <v>367.06959999999998</v>
      </c>
      <c r="M630">
        <v>0.99992499999999995</v>
      </c>
      <c r="N630">
        <v>-1.181052E-2</v>
      </c>
      <c r="O630">
        <v>-3.2599299999999999E-3</v>
      </c>
      <c r="P630">
        <v>0.98697190000000001</v>
      </c>
      <c r="Q630">
        <v>0.14691199999999999</v>
      </c>
      <c r="R630">
        <v>6.5600329999999998E-2</v>
      </c>
      <c r="S630">
        <v>2.9714360000000002</v>
      </c>
      <c r="T630">
        <v>0.24810579999999999</v>
      </c>
      <c r="U630">
        <v>0.4693909</v>
      </c>
      <c r="V630">
        <v>-6.8815260000000003E-2</v>
      </c>
      <c r="W630">
        <v>0.15855659999999999</v>
      </c>
      <c r="X630">
        <v>0.98494890000000002</v>
      </c>
      <c r="Y630">
        <v>-0.15877659999999999</v>
      </c>
      <c r="Z630">
        <v>-5.9400769999999898E-3</v>
      </c>
      <c r="AA630">
        <v>0.98729670000000003</v>
      </c>
      <c r="AB630">
        <v>31</v>
      </c>
      <c r="AC630">
        <v>154.70859999999999</v>
      </c>
      <c r="AD630">
        <v>12.931258</v>
      </c>
      <c r="AE630">
        <v>24.465199999999999</v>
      </c>
      <c r="AF630">
        <v>-24.800406303732601</v>
      </c>
      <c r="AG630">
        <v>12.931258</v>
      </c>
      <c r="AH630">
        <v>153.581217358061</v>
      </c>
      <c r="AI630">
        <v>85.248417099295196</v>
      </c>
      <c r="AJ630">
        <v>99.172979370703203</v>
      </c>
      <c r="AK630">
        <v>156.107232092164</v>
      </c>
      <c r="AL630">
        <v>80.876874274703795</v>
      </c>
      <c r="AM630">
        <v>93.996580149558994</v>
      </c>
      <c r="AN630">
        <v>1.0000000355118099</v>
      </c>
    </row>
    <row r="631" spans="1:40" x14ac:dyDescent="0.25">
      <c r="A631" t="str">
        <f>"20190304155608479"</f>
        <v>20190304155608479</v>
      </c>
      <c r="B631" t="str">
        <f>"1551686168475425"</f>
        <v>1551686168475425</v>
      </c>
      <c r="C631" t="s">
        <v>40</v>
      </c>
      <c r="D631">
        <v>4.0862959999999999</v>
      </c>
      <c r="E631">
        <v>0.4653371</v>
      </c>
      <c r="F631" t="s">
        <v>52</v>
      </c>
      <c r="G631">
        <v>-205.25030000000001</v>
      </c>
      <c r="H631">
        <v>14.0529299999999</v>
      </c>
      <c r="I631">
        <v>391.48160000000001</v>
      </c>
      <c r="J631">
        <v>-359.80279999999999</v>
      </c>
      <c r="K631">
        <v>1.1098749999999999</v>
      </c>
      <c r="L631">
        <v>367.06909999999999</v>
      </c>
      <c r="M631">
        <v>0.99992499999999995</v>
      </c>
      <c r="N631">
        <v>-1.181107E-2</v>
      </c>
      <c r="O631">
        <v>-3.2542119999999998E-3</v>
      </c>
      <c r="P631">
        <v>0.98696439999999996</v>
      </c>
      <c r="Q631">
        <v>0.14693020000000001</v>
      </c>
      <c r="R631">
        <v>6.5672649999999999E-2</v>
      </c>
      <c r="S631">
        <v>2.9714360000000002</v>
      </c>
      <c r="T631">
        <v>0.24859290000000001</v>
      </c>
      <c r="U631">
        <v>0.46887210000000001</v>
      </c>
      <c r="V631">
        <v>-6.8882200000000005E-2</v>
      </c>
      <c r="W631">
        <v>0.15857599999999999</v>
      </c>
      <c r="X631">
        <v>0.98494110000000001</v>
      </c>
      <c r="Y631">
        <v>-0.1586012</v>
      </c>
      <c r="Z631">
        <v>-5.9467540000000003E-3</v>
      </c>
      <c r="AA631">
        <v>0.9873248</v>
      </c>
      <c r="AB631">
        <v>31</v>
      </c>
      <c r="AC631">
        <v>154.55249999999899</v>
      </c>
      <c r="AD631">
        <v>12.9430549999999</v>
      </c>
      <c r="AE631">
        <v>24.412500000000001</v>
      </c>
      <c r="AF631">
        <v>-24.7460261385895</v>
      </c>
      <c r="AG631">
        <v>12.9430549999999</v>
      </c>
      <c r="AH631">
        <v>153.42242992056001</v>
      </c>
      <c r="AI631">
        <v>85.239062953097502</v>
      </c>
      <c r="AJ631">
        <v>99.162519182177803</v>
      </c>
      <c r="AK631">
        <v>155.94335665591501</v>
      </c>
      <c r="AL631">
        <v>80.875748515230796</v>
      </c>
      <c r="AM631">
        <v>94.000486781613503</v>
      </c>
      <c r="AN631">
        <v>1.0000000378610201</v>
      </c>
    </row>
    <row r="632" spans="1:40" x14ac:dyDescent="0.25">
      <c r="A632" t="str">
        <f>"20190304155608490"</f>
        <v>20190304155608490</v>
      </c>
      <c r="B632" t="str">
        <f>"1551686168485185"</f>
        <v>1551686168485185</v>
      </c>
      <c r="C632" t="s">
        <v>40</v>
      </c>
      <c r="D632">
        <v>4.0801299999999996</v>
      </c>
      <c r="E632">
        <v>0.4653371</v>
      </c>
      <c r="F632" t="s">
        <v>52</v>
      </c>
      <c r="G632">
        <v>-205.25030000000001</v>
      </c>
      <c r="H632">
        <v>13.91286</v>
      </c>
      <c r="I632">
        <v>391.47300000000001</v>
      </c>
      <c r="J632">
        <v>-359.64330000000001</v>
      </c>
      <c r="K632">
        <v>1.1098779999999999</v>
      </c>
      <c r="L632">
        <v>367.0686</v>
      </c>
      <c r="M632">
        <v>0.99992499999999995</v>
      </c>
      <c r="N632">
        <v>-1.181163E-2</v>
      </c>
      <c r="O632">
        <v>-3.248613E-3</v>
      </c>
      <c r="P632">
        <v>0.98697429999999997</v>
      </c>
      <c r="Q632">
        <v>0.14693059999999999</v>
      </c>
      <c r="R632">
        <v>6.5522280000000002E-2</v>
      </c>
      <c r="S632">
        <v>2.9717410000000002</v>
      </c>
      <c r="T632">
        <v>0.24617600000000001</v>
      </c>
      <c r="U632">
        <v>0.4692383</v>
      </c>
      <c r="V632">
        <v>-6.8726259999999997E-2</v>
      </c>
      <c r="W632">
        <v>0.15857689999999999</v>
      </c>
      <c r="X632">
        <v>0.98495180000000004</v>
      </c>
      <c r="Y632">
        <v>-0.15870860000000001</v>
      </c>
      <c r="Z632">
        <v>-5.8828350000000003E-3</v>
      </c>
      <c r="AA632">
        <v>0.98730799999999996</v>
      </c>
      <c r="AB632">
        <v>31</v>
      </c>
      <c r="AC632">
        <v>154.393</v>
      </c>
      <c r="AD632">
        <v>12.802982</v>
      </c>
      <c r="AE632">
        <v>24.404399999999999</v>
      </c>
      <c r="AF632">
        <v>-24.739892513383399</v>
      </c>
      <c r="AG632">
        <v>12.802982</v>
      </c>
      <c r="AH632">
        <v>153.28453290101601</v>
      </c>
      <c r="AI632">
        <v>85.286213744302401</v>
      </c>
      <c r="AJ632">
        <v>99.168387473416303</v>
      </c>
      <c r="AK632">
        <v>155.79514323735799</v>
      </c>
      <c r="AL632">
        <v>80.875695849371297</v>
      </c>
      <c r="AM632">
        <v>93.991416304873397</v>
      </c>
      <c r="AN632">
        <v>0.99999999017521801</v>
      </c>
    </row>
    <row r="633" spans="1:40" x14ac:dyDescent="0.25">
      <c r="A633" t="str">
        <f>"20190304155608501"</f>
        <v>20190304155608501</v>
      </c>
      <c r="B633" t="str">
        <f>"1551686168495921"</f>
        <v>1551686168495921</v>
      </c>
      <c r="C633" t="s">
        <v>40</v>
      </c>
      <c r="D633">
        <v>4.062716</v>
      </c>
      <c r="E633">
        <v>0.49883810000000001</v>
      </c>
      <c r="F633" t="s">
        <v>52</v>
      </c>
      <c r="G633">
        <v>-205.25030000000001</v>
      </c>
      <c r="H633">
        <v>13.894640000000001</v>
      </c>
      <c r="I633">
        <v>391.42649999999998</v>
      </c>
      <c r="J633">
        <v>-359.48520000000002</v>
      </c>
      <c r="K633">
        <v>1.10988</v>
      </c>
      <c r="L633">
        <v>367.06810000000002</v>
      </c>
      <c r="M633">
        <v>0.99992499999999995</v>
      </c>
      <c r="N633">
        <v>-1.181221E-2</v>
      </c>
      <c r="O633">
        <v>-3.2431299999999999E-3</v>
      </c>
      <c r="P633">
        <v>0.98699049999999999</v>
      </c>
      <c r="Q633">
        <v>0.14695749999999999</v>
      </c>
      <c r="R633">
        <v>6.5216650000000001E-2</v>
      </c>
      <c r="S633">
        <v>2.9717709999999999</v>
      </c>
      <c r="T633">
        <v>0.2460822</v>
      </c>
      <c r="U633">
        <v>0.46884160000000002</v>
      </c>
      <c r="V633">
        <v>-6.8415030000000002E-2</v>
      </c>
      <c r="W633">
        <v>0.1586042</v>
      </c>
      <c r="X633">
        <v>0.98496910000000004</v>
      </c>
      <c r="Y633">
        <v>-0.15857379999999999</v>
      </c>
      <c r="Z633">
        <v>-5.8749750000000002E-3</v>
      </c>
      <c r="AA633">
        <v>0.98732969999999998</v>
      </c>
      <c r="AB633">
        <v>31</v>
      </c>
      <c r="AC633">
        <v>154.23490000000001</v>
      </c>
      <c r="AD633">
        <v>12.78476</v>
      </c>
      <c r="AE633">
        <v>24.3583999999999</v>
      </c>
      <c r="AF633">
        <v>-24.6929740373551</v>
      </c>
      <c r="AG633">
        <v>12.78476</v>
      </c>
      <c r="AH633">
        <v>153.12854388838099</v>
      </c>
      <c r="AI633">
        <v>85.288014351061406</v>
      </c>
      <c r="AJ633">
        <v>99.160458644345695</v>
      </c>
      <c r="AK633">
        <v>155.63272152231599</v>
      </c>
      <c r="AL633">
        <v>80.8741118839188</v>
      </c>
      <c r="AM633">
        <v>93.973329456994307</v>
      </c>
      <c r="AN633">
        <v>1.0000000182711699</v>
      </c>
    </row>
    <row r="634" spans="1:40" x14ac:dyDescent="0.25">
      <c r="A634" t="str">
        <f>"20190304155608512"</f>
        <v>20190304155608512</v>
      </c>
      <c r="B634" t="str">
        <f>"1551686168505681"</f>
        <v>1551686168505681</v>
      </c>
      <c r="C634" t="s">
        <v>40</v>
      </c>
      <c r="D634">
        <v>4.0397509999999999</v>
      </c>
      <c r="E634">
        <v>0.5074438</v>
      </c>
      <c r="F634" t="s">
        <v>43</v>
      </c>
      <c r="G634">
        <v>-158.19499999999999</v>
      </c>
      <c r="H634">
        <v>2.7711410000000001</v>
      </c>
      <c r="I634">
        <v>380.19009999999997</v>
      </c>
      <c r="J634">
        <v>-359.33460000000002</v>
      </c>
      <c r="K634">
        <v>1.109883</v>
      </c>
      <c r="L634">
        <v>367.06760000000003</v>
      </c>
      <c r="M634">
        <v>0.99992510000000001</v>
      </c>
      <c r="N634">
        <v>-1.181275E-2</v>
      </c>
      <c r="O634">
        <v>-3.2378870000000001E-3</v>
      </c>
      <c r="P634">
        <v>0.98699349999999997</v>
      </c>
      <c r="Q634">
        <v>0.14705860000000001</v>
      </c>
      <c r="R634">
        <v>6.4944849999999998E-2</v>
      </c>
      <c r="S634">
        <v>3.0227659999999998</v>
      </c>
      <c r="T634">
        <v>2.4948359999999999E-2</v>
      </c>
      <c r="U634">
        <v>0.197052</v>
      </c>
      <c r="V634">
        <v>-6.8138679999999993E-2</v>
      </c>
      <c r="W634">
        <v>0.15870589999999901</v>
      </c>
      <c r="X634">
        <v>0.98497190000000001</v>
      </c>
      <c r="Y634">
        <v>-6.8282499999999996E-2</v>
      </c>
      <c r="Z634" s="1">
        <v>5.7357710000000002E-5</v>
      </c>
      <c r="AA634">
        <v>0.99766600000000005</v>
      </c>
      <c r="AB634">
        <v>31</v>
      </c>
      <c r="AC634">
        <v>201.1396</v>
      </c>
      <c r="AD634">
        <v>1.6612579999999999</v>
      </c>
      <c r="AE634">
        <v>13.122499999999899</v>
      </c>
      <c r="AF634">
        <v>-13.772808339329201</v>
      </c>
      <c r="AG634">
        <v>1.6612579999999999</v>
      </c>
      <c r="AH634">
        <v>201.08239468163799</v>
      </c>
      <c r="AI634">
        <v>89.527763549999406</v>
      </c>
      <c r="AJ634">
        <v>93.918260656507599</v>
      </c>
      <c r="AK634">
        <v>201.56036187354999</v>
      </c>
      <c r="AL634">
        <v>80.868210381013</v>
      </c>
      <c r="AM634">
        <v>93.957319802128794</v>
      </c>
      <c r="AN634">
        <v>1.0000000430982801</v>
      </c>
    </row>
    <row r="635" spans="1:40" x14ac:dyDescent="0.25">
      <c r="A635" t="str">
        <f>"20190304155608523"</f>
        <v>20190304155608523</v>
      </c>
      <c r="B635" t="str">
        <f>"1551686168515441"</f>
        <v>1551686168515441</v>
      </c>
      <c r="C635" t="s">
        <v>40</v>
      </c>
      <c r="D635">
        <v>4.0204110000000002</v>
      </c>
      <c r="E635">
        <v>0.51175009999999999</v>
      </c>
      <c r="F635" t="s">
        <v>41</v>
      </c>
      <c r="G635">
        <v>-228.05840000000001</v>
      </c>
      <c r="H635" s="1">
        <v>-1.597089E-6</v>
      </c>
      <c r="I635">
        <v>372.5548</v>
      </c>
      <c r="J635">
        <v>-359.17680000000001</v>
      </c>
      <c r="K635">
        <v>1.109885</v>
      </c>
      <c r="L635">
        <v>367.06709999999998</v>
      </c>
      <c r="M635">
        <v>0.99992499999999995</v>
      </c>
      <c r="N635">
        <v>-1.181334E-2</v>
      </c>
      <c r="O635">
        <v>-3.231813E-3</v>
      </c>
      <c r="P635">
        <v>0.98697599999999996</v>
      </c>
      <c r="Q635">
        <v>0.14733080000000001</v>
      </c>
      <c r="R635">
        <v>6.4589869999999994E-2</v>
      </c>
      <c r="S635">
        <v>3.035034</v>
      </c>
      <c r="T635">
        <v>-2.5659919999999999E-2</v>
      </c>
      <c r="U635">
        <v>0.12686159999999999</v>
      </c>
      <c r="V635">
        <v>-6.7777299999999999E-2</v>
      </c>
      <c r="W635">
        <v>0.15897849999999999</v>
      </c>
      <c r="X635">
        <v>0.98495279999999996</v>
      </c>
      <c r="Y635">
        <v>-4.4987720000000002E-2</v>
      </c>
      <c r="Z635">
        <v>4.451026E-4</v>
      </c>
      <c r="AA635">
        <v>0.99898739999999997</v>
      </c>
      <c r="AB635">
        <v>31</v>
      </c>
      <c r="AC635">
        <v>131.11840000000001</v>
      </c>
      <c r="AD635">
        <v>-1.1098865970889999</v>
      </c>
      <c r="AE635">
        <v>5.48770000000001</v>
      </c>
      <c r="AF635">
        <v>-5.9110282593707</v>
      </c>
      <c r="AG635">
        <v>-1.1098865970889999</v>
      </c>
      <c r="AH635">
        <v>131.09060219007301</v>
      </c>
      <c r="AI635">
        <v>90.484594261140003</v>
      </c>
      <c r="AJ635">
        <v>92.581784747482303</v>
      </c>
      <c r="AK635">
        <v>131.22849570842999</v>
      </c>
      <c r="AL635">
        <v>80.852390049719702</v>
      </c>
      <c r="AM635">
        <v>93.936474028906403</v>
      </c>
      <c r="AN635">
        <v>0.99999997204268898</v>
      </c>
    </row>
    <row r="636" spans="1:40" x14ac:dyDescent="0.25">
      <c r="A636" t="str">
        <f>"20190304155608534"</f>
        <v>20190304155608534</v>
      </c>
      <c r="B636" t="str">
        <f>"1551686168525201"</f>
        <v>1551686168525201</v>
      </c>
      <c r="C636" t="s">
        <v>40</v>
      </c>
      <c r="D636">
        <v>3.9666100000000002</v>
      </c>
      <c r="E636">
        <v>0.51424110000000001</v>
      </c>
      <c r="F636" t="s">
        <v>41</v>
      </c>
      <c r="G636">
        <v>-249.37880000000001</v>
      </c>
      <c r="H636" s="1">
        <v>-4.7529169999999999E-7</v>
      </c>
      <c r="I636">
        <v>370.37240000000003</v>
      </c>
      <c r="J636">
        <v>-359.0224</v>
      </c>
      <c r="K636">
        <v>1.10988</v>
      </c>
      <c r="L636">
        <v>367.06659999999999</v>
      </c>
      <c r="M636">
        <v>0.99992510000000001</v>
      </c>
      <c r="N636">
        <v>-1.18139E-2</v>
      </c>
      <c r="O636">
        <v>-3.2262150000000002E-3</v>
      </c>
      <c r="P636">
        <v>0.9869713</v>
      </c>
      <c r="Q636">
        <v>0.14764959999999999</v>
      </c>
      <c r="R636">
        <v>6.3934069999999996E-2</v>
      </c>
      <c r="S636">
        <v>3.038208</v>
      </c>
      <c r="T636">
        <v>-3.0711530000000001E-2</v>
      </c>
      <c r="U636">
        <v>9.1461180000000003E-2</v>
      </c>
      <c r="V636">
        <v>-6.7115789999999995E-2</v>
      </c>
      <c r="W636">
        <v>0.15929769999999999</v>
      </c>
      <c r="X636">
        <v>0.98494649999999995</v>
      </c>
      <c r="Y636">
        <v>-3.3311159999999999E-2</v>
      </c>
      <c r="Z636">
        <v>3.5964660000000002E-4</v>
      </c>
      <c r="AA636">
        <v>0.99944500000000003</v>
      </c>
      <c r="AB636">
        <v>31</v>
      </c>
      <c r="AC636">
        <v>109.64360000000001</v>
      </c>
      <c r="AD636">
        <v>-1.1098804752917</v>
      </c>
      <c r="AE636">
        <v>3.3058000000000298</v>
      </c>
      <c r="AF636">
        <v>-3.6591666708418602</v>
      </c>
      <c r="AG636">
        <v>-1.1098804752917</v>
      </c>
      <c r="AH636">
        <v>109.62114094831</v>
      </c>
      <c r="AI636">
        <v>90.579759515776104</v>
      </c>
      <c r="AJ636">
        <v>91.911830044136593</v>
      </c>
      <c r="AK636">
        <v>109.687810982824</v>
      </c>
      <c r="AL636">
        <v>80.833864931378102</v>
      </c>
      <c r="AM636">
        <v>93.898197726085698</v>
      </c>
      <c r="AN636">
        <v>0.99999994717743002</v>
      </c>
    </row>
    <row r="637" spans="1:40" x14ac:dyDescent="0.25">
      <c r="A637" t="str">
        <f>"20190304155608545"</f>
        <v>20190304155608545</v>
      </c>
      <c r="B637" t="str">
        <f>"1551686168535939"</f>
        <v>1551686168535939</v>
      </c>
      <c r="C637" t="s">
        <v>40</v>
      </c>
      <c r="D637">
        <v>4.2086959999999998</v>
      </c>
      <c r="E637">
        <v>0.51479470000000005</v>
      </c>
      <c r="F637" t="s">
        <v>41</v>
      </c>
      <c r="G637">
        <v>-279.13130000000001</v>
      </c>
      <c r="H637" s="1">
        <v>-4.8277220000000001E-7</v>
      </c>
      <c r="I637">
        <v>368.89589999999998</v>
      </c>
      <c r="J637">
        <v>-358.85919999999999</v>
      </c>
      <c r="K637">
        <v>1.109882</v>
      </c>
      <c r="L637">
        <v>367.06610000000001</v>
      </c>
      <c r="M637">
        <v>0.99992510000000001</v>
      </c>
      <c r="N637">
        <v>-1.181449E-2</v>
      </c>
      <c r="O637">
        <v>-3.219904E-3</v>
      </c>
      <c r="P637">
        <v>0.9869078</v>
      </c>
      <c r="Q637">
        <v>0.1482667</v>
      </c>
      <c r="R637">
        <v>6.3483689999999995E-2</v>
      </c>
      <c r="S637">
        <v>3.0414119999999998</v>
      </c>
      <c r="T637">
        <v>-4.2252539999999998E-2</v>
      </c>
      <c r="U637">
        <v>6.9641110000000006E-2</v>
      </c>
      <c r="V637">
        <v>-6.6659120000000002E-2</v>
      </c>
      <c r="W637">
        <v>0.1599148</v>
      </c>
      <c r="X637">
        <v>0.98487760000000002</v>
      </c>
      <c r="Y637">
        <v>-2.6106130000000002E-2</v>
      </c>
      <c r="Z637">
        <v>3.4224780000000001E-4</v>
      </c>
      <c r="AA637">
        <v>0.99965910000000002</v>
      </c>
      <c r="AB637">
        <v>31</v>
      </c>
      <c r="AC637">
        <v>79.727899999999906</v>
      </c>
      <c r="AD637">
        <v>-1.1098824827722</v>
      </c>
      <c r="AE637">
        <v>1.8297999999999699</v>
      </c>
      <c r="AF637">
        <v>-2.08612053738167</v>
      </c>
      <c r="AG637">
        <v>-1.1098824827722</v>
      </c>
      <c r="AH637">
        <v>79.706156254696694</v>
      </c>
      <c r="AI637">
        <v>90.797500600690498</v>
      </c>
      <c r="AJ637">
        <v>91.499239546155806</v>
      </c>
      <c r="AK637">
        <v>79.741175580249504</v>
      </c>
      <c r="AL637">
        <v>80.7980493728478</v>
      </c>
      <c r="AM637">
        <v>93.872024549302296</v>
      </c>
      <c r="AN637">
        <v>1.00000003425998</v>
      </c>
    </row>
    <row r="638" spans="1:40" x14ac:dyDescent="0.25">
      <c r="A638" t="str">
        <f>"20190304155608558"</f>
        <v>20190304155608558</v>
      </c>
      <c r="B638" t="str">
        <f>"1551686168545698"</f>
        <v>1551686168545698</v>
      </c>
      <c r="C638" t="s">
        <v>40</v>
      </c>
      <c r="D638">
        <v>4.0488419999999996</v>
      </c>
      <c r="E638">
        <v>0.516239</v>
      </c>
      <c r="F638" t="s">
        <v>44</v>
      </c>
      <c r="G638">
        <v>-294.4468</v>
      </c>
      <c r="H638">
        <v>-0.05</v>
      </c>
      <c r="I638">
        <v>368.41059999999999</v>
      </c>
      <c r="J638">
        <v>-358.68970000000002</v>
      </c>
      <c r="K638">
        <v>1.1098840000000001</v>
      </c>
      <c r="L638">
        <v>367.06560000000002</v>
      </c>
      <c r="M638">
        <v>0.99992510000000001</v>
      </c>
      <c r="N638">
        <v>-1.181515E-2</v>
      </c>
      <c r="O638">
        <v>-3.2133539999999999E-3</v>
      </c>
      <c r="P638">
        <v>0.98691110000000004</v>
      </c>
      <c r="Q638">
        <v>0.14854719999999999</v>
      </c>
      <c r="R638">
        <v>6.2774280000000002E-2</v>
      </c>
      <c r="S638">
        <v>3.0439449999999999</v>
      </c>
      <c r="T638">
        <v>-5.4812670000000001E-2</v>
      </c>
      <c r="U638">
        <v>6.35376E-2</v>
      </c>
      <c r="V638">
        <v>-6.5943639999999998E-2</v>
      </c>
      <c r="W638">
        <v>0.1601958</v>
      </c>
      <c r="X638">
        <v>0.98488010000000004</v>
      </c>
      <c r="Y638">
        <v>-2.4075139999999998E-2</v>
      </c>
      <c r="Z638">
        <v>3.788765E-4</v>
      </c>
      <c r="AA638">
        <v>0.99971010000000005</v>
      </c>
      <c r="AB638">
        <v>31</v>
      </c>
      <c r="AC638">
        <v>64.242900000000006</v>
      </c>
      <c r="AD638">
        <v>-1.1598839999999999</v>
      </c>
      <c r="AE638">
        <v>1.34499999999997</v>
      </c>
      <c r="AF638">
        <v>-1.55093729290418</v>
      </c>
      <c r="AG638">
        <v>-1.1598839999999999</v>
      </c>
      <c r="AH638">
        <v>64.217322208305106</v>
      </c>
      <c r="AI638">
        <v>91.034453998714298</v>
      </c>
      <c r="AJ638">
        <v>91.383503495773198</v>
      </c>
      <c r="AK638">
        <v>64.246519041775798</v>
      </c>
      <c r="AL638">
        <v>80.781738990568996</v>
      </c>
      <c r="AM638">
        <v>93.830579208393004</v>
      </c>
      <c r="AN638">
        <v>1.00000003468504</v>
      </c>
    </row>
    <row r="639" spans="1:40" x14ac:dyDescent="0.25">
      <c r="A639" t="str">
        <f>"20190304155608571"</f>
        <v>20190304155608571</v>
      </c>
      <c r="B639" t="str">
        <f>"1551686168565217"</f>
        <v>1551686168565217</v>
      </c>
      <c r="C639" t="s">
        <v>40</v>
      </c>
      <c r="D639">
        <v>4.1127089999999997</v>
      </c>
      <c r="E639">
        <v>0.51716090000000003</v>
      </c>
      <c r="F639" t="s">
        <v>44</v>
      </c>
      <c r="G639">
        <v>-293.66500000000002</v>
      </c>
      <c r="H639">
        <v>-0.05</v>
      </c>
      <c r="I639">
        <v>368.12400000000002</v>
      </c>
      <c r="J639">
        <v>-358.50470000000001</v>
      </c>
      <c r="K639">
        <v>1.10989</v>
      </c>
      <c r="L639">
        <v>367.065</v>
      </c>
      <c r="M639">
        <v>0.99992510000000001</v>
      </c>
      <c r="N639">
        <v>-1.1815890000000001E-2</v>
      </c>
      <c r="O639">
        <v>-3.2060890000000001E-3</v>
      </c>
      <c r="P639">
        <v>0.9868749</v>
      </c>
      <c r="Q639">
        <v>0.14903549999999999</v>
      </c>
      <c r="R639">
        <v>6.2182139999999997E-2</v>
      </c>
      <c r="S639">
        <v>3.0448</v>
      </c>
      <c r="T639">
        <v>-5.4311869999999998E-2</v>
      </c>
      <c r="U639">
        <v>4.9560550000000002E-2</v>
      </c>
      <c r="V639">
        <v>-6.5343810000000002E-2</v>
      </c>
      <c r="W639">
        <v>0.16068479999999999</v>
      </c>
      <c r="X639">
        <v>0.98484039999999995</v>
      </c>
      <c r="Y639">
        <v>-1.9475550000000001E-2</v>
      </c>
      <c r="Z639">
        <v>3.0806090000000001E-4</v>
      </c>
      <c r="AA639">
        <v>0.99981030000000004</v>
      </c>
      <c r="AB639">
        <v>31</v>
      </c>
      <c r="AC639">
        <v>64.839699999999993</v>
      </c>
      <c r="AD639">
        <v>-1.1598899999999901</v>
      </c>
      <c r="AE639">
        <v>1.0590000000000199</v>
      </c>
      <c r="AF639">
        <v>-1.26648573941775</v>
      </c>
      <c r="AG639">
        <v>-1.1598899999999901</v>
      </c>
      <c r="AH639">
        <v>64.815235801303402</v>
      </c>
      <c r="AI639">
        <v>91.025021801101005</v>
      </c>
      <c r="AJ639">
        <v>91.119413570937695</v>
      </c>
      <c r="AK639">
        <v>64.837983643222699</v>
      </c>
      <c r="AL639">
        <v>80.753353463716095</v>
      </c>
      <c r="AM639">
        <v>93.795990769178204</v>
      </c>
      <c r="AN639">
        <v>1.0000000159642499</v>
      </c>
    </row>
    <row r="640" spans="1:40" x14ac:dyDescent="0.25">
      <c r="A640" t="str">
        <f>"20190304155608590"</f>
        <v>20190304155608590</v>
      </c>
      <c r="B640" t="str">
        <f>"1551686168585715"</f>
        <v>1551686168585715</v>
      </c>
      <c r="C640" t="s">
        <v>40</v>
      </c>
      <c r="D640">
        <v>4.0968710000000002</v>
      </c>
      <c r="E640">
        <v>0.51827970000000001</v>
      </c>
      <c r="F640" t="s">
        <v>44</v>
      </c>
      <c r="G640">
        <v>-302.36259999999999</v>
      </c>
      <c r="H640">
        <v>-0.05</v>
      </c>
      <c r="I640">
        <v>367.80900000000003</v>
      </c>
      <c r="J640">
        <v>-358.22699999999998</v>
      </c>
      <c r="K640">
        <v>1.10989</v>
      </c>
      <c r="L640">
        <v>367.0641</v>
      </c>
      <c r="M640">
        <v>0.99992510000000001</v>
      </c>
      <c r="N640">
        <v>-1.1817080000000001E-2</v>
      </c>
      <c r="O640">
        <v>-3.1959620000000001E-3</v>
      </c>
      <c r="P640">
        <v>0.98681969999999997</v>
      </c>
      <c r="Q640">
        <v>0.1498178</v>
      </c>
      <c r="R640">
        <v>6.116713E-2</v>
      </c>
      <c r="S640">
        <v>3.046875</v>
      </c>
      <c r="T640">
        <v>-6.2948110000000002E-2</v>
      </c>
      <c r="U640">
        <v>4.0374760000000003E-2</v>
      </c>
      <c r="V640">
        <v>-6.4318280000000005E-2</v>
      </c>
      <c r="W640">
        <v>0.16146740000000001</v>
      </c>
      <c r="X640">
        <v>0.98477990000000004</v>
      </c>
      <c r="Y640">
        <v>-1.6440239999999998E-2</v>
      </c>
      <c r="Z640">
        <v>2.952168E-4</v>
      </c>
      <c r="AA640">
        <v>0.9998648</v>
      </c>
      <c r="AB640">
        <v>31</v>
      </c>
      <c r="AC640">
        <v>55.864399999999897</v>
      </c>
      <c r="AD640">
        <v>-1.1598899999999901</v>
      </c>
      <c r="AE640">
        <v>0.74490000000002898</v>
      </c>
      <c r="AF640">
        <v>-0.92305131318443301</v>
      </c>
      <c r="AG640">
        <v>-1.1598899999999901</v>
      </c>
      <c r="AH640">
        <v>55.8376672917679</v>
      </c>
      <c r="AI640">
        <v>91.189845028856794</v>
      </c>
      <c r="AJ640">
        <v>90.947069072628906</v>
      </c>
      <c r="AK640">
        <v>55.8573402260172</v>
      </c>
      <c r="AL640">
        <v>80.707920437552104</v>
      </c>
      <c r="AM640">
        <v>93.736814104644793</v>
      </c>
      <c r="AN640">
        <v>1.0000000069244599</v>
      </c>
    </row>
    <row r="641" spans="1:40" x14ac:dyDescent="0.25">
      <c r="A641" t="str">
        <f>"20190304155608602"</f>
        <v>20190304155608602</v>
      </c>
      <c r="B641" t="str">
        <f>"1551686168595474"</f>
        <v>1551686168595474</v>
      </c>
      <c r="C641" t="s">
        <v>40</v>
      </c>
      <c r="D641">
        <v>4.0628199999999897</v>
      </c>
      <c r="E641">
        <v>0.51864049999999995</v>
      </c>
      <c r="F641" t="s">
        <v>44</v>
      </c>
      <c r="G641">
        <v>-299.93959999999998</v>
      </c>
      <c r="H641">
        <v>-0.05</v>
      </c>
      <c r="I641">
        <v>367.60930000000002</v>
      </c>
      <c r="J641">
        <v>-358.05720000000002</v>
      </c>
      <c r="K641">
        <v>1.109891</v>
      </c>
      <c r="L641">
        <v>367.06360000000001</v>
      </c>
      <c r="M641">
        <v>0.99992510000000001</v>
      </c>
      <c r="N641">
        <v>-1.181778E-2</v>
      </c>
      <c r="O641">
        <v>-3.1901210000000002E-3</v>
      </c>
      <c r="P641">
        <v>0.98680570000000001</v>
      </c>
      <c r="Q641">
        <v>0.14999799999999999</v>
      </c>
      <c r="R641">
        <v>6.0952880000000001E-2</v>
      </c>
      <c r="S641">
        <v>3.0475159999999999</v>
      </c>
      <c r="T641">
        <v>-6.0644030000000002E-2</v>
      </c>
      <c r="U641">
        <v>2.8503420000000002E-2</v>
      </c>
      <c r="V641">
        <v>-6.4098950000000002E-2</v>
      </c>
      <c r="W641">
        <v>0.16164770000000001</v>
      </c>
      <c r="X641">
        <v>0.98476459999999999</v>
      </c>
      <c r="Y641">
        <v>-1.253869E-2</v>
      </c>
      <c r="Z641">
        <v>2.2462259999999999E-4</v>
      </c>
      <c r="AA641">
        <v>0.99992139999999996</v>
      </c>
      <c r="AB641">
        <v>31</v>
      </c>
      <c r="AC641">
        <v>58.117600000000003</v>
      </c>
      <c r="AD641">
        <v>-1.159891</v>
      </c>
      <c r="AE641">
        <v>0.54570000000000995</v>
      </c>
      <c r="AF641">
        <v>-0.73082127683723397</v>
      </c>
      <c r="AG641">
        <v>-1.159891</v>
      </c>
      <c r="AH641">
        <v>58.092426622066498</v>
      </c>
      <c r="AI641">
        <v>91.143742441657096</v>
      </c>
      <c r="AJ641">
        <v>90.720761179807297</v>
      </c>
      <c r="AK641">
        <v>58.108600720639799</v>
      </c>
      <c r="AL641">
        <v>80.697452296558794</v>
      </c>
      <c r="AM641">
        <v>93.724164915760895</v>
      </c>
      <c r="AN641">
        <v>0.99999998585977601</v>
      </c>
    </row>
    <row r="642" spans="1:40" x14ac:dyDescent="0.25">
      <c r="A642" t="str">
        <f>"20190304155608614"</f>
        <v>20190304155608614</v>
      </c>
      <c r="B642" t="str">
        <f>"1551686168605233"</f>
        <v>1551686168605233</v>
      </c>
      <c r="C642" t="s">
        <v>40</v>
      </c>
      <c r="D642">
        <v>4.0610179999999998</v>
      </c>
      <c r="E642">
        <v>0.51896229999999999</v>
      </c>
      <c r="F642" t="s">
        <v>44</v>
      </c>
      <c r="G642">
        <v>-299.50729999999999</v>
      </c>
      <c r="H642">
        <v>-0.05</v>
      </c>
      <c r="I642">
        <v>367.55840000000001</v>
      </c>
      <c r="J642">
        <v>-357.9033</v>
      </c>
      <c r="K642">
        <v>1.109891</v>
      </c>
      <c r="L642">
        <v>367.06310000000002</v>
      </c>
      <c r="M642">
        <v>0.99992530000000002</v>
      </c>
      <c r="N642">
        <v>-1.181842E-2</v>
      </c>
      <c r="O642">
        <v>-3.184877E-3</v>
      </c>
      <c r="P642">
        <v>0.98682029999999998</v>
      </c>
      <c r="Q642">
        <v>0.1501179</v>
      </c>
      <c r="R642">
        <v>6.0420410000000001E-2</v>
      </c>
      <c r="S642">
        <v>3.0477289999999999</v>
      </c>
      <c r="T642">
        <v>-6.0376409999999998E-2</v>
      </c>
      <c r="U642">
        <v>2.575684E-2</v>
      </c>
      <c r="V642">
        <v>-6.3560930000000002E-2</v>
      </c>
      <c r="W642">
        <v>0.16176860000000001</v>
      </c>
      <c r="X642">
        <v>0.98477969999999904</v>
      </c>
      <c r="Y642">
        <v>-1.163205E-2</v>
      </c>
      <c r="Z642">
        <v>2.094013E-4</v>
      </c>
      <c r="AA642">
        <v>0.9999323</v>
      </c>
      <c r="AB642">
        <v>31</v>
      </c>
      <c r="AC642">
        <v>58.396000000000001</v>
      </c>
      <c r="AD642">
        <v>-1.159891</v>
      </c>
      <c r="AE642">
        <v>0.49529999999998597</v>
      </c>
      <c r="AF642">
        <v>-0.68102585703995799</v>
      </c>
      <c r="AG642">
        <v>-1.159891</v>
      </c>
      <c r="AH642">
        <v>58.371099346787602</v>
      </c>
      <c r="AI642">
        <v>91.138296073633398</v>
      </c>
      <c r="AJ642">
        <v>90.6684495825303</v>
      </c>
      <c r="AK642">
        <v>58.386594200230498</v>
      </c>
      <c r="AL642">
        <v>80.690433591195102</v>
      </c>
      <c r="AM642">
        <v>93.692936219198103</v>
      </c>
      <c r="AN642">
        <v>1.00000006465025</v>
      </c>
    </row>
    <row r="643" spans="1:40" x14ac:dyDescent="0.25">
      <c r="A643" t="str">
        <f>"20190304155608627"</f>
        <v>20190304155608627</v>
      </c>
      <c r="B643" t="str">
        <f>"1551686168614993"</f>
        <v>1551686168614993</v>
      </c>
      <c r="C643" t="s">
        <v>40</v>
      </c>
      <c r="D643">
        <v>4.0254770000000004</v>
      </c>
      <c r="E643">
        <v>0.51920449999999996</v>
      </c>
      <c r="F643" t="s">
        <v>44</v>
      </c>
      <c r="G643">
        <v>-298.68009999999998</v>
      </c>
      <c r="H643">
        <v>-0.05</v>
      </c>
      <c r="I643">
        <v>367.48289999999997</v>
      </c>
      <c r="J643">
        <v>-357.7131</v>
      </c>
      <c r="K643">
        <v>1.109893</v>
      </c>
      <c r="L643">
        <v>367.0625</v>
      </c>
      <c r="M643">
        <v>0.99992530000000002</v>
      </c>
      <c r="N643">
        <v>-1.181919E-2</v>
      </c>
      <c r="O643">
        <v>-3.1780850000000002E-3</v>
      </c>
      <c r="P643">
        <v>0.98685389999999995</v>
      </c>
      <c r="Q643">
        <v>0.1500658</v>
      </c>
      <c r="R643">
        <v>5.9998639999999999E-2</v>
      </c>
      <c r="S643">
        <v>3.0477910000000001</v>
      </c>
      <c r="T643">
        <v>-5.9691189999999998E-2</v>
      </c>
      <c r="U643">
        <v>2.1606449999999999E-2</v>
      </c>
      <c r="V643">
        <v>-6.3132729999999998E-2</v>
      </c>
      <c r="W643">
        <v>0.16171779999999999</v>
      </c>
      <c r="X643">
        <v>0.98481549999999995</v>
      </c>
      <c r="Y643">
        <v>-1.0263980000000001E-2</v>
      </c>
      <c r="Z643">
        <v>1.8584219999999999E-4</v>
      </c>
      <c r="AA643">
        <v>0.99994729999999998</v>
      </c>
      <c r="AB643">
        <v>32</v>
      </c>
      <c r="AC643">
        <v>59.033000000000001</v>
      </c>
      <c r="AD643">
        <v>-1.1598930000000001</v>
      </c>
      <c r="AE643">
        <v>0.42039999999997202</v>
      </c>
      <c r="AF643">
        <v>-0.60778821028703001</v>
      </c>
      <c r="AG643">
        <v>-1.1598930000000001</v>
      </c>
      <c r="AH643">
        <v>59.008586429064799</v>
      </c>
      <c r="AI643">
        <v>91.126020753790598</v>
      </c>
      <c r="AJ643">
        <v>90.590125437530105</v>
      </c>
      <c r="AK643">
        <v>59.023114375949497</v>
      </c>
      <c r="AL643">
        <v>80.693382245839203</v>
      </c>
      <c r="AM643">
        <v>93.667992661898793</v>
      </c>
      <c r="AN643">
        <v>0.99999997873717095</v>
      </c>
    </row>
    <row r="644" spans="1:40" x14ac:dyDescent="0.25">
      <c r="A644" t="str">
        <f>"20190304155608649"</f>
        <v>20190304155608649</v>
      </c>
      <c r="B644" t="str">
        <f>"1551686168635489"</f>
        <v>1551686168635489</v>
      </c>
      <c r="C644" t="s">
        <v>40</v>
      </c>
      <c r="D644">
        <v>4.1137119999999996</v>
      </c>
      <c r="E644">
        <v>0.51998069999999996</v>
      </c>
      <c r="F644" t="s">
        <v>44</v>
      </c>
      <c r="G644">
        <v>-301.69200000000001</v>
      </c>
      <c r="H644">
        <v>-0.05</v>
      </c>
      <c r="I644">
        <v>367.40170000000001</v>
      </c>
      <c r="J644">
        <v>-357.41849999999999</v>
      </c>
      <c r="K644">
        <v>1.1099000000000001</v>
      </c>
      <c r="L644">
        <v>367.0616</v>
      </c>
      <c r="M644">
        <v>0.99992530000000002</v>
      </c>
      <c r="N644">
        <v>-1.182037E-2</v>
      </c>
      <c r="O644">
        <v>-3.167839E-3</v>
      </c>
      <c r="P644">
        <v>0.98688279999999995</v>
      </c>
      <c r="Q644">
        <v>0.1500956</v>
      </c>
      <c r="R644">
        <v>5.9447560000000003E-2</v>
      </c>
      <c r="S644">
        <v>3.0484010000000001</v>
      </c>
      <c r="T644">
        <v>-6.3115840000000006E-2</v>
      </c>
      <c r="U644">
        <v>1.8463130000000001E-2</v>
      </c>
      <c r="V644">
        <v>-6.2571699999999994E-2</v>
      </c>
      <c r="W644">
        <v>0.161748799999999</v>
      </c>
      <c r="X644">
        <v>0.9848462</v>
      </c>
      <c r="Y644">
        <v>-9.2212939999999997E-3</v>
      </c>
      <c r="Z644">
        <v>1.780985E-4</v>
      </c>
      <c r="AA644">
        <v>0.9999574</v>
      </c>
      <c r="AB644">
        <v>32</v>
      </c>
      <c r="AC644">
        <v>55.726499999999902</v>
      </c>
      <c r="AD644">
        <v>-1.1598999999999999</v>
      </c>
      <c r="AE644">
        <v>0.34010000000000601</v>
      </c>
      <c r="AF644">
        <v>-0.51641945573854198</v>
      </c>
      <c r="AG644">
        <v>-1.1598999999999999</v>
      </c>
      <c r="AH644">
        <v>55.701012492311797</v>
      </c>
      <c r="AI644">
        <v>91.192885254826805</v>
      </c>
      <c r="AJ644">
        <v>90.531189761414495</v>
      </c>
      <c r="AK644">
        <v>55.715481239355199</v>
      </c>
      <c r="AL644">
        <v>80.691582249615195</v>
      </c>
      <c r="AM644">
        <v>93.6353717722195</v>
      </c>
      <c r="AN644">
        <v>0.99999996479838404</v>
      </c>
    </row>
    <row r="645" spans="1:40" x14ac:dyDescent="0.25">
      <c r="A645" t="str">
        <f>"20190304155608669"</f>
        <v>20190304155608669</v>
      </c>
      <c r="B645" t="str">
        <f>"1551686168665746"</f>
        <v>1551686168665746</v>
      </c>
      <c r="C645" t="s">
        <v>40</v>
      </c>
      <c r="D645">
        <v>4.1024890000000003</v>
      </c>
      <c r="E645">
        <v>0.52002820000000005</v>
      </c>
      <c r="F645" t="s">
        <v>44</v>
      </c>
      <c r="G645">
        <v>-295.226</v>
      </c>
      <c r="H645">
        <v>-0.05</v>
      </c>
      <c r="I645">
        <v>367.28699999999998</v>
      </c>
      <c r="J645">
        <v>-357.12950000000001</v>
      </c>
      <c r="K645">
        <v>1.1099060000000001</v>
      </c>
      <c r="L645">
        <v>367.06060000000002</v>
      </c>
      <c r="M645">
        <v>0.99992530000000002</v>
      </c>
      <c r="N645">
        <v>-1.182157E-2</v>
      </c>
      <c r="O645">
        <v>-3.1574749999999999E-3</v>
      </c>
      <c r="P645">
        <v>0.98677459999999995</v>
      </c>
      <c r="Q645">
        <v>0.15107129999999999</v>
      </c>
      <c r="R645">
        <v>5.8766680000000002E-2</v>
      </c>
      <c r="S645">
        <v>3.0478209999999999</v>
      </c>
      <c r="T645">
        <v>-5.6842330000000003E-2</v>
      </c>
      <c r="U645">
        <v>1.1047360000000001E-2</v>
      </c>
      <c r="V645">
        <v>-6.188022E-2</v>
      </c>
      <c r="W645">
        <v>0.1627247</v>
      </c>
      <c r="X645">
        <v>0.98472919999999997</v>
      </c>
      <c r="Y645">
        <v>-6.780309E-3</v>
      </c>
      <c r="Z645">
        <v>1.248612E-4</v>
      </c>
      <c r="AA645">
        <v>0.999977</v>
      </c>
      <c r="AB645">
        <v>32</v>
      </c>
      <c r="AC645">
        <v>61.903500000000001</v>
      </c>
      <c r="AD645">
        <v>-1.1599059999999899</v>
      </c>
      <c r="AE645">
        <v>0.226399999999955</v>
      </c>
      <c r="AF645">
        <v>-0.42172319256173801</v>
      </c>
      <c r="AG645">
        <v>-1.1599059999999899</v>
      </c>
      <c r="AH645">
        <v>61.880751217635698</v>
      </c>
      <c r="AI645">
        <v>91.073813630594699</v>
      </c>
      <c r="AJ645">
        <v>90.390470130121003</v>
      </c>
      <c r="AK645">
        <v>61.893057798422703</v>
      </c>
      <c r="AL645">
        <v>80.634917322722202</v>
      </c>
      <c r="AM645">
        <v>93.5957292861235</v>
      </c>
      <c r="AN645">
        <v>1.0000000434749801</v>
      </c>
    </row>
    <row r="646" spans="1:40" x14ac:dyDescent="0.25">
      <c r="A646" t="str">
        <f>"20190304155608682"</f>
        <v>20190304155608682</v>
      </c>
      <c r="B646" t="str">
        <f>"1551686168675507"</f>
        <v>1551686168675507</v>
      </c>
      <c r="C646" t="s">
        <v>40</v>
      </c>
      <c r="D646">
        <v>4.164561</v>
      </c>
      <c r="E646">
        <v>0.52019470000000001</v>
      </c>
      <c r="F646" t="s">
        <v>44</v>
      </c>
      <c r="G646">
        <v>-295.20370000000003</v>
      </c>
      <c r="H646">
        <v>-0.05</v>
      </c>
      <c r="I646">
        <v>367.24349999999998</v>
      </c>
      <c r="J646">
        <v>-356.94040000000001</v>
      </c>
      <c r="K646">
        <v>1.10991</v>
      </c>
      <c r="L646">
        <v>367.06</v>
      </c>
      <c r="M646">
        <v>0.99992530000000002</v>
      </c>
      <c r="N646">
        <v>-1.1822340000000001E-2</v>
      </c>
      <c r="O646">
        <v>-3.150805E-3</v>
      </c>
      <c r="P646">
        <v>0.98670329999999995</v>
      </c>
      <c r="Q646">
        <v>0.1516171</v>
      </c>
      <c r="R646">
        <v>5.855875E-2</v>
      </c>
      <c r="S646">
        <v>3.0484309999999999</v>
      </c>
      <c r="T646">
        <v>-5.7098870000000003E-2</v>
      </c>
      <c r="U646">
        <v>9.0026859999999993E-3</v>
      </c>
      <c r="V646">
        <v>-6.1665629999999999E-2</v>
      </c>
      <c r="W646">
        <v>0.16327039999999901</v>
      </c>
      <c r="X646">
        <v>0.98465230000000004</v>
      </c>
      <c r="Y646">
        <v>-6.1023809999999996E-3</v>
      </c>
      <c r="Z646">
        <v>1.1498530000000001E-4</v>
      </c>
      <c r="AA646">
        <v>0.99998140000000002</v>
      </c>
      <c r="AB646">
        <v>32</v>
      </c>
      <c r="AC646">
        <v>61.7366999999999</v>
      </c>
      <c r="AD646">
        <v>-1.15991</v>
      </c>
      <c r="AE646">
        <v>0.18349999999998001</v>
      </c>
      <c r="AF646">
        <v>-0.37789956465289698</v>
      </c>
      <c r="AG646">
        <v>-1.15991</v>
      </c>
      <c r="AH646">
        <v>61.714031084404297</v>
      </c>
      <c r="AI646">
        <v>91.0767223794833</v>
      </c>
      <c r="AJ646">
        <v>90.350840467529196</v>
      </c>
      <c r="AK646">
        <v>61.726087126723698</v>
      </c>
      <c r="AL646">
        <v>80.603226916113002</v>
      </c>
      <c r="AM646">
        <v>93.583571579124794</v>
      </c>
      <c r="AN646">
        <v>1.00000001266737</v>
      </c>
    </row>
    <row r="647" spans="1:40" x14ac:dyDescent="0.25">
      <c r="A647" t="str">
        <f>"20190304155608695"</f>
        <v>20190304155608695</v>
      </c>
      <c r="B647" t="str">
        <f>"1551686168685266"</f>
        <v>1551686168685266</v>
      </c>
      <c r="C647" t="s">
        <v>40</v>
      </c>
      <c r="D647">
        <v>4.147348</v>
      </c>
      <c r="E647">
        <v>0.52030200000000004</v>
      </c>
      <c r="F647" t="s">
        <v>44</v>
      </c>
      <c r="G647">
        <v>-293.50349999999997</v>
      </c>
      <c r="H647">
        <v>-0.05</v>
      </c>
      <c r="I647">
        <v>367.20670000000001</v>
      </c>
      <c r="J647">
        <v>-356.76659999999998</v>
      </c>
      <c r="K647">
        <v>1.109912</v>
      </c>
      <c r="L647">
        <v>367.05950000000001</v>
      </c>
      <c r="M647">
        <v>0.99992519999999996</v>
      </c>
      <c r="N647">
        <v>-1.182305E-2</v>
      </c>
      <c r="O647">
        <v>-3.1443729999999998E-3</v>
      </c>
      <c r="P647">
        <v>0.98663809999999996</v>
      </c>
      <c r="Q647">
        <v>0.15208840000000001</v>
      </c>
      <c r="R647">
        <v>5.8432459999999999E-2</v>
      </c>
      <c r="S647">
        <v>3.0486149999999999</v>
      </c>
      <c r="T647">
        <v>-5.5742260000000002E-2</v>
      </c>
      <c r="U647">
        <v>7.0495610000000002E-3</v>
      </c>
      <c r="V647">
        <v>-6.1532570000000002E-2</v>
      </c>
      <c r="W647">
        <v>0.16374169999999999</v>
      </c>
      <c r="X647">
        <v>0.98458239999999997</v>
      </c>
      <c r="Y647">
        <v>-5.4553809999999996E-3</v>
      </c>
      <c r="Z647">
        <v>1.024374E-4</v>
      </c>
      <c r="AA647">
        <v>0.99998509999999996</v>
      </c>
      <c r="AB647">
        <v>32</v>
      </c>
      <c r="AC647">
        <v>63.263100000000001</v>
      </c>
      <c r="AD647">
        <v>-1.1599120000000001</v>
      </c>
      <c r="AE647">
        <v>0.147199999999998</v>
      </c>
      <c r="AF647">
        <v>-0.346019634521191</v>
      </c>
      <c r="AG647">
        <v>-1.1599120000000001</v>
      </c>
      <c r="AH647">
        <v>63.241065174191398</v>
      </c>
      <c r="AI647">
        <v>91.050735262402995</v>
      </c>
      <c r="AJ647">
        <v>90.313487238073805</v>
      </c>
      <c r="AK647">
        <v>63.252647769097699</v>
      </c>
      <c r="AL647">
        <v>80.575855427332797</v>
      </c>
      <c r="AM647">
        <v>93.576112363081094</v>
      </c>
      <c r="AN647">
        <v>1.0000000519397201</v>
      </c>
    </row>
    <row r="648" spans="1:40" x14ac:dyDescent="0.25">
      <c r="A648" t="str">
        <f>"20190304155608705"</f>
        <v>20190304155608705</v>
      </c>
      <c r="B648" t="str">
        <f>"1551686168695026"</f>
        <v>1551686168695026</v>
      </c>
      <c r="C648" t="s">
        <v>40</v>
      </c>
      <c r="D648">
        <v>4.1845689999999998</v>
      </c>
      <c r="E648">
        <v>0.52009150000000004</v>
      </c>
      <c r="F648" t="s">
        <v>44</v>
      </c>
      <c r="G648">
        <v>-292.62029999999999</v>
      </c>
      <c r="H648">
        <v>-0.05</v>
      </c>
      <c r="I648">
        <v>367.18529999999998</v>
      </c>
      <c r="J648">
        <v>-356.59930000000003</v>
      </c>
      <c r="K648">
        <v>1.109917</v>
      </c>
      <c r="L648">
        <v>367.05900000000003</v>
      </c>
      <c r="M648">
        <v>0.99992530000000002</v>
      </c>
      <c r="N648">
        <v>-1.1823749999999999E-2</v>
      </c>
      <c r="O648">
        <v>-3.1381790000000001E-3</v>
      </c>
      <c r="P648">
        <v>0.98657399999999995</v>
      </c>
      <c r="Q648">
        <v>0.1525349</v>
      </c>
      <c r="R648">
        <v>5.8353519999999999E-2</v>
      </c>
      <c r="S648">
        <v>3.0487980000000001</v>
      </c>
      <c r="T648">
        <v>-5.5129289999999997E-2</v>
      </c>
      <c r="U648">
        <v>5.9814450000000002E-3</v>
      </c>
      <c r="V648">
        <v>-6.1447210000000002E-2</v>
      </c>
      <c r="W648">
        <v>0.16418820000000001</v>
      </c>
      <c r="X648">
        <v>0.98451330000000004</v>
      </c>
      <c r="Y648">
        <v>-5.0988420000000001E-3</v>
      </c>
      <c r="Z648" s="1">
        <v>9.5879989999999996E-5</v>
      </c>
      <c r="AA648">
        <v>0.99998699999999996</v>
      </c>
      <c r="AB648">
        <v>32</v>
      </c>
      <c r="AC648">
        <v>63.978999999999999</v>
      </c>
      <c r="AD648">
        <v>-1.1599170000000001</v>
      </c>
      <c r="AE648">
        <v>0.126299999999957</v>
      </c>
      <c r="AF648">
        <v>-0.326983468678128</v>
      </c>
      <c r="AG648">
        <v>-1.1599170000000001</v>
      </c>
      <c r="AH648">
        <v>63.957266871434797</v>
      </c>
      <c r="AI648">
        <v>91.038978038185903</v>
      </c>
      <c r="AJ648">
        <v>90.292923860183095</v>
      </c>
      <c r="AK648">
        <v>63.968619738897097</v>
      </c>
      <c r="AL648">
        <v>80.549921208514107</v>
      </c>
      <c r="AM648">
        <v>93.571414310281696</v>
      </c>
      <c r="AN648">
        <v>0.99999998125645595</v>
      </c>
    </row>
    <row r="649" spans="1:40" x14ac:dyDescent="0.25">
      <c r="A649" t="str">
        <f>"20190304155608718"</f>
        <v>20190304155608718</v>
      </c>
      <c r="B649" t="str">
        <f>"1551686168705762"</f>
        <v>1551686168705762</v>
      </c>
      <c r="C649" t="s">
        <v>40</v>
      </c>
      <c r="D649">
        <v>4.1966359999999998</v>
      </c>
      <c r="E649">
        <v>0.51992139999999998</v>
      </c>
      <c r="F649" t="s">
        <v>44</v>
      </c>
      <c r="G649">
        <v>-294.06869999999998</v>
      </c>
      <c r="H649">
        <v>-0.05</v>
      </c>
      <c r="I649">
        <v>367.21600000000001</v>
      </c>
      <c r="J649">
        <v>-356.44240000000002</v>
      </c>
      <c r="K649">
        <v>1.109918</v>
      </c>
      <c r="L649">
        <v>367.05849999999998</v>
      </c>
      <c r="M649">
        <v>0.99992530000000002</v>
      </c>
      <c r="N649">
        <v>-1.182441E-2</v>
      </c>
      <c r="O649">
        <v>-3.1326980000000002E-3</v>
      </c>
      <c r="P649">
        <v>0.9865256</v>
      </c>
      <c r="Q649">
        <v>0.15278929999999999</v>
      </c>
      <c r="R649">
        <v>5.8504170000000001E-2</v>
      </c>
      <c r="S649">
        <v>3.0491030000000001</v>
      </c>
      <c r="T649">
        <v>-5.6559560000000002E-2</v>
      </c>
      <c r="U649">
        <v>7.6599119999999996E-3</v>
      </c>
      <c r="V649">
        <v>-6.1592439999999998E-2</v>
      </c>
      <c r="W649">
        <v>0.16444259999999999</v>
      </c>
      <c r="X649">
        <v>0.98446180000000005</v>
      </c>
      <c r="Y649">
        <v>-5.6434120000000004E-3</v>
      </c>
      <c r="Z649">
        <v>1.067705E-4</v>
      </c>
      <c r="AA649">
        <v>0.99998410000000004</v>
      </c>
      <c r="AB649">
        <v>32</v>
      </c>
      <c r="AC649">
        <v>62.373699999999999</v>
      </c>
      <c r="AD649">
        <v>-1.159918</v>
      </c>
      <c r="AE649">
        <v>0.15750000000002701</v>
      </c>
      <c r="AF649">
        <v>-0.35278882954499902</v>
      </c>
      <c r="AG649">
        <v>-1.159918</v>
      </c>
      <c r="AH649">
        <v>62.351338186197601</v>
      </c>
      <c r="AI649">
        <v>91.0657297774261</v>
      </c>
      <c r="AJ649">
        <v>90.324180617166604</v>
      </c>
      <c r="AK649">
        <v>62.363124066507098</v>
      </c>
      <c r="AL649">
        <v>80.535144648844096</v>
      </c>
      <c r="AM649">
        <v>93.580020179576906</v>
      </c>
      <c r="AN649">
        <v>1.0000000165095699</v>
      </c>
    </row>
    <row r="650" spans="1:40" x14ac:dyDescent="0.25">
      <c r="A650" t="str">
        <f>"20190304155608729"</f>
        <v>20190304155608729</v>
      </c>
      <c r="B650" t="str">
        <f>"1551686168725282"</f>
        <v>1551686168725282</v>
      </c>
      <c r="C650" t="s">
        <v>40</v>
      </c>
      <c r="D650">
        <v>4.2018500000000003</v>
      </c>
      <c r="E650">
        <v>0.51970810000000001</v>
      </c>
      <c r="F650" t="s">
        <v>44</v>
      </c>
      <c r="G650">
        <v>-294.7353</v>
      </c>
      <c r="H650">
        <v>-0.05</v>
      </c>
      <c r="I650">
        <v>367.25729999999999</v>
      </c>
      <c r="J650">
        <v>-356.27969999999999</v>
      </c>
      <c r="K650">
        <v>1.109918</v>
      </c>
      <c r="L650">
        <v>367.05799999999999</v>
      </c>
      <c r="M650">
        <v>0.99992530000000002</v>
      </c>
      <c r="N650">
        <v>-1.182509E-2</v>
      </c>
      <c r="O650">
        <v>-3.1269779999999999E-3</v>
      </c>
      <c r="P650">
        <v>0.98653440000000003</v>
      </c>
      <c r="Q650">
        <v>0.15272289999999999</v>
      </c>
      <c r="R650">
        <v>5.8532830000000001E-2</v>
      </c>
      <c r="S650">
        <v>3.0493160000000001</v>
      </c>
      <c r="T650">
        <v>-5.731845E-2</v>
      </c>
      <c r="U650">
        <v>9.8266599999999992E-3</v>
      </c>
      <c r="V650">
        <v>-6.1615660000000003E-2</v>
      </c>
      <c r="W650">
        <v>0.16437679999999999</v>
      </c>
      <c r="X650">
        <v>0.98447130000000005</v>
      </c>
      <c r="Y650">
        <v>-6.3478240000000002E-3</v>
      </c>
      <c r="Z650">
        <v>1.189898E-4</v>
      </c>
      <c r="AA650">
        <v>0.99997990000000003</v>
      </c>
      <c r="AB650">
        <v>32</v>
      </c>
      <c r="AC650">
        <v>61.544400000000003</v>
      </c>
      <c r="AD650">
        <v>-1.159918</v>
      </c>
      <c r="AE650">
        <v>0.199299999999936</v>
      </c>
      <c r="AF650">
        <v>-0.39162134227040102</v>
      </c>
      <c r="AG650">
        <v>-1.159918</v>
      </c>
      <c r="AH650">
        <v>61.521623337089601</v>
      </c>
      <c r="AI650">
        <v>91.080094827139703</v>
      </c>
      <c r="AJ650">
        <v>90.364716432991898</v>
      </c>
      <c r="AK650">
        <v>61.533803027873802</v>
      </c>
      <c r="AL650">
        <v>80.538966384453801</v>
      </c>
      <c r="AM650">
        <v>93.581331845100806</v>
      </c>
      <c r="AN650">
        <v>0.999999981229582</v>
      </c>
    </row>
    <row r="651" spans="1:40" x14ac:dyDescent="0.25">
      <c r="A651" t="str">
        <f>"20190304155608747"</f>
        <v>20190304155608747</v>
      </c>
      <c r="B651" t="str">
        <f>"1551686168745778"</f>
        <v>1551686168745778</v>
      </c>
      <c r="C651" t="s">
        <v>40</v>
      </c>
      <c r="D651">
        <v>4.2976919999999996</v>
      </c>
      <c r="E651">
        <v>0.51977229999999996</v>
      </c>
      <c r="F651" t="s">
        <v>44</v>
      </c>
      <c r="G651">
        <v>-299.08780000000002</v>
      </c>
      <c r="H651">
        <v>-0.05</v>
      </c>
      <c r="I651">
        <v>367.27199999999999</v>
      </c>
      <c r="J651">
        <v>-356.01940000000002</v>
      </c>
      <c r="K651">
        <v>1.1099139999999901</v>
      </c>
      <c r="L651">
        <v>367.05720000000002</v>
      </c>
      <c r="M651">
        <v>0.99992530000000002</v>
      </c>
      <c r="N651">
        <v>-1.182621E-2</v>
      </c>
      <c r="O651">
        <v>-3.1172130000000002E-3</v>
      </c>
      <c r="P651">
        <v>0.98648979999999997</v>
      </c>
      <c r="Q651">
        <v>0.15303929999999999</v>
      </c>
      <c r="R651">
        <v>5.8456439999999998E-2</v>
      </c>
      <c r="S651">
        <v>3.0498349999999999</v>
      </c>
      <c r="T651">
        <v>-6.1854239999999998E-2</v>
      </c>
      <c r="U651">
        <v>1.141357E-2</v>
      </c>
      <c r="V651">
        <v>-6.1529739999999999E-2</v>
      </c>
      <c r="W651">
        <v>0.1646938</v>
      </c>
      <c r="X651">
        <v>0.98442370000000001</v>
      </c>
      <c r="Y651">
        <v>-6.8573790000000003E-3</v>
      </c>
      <c r="Z651">
        <v>1.364367E-4</v>
      </c>
      <c r="AA651">
        <v>0.99997650000000005</v>
      </c>
      <c r="AB651">
        <v>32</v>
      </c>
      <c r="AC651">
        <v>56.931600000000003</v>
      </c>
      <c r="AD651">
        <v>-1.1599139999999999</v>
      </c>
      <c r="AE651">
        <v>0.21479999999996799</v>
      </c>
      <c r="AF651">
        <v>-0.39211651302765099</v>
      </c>
      <c r="AG651">
        <v>-1.1599139999999999</v>
      </c>
      <c r="AH651">
        <v>56.907032392415701</v>
      </c>
      <c r="AI651">
        <v>91.1676482847069</v>
      </c>
      <c r="AJ651">
        <v>90.394788917605794</v>
      </c>
      <c r="AK651">
        <v>56.920202841861297</v>
      </c>
      <c r="AL651">
        <v>80.520552738235494</v>
      </c>
      <c r="AM651">
        <v>93.576523303885196</v>
      </c>
      <c r="AN651">
        <v>0.99999998889229802</v>
      </c>
    </row>
    <row r="652" spans="1:40" x14ac:dyDescent="0.25">
      <c r="A652" t="str">
        <f>"20190304155608758"</f>
        <v>20190304155608758</v>
      </c>
      <c r="B652" t="str">
        <f>"1551686168755539"</f>
        <v>1551686168755539</v>
      </c>
      <c r="C652" t="s">
        <v>40</v>
      </c>
      <c r="D652">
        <v>4.1402809999999999</v>
      </c>
      <c r="E652">
        <v>0.51987919999999999</v>
      </c>
      <c r="F652" t="s">
        <v>44</v>
      </c>
      <c r="G652">
        <v>-299.54309999999998</v>
      </c>
      <c r="H652">
        <v>-0.05</v>
      </c>
      <c r="I652">
        <v>367.2527</v>
      </c>
      <c r="J652">
        <v>-355.86450000000002</v>
      </c>
      <c r="K652">
        <v>1.109912</v>
      </c>
      <c r="L652">
        <v>367.05669999999998</v>
      </c>
      <c r="M652">
        <v>0.99992530000000002</v>
      </c>
      <c r="N652">
        <v>-1.182687E-2</v>
      </c>
      <c r="O652">
        <v>-3.1112589999999999E-3</v>
      </c>
      <c r="P652">
        <v>0.98648230000000003</v>
      </c>
      <c r="Q652">
        <v>0.1531525</v>
      </c>
      <c r="R652">
        <v>5.8287409999999998E-2</v>
      </c>
      <c r="S652">
        <v>3.0501399999999999</v>
      </c>
      <c r="T652">
        <v>-6.2644000000000005E-2</v>
      </c>
      <c r="U652">
        <v>1.055908E-2</v>
      </c>
      <c r="V652">
        <v>-6.1354409999999998E-2</v>
      </c>
      <c r="W652">
        <v>0.1648076</v>
      </c>
      <c r="X652">
        <v>0.98441559999999995</v>
      </c>
      <c r="Y652">
        <v>-6.570953E-3</v>
      </c>
      <c r="Z652">
        <v>1.334312E-4</v>
      </c>
      <c r="AA652">
        <v>0.99997840000000005</v>
      </c>
      <c r="AB652">
        <v>32</v>
      </c>
      <c r="AC652">
        <v>56.321399999999997</v>
      </c>
      <c r="AD652">
        <v>-1.1599120000000001</v>
      </c>
      <c r="AE652">
        <v>0.19600000000002599</v>
      </c>
      <c r="AF652">
        <v>-0.37108436864246702</v>
      </c>
      <c r="AG652">
        <v>-1.1599120000000001</v>
      </c>
      <c r="AH652">
        <v>56.296640481936201</v>
      </c>
      <c r="AI652">
        <v>91.180305200187902</v>
      </c>
      <c r="AJ652">
        <v>90.377664813758003</v>
      </c>
      <c r="AK652">
        <v>56.309811125671303</v>
      </c>
      <c r="AL652">
        <v>80.513942167280902</v>
      </c>
      <c r="AM652">
        <v>93.566387552006702</v>
      </c>
      <c r="AN652">
        <v>0.99999999108378301</v>
      </c>
    </row>
    <row r="653" spans="1:40" x14ac:dyDescent="0.25">
      <c r="A653" t="str">
        <f>"20190304155608769"</f>
        <v>20190304155608769</v>
      </c>
      <c r="B653" t="str">
        <f>"1551686168765298"</f>
        <v>1551686168765298</v>
      </c>
      <c r="C653" t="s">
        <v>40</v>
      </c>
      <c r="D653">
        <v>4.1678850000000001</v>
      </c>
      <c r="E653">
        <v>0.52000970000000002</v>
      </c>
      <c r="F653" t="s">
        <v>44</v>
      </c>
      <c r="G653">
        <v>-299.06650000000002</v>
      </c>
      <c r="H653">
        <v>-0.05</v>
      </c>
      <c r="I653">
        <v>367.23</v>
      </c>
      <c r="J653">
        <v>-355.71600000000001</v>
      </c>
      <c r="K653">
        <v>1.10992</v>
      </c>
      <c r="L653">
        <v>367.05619999999999</v>
      </c>
      <c r="M653">
        <v>0.99992530000000002</v>
      </c>
      <c r="N653">
        <v>-1.1827499999999999E-2</v>
      </c>
      <c r="O653">
        <v>-3.1055430000000001E-3</v>
      </c>
      <c r="P653">
        <v>0.98643460000000005</v>
      </c>
      <c r="Q653">
        <v>0.15345839999999999</v>
      </c>
      <c r="R653">
        <v>5.8286339999999999E-2</v>
      </c>
      <c r="S653">
        <v>3.0502319999999998</v>
      </c>
      <c r="T653">
        <v>-6.2290909999999998E-2</v>
      </c>
      <c r="U653">
        <v>9.3078610000000006E-3</v>
      </c>
      <c r="V653">
        <v>-6.1347470000000001E-2</v>
      </c>
      <c r="W653">
        <v>0.16511329999999999</v>
      </c>
      <c r="X653">
        <v>0.98436480000000004</v>
      </c>
      <c r="Y653">
        <v>-6.1551009999999996E-3</v>
      </c>
      <c r="Z653">
        <v>1.2593249999999999E-4</v>
      </c>
      <c r="AA653">
        <v>0.99998100000000001</v>
      </c>
      <c r="AB653">
        <v>32</v>
      </c>
      <c r="AC653">
        <v>56.649499999999897</v>
      </c>
      <c r="AD653">
        <v>-1.1599200000000001</v>
      </c>
      <c r="AE653">
        <v>0.17380000000002799</v>
      </c>
      <c r="AF653">
        <v>-0.34959235206008199</v>
      </c>
      <c r="AG653">
        <v>-1.1599200000000001</v>
      </c>
      <c r="AH653">
        <v>56.624947719733399</v>
      </c>
      <c r="AI653">
        <v>91.173475016727906</v>
      </c>
      <c r="AJ653">
        <v>90.353729453978204</v>
      </c>
      <c r="AK653">
        <v>56.6379054475142</v>
      </c>
      <c r="AL653">
        <v>80.496183515443406</v>
      </c>
      <c r="AM653">
        <v>93.566168741612699</v>
      </c>
      <c r="AN653">
        <v>0.99999998669566503</v>
      </c>
    </row>
    <row r="654" spans="1:40" x14ac:dyDescent="0.25">
      <c r="A654" t="str">
        <f>"20190304155608780"</f>
        <v>20190304155608780</v>
      </c>
      <c r="B654" t="str">
        <f>"1551686168775058"</f>
        <v>1551686168775058</v>
      </c>
      <c r="C654" t="s">
        <v>40</v>
      </c>
      <c r="D654">
        <v>4.2092330000000002</v>
      </c>
      <c r="E654">
        <v>0.52014300000000002</v>
      </c>
      <c r="F654" t="s">
        <v>44</v>
      </c>
      <c r="G654">
        <v>-297.9522</v>
      </c>
      <c r="H654">
        <v>-0.05</v>
      </c>
      <c r="I654">
        <v>367.21800000000002</v>
      </c>
      <c r="J654">
        <v>-355.55579999999998</v>
      </c>
      <c r="K654">
        <v>1.1099239999999999</v>
      </c>
      <c r="L654">
        <v>367.05579999999998</v>
      </c>
      <c r="M654">
        <v>0.99992530000000002</v>
      </c>
      <c r="N654">
        <v>-1.1828180000000001E-2</v>
      </c>
      <c r="O654">
        <v>-3.0993499999999998E-3</v>
      </c>
      <c r="P654">
        <v>0.98633979999999999</v>
      </c>
      <c r="Q654">
        <v>0.15411159999999999</v>
      </c>
      <c r="R654">
        <v>5.8167480000000001E-2</v>
      </c>
      <c r="S654">
        <v>3.0502929999999999</v>
      </c>
      <c r="T654">
        <v>-6.1251159999999999E-2</v>
      </c>
      <c r="U654">
        <v>8.5449219999999999E-3</v>
      </c>
      <c r="V654">
        <v>-6.1221909999999997E-2</v>
      </c>
      <c r="W654">
        <v>0.16576649999999901</v>
      </c>
      <c r="X654">
        <v>0.98426279999999999</v>
      </c>
      <c r="Y654">
        <v>-5.8988799999999996E-3</v>
      </c>
      <c r="Z654">
        <v>1.196838E-4</v>
      </c>
      <c r="AA654">
        <v>0.99998260000000005</v>
      </c>
      <c r="AB654">
        <v>32</v>
      </c>
      <c r="AC654">
        <v>57.603599999999901</v>
      </c>
      <c r="AD654">
        <v>-1.159924</v>
      </c>
      <c r="AE654">
        <v>0.16220000000004101</v>
      </c>
      <c r="AF654">
        <v>-0.34060731299042302</v>
      </c>
      <c r="AG654">
        <v>-1.159924</v>
      </c>
      <c r="AH654">
        <v>57.5794739189271</v>
      </c>
      <c r="AI654">
        <v>91.154032769959002</v>
      </c>
      <c r="AJ654">
        <v>90.338925185539793</v>
      </c>
      <c r="AK654">
        <v>57.592163128396599</v>
      </c>
      <c r="AL654">
        <v>80.458234690546803</v>
      </c>
      <c r="AM654">
        <v>93.559256497284906</v>
      </c>
      <c r="AN654">
        <v>0.99999995712506795</v>
      </c>
    </row>
    <row r="655" spans="1:40" x14ac:dyDescent="0.25">
      <c r="A655" t="str">
        <f>"20190304155608792"</f>
        <v>20190304155608792</v>
      </c>
      <c r="B655" t="str">
        <f>"1551686168785793"</f>
        <v>1551686168785793</v>
      </c>
      <c r="C655" t="s">
        <v>40</v>
      </c>
      <c r="D655">
        <v>4.1922329999999999</v>
      </c>
      <c r="E655">
        <v>0.5202504</v>
      </c>
      <c r="F655" t="s">
        <v>44</v>
      </c>
      <c r="G655">
        <v>-295.44600000000003</v>
      </c>
      <c r="H655">
        <v>-0.05</v>
      </c>
      <c r="I655">
        <v>367.19170000000003</v>
      </c>
      <c r="J655">
        <v>-355.39370000000002</v>
      </c>
      <c r="K655">
        <v>1.1099270000000001</v>
      </c>
      <c r="L655">
        <v>367.05529999999999</v>
      </c>
      <c r="M655">
        <v>0.99992530000000002</v>
      </c>
      <c r="N655">
        <v>-1.182887E-2</v>
      </c>
      <c r="O655">
        <v>-3.0932759999999998E-3</v>
      </c>
      <c r="P655">
        <v>0.98622200000000004</v>
      </c>
      <c r="Q655">
        <v>0.1548744</v>
      </c>
      <c r="R655">
        <v>5.8140409999999997E-2</v>
      </c>
      <c r="S655">
        <v>3.050354</v>
      </c>
      <c r="T655">
        <v>-5.886197E-2</v>
      </c>
      <c r="U655">
        <v>6.8969729999999998E-3</v>
      </c>
      <c r="V655">
        <v>-6.1188609999999997E-2</v>
      </c>
      <c r="W655">
        <v>0.16652819999999999</v>
      </c>
      <c r="X655">
        <v>0.98413629999999996</v>
      </c>
      <c r="Y655">
        <v>-5.3528150000000004E-3</v>
      </c>
      <c r="Z655">
        <v>1.064006E-4</v>
      </c>
      <c r="AA655">
        <v>0.99998569999999998</v>
      </c>
      <c r="AB655">
        <v>32</v>
      </c>
      <c r="AC655">
        <v>59.947699999999998</v>
      </c>
      <c r="AD655">
        <v>-1.1599269999999999</v>
      </c>
      <c r="AE655">
        <v>0.13640000000003699</v>
      </c>
      <c r="AF655">
        <v>-0.32172664627436898</v>
      </c>
      <c r="AG655">
        <v>-1.1599269999999999</v>
      </c>
      <c r="AH655">
        <v>59.924556579771398</v>
      </c>
      <c r="AI655">
        <v>91.108888738529501</v>
      </c>
      <c r="AJ655">
        <v>90.307610150656203</v>
      </c>
      <c r="AK655">
        <v>59.936645050940903</v>
      </c>
      <c r="AL655">
        <v>80.413977502432999</v>
      </c>
      <c r="AM655">
        <v>93.557781589811299</v>
      </c>
      <c r="AN655">
        <v>0.99999997218333003</v>
      </c>
    </row>
    <row r="656" spans="1:40" x14ac:dyDescent="0.25">
      <c r="A656" t="str">
        <f>"20190304155608803"</f>
        <v>20190304155608803</v>
      </c>
      <c r="B656" t="str">
        <f>"1551686168795554"</f>
        <v>1551686168795554</v>
      </c>
      <c r="C656" t="s">
        <v>40</v>
      </c>
      <c r="D656">
        <v>4.1409750000000001</v>
      </c>
      <c r="E656">
        <v>0.5200359</v>
      </c>
      <c r="F656" t="s">
        <v>44</v>
      </c>
      <c r="G656">
        <v>-292.48289999999997</v>
      </c>
      <c r="H656">
        <v>-0.05</v>
      </c>
      <c r="I656">
        <v>367.17169999999999</v>
      </c>
      <c r="J656">
        <v>-355.2346</v>
      </c>
      <c r="K656">
        <v>1.1099319999999999</v>
      </c>
      <c r="L656">
        <v>367.0548</v>
      </c>
      <c r="M656">
        <v>0.99992530000000002</v>
      </c>
      <c r="N656">
        <v>-1.1829539999999999E-2</v>
      </c>
      <c r="O656">
        <v>-3.0873200000000002E-3</v>
      </c>
      <c r="P656">
        <v>0.98610019999999998</v>
      </c>
      <c r="Q656">
        <v>0.15569129999999901</v>
      </c>
      <c r="R656">
        <v>5.8020719999999998E-2</v>
      </c>
      <c r="S656">
        <v>3.050446</v>
      </c>
      <c r="T656">
        <v>-5.6243059999999998E-2</v>
      </c>
      <c r="U656">
        <v>5.6457520000000004E-3</v>
      </c>
      <c r="V656">
        <v>-6.1062249999999998E-2</v>
      </c>
      <c r="W656">
        <v>0.1673444</v>
      </c>
      <c r="X656">
        <v>0.98400569999999998</v>
      </c>
      <c r="Y656">
        <v>-4.9368709999999998E-3</v>
      </c>
      <c r="Z656" s="1">
        <v>9.5110119999999902E-5</v>
      </c>
      <c r="AA656">
        <v>0.99998779999999998</v>
      </c>
      <c r="AB656">
        <v>32</v>
      </c>
      <c r="AC656">
        <v>62.7517</v>
      </c>
      <c r="AD656">
        <v>-1.159932</v>
      </c>
      <c r="AE656">
        <v>0.116899999999986</v>
      </c>
      <c r="AF656">
        <v>-0.31054146670606603</v>
      </c>
      <c r="AG656">
        <v>-1.159932</v>
      </c>
      <c r="AH656">
        <v>62.7296068574489</v>
      </c>
      <c r="AI656">
        <v>91.059321498014398</v>
      </c>
      <c r="AJ656">
        <v>90.283639113164298</v>
      </c>
      <c r="AK656">
        <v>62.741098609581798</v>
      </c>
      <c r="AL656">
        <v>80.366547222863204</v>
      </c>
      <c r="AM656">
        <v>93.550923283571294</v>
      </c>
      <c r="AN656">
        <v>0.99999998210945595</v>
      </c>
    </row>
    <row r="657" spans="1:40" x14ac:dyDescent="0.25">
      <c r="A657" t="str">
        <f>"20190304155608815"</f>
        <v>20190304155608815</v>
      </c>
      <c r="B657" t="str">
        <f>"1551686168805313"</f>
        <v>1551686168805313</v>
      </c>
      <c r="C657" t="s">
        <v>40</v>
      </c>
      <c r="D657">
        <v>4.1869709999999998</v>
      </c>
      <c r="E657">
        <v>0.52012209999999903</v>
      </c>
      <c r="F657" t="s">
        <v>44</v>
      </c>
      <c r="G657">
        <v>-292.99939999999998</v>
      </c>
      <c r="H657">
        <v>-0.05</v>
      </c>
      <c r="I657">
        <v>367.19920000000002</v>
      </c>
      <c r="J657">
        <v>-355.07530000000003</v>
      </c>
      <c r="K657">
        <v>1.1099330000000001</v>
      </c>
      <c r="L657">
        <v>367.05430000000001</v>
      </c>
      <c r="M657">
        <v>0.99992519999999996</v>
      </c>
      <c r="N657">
        <v>-1.1830230000000001E-2</v>
      </c>
      <c r="O657">
        <v>-3.081482E-3</v>
      </c>
      <c r="P657">
        <v>0.98599919999999996</v>
      </c>
      <c r="Q657">
        <v>0.1565647</v>
      </c>
      <c r="R657">
        <v>5.7385110000000003E-2</v>
      </c>
      <c r="S657">
        <v>3.0508120000000001</v>
      </c>
      <c r="T657">
        <v>-5.6860569999999999E-2</v>
      </c>
      <c r="U657">
        <v>7.0800780000000001E-3</v>
      </c>
      <c r="V657">
        <v>-6.0420639999999998E-2</v>
      </c>
      <c r="W657">
        <v>0.16821729999999999</v>
      </c>
      <c r="X657">
        <v>0.98389649999999995</v>
      </c>
      <c r="Y657">
        <v>-5.4007869999999998E-3</v>
      </c>
      <c r="Z657">
        <v>1.0324949999999999E-4</v>
      </c>
      <c r="AA657">
        <v>0.99998540000000002</v>
      </c>
      <c r="AB657">
        <v>32</v>
      </c>
      <c r="AC657">
        <v>62.075899999999997</v>
      </c>
      <c r="AD657">
        <v>-1.1599330000000001</v>
      </c>
      <c r="AE657">
        <v>0.144900000000006</v>
      </c>
      <c r="AF657">
        <v>-0.33608113712947302</v>
      </c>
      <c r="AG657">
        <v>-1.1599330000000001</v>
      </c>
      <c r="AH657">
        <v>62.053492454556903</v>
      </c>
      <c r="AI657">
        <v>91.070859182537802</v>
      </c>
      <c r="AJ657">
        <v>90.310310374071605</v>
      </c>
      <c r="AK657">
        <v>62.065242454234998</v>
      </c>
      <c r="AL657">
        <v>80.315814917418507</v>
      </c>
      <c r="AM657">
        <v>93.514095021089105</v>
      </c>
      <c r="AN657">
        <v>1.0000000182347699</v>
      </c>
    </row>
    <row r="658" spans="1:40" x14ac:dyDescent="0.25">
      <c r="A658" t="str">
        <f>"20190304155608829"</f>
        <v>20190304155608829</v>
      </c>
      <c r="B658" t="str">
        <f>"1551686168825404"</f>
        <v>1551686168825404</v>
      </c>
      <c r="C658" t="s">
        <v>40</v>
      </c>
      <c r="D658">
        <v>4.2049570000000003</v>
      </c>
      <c r="E658">
        <v>0.52071199999999995</v>
      </c>
      <c r="F658" t="s">
        <v>44</v>
      </c>
      <c r="G658">
        <v>-290.5204</v>
      </c>
      <c r="H658">
        <v>-0.05</v>
      </c>
      <c r="I658">
        <v>367.14150000000001</v>
      </c>
      <c r="J658">
        <v>-354.87369999999999</v>
      </c>
      <c r="K658">
        <v>1.109937</v>
      </c>
      <c r="L658">
        <v>367.05369999999999</v>
      </c>
      <c r="M658">
        <v>0.99992530000000002</v>
      </c>
      <c r="N658">
        <v>-1.1831090000000001E-2</v>
      </c>
      <c r="O658">
        <v>-3.073976E-3</v>
      </c>
      <c r="P658">
        <v>0.9859658</v>
      </c>
      <c r="Q658">
        <v>0.15691240000000001</v>
      </c>
      <c r="R658">
        <v>5.7007200000000001E-2</v>
      </c>
      <c r="S658">
        <v>3.0510250000000001</v>
      </c>
      <c r="T658">
        <v>-5.4821370000000001E-2</v>
      </c>
      <c r="U658">
        <v>4.1198729999999996E-3</v>
      </c>
      <c r="V658">
        <v>-6.003559E-2</v>
      </c>
      <c r="W658">
        <v>0.1685652</v>
      </c>
      <c r="X658">
        <v>0.98386050000000003</v>
      </c>
      <c r="Y658">
        <v>-4.4232630000000002E-3</v>
      </c>
      <c r="Z658" s="1">
        <v>8.4766680000000001E-5</v>
      </c>
      <c r="AA658">
        <v>0.99999020000000005</v>
      </c>
      <c r="AB658">
        <v>32</v>
      </c>
      <c r="AC658">
        <v>64.353299999999905</v>
      </c>
      <c r="AD658">
        <v>-1.159937</v>
      </c>
      <c r="AE658">
        <v>8.7800000000015602E-2</v>
      </c>
      <c r="AF658">
        <v>-0.28554116096003801</v>
      </c>
      <c r="AG658">
        <v>-1.159937</v>
      </c>
      <c r="AH658">
        <v>64.331825709076298</v>
      </c>
      <c r="AI658">
        <v>91.032951246835395</v>
      </c>
      <c r="AJ658">
        <v>90.254309523843702</v>
      </c>
      <c r="AK658">
        <v>64.342915590308294</v>
      </c>
      <c r="AL658">
        <v>80.295592685132206</v>
      </c>
      <c r="AM658">
        <v>93.491883352404301</v>
      </c>
      <c r="AN658">
        <v>0.99999999108896898</v>
      </c>
    </row>
    <row r="659" spans="1:40" x14ac:dyDescent="0.25">
      <c r="A659" t="str">
        <f>"20190304155608848"</f>
        <v>20190304155608848</v>
      </c>
      <c r="B659" t="str">
        <f>"1551686168845900"</f>
        <v>1551686168845900</v>
      </c>
      <c r="C659" t="s">
        <v>40</v>
      </c>
      <c r="D659">
        <v>4.2184150000000002</v>
      </c>
      <c r="E659">
        <v>0.52107559999999997</v>
      </c>
      <c r="F659" t="s">
        <v>44</v>
      </c>
      <c r="G659">
        <v>-287.0994</v>
      </c>
      <c r="H659">
        <v>-0.05</v>
      </c>
      <c r="I659">
        <v>367.00819999999999</v>
      </c>
      <c r="J659">
        <v>-354.59410000000003</v>
      </c>
      <c r="K659">
        <v>1.109936</v>
      </c>
      <c r="L659">
        <v>367.05279999999999</v>
      </c>
      <c r="M659">
        <v>0.99992539999999996</v>
      </c>
      <c r="N659">
        <v>-1.1832270000000001E-2</v>
      </c>
      <c r="O659">
        <v>-3.06456E-3</v>
      </c>
      <c r="P659">
        <v>0.98605160000000003</v>
      </c>
      <c r="Q659">
        <v>0.1567887</v>
      </c>
      <c r="R659">
        <v>5.5852390000000002E-2</v>
      </c>
      <c r="S659">
        <v>3.0510860000000002</v>
      </c>
      <c r="T659">
        <v>-5.2218439999999998E-2</v>
      </c>
      <c r="U659">
        <v>-2.0446779999999999E-3</v>
      </c>
      <c r="V659">
        <v>-5.887191E-2</v>
      </c>
      <c r="W659">
        <v>0.16844389999999901</v>
      </c>
      <c r="X659">
        <v>0.98395160000000004</v>
      </c>
      <c r="Y659">
        <v>-2.393994E-3</v>
      </c>
      <c r="Z659" s="1">
        <v>5.0834110000000002E-5</v>
      </c>
      <c r="AA659">
        <v>0.99999709999999997</v>
      </c>
      <c r="AB659">
        <v>32</v>
      </c>
      <c r="AC659">
        <v>67.494699999999995</v>
      </c>
      <c r="AD659">
        <v>-1.1599360000000001</v>
      </c>
      <c r="AE659">
        <v>-4.4600000000002603E-2</v>
      </c>
      <c r="AF659">
        <v>-0.162208320039639</v>
      </c>
      <c r="AG659">
        <v>-1.1599360000000001</v>
      </c>
      <c r="AH659">
        <v>67.474591471957496</v>
      </c>
      <c r="AI659">
        <v>90.984855162899393</v>
      </c>
      <c r="AJ659">
        <v>90.1377382809425</v>
      </c>
      <c r="AK659">
        <v>67.484755740617103</v>
      </c>
      <c r="AL659">
        <v>80.302643572589702</v>
      </c>
      <c r="AM659">
        <v>93.424045942485293</v>
      </c>
      <c r="AN659">
        <v>1.0000000001884</v>
      </c>
    </row>
    <row r="660" spans="1:40" x14ac:dyDescent="0.25">
      <c r="A660" t="str">
        <f>"20190304155608862"</f>
        <v>20190304155608862</v>
      </c>
      <c r="B660" t="str">
        <f>"1551686168855661"</f>
        <v>1551686168855661</v>
      </c>
      <c r="C660" t="s">
        <v>40</v>
      </c>
      <c r="D660">
        <v>4.0682419999999997</v>
      </c>
      <c r="E660">
        <v>0.54818029999999995</v>
      </c>
      <c r="F660" t="s">
        <v>44</v>
      </c>
      <c r="G660">
        <v>-286.18849999999998</v>
      </c>
      <c r="H660">
        <v>-0.05</v>
      </c>
      <c r="I660">
        <v>366.84550000000002</v>
      </c>
      <c r="J660">
        <v>-354.39800000000002</v>
      </c>
      <c r="K660">
        <v>1.1099380000000001</v>
      </c>
      <c r="L660">
        <v>367.05220000000003</v>
      </c>
      <c r="M660">
        <v>0.99992550000000002</v>
      </c>
      <c r="N660">
        <v>-1.1833079999999999E-2</v>
      </c>
      <c r="O660">
        <v>-3.0584890000000002E-3</v>
      </c>
      <c r="P660">
        <v>0.98604380000000003</v>
      </c>
      <c r="Q660">
        <v>0.15699830000000001</v>
      </c>
      <c r="R660">
        <v>5.5402920000000001E-2</v>
      </c>
      <c r="S660">
        <v>3.0511780000000002</v>
      </c>
      <c r="T660">
        <v>-5.1738020000000003E-2</v>
      </c>
      <c r="U660">
        <v>-9.2468259999999997E-3</v>
      </c>
      <c r="V660">
        <v>-5.8416549999999998E-2</v>
      </c>
      <c r="W660">
        <v>0.168654</v>
      </c>
      <c r="X660">
        <v>0.98394269999999995</v>
      </c>
      <c r="Y660" s="1">
        <v>-2.809382E-5</v>
      </c>
      <c r="Z660" s="1">
        <v>1.607063E-5</v>
      </c>
      <c r="AA660">
        <v>1</v>
      </c>
      <c r="AB660">
        <v>32</v>
      </c>
      <c r="AC660">
        <v>68.209500000000006</v>
      </c>
      <c r="AD660">
        <v>-1.1599379999999999</v>
      </c>
      <c r="AE660">
        <v>-0.20670000000001201</v>
      </c>
      <c r="AF660">
        <v>-1.9329806109396001E-3</v>
      </c>
      <c r="AG660">
        <v>-1.1599379999999999</v>
      </c>
      <c r="AH660">
        <v>68.190093605181403</v>
      </c>
      <c r="AI660">
        <v>90.974527814732298</v>
      </c>
      <c r="AJ660">
        <v>90.001624160123598</v>
      </c>
      <c r="AK660">
        <v>68.199958400160796</v>
      </c>
      <c r="AL660">
        <v>80.2904305249521</v>
      </c>
      <c r="AM660">
        <v>93.397654718949696</v>
      </c>
      <c r="AN660">
        <v>0.999999950956594</v>
      </c>
    </row>
    <row r="661" spans="1:40" x14ac:dyDescent="0.25">
      <c r="A661" t="str">
        <f>"20190304155608874"</f>
        <v>20190304155608874</v>
      </c>
      <c r="B661" t="str">
        <f>"1551686168865421"</f>
        <v>1551686168865421</v>
      </c>
      <c r="C661" t="s">
        <v>40</v>
      </c>
      <c r="D661">
        <v>4.0415369999999999</v>
      </c>
      <c r="E661">
        <v>0.54772200000000004</v>
      </c>
      <c r="F661" t="s">
        <v>43</v>
      </c>
      <c r="G661">
        <v>-158.78319999999999</v>
      </c>
      <c r="H661">
        <v>3.7963710000000002</v>
      </c>
      <c r="I661">
        <v>352.59449999999998</v>
      </c>
      <c r="J661">
        <v>-354.24509999999998</v>
      </c>
      <c r="K661">
        <v>1.109934</v>
      </c>
      <c r="L661">
        <v>367.05180000000001</v>
      </c>
      <c r="M661">
        <v>0.99992539999999996</v>
      </c>
      <c r="N661">
        <v>-1.1833710000000001E-2</v>
      </c>
      <c r="O661">
        <v>-3.0540879999999999E-3</v>
      </c>
      <c r="P661">
        <v>0.98606939999999998</v>
      </c>
      <c r="Q661">
        <v>0.15695479999999901</v>
      </c>
      <c r="R661">
        <v>5.5066339999999998E-2</v>
      </c>
      <c r="S661">
        <v>3.048492</v>
      </c>
      <c r="T661">
        <v>4.1867139999999997E-2</v>
      </c>
      <c r="U661">
        <v>-0.22531129999999999</v>
      </c>
      <c r="V661">
        <v>-5.8074939999999999E-2</v>
      </c>
      <c r="W661">
        <v>0.16861119999999999</v>
      </c>
      <c r="X661">
        <v>0.98397029999999996</v>
      </c>
      <c r="Y661">
        <v>7.0661810000000005E-2</v>
      </c>
      <c r="Z661" s="1">
        <v>-1.211604E-5</v>
      </c>
      <c r="AA661">
        <v>0.99750039999999995</v>
      </c>
      <c r="AB661">
        <v>32</v>
      </c>
      <c r="AC661">
        <v>195.46190000000001</v>
      </c>
      <c r="AD661">
        <v>2.6864370000000002</v>
      </c>
      <c r="AE661">
        <v>-14.4573</v>
      </c>
      <c r="AF661">
        <v>13.8576295245291</v>
      </c>
      <c r="AG661">
        <v>2.6864370000000002</v>
      </c>
      <c r="AH661">
        <v>195.46842240601001</v>
      </c>
      <c r="AI661">
        <v>89.214571193021399</v>
      </c>
      <c r="AJ661">
        <v>85.944830991056904</v>
      </c>
      <c r="AK661">
        <v>195.97743491965699</v>
      </c>
      <c r="AL661">
        <v>80.292918829065002</v>
      </c>
      <c r="AM661">
        <v>93.377737427815305</v>
      </c>
      <c r="AN661">
        <v>0.99999999335176704</v>
      </c>
    </row>
    <row r="662" spans="1:40" x14ac:dyDescent="0.25">
      <c r="A662" t="str">
        <f>"20190304155608884"</f>
        <v>20190304155608884</v>
      </c>
      <c r="B662" t="str">
        <f>"1551686168875181"</f>
        <v>1551686168875181</v>
      </c>
      <c r="C662" t="s">
        <v>40</v>
      </c>
      <c r="D662">
        <v>4.1757730000000004</v>
      </c>
      <c r="E662">
        <v>0.54749369999999997</v>
      </c>
      <c r="F662" t="s">
        <v>43</v>
      </c>
      <c r="G662">
        <v>-158.78319999999999</v>
      </c>
      <c r="H662">
        <v>3.0660759999999998</v>
      </c>
      <c r="I662">
        <v>352.74740000000003</v>
      </c>
      <c r="J662">
        <v>-354.08499999999998</v>
      </c>
      <c r="K662">
        <v>1.1099330000000001</v>
      </c>
      <c r="L662">
        <v>367.05130000000003</v>
      </c>
      <c r="M662">
        <v>0.99992539999999996</v>
      </c>
      <c r="N662">
        <v>-1.183437E-2</v>
      </c>
      <c r="O662">
        <v>-3.0500480000000001E-3</v>
      </c>
      <c r="P662">
        <v>0.98603399999999997</v>
      </c>
      <c r="Q662">
        <v>0.157394799999999</v>
      </c>
      <c r="R662">
        <v>5.4443430000000001E-2</v>
      </c>
      <c r="S662">
        <v>3.0499879999999999</v>
      </c>
      <c r="T662">
        <v>3.0524969999999998E-2</v>
      </c>
      <c r="U662">
        <v>-0.2232056</v>
      </c>
      <c r="V662">
        <v>-5.7447900000000003E-2</v>
      </c>
      <c r="W662">
        <v>0.16905209999999901</v>
      </c>
      <c r="X662">
        <v>0.98393149999999996</v>
      </c>
      <c r="Y662">
        <v>6.9946170000000002E-2</v>
      </c>
      <c r="Z662">
        <v>-1.3143780000000001E-4</v>
      </c>
      <c r="AA662">
        <v>0.99755079999999996</v>
      </c>
      <c r="AB662">
        <v>32</v>
      </c>
      <c r="AC662">
        <v>195.30179999999999</v>
      </c>
      <c r="AD662">
        <v>1.956143</v>
      </c>
      <c r="AE662">
        <v>-14.303900000000001</v>
      </c>
      <c r="AF662">
        <v>13.7067441955456</v>
      </c>
      <c r="AG662">
        <v>1.956143</v>
      </c>
      <c r="AH662">
        <v>195.32503156652299</v>
      </c>
      <c r="AI662">
        <v>89.427620346857495</v>
      </c>
      <c r="AJ662">
        <v>85.985904741059002</v>
      </c>
      <c r="AK662">
        <v>195.81514060036801</v>
      </c>
      <c r="AL662">
        <v>80.267289615069998</v>
      </c>
      <c r="AM662">
        <v>93.341482257065806</v>
      </c>
      <c r="AN662">
        <v>1.00000003521053</v>
      </c>
    </row>
    <row r="663" spans="1:40" x14ac:dyDescent="0.25">
      <c r="A663" t="str">
        <f>"20190304155608896"</f>
        <v>20190304155608896</v>
      </c>
      <c r="B663" t="str">
        <f>"1551686168885917"</f>
        <v>1551686168885917</v>
      </c>
      <c r="C663" t="s">
        <v>40</v>
      </c>
      <c r="D663">
        <v>4.2109620000000003</v>
      </c>
      <c r="E663">
        <v>0.54674840000000002</v>
      </c>
      <c r="F663" t="s">
        <v>43</v>
      </c>
      <c r="G663">
        <v>-158.78319999999999</v>
      </c>
      <c r="H663">
        <v>3.8552399999999998</v>
      </c>
      <c r="I663">
        <v>352.7319</v>
      </c>
      <c r="J663">
        <v>-353.92219999999998</v>
      </c>
      <c r="K663">
        <v>1.1099289999999999</v>
      </c>
      <c r="L663">
        <v>367.05079999999998</v>
      </c>
      <c r="M663">
        <v>0.99992530000000002</v>
      </c>
      <c r="N663">
        <v>-1.183504E-2</v>
      </c>
      <c r="O663">
        <v>-3.0464889999999999E-3</v>
      </c>
      <c r="P663">
        <v>0.98599340000000002</v>
      </c>
      <c r="Q663">
        <v>0.1578484</v>
      </c>
      <c r="R663">
        <v>5.386055E-2</v>
      </c>
      <c r="S663">
        <v>3.048035</v>
      </c>
      <c r="T663">
        <v>4.2846799999999997E-2</v>
      </c>
      <c r="U663">
        <v>-0.22348019999999999</v>
      </c>
      <c r="V663">
        <v>-5.6861149999999999E-2</v>
      </c>
      <c r="W663">
        <v>0.16950609999999999</v>
      </c>
      <c r="X663">
        <v>0.98388739999999997</v>
      </c>
      <c r="Y663">
        <v>7.0084240000000006E-2</v>
      </c>
      <c r="Z663" s="1">
        <v>-2.1596789999999999E-6</v>
      </c>
      <c r="AA663">
        <v>0.99754109999999996</v>
      </c>
      <c r="AB663">
        <v>32</v>
      </c>
      <c r="AC663">
        <v>195.13900000000001</v>
      </c>
      <c r="AD663">
        <v>2.7453110000000001</v>
      </c>
      <c r="AE663">
        <v>-14.3188999999999</v>
      </c>
      <c r="AF663">
        <v>13.7216018058754</v>
      </c>
      <c r="AG663">
        <v>2.7453110000000001</v>
      </c>
      <c r="AH663">
        <v>195.14330336203599</v>
      </c>
      <c r="AI663">
        <v>89.195990772336003</v>
      </c>
      <c r="AJ663">
        <v>85.977837946182106</v>
      </c>
      <c r="AK663">
        <v>195.64439152619099</v>
      </c>
      <c r="AL663">
        <v>80.240895708977902</v>
      </c>
      <c r="AM663">
        <v>93.307577758913297</v>
      </c>
      <c r="AN663">
        <v>0.99999996209764497</v>
      </c>
    </row>
    <row r="664" spans="1:40" x14ac:dyDescent="0.25">
      <c r="A664" t="str">
        <f>"20190304155608908"</f>
        <v>20190304155608908</v>
      </c>
      <c r="B664" t="str">
        <f>"1551686168905437"</f>
        <v>1551686168905437</v>
      </c>
      <c r="C664" t="s">
        <v>40</v>
      </c>
      <c r="D664">
        <v>4.212866</v>
      </c>
      <c r="E664">
        <v>0.54637440000000004</v>
      </c>
      <c r="F664" t="s">
        <v>43</v>
      </c>
      <c r="G664">
        <v>-169.2955</v>
      </c>
      <c r="H664">
        <v>3.6764790000000001</v>
      </c>
      <c r="I664">
        <v>353.7516</v>
      </c>
      <c r="J664">
        <v>-353.7482</v>
      </c>
      <c r="K664">
        <v>1.109931</v>
      </c>
      <c r="L664">
        <v>367.05029999999999</v>
      </c>
      <c r="M664">
        <v>0.99992539999999996</v>
      </c>
      <c r="N664">
        <v>-1.1835770000000001E-2</v>
      </c>
      <c r="O664">
        <v>-3.0431719999999998E-3</v>
      </c>
      <c r="P664">
        <v>0.98603030000000003</v>
      </c>
      <c r="Q664">
        <v>0.157615899999999</v>
      </c>
      <c r="R664">
        <v>5.3867030000000003E-2</v>
      </c>
      <c r="S664">
        <v>3.0478209999999999</v>
      </c>
      <c r="T664">
        <v>4.2370079999999997E-2</v>
      </c>
      <c r="U664">
        <v>-0.2195435</v>
      </c>
      <c r="V664">
        <v>-5.6864390000000001E-2</v>
      </c>
      <c r="W664">
        <v>0.16927439999999999</v>
      </c>
      <c r="X664">
        <v>0.98392710000000005</v>
      </c>
      <c r="Y664">
        <v>6.8810940000000001E-2</v>
      </c>
      <c r="Z664" s="1">
        <v>-8.3227639999999992E-6</v>
      </c>
      <c r="AA664">
        <v>0.99762969999999895</v>
      </c>
      <c r="AB664">
        <v>32</v>
      </c>
      <c r="AC664">
        <v>184.45269999999999</v>
      </c>
      <c r="AD664">
        <v>2.5665480000000001</v>
      </c>
      <c r="AE664">
        <v>-13.298699999999901</v>
      </c>
      <c r="AF664">
        <v>12.7348249976815</v>
      </c>
      <c r="AG664">
        <v>2.5665480000000001</v>
      </c>
      <c r="AH664">
        <v>184.45679076482</v>
      </c>
      <c r="AI664">
        <v>89.204725756786999</v>
      </c>
      <c r="AJ664">
        <v>86.050588654372802</v>
      </c>
      <c r="AK664">
        <v>184.91368417619699</v>
      </c>
      <c r="AL664">
        <v>80.254365773822002</v>
      </c>
      <c r="AM664">
        <v>93.307632642109098</v>
      </c>
      <c r="AN664">
        <v>0.99999995972991995</v>
      </c>
    </row>
    <row r="665" spans="1:40" x14ac:dyDescent="0.25">
      <c r="A665" t="str">
        <f>"20190304155608924"</f>
        <v>20190304155608924</v>
      </c>
      <c r="B665" t="str">
        <f>"1551686168915196"</f>
        <v>1551686168915196</v>
      </c>
      <c r="C665" t="s">
        <v>40</v>
      </c>
      <c r="D665">
        <v>4.1684929999999998</v>
      </c>
      <c r="E665">
        <v>0.54643379999999997</v>
      </c>
      <c r="F665" t="s">
        <v>43</v>
      </c>
      <c r="G665">
        <v>-169.2955</v>
      </c>
      <c r="H665">
        <v>3.8279529999999999</v>
      </c>
      <c r="I665">
        <v>353.93610000000001</v>
      </c>
      <c r="J665">
        <v>-353.51069999999999</v>
      </c>
      <c r="K665">
        <v>1.1099300000000001</v>
      </c>
      <c r="L665">
        <v>367.04950000000002</v>
      </c>
      <c r="M665">
        <v>0.99992539999999996</v>
      </c>
      <c r="N665">
        <v>-1.183672E-2</v>
      </c>
      <c r="O665">
        <v>-3.0399839999999999E-3</v>
      </c>
      <c r="P665">
        <v>0.98607769999999995</v>
      </c>
      <c r="Q665">
        <v>0.15741769999999999</v>
      </c>
      <c r="R665">
        <v>5.3577479999999997E-2</v>
      </c>
      <c r="S665">
        <v>3.0471189999999999</v>
      </c>
      <c r="T665">
        <v>4.4902560000000001E-2</v>
      </c>
      <c r="U665">
        <v>-0.21664430000000001</v>
      </c>
      <c r="V665">
        <v>-5.657073E-2</v>
      </c>
      <c r="W665">
        <v>0.1690779</v>
      </c>
      <c r="X665">
        <v>0.98397789999999996</v>
      </c>
      <c r="Y665">
        <v>6.7885819999999999E-2</v>
      </c>
      <c r="Z665" s="1">
        <v>1.6556179999999899E-5</v>
      </c>
      <c r="AA665">
        <v>0.9976931</v>
      </c>
      <c r="AB665">
        <v>32</v>
      </c>
      <c r="AC665">
        <v>184.21520000000001</v>
      </c>
      <c r="AD665">
        <v>2.7180230000000001</v>
      </c>
      <c r="AE665">
        <v>-13.1134</v>
      </c>
      <c r="AF665">
        <v>12.550570481006799</v>
      </c>
      <c r="AG665">
        <v>2.7180230000000001</v>
      </c>
      <c r="AH665">
        <v>184.21431500367001</v>
      </c>
      <c r="AI665">
        <v>89.156635317793999</v>
      </c>
      <c r="AJ665">
        <v>86.102446261188007</v>
      </c>
      <c r="AK665">
        <v>184.66136120125</v>
      </c>
      <c r="AL665">
        <v>80.265789897286297</v>
      </c>
      <c r="AM665">
        <v>93.290419434645202</v>
      </c>
      <c r="AN665">
        <v>1.00000004572477</v>
      </c>
    </row>
    <row r="666" spans="1:40" x14ac:dyDescent="0.25">
      <c r="A666" t="str">
        <f>"20190304155608936"</f>
        <v>20190304155608936</v>
      </c>
      <c r="B666" t="str">
        <f>"1551686168925932"</f>
        <v>1551686168925932</v>
      </c>
      <c r="C666" t="s">
        <v>40</v>
      </c>
      <c r="D666">
        <v>4.2400929999999999</v>
      </c>
      <c r="E666">
        <v>0.54604129999999995</v>
      </c>
      <c r="F666" t="s">
        <v>43</v>
      </c>
      <c r="G666">
        <v>-169.2955</v>
      </c>
      <c r="H666">
        <v>3.8999570000000001</v>
      </c>
      <c r="I666">
        <v>353.84769999999997</v>
      </c>
      <c r="J666">
        <v>-353.35469999999998</v>
      </c>
      <c r="K666">
        <v>1.1099270000000001</v>
      </c>
      <c r="L666">
        <v>367.04910000000001</v>
      </c>
      <c r="M666">
        <v>0.99992539999999996</v>
      </c>
      <c r="N666">
        <v>-1.183733E-2</v>
      </c>
      <c r="O666">
        <v>-3.0383329999999998E-3</v>
      </c>
      <c r="P666">
        <v>0.98605730000000003</v>
      </c>
      <c r="Q666">
        <v>0.1574701</v>
      </c>
      <c r="R666">
        <v>5.3797989999999997E-2</v>
      </c>
      <c r="S666">
        <v>3.0468440000000001</v>
      </c>
      <c r="T666">
        <v>4.6147349999999997E-2</v>
      </c>
      <c r="U666">
        <v>-0.2183533</v>
      </c>
      <c r="V666">
        <v>-5.6788859999999997E-2</v>
      </c>
      <c r="W666">
        <v>0.16913110000000001</v>
      </c>
      <c r="X666">
        <v>0.98395619999999995</v>
      </c>
      <c r="Y666">
        <v>6.8450360000000002E-2</v>
      </c>
      <c r="Z666" s="1">
        <v>3.0132829999999999E-5</v>
      </c>
      <c r="AA666">
        <v>0.9976545</v>
      </c>
      <c r="AB666">
        <v>32</v>
      </c>
      <c r="AC666">
        <v>184.0592</v>
      </c>
      <c r="AD666">
        <v>2.7900299999999998</v>
      </c>
      <c r="AE666">
        <v>-13.2014</v>
      </c>
      <c r="AF666">
        <v>12.6391774727797</v>
      </c>
      <c r="AG666">
        <v>2.7900299999999998</v>
      </c>
      <c r="AH666">
        <v>184.05638826568801</v>
      </c>
      <c r="AI666">
        <v>89.133585055234704</v>
      </c>
      <c r="AJ666">
        <v>86.071658016175505</v>
      </c>
      <c r="AK666">
        <v>184.51094042359401</v>
      </c>
      <c r="AL666">
        <v>80.262697298702804</v>
      </c>
      <c r="AM666">
        <v>93.303151545929893</v>
      </c>
      <c r="AN666">
        <v>1.0000000535628699</v>
      </c>
    </row>
    <row r="667" spans="1:40" x14ac:dyDescent="0.25">
      <c r="A667" t="str">
        <f>"20190304155608947"</f>
        <v>20190304155608947</v>
      </c>
      <c r="B667" t="str">
        <f>"1551686168945453"</f>
        <v>1551686168945453</v>
      </c>
      <c r="C667" t="s">
        <v>40</v>
      </c>
      <c r="D667">
        <v>4.0826840000000004</v>
      </c>
      <c r="E667">
        <v>0.54584480000000002</v>
      </c>
      <c r="F667" t="s">
        <v>43</v>
      </c>
      <c r="G667">
        <v>-169.2955</v>
      </c>
      <c r="H667">
        <v>3.8637670000000002</v>
      </c>
      <c r="I667">
        <v>354.10180000000003</v>
      </c>
      <c r="J667">
        <v>-353.1902</v>
      </c>
      <c r="K667">
        <v>1.109928</v>
      </c>
      <c r="L667">
        <v>367.04860000000002</v>
      </c>
      <c r="M667">
        <v>0.99992539999999996</v>
      </c>
      <c r="N667">
        <v>-1.183797E-2</v>
      </c>
      <c r="O667">
        <v>-3.0368019999999999E-3</v>
      </c>
      <c r="P667">
        <v>0.98603090000000004</v>
      </c>
      <c r="Q667">
        <v>0.15767419999999999</v>
      </c>
      <c r="R667">
        <v>5.3688130000000001E-2</v>
      </c>
      <c r="S667">
        <v>3.0468440000000001</v>
      </c>
      <c r="T667">
        <v>4.5587419999999997E-2</v>
      </c>
      <c r="U667">
        <v>-0.21432499999999999</v>
      </c>
      <c r="V667">
        <v>-5.6677520000000002E-2</v>
      </c>
      <c r="W667">
        <v>0.1693355</v>
      </c>
      <c r="X667">
        <v>0.98392740000000001</v>
      </c>
      <c r="Y667">
        <v>6.7139550000000006E-2</v>
      </c>
      <c r="Z667" s="1">
        <v>2.244109E-5</v>
      </c>
      <c r="AA667">
        <v>0.99774359999999995</v>
      </c>
      <c r="AB667">
        <v>32</v>
      </c>
      <c r="AC667">
        <v>183.8947</v>
      </c>
      <c r="AD667">
        <v>2.7538390000000001</v>
      </c>
      <c r="AE667">
        <v>-12.9467999999999</v>
      </c>
      <c r="AF667">
        <v>12.3854856261603</v>
      </c>
      <c r="AG667">
        <v>2.7538390000000001</v>
      </c>
      <c r="AH667">
        <v>183.89213653917801</v>
      </c>
      <c r="AI667">
        <v>89.143982010248806</v>
      </c>
      <c r="AJ667">
        <v>86.146839433496893</v>
      </c>
      <c r="AK667">
        <v>184.32932963686901</v>
      </c>
      <c r="AL667">
        <v>80.250814027537899</v>
      </c>
      <c r="AM667">
        <v>93.296785981601801</v>
      </c>
      <c r="AN667">
        <v>0.99999999065218004</v>
      </c>
    </row>
    <row r="668" spans="1:40" x14ac:dyDescent="0.25">
      <c r="A668" t="str">
        <f>"20190304155608959"</f>
        <v>20190304155608959</v>
      </c>
      <c r="B668" t="str">
        <f>"1551686168955213"</f>
        <v>1551686168955213</v>
      </c>
      <c r="C668" t="s">
        <v>40</v>
      </c>
      <c r="D668">
        <v>4.1950079999999996</v>
      </c>
      <c r="E668">
        <v>0.54579230000000001</v>
      </c>
      <c r="F668" t="s">
        <v>43</v>
      </c>
      <c r="G668">
        <v>-169.2955</v>
      </c>
      <c r="H668">
        <v>3.5365190000000002</v>
      </c>
      <c r="I668">
        <v>354.17880000000002</v>
      </c>
      <c r="J668">
        <v>-353.04219999999998</v>
      </c>
      <c r="K668">
        <v>1.1099250000000001</v>
      </c>
      <c r="L668">
        <v>367.04809999999998</v>
      </c>
      <c r="M668">
        <v>0.99992539999999996</v>
      </c>
      <c r="N668">
        <v>-1.183854E-2</v>
      </c>
      <c r="O668">
        <v>-3.0362179999999998E-3</v>
      </c>
      <c r="P668">
        <v>0.98594590000000004</v>
      </c>
      <c r="Q668">
        <v>0.158108</v>
      </c>
      <c r="R668">
        <v>5.396869E-2</v>
      </c>
      <c r="S668">
        <v>3.0476380000000001</v>
      </c>
      <c r="T668">
        <v>4.0216679999999998E-2</v>
      </c>
      <c r="U668">
        <v>-0.21328739999999999</v>
      </c>
      <c r="V668">
        <v>-5.6956590000000001E-2</v>
      </c>
      <c r="W668">
        <v>0.1697688</v>
      </c>
      <c r="X668">
        <v>0.98383670000000001</v>
      </c>
      <c r="Y668">
        <v>6.6784739999999995E-2</v>
      </c>
      <c r="Z668" s="1">
        <v>-3.1640349999999999E-5</v>
      </c>
      <c r="AA668">
        <v>0.99776739999999997</v>
      </c>
      <c r="AB668">
        <v>32</v>
      </c>
      <c r="AC668">
        <v>183.7467</v>
      </c>
      <c r="AD668">
        <v>2.4265939999999899</v>
      </c>
      <c r="AE668">
        <v>-12.8692999999999</v>
      </c>
      <c r="AF668">
        <v>12.3091703020966</v>
      </c>
      <c r="AG668">
        <v>2.4265939999999899</v>
      </c>
      <c r="AH668">
        <v>183.75303893561701</v>
      </c>
      <c r="AI668">
        <v>89.245102724741102</v>
      </c>
      <c r="AJ668">
        <v>86.167620274499996</v>
      </c>
      <c r="AK668">
        <v>184.180844145208</v>
      </c>
      <c r="AL668">
        <v>80.225623867641204</v>
      </c>
      <c r="AM668">
        <v>93.313287441830099</v>
      </c>
      <c r="AN668">
        <v>1.0000000754323699</v>
      </c>
    </row>
    <row r="669" spans="1:40" x14ac:dyDescent="0.25">
      <c r="A669" t="str">
        <f>"20190304155608968"</f>
        <v>20190304155608968</v>
      </c>
      <c r="B669" t="str">
        <f>"1551686168964972"</f>
        <v>1551686168964972</v>
      </c>
      <c r="C669" t="s">
        <v>40</v>
      </c>
      <c r="D669">
        <v>4.2077830000000001</v>
      </c>
      <c r="E669">
        <v>0.54464539999999995</v>
      </c>
      <c r="F669" t="s">
        <v>43</v>
      </c>
      <c r="G669">
        <v>-169.2955</v>
      </c>
      <c r="H669">
        <v>3.6653090000000002</v>
      </c>
      <c r="I669">
        <v>354.26389999999998</v>
      </c>
      <c r="J669">
        <v>-352.88749999999999</v>
      </c>
      <c r="K669">
        <v>1.109934</v>
      </c>
      <c r="L669">
        <v>367.04759999999999</v>
      </c>
      <c r="M669">
        <v>0.99992539999999996</v>
      </c>
      <c r="N669">
        <v>-1.183913E-2</v>
      </c>
      <c r="O669">
        <v>-3.035397E-3</v>
      </c>
      <c r="P669">
        <v>0.98587910000000001</v>
      </c>
      <c r="Q669">
        <v>0.158416</v>
      </c>
      <c r="R669">
        <v>5.4286330000000001E-2</v>
      </c>
      <c r="S669">
        <v>3.047577</v>
      </c>
      <c r="T669">
        <v>4.2384390000000001E-2</v>
      </c>
      <c r="U669">
        <v>-0.21203610000000001</v>
      </c>
      <c r="V669">
        <v>-5.7273449999999997E-2</v>
      </c>
      <c r="W669">
        <v>0.17007700000000001</v>
      </c>
      <c r="X669">
        <v>0.983765</v>
      </c>
      <c r="Y669">
        <v>6.6378999999999994E-2</v>
      </c>
      <c r="Z669" s="1">
        <v>-1.04728399999999E-5</v>
      </c>
      <c r="AA669">
        <v>0.99779450000000003</v>
      </c>
      <c r="AB669">
        <v>32</v>
      </c>
      <c r="AC669">
        <v>183.59200000000001</v>
      </c>
      <c r="AD669">
        <v>2.5553750000000002</v>
      </c>
      <c r="AE669">
        <v>-12.7837</v>
      </c>
      <c r="AF669">
        <v>12.2239707355464</v>
      </c>
      <c r="AG669">
        <v>2.5553750000000002</v>
      </c>
      <c r="AH669">
        <v>183.59456386903699</v>
      </c>
      <c r="AI669">
        <v>89.204337234077201</v>
      </c>
      <c r="AJ669">
        <v>86.190792836475495</v>
      </c>
      <c r="AK669">
        <v>184.01880144212399</v>
      </c>
      <c r="AL669">
        <v>80.207704017640594</v>
      </c>
      <c r="AM669">
        <v>93.331920739037798</v>
      </c>
      <c r="AN669">
        <v>1.0000000046144499</v>
      </c>
    </row>
    <row r="670" spans="1:40" x14ac:dyDescent="0.25">
      <c r="A670" t="str">
        <f>"20190304155608982"</f>
        <v>20190304155608982</v>
      </c>
      <c r="B670" t="str">
        <f>"1551686168975713"</f>
        <v>1551686168975713</v>
      </c>
      <c r="C670" t="s">
        <v>40</v>
      </c>
      <c r="D670">
        <v>4.2211129999999999</v>
      </c>
      <c r="E670">
        <v>0.54364060000000003</v>
      </c>
      <c r="F670" t="s">
        <v>43</v>
      </c>
      <c r="G670">
        <v>-169.2955</v>
      </c>
      <c r="H670">
        <v>3.3092139999999999</v>
      </c>
      <c r="I670">
        <v>354.88150000000002</v>
      </c>
      <c r="J670">
        <v>-352.71449999999999</v>
      </c>
      <c r="K670">
        <v>1.109936</v>
      </c>
      <c r="L670">
        <v>367.04719999999998</v>
      </c>
      <c r="M670">
        <v>0.99992539999999996</v>
      </c>
      <c r="N670">
        <v>-1.1839789999999999E-2</v>
      </c>
      <c r="O670">
        <v>-3.0350490000000002E-3</v>
      </c>
      <c r="P670">
        <v>0.98579030000000001</v>
      </c>
      <c r="Q670">
        <v>0.15896579999999999</v>
      </c>
      <c r="R670">
        <v>5.4291550000000001E-2</v>
      </c>
      <c r="S670">
        <v>3.048187</v>
      </c>
      <c r="T670">
        <v>3.6516189999999997E-2</v>
      </c>
      <c r="U670">
        <v>-0.2019958</v>
      </c>
      <c r="V670">
        <v>-5.7277769999999999E-2</v>
      </c>
      <c r="W670">
        <v>0.17062629999999901</v>
      </c>
      <c r="X670">
        <v>0.98366960000000003</v>
      </c>
      <c r="Y670">
        <v>6.3094410000000004E-2</v>
      </c>
      <c r="Z670" s="1">
        <v>-6.8649419999999893E-5</v>
      </c>
      <c r="AA670">
        <v>0.99800750000000005</v>
      </c>
      <c r="AB670">
        <v>32</v>
      </c>
      <c r="AC670">
        <v>183.41900000000001</v>
      </c>
      <c r="AD670">
        <v>2.1992780000000001</v>
      </c>
      <c r="AE670">
        <v>-12.1656999999999</v>
      </c>
      <c r="AF670">
        <v>11.607257860919701</v>
      </c>
      <c r="AG670">
        <v>2.1992780000000001</v>
      </c>
      <c r="AH670">
        <v>183.42882492032101</v>
      </c>
      <c r="AI670">
        <v>89.314438105117105</v>
      </c>
      <c r="AJ670">
        <v>86.379187748847002</v>
      </c>
      <c r="AK670">
        <v>183.80886559255299</v>
      </c>
      <c r="AL670">
        <v>80.175764349411907</v>
      </c>
      <c r="AM670">
        <v>93.332493929899599</v>
      </c>
      <c r="AN670">
        <v>0.99999997957601106</v>
      </c>
    </row>
    <row r="671" spans="1:40" x14ac:dyDescent="0.25">
      <c r="A671" t="str">
        <f>"20190304155608993"</f>
        <v>20190304155608993</v>
      </c>
      <c r="B671" t="str">
        <f>"1551686168985469"</f>
        <v>1551686168985469</v>
      </c>
      <c r="C671" t="s">
        <v>40</v>
      </c>
      <c r="D671">
        <v>4.2565</v>
      </c>
      <c r="E671">
        <v>0.54292769999999901</v>
      </c>
      <c r="F671" t="s">
        <v>43</v>
      </c>
      <c r="G671">
        <v>-169.2955</v>
      </c>
      <c r="H671">
        <v>3.056943</v>
      </c>
      <c r="I671">
        <v>355.35</v>
      </c>
      <c r="J671">
        <v>-352.55610000000001</v>
      </c>
      <c r="K671">
        <v>1.109942</v>
      </c>
      <c r="L671">
        <v>367.04669999999999</v>
      </c>
      <c r="M671">
        <v>0.99992539999999996</v>
      </c>
      <c r="N671">
        <v>-1.1840389999999999E-2</v>
      </c>
      <c r="O671">
        <v>-3.0348189999999998E-3</v>
      </c>
      <c r="P671">
        <v>0.98574360000000005</v>
      </c>
      <c r="Q671">
        <v>0.1592489</v>
      </c>
      <c r="R671">
        <v>5.4309499999999997E-2</v>
      </c>
      <c r="S671">
        <v>3.048737</v>
      </c>
      <c r="T671">
        <v>3.2364009999999999E-2</v>
      </c>
      <c r="U671">
        <v>-0.1944275</v>
      </c>
      <c r="V671">
        <v>-5.7294619999999997E-2</v>
      </c>
      <c r="W671">
        <v>0.17090959999999999</v>
      </c>
      <c r="X671">
        <v>0.98361949999999998</v>
      </c>
      <c r="Y671">
        <v>6.0615830000000002E-2</v>
      </c>
      <c r="Z671">
        <v>-1.059122E-4</v>
      </c>
      <c r="AA671">
        <v>0.99816110000000002</v>
      </c>
      <c r="AB671">
        <v>32</v>
      </c>
      <c r="AC671">
        <v>183.26060000000001</v>
      </c>
      <c r="AD671">
        <v>1.94700099999999</v>
      </c>
      <c r="AE671">
        <v>-11.6966999999999</v>
      </c>
      <c r="AF671">
        <v>11.1391922216908</v>
      </c>
      <c r="AG671">
        <v>1.94700099999999</v>
      </c>
      <c r="AH671">
        <v>183.27465278200299</v>
      </c>
      <c r="AI671">
        <v>89.392467591145802</v>
      </c>
      <c r="AJ671">
        <v>86.521916443422697</v>
      </c>
      <c r="AK671">
        <v>183.623176011661</v>
      </c>
      <c r="AL671">
        <v>80.159291102968197</v>
      </c>
      <c r="AM671">
        <v>93.333641479244605</v>
      </c>
      <c r="AN671">
        <v>1.00000004281667</v>
      </c>
    </row>
    <row r="672" spans="1:40" x14ac:dyDescent="0.25">
      <c r="A672" t="str">
        <f>"20190304155609004"</f>
        <v>20190304155609004</v>
      </c>
      <c r="B672" t="str">
        <f>"1551686168995229"</f>
        <v>1551686168995229</v>
      </c>
      <c r="C672" t="s">
        <v>40</v>
      </c>
      <c r="D672">
        <v>4.2491680000000001</v>
      </c>
      <c r="E672">
        <v>0.54222630000000005</v>
      </c>
      <c r="F672" t="s">
        <v>43</v>
      </c>
      <c r="G672">
        <v>-169.2955</v>
      </c>
      <c r="H672">
        <v>2.8519230000000002</v>
      </c>
      <c r="I672">
        <v>355.70030000000003</v>
      </c>
      <c r="J672">
        <v>-352.39929999999998</v>
      </c>
      <c r="K672">
        <v>1.109944</v>
      </c>
      <c r="L672">
        <v>367.0462</v>
      </c>
      <c r="M672">
        <v>0.99992539999999996</v>
      </c>
      <c r="N672">
        <v>-1.1840969999999999E-2</v>
      </c>
      <c r="O672">
        <v>-3.0348250000000001E-3</v>
      </c>
      <c r="P672">
        <v>0.98570360000000001</v>
      </c>
      <c r="Q672">
        <v>0.159477799999999</v>
      </c>
      <c r="R672">
        <v>5.4364299999999997E-2</v>
      </c>
      <c r="S672">
        <v>3.0491030000000001</v>
      </c>
      <c r="T672">
        <v>2.8984670000000001E-2</v>
      </c>
      <c r="U672">
        <v>-0.1887817</v>
      </c>
      <c r="V672">
        <v>-5.7349530000000003E-2</v>
      </c>
      <c r="W672">
        <v>0.1711384</v>
      </c>
      <c r="X672">
        <v>0.98357649999999996</v>
      </c>
      <c r="Y672">
        <v>5.8767369999999999E-2</v>
      </c>
      <c r="Z672">
        <v>-1.339488E-4</v>
      </c>
      <c r="AA672">
        <v>0.99827169999999998</v>
      </c>
      <c r="AB672">
        <v>32</v>
      </c>
      <c r="AC672">
        <v>183.10380000000001</v>
      </c>
      <c r="AD672">
        <v>1.74197899999999</v>
      </c>
      <c r="AE672">
        <v>-11.345899999999901</v>
      </c>
      <c r="AF672">
        <v>10.7891480775801</v>
      </c>
      <c r="AG672">
        <v>1.74197899999999</v>
      </c>
      <c r="AH672">
        <v>183.120881234314</v>
      </c>
      <c r="AI672">
        <v>89.455920785690495</v>
      </c>
      <c r="AJ672">
        <v>86.628135288420097</v>
      </c>
      <c r="AK672">
        <v>183.44671529113899</v>
      </c>
      <c r="AL672">
        <v>80.145985632443001</v>
      </c>
      <c r="AM672">
        <v>93.336974707547299</v>
      </c>
      <c r="AN672">
        <v>1.0000000259490101</v>
      </c>
    </row>
    <row r="673" spans="1:40" x14ac:dyDescent="0.25">
      <c r="A673" t="str">
        <f>"20190304155609014"</f>
        <v>20190304155609014</v>
      </c>
      <c r="B673" t="str">
        <f>"1551686169004989"</f>
        <v>1551686169004989</v>
      </c>
      <c r="C673" t="s">
        <v>40</v>
      </c>
      <c r="D673">
        <v>4.1495800000000003</v>
      </c>
      <c r="E673">
        <v>0.54165010000000002</v>
      </c>
      <c r="F673" t="s">
        <v>43</v>
      </c>
      <c r="G673">
        <v>-169.2955</v>
      </c>
      <c r="H673">
        <v>2.6119539999999999</v>
      </c>
      <c r="I673">
        <v>356.07940000000002</v>
      </c>
      <c r="J673">
        <v>-352.25069999999999</v>
      </c>
      <c r="K673">
        <v>1.1099460000000001</v>
      </c>
      <c r="L673">
        <v>367.04579999999999</v>
      </c>
      <c r="M673">
        <v>0.99992539999999996</v>
      </c>
      <c r="N673">
        <v>-1.1841529999999999E-2</v>
      </c>
      <c r="O673">
        <v>-3.0350680000000001E-3</v>
      </c>
      <c r="P673">
        <v>0.98570139999999995</v>
      </c>
      <c r="Q673">
        <v>0.15945970000000001</v>
      </c>
      <c r="R673">
        <v>5.4455330000000003E-2</v>
      </c>
      <c r="S673">
        <v>3.0495299999999999</v>
      </c>
      <c r="T673">
        <v>2.5016900000000002E-2</v>
      </c>
      <c r="U673">
        <v>-0.1826477</v>
      </c>
      <c r="V673">
        <v>-5.744022E-2</v>
      </c>
      <c r="W673">
        <v>0.171121</v>
      </c>
      <c r="X673">
        <v>0.98357419999999995</v>
      </c>
      <c r="Y673">
        <v>5.6757920000000003E-2</v>
      </c>
      <c r="Z673">
        <v>-1.645483E-4</v>
      </c>
      <c r="AA673">
        <v>0.99838789999999999</v>
      </c>
      <c r="AB673">
        <v>32</v>
      </c>
      <c r="AC673">
        <v>182.95519999999999</v>
      </c>
      <c r="AD673">
        <v>1.502008</v>
      </c>
      <c r="AE673">
        <v>-10.966399999999901</v>
      </c>
      <c r="AF673">
        <v>10.4103300051951</v>
      </c>
      <c r="AG673">
        <v>1.502008</v>
      </c>
      <c r="AH673">
        <v>182.975355071683</v>
      </c>
      <c r="AI673">
        <v>89.530440334782398</v>
      </c>
      <c r="AJ673">
        <v>86.743683711194393</v>
      </c>
      <c r="AK673">
        <v>183.27741694616299</v>
      </c>
      <c r="AL673">
        <v>80.146997159920502</v>
      </c>
      <c r="AM673">
        <v>93.342247495783894</v>
      </c>
      <c r="AN673">
        <v>0.99999999121014405</v>
      </c>
    </row>
    <row r="674" spans="1:40" x14ac:dyDescent="0.25">
      <c r="A674" t="str">
        <f>"20190304155609027"</f>
        <v>20190304155609027</v>
      </c>
      <c r="B674" t="str">
        <f>"1551686169015725"</f>
        <v>1551686169015725</v>
      </c>
      <c r="C674" t="s">
        <v>40</v>
      </c>
      <c r="D674">
        <v>4.3539089999999998</v>
      </c>
      <c r="E674">
        <v>0.54107620000000001</v>
      </c>
      <c r="F674" t="s">
        <v>43</v>
      </c>
      <c r="G674">
        <v>-169.2955</v>
      </c>
      <c r="H674">
        <v>2.2220270000000002</v>
      </c>
      <c r="I674">
        <v>356.35250000000002</v>
      </c>
      <c r="J674">
        <v>-352.07260000000002</v>
      </c>
      <c r="K674">
        <v>1.1099429999999999</v>
      </c>
      <c r="L674">
        <v>367.04520000000002</v>
      </c>
      <c r="M674">
        <v>0.99992530000000002</v>
      </c>
      <c r="N674">
        <v>-1.1842190000000001E-2</v>
      </c>
      <c r="O674">
        <v>-3.0351919999999999E-3</v>
      </c>
      <c r="P674">
        <v>0.98570789999999997</v>
      </c>
      <c r="Q674">
        <v>0.15936789999999901</v>
      </c>
      <c r="R674">
        <v>5.4606580000000002E-2</v>
      </c>
      <c r="S674">
        <v>3.0503230000000001</v>
      </c>
      <c r="T674">
        <v>1.8542650000000001E-2</v>
      </c>
      <c r="U674">
        <v>-0.17828369999999999</v>
      </c>
      <c r="V674">
        <v>-5.7592169999999998E-2</v>
      </c>
      <c r="W674">
        <v>0.17102989999999901</v>
      </c>
      <c r="X674">
        <v>0.98358120000000004</v>
      </c>
      <c r="Y674">
        <v>5.5318840000000001E-2</v>
      </c>
      <c r="Z674">
        <v>-2.141899E-4</v>
      </c>
      <c r="AA674">
        <v>0.99846869999999999</v>
      </c>
      <c r="AB674">
        <v>32</v>
      </c>
      <c r="AC674">
        <v>182.77709999999999</v>
      </c>
      <c r="AD674">
        <v>1.1120840000000001</v>
      </c>
      <c r="AE674">
        <v>-10.6927</v>
      </c>
      <c r="AF674">
        <v>10.137474255424999</v>
      </c>
      <c r="AG674">
        <v>1.1120840000000001</v>
      </c>
      <c r="AH674">
        <v>182.80197047255501</v>
      </c>
      <c r="AI674">
        <v>89.651977576542606</v>
      </c>
      <c r="AJ674">
        <v>86.825853917230305</v>
      </c>
      <c r="AK674">
        <v>183.08622428722299</v>
      </c>
      <c r="AL674">
        <v>80.152295299624996</v>
      </c>
      <c r="AM674">
        <v>93.351045022757305</v>
      </c>
      <c r="AN674">
        <v>1.0000000308663699</v>
      </c>
    </row>
    <row r="675" spans="1:40" x14ac:dyDescent="0.25">
      <c r="A675" t="str">
        <f>"20190304155609040"</f>
        <v>20190304155609040</v>
      </c>
      <c r="B675" t="str">
        <f>"1551686169035245"</f>
        <v>1551686169035245</v>
      </c>
      <c r="C675" t="s">
        <v>40</v>
      </c>
      <c r="D675">
        <v>4.1499699999999997</v>
      </c>
      <c r="E675">
        <v>0.54030829999999996</v>
      </c>
      <c r="F675" t="s">
        <v>43</v>
      </c>
      <c r="G675">
        <v>-168.57910000000001</v>
      </c>
      <c r="H675">
        <v>2.0552069999999998</v>
      </c>
      <c r="I675">
        <v>356.61509999999998</v>
      </c>
      <c r="J675">
        <v>-351.89389999999997</v>
      </c>
      <c r="K675">
        <v>1.109942</v>
      </c>
      <c r="L675">
        <v>367.04469999999998</v>
      </c>
      <c r="M675">
        <v>0.99992539999999996</v>
      </c>
      <c r="N675">
        <v>-1.184285E-2</v>
      </c>
      <c r="O675">
        <v>-3.0355550000000001E-3</v>
      </c>
      <c r="P675">
        <v>0.9857534</v>
      </c>
      <c r="Q675">
        <v>0.159041299999999</v>
      </c>
      <c r="R675">
        <v>5.4738750000000003E-2</v>
      </c>
      <c r="S675">
        <v>3.0505680000000002</v>
      </c>
      <c r="T675">
        <v>1.571643E-2</v>
      </c>
      <c r="U675">
        <v>-0.1734009</v>
      </c>
      <c r="V675">
        <v>-5.7724919999999999E-2</v>
      </c>
      <c r="W675">
        <v>0.170704299999999</v>
      </c>
      <c r="X675">
        <v>0.98362989999999995</v>
      </c>
      <c r="Y675">
        <v>5.3720780000000003E-2</v>
      </c>
      <c r="Z675">
        <v>-2.316451E-4</v>
      </c>
      <c r="AA675">
        <v>0.998556</v>
      </c>
      <c r="AB675">
        <v>32</v>
      </c>
      <c r="AC675">
        <v>183.31479999999999</v>
      </c>
      <c r="AD675">
        <v>0.94526499999999902</v>
      </c>
      <c r="AE675">
        <v>-10.429599999999899</v>
      </c>
      <c r="AF675">
        <v>9.8727891656695093</v>
      </c>
      <c r="AG675">
        <v>0.94526499999999902</v>
      </c>
      <c r="AH675">
        <v>183.34075790312599</v>
      </c>
      <c r="AI675">
        <v>89.705025422553504</v>
      </c>
      <c r="AJ675">
        <v>86.917633922643702</v>
      </c>
      <c r="AK675">
        <v>183.608820595097</v>
      </c>
      <c r="AL675">
        <v>80.171228466068499</v>
      </c>
      <c r="AM675">
        <v>93.358585608182395</v>
      </c>
      <c r="AN675">
        <v>0.999999952300752</v>
      </c>
    </row>
    <row r="676" spans="1:40" x14ac:dyDescent="0.25">
      <c r="A676" t="str">
        <f>"20190304155609053"</f>
        <v>20190304155609053</v>
      </c>
      <c r="B676" t="str">
        <f>"1551686169045005"</f>
        <v>1551686169045005</v>
      </c>
      <c r="C676" t="s">
        <v>40</v>
      </c>
      <c r="D676">
        <v>4.3237569999999996</v>
      </c>
      <c r="E676">
        <v>0.53979650000000001</v>
      </c>
      <c r="F676" t="s">
        <v>43</v>
      </c>
      <c r="G676">
        <v>-158.19499999999999</v>
      </c>
      <c r="H676">
        <v>1.567267</v>
      </c>
      <c r="I676">
        <v>356.41739999999999</v>
      </c>
      <c r="J676">
        <v>-351.70600000000002</v>
      </c>
      <c r="K676">
        <v>1.1099410000000001</v>
      </c>
      <c r="L676">
        <v>367.04410000000001</v>
      </c>
      <c r="M676">
        <v>0.99992539999999996</v>
      </c>
      <c r="N676">
        <v>-1.184354E-2</v>
      </c>
      <c r="O676">
        <v>-3.0356789999999999E-3</v>
      </c>
      <c r="P676">
        <v>0.98575789999999996</v>
      </c>
      <c r="Q676">
        <v>0.1589807</v>
      </c>
      <c r="R676">
        <v>5.4835160000000001E-2</v>
      </c>
      <c r="S676">
        <v>3.0514830000000002</v>
      </c>
      <c r="T676">
        <v>7.2059630000000001E-3</v>
      </c>
      <c r="U676">
        <v>-0.1674194</v>
      </c>
      <c r="V676">
        <v>-5.7821209999999998E-2</v>
      </c>
      <c r="W676">
        <v>0.17064460000000001</v>
      </c>
      <c r="X676">
        <v>0.98363469999999997</v>
      </c>
      <c r="Y676">
        <v>5.1751850000000002E-2</v>
      </c>
      <c r="Z676">
        <v>-2.8873389999999998E-4</v>
      </c>
      <c r="AA676">
        <v>0.99865990000000004</v>
      </c>
      <c r="AB676">
        <v>32</v>
      </c>
      <c r="AC676">
        <v>193.511</v>
      </c>
      <c r="AD676">
        <v>0.45732599999999901</v>
      </c>
      <c r="AE676">
        <v>-10.6267</v>
      </c>
      <c r="AF676">
        <v>10.039116728798501</v>
      </c>
      <c r="AG676">
        <v>0.45732599999999901</v>
      </c>
      <c r="AH676">
        <v>193.54129202459299</v>
      </c>
      <c r="AI676">
        <v>89.864795664353593</v>
      </c>
      <c r="AJ676">
        <v>87.030690591290494</v>
      </c>
      <c r="AK676">
        <v>193.80202457743701</v>
      </c>
      <c r="AL676">
        <v>80.174700903894106</v>
      </c>
      <c r="AM676">
        <v>93.364158774335394</v>
      </c>
      <c r="AN676">
        <v>1.0000000474395501</v>
      </c>
    </row>
    <row r="677" spans="1:40" x14ac:dyDescent="0.25">
      <c r="A677" t="str">
        <f>"20190304155609067"</f>
        <v>20190304155609067</v>
      </c>
      <c r="B677" t="str">
        <f>"1551686169055741"</f>
        <v>1551686169055741</v>
      </c>
      <c r="C677" t="s">
        <v>40</v>
      </c>
      <c r="D677">
        <v>4.3153889999999997</v>
      </c>
      <c r="E677">
        <v>0.53932080000000004</v>
      </c>
      <c r="F677" t="s">
        <v>43</v>
      </c>
      <c r="G677">
        <v>-158.19499999999999</v>
      </c>
      <c r="H677">
        <v>1.3598479999999999</v>
      </c>
      <c r="I677">
        <v>356.67020000000002</v>
      </c>
      <c r="J677">
        <v>-351.50760000000002</v>
      </c>
      <c r="K677">
        <v>1.109939</v>
      </c>
      <c r="L677">
        <v>367.04349999999999</v>
      </c>
      <c r="M677">
        <v>0.99992539999999996</v>
      </c>
      <c r="N677">
        <v>-1.184428E-2</v>
      </c>
      <c r="O677">
        <v>-3.0356850000000002E-3</v>
      </c>
      <c r="P677">
        <v>0.98575990000000002</v>
      </c>
      <c r="Q677">
        <v>0.15886719999999999</v>
      </c>
      <c r="R677">
        <v>5.5126809999999998E-2</v>
      </c>
      <c r="S677">
        <v>3.0518190000000001</v>
      </c>
      <c r="T677">
        <v>3.9426089999999997E-3</v>
      </c>
      <c r="U677">
        <v>-0.16360469999999999</v>
      </c>
      <c r="V677">
        <v>-5.8112700000000003E-2</v>
      </c>
      <c r="W677">
        <v>0.170531399999999</v>
      </c>
      <c r="X677">
        <v>0.98363710000000004</v>
      </c>
      <c r="Y677">
        <v>5.0500870000000003E-2</v>
      </c>
      <c r="Z677">
        <v>-3.0655040000000003E-4</v>
      </c>
      <c r="AA677">
        <v>0.99872399999999995</v>
      </c>
      <c r="AB677">
        <v>32</v>
      </c>
      <c r="AC677">
        <v>193.3126</v>
      </c>
      <c r="AD677">
        <v>0.24990899999999899</v>
      </c>
      <c r="AE677">
        <v>-10.373299999999899</v>
      </c>
      <c r="AF677">
        <v>9.7863586508329998</v>
      </c>
      <c r="AG677">
        <v>0.24990899999999899</v>
      </c>
      <c r="AH677">
        <v>193.34287922575001</v>
      </c>
      <c r="AI677">
        <v>89.926035985051598</v>
      </c>
      <c r="AJ677">
        <v>87.102355542192996</v>
      </c>
      <c r="AK677">
        <v>193.59055818260799</v>
      </c>
      <c r="AL677">
        <v>80.1812827411526</v>
      </c>
      <c r="AM677">
        <v>93.381070794717004</v>
      </c>
      <c r="AN677">
        <v>0.99999999439182996</v>
      </c>
    </row>
    <row r="678" spans="1:40" x14ac:dyDescent="0.25">
      <c r="A678" t="str">
        <f>"20190304155609083"</f>
        <v>20190304155609083</v>
      </c>
      <c r="B678" t="str">
        <f>"1551686169075260"</f>
        <v>1551686169075260</v>
      </c>
      <c r="C678" t="s">
        <v>40</v>
      </c>
      <c r="D678">
        <v>4.273911</v>
      </c>
      <c r="E678">
        <v>0.53996189999999999</v>
      </c>
      <c r="F678" t="s">
        <v>43</v>
      </c>
      <c r="G678">
        <v>-158.19499999999999</v>
      </c>
      <c r="H678">
        <v>1.13747</v>
      </c>
      <c r="I678">
        <v>356.98680000000002</v>
      </c>
      <c r="J678">
        <v>-351.29090000000002</v>
      </c>
      <c r="K678">
        <v>1.1099380000000001</v>
      </c>
      <c r="L678">
        <v>367.0428</v>
      </c>
      <c r="M678">
        <v>0.99992530000000002</v>
      </c>
      <c r="N678">
        <v>-1.1845069999999999E-2</v>
      </c>
      <c r="O678">
        <v>-3.0356910000000001E-3</v>
      </c>
      <c r="P678">
        <v>0.98575539999999995</v>
      </c>
      <c r="Q678">
        <v>0.1587597</v>
      </c>
      <c r="R678">
        <v>5.5514899999999999E-2</v>
      </c>
      <c r="S678">
        <v>3.052155</v>
      </c>
      <c r="T678">
        <v>4.3606759999999999E-4</v>
      </c>
      <c r="U678">
        <v>-0.15878299999999901</v>
      </c>
      <c r="V678">
        <v>-5.8501209999999998E-2</v>
      </c>
      <c r="W678">
        <v>0.1704252</v>
      </c>
      <c r="X678">
        <v>0.98363250000000002</v>
      </c>
      <c r="Y678">
        <v>4.8921199999999998E-2</v>
      </c>
      <c r="Z678">
        <v>-3.2282019999999999E-4</v>
      </c>
      <c r="AA678">
        <v>0.99880259999999998</v>
      </c>
      <c r="AB678">
        <v>32</v>
      </c>
      <c r="AC678">
        <v>193.0959</v>
      </c>
      <c r="AD678">
        <v>2.7532000000000102E-2</v>
      </c>
      <c r="AE678">
        <v>-10.0559999999999</v>
      </c>
      <c r="AF678">
        <v>9.4697328911567205</v>
      </c>
      <c r="AG678">
        <v>2.7532000000000102E-2</v>
      </c>
      <c r="AH678">
        <v>193.12553527630101</v>
      </c>
      <c r="AI678">
        <v>89.991841708468399</v>
      </c>
      <c r="AJ678">
        <v>87.192802559462294</v>
      </c>
      <c r="AK678">
        <v>193.35756766881099</v>
      </c>
      <c r="AL678">
        <v>80.187458180273396</v>
      </c>
      <c r="AM678">
        <v>93.403637715772007</v>
      </c>
      <c r="AN678">
        <v>1.0000000177113699</v>
      </c>
    </row>
    <row r="679" spans="1:40" x14ac:dyDescent="0.25">
      <c r="A679" t="str">
        <f>"20190304155609094"</f>
        <v>20190304155609094</v>
      </c>
      <c r="B679" t="str">
        <f>"1551686169085021"</f>
        <v>1551686169085021</v>
      </c>
      <c r="C679" t="s">
        <v>40</v>
      </c>
      <c r="D679">
        <v>4.4169099999999997</v>
      </c>
      <c r="E679">
        <v>0.53996189999999999</v>
      </c>
      <c r="F679" t="s">
        <v>43</v>
      </c>
      <c r="G679">
        <v>-158.19499999999999</v>
      </c>
      <c r="H679">
        <v>0.96580029999999994</v>
      </c>
      <c r="I679">
        <v>356.71620000000001</v>
      </c>
      <c r="J679">
        <v>-351.1352</v>
      </c>
      <c r="K679">
        <v>1.109936</v>
      </c>
      <c r="L679">
        <v>367.04239999999999</v>
      </c>
      <c r="M679">
        <v>0.99992519999999996</v>
      </c>
      <c r="N679">
        <v>-1.1845680000000001E-2</v>
      </c>
      <c r="O679">
        <v>-3.0356960000000001E-3</v>
      </c>
      <c r="P679">
        <v>0.9857612</v>
      </c>
      <c r="Q679">
        <v>0.1586108</v>
      </c>
      <c r="R679">
        <v>5.5836179999999999E-2</v>
      </c>
      <c r="S679">
        <v>3.0529169999999999</v>
      </c>
      <c r="T679">
        <v>-2.2774929999999998E-3</v>
      </c>
      <c r="U679">
        <v>-0.163269</v>
      </c>
      <c r="V679">
        <v>-5.8822609999999997E-2</v>
      </c>
      <c r="W679">
        <v>0.17027719999999999</v>
      </c>
      <c r="X679">
        <v>0.98363889999999998</v>
      </c>
      <c r="Y679">
        <v>5.0371489999999998E-2</v>
      </c>
      <c r="Z679">
        <v>-3.5101510000000002E-4</v>
      </c>
      <c r="AA679">
        <v>0.99873049999999997</v>
      </c>
      <c r="AB679">
        <v>32</v>
      </c>
      <c r="AC679">
        <v>192.9402</v>
      </c>
      <c r="AD679">
        <v>-0.14413569999999901</v>
      </c>
      <c r="AE679">
        <v>-10.326199999999901</v>
      </c>
      <c r="AF679">
        <v>9.7403980842769702</v>
      </c>
      <c r="AG679">
        <v>-0.14413569999999901</v>
      </c>
      <c r="AH679">
        <v>192.970552876532</v>
      </c>
      <c r="AI679">
        <v>90.042741574896496</v>
      </c>
      <c r="AJ679">
        <v>87.110385768686399</v>
      </c>
      <c r="AK679">
        <v>193.216278836475</v>
      </c>
      <c r="AL679">
        <v>80.196063117924993</v>
      </c>
      <c r="AM679">
        <v>93.422270435784</v>
      </c>
      <c r="AN679">
        <v>0.99999995494012905</v>
      </c>
    </row>
    <row r="680" spans="1:40" x14ac:dyDescent="0.25">
      <c r="A680" t="str">
        <f>"20190304155609105"</f>
        <v>20190304155609105</v>
      </c>
      <c r="B680" t="str">
        <f>"1551686169095758"</f>
        <v>1551686169095758</v>
      </c>
      <c r="C680" t="s">
        <v>40</v>
      </c>
      <c r="D680">
        <v>4.1670949999999998</v>
      </c>
      <c r="E680">
        <v>0.54205819999999905</v>
      </c>
      <c r="F680" t="s">
        <v>43</v>
      </c>
      <c r="G680">
        <v>-158.19499999999999</v>
      </c>
      <c r="H680">
        <v>0.94335840000000004</v>
      </c>
      <c r="I680">
        <v>356.78379999999999</v>
      </c>
      <c r="J680">
        <v>-350.9599</v>
      </c>
      <c r="K680">
        <v>1.109934</v>
      </c>
      <c r="L680">
        <v>367.0419</v>
      </c>
      <c r="M680">
        <v>0.99992519999999996</v>
      </c>
      <c r="N680">
        <v>-1.184646E-2</v>
      </c>
      <c r="O680">
        <v>-3.035463E-3</v>
      </c>
      <c r="P680">
        <v>0.98577139999999996</v>
      </c>
      <c r="Q680">
        <v>0.1584767</v>
      </c>
      <c r="R680">
        <v>5.6033050000000001E-2</v>
      </c>
      <c r="S680">
        <v>3.0529169999999999</v>
      </c>
      <c r="T680">
        <v>-2.6344060000000002E-3</v>
      </c>
      <c r="U680">
        <v>-0.162323</v>
      </c>
      <c r="V680">
        <v>-5.9018630000000002E-2</v>
      </c>
      <c r="W680">
        <v>0.17014370000000001</v>
      </c>
      <c r="X680">
        <v>0.98365029999999998</v>
      </c>
      <c r="Y680">
        <v>5.0063070000000001E-2</v>
      </c>
      <c r="Z680">
        <v>-3.5165910000000002E-4</v>
      </c>
      <c r="AA680">
        <v>0.99874600000000002</v>
      </c>
      <c r="AB680">
        <v>32</v>
      </c>
      <c r="AC680">
        <v>192.76490000000001</v>
      </c>
      <c r="AD680">
        <v>-0.16657559999999899</v>
      </c>
      <c r="AE680">
        <v>-10.258100000000001</v>
      </c>
      <c r="AF680">
        <v>9.6728737349178502</v>
      </c>
      <c r="AG680">
        <v>-0.16657559999999899</v>
      </c>
      <c r="AH680">
        <v>192.79500851041001</v>
      </c>
      <c r="AI680">
        <v>90.049441564707493</v>
      </c>
      <c r="AJ680">
        <v>87.127775656299093</v>
      </c>
      <c r="AK680">
        <v>193.03758064234901</v>
      </c>
      <c r="AL680">
        <v>80.203825770186697</v>
      </c>
      <c r="AM680">
        <v>93.433607843249007</v>
      </c>
      <c r="AN680">
        <v>0.99999999501342796</v>
      </c>
    </row>
    <row r="681" spans="1:40" x14ac:dyDescent="0.25">
      <c r="A681" t="str">
        <f>"20190304155609116"</f>
        <v>20190304155609116</v>
      </c>
      <c r="B681" t="str">
        <f>"1551686169105517"</f>
        <v>1551686169105517</v>
      </c>
      <c r="C681" t="s">
        <v>40</v>
      </c>
      <c r="D681">
        <v>4.1559330000000001</v>
      </c>
      <c r="E681">
        <v>0.54325990000000002</v>
      </c>
      <c r="F681" t="s">
        <v>43</v>
      </c>
      <c r="G681">
        <v>-169.2955</v>
      </c>
      <c r="H681">
        <v>0.90226360000000005</v>
      </c>
      <c r="I681">
        <v>356.4384</v>
      </c>
      <c r="J681">
        <v>-350.8066</v>
      </c>
      <c r="K681">
        <v>1.1099330000000001</v>
      </c>
      <c r="L681">
        <v>367.04140000000001</v>
      </c>
      <c r="M681">
        <v>0.99992519999999996</v>
      </c>
      <c r="N681">
        <v>-1.1847099999999999E-2</v>
      </c>
      <c r="O681">
        <v>-3.035467E-3</v>
      </c>
      <c r="P681">
        <v>0.98579139999999998</v>
      </c>
      <c r="Q681">
        <v>0.1582374</v>
      </c>
      <c r="R681">
        <v>5.6360380000000002E-2</v>
      </c>
      <c r="S681">
        <v>3.053925</v>
      </c>
      <c r="T681">
        <v>-3.4896139999999998E-3</v>
      </c>
      <c r="U681">
        <v>-0.1782532</v>
      </c>
      <c r="V681">
        <v>-5.934615E-2</v>
      </c>
      <c r="W681">
        <v>0.16990549999999999</v>
      </c>
      <c r="X681">
        <v>0.98367179999999999</v>
      </c>
      <c r="Y681">
        <v>5.5238349999999999E-2</v>
      </c>
      <c r="Z681">
        <v>-3.9149820000000001E-4</v>
      </c>
      <c r="AA681">
        <v>0.9984731</v>
      </c>
      <c r="AB681">
        <v>32</v>
      </c>
      <c r="AC681">
        <v>181.5111</v>
      </c>
      <c r="AD681">
        <v>-0.2076694</v>
      </c>
      <c r="AE681">
        <v>-10.603</v>
      </c>
      <c r="AF681">
        <v>10.0519284004911</v>
      </c>
      <c r="AG681">
        <v>-0.2076694</v>
      </c>
      <c r="AH681">
        <v>181.542214139441</v>
      </c>
      <c r="AI681">
        <v>90.065441404661897</v>
      </c>
      <c r="AJ681">
        <v>86.830788962582204</v>
      </c>
      <c r="AK681">
        <v>181.82040563643801</v>
      </c>
      <c r="AL681">
        <v>80.217675595070602</v>
      </c>
      <c r="AM681">
        <v>93.452541175663498</v>
      </c>
      <c r="AN681">
        <v>1.0000000272826499</v>
      </c>
    </row>
    <row r="682" spans="1:40" x14ac:dyDescent="0.25">
      <c r="A682" t="str">
        <f>"20190304155609127"</f>
        <v>20190304155609127</v>
      </c>
      <c r="B682" t="str">
        <f>"1551686169125669"</f>
        <v>1551686169125669</v>
      </c>
      <c r="C682" t="s">
        <v>40</v>
      </c>
      <c r="D682">
        <v>4.1585460000000003</v>
      </c>
      <c r="E682">
        <v>0.54578209999999905</v>
      </c>
      <c r="F682" t="s">
        <v>43</v>
      </c>
      <c r="G682">
        <v>-169.2955</v>
      </c>
      <c r="H682">
        <v>1.1153150000000001</v>
      </c>
      <c r="I682">
        <v>355.92809999999997</v>
      </c>
      <c r="J682">
        <v>-350.65570000000002</v>
      </c>
      <c r="K682">
        <v>1.1099319999999999</v>
      </c>
      <c r="L682">
        <v>367.041</v>
      </c>
      <c r="M682">
        <v>0.99992519999999996</v>
      </c>
      <c r="N682">
        <v>-1.1847699999999999E-2</v>
      </c>
      <c r="O682">
        <v>-3.035233E-3</v>
      </c>
      <c r="P682">
        <v>0.98573909999999998</v>
      </c>
      <c r="Q682">
        <v>0.1583832</v>
      </c>
      <c r="R682">
        <v>5.6861000000000002E-2</v>
      </c>
      <c r="S682">
        <v>3.053925</v>
      </c>
      <c r="T682" s="1">
        <v>9.2029569999999995E-5</v>
      </c>
      <c r="U682">
        <v>-0.18698119999999999</v>
      </c>
      <c r="V682">
        <v>-5.9846509999999999E-2</v>
      </c>
      <c r="W682">
        <v>0.1700507</v>
      </c>
      <c r="X682">
        <v>0.98361639999999995</v>
      </c>
      <c r="Y682">
        <v>5.8082269999999998E-2</v>
      </c>
      <c r="Z682">
        <v>-3.7955060000000002E-4</v>
      </c>
      <c r="AA682">
        <v>0.99831170000000002</v>
      </c>
      <c r="AB682">
        <v>32</v>
      </c>
      <c r="AC682">
        <v>181.36019999999999</v>
      </c>
      <c r="AD682">
        <v>5.3830000000001299E-3</v>
      </c>
      <c r="AE682">
        <v>-11.1129</v>
      </c>
      <c r="AF682">
        <v>10.562339687851599</v>
      </c>
      <c r="AG682">
        <v>5.3830000000001299E-3</v>
      </c>
      <c r="AH682">
        <v>181.39309692712899</v>
      </c>
      <c r="AI682">
        <v>89.998302572480995</v>
      </c>
      <c r="AJ682">
        <v>86.667486750110498</v>
      </c>
      <c r="AK682">
        <v>181.70035404883799</v>
      </c>
      <c r="AL682">
        <v>80.209233460705093</v>
      </c>
      <c r="AM682">
        <v>93.481774589987495</v>
      </c>
      <c r="AN682">
        <v>1.00000003383931</v>
      </c>
    </row>
    <row r="683" spans="1:40" x14ac:dyDescent="0.25">
      <c r="A683" t="str">
        <f>"20190304155609138"</f>
        <v>20190304155609138</v>
      </c>
      <c r="B683" t="str">
        <f>"1551686169135429"</f>
        <v>1551686169135429</v>
      </c>
      <c r="C683" t="s">
        <v>40</v>
      </c>
      <c r="D683">
        <v>4.1518930000000003</v>
      </c>
      <c r="E683">
        <v>0.54679319999999998</v>
      </c>
      <c r="F683" t="s">
        <v>43</v>
      </c>
      <c r="G683">
        <v>-169.2955</v>
      </c>
      <c r="H683">
        <v>1.3587750000000001</v>
      </c>
      <c r="I683">
        <v>354.8415</v>
      </c>
      <c r="J683">
        <v>-350.50689999999997</v>
      </c>
      <c r="K683">
        <v>1.109936</v>
      </c>
      <c r="L683">
        <v>367.04050000000001</v>
      </c>
      <c r="M683">
        <v>0.99992519999999996</v>
      </c>
      <c r="N683">
        <v>-1.184823E-2</v>
      </c>
      <c r="O683">
        <v>-3.0352360000000002E-3</v>
      </c>
      <c r="P683">
        <v>0.98577510000000002</v>
      </c>
      <c r="Q683">
        <v>0.15807539999999901</v>
      </c>
      <c r="R683">
        <v>5.7096679999999997E-2</v>
      </c>
      <c r="S683">
        <v>3.0546259999999998</v>
      </c>
      <c r="T683">
        <v>4.1927099999999997E-3</v>
      </c>
      <c r="U683">
        <v>-0.20547489999999999</v>
      </c>
      <c r="V683">
        <v>-6.0082360000000001E-2</v>
      </c>
      <c r="W683">
        <v>0.16974429999999999</v>
      </c>
      <c r="X683">
        <v>0.9836549</v>
      </c>
      <c r="Y683">
        <v>6.4086900000000002E-2</v>
      </c>
      <c r="Z683">
        <v>-3.7625110000000001E-4</v>
      </c>
      <c r="AA683">
        <v>0.99794419999999995</v>
      </c>
      <c r="AB683">
        <v>32</v>
      </c>
      <c r="AC683">
        <v>181.2114</v>
      </c>
      <c r="AD683">
        <v>0.248839</v>
      </c>
      <c r="AE683">
        <v>-12.199</v>
      </c>
      <c r="AF683">
        <v>11.648863957256401</v>
      </c>
      <c r="AG683">
        <v>0.248839</v>
      </c>
      <c r="AH683">
        <v>181.24725437401199</v>
      </c>
      <c r="AI683">
        <v>89.921499170155599</v>
      </c>
      <c r="AJ683">
        <v>86.322625534842004</v>
      </c>
      <c r="AK683">
        <v>181.62137861623199</v>
      </c>
      <c r="AL683">
        <v>80.227047443329297</v>
      </c>
      <c r="AM683">
        <v>93.495325540393196</v>
      </c>
      <c r="AN683">
        <v>0.99999998982983396</v>
      </c>
    </row>
    <row r="684" spans="1:40" x14ac:dyDescent="0.25">
      <c r="A684" t="str">
        <f>"20190304155609148"</f>
        <v>20190304155609148</v>
      </c>
      <c r="B684" t="str">
        <f>"1551686169145189"</f>
        <v>1551686169145189</v>
      </c>
      <c r="C684" t="s">
        <v>40</v>
      </c>
      <c r="D684">
        <v>4.0957359999999996</v>
      </c>
      <c r="E684">
        <v>0.5477649</v>
      </c>
      <c r="F684" t="s">
        <v>43</v>
      </c>
      <c r="G684">
        <v>-169.2955</v>
      </c>
      <c r="H684">
        <v>1.49604</v>
      </c>
      <c r="I684">
        <v>354.43259999999998</v>
      </c>
      <c r="J684">
        <v>-350.3553</v>
      </c>
      <c r="K684">
        <v>1.109936</v>
      </c>
      <c r="L684">
        <v>367.04</v>
      </c>
      <c r="M684">
        <v>0.99992530000000002</v>
      </c>
      <c r="N684">
        <v>-1.184874E-2</v>
      </c>
      <c r="O684">
        <v>-3.0352389999999999E-3</v>
      </c>
      <c r="P684">
        <v>0.98571850000000005</v>
      </c>
      <c r="Q684">
        <v>0.1582286</v>
      </c>
      <c r="R684">
        <v>5.7644830000000001E-2</v>
      </c>
      <c r="S684">
        <v>3.0545650000000002</v>
      </c>
      <c r="T684">
        <v>6.5097810000000001E-3</v>
      </c>
      <c r="U684">
        <v>-0.2125244</v>
      </c>
      <c r="V684">
        <v>-6.0630459999999997E-2</v>
      </c>
      <c r="W684">
        <v>0.16989699999999999</v>
      </c>
      <c r="X684">
        <v>0.98359490000000005</v>
      </c>
      <c r="Y684">
        <v>6.6380750000000002E-2</v>
      </c>
      <c r="Z684">
        <v>-3.6548469999999998E-4</v>
      </c>
      <c r="AA684">
        <v>0.99779430000000002</v>
      </c>
      <c r="AB684">
        <v>32</v>
      </c>
      <c r="AC684">
        <v>181.0598</v>
      </c>
      <c r="AD684">
        <v>0.386104</v>
      </c>
      <c r="AE684">
        <v>-12.6074</v>
      </c>
      <c r="AF684">
        <v>12.057689061572299</v>
      </c>
      <c r="AG684">
        <v>0.386104</v>
      </c>
      <c r="AH684">
        <v>181.09641546623899</v>
      </c>
      <c r="AI684">
        <v>89.878113413670604</v>
      </c>
      <c r="AJ684">
        <v>86.190777598719507</v>
      </c>
      <c r="AK684">
        <v>181.49779237369501</v>
      </c>
      <c r="AL684">
        <v>80.218169379569801</v>
      </c>
      <c r="AM684">
        <v>93.527346050360507</v>
      </c>
      <c r="AN684">
        <v>0.99999998529740997</v>
      </c>
    </row>
    <row r="685" spans="1:40" x14ac:dyDescent="0.25">
      <c r="A685" t="str">
        <f>"20190304155609159"</f>
        <v>20190304155609159</v>
      </c>
      <c r="B685" t="str">
        <f>"1551686169155926"</f>
        <v>1551686169155926</v>
      </c>
      <c r="C685" t="s">
        <v>40</v>
      </c>
      <c r="D685">
        <v>4.2097509999999998</v>
      </c>
      <c r="E685">
        <v>0.54873289999999997</v>
      </c>
      <c r="F685" t="s">
        <v>43</v>
      </c>
      <c r="G685">
        <v>-169.2955</v>
      </c>
      <c r="H685">
        <v>1.617318</v>
      </c>
      <c r="I685">
        <v>354.06060000000002</v>
      </c>
      <c r="J685">
        <v>-350.20179999999999</v>
      </c>
      <c r="K685">
        <v>1.109936</v>
      </c>
      <c r="L685">
        <v>367.03960000000001</v>
      </c>
      <c r="M685">
        <v>0.99992530000000002</v>
      </c>
      <c r="N685">
        <v>-1.1849220000000001E-2</v>
      </c>
      <c r="O685">
        <v>-3.0352420000000001E-3</v>
      </c>
      <c r="P685">
        <v>0.98565860000000005</v>
      </c>
      <c r="Q685">
        <v>0.15855150000000001</v>
      </c>
      <c r="R685">
        <v>5.7784769999999999E-2</v>
      </c>
      <c r="S685">
        <v>3.0549010000000001</v>
      </c>
      <c r="T685">
        <v>8.5622069999999901E-3</v>
      </c>
      <c r="U685">
        <v>-0.2189941</v>
      </c>
      <c r="V685">
        <v>-6.0770070000000002E-2</v>
      </c>
      <c r="W685">
        <v>0.17021989999999901</v>
      </c>
      <c r="X685">
        <v>0.98353049999999997</v>
      </c>
      <c r="Y685">
        <v>6.847586E-2</v>
      </c>
      <c r="Z685">
        <v>-3.5480290000000002E-4</v>
      </c>
      <c r="AA685">
        <v>0.99765269999999995</v>
      </c>
      <c r="AB685">
        <v>32</v>
      </c>
      <c r="AC685">
        <v>180.90629999999999</v>
      </c>
      <c r="AD685">
        <v>0.507382</v>
      </c>
      <c r="AE685">
        <v>-12.9789999999999</v>
      </c>
      <c r="AF685">
        <v>12.4297100419434</v>
      </c>
      <c r="AG685">
        <v>0.507382</v>
      </c>
      <c r="AH685">
        <v>180.94344769020799</v>
      </c>
      <c r="AI685">
        <v>89.839715539773906</v>
      </c>
      <c r="AJ685">
        <v>86.070303246056199</v>
      </c>
      <c r="AK685">
        <v>181.37057752083101</v>
      </c>
      <c r="AL685">
        <v>80.199395548888305</v>
      </c>
      <c r="AM685">
        <v>93.535678581800695</v>
      </c>
      <c r="AN685">
        <v>1.00000003009703</v>
      </c>
    </row>
    <row r="686" spans="1:40" x14ac:dyDescent="0.25">
      <c r="A686" t="str">
        <f>"20190304155609171"</f>
        <v>20190304155609171</v>
      </c>
      <c r="B686" t="str">
        <f>"1551686169165684"</f>
        <v>1551686169165684</v>
      </c>
      <c r="C686" t="s">
        <v>40</v>
      </c>
      <c r="D686">
        <v>4.1969810000000001</v>
      </c>
      <c r="E686">
        <v>0.54960019999999998</v>
      </c>
      <c r="F686" t="s">
        <v>43</v>
      </c>
      <c r="G686">
        <v>-158.78319999999999</v>
      </c>
      <c r="H686">
        <v>1.910345</v>
      </c>
      <c r="I686">
        <v>352.87729999999999</v>
      </c>
      <c r="J686">
        <v>-350.03660000000002</v>
      </c>
      <c r="K686">
        <v>1.109937</v>
      </c>
      <c r="L686">
        <v>367.03910000000002</v>
      </c>
      <c r="M686">
        <v>0.99992519999999996</v>
      </c>
      <c r="N686">
        <v>-1.1849719999999999E-2</v>
      </c>
      <c r="O686">
        <v>-3.035126E-3</v>
      </c>
      <c r="P686">
        <v>0.98563230000000002</v>
      </c>
      <c r="Q686">
        <v>0.15868090000000001</v>
      </c>
      <c r="R686">
        <v>5.7873550000000003E-2</v>
      </c>
      <c r="S686">
        <v>3.0548099999999998</v>
      </c>
      <c r="T686">
        <v>1.277494E-2</v>
      </c>
      <c r="U686">
        <v>-0.2260132</v>
      </c>
      <c r="V686">
        <v>-6.0858259999999997E-2</v>
      </c>
      <c r="W686">
        <v>0.17034949999999999</v>
      </c>
      <c r="X686">
        <v>0.9835026</v>
      </c>
      <c r="Y686">
        <v>7.0758470000000004E-2</v>
      </c>
      <c r="Z686">
        <v>-3.2066020000000002E-4</v>
      </c>
      <c r="AA686">
        <v>0.99749339999999997</v>
      </c>
      <c r="AB686">
        <v>32</v>
      </c>
      <c r="AC686">
        <v>191.2534</v>
      </c>
      <c r="AD686">
        <v>0.80040800000000001</v>
      </c>
      <c r="AE686">
        <v>-14.161799999999999</v>
      </c>
      <c r="AF686">
        <v>13.5809792751795</v>
      </c>
      <c r="AG686">
        <v>0.80040800000000001</v>
      </c>
      <c r="AH686">
        <v>191.29217265814199</v>
      </c>
      <c r="AI686">
        <v>89.760865319190799</v>
      </c>
      <c r="AJ686">
        <v>85.939042628849606</v>
      </c>
      <c r="AK686">
        <v>191.77533462703599</v>
      </c>
      <c r="AL686">
        <v>80.191859878702701</v>
      </c>
      <c r="AM686">
        <v>93.540896731563294</v>
      </c>
      <c r="AN686">
        <v>1.0000000220836101</v>
      </c>
    </row>
    <row r="687" spans="1:40" x14ac:dyDescent="0.25">
      <c r="A687" t="str">
        <f>"20190304155609182"</f>
        <v>20190304155609182</v>
      </c>
      <c r="B687" t="str">
        <f>"1551686169175444"</f>
        <v>1551686169175444</v>
      </c>
      <c r="C687" t="s">
        <v>40</v>
      </c>
      <c r="D687">
        <v>4.2516990000000003</v>
      </c>
      <c r="E687">
        <v>0.55027000000000004</v>
      </c>
      <c r="F687" t="s">
        <v>43</v>
      </c>
      <c r="G687">
        <v>-158.78319999999999</v>
      </c>
      <c r="H687">
        <v>2.1264020000000001</v>
      </c>
      <c r="I687">
        <v>352.44940000000003</v>
      </c>
      <c r="J687">
        <v>-349.87459999999999</v>
      </c>
      <c r="K687">
        <v>1.1099380000000001</v>
      </c>
      <c r="L687">
        <v>367.03859999999997</v>
      </c>
      <c r="M687">
        <v>0.99992519999999996</v>
      </c>
      <c r="N687">
        <v>-1.18502E-2</v>
      </c>
      <c r="O687">
        <v>-3.0348910000000001E-3</v>
      </c>
      <c r="P687">
        <v>0.98562130000000003</v>
      </c>
      <c r="Q687">
        <v>0.15879279999999901</v>
      </c>
      <c r="R687">
        <v>5.7755870000000001E-2</v>
      </c>
      <c r="S687">
        <v>3.0547789999999999</v>
      </c>
      <c r="T687">
        <v>1.6236779999999999E-2</v>
      </c>
      <c r="U687">
        <v>-0.23303219999999999</v>
      </c>
      <c r="V687">
        <v>-6.0740759999999998E-2</v>
      </c>
      <c r="W687">
        <v>0.1704618</v>
      </c>
      <c r="X687">
        <v>0.98349039999999999</v>
      </c>
      <c r="Y687">
        <v>7.3038530000000004E-2</v>
      </c>
      <c r="Z687">
        <v>-2.9159580000000002E-4</v>
      </c>
      <c r="AA687">
        <v>0.99732909999999997</v>
      </c>
      <c r="AB687">
        <v>32</v>
      </c>
      <c r="AC687">
        <v>191.09139999999999</v>
      </c>
      <c r="AD687">
        <v>1.016464</v>
      </c>
      <c r="AE687">
        <v>-14.5891999999999</v>
      </c>
      <c r="AF687">
        <v>14.0087564480017</v>
      </c>
      <c r="AG687">
        <v>1.016464</v>
      </c>
      <c r="AH687">
        <v>191.129423016038</v>
      </c>
      <c r="AI687">
        <v>89.696107768220799</v>
      </c>
      <c r="AJ687">
        <v>85.808024054959503</v>
      </c>
      <c r="AK687">
        <v>191.64481417123301</v>
      </c>
      <c r="AL687">
        <v>80.185329997705693</v>
      </c>
      <c r="AM687">
        <v>93.534121338374007</v>
      </c>
      <c r="AN687">
        <v>1.00000001603838</v>
      </c>
    </row>
    <row r="688" spans="1:40" x14ac:dyDescent="0.25">
      <c r="A688" t="str">
        <f>"20190304155609193"</f>
        <v>20190304155609193</v>
      </c>
      <c r="B688" t="str">
        <f>"1551686169185205"</f>
        <v>1551686169185205</v>
      </c>
      <c r="C688" t="s">
        <v>40</v>
      </c>
      <c r="D688">
        <v>4.1936289999999996</v>
      </c>
      <c r="E688">
        <v>0.55104180000000003</v>
      </c>
      <c r="F688" t="s">
        <v>43</v>
      </c>
      <c r="G688">
        <v>-158.78319999999999</v>
      </c>
      <c r="H688">
        <v>2.2601200000000001</v>
      </c>
      <c r="I688">
        <v>352.10239999999999</v>
      </c>
      <c r="J688">
        <v>-349.72179999999997</v>
      </c>
      <c r="K688">
        <v>1.109939</v>
      </c>
      <c r="L688">
        <v>367.03809999999999</v>
      </c>
      <c r="M688">
        <v>0.99992510000000001</v>
      </c>
      <c r="N688">
        <v>-1.1850650000000001E-2</v>
      </c>
      <c r="O688">
        <v>-3.0348929999999999E-3</v>
      </c>
      <c r="P688">
        <v>0.98561410000000005</v>
      </c>
      <c r="Q688">
        <v>0.15886500000000001</v>
      </c>
      <c r="R688">
        <v>5.768069E-2</v>
      </c>
      <c r="S688">
        <v>3.0547789999999999</v>
      </c>
      <c r="T688">
        <v>1.8388149999999999E-2</v>
      </c>
      <c r="U688">
        <v>-0.2387695</v>
      </c>
      <c r="V688">
        <v>-6.0665419999999998E-2</v>
      </c>
      <c r="W688">
        <v>0.1705342</v>
      </c>
      <c r="X688">
        <v>0.98348250000000004</v>
      </c>
      <c r="Y688">
        <v>7.490049E-2</v>
      </c>
      <c r="Z688">
        <v>-2.7356409999999999E-4</v>
      </c>
      <c r="AA688">
        <v>0.99719100000000005</v>
      </c>
      <c r="AB688">
        <v>32</v>
      </c>
      <c r="AC688">
        <v>190.93860000000001</v>
      </c>
      <c r="AD688">
        <v>1.1501809999999999</v>
      </c>
      <c r="AE688">
        <v>-14.935699999999899</v>
      </c>
      <c r="AF688">
        <v>14.355594503369799</v>
      </c>
      <c r="AG688">
        <v>1.1501809999999999</v>
      </c>
      <c r="AH688">
        <v>190.976164275462</v>
      </c>
      <c r="AI688">
        <v>89.655902985219001</v>
      </c>
      <c r="AJ688">
        <v>85.701185983828395</v>
      </c>
      <c r="AK688">
        <v>191.51840990162401</v>
      </c>
      <c r="AL688">
        <v>80.181120154052394</v>
      </c>
      <c r="AM688">
        <v>93.529777150712206</v>
      </c>
      <c r="AN688">
        <v>1.00000001717983</v>
      </c>
    </row>
    <row r="689" spans="1:40" x14ac:dyDescent="0.25">
      <c r="A689" t="str">
        <f>"20190304155609204"</f>
        <v>20190304155609204</v>
      </c>
      <c r="B689" t="str">
        <f>"1551686169194965"</f>
        <v>1551686169194965</v>
      </c>
      <c r="C689" t="s">
        <v>40</v>
      </c>
      <c r="D689">
        <v>4.1657149999999996</v>
      </c>
      <c r="E689">
        <v>0.55179049999999996</v>
      </c>
      <c r="F689" t="s">
        <v>43</v>
      </c>
      <c r="G689">
        <v>-158.78319999999999</v>
      </c>
      <c r="H689">
        <v>2.4349090000000002</v>
      </c>
      <c r="I689">
        <v>351.71089999999998</v>
      </c>
      <c r="J689">
        <v>-349.56569999999999</v>
      </c>
      <c r="K689">
        <v>1.1099349999999999</v>
      </c>
      <c r="L689">
        <v>367.03769999999997</v>
      </c>
      <c r="M689">
        <v>0.99992519999999996</v>
      </c>
      <c r="N689">
        <v>-1.185111E-2</v>
      </c>
      <c r="O689">
        <v>-3.034896E-3</v>
      </c>
      <c r="P689">
        <v>0.98553749999999996</v>
      </c>
      <c r="Q689">
        <v>0.15937939999999901</v>
      </c>
      <c r="R689">
        <v>5.7569269999999999E-2</v>
      </c>
      <c r="S689">
        <v>3.0546880000000001</v>
      </c>
      <c r="T689">
        <v>2.119863E-2</v>
      </c>
      <c r="U689">
        <v>-0.2452087</v>
      </c>
      <c r="V689">
        <v>-6.0553959999999997E-2</v>
      </c>
      <c r="W689">
        <v>0.17104820000000001</v>
      </c>
      <c r="X689">
        <v>0.9834001</v>
      </c>
      <c r="Y689">
        <v>7.6991649999999995E-2</v>
      </c>
      <c r="Z689">
        <v>-2.4718230000000003E-4</v>
      </c>
      <c r="AA689">
        <v>0.99703169999999997</v>
      </c>
      <c r="AB689">
        <v>32</v>
      </c>
      <c r="AC689">
        <v>190.7825</v>
      </c>
      <c r="AD689">
        <v>1.3249739999999901</v>
      </c>
      <c r="AE689">
        <v>-15.326799999999899</v>
      </c>
      <c r="AF689">
        <v>14.746976994651</v>
      </c>
      <c r="AG689">
        <v>1.3249739999999901</v>
      </c>
      <c r="AH689">
        <v>190.818995160822</v>
      </c>
      <c r="AI689">
        <v>89.603349165878001</v>
      </c>
      <c r="AJ689">
        <v>85.580820532799194</v>
      </c>
      <c r="AK689">
        <v>191.392575093099</v>
      </c>
      <c r="AL689">
        <v>80.151230924863597</v>
      </c>
      <c r="AM689">
        <v>93.523602753717697</v>
      </c>
      <c r="AN689">
        <v>1.00000001273746</v>
      </c>
    </row>
    <row r="690" spans="1:40" x14ac:dyDescent="0.25">
      <c r="A690" t="str">
        <f>"20190304155609216"</f>
        <v>20190304155609216</v>
      </c>
      <c r="B690" t="str">
        <f>"1551686169205701"</f>
        <v>1551686169205701</v>
      </c>
      <c r="C690" t="s">
        <v>40</v>
      </c>
      <c r="D690">
        <v>4.1832739999999999</v>
      </c>
      <c r="E690">
        <v>0.55248299999999995</v>
      </c>
      <c r="F690" t="s">
        <v>43</v>
      </c>
      <c r="G690">
        <v>-158.78319999999999</v>
      </c>
      <c r="H690">
        <v>2.685476</v>
      </c>
      <c r="I690">
        <v>351.34899999999999</v>
      </c>
      <c r="J690">
        <v>-349.39789999999999</v>
      </c>
      <c r="K690">
        <v>1.109937</v>
      </c>
      <c r="L690">
        <v>367.03719999999998</v>
      </c>
      <c r="M690">
        <v>0.99992530000000002</v>
      </c>
      <c r="N690">
        <v>-1.185161E-2</v>
      </c>
      <c r="O690">
        <v>-3.0348990000000002E-3</v>
      </c>
      <c r="P690">
        <v>0.98551770000000005</v>
      </c>
      <c r="Q690">
        <v>0.15961520000000001</v>
      </c>
      <c r="R690">
        <v>5.7254999999999903E-2</v>
      </c>
      <c r="S690">
        <v>3.0545960000000001</v>
      </c>
      <c r="T690">
        <v>2.522719E-2</v>
      </c>
      <c r="U690">
        <v>-0.25119019999999997</v>
      </c>
      <c r="V690">
        <v>-6.0239620000000001E-2</v>
      </c>
      <c r="W690">
        <v>0.17128399999999999</v>
      </c>
      <c r="X690">
        <v>0.98337839999999999</v>
      </c>
      <c r="Y690">
        <v>7.8933390000000006E-2</v>
      </c>
      <c r="Z690">
        <v>-2.04083E-4</v>
      </c>
      <c r="AA690">
        <v>0.99687990000000004</v>
      </c>
      <c r="AB690">
        <v>32</v>
      </c>
      <c r="AC690">
        <v>190.6147</v>
      </c>
      <c r="AD690">
        <v>1.57553899999999</v>
      </c>
      <c r="AE690">
        <v>-15.688199999999901</v>
      </c>
      <c r="AF690">
        <v>15.1085655594405</v>
      </c>
      <c r="AG690">
        <v>1.57553899999999</v>
      </c>
      <c r="AH690">
        <v>190.648500075637</v>
      </c>
      <c r="AI690">
        <v>89.527992293265797</v>
      </c>
      <c r="AJ690">
        <v>85.468877822098804</v>
      </c>
      <c r="AK690">
        <v>191.25271673232399</v>
      </c>
      <c r="AL690">
        <v>80.137518572030203</v>
      </c>
      <c r="AM690">
        <v>93.505434362386097</v>
      </c>
      <c r="AN690">
        <v>1.0000000490301499</v>
      </c>
    </row>
    <row r="691" spans="1:40" x14ac:dyDescent="0.25">
      <c r="A691" t="str">
        <f>"20190304155609227"</f>
        <v>20190304155609227</v>
      </c>
      <c r="B691" t="str">
        <f>"1551686169215314"</f>
        <v>1551686169215314</v>
      </c>
      <c r="C691" t="s">
        <v>40</v>
      </c>
      <c r="D691">
        <v>4.2636370000000001</v>
      </c>
      <c r="E691">
        <v>0.55324010000000001</v>
      </c>
      <c r="F691" t="s">
        <v>43</v>
      </c>
      <c r="G691">
        <v>-158.78319999999999</v>
      </c>
      <c r="H691">
        <v>2.8986049999999999</v>
      </c>
      <c r="I691">
        <v>350.94799999999998</v>
      </c>
      <c r="J691">
        <v>-349.24029999999999</v>
      </c>
      <c r="K691">
        <v>1.109939</v>
      </c>
      <c r="L691">
        <v>367.0367</v>
      </c>
      <c r="M691">
        <v>0.99992530000000002</v>
      </c>
      <c r="N691">
        <v>-1.1852079999999999E-2</v>
      </c>
      <c r="O691">
        <v>-3.0347830000000001E-3</v>
      </c>
      <c r="P691">
        <v>0.98543780000000003</v>
      </c>
      <c r="Q691">
        <v>0.16011359999999999</v>
      </c>
      <c r="R691">
        <v>5.7240770000000003E-2</v>
      </c>
      <c r="S691">
        <v>3.0544129999999998</v>
      </c>
      <c r="T691">
        <v>2.8663040000000001E-2</v>
      </c>
      <c r="U691">
        <v>-0.2578125</v>
      </c>
      <c r="V691">
        <v>-6.0224939999999998E-2</v>
      </c>
      <c r="W691">
        <v>0.17178199999999999</v>
      </c>
      <c r="X691">
        <v>0.98329239999999996</v>
      </c>
      <c r="Y691">
        <v>8.1084489999999995E-2</v>
      </c>
      <c r="Z691">
        <v>-1.65938E-4</v>
      </c>
      <c r="AA691">
        <v>0.99670720000000002</v>
      </c>
      <c r="AB691">
        <v>32</v>
      </c>
      <c r="AC691">
        <v>190.4571</v>
      </c>
      <c r="AD691">
        <v>1.7886660000000001</v>
      </c>
      <c r="AE691">
        <v>-16.0886999999999</v>
      </c>
      <c r="AF691">
        <v>15.509231206838001</v>
      </c>
      <c r="AG691">
        <v>1.7886660000000001</v>
      </c>
      <c r="AH691">
        <v>190.488370101144</v>
      </c>
      <c r="AI691">
        <v>89.463788610396506</v>
      </c>
      <c r="AJ691">
        <v>85.3453444725521</v>
      </c>
      <c r="AK691">
        <v>191.12706433803999</v>
      </c>
      <c r="AL691">
        <v>80.1085557266384</v>
      </c>
      <c r="AM691">
        <v>93.504887991561603</v>
      </c>
      <c r="AN691">
        <v>1.0000000214098801</v>
      </c>
    </row>
    <row r="692" spans="1:40" x14ac:dyDescent="0.25">
      <c r="A692" t="str">
        <f>"20190304155609241"</f>
        <v>20190304155609241</v>
      </c>
      <c r="B692" t="str">
        <f>"1551686169235810"</f>
        <v>1551686169235810</v>
      </c>
      <c r="C692" t="s">
        <v>40</v>
      </c>
      <c r="D692">
        <v>4.238181</v>
      </c>
      <c r="E692">
        <v>0.554544699999999</v>
      </c>
      <c r="F692" t="s">
        <v>46</v>
      </c>
      <c r="G692">
        <v>0</v>
      </c>
      <c r="H692">
        <v>0</v>
      </c>
      <c r="I692">
        <v>0</v>
      </c>
      <c r="J692">
        <v>-349.04259999999999</v>
      </c>
      <c r="K692">
        <v>1.1099429999999999</v>
      </c>
      <c r="L692">
        <v>367.03609999999998</v>
      </c>
      <c r="M692">
        <v>0.99992530000000002</v>
      </c>
      <c r="N692">
        <v>-1.1852659999999999E-2</v>
      </c>
      <c r="O692">
        <v>-3.0347870000000002E-3</v>
      </c>
      <c r="P692">
        <v>0.98532529999999996</v>
      </c>
      <c r="Q692">
        <v>0.16077920000000001</v>
      </c>
      <c r="R692">
        <v>5.7309720000000001E-2</v>
      </c>
      <c r="S692">
        <v>3.0544129999999998</v>
      </c>
      <c r="T692">
        <v>3.242826E-2</v>
      </c>
      <c r="U692">
        <v>-0.2638855</v>
      </c>
      <c r="V692">
        <v>-6.0293310000000003E-2</v>
      </c>
      <c r="W692">
        <v>0.17244709999999999</v>
      </c>
      <c r="X692">
        <v>0.98317180000000004</v>
      </c>
      <c r="Y692">
        <v>8.3051390000000003E-2</v>
      </c>
      <c r="Z692">
        <v>-1.2114209999999999E-4</v>
      </c>
      <c r="AA692">
        <v>0.99654529999999997</v>
      </c>
      <c r="AB692">
        <v>32</v>
      </c>
      <c r="AC692">
        <v>3.0544129999999998</v>
      </c>
      <c r="AD692">
        <v>3.242826E-2</v>
      </c>
      <c r="AE692">
        <v>-0.2638855</v>
      </c>
      <c r="AF692">
        <v>0.254585658307181</v>
      </c>
      <c r="AG692">
        <v>3.242826E-2</v>
      </c>
      <c r="AH692">
        <v>3.0548580397592802</v>
      </c>
      <c r="AI692">
        <v>89.393911387330903</v>
      </c>
      <c r="AJ692">
        <v>85.236094654518098</v>
      </c>
      <c r="AK692">
        <v>3.0656195283407599</v>
      </c>
      <c r="AL692">
        <v>80.069871165057506</v>
      </c>
      <c r="AM692">
        <v>93.5092862947226</v>
      </c>
      <c r="AN692">
        <v>1.0000000369222</v>
      </c>
    </row>
    <row r="693" spans="1:40" x14ac:dyDescent="0.25">
      <c r="A693" t="str">
        <f>"20190304155609255"</f>
        <v>20190304155609255</v>
      </c>
      <c r="B693" t="str">
        <f>"1551686169245570"</f>
        <v>1551686169245570</v>
      </c>
      <c r="C693" t="s">
        <v>40</v>
      </c>
      <c r="D693">
        <v>4.2001039999999996</v>
      </c>
      <c r="E693">
        <v>0.55523330000000004</v>
      </c>
      <c r="F693" t="s">
        <v>47</v>
      </c>
      <c r="G693">
        <v>-249.62970000000001</v>
      </c>
      <c r="H693">
        <v>2.379305</v>
      </c>
      <c r="I693">
        <v>358.11900000000003</v>
      </c>
      <c r="J693">
        <v>-348.85550000000001</v>
      </c>
      <c r="K693">
        <v>1.1099460000000001</v>
      </c>
      <c r="L693">
        <v>367.03550000000001</v>
      </c>
      <c r="M693">
        <v>0.99992519999999996</v>
      </c>
      <c r="N693">
        <v>-1.1853219999999999E-2</v>
      </c>
      <c r="O693">
        <v>-3.0345519999999998E-3</v>
      </c>
      <c r="P693">
        <v>0.9852455</v>
      </c>
      <c r="Q693">
        <v>0.161302</v>
      </c>
      <c r="R693">
        <v>5.7209099999999999E-2</v>
      </c>
      <c r="S693">
        <v>3.05423</v>
      </c>
      <c r="T693">
        <v>3.900087E-2</v>
      </c>
      <c r="U693">
        <v>-0.27395629999999999</v>
      </c>
      <c r="V693">
        <v>-6.0192080000000002E-2</v>
      </c>
      <c r="W693">
        <v>0.1729694</v>
      </c>
      <c r="X693">
        <v>0.98308620000000002</v>
      </c>
      <c r="Y693">
        <v>8.6316080000000003E-2</v>
      </c>
      <c r="Z693" s="1">
        <v>-3.7193300000000002E-5</v>
      </c>
      <c r="AA693">
        <v>0.99626780000000004</v>
      </c>
      <c r="AB693">
        <v>32</v>
      </c>
      <c r="AC693">
        <v>99.225800000000007</v>
      </c>
      <c r="AD693">
        <v>1.2693589999999999</v>
      </c>
      <c r="AE693">
        <v>-8.9164999999999797</v>
      </c>
      <c r="AF693">
        <v>8.6139335624161699</v>
      </c>
      <c r="AG693">
        <v>1.2693589999999999</v>
      </c>
      <c r="AH693">
        <v>99.236292486594607</v>
      </c>
      <c r="AI693">
        <v>89.269898786813897</v>
      </c>
      <c r="AJ693">
        <v>85.039032120071496</v>
      </c>
      <c r="AK693">
        <v>99.617532945629407</v>
      </c>
      <c r="AL693">
        <v>80.039488538637499</v>
      </c>
      <c r="AM693">
        <v>93.503713325485194</v>
      </c>
      <c r="AN693">
        <v>0.99999998823076297</v>
      </c>
    </row>
    <row r="694" spans="1:40" x14ac:dyDescent="0.25">
      <c r="A694" t="str">
        <f>"20190304155609272"</f>
        <v>20190304155609272</v>
      </c>
      <c r="B694" t="str">
        <f>"1551686169265091"</f>
        <v>1551686169265091</v>
      </c>
      <c r="C694" t="s">
        <v>40</v>
      </c>
      <c r="D694">
        <v>4.2216290000000001</v>
      </c>
      <c r="E694">
        <v>0.55641160000000001</v>
      </c>
      <c r="F694" t="s">
        <v>47</v>
      </c>
      <c r="G694">
        <v>-249.6885</v>
      </c>
      <c r="H694">
        <v>2.4396260000000001</v>
      </c>
      <c r="I694">
        <v>357.95670000000001</v>
      </c>
      <c r="J694">
        <v>-348.59840000000003</v>
      </c>
      <c r="K694">
        <v>1.109953</v>
      </c>
      <c r="L694">
        <v>367.03480000000002</v>
      </c>
      <c r="M694">
        <v>0.99992530000000002</v>
      </c>
      <c r="N694">
        <v>-1.185404E-2</v>
      </c>
      <c r="O694">
        <v>-3.0347949999999999E-3</v>
      </c>
      <c r="P694">
        <v>0.98515330000000001</v>
      </c>
      <c r="Q694">
        <v>0.1618975</v>
      </c>
      <c r="R694">
        <v>5.7116100000000003E-2</v>
      </c>
      <c r="S694">
        <v>3.0543819999999999</v>
      </c>
      <c r="T694">
        <v>4.095733E-2</v>
      </c>
      <c r="U694">
        <v>-0.27963259999999901</v>
      </c>
      <c r="V694">
        <v>-6.0098970000000002E-2</v>
      </c>
      <c r="W694">
        <v>0.17356440000000001</v>
      </c>
      <c r="X694">
        <v>0.98298700000000006</v>
      </c>
      <c r="Y694">
        <v>8.8147279999999995E-2</v>
      </c>
      <c r="Z694" s="1">
        <v>-1.032732E-5</v>
      </c>
      <c r="AA694">
        <v>0.99610750000000003</v>
      </c>
      <c r="AB694">
        <v>32</v>
      </c>
      <c r="AC694">
        <v>98.909899999999993</v>
      </c>
      <c r="AD694">
        <v>1.3296729999999899</v>
      </c>
      <c r="AE694">
        <v>-9.0780999999999992</v>
      </c>
      <c r="AF694">
        <v>8.7762930606610396</v>
      </c>
      <c r="AG694">
        <v>1.3296729999999899</v>
      </c>
      <c r="AH694">
        <v>98.919269040410697</v>
      </c>
      <c r="AI694">
        <v>89.232889301962004</v>
      </c>
      <c r="AJ694">
        <v>84.929892180225195</v>
      </c>
      <c r="AK694">
        <v>99.316731408472606</v>
      </c>
      <c r="AL694">
        <v>80.0048737626676</v>
      </c>
      <c r="AM694">
        <v>93.498659128700297</v>
      </c>
      <c r="AN694">
        <v>0.99999996465570895</v>
      </c>
    </row>
    <row r="695" spans="1:40" x14ac:dyDescent="0.25">
      <c r="A695" t="str">
        <f>"20190304155609283"</f>
        <v>20190304155609283</v>
      </c>
      <c r="B695" t="str">
        <f>"1551686169275826"</f>
        <v>1551686169275826</v>
      </c>
      <c r="C695" t="s">
        <v>40</v>
      </c>
      <c r="D695">
        <v>4.2479879999999897</v>
      </c>
      <c r="E695">
        <v>0.55686559999999996</v>
      </c>
      <c r="F695" t="s">
        <v>46</v>
      </c>
      <c r="G695">
        <v>0</v>
      </c>
      <c r="H695">
        <v>0</v>
      </c>
      <c r="I695">
        <v>0</v>
      </c>
      <c r="J695">
        <v>-348.44130000000001</v>
      </c>
      <c r="K695">
        <v>1.109953</v>
      </c>
      <c r="L695">
        <v>367.03429999999997</v>
      </c>
      <c r="M695">
        <v>0.99992519999999996</v>
      </c>
      <c r="N695">
        <v>-1.185461E-2</v>
      </c>
      <c r="O695">
        <v>-3.0345599999999999E-3</v>
      </c>
      <c r="P695">
        <v>0.98509959999999996</v>
      </c>
      <c r="Q695">
        <v>0.16220470000000001</v>
      </c>
      <c r="R695">
        <v>5.7172670000000002E-2</v>
      </c>
      <c r="S695">
        <v>3.0545960000000001</v>
      </c>
      <c r="T695">
        <v>4.4872639999999998E-2</v>
      </c>
      <c r="U695">
        <v>-0.28912349999999998</v>
      </c>
      <c r="V695">
        <v>-6.0155189999999997E-2</v>
      </c>
      <c r="W695">
        <v>0.17387149999999901</v>
      </c>
      <c r="X695">
        <v>0.98292930000000001</v>
      </c>
      <c r="Y695">
        <v>9.1208330000000004E-2</v>
      </c>
      <c r="Z695" s="1">
        <v>4.6188240000000002E-5</v>
      </c>
      <c r="AA695">
        <v>0.99583180000000004</v>
      </c>
      <c r="AB695">
        <v>32</v>
      </c>
      <c r="AC695">
        <v>3.0545960000000001</v>
      </c>
      <c r="AD695">
        <v>4.4872639999999998E-2</v>
      </c>
      <c r="AE695">
        <v>-0.28912349999999998</v>
      </c>
      <c r="AF695">
        <v>0.27979231942195698</v>
      </c>
      <c r="AG695">
        <v>4.4872639999999998E-2</v>
      </c>
      <c r="AH695">
        <v>3.0548059780391199</v>
      </c>
      <c r="AI695">
        <v>89.161939015115905</v>
      </c>
      <c r="AJ695">
        <v>84.766830935056205</v>
      </c>
      <c r="AK695">
        <v>3.0679206083749402</v>
      </c>
      <c r="AL695">
        <v>79.987006691185698</v>
      </c>
      <c r="AM695">
        <v>93.502128891394605</v>
      </c>
      <c r="AN695">
        <v>0.99999997709733701</v>
      </c>
    </row>
    <row r="696" spans="1:40" x14ac:dyDescent="0.25">
      <c r="A696" t="str">
        <f>"20190304155609294"</f>
        <v>20190304155609294</v>
      </c>
      <c r="B696" t="str">
        <f>"1551686169285587"</f>
        <v>1551686169285587</v>
      </c>
      <c r="C696" t="s">
        <v>40</v>
      </c>
      <c r="D696">
        <v>4.2501089999999904</v>
      </c>
      <c r="E696">
        <v>0.55735299999999999</v>
      </c>
      <c r="F696" t="s">
        <v>46</v>
      </c>
      <c r="G696">
        <v>0</v>
      </c>
      <c r="H696">
        <v>0</v>
      </c>
      <c r="I696">
        <v>0</v>
      </c>
      <c r="J696">
        <v>-348.30610000000001</v>
      </c>
      <c r="K696">
        <v>1.1099540000000001</v>
      </c>
      <c r="L696">
        <v>367.03390000000002</v>
      </c>
      <c r="M696">
        <v>0.99992510000000001</v>
      </c>
      <c r="N696">
        <v>-1.18551E-2</v>
      </c>
      <c r="O696">
        <v>-3.0344439999999999E-3</v>
      </c>
      <c r="P696">
        <v>0.98506899999999997</v>
      </c>
      <c r="Q696">
        <v>0.16224089999999999</v>
      </c>
      <c r="R696">
        <v>5.7592150000000002E-2</v>
      </c>
      <c r="S696">
        <v>3.0545650000000002</v>
      </c>
      <c r="T696">
        <v>4.7140479999999998E-2</v>
      </c>
      <c r="U696">
        <v>-0.29244999999999999</v>
      </c>
      <c r="V696">
        <v>-6.0574749999999997E-2</v>
      </c>
      <c r="W696">
        <v>0.1739077</v>
      </c>
      <c r="X696">
        <v>0.98289720000000003</v>
      </c>
      <c r="Y696">
        <v>9.2283450000000003E-2</v>
      </c>
      <c r="Z696" s="1">
        <v>7.9530639999999997E-5</v>
      </c>
      <c r="AA696">
        <v>0.99573279999999997</v>
      </c>
      <c r="AB696">
        <v>32</v>
      </c>
      <c r="AC696">
        <v>3.0545650000000002</v>
      </c>
      <c r="AD696">
        <v>4.7140479999999998E-2</v>
      </c>
      <c r="AE696">
        <v>-0.29244999999999999</v>
      </c>
      <c r="AF696">
        <v>0.28311227862591898</v>
      </c>
      <c r="AG696">
        <v>4.7140479999999998E-2</v>
      </c>
      <c r="AH696">
        <v>3.0547174832706601</v>
      </c>
      <c r="AI696">
        <v>89.119652468048798</v>
      </c>
      <c r="AJ696">
        <v>84.704933575249896</v>
      </c>
      <c r="AK696">
        <v>3.0681710659223098</v>
      </c>
      <c r="AL696">
        <v>79.984901204799897</v>
      </c>
      <c r="AM696">
        <v>93.526608383962099</v>
      </c>
      <c r="AN696">
        <v>1.00000004711234</v>
      </c>
    </row>
    <row r="697" spans="1:40" x14ac:dyDescent="0.25">
      <c r="A697" t="str">
        <f>"20190304155609305"</f>
        <v>20190304155609305</v>
      </c>
      <c r="B697" t="str">
        <f>"1551686169295346"</f>
        <v>1551686169295346</v>
      </c>
      <c r="C697" t="s">
        <v>40</v>
      </c>
      <c r="D697">
        <v>4.2429730000000001</v>
      </c>
      <c r="E697">
        <v>0.55786380000000002</v>
      </c>
      <c r="F697" t="s">
        <v>46</v>
      </c>
      <c r="G697">
        <v>0</v>
      </c>
      <c r="H697">
        <v>0</v>
      </c>
      <c r="I697">
        <v>0</v>
      </c>
      <c r="J697">
        <v>-348.13459999999998</v>
      </c>
      <c r="K697">
        <v>1.1099509999999999</v>
      </c>
      <c r="L697">
        <v>367.0333</v>
      </c>
      <c r="M697">
        <v>0.99992510000000001</v>
      </c>
      <c r="N697">
        <v>-1.185575E-2</v>
      </c>
      <c r="O697">
        <v>-3.0343290000000001E-3</v>
      </c>
      <c r="P697">
        <v>0.98511179999999998</v>
      </c>
      <c r="Q697">
        <v>0.161970899999999</v>
      </c>
      <c r="R697">
        <v>5.7619719999999999E-2</v>
      </c>
      <c r="S697">
        <v>3.0547179999999998</v>
      </c>
      <c r="T697">
        <v>4.8589229999999997E-2</v>
      </c>
      <c r="U697">
        <v>-0.29519649999999997</v>
      </c>
      <c r="V697">
        <v>-6.0602499999999997E-2</v>
      </c>
      <c r="W697">
        <v>0.1736386</v>
      </c>
      <c r="X697">
        <v>0.98294300000000001</v>
      </c>
      <c r="Y697">
        <v>9.3165490000000004E-2</v>
      </c>
      <c r="Z697">
        <v>1.0156849999999999E-4</v>
      </c>
      <c r="AA697">
        <v>0.99565060000000005</v>
      </c>
      <c r="AB697">
        <v>32</v>
      </c>
      <c r="AC697">
        <v>3.0547179999999998</v>
      </c>
      <c r="AD697">
        <v>4.8589229999999997E-2</v>
      </c>
      <c r="AE697">
        <v>-0.29519649999999997</v>
      </c>
      <c r="AF697">
        <v>0.28585381507256902</v>
      </c>
      <c r="AG697">
        <v>4.8589229999999997E-2</v>
      </c>
      <c r="AH697">
        <v>3.0548339689469199</v>
      </c>
      <c r="AI697">
        <v>89.092711011906303</v>
      </c>
      <c r="AJ697">
        <v>84.654156794524894</v>
      </c>
      <c r="AK697">
        <v>3.06856381629835</v>
      </c>
      <c r="AL697">
        <v>80.000557061594193</v>
      </c>
      <c r="AM697">
        <v>93.528055902951493</v>
      </c>
      <c r="AN697">
        <v>0.99999998383260402</v>
      </c>
    </row>
    <row r="698" spans="1:40" x14ac:dyDescent="0.25">
      <c r="A698" t="str">
        <f>"20190304155609316"</f>
        <v>20190304155609316</v>
      </c>
      <c r="B698" t="str">
        <f>"1551686169305107"</f>
        <v>1551686169305107</v>
      </c>
      <c r="C698" t="s">
        <v>40</v>
      </c>
      <c r="D698">
        <v>4.3053739999999996</v>
      </c>
      <c r="E698">
        <v>0.55817759999999905</v>
      </c>
      <c r="F698" t="s">
        <v>46</v>
      </c>
      <c r="G698">
        <v>0</v>
      </c>
      <c r="H698">
        <v>0</v>
      </c>
      <c r="I698">
        <v>0</v>
      </c>
      <c r="J698">
        <v>-347.98129999999998</v>
      </c>
      <c r="K698">
        <v>1.1099479999999999</v>
      </c>
      <c r="L698">
        <v>367.03289999999998</v>
      </c>
      <c r="M698">
        <v>0.99992510000000001</v>
      </c>
      <c r="N698">
        <v>-1.185631E-2</v>
      </c>
      <c r="O698">
        <v>-3.0343330000000002E-3</v>
      </c>
      <c r="P698">
        <v>0.98511660000000001</v>
      </c>
      <c r="Q698">
        <v>0.1618636</v>
      </c>
      <c r="R698">
        <v>5.7839559999999998E-2</v>
      </c>
      <c r="S698">
        <v>3.0547789999999999</v>
      </c>
      <c r="T698">
        <v>4.9015280000000001E-2</v>
      </c>
      <c r="U698">
        <v>-0.29898069999999999</v>
      </c>
      <c r="V698">
        <v>-6.0822080000000001E-2</v>
      </c>
      <c r="W698">
        <v>0.17353250000000001</v>
      </c>
      <c r="X698">
        <v>0.98294820000000005</v>
      </c>
      <c r="Y698">
        <v>9.4385179999999999E-2</v>
      </c>
      <c r="Z698">
        <v>1.100255E-4</v>
      </c>
      <c r="AA698">
        <v>0.99553570000000002</v>
      </c>
      <c r="AB698">
        <v>32</v>
      </c>
      <c r="AC698">
        <v>3.0547789999999999</v>
      </c>
      <c r="AD698">
        <v>4.9015280000000001E-2</v>
      </c>
      <c r="AE698">
        <v>-0.29898069999999999</v>
      </c>
      <c r="AF698">
        <v>0.289635594096955</v>
      </c>
      <c r="AG698">
        <v>4.9015280000000001E-2</v>
      </c>
      <c r="AH698">
        <v>3.0548931671142299</v>
      </c>
      <c r="AI698">
        <v>89.084880217488006</v>
      </c>
      <c r="AJ698">
        <v>84.583954720558395</v>
      </c>
      <c r="AK698">
        <v>3.0689841214191</v>
      </c>
      <c r="AL698">
        <v>80.006730107698502</v>
      </c>
      <c r="AM698">
        <v>93.5407879002356</v>
      </c>
      <c r="AN698">
        <v>1.0000000089275001</v>
      </c>
    </row>
    <row r="699" spans="1:40" x14ac:dyDescent="0.25">
      <c r="A699" t="str">
        <f>"20190304155609326"</f>
        <v>20190304155609326</v>
      </c>
      <c r="B699" t="str">
        <f>"1551686169315843"</f>
        <v>1551686169315843</v>
      </c>
      <c r="C699" t="s">
        <v>40</v>
      </c>
      <c r="D699">
        <v>4.2506879999999896</v>
      </c>
      <c r="E699">
        <v>0.55859590000000003</v>
      </c>
      <c r="F699" t="s">
        <v>46</v>
      </c>
      <c r="G699">
        <v>0</v>
      </c>
      <c r="H699">
        <v>0</v>
      </c>
      <c r="I699">
        <v>0</v>
      </c>
      <c r="J699">
        <v>-347.82940000000002</v>
      </c>
      <c r="K699">
        <v>1.109945</v>
      </c>
      <c r="L699">
        <v>367.0324</v>
      </c>
      <c r="M699">
        <v>0.99992510000000001</v>
      </c>
      <c r="N699">
        <v>-1.185686E-2</v>
      </c>
      <c r="O699">
        <v>-3.0343359999999999E-3</v>
      </c>
      <c r="P699">
        <v>0.98513200000000001</v>
      </c>
      <c r="Q699">
        <v>0.16162279999999901</v>
      </c>
      <c r="R699">
        <v>5.8252560000000002E-2</v>
      </c>
      <c r="S699">
        <v>3.054932</v>
      </c>
      <c r="T699">
        <v>4.9141650000000002E-2</v>
      </c>
      <c r="U699">
        <v>-0.30105589999999999</v>
      </c>
      <c r="V699">
        <v>-6.1235289999999998E-2</v>
      </c>
      <c r="W699">
        <v>0.173292</v>
      </c>
      <c r="X699">
        <v>0.98296499999999998</v>
      </c>
      <c r="Y699">
        <v>9.5050129999999997E-2</v>
      </c>
      <c r="Z699">
        <v>1.131272E-4</v>
      </c>
      <c r="AA699">
        <v>0.99547249999999998</v>
      </c>
      <c r="AB699">
        <v>32</v>
      </c>
      <c r="AC699">
        <v>3.054932</v>
      </c>
      <c r="AD699">
        <v>4.9141650000000002E-2</v>
      </c>
      <c r="AE699">
        <v>-0.30105589999999999</v>
      </c>
      <c r="AF699">
        <v>0.291709415460081</v>
      </c>
      <c r="AG699">
        <v>4.9141650000000002E-2</v>
      </c>
      <c r="AH699">
        <v>3.0550485837254802</v>
      </c>
      <c r="AI699">
        <v>89.082626240971805</v>
      </c>
      <c r="AJ699">
        <v>84.545684140328504</v>
      </c>
      <c r="AK699">
        <v>3.0693372466634998</v>
      </c>
      <c r="AL699">
        <v>80.020721984007494</v>
      </c>
      <c r="AM699">
        <v>93.564720536911295</v>
      </c>
      <c r="AN699">
        <v>1.00000003461519</v>
      </c>
    </row>
    <row r="700" spans="1:40" x14ac:dyDescent="0.25">
      <c r="A700" t="str">
        <f>"20190304155609339"</f>
        <v>20190304155609339</v>
      </c>
      <c r="B700" t="str">
        <f>"1551686169335362"</f>
        <v>1551686169335362</v>
      </c>
      <c r="C700" t="s">
        <v>40</v>
      </c>
      <c r="D700">
        <v>4.2230410000000003</v>
      </c>
      <c r="E700">
        <v>0.55938319999999997</v>
      </c>
      <c r="F700" t="s">
        <v>46</v>
      </c>
      <c r="G700">
        <v>0</v>
      </c>
      <c r="H700">
        <v>0</v>
      </c>
      <c r="I700">
        <v>0</v>
      </c>
      <c r="J700">
        <v>-347.66930000000002</v>
      </c>
      <c r="K700">
        <v>1.10995</v>
      </c>
      <c r="L700">
        <v>367.03199999999998</v>
      </c>
      <c r="M700">
        <v>0.99992510000000001</v>
      </c>
      <c r="N700">
        <v>-1.185745E-2</v>
      </c>
      <c r="O700">
        <v>-3.034101E-3</v>
      </c>
      <c r="P700">
        <v>0.98517169999999998</v>
      </c>
      <c r="Q700">
        <v>0.16122049999999999</v>
      </c>
      <c r="R700">
        <v>5.869572E-2</v>
      </c>
      <c r="S700">
        <v>3.0550839999999999</v>
      </c>
      <c r="T700">
        <v>4.9531819999999997E-2</v>
      </c>
      <c r="U700">
        <v>-0.30331419999999998</v>
      </c>
      <c r="V700">
        <v>-6.1678419999999998E-2</v>
      </c>
      <c r="W700">
        <v>0.17289089999999999</v>
      </c>
      <c r="X700">
        <v>0.98300790000000005</v>
      </c>
      <c r="Y700">
        <v>9.5774049999999999E-2</v>
      </c>
      <c r="Z700">
        <v>1.202411E-4</v>
      </c>
      <c r="AA700">
        <v>0.99540309999999999</v>
      </c>
      <c r="AB700">
        <v>32</v>
      </c>
      <c r="AC700">
        <v>3.0550839999999999</v>
      </c>
      <c r="AD700">
        <v>4.9531819999999997E-2</v>
      </c>
      <c r="AE700">
        <v>-0.30331419999999998</v>
      </c>
      <c r="AF700">
        <v>0.29396620126873502</v>
      </c>
      <c r="AG700">
        <v>4.9531819999999997E-2</v>
      </c>
      <c r="AH700">
        <v>3.05519504062323</v>
      </c>
      <c r="AI700">
        <v>89.0754525985746</v>
      </c>
      <c r="AJ700">
        <v>84.5040065459863</v>
      </c>
      <c r="AK700">
        <v>3.0697045891957799</v>
      </c>
      <c r="AL700">
        <v>80.0440552864236</v>
      </c>
      <c r="AM700">
        <v>93.590293163512996</v>
      </c>
      <c r="AN700">
        <v>1.00000001112945</v>
      </c>
    </row>
    <row r="701" spans="1:40" x14ac:dyDescent="0.25">
      <c r="A701" t="str">
        <f>"20190304155609350"</f>
        <v>20190304155609350</v>
      </c>
      <c r="B701" t="str">
        <f>"1551686169345123"</f>
        <v>1551686169345123</v>
      </c>
      <c r="C701" t="s">
        <v>40</v>
      </c>
      <c r="D701">
        <v>4.3501320000000003</v>
      </c>
      <c r="E701">
        <v>0.55968469999999904</v>
      </c>
      <c r="F701" t="s">
        <v>46</v>
      </c>
      <c r="G701">
        <v>0</v>
      </c>
      <c r="H701">
        <v>0</v>
      </c>
      <c r="I701">
        <v>0</v>
      </c>
      <c r="J701">
        <v>-347.51049999999998</v>
      </c>
      <c r="K701">
        <v>1.1099490000000001</v>
      </c>
      <c r="L701">
        <v>367.03149999999999</v>
      </c>
      <c r="M701">
        <v>0.99992510000000001</v>
      </c>
      <c r="N701">
        <v>-1.185803E-2</v>
      </c>
      <c r="O701">
        <v>-3.0339849999999999E-3</v>
      </c>
      <c r="P701">
        <v>0.98522449999999995</v>
      </c>
      <c r="Q701">
        <v>0.1608878</v>
      </c>
      <c r="R701">
        <v>5.8720290000000001E-2</v>
      </c>
      <c r="S701">
        <v>3.0552670000000002</v>
      </c>
      <c r="T701">
        <v>5.0328369999999997E-2</v>
      </c>
      <c r="U701">
        <v>-0.30813600000000002</v>
      </c>
      <c r="V701">
        <v>-6.1703139999999997E-2</v>
      </c>
      <c r="W701">
        <v>0.17255980000000001</v>
      </c>
      <c r="X701">
        <v>0.98306450000000001</v>
      </c>
      <c r="Y701">
        <v>9.7323229999999997E-2</v>
      </c>
      <c r="Z701">
        <v>1.352518E-4</v>
      </c>
      <c r="AA701">
        <v>0.99525280000000005</v>
      </c>
      <c r="AB701">
        <v>32</v>
      </c>
      <c r="AC701">
        <v>3.0552670000000002</v>
      </c>
      <c r="AD701">
        <v>5.0328369999999997E-2</v>
      </c>
      <c r="AE701">
        <v>-0.30813600000000002</v>
      </c>
      <c r="AF701">
        <v>0.29878403742338799</v>
      </c>
      <c r="AG701">
        <v>5.0328369999999997E-2</v>
      </c>
      <c r="AH701">
        <v>3.0553671605147201</v>
      </c>
      <c r="AI701">
        <v>89.060781788586397</v>
      </c>
      <c r="AJ701">
        <v>84.414809965734094</v>
      </c>
      <c r="AK701">
        <v>3.07035394236522</v>
      </c>
      <c r="AL701">
        <v>80.063315151757493</v>
      </c>
      <c r="AM701">
        <v>93.591522092883494</v>
      </c>
      <c r="AN701">
        <v>0.99999998661107403</v>
      </c>
    </row>
    <row r="702" spans="1:40" x14ac:dyDescent="0.25">
      <c r="A702" t="str">
        <f>"20190304155609361"</f>
        <v>20190304155609361</v>
      </c>
      <c r="B702" t="str">
        <f>"1551686169355858"</f>
        <v>1551686169355858</v>
      </c>
      <c r="C702" t="s">
        <v>40</v>
      </c>
      <c r="D702">
        <v>4.2418180000000003</v>
      </c>
      <c r="E702">
        <v>0.56008049999999998</v>
      </c>
      <c r="F702" t="s">
        <v>46</v>
      </c>
      <c r="G702">
        <v>0</v>
      </c>
      <c r="H702">
        <v>0</v>
      </c>
      <c r="I702">
        <v>0</v>
      </c>
      <c r="J702">
        <v>-347.35340000000002</v>
      </c>
      <c r="K702">
        <v>1.109947</v>
      </c>
      <c r="L702">
        <v>367.03100000000001</v>
      </c>
      <c r="M702">
        <v>0.99992510000000001</v>
      </c>
      <c r="N702">
        <v>-1.185864E-2</v>
      </c>
      <c r="O702">
        <v>-3.0341080000000002E-3</v>
      </c>
      <c r="P702">
        <v>0.98522940000000003</v>
      </c>
      <c r="Q702">
        <v>0.1607828</v>
      </c>
      <c r="R702">
        <v>5.8924560000000001E-2</v>
      </c>
      <c r="S702">
        <v>3.0553590000000002</v>
      </c>
      <c r="T702">
        <v>4.9689289999999997E-2</v>
      </c>
      <c r="U702">
        <v>-0.31021120000000002</v>
      </c>
      <c r="V702">
        <v>-6.1907719999999999E-2</v>
      </c>
      <c r="W702">
        <v>0.1724551</v>
      </c>
      <c r="X702">
        <v>0.98307</v>
      </c>
      <c r="Y702">
        <v>9.7989419999999994E-2</v>
      </c>
      <c r="Z702">
        <v>1.270764E-4</v>
      </c>
      <c r="AA702">
        <v>0.9951875</v>
      </c>
      <c r="AB702">
        <v>32</v>
      </c>
      <c r="AC702">
        <v>3.0553590000000002</v>
      </c>
      <c r="AD702">
        <v>4.9689289999999997E-2</v>
      </c>
      <c r="AE702">
        <v>-0.31021120000000002</v>
      </c>
      <c r="AF702">
        <v>0.30086006993694703</v>
      </c>
      <c r="AG702">
        <v>4.9689289999999997E-2</v>
      </c>
      <c r="AH702">
        <v>3.0554863300492898</v>
      </c>
      <c r="AI702">
        <v>89.0728031151219</v>
      </c>
      <c r="AJ702">
        <v>84.376468399123496</v>
      </c>
      <c r="AK702">
        <v>3.0706648336054601</v>
      </c>
      <c r="AL702">
        <v>80.069405217120007</v>
      </c>
      <c r="AM702">
        <v>93.603378543013093</v>
      </c>
      <c r="AN702">
        <v>0.99999997610580305</v>
      </c>
    </row>
    <row r="703" spans="1:40" x14ac:dyDescent="0.25">
      <c r="A703" t="str">
        <f>"20190304155609372"</f>
        <v>20190304155609372</v>
      </c>
      <c r="B703" t="str">
        <f>"1551686169365618"</f>
        <v>1551686169365618</v>
      </c>
      <c r="C703" t="s">
        <v>40</v>
      </c>
      <c r="D703">
        <v>4.1861860000000002</v>
      </c>
      <c r="E703">
        <v>0.56050639999999996</v>
      </c>
      <c r="F703" t="s">
        <v>46</v>
      </c>
      <c r="G703">
        <v>0</v>
      </c>
      <c r="H703">
        <v>0</v>
      </c>
      <c r="I703">
        <v>0</v>
      </c>
      <c r="J703">
        <v>-347.18830000000003</v>
      </c>
      <c r="K703">
        <v>1.1099460000000001</v>
      </c>
      <c r="L703">
        <v>367.03050000000002</v>
      </c>
      <c r="M703">
        <v>0.99992510000000001</v>
      </c>
      <c r="N703">
        <v>-1.185928E-2</v>
      </c>
      <c r="O703">
        <v>-3.0339920000000001E-3</v>
      </c>
      <c r="P703">
        <v>0.98519129999999999</v>
      </c>
      <c r="Q703">
        <v>0.16084490000000001</v>
      </c>
      <c r="R703">
        <v>5.9390659999999998E-2</v>
      </c>
      <c r="S703">
        <v>3.05545</v>
      </c>
      <c r="T703">
        <v>5.0565239999999997E-2</v>
      </c>
      <c r="U703">
        <v>-0.3129883</v>
      </c>
      <c r="V703">
        <v>-6.2373449999999997E-2</v>
      </c>
      <c r="W703">
        <v>0.17251759999999999</v>
      </c>
      <c r="X703">
        <v>0.98302959999999995</v>
      </c>
      <c r="Y703">
        <v>9.8881399999999994E-2</v>
      </c>
      <c r="Z703">
        <v>1.4216089999999999E-4</v>
      </c>
      <c r="AA703">
        <v>0.99509919999999996</v>
      </c>
      <c r="AB703">
        <v>32</v>
      </c>
      <c r="AC703">
        <v>3.05545</v>
      </c>
      <c r="AD703">
        <v>5.0565239999999997E-2</v>
      </c>
      <c r="AE703">
        <v>-0.3129883</v>
      </c>
      <c r="AF703">
        <v>0.30363370225812197</v>
      </c>
      <c r="AG703">
        <v>5.0565239999999997E-2</v>
      </c>
      <c r="AH703">
        <v>3.0555574523325202</v>
      </c>
      <c r="AI703">
        <v>89.056566536628097</v>
      </c>
      <c r="AJ703">
        <v>84.325093110660802</v>
      </c>
      <c r="AK703">
        <v>3.0710228936216102</v>
      </c>
      <c r="AL703">
        <v>80.065769801379204</v>
      </c>
      <c r="AM703">
        <v>93.630563229464698</v>
      </c>
      <c r="AN703">
        <v>0.99999998202541096</v>
      </c>
    </row>
    <row r="704" spans="1:40" x14ac:dyDescent="0.25">
      <c r="A704" t="str">
        <f>"20190304155609383"</f>
        <v>20190304155609383</v>
      </c>
      <c r="B704" t="str">
        <f>"1551686169375378"</f>
        <v>1551686169375378</v>
      </c>
      <c r="C704" t="s">
        <v>40</v>
      </c>
      <c r="D704">
        <v>4.1885539999999999</v>
      </c>
      <c r="E704">
        <v>0.56087900000000002</v>
      </c>
      <c r="F704" t="s">
        <v>46</v>
      </c>
      <c r="G704">
        <v>0</v>
      </c>
      <c r="H704">
        <v>0</v>
      </c>
      <c r="I704">
        <v>0</v>
      </c>
      <c r="J704">
        <v>-347.0317</v>
      </c>
      <c r="K704">
        <v>1.109947</v>
      </c>
      <c r="L704">
        <v>367.03</v>
      </c>
      <c r="M704">
        <v>0.99992510000000001</v>
      </c>
      <c r="N704">
        <v>-1.1859919999999999E-2</v>
      </c>
      <c r="O704">
        <v>-3.0339960000000002E-3</v>
      </c>
      <c r="P704">
        <v>0.98522880000000002</v>
      </c>
      <c r="Q704">
        <v>0.16057569999999999</v>
      </c>
      <c r="R704">
        <v>5.9498549999999997E-2</v>
      </c>
      <c r="S704">
        <v>3.055847</v>
      </c>
      <c r="T704">
        <v>5.0364970000000002E-2</v>
      </c>
      <c r="U704">
        <v>-0.3147278</v>
      </c>
      <c r="V704">
        <v>-6.2480969999999997E-2</v>
      </c>
      <c r="W704">
        <v>0.17224890000000001</v>
      </c>
      <c r="X704">
        <v>0.98306990000000005</v>
      </c>
      <c r="Y704">
        <v>9.9428879999999997E-2</v>
      </c>
      <c r="Z704">
        <v>1.402028E-4</v>
      </c>
      <c r="AA704">
        <v>0.99504459999999995</v>
      </c>
      <c r="AB704">
        <v>32</v>
      </c>
      <c r="AC704">
        <v>3.055847</v>
      </c>
      <c r="AD704">
        <v>5.0364970000000002E-2</v>
      </c>
      <c r="AE704">
        <v>-0.3147278</v>
      </c>
      <c r="AF704">
        <v>0.30537219117643999</v>
      </c>
      <c r="AG704">
        <v>5.0364970000000002E-2</v>
      </c>
      <c r="AH704">
        <v>3.05596647309387</v>
      </c>
      <c r="AI704">
        <v>89.060479697602801</v>
      </c>
      <c r="AJ704">
        <v>84.2935735152451</v>
      </c>
      <c r="AK704">
        <v>3.0715989142498401</v>
      </c>
      <c r="AL704">
        <v>80.081399246872294</v>
      </c>
      <c r="AM704">
        <v>93.636656162773093</v>
      </c>
      <c r="AN704">
        <v>0.99999999172468002</v>
      </c>
    </row>
    <row r="705" spans="1:40" x14ac:dyDescent="0.25">
      <c r="A705" t="str">
        <f>"20190304155609394"</f>
        <v>20190304155609394</v>
      </c>
      <c r="B705" t="str">
        <f>"1551686169385138"</f>
        <v>1551686169385138</v>
      </c>
      <c r="C705" t="s">
        <v>40</v>
      </c>
      <c r="D705">
        <v>4.2801010000000002</v>
      </c>
      <c r="E705">
        <v>0.56124849999999904</v>
      </c>
      <c r="F705" t="s">
        <v>46</v>
      </c>
      <c r="G705">
        <v>0</v>
      </c>
      <c r="H705">
        <v>0</v>
      </c>
      <c r="I705">
        <v>0</v>
      </c>
      <c r="J705">
        <v>-346.87830000000002</v>
      </c>
      <c r="K705">
        <v>1.1099479999999999</v>
      </c>
      <c r="L705">
        <v>367.02949999999998</v>
      </c>
      <c r="M705">
        <v>0.99992510000000001</v>
      </c>
      <c r="N705">
        <v>-1.1860549999999999E-2</v>
      </c>
      <c r="O705">
        <v>-3.0339999999999998E-3</v>
      </c>
      <c r="P705">
        <v>0.98523079999999996</v>
      </c>
      <c r="Q705">
        <v>0.16055269999999999</v>
      </c>
      <c r="R705">
        <v>5.9525229999999998E-2</v>
      </c>
      <c r="S705">
        <v>3.0561829999999999</v>
      </c>
      <c r="T705">
        <v>4.9060230000000003E-2</v>
      </c>
      <c r="U705">
        <v>-0.31704710000000003</v>
      </c>
      <c r="V705">
        <v>-6.2507930000000003E-2</v>
      </c>
      <c r="W705">
        <v>0.1722273</v>
      </c>
      <c r="X705">
        <v>0.98307199999999995</v>
      </c>
      <c r="Y705">
        <v>0.1001652</v>
      </c>
      <c r="Z705">
        <v>1.216788E-4</v>
      </c>
      <c r="AA705">
        <v>0.99497080000000004</v>
      </c>
      <c r="AB705">
        <v>32</v>
      </c>
      <c r="AC705">
        <v>3.0561829999999999</v>
      </c>
      <c r="AD705">
        <v>4.9060230000000003E-2</v>
      </c>
      <c r="AE705">
        <v>-0.31704710000000003</v>
      </c>
      <c r="AF705">
        <v>0.30769408347570398</v>
      </c>
      <c r="AG705">
        <v>4.9060230000000003E-2</v>
      </c>
      <c r="AH705">
        <v>3.0563517094811199</v>
      </c>
      <c r="AI705">
        <v>89.084997645159902</v>
      </c>
      <c r="AJ705">
        <v>84.251194244263303</v>
      </c>
      <c r="AK705">
        <v>3.0721927555447701</v>
      </c>
      <c r="AL705">
        <v>80.082655901729296</v>
      </c>
      <c r="AM705">
        <v>93.6382133838231</v>
      </c>
      <c r="AN705">
        <v>1.00000002068108</v>
      </c>
    </row>
    <row r="706" spans="1:40" x14ac:dyDescent="0.25">
      <c r="A706" t="str">
        <f>"20190304155609405"</f>
        <v>20190304155609405</v>
      </c>
      <c r="B706" t="str">
        <f>"1551686169395874"</f>
        <v>1551686169395874</v>
      </c>
      <c r="C706" t="s">
        <v>40</v>
      </c>
      <c r="D706">
        <v>4.2524220000000001</v>
      </c>
      <c r="E706">
        <v>0.56155969999999999</v>
      </c>
      <c r="F706" t="s">
        <v>46</v>
      </c>
      <c r="G706">
        <v>0</v>
      </c>
      <c r="H706">
        <v>0</v>
      </c>
      <c r="I706">
        <v>0</v>
      </c>
      <c r="J706">
        <v>-346.71929999999998</v>
      </c>
      <c r="K706">
        <v>1.109952</v>
      </c>
      <c r="L706">
        <v>367.02910000000003</v>
      </c>
      <c r="M706">
        <v>0.99992510000000001</v>
      </c>
      <c r="N706">
        <v>-1.1861210000000001E-2</v>
      </c>
      <c r="O706">
        <v>-3.0337659999999998E-3</v>
      </c>
      <c r="P706">
        <v>0.98523970000000005</v>
      </c>
      <c r="Q706">
        <v>0.1605818</v>
      </c>
      <c r="R706">
        <v>5.9297589999999997E-2</v>
      </c>
      <c r="S706">
        <v>3.056152</v>
      </c>
      <c r="T706">
        <v>4.9917820000000002E-2</v>
      </c>
      <c r="U706">
        <v>-0.31979370000000001</v>
      </c>
      <c r="V706">
        <v>-6.227978E-2</v>
      </c>
      <c r="W706">
        <v>0.17225689999999999</v>
      </c>
      <c r="X706">
        <v>0.98308130000000005</v>
      </c>
      <c r="Y706">
        <v>0.10105069999999999</v>
      </c>
      <c r="Z706">
        <v>1.3670530000000001E-4</v>
      </c>
      <c r="AA706">
        <v>0.99488129999999997</v>
      </c>
      <c r="AB706">
        <v>32</v>
      </c>
      <c r="AC706">
        <v>3.056152</v>
      </c>
      <c r="AD706">
        <v>4.9917820000000002E-2</v>
      </c>
      <c r="AE706">
        <v>-0.31979370000000001</v>
      </c>
      <c r="AF706">
        <v>0.31043800311317299</v>
      </c>
      <c r="AG706">
        <v>4.9917820000000002E-2</v>
      </c>
      <c r="AH706">
        <v>3.0563016373389802</v>
      </c>
      <c r="AI706">
        <v>89.069074428294996</v>
      </c>
      <c r="AJ706">
        <v>84.2001817699757</v>
      </c>
      <c r="AK706">
        <v>3.0724327886760001</v>
      </c>
      <c r="AL706">
        <v>80.080934273806903</v>
      </c>
      <c r="AM706">
        <v>93.624935405898199</v>
      </c>
      <c r="AN706">
        <v>1.0000000265020701</v>
      </c>
    </row>
    <row r="707" spans="1:40" x14ac:dyDescent="0.25">
      <c r="A707" t="str">
        <f>"20190304155609417"</f>
        <v>20190304155609417</v>
      </c>
      <c r="B707" t="str">
        <f>"1551686169415394"</f>
        <v>1551686169415394</v>
      </c>
      <c r="C707" t="s">
        <v>40</v>
      </c>
      <c r="D707">
        <v>4.2545440000000001</v>
      </c>
      <c r="E707">
        <v>0.56218069999999998</v>
      </c>
      <c r="F707" t="s">
        <v>46</v>
      </c>
      <c r="G707">
        <v>0</v>
      </c>
      <c r="H707">
        <v>0</v>
      </c>
      <c r="I707">
        <v>0</v>
      </c>
      <c r="J707">
        <v>-346.55430000000001</v>
      </c>
      <c r="K707">
        <v>1.1099509999999999</v>
      </c>
      <c r="L707">
        <v>367.02859999999998</v>
      </c>
      <c r="M707">
        <v>0.99992530000000002</v>
      </c>
      <c r="N707">
        <v>-1.18619E-2</v>
      </c>
      <c r="O707">
        <v>-3.0337699999999999E-3</v>
      </c>
      <c r="P707">
        <v>0.98519299999999999</v>
      </c>
      <c r="Q707">
        <v>0.16088720000000001</v>
      </c>
      <c r="R707">
        <v>5.9249450000000002E-2</v>
      </c>
      <c r="S707">
        <v>3.0561219999999998</v>
      </c>
      <c r="T707">
        <v>5.0805929999999999E-2</v>
      </c>
      <c r="U707">
        <v>-0.32312010000000002</v>
      </c>
      <c r="V707">
        <v>-6.2231399999999999E-2</v>
      </c>
      <c r="W707">
        <v>0.1725622</v>
      </c>
      <c r="X707">
        <v>0.98303079999999998</v>
      </c>
      <c r="Y707">
        <v>0.1021224</v>
      </c>
      <c r="Z707">
        <v>1.5286790000000001E-4</v>
      </c>
      <c r="AA707">
        <v>0.99477179999999998</v>
      </c>
      <c r="AB707">
        <v>32</v>
      </c>
      <c r="AC707">
        <v>3.0561219999999998</v>
      </c>
      <c r="AD707">
        <v>5.0805929999999999E-2</v>
      </c>
      <c r="AE707">
        <v>-0.32312010000000002</v>
      </c>
      <c r="AF707">
        <v>0.31376063690584699</v>
      </c>
      <c r="AG707">
        <v>5.0805929999999999E-2</v>
      </c>
      <c r="AH707">
        <v>3.0562529625796699</v>
      </c>
      <c r="AI707">
        <v>89.052604059831907</v>
      </c>
      <c r="AJ707">
        <v>84.1384432585768</v>
      </c>
      <c r="AK707">
        <v>3.0727364272048701</v>
      </c>
      <c r="AL707">
        <v>80.063175751130402</v>
      </c>
      <c r="AM707">
        <v>93.622312572997501</v>
      </c>
      <c r="AN707">
        <v>1.0000000068817101</v>
      </c>
    </row>
    <row r="708" spans="1:40" x14ac:dyDescent="0.25">
      <c r="A708" t="str">
        <f>"20190304155609428"</f>
        <v>20190304155609428</v>
      </c>
      <c r="B708" t="str">
        <f>"1551686169425154"</f>
        <v>1551686169425154</v>
      </c>
      <c r="C708" t="s">
        <v>40</v>
      </c>
      <c r="D708">
        <v>4.2466809999999997</v>
      </c>
      <c r="E708">
        <v>0.56248799999999999</v>
      </c>
      <c r="F708" t="s">
        <v>46</v>
      </c>
      <c r="G708">
        <v>0</v>
      </c>
      <c r="H708">
        <v>0</v>
      </c>
      <c r="I708">
        <v>0</v>
      </c>
      <c r="J708">
        <v>-346.39769999999999</v>
      </c>
      <c r="K708">
        <v>1.109952</v>
      </c>
      <c r="L708">
        <v>367.02809999999999</v>
      </c>
      <c r="M708">
        <v>0.99992510000000001</v>
      </c>
      <c r="N708">
        <v>-1.1862549999999999E-2</v>
      </c>
      <c r="O708">
        <v>-3.0336550000000001E-3</v>
      </c>
      <c r="P708">
        <v>0.98516910000000002</v>
      </c>
      <c r="Q708">
        <v>0.161051</v>
      </c>
      <c r="R708">
        <v>5.9200559999999999E-2</v>
      </c>
      <c r="S708">
        <v>3.0560909999999999</v>
      </c>
      <c r="T708">
        <v>5.328488E-2</v>
      </c>
      <c r="U708">
        <v>-0.32757570000000003</v>
      </c>
      <c r="V708">
        <v>-6.2182710000000002E-2</v>
      </c>
      <c r="W708">
        <v>0.17272660000000001</v>
      </c>
      <c r="X708">
        <v>0.98300500000000002</v>
      </c>
      <c r="Y708">
        <v>0.1035566</v>
      </c>
      <c r="Z708">
        <v>1.9550979999999999E-4</v>
      </c>
      <c r="AA708">
        <v>0.99462349999999999</v>
      </c>
      <c r="AB708">
        <v>32</v>
      </c>
      <c r="AC708">
        <v>3.0560909999999999</v>
      </c>
      <c r="AD708">
        <v>5.328488E-2</v>
      </c>
      <c r="AE708">
        <v>-0.32757570000000003</v>
      </c>
      <c r="AF708">
        <v>0.31820677842290401</v>
      </c>
      <c r="AG708">
        <v>5.328488E-2</v>
      </c>
      <c r="AH708">
        <v>3.0561522357040198</v>
      </c>
      <c r="AI708">
        <v>89.006502704100996</v>
      </c>
      <c r="AJ708">
        <v>84.055778209550297</v>
      </c>
      <c r="AK708">
        <v>3.0731354216938702</v>
      </c>
      <c r="AL708">
        <v>80.053612648562293</v>
      </c>
      <c r="AM708">
        <v>93.619580748384493</v>
      </c>
      <c r="AN708">
        <v>0.99999999889775204</v>
      </c>
    </row>
    <row r="709" spans="1:40" x14ac:dyDescent="0.25">
      <c r="A709" t="str">
        <f>"20190304155609440"</f>
        <v>20190304155609440</v>
      </c>
      <c r="B709" t="str">
        <f>"1551686169435892"</f>
        <v>1551686169435892</v>
      </c>
      <c r="C709" t="s">
        <v>40</v>
      </c>
      <c r="D709">
        <v>4.2511989999999997</v>
      </c>
      <c r="E709">
        <v>0.56275339999999996</v>
      </c>
      <c r="F709" t="s">
        <v>46</v>
      </c>
      <c r="G709">
        <v>0</v>
      </c>
      <c r="H709">
        <v>0</v>
      </c>
      <c r="I709">
        <v>0</v>
      </c>
      <c r="J709">
        <v>-346.23829999999998</v>
      </c>
      <c r="K709">
        <v>1.109953</v>
      </c>
      <c r="L709">
        <v>367.02760000000001</v>
      </c>
      <c r="M709">
        <v>0.99992530000000002</v>
      </c>
      <c r="N709">
        <v>-1.1863210000000001E-2</v>
      </c>
      <c r="O709">
        <v>-3.0337770000000001E-3</v>
      </c>
      <c r="P709">
        <v>0.98517049999999995</v>
      </c>
      <c r="Q709">
        <v>0.16116849999999999</v>
      </c>
      <c r="R709">
        <v>5.8858430000000003E-2</v>
      </c>
      <c r="S709">
        <v>3.0562130000000001</v>
      </c>
      <c r="T709">
        <v>5.3991560000000001E-2</v>
      </c>
      <c r="U709">
        <v>-0.33041379999999998</v>
      </c>
      <c r="V709">
        <v>-6.1841109999999998E-2</v>
      </c>
      <c r="W709">
        <v>0.17284449999999901</v>
      </c>
      <c r="X709">
        <v>0.98300580000000004</v>
      </c>
      <c r="Y709">
        <v>0.104465</v>
      </c>
      <c r="Z709">
        <v>2.091966E-4</v>
      </c>
      <c r="AA709">
        <v>0.99452850000000004</v>
      </c>
      <c r="AB709">
        <v>32</v>
      </c>
      <c r="AC709">
        <v>3.0562130000000001</v>
      </c>
      <c r="AD709">
        <v>5.3991560000000001E-2</v>
      </c>
      <c r="AE709">
        <v>-0.33041379999999998</v>
      </c>
      <c r="AF709">
        <v>0.32104072345693402</v>
      </c>
      <c r="AG709">
        <v>5.3991560000000001E-2</v>
      </c>
      <c r="AH709">
        <v>3.0562585875669299</v>
      </c>
      <c r="AI709">
        <v>88.993460522965606</v>
      </c>
      <c r="AJ709">
        <v>84.003430294309794</v>
      </c>
      <c r="AK709">
        <v>3.0735482408359198</v>
      </c>
      <c r="AL709">
        <v>80.046754067418107</v>
      </c>
      <c r="AM709">
        <v>93.5997461295443</v>
      </c>
      <c r="AN709">
        <v>0.99999997344995994</v>
      </c>
    </row>
    <row r="710" spans="1:40" x14ac:dyDescent="0.25">
      <c r="A710" t="str">
        <f>"20190304155609454"</f>
        <v>20190304155609454</v>
      </c>
      <c r="B710" t="str">
        <f>"1551686169445651"</f>
        <v>1551686169445651</v>
      </c>
      <c r="C710" t="s">
        <v>40</v>
      </c>
      <c r="D710">
        <v>4.241886</v>
      </c>
      <c r="E710">
        <v>0.56306769999999995</v>
      </c>
      <c r="F710" t="s">
        <v>46</v>
      </c>
      <c r="G710">
        <v>0</v>
      </c>
      <c r="H710">
        <v>0</v>
      </c>
      <c r="I710">
        <v>0</v>
      </c>
      <c r="J710">
        <v>-346.03559999999999</v>
      </c>
      <c r="K710">
        <v>1.1099570000000001</v>
      </c>
      <c r="L710">
        <v>367.02699999999999</v>
      </c>
      <c r="M710">
        <v>0.99992510000000001</v>
      </c>
      <c r="N710">
        <v>-1.1864039999999999E-2</v>
      </c>
      <c r="O710">
        <v>-3.0336629999999998E-3</v>
      </c>
      <c r="P710">
        <v>0.98506059999999995</v>
      </c>
      <c r="Q710">
        <v>0.1618232</v>
      </c>
      <c r="R710">
        <v>5.8900439999999998E-2</v>
      </c>
      <c r="S710">
        <v>3.0560610000000001</v>
      </c>
      <c r="T710">
        <v>5.5081369999999998E-2</v>
      </c>
      <c r="U710">
        <v>-0.33361819999999998</v>
      </c>
      <c r="V710">
        <v>-6.1882159999999999E-2</v>
      </c>
      <c r="W710">
        <v>0.1734986</v>
      </c>
      <c r="X710">
        <v>0.98288799999999998</v>
      </c>
      <c r="Y710">
        <v>0.1055005</v>
      </c>
      <c r="Z710">
        <v>2.2974439999999999E-4</v>
      </c>
      <c r="AA710">
        <v>0.99441919999999995</v>
      </c>
      <c r="AB710">
        <v>32</v>
      </c>
      <c r="AC710">
        <v>3.0560610000000001</v>
      </c>
      <c r="AD710">
        <v>5.5081369999999998E-2</v>
      </c>
      <c r="AE710">
        <v>-0.33361819999999998</v>
      </c>
      <c r="AF710">
        <v>0.32424086384992701</v>
      </c>
      <c r="AG710">
        <v>5.5081369999999998E-2</v>
      </c>
      <c r="AH710">
        <v>3.05607801067787</v>
      </c>
      <c r="AI710">
        <v>88.973200254866597</v>
      </c>
      <c r="AJ710">
        <v>83.943743213614894</v>
      </c>
      <c r="AK710">
        <v>3.0737239470160702</v>
      </c>
      <c r="AL710">
        <v>80.0087021929278</v>
      </c>
      <c r="AM710">
        <v>93.6025599257312</v>
      </c>
      <c r="AN710">
        <v>0.99999999323611199</v>
      </c>
    </row>
    <row r="711" spans="1:40" x14ac:dyDescent="0.25">
      <c r="A711" t="str">
        <f>"20190304155609468"</f>
        <v>20190304155609468</v>
      </c>
      <c r="B711" t="str">
        <f>"1551686169455410"</f>
        <v>1551686169455410</v>
      </c>
      <c r="C711" t="s">
        <v>40</v>
      </c>
      <c r="D711">
        <v>4.2146350000000004</v>
      </c>
      <c r="E711">
        <v>0.56334289999999998</v>
      </c>
      <c r="F711" t="s">
        <v>46</v>
      </c>
      <c r="G711">
        <v>0</v>
      </c>
      <c r="H711">
        <v>0</v>
      </c>
      <c r="I711">
        <v>0</v>
      </c>
      <c r="J711">
        <v>-345.83879999999999</v>
      </c>
      <c r="K711">
        <v>1.1099589999999999</v>
      </c>
      <c r="L711">
        <v>367.02640000000002</v>
      </c>
      <c r="M711">
        <v>0.99992510000000001</v>
      </c>
      <c r="N711">
        <v>-1.186484E-2</v>
      </c>
      <c r="O711">
        <v>-3.033549E-3</v>
      </c>
      <c r="P711">
        <v>0.98499360000000002</v>
      </c>
      <c r="Q711">
        <v>0.16236239999999999</v>
      </c>
      <c r="R711">
        <v>5.8535209999999997E-2</v>
      </c>
      <c r="S711">
        <v>3.056152</v>
      </c>
      <c r="T711">
        <v>5.7254199999999901E-2</v>
      </c>
      <c r="U711">
        <v>-0.33566279999999998</v>
      </c>
      <c r="V711">
        <v>-6.151674E-2</v>
      </c>
      <c r="W711">
        <v>0.17403769999999999</v>
      </c>
      <c r="X711">
        <v>0.98281560000000001</v>
      </c>
      <c r="Y711">
        <v>0.1061539</v>
      </c>
      <c r="Z711">
        <v>2.6706629999999999E-4</v>
      </c>
      <c r="AA711">
        <v>0.9943497</v>
      </c>
      <c r="AB711">
        <v>32</v>
      </c>
      <c r="AC711">
        <v>3.056152</v>
      </c>
      <c r="AD711">
        <v>5.7254199999999901E-2</v>
      </c>
      <c r="AE711">
        <v>-0.33566279999999998</v>
      </c>
      <c r="AF711">
        <v>0.32627646971207602</v>
      </c>
      <c r="AG711">
        <v>5.7254199999999901E-2</v>
      </c>
      <c r="AH711">
        <v>3.0560964562024799</v>
      </c>
      <c r="AI711">
        <v>88.932785782814307</v>
      </c>
      <c r="AJ711">
        <v>83.906043348573306</v>
      </c>
      <c r="AK711">
        <v>3.0739973857696801</v>
      </c>
      <c r="AL711">
        <v>79.977336597929707</v>
      </c>
      <c r="AM711">
        <v>93.581605136277105</v>
      </c>
      <c r="AN711">
        <v>0.99999996696243798</v>
      </c>
    </row>
    <row r="712" spans="1:40" x14ac:dyDescent="0.25">
      <c r="A712" t="str">
        <f>"20190304155609483"</f>
        <v>20190304155609483</v>
      </c>
      <c r="B712" t="str">
        <f>"1551686169475910"</f>
        <v>1551686169475910</v>
      </c>
      <c r="C712" t="s">
        <v>40</v>
      </c>
      <c r="D712">
        <v>4.2231930000000002</v>
      </c>
      <c r="E712">
        <v>0.56378530000000004</v>
      </c>
      <c r="F712" t="s">
        <v>46</v>
      </c>
      <c r="G712">
        <v>0</v>
      </c>
      <c r="H712">
        <v>0</v>
      </c>
      <c r="I712">
        <v>0</v>
      </c>
      <c r="J712">
        <v>-345.61340000000001</v>
      </c>
      <c r="K712">
        <v>1.1099600000000001</v>
      </c>
      <c r="L712">
        <v>367.02569999999997</v>
      </c>
      <c r="M712">
        <v>0.99992499999999995</v>
      </c>
      <c r="N712">
        <v>-1.186574E-2</v>
      </c>
      <c r="O712">
        <v>-3.0333159999999999E-3</v>
      </c>
      <c r="P712">
        <v>0.98489959999999999</v>
      </c>
      <c r="Q712">
        <v>0.16312839999999901</v>
      </c>
      <c r="R712">
        <v>5.79847E-2</v>
      </c>
      <c r="S712">
        <v>3.0560610000000001</v>
      </c>
      <c r="T712">
        <v>5.9439539999999999E-2</v>
      </c>
      <c r="U712">
        <v>-0.33874510000000002</v>
      </c>
      <c r="V712">
        <v>-6.0965640000000001E-2</v>
      </c>
      <c r="W712">
        <v>0.1748035</v>
      </c>
      <c r="X712">
        <v>0.98271410000000003</v>
      </c>
      <c r="Y712">
        <v>0.1071472</v>
      </c>
      <c r="Z712">
        <v>3.0634770000000002E-4</v>
      </c>
      <c r="AA712">
        <v>0.99424310000000005</v>
      </c>
      <c r="AB712">
        <v>32</v>
      </c>
      <c r="AC712">
        <v>3.0560610000000001</v>
      </c>
      <c r="AD712">
        <v>5.9439539999999999E-2</v>
      </c>
      <c r="AE712">
        <v>-0.33874510000000002</v>
      </c>
      <c r="AF712">
        <v>0.32934981187398099</v>
      </c>
      <c r="AG712">
        <v>5.9439539999999999E-2</v>
      </c>
      <c r="AH712">
        <v>3.0559325288732802</v>
      </c>
      <c r="AI712">
        <v>88.892120557410806</v>
      </c>
      <c r="AJ712">
        <v>83.848752245879297</v>
      </c>
      <c r="AK712">
        <v>3.0742036332231901</v>
      </c>
      <c r="AL712">
        <v>79.932777153905604</v>
      </c>
      <c r="AM712">
        <v>93.549967283275706</v>
      </c>
      <c r="AN712">
        <v>1.00000003760583</v>
      </c>
    </row>
    <row r="713" spans="1:40" x14ac:dyDescent="0.25">
      <c r="A713" t="str">
        <f>"20190304155609495"</f>
        <v>20190304155609495</v>
      </c>
      <c r="B713" t="str">
        <f>"1551686169485666"</f>
        <v>1551686169485666</v>
      </c>
      <c r="C713" t="s">
        <v>40</v>
      </c>
      <c r="D713">
        <v>4.250794</v>
      </c>
      <c r="E713">
        <v>0.56401509999999999</v>
      </c>
      <c r="F713" t="s">
        <v>46</v>
      </c>
      <c r="G713">
        <v>0</v>
      </c>
      <c r="H713">
        <v>0</v>
      </c>
      <c r="I713">
        <v>0</v>
      </c>
      <c r="J713">
        <v>-345.45670000000001</v>
      </c>
      <c r="K713">
        <v>1.1099589999999999</v>
      </c>
      <c r="L713">
        <v>367.02530000000002</v>
      </c>
      <c r="M713">
        <v>0.99992499999999995</v>
      </c>
      <c r="N713">
        <v>-1.1866369999999999E-2</v>
      </c>
      <c r="O713">
        <v>-3.033319E-3</v>
      </c>
      <c r="P713">
        <v>0.98485020000000001</v>
      </c>
      <c r="Q713">
        <v>0.16351079999999901</v>
      </c>
      <c r="R713">
        <v>5.7743049999999997E-2</v>
      </c>
      <c r="S713">
        <v>3.0557560000000001</v>
      </c>
      <c r="T713">
        <v>6.3340069999999998E-2</v>
      </c>
      <c r="U713">
        <v>-0.34378049999999999</v>
      </c>
      <c r="V713">
        <v>-6.0723859999999998E-2</v>
      </c>
      <c r="W713">
        <v>0.17518610000000001</v>
      </c>
      <c r="X713">
        <v>0.98266089999999995</v>
      </c>
      <c r="Y713">
        <v>0.1087741</v>
      </c>
      <c r="Z713">
        <v>3.7767330000000002E-4</v>
      </c>
      <c r="AA713">
        <v>0.99406640000000002</v>
      </c>
      <c r="AB713">
        <v>32</v>
      </c>
      <c r="AC713">
        <v>3.0557560000000001</v>
      </c>
      <c r="AD713">
        <v>6.3340069999999998E-2</v>
      </c>
      <c r="AE713">
        <v>-0.34378049999999999</v>
      </c>
      <c r="AF713">
        <v>0.33436731593503499</v>
      </c>
      <c r="AG713">
        <v>6.3340069999999998E-2</v>
      </c>
      <c r="AH713">
        <v>3.0554884121158401</v>
      </c>
      <c r="AI713">
        <v>88.819477926163401</v>
      </c>
      <c r="AJ713">
        <v>83.7548749485576</v>
      </c>
      <c r="AK713">
        <v>3.0743817106871099</v>
      </c>
      <c r="AL713">
        <v>79.910511849940804</v>
      </c>
      <c r="AM713">
        <v>93.536115413921095</v>
      </c>
      <c r="AN713">
        <v>1.0000000005976499</v>
      </c>
    </row>
    <row r="714" spans="1:40" x14ac:dyDescent="0.25">
      <c r="A714" t="str">
        <f>"20190304155609506"</f>
        <v>20190304155609506</v>
      </c>
      <c r="B714" t="str">
        <f>"1551686169495427"</f>
        <v>1551686169495427</v>
      </c>
      <c r="C714" t="s">
        <v>40</v>
      </c>
      <c r="D714">
        <v>4.2464040000000001</v>
      </c>
      <c r="E714">
        <v>0.56424010000000002</v>
      </c>
      <c r="F714" t="s">
        <v>46</v>
      </c>
      <c r="G714">
        <v>0</v>
      </c>
      <c r="H714">
        <v>0</v>
      </c>
      <c r="I714">
        <v>0</v>
      </c>
      <c r="J714">
        <v>-345.2944</v>
      </c>
      <c r="K714">
        <v>1.1099600000000001</v>
      </c>
      <c r="L714">
        <v>367.0247</v>
      </c>
      <c r="M714">
        <v>0.99992499999999995</v>
      </c>
      <c r="N714">
        <v>-1.1867020000000001E-2</v>
      </c>
      <c r="O714">
        <v>-3.0332039999999998E-3</v>
      </c>
      <c r="P714">
        <v>0.98486779999999996</v>
      </c>
      <c r="Q714">
        <v>0.163488299999999</v>
      </c>
      <c r="R714">
        <v>5.750827E-2</v>
      </c>
      <c r="S714">
        <v>3.0556030000000001</v>
      </c>
      <c r="T714">
        <v>6.5285679999999999E-2</v>
      </c>
      <c r="U714">
        <v>-0.34628300000000001</v>
      </c>
      <c r="V714">
        <v>-6.0488880000000002E-2</v>
      </c>
      <c r="W714">
        <v>0.1751646</v>
      </c>
      <c r="X714">
        <v>0.98267919999999997</v>
      </c>
      <c r="Y714">
        <v>0.1095826</v>
      </c>
      <c r="Z714">
        <v>4.1399310000000001E-4</v>
      </c>
      <c r="AA714">
        <v>0.99397760000000002</v>
      </c>
      <c r="AB714">
        <v>32</v>
      </c>
      <c r="AC714">
        <v>3.0556030000000001</v>
      </c>
      <c r="AD714">
        <v>6.5285679999999999E-2</v>
      </c>
      <c r="AE714">
        <v>-0.34628300000000001</v>
      </c>
      <c r="AF714">
        <v>0.336860659647157</v>
      </c>
      <c r="AG714">
        <v>6.5285679999999999E-2</v>
      </c>
      <c r="AH714">
        <v>3.0552623169383302</v>
      </c>
      <c r="AI714">
        <v>88.783245494636304</v>
      </c>
      <c r="AJ714">
        <v>83.708215895337503</v>
      </c>
      <c r="AK714">
        <v>3.0744698972886901</v>
      </c>
      <c r="AL714">
        <v>79.911762804575801</v>
      </c>
      <c r="AM714">
        <v>93.522400977310497</v>
      </c>
      <c r="AN714">
        <v>0.999999975904726</v>
      </c>
    </row>
    <row r="715" spans="1:40" x14ac:dyDescent="0.25">
      <c r="A715" t="str">
        <f>"20190304155609517"</f>
        <v>20190304155609517</v>
      </c>
      <c r="B715" t="str">
        <f>"1551686169515923"</f>
        <v>1551686169515923</v>
      </c>
      <c r="C715" t="s">
        <v>40</v>
      </c>
      <c r="D715">
        <v>4.5209159999999997</v>
      </c>
      <c r="E715">
        <v>0.56397710000000001</v>
      </c>
      <c r="F715" t="s">
        <v>46</v>
      </c>
      <c r="G715">
        <v>0</v>
      </c>
      <c r="H715">
        <v>0</v>
      </c>
      <c r="I715">
        <v>0</v>
      </c>
      <c r="J715">
        <v>-345.13440000000003</v>
      </c>
      <c r="K715">
        <v>1.109958</v>
      </c>
      <c r="L715">
        <v>367.02429999999998</v>
      </c>
      <c r="M715">
        <v>0.99992510000000001</v>
      </c>
      <c r="N715">
        <v>-1.186656E-2</v>
      </c>
      <c r="O715">
        <v>-3.0333199999999999E-3</v>
      </c>
      <c r="P715">
        <v>0.98489729999999998</v>
      </c>
      <c r="Q715">
        <v>0.16341410000000001</v>
      </c>
      <c r="R715">
        <v>5.7215410000000001E-2</v>
      </c>
      <c r="S715">
        <v>3.0554809999999999</v>
      </c>
      <c r="T715">
        <v>6.5955879999999995E-2</v>
      </c>
      <c r="U715">
        <v>-0.34878540000000002</v>
      </c>
      <c r="V715">
        <v>-6.019683E-2</v>
      </c>
      <c r="W715">
        <v>0.17509</v>
      </c>
      <c r="X715">
        <v>0.98271050000000004</v>
      </c>
      <c r="Y715">
        <v>0.1103901</v>
      </c>
      <c r="Z715">
        <v>4.291702E-4</v>
      </c>
      <c r="AA715">
        <v>0.99388829999999995</v>
      </c>
      <c r="AB715">
        <v>32</v>
      </c>
      <c r="AC715">
        <v>3.0554809999999999</v>
      </c>
      <c r="AD715">
        <v>6.5955879999999995E-2</v>
      </c>
      <c r="AE715">
        <v>-0.34878540000000002</v>
      </c>
      <c r="AF715">
        <v>0.339358798568696</v>
      </c>
      <c r="AG715">
        <v>6.5955879999999995E-2</v>
      </c>
      <c r="AH715">
        <v>3.0551197432102399</v>
      </c>
      <c r="AI715">
        <v>88.770811730888795</v>
      </c>
      <c r="AJ715">
        <v>83.661641352898997</v>
      </c>
      <c r="AK715">
        <v>3.0746172473375601</v>
      </c>
      <c r="AL715">
        <v>79.916104882652306</v>
      </c>
      <c r="AM715">
        <v>93.505325399117993</v>
      </c>
      <c r="AN715">
        <v>1.0000000466261401</v>
      </c>
    </row>
    <row r="716" spans="1:40" x14ac:dyDescent="0.25">
      <c r="A716" t="str">
        <f>"20190304155609528"</f>
        <v>20190304155609528</v>
      </c>
      <c r="B716" t="str">
        <f>"1551686169525682"</f>
        <v>1551686169525682</v>
      </c>
      <c r="C716" t="s">
        <v>40</v>
      </c>
      <c r="D716">
        <v>4.3338489999999998</v>
      </c>
      <c r="E716">
        <v>0.56357400000000002</v>
      </c>
      <c r="F716" t="s">
        <v>46</v>
      </c>
      <c r="G716">
        <v>0</v>
      </c>
      <c r="H716">
        <v>0</v>
      </c>
      <c r="I716">
        <v>0</v>
      </c>
      <c r="J716">
        <v>-344.97629999999998</v>
      </c>
      <c r="K716">
        <v>1.109958</v>
      </c>
      <c r="L716">
        <v>367.02379999999999</v>
      </c>
      <c r="M716">
        <v>0.99992499999999995</v>
      </c>
      <c r="N716">
        <v>-1.18656E-2</v>
      </c>
      <c r="O716">
        <v>-3.0331960000000002E-3</v>
      </c>
      <c r="P716">
        <v>0.98492749999999996</v>
      </c>
      <c r="Q716">
        <v>0.16334389999999999</v>
      </c>
      <c r="R716">
        <v>5.6891490000000003E-2</v>
      </c>
      <c r="S716">
        <v>3.055542</v>
      </c>
      <c r="T716">
        <v>6.4232949999999997E-2</v>
      </c>
      <c r="U716">
        <v>-0.3477478</v>
      </c>
      <c r="V716">
        <v>-5.9872380000000003E-2</v>
      </c>
      <c r="W716">
        <v>0.17501900000000001</v>
      </c>
      <c r="X716">
        <v>0.98274289999999997</v>
      </c>
      <c r="Y716">
        <v>0.11005570000000001</v>
      </c>
      <c r="Z716">
        <v>3.9842250000000001E-4</v>
      </c>
      <c r="AA716">
        <v>0.99392530000000001</v>
      </c>
      <c r="AB716">
        <v>32</v>
      </c>
      <c r="AC716">
        <v>3.055542</v>
      </c>
      <c r="AD716">
        <v>6.4232949999999997E-2</v>
      </c>
      <c r="AE716">
        <v>-0.3477478</v>
      </c>
      <c r="AF716">
        <v>0.33832988838217498</v>
      </c>
      <c r="AG716">
        <v>6.4232949999999997E-2</v>
      </c>
      <c r="AH716">
        <v>3.0552499056285298</v>
      </c>
      <c r="AI716">
        <v>88.802917896306596</v>
      </c>
      <c r="AJ716">
        <v>83.680970118040094</v>
      </c>
      <c r="AK716">
        <v>3.0745967168202002</v>
      </c>
      <c r="AL716">
        <v>79.920236003113303</v>
      </c>
      <c r="AM716">
        <v>93.486364397971798</v>
      </c>
      <c r="AN716">
        <v>0.99999997987413702</v>
      </c>
    </row>
    <row r="717" spans="1:40" x14ac:dyDescent="0.25">
      <c r="A717" t="str">
        <f>"20190304155609539"</f>
        <v>20190304155609539</v>
      </c>
      <c r="B717" t="str">
        <f>"1551686169535443"</f>
        <v>1551686169535443</v>
      </c>
      <c r="C717" t="s">
        <v>40</v>
      </c>
      <c r="D717">
        <v>4.3451000000000004</v>
      </c>
      <c r="E717">
        <v>0.56357400000000002</v>
      </c>
      <c r="F717" t="s">
        <v>46</v>
      </c>
      <c r="G717">
        <v>0</v>
      </c>
      <c r="H717">
        <v>0</v>
      </c>
      <c r="I717">
        <v>0</v>
      </c>
      <c r="J717">
        <v>-344.82929999999999</v>
      </c>
      <c r="K717">
        <v>1.1099600000000001</v>
      </c>
      <c r="L717">
        <v>367.02330000000001</v>
      </c>
      <c r="M717">
        <v>0.99992510000000001</v>
      </c>
      <c r="N717">
        <v>-1.186335E-2</v>
      </c>
      <c r="O717">
        <v>-3.0331820000000002E-3</v>
      </c>
      <c r="P717">
        <v>0.98498739999999996</v>
      </c>
      <c r="Q717">
        <v>0.1630434</v>
      </c>
      <c r="R717">
        <v>5.6720449999999999E-2</v>
      </c>
      <c r="S717">
        <v>3.05545</v>
      </c>
      <c r="T717">
        <v>6.2996029999999995E-2</v>
      </c>
      <c r="U717">
        <v>-0.34545900000000002</v>
      </c>
      <c r="V717">
        <v>-5.9701320000000002E-2</v>
      </c>
      <c r="W717">
        <v>0.17471719999999999</v>
      </c>
      <c r="X717">
        <v>0.98280699999999999</v>
      </c>
      <c r="Y717">
        <v>0.10932459999999999</v>
      </c>
      <c r="Z717">
        <v>3.745245E-4</v>
      </c>
      <c r="AA717">
        <v>0.99400599999999995</v>
      </c>
      <c r="AB717">
        <v>32</v>
      </c>
      <c r="AC717">
        <v>3.05545</v>
      </c>
      <c r="AD717">
        <v>6.2996029999999995E-2</v>
      </c>
      <c r="AE717">
        <v>-0.34545900000000002</v>
      </c>
      <c r="AF717">
        <v>0.33604797712794698</v>
      </c>
      <c r="AG717">
        <v>6.2996029999999995E-2</v>
      </c>
      <c r="AH717">
        <v>3.05520152769612</v>
      </c>
      <c r="AI717">
        <v>88.825849380157095</v>
      </c>
      <c r="AJ717">
        <v>83.723149751919493</v>
      </c>
      <c r="AK717">
        <v>3.0742727786525799</v>
      </c>
      <c r="AL717">
        <v>79.937798409027593</v>
      </c>
      <c r="AM717">
        <v>93.476201868931199</v>
      </c>
      <c r="AN717">
        <v>0.99999997341728997</v>
      </c>
    </row>
    <row r="718" spans="1:40" x14ac:dyDescent="0.25">
      <c r="A718" t="str">
        <f>"20190304155609551"</f>
        <v>20190304155609551</v>
      </c>
      <c r="B718" t="str">
        <f>"1551686169545203"</f>
        <v>1551686169545203</v>
      </c>
      <c r="C718" t="s">
        <v>40</v>
      </c>
      <c r="D718">
        <v>4.358555</v>
      </c>
      <c r="E718">
        <v>0.53103820000000002</v>
      </c>
      <c r="F718" t="s">
        <v>46</v>
      </c>
      <c r="G718">
        <v>0</v>
      </c>
      <c r="H718">
        <v>0</v>
      </c>
      <c r="I718">
        <v>0</v>
      </c>
      <c r="J718">
        <v>-344.66239999999999</v>
      </c>
      <c r="K718">
        <v>1.109958</v>
      </c>
      <c r="L718">
        <v>367.02280000000002</v>
      </c>
      <c r="M718">
        <v>0.99992510000000001</v>
      </c>
      <c r="N718">
        <v>-1.18605E-2</v>
      </c>
      <c r="O718">
        <v>-3.0329269999999999E-3</v>
      </c>
      <c r="P718">
        <v>0.98501559999999999</v>
      </c>
      <c r="Q718">
        <v>0.1630036</v>
      </c>
      <c r="R718">
        <v>5.6340109999999999E-2</v>
      </c>
      <c r="S718">
        <v>3.0553889999999999</v>
      </c>
      <c r="T718">
        <v>6.1784510000000001E-2</v>
      </c>
      <c r="U718">
        <v>-0.34542850000000003</v>
      </c>
      <c r="V718">
        <v>-5.9321220000000001E-2</v>
      </c>
      <c r="W718">
        <v>0.17467530000000001</v>
      </c>
      <c r="X718">
        <v>0.98283750000000003</v>
      </c>
      <c r="Y718">
        <v>0.109317899999999</v>
      </c>
      <c r="Z718">
        <v>3.5429210000000001E-4</v>
      </c>
      <c r="AA718">
        <v>0.99400679999999997</v>
      </c>
      <c r="AB718">
        <v>32</v>
      </c>
      <c r="AC718">
        <v>3.0553889999999999</v>
      </c>
      <c r="AD718">
        <v>6.1784510000000001E-2</v>
      </c>
      <c r="AE718">
        <v>-0.34542850000000003</v>
      </c>
      <c r="AF718">
        <v>0.33602381878503701</v>
      </c>
      <c r="AG718">
        <v>6.1784510000000001E-2</v>
      </c>
      <c r="AH718">
        <v>3.05518915175734</v>
      </c>
      <c r="AI718">
        <v>88.848418541242395</v>
      </c>
      <c r="AJ718">
        <v>83.723572169099199</v>
      </c>
      <c r="AK718">
        <v>3.0742332516389501</v>
      </c>
      <c r="AL718">
        <v>79.940236962429495</v>
      </c>
      <c r="AM718">
        <v>93.454016782432205</v>
      </c>
      <c r="AN718">
        <v>1.00000000948931</v>
      </c>
    </row>
    <row r="719" spans="1:40" x14ac:dyDescent="0.25">
      <c r="A719" t="str">
        <f>"20190304155609562"</f>
        <v>20190304155609562</v>
      </c>
      <c r="B719" t="str">
        <f>"1551686169555939"</f>
        <v>1551686169555939</v>
      </c>
      <c r="C719" t="s">
        <v>40</v>
      </c>
      <c r="D719">
        <v>4.3456910000000004</v>
      </c>
      <c r="E719">
        <v>0.53099929999999995</v>
      </c>
      <c r="F719" t="s">
        <v>43</v>
      </c>
      <c r="G719">
        <v>-158.19499999999999</v>
      </c>
      <c r="H719">
        <v>3.8727559999999999</v>
      </c>
      <c r="I719">
        <v>361.64679999999998</v>
      </c>
      <c r="J719">
        <v>-344.49680000000001</v>
      </c>
      <c r="K719">
        <v>1.109958</v>
      </c>
      <c r="L719">
        <v>367.02229999999997</v>
      </c>
      <c r="M719">
        <v>0.99992510000000001</v>
      </c>
      <c r="N719">
        <v>-1.1856759999999999E-2</v>
      </c>
      <c r="O719">
        <v>-3.0329049999999998E-3</v>
      </c>
      <c r="P719">
        <v>0.98503200000000002</v>
      </c>
      <c r="Q719">
        <v>0.1630103</v>
      </c>
      <c r="R719">
        <v>5.6034E-2</v>
      </c>
      <c r="S719">
        <v>3.0431819999999998</v>
      </c>
      <c r="T719">
        <v>4.5090789999999999E-2</v>
      </c>
      <c r="U719">
        <v>-8.7738040000000003E-2</v>
      </c>
      <c r="V719">
        <v>-5.9014690000000002E-2</v>
      </c>
      <c r="W719">
        <v>0.17467820000000001</v>
      </c>
      <c r="X719">
        <v>0.98285540000000005</v>
      </c>
      <c r="Y719">
        <v>2.5787560000000001E-2</v>
      </c>
      <c r="Z719" s="1">
        <v>-4.2797789999999998E-5</v>
      </c>
      <c r="AA719">
        <v>0.99966750000000004</v>
      </c>
      <c r="AB719">
        <v>32</v>
      </c>
      <c r="AC719">
        <v>186.30179999999999</v>
      </c>
      <c r="AD719">
        <v>2.7627980000000001</v>
      </c>
      <c r="AE719">
        <v>-5.3754999999999802</v>
      </c>
      <c r="AF719">
        <v>4.8093430978571501</v>
      </c>
      <c r="AG719">
        <v>2.7627980000000001</v>
      </c>
      <c r="AH719">
        <v>186.27631579777599</v>
      </c>
      <c r="AI719">
        <v>89.150550421191397</v>
      </c>
      <c r="AJ719">
        <v>88.521047305570903</v>
      </c>
      <c r="AK719">
        <v>186.35887062604399</v>
      </c>
      <c r="AL719">
        <v>79.940067831724804</v>
      </c>
      <c r="AM719">
        <v>93.436149318391003</v>
      </c>
      <c r="AN719">
        <v>0.99999997225009696</v>
      </c>
    </row>
    <row r="720" spans="1:40" x14ac:dyDescent="0.25">
      <c r="A720" t="str">
        <f>"20190304155609574"</f>
        <v>20190304155609574</v>
      </c>
      <c r="B720" t="str">
        <f>"1551686169565698"</f>
        <v>1551686169565698</v>
      </c>
      <c r="C720" t="s">
        <v>40</v>
      </c>
      <c r="D720">
        <v>4.328411</v>
      </c>
      <c r="E720">
        <v>0.53145100000000001</v>
      </c>
      <c r="F720" t="s">
        <v>43</v>
      </c>
      <c r="G720">
        <v>-158.19499999999999</v>
      </c>
      <c r="H720">
        <v>3.5808740000000001</v>
      </c>
      <c r="I720">
        <v>361.59269999999998</v>
      </c>
      <c r="J720">
        <v>-344.33800000000002</v>
      </c>
      <c r="K720">
        <v>1.1099540000000001</v>
      </c>
      <c r="L720">
        <v>367.02190000000002</v>
      </c>
      <c r="M720">
        <v>0.99992510000000001</v>
      </c>
      <c r="N720">
        <v>-1.185305E-2</v>
      </c>
      <c r="O720">
        <v>-3.0328830000000001E-3</v>
      </c>
      <c r="P720">
        <v>0.9850447</v>
      </c>
      <c r="Q720">
        <v>0.16290779999999999</v>
      </c>
      <c r="R720">
        <v>5.6107339999999999E-2</v>
      </c>
      <c r="S720">
        <v>3.0439449999999999</v>
      </c>
      <c r="T720">
        <v>4.037321E-2</v>
      </c>
      <c r="U720">
        <v>-8.8714600000000005E-2</v>
      </c>
      <c r="V720">
        <v>-5.9088460000000002E-2</v>
      </c>
      <c r="W720">
        <v>0.17457259999999999</v>
      </c>
      <c r="X720">
        <v>0.98286969999999996</v>
      </c>
      <c r="Y720">
        <v>2.6101010000000001E-2</v>
      </c>
      <c r="Z720" s="1">
        <v>-5.7832720000000001E-5</v>
      </c>
      <c r="AA720">
        <v>0.99965930000000003</v>
      </c>
      <c r="AB720">
        <v>32</v>
      </c>
      <c r="AC720">
        <v>186.143</v>
      </c>
      <c r="AD720">
        <v>2.47092</v>
      </c>
      <c r="AE720">
        <v>-5.42920000000003</v>
      </c>
      <c r="AF720">
        <v>4.86372909909581</v>
      </c>
      <c r="AG720">
        <v>2.47092</v>
      </c>
      <c r="AH720">
        <v>186.12584219707401</v>
      </c>
      <c r="AI720">
        <v>89.239672114549407</v>
      </c>
      <c r="AJ720">
        <v>88.503121637767293</v>
      </c>
      <c r="AK720">
        <v>186.20577445387099</v>
      </c>
      <c r="AL720">
        <v>79.946212384835903</v>
      </c>
      <c r="AM720">
        <v>93.440384353993593</v>
      </c>
      <c r="AN720">
        <v>0.999999942977009</v>
      </c>
    </row>
    <row r="721" spans="1:40" x14ac:dyDescent="0.25">
      <c r="A721" t="str">
        <f>"20190304155609585"</f>
        <v>20190304155609585</v>
      </c>
      <c r="B721" t="str">
        <f>"1551686169575459"</f>
        <v>1551686169575459</v>
      </c>
      <c r="C721" t="s">
        <v>40</v>
      </c>
      <c r="D721">
        <v>4.3182549999999997</v>
      </c>
      <c r="E721">
        <v>0.53161979999999998</v>
      </c>
      <c r="F721" t="s">
        <v>43</v>
      </c>
      <c r="G721">
        <v>-158.19499999999999</v>
      </c>
      <c r="H721">
        <v>3.4610590000000001</v>
      </c>
      <c r="I721">
        <v>361.40910000000002</v>
      </c>
      <c r="J721">
        <v>-344.1746</v>
      </c>
      <c r="K721">
        <v>1.1099509999999999</v>
      </c>
      <c r="L721">
        <v>367.02140000000003</v>
      </c>
      <c r="M721">
        <v>0.99992539999999996</v>
      </c>
      <c r="N721">
        <v>-1.184899E-2</v>
      </c>
      <c r="O721">
        <v>-3.0328590000000002E-3</v>
      </c>
      <c r="P721">
        <v>0.98504159999999996</v>
      </c>
      <c r="Q721">
        <v>0.16298260000000001</v>
      </c>
      <c r="R721">
        <v>5.5949260000000001E-2</v>
      </c>
      <c r="S721">
        <v>3.044403</v>
      </c>
      <c r="T721">
        <v>3.8454170000000003E-2</v>
      </c>
      <c r="U721">
        <v>-9.1796879999999997E-2</v>
      </c>
      <c r="V721">
        <v>-5.8929759999999998E-2</v>
      </c>
      <c r="W721">
        <v>0.1746434</v>
      </c>
      <c r="X721">
        <v>0.98286669999999998</v>
      </c>
      <c r="Y721">
        <v>2.7107920000000001E-2</v>
      </c>
      <c r="Z721" s="1">
        <v>-6.3712180000000002E-5</v>
      </c>
      <c r="AA721">
        <v>0.99963250000000003</v>
      </c>
      <c r="AB721">
        <v>32</v>
      </c>
      <c r="AC721">
        <v>185.9796</v>
      </c>
      <c r="AD721">
        <v>2.3511079999999902</v>
      </c>
      <c r="AE721">
        <v>-5.6123000000000003</v>
      </c>
      <c r="AF721">
        <v>5.0473788870716003</v>
      </c>
      <c r="AG721">
        <v>2.3511079999999902</v>
      </c>
      <c r="AH721">
        <v>185.96607411945899</v>
      </c>
      <c r="AI721">
        <v>89.275933483114301</v>
      </c>
      <c r="AJ721">
        <v>88.445294236666399</v>
      </c>
      <c r="AK721">
        <v>186.04941404331601</v>
      </c>
      <c r="AL721">
        <v>79.942093051598405</v>
      </c>
      <c r="AM721">
        <v>93.431176710567001</v>
      </c>
      <c r="AN721">
        <v>0.999999991873053</v>
      </c>
    </row>
    <row r="722" spans="1:40" x14ac:dyDescent="0.25">
      <c r="A722" t="str">
        <f>"20190304155609595"</f>
        <v>20190304155609595</v>
      </c>
      <c r="B722" t="str">
        <f>"1551686169585219"</f>
        <v>1551686169585219</v>
      </c>
      <c r="C722" t="s">
        <v>40</v>
      </c>
      <c r="D722">
        <v>4.3509149999999996</v>
      </c>
      <c r="E722">
        <v>0.53185919999999998</v>
      </c>
      <c r="F722" t="s">
        <v>43</v>
      </c>
      <c r="G722">
        <v>-158.19499999999999</v>
      </c>
      <c r="H722">
        <v>3.301399</v>
      </c>
      <c r="I722">
        <v>361.31200000000001</v>
      </c>
      <c r="J722">
        <v>-344.02499999999998</v>
      </c>
      <c r="K722">
        <v>1.10995</v>
      </c>
      <c r="L722">
        <v>367.02089999999998</v>
      </c>
      <c r="M722">
        <v>0.99992530000000002</v>
      </c>
      <c r="N722">
        <v>-1.184524E-2</v>
      </c>
      <c r="O722">
        <v>-3.032837E-3</v>
      </c>
      <c r="P722">
        <v>0.98504930000000002</v>
      </c>
      <c r="Q722">
        <v>0.16305169999999999</v>
      </c>
      <c r="R722">
        <v>5.5606709999999997E-2</v>
      </c>
      <c r="S722">
        <v>3.0449220000000001</v>
      </c>
      <c r="T722">
        <v>3.5880570000000001E-2</v>
      </c>
      <c r="U722">
        <v>-9.3475340000000004E-2</v>
      </c>
      <c r="V722">
        <v>-5.8587409999999999E-2</v>
      </c>
      <c r="W722">
        <v>0.17470869999999999</v>
      </c>
      <c r="X722">
        <v>0.98287559999999996</v>
      </c>
      <c r="Y722">
        <v>2.765341E-2</v>
      </c>
      <c r="Z722" s="1">
        <v>-7.2582159999999893E-5</v>
      </c>
      <c r="AA722">
        <v>0.9996176</v>
      </c>
      <c r="AB722">
        <v>32</v>
      </c>
      <c r="AC722">
        <v>185.83</v>
      </c>
      <c r="AD722">
        <v>2.191449</v>
      </c>
      <c r="AE722">
        <v>-5.7089000000000203</v>
      </c>
      <c r="AF722">
        <v>5.1445273591857701</v>
      </c>
      <c r="AG722">
        <v>2.191449</v>
      </c>
      <c r="AH722">
        <v>185.82064304425401</v>
      </c>
      <c r="AI722">
        <v>89.3245805730418</v>
      </c>
      <c r="AJ722">
        <v>88.414145890714096</v>
      </c>
      <c r="AK722">
        <v>185.904760541114</v>
      </c>
      <c r="AL722">
        <v>79.938293603653705</v>
      </c>
      <c r="AM722">
        <v>93.411259825071397</v>
      </c>
      <c r="AN722">
        <v>1.0000000297707701</v>
      </c>
    </row>
    <row r="723" spans="1:40" x14ac:dyDescent="0.25">
      <c r="A723" t="str">
        <f>"20190304155609605"</f>
        <v>20190304155609605</v>
      </c>
      <c r="B723" t="str">
        <f>"1551686169595956"</f>
        <v>1551686169595956</v>
      </c>
      <c r="C723" t="s">
        <v>40</v>
      </c>
      <c r="D723">
        <v>4.3224999999999998</v>
      </c>
      <c r="E723">
        <v>0.53176440000000003</v>
      </c>
      <c r="F723" t="s">
        <v>43</v>
      </c>
      <c r="G723">
        <v>-158.19499999999999</v>
      </c>
      <c r="H723">
        <v>3.3282850000000002</v>
      </c>
      <c r="I723">
        <v>361.15050000000002</v>
      </c>
      <c r="J723">
        <v>-343.87310000000002</v>
      </c>
      <c r="K723">
        <v>1.10995</v>
      </c>
      <c r="L723">
        <v>367.0204</v>
      </c>
      <c r="M723">
        <v>0.99992530000000002</v>
      </c>
      <c r="N723">
        <v>-1.184143E-2</v>
      </c>
      <c r="O723">
        <v>-3.0326950000000002E-3</v>
      </c>
      <c r="P723">
        <v>0.98503949999999996</v>
      </c>
      <c r="Q723">
        <v>0.163194799999999</v>
      </c>
      <c r="R723">
        <v>5.535868E-2</v>
      </c>
      <c r="S723">
        <v>3.0449519999999999</v>
      </c>
      <c r="T723">
        <v>3.635037E-2</v>
      </c>
      <c r="U723">
        <v>-9.6191410000000005E-2</v>
      </c>
      <c r="V723">
        <v>-5.8339420000000003E-2</v>
      </c>
      <c r="W723">
        <v>0.17484759999999999</v>
      </c>
      <c r="X723">
        <v>0.98286560000000001</v>
      </c>
      <c r="Y723">
        <v>2.8544E-2</v>
      </c>
      <c r="Z723" s="1">
        <v>-7.0814649999999995E-5</v>
      </c>
      <c r="AA723">
        <v>0.99959249999999999</v>
      </c>
      <c r="AB723">
        <v>32</v>
      </c>
      <c r="AC723">
        <v>185.6781</v>
      </c>
      <c r="AD723">
        <v>2.2183350000000002</v>
      </c>
      <c r="AE723">
        <v>-5.8698999999999701</v>
      </c>
      <c r="AF723">
        <v>5.3059718842482502</v>
      </c>
      <c r="AG723">
        <v>2.2183350000000002</v>
      </c>
      <c r="AH723">
        <v>185.66857378767099</v>
      </c>
      <c r="AI723">
        <v>89.315752140683202</v>
      </c>
      <c r="AJ723">
        <v>88.363066674578107</v>
      </c>
      <c r="AK723">
        <v>185.75762067855101</v>
      </c>
      <c r="AL723">
        <v>79.930210296003693</v>
      </c>
      <c r="AM723">
        <v>93.396888936260197</v>
      </c>
      <c r="AN723">
        <v>0.99999997940752805</v>
      </c>
    </row>
    <row r="724" spans="1:40" x14ac:dyDescent="0.25">
      <c r="A724" t="str">
        <f>"20190304155609618"</f>
        <v>20190304155609618</v>
      </c>
      <c r="B724" t="str">
        <f>"1551686169615475"</f>
        <v>1551686169615475</v>
      </c>
      <c r="C724" t="s">
        <v>40</v>
      </c>
      <c r="D724">
        <v>4.3316439999999998</v>
      </c>
      <c r="E724">
        <v>0.53176299999999999</v>
      </c>
      <c r="F724" t="s">
        <v>43</v>
      </c>
      <c r="G724">
        <v>-158.19499999999999</v>
      </c>
      <c r="H724">
        <v>3.2781319999999998</v>
      </c>
      <c r="I724">
        <v>361.13639999999998</v>
      </c>
      <c r="J724">
        <v>-343.7088</v>
      </c>
      <c r="K724">
        <v>1.1099479999999999</v>
      </c>
      <c r="L724">
        <v>367.01990000000001</v>
      </c>
      <c r="M724">
        <v>0.99992539999999996</v>
      </c>
      <c r="N724">
        <v>-1.183625E-2</v>
      </c>
      <c r="O724">
        <v>-3.032664E-3</v>
      </c>
      <c r="P724">
        <v>0.98500790000000005</v>
      </c>
      <c r="Q724">
        <v>0.16343820000000001</v>
      </c>
      <c r="R724">
        <v>5.5204599999999902E-2</v>
      </c>
      <c r="S724">
        <v>3.0450740000000001</v>
      </c>
      <c r="T724">
        <v>3.5559060000000003E-2</v>
      </c>
      <c r="U724">
        <v>-9.6496579999999998E-2</v>
      </c>
      <c r="V724">
        <v>-5.8185069999999998E-2</v>
      </c>
      <c r="W724">
        <v>0.17508570000000001</v>
      </c>
      <c r="X724">
        <v>0.98283240000000005</v>
      </c>
      <c r="Y724">
        <v>2.8642870000000001E-2</v>
      </c>
      <c r="Z724" s="1">
        <v>-7.3657889999999998E-5</v>
      </c>
      <c r="AA724">
        <v>0.99958970000000003</v>
      </c>
      <c r="AB724">
        <v>32</v>
      </c>
      <c r="AC724">
        <v>185.5138</v>
      </c>
      <c r="AD724">
        <v>2.1681840000000001</v>
      </c>
      <c r="AE724">
        <v>-5.8835000000000202</v>
      </c>
      <c r="AF724">
        <v>5.3201065543287003</v>
      </c>
      <c r="AG724">
        <v>2.1681840000000001</v>
      </c>
      <c r="AH724">
        <v>185.50547676381299</v>
      </c>
      <c r="AI724">
        <v>89.330633849871404</v>
      </c>
      <c r="AJ724">
        <v>88.3572661629984</v>
      </c>
      <c r="AK724">
        <v>185.59441388408399</v>
      </c>
      <c r="AL724">
        <v>79.916354803853295</v>
      </c>
      <c r="AM724">
        <v>93.388036844739503</v>
      </c>
      <c r="AN724">
        <v>1.0000000156025699</v>
      </c>
    </row>
    <row r="725" spans="1:40" x14ac:dyDescent="0.25">
      <c r="A725" t="str">
        <f>"20190304155609629"</f>
        <v>20190304155609629</v>
      </c>
      <c r="B725" t="str">
        <f>"1551686169625235"</f>
        <v>1551686169625235</v>
      </c>
      <c r="C725" t="s">
        <v>40</v>
      </c>
      <c r="D725">
        <v>4.3424120000000004</v>
      </c>
      <c r="E725">
        <v>0.53169719999999998</v>
      </c>
      <c r="F725" t="s">
        <v>43</v>
      </c>
      <c r="G725">
        <v>-158.19499999999999</v>
      </c>
      <c r="H725">
        <v>3.161864</v>
      </c>
      <c r="I725">
        <v>361.11410000000001</v>
      </c>
      <c r="J725">
        <v>-343.54969999999997</v>
      </c>
      <c r="K725">
        <v>1.1099460000000001</v>
      </c>
      <c r="L725">
        <v>367.01940000000002</v>
      </c>
      <c r="M725">
        <v>0.99992550000000002</v>
      </c>
      <c r="N725">
        <v>-1.1830820000000001E-2</v>
      </c>
      <c r="O725">
        <v>-3.0323939999999999E-3</v>
      </c>
      <c r="P725">
        <v>0.98497319999999999</v>
      </c>
      <c r="Q725">
        <v>0.16367779999999901</v>
      </c>
      <c r="R725">
        <v>5.5113090000000003E-2</v>
      </c>
      <c r="S725">
        <v>3.0455019999999999</v>
      </c>
      <c r="T725">
        <v>3.3686880000000002E-2</v>
      </c>
      <c r="U725">
        <v>-9.6954349999999995E-2</v>
      </c>
      <c r="V725">
        <v>-5.8093100000000002E-2</v>
      </c>
      <c r="W725">
        <v>0.17531949999999999</v>
      </c>
      <c r="X725">
        <v>0.98279609999999995</v>
      </c>
      <c r="Y725">
        <v>2.878884E-2</v>
      </c>
      <c r="Z725" s="1">
        <v>-8.0570229999999999E-5</v>
      </c>
      <c r="AA725">
        <v>0.99958550000000002</v>
      </c>
      <c r="AB725">
        <v>32</v>
      </c>
      <c r="AC725">
        <v>185.35470000000001</v>
      </c>
      <c r="AD725">
        <v>2.0519180000000001</v>
      </c>
      <c r="AE725">
        <v>-5.9053000000000102</v>
      </c>
      <c r="AF725">
        <v>5.3425110126612196</v>
      </c>
      <c r="AG725">
        <v>2.0519180000000001</v>
      </c>
      <c r="AH725">
        <v>185.34906465213101</v>
      </c>
      <c r="AI725">
        <v>89.365992826233693</v>
      </c>
      <c r="AJ725">
        <v>88.348960632893807</v>
      </c>
      <c r="AK725">
        <v>185.43739795094999</v>
      </c>
      <c r="AL725">
        <v>79.902747974643404</v>
      </c>
      <c r="AM725">
        <v>93.382818654337996</v>
      </c>
      <c r="AN725">
        <v>0.99999995476153303</v>
      </c>
    </row>
    <row r="726" spans="1:40" x14ac:dyDescent="0.25">
      <c r="A726" t="str">
        <f>"20190304155609641"</f>
        <v>20190304155609641</v>
      </c>
      <c r="B726" t="str">
        <f>"1551686169635971"</f>
        <v>1551686169635971</v>
      </c>
      <c r="C726" t="s">
        <v>40</v>
      </c>
      <c r="D726">
        <v>4.3410460000000004</v>
      </c>
      <c r="E726">
        <v>0.53160399999999997</v>
      </c>
      <c r="F726" t="s">
        <v>43</v>
      </c>
      <c r="G726">
        <v>-158.19499999999999</v>
      </c>
      <c r="H726">
        <v>3.1069710000000001</v>
      </c>
      <c r="I726">
        <v>361.14319999999998</v>
      </c>
      <c r="J726">
        <v>-343.37450000000001</v>
      </c>
      <c r="K726">
        <v>1.109945</v>
      </c>
      <c r="L726">
        <v>367.01900000000001</v>
      </c>
      <c r="M726">
        <v>0.99992570000000003</v>
      </c>
      <c r="N726">
        <v>-1.182337E-2</v>
      </c>
      <c r="O726">
        <v>-3.0323500000000001E-3</v>
      </c>
      <c r="P726">
        <v>0.98497749999999995</v>
      </c>
      <c r="Q726">
        <v>0.16377610000000001</v>
      </c>
      <c r="R726">
        <v>5.4742569999999997E-2</v>
      </c>
      <c r="S726">
        <v>3.045715</v>
      </c>
      <c r="T726">
        <v>3.2816169999999999E-2</v>
      </c>
      <c r="U726">
        <v>-9.6557619999999997E-2</v>
      </c>
      <c r="V726">
        <v>-5.7722389999999998E-2</v>
      </c>
      <c r="W726">
        <v>0.17541099999999901</v>
      </c>
      <c r="X726">
        <v>0.9828017</v>
      </c>
      <c r="Y726">
        <v>2.8656609999999999E-2</v>
      </c>
      <c r="Z726" s="1">
        <v>-8.3624909999999993E-5</v>
      </c>
      <c r="AA726">
        <v>0.99958930000000001</v>
      </c>
      <c r="AB726">
        <v>32</v>
      </c>
      <c r="AC726">
        <v>185.17949999999999</v>
      </c>
      <c r="AD726">
        <v>1.99702599999999</v>
      </c>
      <c r="AE726">
        <v>-5.8758000000000203</v>
      </c>
      <c r="AF726">
        <v>5.3135874310667299</v>
      </c>
      <c r="AG726">
        <v>1.99702599999999</v>
      </c>
      <c r="AH726">
        <v>185.17495294627901</v>
      </c>
      <c r="AI726">
        <v>89.382369746982704</v>
      </c>
      <c r="AJ726">
        <v>88.356351061991106</v>
      </c>
      <c r="AK726">
        <v>185.261937598874</v>
      </c>
      <c r="AL726">
        <v>79.897423733467704</v>
      </c>
      <c r="AM726">
        <v>93.361262389346706</v>
      </c>
      <c r="AN726">
        <v>1.0000000373755999</v>
      </c>
    </row>
    <row r="727" spans="1:40" x14ac:dyDescent="0.25">
      <c r="A727" t="str">
        <f>"20190304155609656"</f>
        <v>20190304155609656</v>
      </c>
      <c r="B727" t="str">
        <f>"1551686169645731"</f>
        <v>1551686169645731</v>
      </c>
      <c r="C727" t="s">
        <v>40</v>
      </c>
      <c r="D727">
        <v>4.33202</v>
      </c>
      <c r="E727">
        <v>0.53156999999999999</v>
      </c>
      <c r="F727" t="s">
        <v>43</v>
      </c>
      <c r="G727">
        <v>-158.19499999999999</v>
      </c>
      <c r="H727">
        <v>3.0661160000000001</v>
      </c>
      <c r="I727">
        <v>361.13170000000002</v>
      </c>
      <c r="J727">
        <v>-343.16699999999997</v>
      </c>
      <c r="K727">
        <v>1.109945</v>
      </c>
      <c r="L727">
        <v>367.01830000000001</v>
      </c>
      <c r="M727">
        <v>0.99992570000000003</v>
      </c>
      <c r="N727">
        <v>-1.1814109999999999E-2</v>
      </c>
      <c r="O727">
        <v>-3.032295E-3</v>
      </c>
      <c r="P727">
        <v>0.98499159999999997</v>
      </c>
      <c r="Q727">
        <v>0.16372909999999999</v>
      </c>
      <c r="R727">
        <v>5.463192E-2</v>
      </c>
      <c r="S727">
        <v>3.0458069999999999</v>
      </c>
      <c r="T727">
        <v>3.2176259999999998E-2</v>
      </c>
      <c r="U727">
        <v>-9.6832280000000007E-2</v>
      </c>
      <c r="V727">
        <v>-5.7611910000000002E-2</v>
      </c>
      <c r="W727">
        <v>0.1753547</v>
      </c>
      <c r="X727">
        <v>0.98281819999999998</v>
      </c>
      <c r="Y727">
        <v>2.874577E-2</v>
      </c>
      <c r="Z727" s="1">
        <v>-8.5895299999999997E-5</v>
      </c>
      <c r="AA727">
        <v>0.9995868</v>
      </c>
      <c r="AB727">
        <v>32</v>
      </c>
      <c r="AC727">
        <v>184.97200000000001</v>
      </c>
      <c r="AD727">
        <v>1.9561710000000001</v>
      </c>
      <c r="AE727">
        <v>-5.8865999999999801</v>
      </c>
      <c r="AF727">
        <v>5.3250492072310296</v>
      </c>
      <c r="AG727">
        <v>1.9561710000000001</v>
      </c>
      <c r="AH727">
        <v>184.968334497999</v>
      </c>
      <c r="AI727">
        <v>89.394330105311795</v>
      </c>
      <c r="AJ727">
        <v>88.350968571372505</v>
      </c>
      <c r="AK727">
        <v>185.055309356431</v>
      </c>
      <c r="AL727">
        <v>79.9006999775834</v>
      </c>
      <c r="AM727">
        <v>93.354787485684199</v>
      </c>
      <c r="AN727">
        <v>1.0000000086185801</v>
      </c>
    </row>
    <row r="728" spans="1:40" x14ac:dyDescent="0.25">
      <c r="A728" t="str">
        <f>"20190304155609675"</f>
        <v>20190304155609675</v>
      </c>
      <c r="B728" t="str">
        <f>"1551686169665256"</f>
        <v>1551686169665256</v>
      </c>
      <c r="C728" t="s">
        <v>40</v>
      </c>
      <c r="D728">
        <v>4.3506900000000002</v>
      </c>
      <c r="E728">
        <v>0.53146269999999995</v>
      </c>
      <c r="F728" t="s">
        <v>43</v>
      </c>
      <c r="G728">
        <v>-158.19499999999999</v>
      </c>
      <c r="H728">
        <v>3.0495000000000001</v>
      </c>
      <c r="I728">
        <v>361.14690000000002</v>
      </c>
      <c r="J728">
        <v>-342.89830000000001</v>
      </c>
      <c r="K728">
        <v>1.109942</v>
      </c>
      <c r="L728">
        <v>367.01749999999998</v>
      </c>
      <c r="M728">
        <v>0.99992590000000003</v>
      </c>
      <c r="N728">
        <v>-1.18008E-2</v>
      </c>
      <c r="O728">
        <v>-3.0324549999999999E-3</v>
      </c>
      <c r="P728">
        <v>0.98506959999999999</v>
      </c>
      <c r="Q728">
        <v>0.163468899999999</v>
      </c>
      <c r="R728">
        <v>5.399938E-2</v>
      </c>
      <c r="S728">
        <v>3.045776</v>
      </c>
      <c r="T728">
        <v>3.1938429999999997E-2</v>
      </c>
      <c r="U728">
        <v>-9.6679689999999999E-2</v>
      </c>
      <c r="V728">
        <v>-5.6980169999999997E-2</v>
      </c>
      <c r="W728">
        <v>0.17508189999999901</v>
      </c>
      <c r="X728">
        <v>0.98290370000000005</v>
      </c>
      <c r="Y728">
        <v>2.86959E-2</v>
      </c>
      <c r="Z728" s="1">
        <v>-8.6518119999999996E-5</v>
      </c>
      <c r="AA728">
        <v>0.99958820000000004</v>
      </c>
      <c r="AB728">
        <v>32</v>
      </c>
      <c r="AC728">
        <v>184.70330000000001</v>
      </c>
      <c r="AD728">
        <v>1.9395579999999999</v>
      </c>
      <c r="AE728">
        <v>-5.8705999999999596</v>
      </c>
      <c r="AF728">
        <v>5.3098447031062603</v>
      </c>
      <c r="AG728">
        <v>1.9395579999999999</v>
      </c>
      <c r="AH728">
        <v>184.699907950804</v>
      </c>
      <c r="AI728">
        <v>89.3986000580188</v>
      </c>
      <c r="AJ728">
        <v>88.353286025608</v>
      </c>
      <c r="AK728">
        <v>184.78639650429301</v>
      </c>
      <c r="AL728">
        <v>79.916576268405805</v>
      </c>
      <c r="AM728">
        <v>93.317795423178595</v>
      </c>
      <c r="AN728">
        <v>1.0000000474772599</v>
      </c>
    </row>
    <row r="729" spans="1:40" x14ac:dyDescent="0.25">
      <c r="A729" t="str">
        <f>"20190304155609697"</f>
        <v>20190304155609697</v>
      </c>
      <c r="B729" t="str">
        <f>"1551686169685746"</f>
        <v>1551686169685746</v>
      </c>
      <c r="C729" t="s">
        <v>40</v>
      </c>
      <c r="D729">
        <v>4.3549670000000003</v>
      </c>
      <c r="E729">
        <v>0.53149709999999994</v>
      </c>
      <c r="F729" t="s">
        <v>43</v>
      </c>
      <c r="G729">
        <v>-158.19499999999999</v>
      </c>
      <c r="H729">
        <v>2.974777</v>
      </c>
      <c r="I729">
        <v>361.13409999999999</v>
      </c>
      <c r="J729">
        <v>-342.59</v>
      </c>
      <c r="K729">
        <v>1.1099380000000001</v>
      </c>
      <c r="L729">
        <v>367.01650000000001</v>
      </c>
      <c r="M729">
        <v>0.99992599999999998</v>
      </c>
      <c r="N729">
        <v>-1.1782549999999999E-2</v>
      </c>
      <c r="O729">
        <v>-3.0321079999999999E-3</v>
      </c>
      <c r="P729">
        <v>0.98516990000000004</v>
      </c>
      <c r="Q729">
        <v>0.16294589999999901</v>
      </c>
      <c r="R729">
        <v>5.3748249999999997E-2</v>
      </c>
      <c r="S729">
        <v>3.0456850000000002</v>
      </c>
      <c r="T729">
        <v>3.0751819999999999E-2</v>
      </c>
      <c r="U729">
        <v>-9.7015379999999998E-2</v>
      </c>
      <c r="V729">
        <v>-5.6728849999999997E-2</v>
      </c>
      <c r="W729">
        <v>0.17454249999999999</v>
      </c>
      <c r="X729">
        <v>0.9830141</v>
      </c>
      <c r="Y729">
        <v>2.8807280000000001E-2</v>
      </c>
      <c r="Z729" s="1">
        <v>-9.0691380000000002E-5</v>
      </c>
      <c r="AA729">
        <v>0.99958499999999995</v>
      </c>
      <c r="AB729">
        <v>32</v>
      </c>
      <c r="AC729">
        <v>184.39500000000001</v>
      </c>
      <c r="AD729">
        <v>1.8648389999999999</v>
      </c>
      <c r="AE729">
        <v>-5.8824000000000103</v>
      </c>
      <c r="AF729">
        <v>5.3226847520503799</v>
      </c>
      <c r="AG729">
        <v>1.8648389999999999</v>
      </c>
      <c r="AH729">
        <v>184.393149272491</v>
      </c>
      <c r="AI729">
        <v>89.4208066871916</v>
      </c>
      <c r="AJ729">
        <v>88.346561618633402</v>
      </c>
      <c r="AK729">
        <v>184.47938122210999</v>
      </c>
      <c r="AL729">
        <v>79.947964292880101</v>
      </c>
      <c r="AM729">
        <v>93.302824087408098</v>
      </c>
      <c r="AN729">
        <v>0.99999998376369104</v>
      </c>
    </row>
    <row r="730" spans="1:40" x14ac:dyDescent="0.25">
      <c r="A730" t="str">
        <f>"20190304155609707"</f>
        <v>20190304155609707</v>
      </c>
      <c r="B730" t="str">
        <f>"1551686169695507"</f>
        <v>1551686169695507</v>
      </c>
      <c r="C730" t="s">
        <v>40</v>
      </c>
      <c r="D730">
        <v>4.3439920000000001</v>
      </c>
      <c r="E730">
        <v>0.53147290000000003</v>
      </c>
      <c r="F730" t="s">
        <v>43</v>
      </c>
      <c r="G730">
        <v>-158.19499999999999</v>
      </c>
      <c r="H730">
        <v>2.8642430000000001</v>
      </c>
      <c r="I730">
        <v>361.07830000000001</v>
      </c>
      <c r="J730">
        <v>-342.44060000000002</v>
      </c>
      <c r="K730">
        <v>1.109928</v>
      </c>
      <c r="L730">
        <v>367.01609999999999</v>
      </c>
      <c r="M730">
        <v>0.99992630000000005</v>
      </c>
      <c r="N730">
        <v>-1.177287E-2</v>
      </c>
      <c r="O730">
        <v>-3.032051E-3</v>
      </c>
      <c r="P730">
        <v>0.98521020000000004</v>
      </c>
      <c r="Q730">
        <v>0.1627741</v>
      </c>
      <c r="R730">
        <v>5.3531490000000001E-2</v>
      </c>
      <c r="S730">
        <v>3.045715</v>
      </c>
      <c r="T730">
        <v>2.8977869999999999E-2</v>
      </c>
      <c r="U730">
        <v>-9.8083500000000004E-2</v>
      </c>
      <c r="V730">
        <v>-5.6511779999999998E-2</v>
      </c>
      <c r="W730">
        <v>0.17436170000000001</v>
      </c>
      <c r="X730">
        <v>0.98305869999999995</v>
      </c>
      <c r="Y730">
        <v>2.9157240000000001E-2</v>
      </c>
      <c r="Z730" s="1">
        <v>-9.7541279999999999E-5</v>
      </c>
      <c r="AA730">
        <v>0.99957479999999999</v>
      </c>
      <c r="AB730">
        <v>32</v>
      </c>
      <c r="AC730">
        <v>184.2456</v>
      </c>
      <c r="AD730">
        <v>1.7543150000000001</v>
      </c>
      <c r="AE730">
        <v>-5.9377999999999798</v>
      </c>
      <c r="AF730">
        <v>5.3786049156291904</v>
      </c>
      <c r="AG730">
        <v>1.7543150000000001</v>
      </c>
      <c r="AH730">
        <v>184.24607130469499</v>
      </c>
      <c r="AI730">
        <v>89.454702024081399</v>
      </c>
      <c r="AJ730">
        <v>88.327867387260397</v>
      </c>
      <c r="AK730">
        <v>184.33291025525699</v>
      </c>
      <c r="AL730">
        <v>79.958484814242993</v>
      </c>
      <c r="AM730">
        <v>93.2900648766975</v>
      </c>
      <c r="AN730">
        <v>0.99999999567567399</v>
      </c>
    </row>
    <row r="731" spans="1:40" x14ac:dyDescent="0.25">
      <c r="A731" t="str">
        <f>"20190304155609718"</f>
        <v>20190304155609718</v>
      </c>
      <c r="B731" t="str">
        <f>"1551686169715027"</f>
        <v>1551686169715027</v>
      </c>
      <c r="C731" t="s">
        <v>40</v>
      </c>
      <c r="D731">
        <v>4.4541519999999997</v>
      </c>
      <c r="E731">
        <v>0.53164730000000004</v>
      </c>
      <c r="F731" t="s">
        <v>43</v>
      </c>
      <c r="G731">
        <v>-158.19499999999999</v>
      </c>
      <c r="H731">
        <v>2.810381</v>
      </c>
      <c r="I731">
        <v>361.05689999999998</v>
      </c>
      <c r="J731">
        <v>-342.2835</v>
      </c>
      <c r="K731">
        <v>1.1099270000000001</v>
      </c>
      <c r="L731">
        <v>367.01560000000001</v>
      </c>
      <c r="M731">
        <v>0.99992630000000005</v>
      </c>
      <c r="N731">
        <v>-1.176233E-2</v>
      </c>
      <c r="O731">
        <v>-3.0319890000000001E-3</v>
      </c>
      <c r="P731">
        <v>0.98527659999999995</v>
      </c>
      <c r="Q731">
        <v>0.16246820000000001</v>
      </c>
      <c r="R731">
        <v>5.3238510000000003E-2</v>
      </c>
      <c r="S731">
        <v>3.0457459999999998</v>
      </c>
      <c r="T731">
        <v>2.8111460000000001E-2</v>
      </c>
      <c r="U731">
        <v>-9.8510739999999999E-2</v>
      </c>
      <c r="V731">
        <v>-5.6219169999999999E-2</v>
      </c>
      <c r="W731">
        <v>0.17404610000000001</v>
      </c>
      <c r="X731">
        <v>0.98313139999999999</v>
      </c>
      <c r="Y731">
        <v>2.929706E-2</v>
      </c>
      <c r="Z731">
        <v>-1.0081699999999999E-4</v>
      </c>
      <c r="AA731">
        <v>0.99957070000000003</v>
      </c>
      <c r="AB731">
        <v>32</v>
      </c>
      <c r="AC731">
        <v>184.08850000000001</v>
      </c>
      <c r="AD731">
        <v>1.7004539999999999</v>
      </c>
      <c r="AE731">
        <v>-5.9587000000000199</v>
      </c>
      <c r="AF731">
        <v>5.4000194525901799</v>
      </c>
      <c r="AG731">
        <v>1.7004539999999999</v>
      </c>
      <c r="AH731">
        <v>184.09003063594699</v>
      </c>
      <c r="AI731">
        <v>89.470996989251304</v>
      </c>
      <c r="AJ731">
        <v>88.319791532810797</v>
      </c>
      <c r="AK731">
        <v>184.17706462379701</v>
      </c>
      <c r="AL731">
        <v>79.976848136520204</v>
      </c>
      <c r="AM731">
        <v>93.272825011550694</v>
      </c>
      <c r="AN731">
        <v>0.99999999483332902</v>
      </c>
    </row>
    <row r="732" spans="1:40" x14ac:dyDescent="0.25">
      <c r="A732" t="str">
        <f>"20190304155609729"</f>
        <v>20190304155609729</v>
      </c>
      <c r="B732" t="str">
        <f>"1551686169725764"</f>
        <v>1551686169725764</v>
      </c>
      <c r="C732" t="s">
        <v>40</v>
      </c>
      <c r="D732">
        <v>4.3701869999999996</v>
      </c>
      <c r="E732">
        <v>0.53165549999999995</v>
      </c>
      <c r="F732" t="s">
        <v>43</v>
      </c>
      <c r="G732">
        <v>-158.19499999999999</v>
      </c>
      <c r="H732">
        <v>2.659824</v>
      </c>
      <c r="I732">
        <v>360.92939999999999</v>
      </c>
      <c r="J732">
        <v>-342.125</v>
      </c>
      <c r="K732">
        <v>1.109923</v>
      </c>
      <c r="L732">
        <v>367.01510000000002</v>
      </c>
      <c r="M732">
        <v>0.99992650000000005</v>
      </c>
      <c r="N732">
        <v>-1.1751599999999999E-2</v>
      </c>
      <c r="O732">
        <v>-3.0319259999999999E-3</v>
      </c>
      <c r="P732">
        <v>0.98525209999999996</v>
      </c>
      <c r="Q732">
        <v>0.16260229999999901</v>
      </c>
      <c r="R732">
        <v>5.3283610000000002E-2</v>
      </c>
      <c r="S732">
        <v>3.0460509999999998</v>
      </c>
      <c r="T732">
        <v>2.5647039999999999E-2</v>
      </c>
      <c r="U732">
        <v>-0.10070800000000001</v>
      </c>
      <c r="V732">
        <v>-5.6263870000000001E-2</v>
      </c>
      <c r="W732">
        <v>0.17416970000000001</v>
      </c>
      <c r="X732">
        <v>0.98310699999999995</v>
      </c>
      <c r="Y732">
        <v>3.001417E-2</v>
      </c>
      <c r="Z732">
        <v>-1.1123159999999999E-4</v>
      </c>
      <c r="AA732">
        <v>0.99954940000000003</v>
      </c>
      <c r="AB732">
        <v>32</v>
      </c>
      <c r="AC732">
        <v>183.93</v>
      </c>
      <c r="AD732">
        <v>1.549901</v>
      </c>
      <c r="AE732">
        <v>-6.0857000000000303</v>
      </c>
      <c r="AF732">
        <v>5.5275793787491798</v>
      </c>
      <c r="AG732">
        <v>1.549901</v>
      </c>
      <c r="AH732">
        <v>183.93456074265501</v>
      </c>
      <c r="AI732">
        <v>89.5174337312381</v>
      </c>
      <c r="AJ732">
        <v>88.278672160982694</v>
      </c>
      <c r="AK732">
        <v>184.024126033767</v>
      </c>
      <c r="AL732">
        <v>79.969657000185194</v>
      </c>
      <c r="AM732">
        <v>93.275502695781</v>
      </c>
      <c r="AN732">
        <v>1.00000004045723</v>
      </c>
    </row>
    <row r="733" spans="1:40" x14ac:dyDescent="0.25">
      <c r="A733" t="str">
        <f>"20190304155609742"</f>
        <v>20190304155609742</v>
      </c>
      <c r="B733" t="str">
        <f>"1551686169735523"</f>
        <v>1551686169735523</v>
      </c>
      <c r="C733" t="s">
        <v>40</v>
      </c>
      <c r="D733">
        <v>4.2587339999999996</v>
      </c>
      <c r="E733">
        <v>0.53165549999999995</v>
      </c>
      <c r="F733" t="s">
        <v>43</v>
      </c>
      <c r="G733">
        <v>-158.19499999999999</v>
      </c>
      <c r="H733">
        <v>2.6695389999999999</v>
      </c>
      <c r="I733">
        <v>360.93790000000001</v>
      </c>
      <c r="J733">
        <v>-341.94209999999998</v>
      </c>
      <c r="K733">
        <v>1.109918</v>
      </c>
      <c r="L733">
        <v>367.01459999999997</v>
      </c>
      <c r="M733">
        <v>0.9999266</v>
      </c>
      <c r="N733">
        <v>-1.173949E-2</v>
      </c>
      <c r="O733">
        <v>-3.0313760000000001E-3</v>
      </c>
      <c r="P733">
        <v>0.98529080000000002</v>
      </c>
      <c r="Q733">
        <v>0.16246549999999901</v>
      </c>
      <c r="R733">
        <v>5.2983660000000002E-2</v>
      </c>
      <c r="S733">
        <v>3.0460820000000002</v>
      </c>
      <c r="T733">
        <v>2.5830390000000002E-2</v>
      </c>
      <c r="U733">
        <v>-0.100647</v>
      </c>
      <c r="V733">
        <v>-5.5963939999999997E-2</v>
      </c>
      <c r="W733">
        <v>0.17402129999999999</v>
      </c>
      <c r="X733">
        <v>0.98315039999999998</v>
      </c>
      <c r="Y733">
        <v>2.9994389999999999E-2</v>
      </c>
      <c r="Z733">
        <v>-1.1025E-4</v>
      </c>
      <c r="AA733">
        <v>0.99955000000000005</v>
      </c>
      <c r="AB733">
        <v>32</v>
      </c>
      <c r="AC733">
        <v>183.74709999999999</v>
      </c>
      <c r="AD733">
        <v>1.5596209999999999</v>
      </c>
      <c r="AE733">
        <v>-6.0766999999999598</v>
      </c>
      <c r="AF733">
        <v>5.5192300070525002</v>
      </c>
      <c r="AG733">
        <v>1.5596209999999999</v>
      </c>
      <c r="AH733">
        <v>183.751453956695</v>
      </c>
      <c r="AI733">
        <v>89.513923433246006</v>
      </c>
      <c r="AJ733">
        <v>88.279558983896194</v>
      </c>
      <c r="AK733">
        <v>183.84093980594699</v>
      </c>
      <c r="AL733">
        <v>79.9782915716643</v>
      </c>
      <c r="AM733">
        <v>93.257935932120702</v>
      </c>
      <c r="AN733">
        <v>1.0000000422270801</v>
      </c>
    </row>
    <row r="734" spans="1:40" x14ac:dyDescent="0.25">
      <c r="A734" t="str">
        <f>"20190304155609754"</f>
        <v>20190304155609754</v>
      </c>
      <c r="B734" t="str">
        <f>"1551686169745283"</f>
        <v>1551686169745283</v>
      </c>
      <c r="C734" t="s">
        <v>40</v>
      </c>
      <c r="D734">
        <v>4.3764649999999996</v>
      </c>
      <c r="E734">
        <v>0.53282089999999904</v>
      </c>
      <c r="F734" t="s">
        <v>43</v>
      </c>
      <c r="G734">
        <v>-158.19499999999999</v>
      </c>
      <c r="H734">
        <v>2.640609</v>
      </c>
      <c r="I734">
        <v>360.9083</v>
      </c>
      <c r="J734">
        <v>-341.78379999999999</v>
      </c>
      <c r="K734">
        <v>1.10991</v>
      </c>
      <c r="L734">
        <v>367.01420000000002</v>
      </c>
      <c r="M734">
        <v>0.99992669999999995</v>
      </c>
      <c r="N734">
        <v>-1.172926E-2</v>
      </c>
      <c r="O734">
        <v>-3.030835E-3</v>
      </c>
      <c r="P734">
        <v>0.9853229</v>
      </c>
      <c r="Q734">
        <v>0.1623396</v>
      </c>
      <c r="R734">
        <v>5.2771970000000001E-2</v>
      </c>
      <c r="S734">
        <v>3.0460509999999998</v>
      </c>
      <c r="T734">
        <v>2.5376320000000001E-2</v>
      </c>
      <c r="U734">
        <v>-0.10122680000000001</v>
      </c>
      <c r="V734">
        <v>-5.575198E-2</v>
      </c>
      <c r="W734">
        <v>0.17388609999999999</v>
      </c>
      <c r="X734">
        <v>0.98318629999999996</v>
      </c>
      <c r="Y734">
        <v>3.0185320000000002E-2</v>
      </c>
      <c r="Z734">
        <v>-1.121627E-4</v>
      </c>
      <c r="AA734">
        <v>0.99954430000000005</v>
      </c>
      <c r="AB734">
        <v>32</v>
      </c>
      <c r="AC734">
        <v>183.58879999999999</v>
      </c>
      <c r="AD734">
        <v>1.530699</v>
      </c>
      <c r="AE734">
        <v>-6.1059000000000099</v>
      </c>
      <c r="AF734">
        <v>5.5490210365323502</v>
      </c>
      <c r="AG734">
        <v>1.530699</v>
      </c>
      <c r="AH734">
        <v>183.593715238247</v>
      </c>
      <c r="AI734">
        <v>89.522529780033693</v>
      </c>
      <c r="AJ734">
        <v>88.268792996676794</v>
      </c>
      <c r="AK734">
        <v>183.68393220114601</v>
      </c>
      <c r="AL734">
        <v>79.986157260154698</v>
      </c>
      <c r="AM734">
        <v>93.245504871536895</v>
      </c>
      <c r="AN734">
        <v>0.99999997977740995</v>
      </c>
    </row>
    <row r="735" spans="1:40" x14ac:dyDescent="0.25">
      <c r="A735" t="str">
        <f>"20190304155609764"</f>
        <v>20190304155609764</v>
      </c>
      <c r="B735" t="str">
        <f>"1551686169755043"</f>
        <v>1551686169755043</v>
      </c>
      <c r="C735" t="s">
        <v>40</v>
      </c>
      <c r="D735">
        <v>4.370298</v>
      </c>
      <c r="E735">
        <v>0.53282089999999904</v>
      </c>
      <c r="F735" t="s">
        <v>43</v>
      </c>
      <c r="G735">
        <v>-158.19499999999999</v>
      </c>
      <c r="H735">
        <v>6.3615700000000004</v>
      </c>
      <c r="I735">
        <v>360.37119999999999</v>
      </c>
      <c r="J735">
        <v>-341.61720000000003</v>
      </c>
      <c r="K735">
        <v>1.109907</v>
      </c>
      <c r="L735">
        <v>367.0136</v>
      </c>
      <c r="M735">
        <v>0.99992689999999995</v>
      </c>
      <c r="N735">
        <v>-1.171903E-2</v>
      </c>
      <c r="O735">
        <v>-3.0296960000000001E-3</v>
      </c>
      <c r="P735">
        <v>0.98535950000000005</v>
      </c>
      <c r="Q735">
        <v>0.1621909</v>
      </c>
      <c r="R735">
        <v>5.2545219999999997E-2</v>
      </c>
      <c r="S735">
        <v>3.0362550000000001</v>
      </c>
      <c r="T735">
        <v>8.6855169999999995E-2</v>
      </c>
      <c r="U735">
        <v>-0.1098633</v>
      </c>
      <c r="V735">
        <v>-5.552431E-2</v>
      </c>
      <c r="W735">
        <v>0.1737273</v>
      </c>
      <c r="X735">
        <v>0.98322730000000003</v>
      </c>
      <c r="Y735">
        <v>3.3126549999999998E-2</v>
      </c>
      <c r="Z735">
        <v>1.572535E-4</v>
      </c>
      <c r="AA735">
        <v>0.99945119999999998</v>
      </c>
      <c r="AB735">
        <v>32</v>
      </c>
      <c r="AC735">
        <v>183.4222</v>
      </c>
      <c r="AD735">
        <v>5.2516629999999997</v>
      </c>
      <c r="AE735">
        <v>-6.6424000000000003</v>
      </c>
      <c r="AF735">
        <v>6.0816389387706797</v>
      </c>
      <c r="AG735">
        <v>5.2516629999999997</v>
      </c>
      <c r="AH735">
        <v>183.29142460719899</v>
      </c>
      <c r="AI735">
        <v>88.359713409487398</v>
      </c>
      <c r="AJ735">
        <v>88.099614011821899</v>
      </c>
      <c r="AK735">
        <v>183.46747022560601</v>
      </c>
      <c r="AL735">
        <v>79.995396895706904</v>
      </c>
      <c r="AM735">
        <v>93.232145117878702</v>
      </c>
      <c r="AN735">
        <v>1.00000002361577</v>
      </c>
    </row>
    <row r="736" spans="1:40" x14ac:dyDescent="0.25">
      <c r="A736" t="str">
        <f>"20190304155609777"</f>
        <v>20190304155609777</v>
      </c>
      <c r="B736" t="str">
        <f>"1551686169765779"</f>
        <v>1551686169765779</v>
      </c>
      <c r="C736" t="s">
        <v>40</v>
      </c>
      <c r="D736">
        <v>4.385135</v>
      </c>
      <c r="E736">
        <v>0.53054060000000003</v>
      </c>
      <c r="F736" t="s">
        <v>43</v>
      </c>
      <c r="G736">
        <v>-158.19499999999999</v>
      </c>
      <c r="H736">
        <v>6.3265320000000003</v>
      </c>
      <c r="I736">
        <v>360.33440000000002</v>
      </c>
      <c r="J736">
        <v>-341.45330000000001</v>
      </c>
      <c r="K736">
        <v>1.10991</v>
      </c>
      <c r="L736">
        <v>367.01310000000001</v>
      </c>
      <c r="M736">
        <v>0.99992700000000001</v>
      </c>
      <c r="N736">
        <v>-1.170943E-2</v>
      </c>
      <c r="O736">
        <v>-3.0278420000000002E-3</v>
      </c>
      <c r="P736">
        <v>0.98540629999999996</v>
      </c>
      <c r="Q736">
        <v>0.1618986</v>
      </c>
      <c r="R736">
        <v>5.2568869999999997E-2</v>
      </c>
      <c r="S736">
        <v>3.0362849999999999</v>
      </c>
      <c r="T736">
        <v>8.6354970000000003E-2</v>
      </c>
      <c r="U736">
        <v>-0.1105652</v>
      </c>
      <c r="V736">
        <v>-5.5546989999999997E-2</v>
      </c>
      <c r="W736">
        <v>0.17342630000000001</v>
      </c>
      <c r="X736">
        <v>0.98327909999999996</v>
      </c>
      <c r="Y736">
        <v>3.3358810000000003E-2</v>
      </c>
      <c r="Z736">
        <v>1.5722309999999999E-4</v>
      </c>
      <c r="AA736">
        <v>0.99944339999999998</v>
      </c>
      <c r="AB736">
        <v>32</v>
      </c>
      <c r="AC736">
        <v>183.25829999999999</v>
      </c>
      <c r="AD736">
        <v>5.2166220000000001</v>
      </c>
      <c r="AE736">
        <v>-6.6786999999999903</v>
      </c>
      <c r="AF736">
        <v>6.1188026855253899</v>
      </c>
      <c r="AG736">
        <v>5.2166220000000001</v>
      </c>
      <c r="AH736">
        <v>183.12948836935399</v>
      </c>
      <c r="AI736">
        <v>88.369224660029005</v>
      </c>
      <c r="AJ736">
        <v>88.086320242826204</v>
      </c>
      <c r="AK736">
        <v>183.30592571386401</v>
      </c>
      <c r="AL736">
        <v>80.012908198634193</v>
      </c>
      <c r="AM736">
        <v>93.233292570301401</v>
      </c>
      <c r="AN736">
        <v>0.99999996906327904</v>
      </c>
    </row>
    <row r="737" spans="1:40" x14ac:dyDescent="0.25">
      <c r="A737" t="str">
        <f>"20190304155609790"</f>
        <v>20190304155609790</v>
      </c>
      <c r="B737" t="str">
        <f>"1551686169785299"</f>
        <v>1551686169785299</v>
      </c>
      <c r="C737" t="s">
        <v>40</v>
      </c>
      <c r="D737">
        <v>4.5164580000000001</v>
      </c>
      <c r="E737">
        <v>0.53268649999999995</v>
      </c>
      <c r="F737" t="s">
        <v>43</v>
      </c>
      <c r="G737">
        <v>-158.19499999999999</v>
      </c>
      <c r="H737">
        <v>1.5901069999999999</v>
      </c>
      <c r="I737">
        <v>361.39870000000002</v>
      </c>
      <c r="J737">
        <v>-341.26929999999999</v>
      </c>
      <c r="K737">
        <v>1.1099110000000001</v>
      </c>
      <c r="L737">
        <v>367.01260000000002</v>
      </c>
      <c r="M737">
        <v>0.99992700000000001</v>
      </c>
      <c r="N737">
        <v>-1.1698979999999999E-2</v>
      </c>
      <c r="O737">
        <v>-3.0250250000000002E-3</v>
      </c>
      <c r="P737">
        <v>0.98544069999999995</v>
      </c>
      <c r="Q737">
        <v>0.16175410000000001</v>
      </c>
      <c r="R737">
        <v>5.2367619999999997E-2</v>
      </c>
      <c r="S737">
        <v>3.0480960000000001</v>
      </c>
      <c r="T737">
        <v>7.9884529999999995E-3</v>
      </c>
      <c r="U737">
        <v>-9.3383789999999994E-2</v>
      </c>
      <c r="V737">
        <v>-5.5343150000000001E-2</v>
      </c>
      <c r="W737">
        <v>0.173271799999999</v>
      </c>
      <c r="X737">
        <v>0.98331789999999997</v>
      </c>
      <c r="Y737">
        <v>2.7599080000000002E-2</v>
      </c>
      <c r="Z737">
        <v>-1.686344E-4</v>
      </c>
      <c r="AA737">
        <v>0.99961909999999998</v>
      </c>
      <c r="AB737">
        <v>32</v>
      </c>
      <c r="AC737">
        <v>183.07429999999999</v>
      </c>
      <c r="AD737">
        <v>0.48019599999999901</v>
      </c>
      <c r="AE737">
        <v>-5.6139000000000001</v>
      </c>
      <c r="AF737">
        <v>5.0599973004499601</v>
      </c>
      <c r="AG737">
        <v>0.48019599999999901</v>
      </c>
      <c r="AH737">
        <v>183.08918714489201</v>
      </c>
      <c r="AI737">
        <v>89.849785558691806</v>
      </c>
      <c r="AJ737">
        <v>88.416931573002302</v>
      </c>
      <c r="AK737">
        <v>183.15972431256901</v>
      </c>
      <c r="AL737">
        <v>80.021897157051598</v>
      </c>
      <c r="AM737">
        <v>93.221325593199097</v>
      </c>
      <c r="AN737">
        <v>1.00000003669378</v>
      </c>
    </row>
    <row r="738" spans="1:40" x14ac:dyDescent="0.25">
      <c r="A738" t="str">
        <f>"20190304155609800"</f>
        <v>20190304155609800</v>
      </c>
      <c r="B738" t="str">
        <f>"1551686169795059"</f>
        <v>1551686169795059</v>
      </c>
      <c r="C738" t="s">
        <v>40</v>
      </c>
      <c r="D738">
        <v>4.3678109999999997</v>
      </c>
      <c r="E738">
        <v>0.53154969999999901</v>
      </c>
      <c r="F738" t="s">
        <v>43</v>
      </c>
      <c r="G738">
        <v>-158.19499999999999</v>
      </c>
      <c r="H738">
        <v>1.754893</v>
      </c>
      <c r="I738">
        <v>360.32690000000002</v>
      </c>
      <c r="J738">
        <v>-341.11329999999998</v>
      </c>
      <c r="K738">
        <v>1.10991</v>
      </c>
      <c r="L738">
        <v>367.01209999999998</v>
      </c>
      <c r="M738">
        <v>0.99992709999999996</v>
      </c>
      <c r="N738">
        <v>-1.169108E-2</v>
      </c>
      <c r="O738">
        <v>-3.0205449999999999E-3</v>
      </c>
      <c r="P738">
        <v>0.98546040000000001</v>
      </c>
      <c r="Q738">
        <v>0.16167770000000001</v>
      </c>
      <c r="R738">
        <v>5.223183E-2</v>
      </c>
      <c r="S738">
        <v>3.048492</v>
      </c>
      <c r="T738">
        <v>1.0741469999999999E-2</v>
      </c>
      <c r="U738">
        <v>-0.1113281</v>
      </c>
      <c r="V738">
        <v>-5.520332E-2</v>
      </c>
      <c r="W738">
        <v>0.1731877</v>
      </c>
      <c r="X738">
        <v>0.98334049999999995</v>
      </c>
      <c r="Y738">
        <v>3.347667E-2</v>
      </c>
      <c r="Z738">
        <v>-1.827435E-4</v>
      </c>
      <c r="AA738">
        <v>0.99943950000000004</v>
      </c>
      <c r="AB738">
        <v>32</v>
      </c>
      <c r="AC738">
        <v>182.91829999999999</v>
      </c>
      <c r="AD738">
        <v>0.64498299999999997</v>
      </c>
      <c r="AE738">
        <v>-6.6851999999999503</v>
      </c>
      <c r="AF738">
        <v>6.1325426370189398</v>
      </c>
      <c r="AG738">
        <v>0.64498299999999997</v>
      </c>
      <c r="AH738">
        <v>182.93538833175501</v>
      </c>
      <c r="AI738">
        <v>89.798104106773806</v>
      </c>
      <c r="AJ738">
        <v>88.079992718092896</v>
      </c>
      <c r="AK738">
        <v>183.03928645609199</v>
      </c>
      <c r="AL738">
        <v>80.026788952161198</v>
      </c>
      <c r="AM738">
        <v>93.213129974154199</v>
      </c>
      <c r="AN738">
        <v>0.99999996245528</v>
      </c>
    </row>
    <row r="739" spans="1:40" x14ac:dyDescent="0.25">
      <c r="A739" t="str">
        <f>"20190304155609813"</f>
        <v>20190304155609813</v>
      </c>
      <c r="B739" t="str">
        <f>"1551686169805795"</f>
        <v>1551686169805795</v>
      </c>
      <c r="C739" t="s">
        <v>40</v>
      </c>
      <c r="D739">
        <v>4.3529210000000003</v>
      </c>
      <c r="E739">
        <v>0.53076569999999901</v>
      </c>
      <c r="F739" t="s">
        <v>43</v>
      </c>
      <c r="G739">
        <v>-158.19499999999999</v>
      </c>
      <c r="H739">
        <v>1.9566870000000001</v>
      </c>
      <c r="I739">
        <v>360.8664</v>
      </c>
      <c r="J739">
        <v>-340.93959999999998</v>
      </c>
      <c r="K739">
        <v>1.1099129999999999</v>
      </c>
      <c r="L739">
        <v>367.01159999999999</v>
      </c>
      <c r="M739">
        <v>0.99992729999999996</v>
      </c>
      <c r="N739">
        <v>-1.168252E-2</v>
      </c>
      <c r="O739">
        <v>-3.0147419999999999E-3</v>
      </c>
      <c r="P739">
        <v>0.98551160000000004</v>
      </c>
      <c r="Q739">
        <v>0.161389899999999</v>
      </c>
      <c r="R739">
        <v>5.2157210000000002E-2</v>
      </c>
      <c r="S739">
        <v>3.0473940000000002</v>
      </c>
      <c r="T739">
        <v>1.410866E-2</v>
      </c>
      <c r="U739">
        <v>-0.10238650000000001</v>
      </c>
      <c r="V739">
        <v>-5.5124640000000003E-2</v>
      </c>
      <c r="W739">
        <v>0.17289189999999999</v>
      </c>
      <c r="X739">
        <v>0.98339699999999997</v>
      </c>
      <c r="Y739">
        <v>3.0566599999999999E-2</v>
      </c>
      <c r="Z739">
        <v>-1.570291E-4</v>
      </c>
      <c r="AA739">
        <v>0.99953270000000005</v>
      </c>
      <c r="AB739">
        <v>32</v>
      </c>
      <c r="AC739">
        <v>182.74459999999999</v>
      </c>
      <c r="AD739">
        <v>0.84677399999999903</v>
      </c>
      <c r="AE739">
        <v>-6.1451999999999796</v>
      </c>
      <c r="AF739">
        <v>5.5940867249401496</v>
      </c>
      <c r="AG739">
        <v>0.84677399999999903</v>
      </c>
      <c r="AH739">
        <v>182.75837737195801</v>
      </c>
      <c r="AI739">
        <v>89.734657758346202</v>
      </c>
      <c r="AJ739">
        <v>88.246769749534394</v>
      </c>
      <c r="AK739">
        <v>182.84593332126499</v>
      </c>
      <c r="AL739">
        <v>80.043996975690206</v>
      </c>
      <c r="AM739">
        <v>93.208375991219498</v>
      </c>
      <c r="AN739">
        <v>0.99999999731486899</v>
      </c>
    </row>
    <row r="740" spans="1:40" x14ac:dyDescent="0.25">
      <c r="A740" t="str">
        <f>"20190304155609825"</f>
        <v>20190304155609825</v>
      </c>
      <c r="B740" t="str">
        <f>"1551686169815555"</f>
        <v>1551686169815555</v>
      </c>
      <c r="C740" t="s">
        <v>40</v>
      </c>
      <c r="D740">
        <v>4.3636080000000002</v>
      </c>
      <c r="E740">
        <v>0.53080740000000004</v>
      </c>
      <c r="F740" t="s">
        <v>43</v>
      </c>
      <c r="G740">
        <v>-158.19499999999999</v>
      </c>
      <c r="H740">
        <v>2.0532949999999999</v>
      </c>
      <c r="I740">
        <v>361.23809999999997</v>
      </c>
      <c r="J740">
        <v>-340.76870000000002</v>
      </c>
      <c r="K740">
        <v>1.1099139999999901</v>
      </c>
      <c r="L740">
        <v>367.0111</v>
      </c>
      <c r="M740">
        <v>0.99992729999999996</v>
      </c>
      <c r="N740">
        <v>-1.1674759999999999E-2</v>
      </c>
      <c r="O740">
        <v>-3.0065489999999999E-3</v>
      </c>
      <c r="P740">
        <v>0.98550070000000001</v>
      </c>
      <c r="Q740">
        <v>0.161539299999999</v>
      </c>
      <c r="R740">
        <v>5.1899359999999999E-2</v>
      </c>
      <c r="S740">
        <v>3.0466310000000001</v>
      </c>
      <c r="T740">
        <v>1.5729070000000001E-2</v>
      </c>
      <c r="U740">
        <v>-9.6252439999999995E-2</v>
      </c>
      <c r="V740">
        <v>-5.4859720000000001E-2</v>
      </c>
      <c r="W740">
        <v>0.17303279999999999</v>
      </c>
      <c r="X740">
        <v>0.98338709999999996</v>
      </c>
      <c r="Y740">
        <v>2.8572839999999999E-2</v>
      </c>
      <c r="Z740">
        <v>-1.4370849999999999E-4</v>
      </c>
      <c r="AA740">
        <v>0.99959169999999997</v>
      </c>
      <c r="AB740">
        <v>32</v>
      </c>
      <c r="AC740">
        <v>182.5737</v>
      </c>
      <c r="AD740">
        <v>0.94338099999999903</v>
      </c>
      <c r="AE740">
        <v>-5.7730000000000201</v>
      </c>
      <c r="AF740">
        <v>5.2238803674933001</v>
      </c>
      <c r="AG740">
        <v>0.94338099999999903</v>
      </c>
      <c r="AH740">
        <v>182.58536269477901</v>
      </c>
      <c r="AI740">
        <v>89.704088215743198</v>
      </c>
      <c r="AJ740">
        <v>88.361179308493703</v>
      </c>
      <c r="AK740">
        <v>182.66251275012399</v>
      </c>
      <c r="AL740">
        <v>80.035801133336193</v>
      </c>
      <c r="AM740">
        <v>93.193021119880299</v>
      </c>
      <c r="AN740">
        <v>1.0000000636003601</v>
      </c>
    </row>
    <row r="741" spans="1:40" x14ac:dyDescent="0.25">
      <c r="A741" t="str">
        <f>"20190304155609841"</f>
        <v>20190304155609841</v>
      </c>
      <c r="B741" t="str">
        <f>"1551686169836051"</f>
        <v>1551686169836051</v>
      </c>
      <c r="C741" t="s">
        <v>40</v>
      </c>
      <c r="D741">
        <v>4.3520799999999999</v>
      </c>
      <c r="E741">
        <v>0.53003820000000001</v>
      </c>
      <c r="F741" t="s">
        <v>43</v>
      </c>
      <c r="G741">
        <v>-158.19499999999999</v>
      </c>
      <c r="H741">
        <v>2.1327310000000002</v>
      </c>
      <c r="I741">
        <v>361.18599999999998</v>
      </c>
      <c r="J741">
        <v>-340.53250000000003</v>
      </c>
      <c r="K741">
        <v>1.109915</v>
      </c>
      <c r="L741">
        <v>367.01029999999997</v>
      </c>
      <c r="M741">
        <v>0.99992749999999997</v>
      </c>
      <c r="N741">
        <v>-1.1664819999999999E-2</v>
      </c>
      <c r="O741">
        <v>-2.9910459999999998E-3</v>
      </c>
      <c r="P741">
        <v>0.98557229999999996</v>
      </c>
      <c r="Q741">
        <v>0.16137499999999999</v>
      </c>
      <c r="R741">
        <v>5.1045060000000003E-2</v>
      </c>
      <c r="S741">
        <v>3.046478</v>
      </c>
      <c r="T741">
        <v>1.7068509999999999E-2</v>
      </c>
      <c r="U741">
        <v>-9.7198489999999999E-2</v>
      </c>
      <c r="V741">
        <v>-5.3992480000000002E-2</v>
      </c>
      <c r="W741">
        <v>0.1728595</v>
      </c>
      <c r="X741">
        <v>0.98346549999999999</v>
      </c>
      <c r="Y741">
        <v>2.8900039999999998E-2</v>
      </c>
      <c r="Z741">
        <v>-1.39301299999999E-4</v>
      </c>
      <c r="AA741">
        <v>0.99958230000000003</v>
      </c>
      <c r="AB741">
        <v>32</v>
      </c>
      <c r="AC741">
        <v>182.33750000000001</v>
      </c>
      <c r="AD741">
        <v>1.0228159999999999</v>
      </c>
      <c r="AE741">
        <v>-5.8242999999999903</v>
      </c>
      <c r="AF741">
        <v>5.2786910598669996</v>
      </c>
      <c r="AG741">
        <v>1.0228159999999999</v>
      </c>
      <c r="AH741">
        <v>182.34837424815399</v>
      </c>
      <c r="AI741">
        <v>89.678758382516307</v>
      </c>
      <c r="AJ741">
        <v>88.341842758820505</v>
      </c>
      <c r="AK741">
        <v>182.42763037111499</v>
      </c>
      <c r="AL741">
        <v>80.045881684773207</v>
      </c>
      <c r="AM741">
        <v>93.142396783729097</v>
      </c>
      <c r="AN741">
        <v>0.99999999216352498</v>
      </c>
    </row>
    <row r="742" spans="1:40" x14ac:dyDescent="0.25">
      <c r="A742" t="str">
        <f>"20190304155609854"</f>
        <v>20190304155609854</v>
      </c>
      <c r="B742" t="str">
        <f>"1551686169845811"</f>
        <v>1551686169845811</v>
      </c>
      <c r="C742" t="s">
        <v>40</v>
      </c>
      <c r="D742">
        <v>4.353434</v>
      </c>
      <c r="E742">
        <v>0.52979529999999997</v>
      </c>
      <c r="F742" t="s">
        <v>43</v>
      </c>
      <c r="G742">
        <v>-158.19499999999999</v>
      </c>
      <c r="H742">
        <v>2.278286</v>
      </c>
      <c r="I742">
        <v>361.38670000000002</v>
      </c>
      <c r="J742">
        <v>-340.35180000000003</v>
      </c>
      <c r="K742">
        <v>1.1099190000000001</v>
      </c>
      <c r="L742">
        <v>367.00979999999998</v>
      </c>
      <c r="M742">
        <v>0.99992769999999997</v>
      </c>
      <c r="N742">
        <v>-1.165774E-2</v>
      </c>
      <c r="O742">
        <v>-2.9758089999999998E-3</v>
      </c>
      <c r="P742">
        <v>0.98561929999999998</v>
      </c>
      <c r="Q742">
        <v>0.1611562</v>
      </c>
      <c r="R742">
        <v>5.0827690000000002E-2</v>
      </c>
      <c r="S742">
        <v>3.0455930000000002</v>
      </c>
      <c r="T742">
        <v>1.9516829999999999E-2</v>
      </c>
      <c r="U742">
        <v>-9.393311E-2</v>
      </c>
      <c r="V742">
        <v>-5.3761570000000002E-2</v>
      </c>
      <c r="W742">
        <v>0.17263310000000001</v>
      </c>
      <c r="X742">
        <v>0.98351789999999994</v>
      </c>
      <c r="Y742">
        <v>2.7853869999999999E-2</v>
      </c>
      <c r="Z742">
        <v>-1.269229E-4</v>
      </c>
      <c r="AA742">
        <v>0.99961199999999995</v>
      </c>
      <c r="AB742">
        <v>32</v>
      </c>
      <c r="AC742">
        <v>182.1568</v>
      </c>
      <c r="AD742">
        <v>1.1683669999999999</v>
      </c>
      <c r="AE742">
        <v>-5.62309999999996</v>
      </c>
      <c r="AF742">
        <v>5.0807656353782997</v>
      </c>
      <c r="AG742">
        <v>1.1683669999999999</v>
      </c>
      <c r="AH742">
        <v>182.16524055325399</v>
      </c>
      <c r="AI742">
        <v>89.632665602561403</v>
      </c>
      <c r="AJ742">
        <v>88.402379194732404</v>
      </c>
      <c r="AK742">
        <v>182.2398258524</v>
      </c>
      <c r="AL742">
        <v>80.059051282766902</v>
      </c>
      <c r="AM742">
        <v>93.128818060676494</v>
      </c>
      <c r="AN742">
        <v>0.999999976622442</v>
      </c>
    </row>
    <row r="743" spans="1:40" x14ac:dyDescent="0.25">
      <c r="A743" t="str">
        <f>"20190304155609866"</f>
        <v>20190304155609866</v>
      </c>
      <c r="B743" t="str">
        <f>"1551686169855571"</f>
        <v>1551686169855571</v>
      </c>
      <c r="C743" t="s">
        <v>40</v>
      </c>
      <c r="D743">
        <v>4.3092680000000003</v>
      </c>
      <c r="E743">
        <v>0.52938430000000003</v>
      </c>
      <c r="F743" t="s">
        <v>43</v>
      </c>
      <c r="G743">
        <v>-158.19499999999999</v>
      </c>
      <c r="H743">
        <v>2.3070050000000002</v>
      </c>
      <c r="I743">
        <v>361.46600000000001</v>
      </c>
      <c r="J743">
        <v>-340.17779999999999</v>
      </c>
      <c r="K743">
        <v>1.1099209999999999</v>
      </c>
      <c r="L743">
        <v>367.0093</v>
      </c>
      <c r="M743">
        <v>0.99992789999999998</v>
      </c>
      <c r="N743">
        <v>-1.1651460000000001E-2</v>
      </c>
      <c r="O743">
        <v>-2.958306E-3</v>
      </c>
      <c r="P743">
        <v>0.98565290000000005</v>
      </c>
      <c r="Q743">
        <v>0.16111410000000001</v>
      </c>
      <c r="R743">
        <v>5.030805E-2</v>
      </c>
      <c r="S743">
        <v>3.0452880000000002</v>
      </c>
      <c r="T743">
        <v>2.0014290000000001E-2</v>
      </c>
      <c r="U743">
        <v>-9.2681879999999994E-2</v>
      </c>
      <c r="V743">
        <v>-5.3226450000000002E-2</v>
      </c>
      <c r="W743">
        <v>0.17258470000000001</v>
      </c>
      <c r="X743">
        <v>0.98355550000000003</v>
      </c>
      <c r="Y743">
        <v>2.746411E-2</v>
      </c>
      <c r="Z743">
        <v>-1.2371039999999999E-4</v>
      </c>
      <c r="AA743">
        <v>0.99962280000000003</v>
      </c>
      <c r="AB743">
        <v>32</v>
      </c>
      <c r="AC743">
        <v>181.9828</v>
      </c>
      <c r="AD743">
        <v>1.19708399999999</v>
      </c>
      <c r="AE743">
        <v>-5.5432999999999799</v>
      </c>
      <c r="AF743">
        <v>5.0046621170345</v>
      </c>
      <c r="AG743">
        <v>1.19708399999999</v>
      </c>
      <c r="AH743">
        <v>181.99053599969</v>
      </c>
      <c r="AI743">
        <v>89.623271873855003</v>
      </c>
      <c r="AJ743">
        <v>88.424787493757194</v>
      </c>
      <c r="AK743">
        <v>182.06327154718301</v>
      </c>
      <c r="AL743">
        <v>80.061866666060098</v>
      </c>
      <c r="AM743">
        <v>93.097617891002699</v>
      </c>
      <c r="AN743">
        <v>0.99999997761697101</v>
      </c>
    </row>
    <row r="744" spans="1:40" x14ac:dyDescent="0.25">
      <c r="A744" t="str">
        <f>"20190304155609878"</f>
        <v>20190304155609878</v>
      </c>
      <c r="B744" t="str">
        <f>"1551686169876066"</f>
        <v>1551686169876066</v>
      </c>
      <c r="C744" t="s">
        <v>40</v>
      </c>
      <c r="D744">
        <v>4.3479830000000002</v>
      </c>
      <c r="E744">
        <v>0.52974940000000004</v>
      </c>
      <c r="F744" t="s">
        <v>43</v>
      </c>
      <c r="G744">
        <v>-158.19499999999999</v>
      </c>
      <c r="H744">
        <v>2.3456649999999999</v>
      </c>
      <c r="I744">
        <v>361.55399999999997</v>
      </c>
      <c r="J744">
        <v>-340.00400000000002</v>
      </c>
      <c r="K744">
        <v>1.109928</v>
      </c>
      <c r="L744">
        <v>367.00880000000001</v>
      </c>
      <c r="M744">
        <v>0.99992789999999998</v>
      </c>
      <c r="N744">
        <v>-1.164578E-2</v>
      </c>
      <c r="O744">
        <v>-2.9360359999999999E-3</v>
      </c>
      <c r="P744">
        <v>0.98569260000000003</v>
      </c>
      <c r="Q744">
        <v>0.1609621</v>
      </c>
      <c r="R744">
        <v>5.0015799999999999E-2</v>
      </c>
      <c r="S744">
        <v>3.0449220000000001</v>
      </c>
      <c r="T744">
        <v>2.06778E-2</v>
      </c>
      <c r="U744">
        <v>-9.1278079999999998E-2</v>
      </c>
      <c r="V744">
        <v>-5.2914639999999999E-2</v>
      </c>
      <c r="W744">
        <v>0.17242689999999999</v>
      </c>
      <c r="X744">
        <v>0.98360000000000003</v>
      </c>
      <c r="Y744">
        <v>2.7029589999999999E-2</v>
      </c>
      <c r="Z744">
        <v>-1.197923E-4</v>
      </c>
      <c r="AA744">
        <v>0.99963460000000004</v>
      </c>
      <c r="AB744">
        <v>32</v>
      </c>
      <c r="AC744">
        <v>181.809</v>
      </c>
      <c r="AD744">
        <v>1.2357370000000001</v>
      </c>
      <c r="AE744">
        <v>-5.4547999999999703</v>
      </c>
      <c r="AF744">
        <v>4.9207154064468703</v>
      </c>
      <c r="AG744">
        <v>1.2357370000000001</v>
      </c>
      <c r="AH744">
        <v>181.81584090363901</v>
      </c>
      <c r="AI744">
        <v>89.610729686567197</v>
      </c>
      <c r="AJ744">
        <v>88.449709240449593</v>
      </c>
      <c r="AK744">
        <v>181.886614377039</v>
      </c>
      <c r="AL744">
        <v>80.071045544114597</v>
      </c>
      <c r="AM744">
        <v>93.079367470203906</v>
      </c>
      <c r="AN744">
        <v>0.99999997748496905</v>
      </c>
    </row>
    <row r="745" spans="1:40" x14ac:dyDescent="0.25">
      <c r="A745" t="str">
        <f>"20190304155609891"</f>
        <v>20190304155609891</v>
      </c>
      <c r="B745" t="str">
        <f>"1551686169885827"</f>
        <v>1551686169885827</v>
      </c>
      <c r="C745" t="s">
        <v>40</v>
      </c>
      <c r="D745">
        <v>4.3754720000000002</v>
      </c>
      <c r="E745">
        <v>0.52987919999999999</v>
      </c>
      <c r="F745" t="s">
        <v>43</v>
      </c>
      <c r="G745">
        <v>-158.19499999999999</v>
      </c>
      <c r="H745">
        <v>2.3722500000000002</v>
      </c>
      <c r="I745">
        <v>361.34739999999999</v>
      </c>
      <c r="J745">
        <v>-339.82580000000002</v>
      </c>
      <c r="K745">
        <v>1.1099319999999999</v>
      </c>
      <c r="L745">
        <v>367.00830000000002</v>
      </c>
      <c r="M745">
        <v>0.99992809999999999</v>
      </c>
      <c r="N745">
        <v>-1.1640259999999999E-2</v>
      </c>
      <c r="O745">
        <v>-2.9111409999999999E-3</v>
      </c>
      <c r="P745">
        <v>0.9857011</v>
      </c>
      <c r="Q745">
        <v>0.16089899999999999</v>
      </c>
      <c r="R745">
        <v>5.0051100000000001E-2</v>
      </c>
      <c r="S745">
        <v>3.0449220000000001</v>
      </c>
      <c r="T745">
        <v>2.114272E-2</v>
      </c>
      <c r="U745">
        <v>-9.4818120000000006E-2</v>
      </c>
      <c r="V745">
        <v>-5.2927479999999999E-2</v>
      </c>
      <c r="W745">
        <v>0.17235829999999999</v>
      </c>
      <c r="X745">
        <v>0.98361129999999997</v>
      </c>
      <c r="Y745">
        <v>2.8215569999999999E-2</v>
      </c>
      <c r="Z745">
        <v>-1.204155E-4</v>
      </c>
      <c r="AA745">
        <v>0.99960179999999998</v>
      </c>
      <c r="AB745">
        <v>32</v>
      </c>
      <c r="AC745">
        <v>181.63079999999999</v>
      </c>
      <c r="AD745">
        <v>1.2623180000000001</v>
      </c>
      <c r="AE745">
        <v>-5.6609000000000202</v>
      </c>
      <c r="AF745">
        <v>5.1318397277198899</v>
      </c>
      <c r="AG745">
        <v>1.2623180000000001</v>
      </c>
      <c r="AH745">
        <v>181.637746230375</v>
      </c>
      <c r="AI745">
        <v>89.601979858063302</v>
      </c>
      <c r="AJ745">
        <v>88.3816438776376</v>
      </c>
      <c r="AK745">
        <v>181.71461163421699</v>
      </c>
      <c r="AL745">
        <v>80.075035455510601</v>
      </c>
      <c r="AM745">
        <v>93.0800779383259</v>
      </c>
      <c r="AN745">
        <v>0.99999994560286298</v>
      </c>
    </row>
    <row r="746" spans="1:40" x14ac:dyDescent="0.25">
      <c r="A746" t="str">
        <f>"20190304155609908"</f>
        <v>20190304155609908</v>
      </c>
      <c r="B746" t="str">
        <f>"1551686169905347"</f>
        <v>1551686169905347</v>
      </c>
      <c r="C746" t="s">
        <v>40</v>
      </c>
      <c r="D746">
        <v>4.3500319999999997</v>
      </c>
      <c r="E746">
        <v>0.5298908</v>
      </c>
      <c r="F746" t="s">
        <v>43</v>
      </c>
      <c r="G746">
        <v>-158.19499999999999</v>
      </c>
      <c r="H746">
        <v>2.3644500000000002</v>
      </c>
      <c r="I746">
        <v>361.29790000000003</v>
      </c>
      <c r="J746">
        <v>-339.58249999999998</v>
      </c>
      <c r="K746">
        <v>1.109942</v>
      </c>
      <c r="L746">
        <v>367.0077</v>
      </c>
      <c r="M746">
        <v>0.99992829999999999</v>
      </c>
      <c r="N746">
        <v>-1.1633569999999999E-2</v>
      </c>
      <c r="O746">
        <v>-2.8695090000000001E-3</v>
      </c>
      <c r="P746">
        <v>0.98575880000000005</v>
      </c>
      <c r="Q746">
        <v>0.16077359999999999</v>
      </c>
      <c r="R746">
        <v>4.9311340000000002E-2</v>
      </c>
      <c r="S746">
        <v>3.0449830000000002</v>
      </c>
      <c r="T746">
        <v>2.1033050000000001E-2</v>
      </c>
      <c r="U746">
        <v>-9.5733639999999995E-2</v>
      </c>
      <c r="V746">
        <v>-5.2150120000000001E-2</v>
      </c>
      <c r="W746">
        <v>0.17222589999999999</v>
      </c>
      <c r="X746">
        <v>0.98367610000000005</v>
      </c>
      <c r="Y746">
        <v>2.8556809999999998E-2</v>
      </c>
      <c r="Z746">
        <v>-1.2074280000000001E-4</v>
      </c>
      <c r="AA746">
        <v>0.99959219999999904</v>
      </c>
      <c r="AB746">
        <v>32</v>
      </c>
      <c r="AC746">
        <v>181.38749999999999</v>
      </c>
      <c r="AD746">
        <v>1.254508</v>
      </c>
      <c r="AE746">
        <v>-5.7097999999999702</v>
      </c>
      <c r="AF746">
        <v>5.1890002845252097</v>
      </c>
      <c r="AG746">
        <v>1.254508</v>
      </c>
      <c r="AH746">
        <v>181.39447040440501</v>
      </c>
      <c r="AI746">
        <v>89.603915831815897</v>
      </c>
      <c r="AJ746">
        <v>88.361434290666296</v>
      </c>
      <c r="AK746">
        <v>181.47301013530799</v>
      </c>
      <c r="AL746">
        <v>80.082737452800799</v>
      </c>
      <c r="AM746">
        <v>93.034725658822396</v>
      </c>
      <c r="AN746">
        <v>1.0000000326790099</v>
      </c>
    </row>
    <row r="747" spans="1:40" x14ac:dyDescent="0.25">
      <c r="A747" t="str">
        <f>"20190304155609919"</f>
        <v>20190304155609919</v>
      </c>
      <c r="B747" t="str">
        <f>"1551686169916083"</f>
        <v>1551686169916083</v>
      </c>
      <c r="C747" t="s">
        <v>40</v>
      </c>
      <c r="D747">
        <v>4.4355650000000004</v>
      </c>
      <c r="E747">
        <v>0.5298908</v>
      </c>
      <c r="F747" t="s">
        <v>43</v>
      </c>
      <c r="G747">
        <v>-158.19499999999999</v>
      </c>
      <c r="H747">
        <v>2.4327510000000001</v>
      </c>
      <c r="I747">
        <v>361.1807</v>
      </c>
      <c r="J747">
        <v>-339.43110000000001</v>
      </c>
      <c r="K747">
        <v>1.1099460000000001</v>
      </c>
      <c r="L747">
        <v>367.00729999999999</v>
      </c>
      <c r="M747">
        <v>0.9999285</v>
      </c>
      <c r="N747">
        <v>-1.163E-2</v>
      </c>
      <c r="O747">
        <v>-2.8393789999999999E-3</v>
      </c>
      <c r="P747">
        <v>0.9858131</v>
      </c>
      <c r="Q747">
        <v>0.16047629999999999</v>
      </c>
      <c r="R747">
        <v>4.9194080000000001E-2</v>
      </c>
      <c r="S747">
        <v>3.0446780000000002</v>
      </c>
      <c r="T747">
        <v>2.2205470000000001E-2</v>
      </c>
      <c r="U747">
        <v>-9.7808839999999994E-2</v>
      </c>
      <c r="V747">
        <v>-5.2005120000000002E-2</v>
      </c>
      <c r="W747">
        <v>0.1719252</v>
      </c>
      <c r="X747">
        <v>0.98373630000000001</v>
      </c>
      <c r="Y747">
        <v>2.92707E-2</v>
      </c>
      <c r="Z747">
        <v>-1.1726379999999999E-4</v>
      </c>
      <c r="AA747">
        <v>0.99957149999999995</v>
      </c>
      <c r="AB747">
        <v>32</v>
      </c>
      <c r="AC747">
        <v>181.23609999999999</v>
      </c>
      <c r="AD747">
        <v>1.32280499999999</v>
      </c>
      <c r="AE747">
        <v>-5.8265999999999796</v>
      </c>
      <c r="AF747">
        <v>5.3116611388141797</v>
      </c>
      <c r="AG747">
        <v>1.32280499999999</v>
      </c>
      <c r="AH747">
        <v>181.24226913146401</v>
      </c>
      <c r="AI747">
        <v>89.582011014872194</v>
      </c>
      <c r="AJ747">
        <v>88.321314996586693</v>
      </c>
      <c r="AK747">
        <v>181.32491190413799</v>
      </c>
      <c r="AL747">
        <v>80.100226421599004</v>
      </c>
      <c r="AM747">
        <v>93.026118657845302</v>
      </c>
      <c r="AN747">
        <v>0.99999995741947101</v>
      </c>
    </row>
    <row r="748" spans="1:40" x14ac:dyDescent="0.25">
      <c r="A748" t="str">
        <f>"20190304155609930"</f>
        <v>20190304155609930</v>
      </c>
      <c r="B748" t="str">
        <f>"1551686169925843"</f>
        <v>1551686169925843</v>
      </c>
      <c r="C748" t="s">
        <v>40</v>
      </c>
      <c r="D748">
        <v>4.4323420000000002</v>
      </c>
      <c r="E748">
        <v>0.5305126</v>
      </c>
      <c r="F748" t="s">
        <v>43</v>
      </c>
      <c r="G748">
        <v>-158.19499999999999</v>
      </c>
      <c r="H748">
        <v>2.3760279999999998</v>
      </c>
      <c r="I748">
        <v>361.16669999999999</v>
      </c>
      <c r="J748">
        <v>-339.26429999999999</v>
      </c>
      <c r="K748">
        <v>1.10995</v>
      </c>
      <c r="L748">
        <v>367.0068</v>
      </c>
      <c r="M748">
        <v>0.9999285</v>
      </c>
      <c r="N748">
        <v>-1.16262E-2</v>
      </c>
      <c r="O748">
        <v>-2.8045930000000002E-3</v>
      </c>
      <c r="P748">
        <v>0.98583109999999996</v>
      </c>
      <c r="Q748">
        <v>0.16043579999999999</v>
      </c>
      <c r="R748">
        <v>4.8966820000000001E-2</v>
      </c>
      <c r="S748">
        <v>3.044556</v>
      </c>
      <c r="T748">
        <v>2.127016E-2</v>
      </c>
      <c r="U748">
        <v>-9.8114010000000001E-2</v>
      </c>
      <c r="V748">
        <v>-5.1746130000000001E-2</v>
      </c>
      <c r="W748">
        <v>0.17188059999999999</v>
      </c>
      <c r="X748">
        <v>0.98375780000000002</v>
      </c>
      <c r="Y748">
        <v>2.940684E-2</v>
      </c>
      <c r="Z748">
        <v>-1.204862E-4</v>
      </c>
      <c r="AA748">
        <v>0.99956750000000005</v>
      </c>
      <c r="AB748">
        <v>32</v>
      </c>
      <c r="AC748">
        <v>181.0693</v>
      </c>
      <c r="AD748">
        <v>1.26607799999999</v>
      </c>
      <c r="AE748">
        <v>-5.8400999999999996</v>
      </c>
      <c r="AF748">
        <v>5.3319566074911204</v>
      </c>
      <c r="AG748">
        <v>1.26607799999999</v>
      </c>
      <c r="AH748">
        <v>181.07612414971501</v>
      </c>
      <c r="AI748">
        <v>89.599569974366403</v>
      </c>
      <c r="AJ748">
        <v>88.313359301529005</v>
      </c>
      <c r="AK748">
        <v>181.15903359161899</v>
      </c>
      <c r="AL748">
        <v>80.102820912208699</v>
      </c>
      <c r="AM748">
        <v>93.011010440799097</v>
      </c>
      <c r="AN748">
        <v>1.0000000058435801</v>
      </c>
    </row>
    <row r="749" spans="1:40" x14ac:dyDescent="0.25">
      <c r="A749" t="str">
        <f>"20190304155609941"</f>
        <v>20190304155609941</v>
      </c>
      <c r="B749" t="str">
        <f>"1551686169935603"</f>
        <v>1551686169935603</v>
      </c>
      <c r="C749" t="s">
        <v>40</v>
      </c>
      <c r="D749">
        <v>4.3598309999999998</v>
      </c>
      <c r="E749">
        <v>0.53163269999999996</v>
      </c>
      <c r="F749" t="s">
        <v>43</v>
      </c>
      <c r="G749">
        <v>-158.19499999999999</v>
      </c>
      <c r="H749">
        <v>1.860522</v>
      </c>
      <c r="I749">
        <v>360.83569999999997</v>
      </c>
      <c r="J749">
        <v>-339.10070000000002</v>
      </c>
      <c r="K749">
        <v>1.10995</v>
      </c>
      <c r="L749">
        <v>367.00639999999999</v>
      </c>
      <c r="M749">
        <v>0.9999287</v>
      </c>
      <c r="N749">
        <v>-1.1623029999999999E-2</v>
      </c>
      <c r="O749">
        <v>-2.7657670000000001E-3</v>
      </c>
      <c r="P749">
        <v>0.98591759999999995</v>
      </c>
      <c r="Q749">
        <v>0.1600029</v>
      </c>
      <c r="R749">
        <v>4.8639219999999997E-2</v>
      </c>
      <c r="S749">
        <v>3.0462340000000001</v>
      </c>
      <c r="T749">
        <v>1.2628790000000001E-2</v>
      </c>
      <c r="U749">
        <v>-0.1038208</v>
      </c>
      <c r="V749">
        <v>-5.138231E-2</v>
      </c>
      <c r="W749">
        <v>0.17144519999999999</v>
      </c>
      <c r="X749">
        <v>0.98385290000000003</v>
      </c>
      <c r="Y749">
        <v>3.1298260000000001E-2</v>
      </c>
      <c r="Z749">
        <v>-1.6069089999999999E-4</v>
      </c>
      <c r="AA749">
        <v>0.99951000000000001</v>
      </c>
      <c r="AB749">
        <v>32</v>
      </c>
      <c r="AC749">
        <v>180.9057</v>
      </c>
      <c r="AD749">
        <v>0.75057200000000002</v>
      </c>
      <c r="AE749">
        <v>-6.1707000000000098</v>
      </c>
      <c r="AF749">
        <v>5.6702021243196103</v>
      </c>
      <c r="AG749">
        <v>0.75057200000000002</v>
      </c>
      <c r="AH749">
        <v>180.91896515084599</v>
      </c>
      <c r="AI749">
        <v>89.762417079918194</v>
      </c>
      <c r="AJ749">
        <v>88.204873984753604</v>
      </c>
      <c r="AK749">
        <v>181.00935473535901</v>
      </c>
      <c r="AL749">
        <v>80.1281439638623</v>
      </c>
      <c r="AM749">
        <v>92.989590502808198</v>
      </c>
      <c r="AN749">
        <v>1.0000000636111901</v>
      </c>
    </row>
    <row r="750" spans="1:40" x14ac:dyDescent="0.25">
      <c r="A750" t="str">
        <f>"20190304155609954"</f>
        <v>20190304155609954</v>
      </c>
      <c r="B750" t="str">
        <f>"1551686169945363"</f>
        <v>1551686169945363</v>
      </c>
      <c r="C750" t="s">
        <v>40</v>
      </c>
      <c r="D750">
        <v>4.3608219999999998</v>
      </c>
      <c r="E750">
        <v>0.53262379999999998</v>
      </c>
      <c r="F750" t="s">
        <v>43</v>
      </c>
      <c r="G750">
        <v>-158.19499999999999</v>
      </c>
      <c r="H750">
        <v>1.71646899999999</v>
      </c>
      <c r="I750">
        <v>360.24770000000001</v>
      </c>
      <c r="J750">
        <v>-338.93900000000002</v>
      </c>
      <c r="K750">
        <v>1.1099509999999999</v>
      </c>
      <c r="L750">
        <v>367.00599999999997</v>
      </c>
      <c r="M750">
        <v>0.99992879999999995</v>
      </c>
      <c r="N750">
        <v>-1.162005E-2</v>
      </c>
      <c r="O750">
        <v>-2.7258730000000002E-3</v>
      </c>
      <c r="P750">
        <v>0.98594029999999999</v>
      </c>
      <c r="Q750">
        <v>0.1598463</v>
      </c>
      <c r="R750">
        <v>4.8691770000000002E-2</v>
      </c>
      <c r="S750">
        <v>3.0468139999999999</v>
      </c>
      <c r="T750">
        <v>1.021647E-2</v>
      </c>
      <c r="U750">
        <v>-0.1138306</v>
      </c>
      <c r="V750">
        <v>-5.1397369999999998E-2</v>
      </c>
      <c r="W750">
        <v>0.1712854</v>
      </c>
      <c r="X750">
        <v>0.98387990000000003</v>
      </c>
      <c r="Y750">
        <v>3.4610960000000003E-2</v>
      </c>
      <c r="Z750">
        <v>-1.8396020000000001E-4</v>
      </c>
      <c r="AA750">
        <v>0.99940090000000004</v>
      </c>
      <c r="AB750">
        <v>32</v>
      </c>
      <c r="AC750">
        <v>180.744</v>
      </c>
      <c r="AD750">
        <v>0.606517999999999</v>
      </c>
      <c r="AE750">
        <v>-6.7582999999999602</v>
      </c>
      <c r="AF750">
        <v>6.2654859934736598</v>
      </c>
      <c r="AG750">
        <v>0.606517999999999</v>
      </c>
      <c r="AH750">
        <v>180.75971930824701</v>
      </c>
      <c r="AI750">
        <v>89.807866849030404</v>
      </c>
      <c r="AJ750">
        <v>88.014810816772993</v>
      </c>
      <c r="AK750">
        <v>180.86929065824</v>
      </c>
      <c r="AL750">
        <v>80.137436843237396</v>
      </c>
      <c r="AM750">
        <v>92.990383236007602</v>
      </c>
      <c r="AN750">
        <v>1.0000000177600401</v>
      </c>
    </row>
    <row r="751" spans="1:40" x14ac:dyDescent="0.25">
      <c r="A751" t="str">
        <f>"20190304155609965"</f>
        <v>20190304155609965</v>
      </c>
      <c r="B751" t="str">
        <f>"1551686169956099"</f>
        <v>1551686169956099</v>
      </c>
      <c r="C751" t="s">
        <v>40</v>
      </c>
      <c r="D751">
        <v>4.2776100000000001</v>
      </c>
      <c r="E751">
        <v>0.53364069999999997</v>
      </c>
      <c r="F751" t="s">
        <v>43</v>
      </c>
      <c r="G751">
        <v>-158.19499999999999</v>
      </c>
      <c r="H751">
        <v>1.6483909999999999</v>
      </c>
      <c r="I751">
        <v>359.7928</v>
      </c>
      <c r="J751">
        <v>-338.76199999999898</v>
      </c>
      <c r="K751">
        <v>1.1099540000000001</v>
      </c>
      <c r="L751">
        <v>367.00560000000002</v>
      </c>
      <c r="M751">
        <v>0.99992899999999996</v>
      </c>
      <c r="N751">
        <v>-1.1617189999999999E-2</v>
      </c>
      <c r="O751">
        <v>-2.6796620000000002E-3</v>
      </c>
      <c r="P751">
        <v>0.98596260000000002</v>
      </c>
      <c r="Q751">
        <v>0.15968940000000001</v>
      </c>
      <c r="R751">
        <v>4.8756430000000003E-2</v>
      </c>
      <c r="S751">
        <v>3.0473020000000002</v>
      </c>
      <c r="T751">
        <v>9.0794559999999996E-3</v>
      </c>
      <c r="U751">
        <v>-0.1216125</v>
      </c>
      <c r="V751">
        <v>-5.1418529999999997E-2</v>
      </c>
      <c r="W751">
        <v>0.17112520000000001</v>
      </c>
      <c r="X751">
        <v>0.98390659999999996</v>
      </c>
      <c r="Y751">
        <v>3.719944E-2</v>
      </c>
      <c r="Z751">
        <v>-1.9987210000000001E-4</v>
      </c>
      <c r="AA751">
        <v>0.99930790000000003</v>
      </c>
      <c r="AB751">
        <v>32</v>
      </c>
      <c r="AC751">
        <v>180.56699999999901</v>
      </c>
      <c r="AD751">
        <v>0.53843699999999906</v>
      </c>
      <c r="AE751">
        <v>-7.2128000000000103</v>
      </c>
      <c r="AF751">
        <v>6.7288232167006798</v>
      </c>
      <c r="AG751">
        <v>0.53843699999999906</v>
      </c>
      <c r="AH751">
        <v>180.58407762002</v>
      </c>
      <c r="AI751">
        <v>89.829283496831593</v>
      </c>
      <c r="AJ751">
        <v>87.866063839709497</v>
      </c>
      <c r="AK751">
        <v>180.71019912046501</v>
      </c>
      <c r="AL751">
        <v>80.146752489049106</v>
      </c>
      <c r="AM751">
        <v>92.991531088521896</v>
      </c>
      <c r="AN751">
        <v>0.99999994841297901</v>
      </c>
    </row>
    <row r="752" spans="1:40" x14ac:dyDescent="0.25">
      <c r="A752" t="str">
        <f>"20190304155609979"</f>
        <v>20190304155609979</v>
      </c>
      <c r="B752" t="str">
        <f>"1551686169975620"</f>
        <v>1551686169975620</v>
      </c>
      <c r="C752" t="s">
        <v>40</v>
      </c>
      <c r="D752">
        <v>4.3409050000000002</v>
      </c>
      <c r="E752">
        <v>0.53536300000000003</v>
      </c>
      <c r="F752" t="s">
        <v>43</v>
      </c>
      <c r="G752">
        <v>-158.19499999999999</v>
      </c>
      <c r="H752">
        <v>1.397608</v>
      </c>
      <c r="I752">
        <v>359.32279999999997</v>
      </c>
      <c r="J752">
        <v>-338.577</v>
      </c>
      <c r="K752">
        <v>1.1099589999999999</v>
      </c>
      <c r="L752">
        <v>367.00510000000003</v>
      </c>
      <c r="M752">
        <v>0.99992919999999996</v>
      </c>
      <c r="N752">
        <v>-1.1614640000000001E-2</v>
      </c>
      <c r="O752">
        <v>-2.628568E-3</v>
      </c>
      <c r="P752">
        <v>0.9859928</v>
      </c>
      <c r="Q752">
        <v>0.15950549999999999</v>
      </c>
      <c r="R752">
        <v>4.8747699999999998E-2</v>
      </c>
      <c r="S752">
        <v>3.04834</v>
      </c>
      <c r="T752">
        <v>4.8576590000000003E-3</v>
      </c>
      <c r="U752">
        <v>-0.1296997</v>
      </c>
      <c r="V752">
        <v>-5.1361110000000001E-2</v>
      </c>
      <c r="W752">
        <v>0.1709387</v>
      </c>
      <c r="X752">
        <v>0.98394210000000004</v>
      </c>
      <c r="Y752">
        <v>3.9883219999999997E-2</v>
      </c>
      <c r="Z752">
        <v>-2.3466709999999999E-4</v>
      </c>
      <c r="AA752">
        <v>0.99920430000000005</v>
      </c>
      <c r="AB752">
        <v>32</v>
      </c>
      <c r="AC752">
        <v>180.38200000000001</v>
      </c>
      <c r="AD752">
        <v>0.28764899999999999</v>
      </c>
      <c r="AE752">
        <v>-7.6823000000000503</v>
      </c>
      <c r="AF752">
        <v>7.2080768732483902</v>
      </c>
      <c r="AG752">
        <v>0.28764899999999999</v>
      </c>
      <c r="AH752">
        <v>180.401113637956</v>
      </c>
      <c r="AI752">
        <v>89.908714977486994</v>
      </c>
      <c r="AJ752">
        <v>87.7119164691577</v>
      </c>
      <c r="AK752">
        <v>180.545287714669</v>
      </c>
      <c r="AL752">
        <v>80.157598760908598</v>
      </c>
      <c r="AM752">
        <v>92.988088832897503</v>
      </c>
      <c r="AN752">
        <v>1.00000002946526</v>
      </c>
    </row>
    <row r="753" spans="1:40" x14ac:dyDescent="0.25">
      <c r="A753" t="str">
        <f>"20190304155609990"</f>
        <v>20190304155609990</v>
      </c>
      <c r="B753" t="str">
        <f>"1551686169985379"</f>
        <v>1551686169985379</v>
      </c>
      <c r="C753" t="s">
        <v>40</v>
      </c>
      <c r="D753">
        <v>4.3703649999999996</v>
      </c>
      <c r="E753">
        <v>0.53605709999999995</v>
      </c>
      <c r="F753" t="s">
        <v>43</v>
      </c>
      <c r="G753">
        <v>-158.19499999999999</v>
      </c>
      <c r="H753">
        <v>1.101904</v>
      </c>
      <c r="I753">
        <v>358.53769999999997</v>
      </c>
      <c r="J753">
        <v>-338.41090000000003</v>
      </c>
      <c r="K753">
        <v>1.10996299999999</v>
      </c>
      <c r="L753">
        <v>367.00470000000001</v>
      </c>
      <c r="M753">
        <v>0.99992919999999996</v>
      </c>
      <c r="N753">
        <v>-1.1612559999999999E-2</v>
      </c>
      <c r="O753">
        <v>-2.5814190000000002E-3</v>
      </c>
      <c r="P753">
        <v>0.98602650000000003</v>
      </c>
      <c r="Q753">
        <v>0.15925439999999999</v>
      </c>
      <c r="R753">
        <v>4.8884999999999998E-2</v>
      </c>
      <c r="S753">
        <v>3.0497130000000001</v>
      </c>
      <c r="T753">
        <v>-1.3470649999999999E-4</v>
      </c>
      <c r="U753">
        <v>-0.14315799999999901</v>
      </c>
      <c r="V753">
        <v>-5.1453939999999997E-2</v>
      </c>
      <c r="W753">
        <v>0.17068549999999999</v>
      </c>
      <c r="X753">
        <v>0.9839812</v>
      </c>
      <c r="Y753">
        <v>4.4311080000000003E-2</v>
      </c>
      <c r="Z753">
        <v>-2.8825880000000001E-4</v>
      </c>
      <c r="AA753">
        <v>0.99901770000000001</v>
      </c>
      <c r="AB753">
        <v>32</v>
      </c>
      <c r="AC753">
        <v>180.2159</v>
      </c>
      <c r="AD753">
        <v>-8.0589999999998094E-3</v>
      </c>
      <c r="AE753">
        <v>-8.4670000000000396</v>
      </c>
      <c r="AF753">
        <v>8.0017276318934005</v>
      </c>
      <c r="AG753">
        <v>-8.0589999999998094E-3</v>
      </c>
      <c r="AH753">
        <v>180.23715745322801</v>
      </c>
      <c r="AI753">
        <v>90.002559363017198</v>
      </c>
      <c r="AJ753">
        <v>87.457991581640798</v>
      </c>
      <c r="AK753">
        <v>180.41469074568801</v>
      </c>
      <c r="AL753">
        <v>80.172322391310402</v>
      </c>
      <c r="AM753">
        <v>92.9933609526353</v>
      </c>
      <c r="AN753">
        <v>1.0000000249026</v>
      </c>
    </row>
    <row r="754" spans="1:40" x14ac:dyDescent="0.25">
      <c r="A754" t="str">
        <f>"20190304155610001"</f>
        <v>20190304155610001</v>
      </c>
      <c r="B754" t="str">
        <f>"1551686169995138"</f>
        <v>1551686169995138</v>
      </c>
      <c r="C754" t="s">
        <v>40</v>
      </c>
      <c r="D754">
        <v>4.3585649999999996</v>
      </c>
      <c r="E754">
        <v>0.53670050000000002</v>
      </c>
      <c r="F754" t="s">
        <v>43</v>
      </c>
      <c r="G754">
        <v>-158.19499999999999</v>
      </c>
      <c r="H754">
        <v>1.0501049999999901</v>
      </c>
      <c r="I754">
        <v>358.23430000000002</v>
      </c>
      <c r="J754">
        <v>-338.24450000000002</v>
      </c>
      <c r="K754">
        <v>1.1099650000000001</v>
      </c>
      <c r="L754">
        <v>367.0043</v>
      </c>
      <c r="M754">
        <v>0.99992950000000003</v>
      </c>
      <c r="N754">
        <v>-1.1610870000000001E-2</v>
      </c>
      <c r="O754">
        <v>-2.531424E-3</v>
      </c>
      <c r="P754">
        <v>0.98608470000000004</v>
      </c>
      <c r="Q754">
        <v>0.1589072</v>
      </c>
      <c r="R754">
        <v>4.8843610000000003E-2</v>
      </c>
      <c r="S754">
        <v>3.0501100000000001</v>
      </c>
      <c r="T754">
        <v>-1.01161E-3</v>
      </c>
      <c r="U754">
        <v>-0.1484375</v>
      </c>
      <c r="V754">
        <v>-5.1364189999999997E-2</v>
      </c>
      <c r="W754">
        <v>0.17033679999999901</v>
      </c>
      <c r="X754">
        <v>0.98404630000000004</v>
      </c>
      <c r="Y754">
        <v>4.6080070000000001E-2</v>
      </c>
      <c r="Z754">
        <v>-3.038564E-4</v>
      </c>
      <c r="AA754">
        <v>0.99893770000000004</v>
      </c>
      <c r="AB754">
        <v>32</v>
      </c>
      <c r="AC754">
        <v>180.04949999999999</v>
      </c>
      <c r="AD754">
        <v>-5.9859999999999997E-2</v>
      </c>
      <c r="AE754">
        <v>-8.76999999999998</v>
      </c>
      <c r="AF754">
        <v>8.3141586801052494</v>
      </c>
      <c r="AG754">
        <v>-5.9859999999999997E-2</v>
      </c>
      <c r="AH754">
        <v>180.07110525915499</v>
      </c>
      <c r="AI754">
        <v>90.019026235794598</v>
      </c>
      <c r="AJ754">
        <v>87.356443574059696</v>
      </c>
      <c r="AK754">
        <v>180.26295173171701</v>
      </c>
      <c r="AL754">
        <v>80.192598237657293</v>
      </c>
      <c r="AM754">
        <v>92.987951844268594</v>
      </c>
      <c r="AN754">
        <v>1.0000000129961399</v>
      </c>
    </row>
    <row r="755" spans="1:40" x14ac:dyDescent="0.25">
      <c r="A755" t="str">
        <f>"20190304155610012"</f>
        <v>20190304155610012</v>
      </c>
      <c r="B755" t="str">
        <f>"1551686170005875"</f>
        <v>1551686170005875</v>
      </c>
      <c r="C755" t="s">
        <v>40</v>
      </c>
      <c r="D755">
        <v>4.3718159999999999</v>
      </c>
      <c r="E755">
        <v>0.53711569999999997</v>
      </c>
      <c r="F755" t="s">
        <v>43</v>
      </c>
      <c r="G755">
        <v>-158.19499999999999</v>
      </c>
      <c r="H755">
        <v>0.96916290000000005</v>
      </c>
      <c r="I755">
        <v>357.95089999999999</v>
      </c>
      <c r="J755">
        <v>-338.09379999999999</v>
      </c>
      <c r="K755">
        <v>1.1099699999999999</v>
      </c>
      <c r="L755">
        <v>367.00400000000002</v>
      </c>
      <c r="M755">
        <v>0.99992950000000003</v>
      </c>
      <c r="N755">
        <v>-1.1609410000000001E-2</v>
      </c>
      <c r="O755">
        <v>-2.4853710000000001E-3</v>
      </c>
      <c r="P755">
        <v>0.98611720000000003</v>
      </c>
      <c r="Q755">
        <v>0.15857679999999999</v>
      </c>
      <c r="R755">
        <v>4.9256429999999997E-2</v>
      </c>
      <c r="S755">
        <v>3.050354</v>
      </c>
      <c r="T755">
        <v>-2.383947E-3</v>
      </c>
      <c r="U755">
        <v>-0.1533813</v>
      </c>
      <c r="V755">
        <v>-5.1732260000000002E-2</v>
      </c>
      <c r="W755">
        <v>0.17000509999999999</v>
      </c>
      <c r="X755">
        <v>0.98408439999999997</v>
      </c>
      <c r="Y755">
        <v>4.7737040000000001E-2</v>
      </c>
      <c r="Z755">
        <v>-3.2282250000000001E-4</v>
      </c>
      <c r="AA755">
        <v>0.99885990000000002</v>
      </c>
      <c r="AB755">
        <v>32</v>
      </c>
      <c r="AC755">
        <v>179.89879999999999</v>
      </c>
      <c r="AD755">
        <v>-0.14080709999999999</v>
      </c>
      <c r="AE755">
        <v>-9.0531000000000201</v>
      </c>
      <c r="AF755">
        <v>8.60592137342962</v>
      </c>
      <c r="AG755">
        <v>-0.14080709999999999</v>
      </c>
      <c r="AH755">
        <v>179.92063618474</v>
      </c>
      <c r="AI755">
        <v>90.044788846848405</v>
      </c>
      <c r="AJ755">
        <v>87.261528963618204</v>
      </c>
      <c r="AK755">
        <v>180.12639183208799</v>
      </c>
      <c r="AL755">
        <v>80.211884749979006</v>
      </c>
      <c r="AM755">
        <v>93.009207659314001</v>
      </c>
      <c r="AN755">
        <v>1.00000003353703</v>
      </c>
    </row>
    <row r="756" spans="1:40" x14ac:dyDescent="0.25">
      <c r="A756" t="str">
        <f>"20190304155610025"</f>
        <v>20190304155610025</v>
      </c>
      <c r="B756" t="str">
        <f>"1551686170015636"</f>
        <v>1551686170015636</v>
      </c>
      <c r="C756" t="s">
        <v>40</v>
      </c>
      <c r="D756">
        <v>4.5028069999999998</v>
      </c>
      <c r="E756">
        <v>0.53743200000000002</v>
      </c>
      <c r="F756" t="s">
        <v>43</v>
      </c>
      <c r="G756">
        <v>-158.19499999999999</v>
      </c>
      <c r="H756">
        <v>0.80365659999999906</v>
      </c>
      <c r="I756">
        <v>357.8227</v>
      </c>
      <c r="J756">
        <v>-337.91379999999998</v>
      </c>
      <c r="K756">
        <v>1.109969</v>
      </c>
      <c r="L756">
        <v>367.00360000000001</v>
      </c>
      <c r="M756">
        <v>0.99992970000000003</v>
      </c>
      <c r="N756">
        <v>-1.1607910000000001E-2</v>
      </c>
      <c r="O756">
        <v>-2.4290700000000002E-3</v>
      </c>
      <c r="P756">
        <v>0.98616899999999996</v>
      </c>
      <c r="Q756">
        <v>0.15829289999999999</v>
      </c>
      <c r="R756">
        <v>4.913443E-2</v>
      </c>
      <c r="S756">
        <v>3.0508120000000001</v>
      </c>
      <c r="T756">
        <v>-5.1931140000000004E-3</v>
      </c>
      <c r="U756">
        <v>-0.1557007</v>
      </c>
      <c r="V756">
        <v>-5.1555570000000002E-2</v>
      </c>
      <c r="W756">
        <v>0.16972039999999999</v>
      </c>
      <c r="X756">
        <v>0.98414279999999998</v>
      </c>
      <c r="Y756">
        <v>4.8542830000000002E-2</v>
      </c>
      <c r="Z756">
        <v>-3.4727050000000001E-4</v>
      </c>
      <c r="AA756">
        <v>0.99882099999999996</v>
      </c>
      <c r="AB756">
        <v>32</v>
      </c>
      <c r="AC756">
        <v>179.71879999999999</v>
      </c>
      <c r="AD756">
        <v>-0.30631239999999998</v>
      </c>
      <c r="AE756">
        <v>-9.1808999999999994</v>
      </c>
      <c r="AF756">
        <v>8.7442686262219205</v>
      </c>
      <c r="AG756">
        <v>-0.30631239999999998</v>
      </c>
      <c r="AH756">
        <v>179.74005149294101</v>
      </c>
      <c r="AI756">
        <v>90.097527838141204</v>
      </c>
      <c r="AJ756">
        <v>87.214783326957601</v>
      </c>
      <c r="AK756">
        <v>179.952888756416</v>
      </c>
      <c r="AL756">
        <v>80.228437280708604</v>
      </c>
      <c r="AM756">
        <v>92.998770957554896</v>
      </c>
      <c r="AN756">
        <v>1.00000002088301</v>
      </c>
    </row>
    <row r="757" spans="1:40" x14ac:dyDescent="0.25">
      <c r="A757" t="str">
        <f>"20190304155610038"</f>
        <v>20190304155610038</v>
      </c>
      <c r="B757" t="str">
        <f>"1551686170035155"</f>
        <v>1551686170035155</v>
      </c>
      <c r="C757" t="s">
        <v>40</v>
      </c>
      <c r="D757">
        <v>4.2921180000000003</v>
      </c>
      <c r="E757">
        <v>0.53853949999999995</v>
      </c>
      <c r="F757" t="s">
        <v>43</v>
      </c>
      <c r="G757">
        <v>-158.19499999999999</v>
      </c>
      <c r="H757">
        <v>0.74307250000000002</v>
      </c>
      <c r="I757">
        <v>357.66849999999999</v>
      </c>
      <c r="J757">
        <v>-337.73869999999999</v>
      </c>
      <c r="K757">
        <v>1.1099699999999999</v>
      </c>
      <c r="L757">
        <v>367.00319999999999</v>
      </c>
      <c r="M757">
        <v>0.99992990000000004</v>
      </c>
      <c r="N757">
        <v>-1.1606669999999999E-2</v>
      </c>
      <c r="O757">
        <v>-2.3737279999999999E-3</v>
      </c>
      <c r="P757">
        <v>0.98620390000000002</v>
      </c>
      <c r="Q757">
        <v>0.1579863</v>
      </c>
      <c r="R757">
        <v>4.9420659999999998E-2</v>
      </c>
      <c r="S757">
        <v>3.0509949999999999</v>
      </c>
      <c r="T757">
        <v>-6.2271360000000003E-3</v>
      </c>
      <c r="U757">
        <v>-0.158477799999999</v>
      </c>
      <c r="V757">
        <v>-5.1788300000000002E-2</v>
      </c>
      <c r="W757">
        <v>0.16941249999999999</v>
      </c>
      <c r="X757">
        <v>0.98418360000000005</v>
      </c>
      <c r="Y757">
        <v>4.950164E-2</v>
      </c>
      <c r="Z757">
        <v>-3.606552E-4</v>
      </c>
      <c r="AA757">
        <v>0.99877400000000005</v>
      </c>
      <c r="AB757">
        <v>32</v>
      </c>
      <c r="AC757">
        <v>179.5437</v>
      </c>
      <c r="AD757">
        <v>-0.36689749999999999</v>
      </c>
      <c r="AE757">
        <v>-9.3346999999999891</v>
      </c>
      <c r="AF757">
        <v>8.90842001270188</v>
      </c>
      <c r="AG757">
        <v>-0.36689749999999999</v>
      </c>
      <c r="AH757">
        <v>179.56460581302699</v>
      </c>
      <c r="AI757">
        <v>90.116926309770903</v>
      </c>
      <c r="AJ757">
        <v>87.159814836644799</v>
      </c>
      <c r="AK757">
        <v>179.78582319439499</v>
      </c>
      <c r="AL757">
        <v>80.246337577886905</v>
      </c>
      <c r="AM757">
        <v>93.012158362968506</v>
      </c>
      <c r="AN757">
        <v>0.99999999084104996</v>
      </c>
    </row>
    <row r="758" spans="1:40" x14ac:dyDescent="0.25">
      <c r="A758" t="str">
        <f>"20190304155610054"</f>
        <v>20190304155610054</v>
      </c>
      <c r="B758" t="str">
        <f>"1551686170045891"</f>
        <v>1551686170045891</v>
      </c>
      <c r="C758" t="s">
        <v>40</v>
      </c>
      <c r="D758">
        <v>4.3757199999999896</v>
      </c>
      <c r="E758">
        <v>0.53897139999999999</v>
      </c>
      <c r="F758" t="s">
        <v>43</v>
      </c>
      <c r="G758">
        <v>-158.19499999999999</v>
      </c>
      <c r="H758">
        <v>0.49105359999999998</v>
      </c>
      <c r="I758">
        <v>357.2099</v>
      </c>
      <c r="J758">
        <v>-337.5077</v>
      </c>
      <c r="K758">
        <v>1.10997099999999</v>
      </c>
      <c r="L758">
        <v>367.0027</v>
      </c>
      <c r="M758">
        <v>0.99992999999999999</v>
      </c>
      <c r="N758">
        <v>-1.1605300000000001E-2</v>
      </c>
      <c r="O758">
        <v>-2.2999050000000001E-3</v>
      </c>
      <c r="P758">
        <v>0.98629529999999999</v>
      </c>
      <c r="Q758">
        <v>0.1573398</v>
      </c>
      <c r="R758">
        <v>4.9655749999999999E-2</v>
      </c>
      <c r="S758">
        <v>3.0520019999999999</v>
      </c>
      <c r="T758">
        <v>-1.0519270000000001E-2</v>
      </c>
      <c r="U758">
        <v>-0.16647339999999999</v>
      </c>
      <c r="V758">
        <v>-5.1951360000000002E-2</v>
      </c>
      <c r="W758">
        <v>0.1687659</v>
      </c>
      <c r="X758">
        <v>0.98428610000000005</v>
      </c>
      <c r="Y758">
        <v>5.2166610000000002E-2</v>
      </c>
      <c r="Z758">
        <v>-4.1152920000000001E-4</v>
      </c>
      <c r="AA758">
        <v>0.99863829999999998</v>
      </c>
      <c r="AB758">
        <v>32</v>
      </c>
      <c r="AC758">
        <v>179.31270000000001</v>
      </c>
      <c r="AD758">
        <v>-0.61891739999999895</v>
      </c>
      <c r="AE758">
        <v>-9.7927999999999997</v>
      </c>
      <c r="AF758">
        <v>9.3802327220406898</v>
      </c>
      <c r="AG758">
        <v>-0.61891739999999895</v>
      </c>
      <c r="AH758">
        <v>179.33261957425401</v>
      </c>
      <c r="AI758">
        <v>90.197469951473494</v>
      </c>
      <c r="AJ758">
        <v>87.005796233830495</v>
      </c>
      <c r="AK758">
        <v>179.57884137066799</v>
      </c>
      <c r="AL758">
        <v>80.283926366232507</v>
      </c>
      <c r="AM758">
        <v>93.021310781847404</v>
      </c>
      <c r="AN758">
        <v>0.99999999973093401</v>
      </c>
    </row>
    <row r="759" spans="1:40" x14ac:dyDescent="0.25">
      <c r="A759" t="str">
        <f>"20190304155610068"</f>
        <v>20190304155610068</v>
      </c>
      <c r="B759" t="str">
        <f>"1551686170065411"</f>
        <v>1551686170065411</v>
      </c>
      <c r="C759" t="s">
        <v>40</v>
      </c>
      <c r="D759">
        <v>4.3474750000000002</v>
      </c>
      <c r="E759">
        <v>0.5398965</v>
      </c>
      <c r="F759" t="s">
        <v>43</v>
      </c>
      <c r="G759">
        <v>-158.19499999999999</v>
      </c>
      <c r="H759">
        <v>0.32906819999999998</v>
      </c>
      <c r="I759">
        <v>357.06</v>
      </c>
      <c r="J759">
        <v>-337.3023</v>
      </c>
      <c r="K759">
        <v>1.109972</v>
      </c>
      <c r="L759">
        <v>367.00229999999999</v>
      </c>
      <c r="M759">
        <v>0.99993030000000005</v>
      </c>
      <c r="N759">
        <v>-1.1604359999999999E-2</v>
      </c>
      <c r="O759">
        <v>-2.2338420000000002E-3</v>
      </c>
      <c r="P759">
        <v>0.98636409999999997</v>
      </c>
      <c r="Q759">
        <v>0.15687319999999999</v>
      </c>
      <c r="R759">
        <v>4.9766669999999999E-2</v>
      </c>
      <c r="S759">
        <v>3.0523380000000002</v>
      </c>
      <c r="T759">
        <v>-1.329136E-2</v>
      </c>
      <c r="U759">
        <v>-0.1692505</v>
      </c>
      <c r="V759">
        <v>-5.1997809999999998E-2</v>
      </c>
      <c r="W759">
        <v>0.16829910000000001</v>
      </c>
      <c r="X759">
        <v>0.98436360000000001</v>
      </c>
      <c r="Y759">
        <v>5.3131930000000001E-2</v>
      </c>
      <c r="Z759">
        <v>-4.4030939999999998E-4</v>
      </c>
      <c r="AA759">
        <v>0.99858740000000001</v>
      </c>
      <c r="AB759">
        <v>32</v>
      </c>
      <c r="AC759">
        <v>179.10730000000001</v>
      </c>
      <c r="AD759">
        <v>-0.78090379999999904</v>
      </c>
      <c r="AE759">
        <v>-9.9422999999999799</v>
      </c>
      <c r="AF759">
        <v>9.5419700608706499</v>
      </c>
      <c r="AG759">
        <v>-0.78090379999999904</v>
      </c>
      <c r="AH759">
        <v>179.125669470113</v>
      </c>
      <c r="AI759">
        <v>90.2494274696421</v>
      </c>
      <c r="AJ759">
        <v>86.950753273609294</v>
      </c>
      <c r="AK759">
        <v>179.38133812217899</v>
      </c>
      <c r="AL759">
        <v>80.311060433523906</v>
      </c>
      <c r="AM759">
        <v>93.023769499529294</v>
      </c>
      <c r="AN759">
        <v>1.0000000281552801</v>
      </c>
    </row>
    <row r="760" spans="1:40" x14ac:dyDescent="0.25">
      <c r="A760" t="str">
        <f>"20190304155610082"</f>
        <v>20190304155610082</v>
      </c>
      <c r="B760" t="str">
        <f>"1551686170075171"</f>
        <v>1551686170075171</v>
      </c>
      <c r="C760" t="s">
        <v>40</v>
      </c>
      <c r="D760">
        <v>4.2626839999999904</v>
      </c>
      <c r="E760">
        <v>0.54024459999999996</v>
      </c>
      <c r="F760" t="s">
        <v>43</v>
      </c>
      <c r="G760">
        <v>-158.19499999999999</v>
      </c>
      <c r="H760">
        <v>8.4203719999999996E-2</v>
      </c>
      <c r="I760">
        <v>356.64940000000001</v>
      </c>
      <c r="J760">
        <v>-337.10469999999998</v>
      </c>
      <c r="K760">
        <v>1.1099699999999999</v>
      </c>
      <c r="L760">
        <v>367.00200000000001</v>
      </c>
      <c r="M760">
        <v>0.9999304</v>
      </c>
      <c r="N760">
        <v>-1.1603749999999999E-2</v>
      </c>
      <c r="O760">
        <v>-2.1702850000000001E-3</v>
      </c>
      <c r="P760">
        <v>0.98637960000000002</v>
      </c>
      <c r="Q760">
        <v>0.15672249999999999</v>
      </c>
      <c r="R760">
        <v>4.9936330000000001E-2</v>
      </c>
      <c r="S760">
        <v>3.0531619999999999</v>
      </c>
      <c r="T760">
        <v>-1.7484309999999999E-2</v>
      </c>
      <c r="U760">
        <v>-0.17648320000000001</v>
      </c>
      <c r="V760">
        <v>-5.2105249999999999E-2</v>
      </c>
      <c r="W760">
        <v>0.16814779999999999</v>
      </c>
      <c r="X760">
        <v>0.98438380000000003</v>
      </c>
      <c r="Y760">
        <v>5.5537419999999997E-2</v>
      </c>
      <c r="Z760">
        <v>-4.9414190000000001E-4</v>
      </c>
      <c r="AA760">
        <v>0.99845649999999997</v>
      </c>
      <c r="AB760">
        <v>32</v>
      </c>
      <c r="AC760">
        <v>178.90969999999999</v>
      </c>
      <c r="AD760">
        <v>-1.02576628</v>
      </c>
      <c r="AE760">
        <v>-10.352599999999899</v>
      </c>
      <c r="AF760">
        <v>9.96393802171659</v>
      </c>
      <c r="AG760">
        <v>-1.02576628</v>
      </c>
      <c r="AH760">
        <v>178.92588613848</v>
      </c>
      <c r="AI760">
        <v>90.327959924505294</v>
      </c>
      <c r="AJ760">
        <v>86.812632462708194</v>
      </c>
      <c r="AK760">
        <v>179.20604060076201</v>
      </c>
      <c r="AL760">
        <v>80.319854851539702</v>
      </c>
      <c r="AM760">
        <v>93.029943644126405</v>
      </c>
      <c r="AN760">
        <v>1.00000005271242</v>
      </c>
    </row>
    <row r="761" spans="1:40" x14ac:dyDescent="0.25">
      <c r="A761" t="str">
        <f>"20190304155610100"</f>
        <v>20190304155610100</v>
      </c>
      <c r="B761" t="str">
        <f>"1551686170095667"</f>
        <v>1551686170095667</v>
      </c>
      <c r="C761" t="s">
        <v>40</v>
      </c>
      <c r="D761">
        <v>4.3304710000000002</v>
      </c>
      <c r="E761">
        <v>0.54105800000000004</v>
      </c>
      <c r="F761" t="s">
        <v>45</v>
      </c>
      <c r="G761">
        <v>-176.37950000000001</v>
      </c>
      <c r="H761">
        <v>7.9988039999999996E-2</v>
      </c>
      <c r="I761">
        <v>357.59230000000002</v>
      </c>
      <c r="J761">
        <v>-336.8535</v>
      </c>
      <c r="K761">
        <v>1.1099699999999999</v>
      </c>
      <c r="L761">
        <v>367.00150000000002</v>
      </c>
      <c r="M761">
        <v>0.9999306</v>
      </c>
      <c r="N761">
        <v>-1.1603209999999999E-2</v>
      </c>
      <c r="O761">
        <v>-2.0893230000000001E-3</v>
      </c>
      <c r="P761">
        <v>0.98641000000000001</v>
      </c>
      <c r="Q761">
        <v>0.1564731</v>
      </c>
      <c r="R761">
        <v>5.0116040000000001E-2</v>
      </c>
      <c r="S761">
        <v>3.0535890000000001</v>
      </c>
      <c r="T761">
        <v>-1.9568439999999999E-2</v>
      </c>
      <c r="U761">
        <v>-0.17877199999999999</v>
      </c>
      <c r="V761">
        <v>-5.2206080000000002E-2</v>
      </c>
      <c r="W761">
        <v>0.16789770000000001</v>
      </c>
      <c r="X761">
        <v>0.98442110000000005</v>
      </c>
      <c r="Y761">
        <v>5.6355559999999999E-2</v>
      </c>
      <c r="Z761">
        <v>-5.1851570000000001E-4</v>
      </c>
      <c r="AA761">
        <v>0.99841060000000004</v>
      </c>
      <c r="AB761">
        <v>32</v>
      </c>
      <c r="AC761">
        <v>160.47399999999999</v>
      </c>
      <c r="AD761">
        <v>-1.02998196</v>
      </c>
      <c r="AE761">
        <v>-9.4091999999999896</v>
      </c>
      <c r="AF761">
        <v>9.0735023961177799</v>
      </c>
      <c r="AG761">
        <v>-1.02998196</v>
      </c>
      <c r="AH761">
        <v>160.48672119488199</v>
      </c>
      <c r="AI761">
        <v>90.3671252060239</v>
      </c>
      <c r="AJ761">
        <v>86.764090340314596</v>
      </c>
      <c r="AK761">
        <v>160.74631251899299</v>
      </c>
      <c r="AL761">
        <v>80.334390743372197</v>
      </c>
      <c r="AM761">
        <v>93.035681184846098</v>
      </c>
      <c r="AN761">
        <v>1.0000000072897299</v>
      </c>
    </row>
    <row r="762" spans="1:40" x14ac:dyDescent="0.25">
      <c r="A762" t="str">
        <f>"20190304155610114"</f>
        <v>20190304155610114</v>
      </c>
      <c r="B762" t="str">
        <f>"1551686170105427"</f>
        <v>1551686170105427</v>
      </c>
      <c r="C762" t="s">
        <v>40</v>
      </c>
      <c r="D762">
        <v>4.3723489999999998</v>
      </c>
      <c r="E762">
        <v>0.54142449999999998</v>
      </c>
      <c r="F762" t="s">
        <v>45</v>
      </c>
      <c r="G762">
        <v>-179.97569999999999</v>
      </c>
      <c r="H762">
        <v>7.4260129999999994E-2</v>
      </c>
      <c r="I762">
        <v>357.51389999999998</v>
      </c>
      <c r="J762">
        <v>-336.65210000000002</v>
      </c>
      <c r="K762">
        <v>1.109969</v>
      </c>
      <c r="L762">
        <v>367.00119999999998</v>
      </c>
      <c r="M762">
        <v>0.99993069999999895</v>
      </c>
      <c r="N762">
        <v>-1.1602980000000001E-2</v>
      </c>
      <c r="O762">
        <v>-2.0246999999999999E-3</v>
      </c>
      <c r="P762">
        <v>0.98644580000000004</v>
      </c>
      <c r="Q762">
        <v>0.156239299999999</v>
      </c>
      <c r="R762">
        <v>5.0141320000000003E-2</v>
      </c>
      <c r="S762">
        <v>3.0538940000000001</v>
      </c>
      <c r="T762">
        <v>-2.0161869999999998E-2</v>
      </c>
      <c r="U762">
        <v>-0.18469240000000001</v>
      </c>
      <c r="V762">
        <v>-5.2167810000000002E-2</v>
      </c>
      <c r="W762">
        <v>0.16766410000000001</v>
      </c>
      <c r="X762">
        <v>0.98446290000000003</v>
      </c>
      <c r="Y762">
        <v>5.8342629999999999E-2</v>
      </c>
      <c r="Z762">
        <v>-5.4133419999999896E-4</v>
      </c>
      <c r="AA762">
        <v>0.99829650000000003</v>
      </c>
      <c r="AB762">
        <v>32</v>
      </c>
      <c r="AC762">
        <v>156.6764</v>
      </c>
      <c r="AD762">
        <v>-1.0357088699999999</v>
      </c>
      <c r="AE762">
        <v>-9.4872999999999994</v>
      </c>
      <c r="AF762">
        <v>9.1696372723414594</v>
      </c>
      <c r="AG762">
        <v>-1.0357088699999999</v>
      </c>
      <c r="AH762">
        <v>156.68846698120601</v>
      </c>
      <c r="AI762">
        <v>90.378072062393699</v>
      </c>
      <c r="AJ762">
        <v>86.650787475095299</v>
      </c>
      <c r="AK762">
        <v>156.95996504042199</v>
      </c>
      <c r="AL762">
        <v>80.347967096403394</v>
      </c>
      <c r="AM762">
        <v>93.033331457780307</v>
      </c>
      <c r="AN762">
        <v>0.99999996615270703</v>
      </c>
    </row>
    <row r="763" spans="1:40" x14ac:dyDescent="0.25">
      <c r="A763" t="str">
        <f>"20190304155610125"</f>
        <v>20190304155610125</v>
      </c>
      <c r="B763" t="str">
        <f>"1551686170115187"</f>
        <v>1551686170115187</v>
      </c>
      <c r="C763" t="s">
        <v>40</v>
      </c>
      <c r="D763">
        <v>4.3077589999999999</v>
      </c>
      <c r="E763">
        <v>0.54184580000000004</v>
      </c>
      <c r="F763" t="s">
        <v>45</v>
      </c>
      <c r="G763">
        <v>-180</v>
      </c>
      <c r="H763">
        <v>5.0021379999999997E-2</v>
      </c>
      <c r="I763">
        <v>357.37430000000001</v>
      </c>
      <c r="J763">
        <v>-336.46780000000001</v>
      </c>
      <c r="K763">
        <v>1.109966</v>
      </c>
      <c r="L763">
        <v>367.00080000000003</v>
      </c>
      <c r="M763">
        <v>0.99993069999999895</v>
      </c>
      <c r="N763">
        <v>-1.1602909999999999E-2</v>
      </c>
      <c r="O763">
        <v>-1.9660390000000002E-3</v>
      </c>
      <c r="P763">
        <v>0.986429</v>
      </c>
      <c r="Q763">
        <v>0.15639310000000001</v>
      </c>
      <c r="R763">
        <v>4.9990680000000003E-2</v>
      </c>
      <c r="S763">
        <v>3.0540470000000002</v>
      </c>
      <c r="T763">
        <v>-2.0664450000000001E-2</v>
      </c>
      <c r="U763">
        <v>-0.18768309999999999</v>
      </c>
      <c r="V763">
        <v>-5.1959419999999999E-2</v>
      </c>
      <c r="W763">
        <v>0.16781779999999999</v>
      </c>
      <c r="X763">
        <v>0.98444779999999998</v>
      </c>
      <c r="Y763">
        <v>5.937195E-2</v>
      </c>
      <c r="Z763">
        <v>-5.5496370000000003E-4</v>
      </c>
      <c r="AA763">
        <v>0.99823580000000001</v>
      </c>
      <c r="AB763">
        <v>32</v>
      </c>
      <c r="AC763">
        <v>156.46780000000001</v>
      </c>
      <c r="AD763">
        <v>-1.05994462</v>
      </c>
      <c r="AE763">
        <v>-9.6265000000000196</v>
      </c>
      <c r="AF763">
        <v>9.3184128628975298</v>
      </c>
      <c r="AG763">
        <v>-1.05994462</v>
      </c>
      <c r="AH763">
        <v>156.47927118212201</v>
      </c>
      <c r="AI763">
        <v>90.387412541748304</v>
      </c>
      <c r="AJ763">
        <v>86.592034575196905</v>
      </c>
      <c r="AK763">
        <v>156.76006701506901</v>
      </c>
      <c r="AL763">
        <v>80.339034818248606</v>
      </c>
      <c r="AM763">
        <v>93.021283233663198</v>
      </c>
      <c r="AN763">
        <v>1.0000000331242</v>
      </c>
    </row>
    <row r="764" spans="1:40" x14ac:dyDescent="0.25">
      <c r="A764" t="str">
        <f>"20190304155610143"</f>
        <v>20190304155610143</v>
      </c>
      <c r="B764" t="str">
        <f>"1551686170135683"</f>
        <v>1551686170135683</v>
      </c>
      <c r="C764" t="s">
        <v>40</v>
      </c>
      <c r="D764">
        <v>4.3289770000000001</v>
      </c>
      <c r="E764">
        <v>0.54244490000000001</v>
      </c>
      <c r="F764" t="s">
        <v>45</v>
      </c>
      <c r="G764">
        <v>-180</v>
      </c>
      <c r="H764">
        <v>3.2093419999999998E-2</v>
      </c>
      <c r="I764">
        <v>357.17970000000003</v>
      </c>
      <c r="J764">
        <v>-336.22930000000002</v>
      </c>
      <c r="K764">
        <v>1.109964</v>
      </c>
      <c r="L764">
        <v>367.00049999999999</v>
      </c>
      <c r="M764">
        <v>0.99993089999999996</v>
      </c>
      <c r="N764">
        <v>-1.160302E-2</v>
      </c>
      <c r="O764">
        <v>-1.889263E-3</v>
      </c>
      <c r="P764">
        <v>0.98643069999999999</v>
      </c>
      <c r="Q764">
        <v>0.15624270000000001</v>
      </c>
      <c r="R764">
        <v>5.0424669999999998E-2</v>
      </c>
      <c r="S764">
        <v>3.0543209999999998</v>
      </c>
      <c r="T764">
        <v>-2.104056E-2</v>
      </c>
      <c r="U764">
        <v>-0.1917114</v>
      </c>
      <c r="V764">
        <v>-5.2317530000000001E-2</v>
      </c>
      <c r="W764">
        <v>0.16766739999999999</v>
      </c>
      <c r="X764">
        <v>0.98445450000000001</v>
      </c>
      <c r="Y764">
        <v>6.075436E-2</v>
      </c>
      <c r="Z764">
        <v>-5.7078960000000003E-4</v>
      </c>
      <c r="AA764">
        <v>0.99815259999999995</v>
      </c>
      <c r="AB764">
        <v>32</v>
      </c>
      <c r="AC764">
        <v>156.22929999999999</v>
      </c>
      <c r="AD764">
        <v>-1.0778705799999999</v>
      </c>
      <c r="AE764">
        <v>-9.8207999999999593</v>
      </c>
      <c r="AF764">
        <v>9.5251527508185703</v>
      </c>
      <c r="AG764">
        <v>-1.0778705799999999</v>
      </c>
      <c r="AH764">
        <v>156.24016868741501</v>
      </c>
      <c r="AI764">
        <v>90.394533704516405</v>
      </c>
      <c r="AJ764">
        <v>86.511291381101202</v>
      </c>
      <c r="AK764">
        <v>156.53396005782699</v>
      </c>
      <c r="AL764">
        <v>80.347776334498803</v>
      </c>
      <c r="AM764">
        <v>93.042046605391604</v>
      </c>
      <c r="AN764">
        <v>1.00000007176915</v>
      </c>
    </row>
    <row r="765" spans="1:40" x14ac:dyDescent="0.25">
      <c r="A765" t="str">
        <f>"20190304155610165"</f>
        <v>20190304155610165</v>
      </c>
      <c r="B765" t="str">
        <f>"1551686170155203"</f>
        <v>1551686170155203</v>
      </c>
      <c r="C765" t="s">
        <v>40</v>
      </c>
      <c r="D765">
        <v>5.0188629999999996</v>
      </c>
      <c r="E765">
        <v>0.54274460000000002</v>
      </c>
      <c r="F765" t="s">
        <v>45</v>
      </c>
      <c r="G765">
        <v>-180</v>
      </c>
      <c r="H765">
        <v>2.877998E-2</v>
      </c>
      <c r="I765">
        <v>356.9957</v>
      </c>
      <c r="J765">
        <v>-335.90769999999998</v>
      </c>
      <c r="K765">
        <v>1.1099619999999999</v>
      </c>
      <c r="L765">
        <v>367</v>
      </c>
      <c r="M765">
        <v>0.99993100000000001</v>
      </c>
      <c r="N765">
        <v>-1.160342E-2</v>
      </c>
      <c r="O765">
        <v>-1.7859060000000001E-3</v>
      </c>
      <c r="P765">
        <v>0.98648100000000005</v>
      </c>
      <c r="Q765">
        <v>0.15581579999999901</v>
      </c>
      <c r="R765">
        <v>5.0763049999999997E-2</v>
      </c>
      <c r="S765">
        <v>3.0546570000000002</v>
      </c>
      <c r="T765">
        <v>-2.1139740000000001E-2</v>
      </c>
      <c r="U765">
        <v>-0.19561770000000001</v>
      </c>
      <c r="V765">
        <v>-5.2554700000000003E-2</v>
      </c>
      <c r="W765">
        <v>0.16724149999999999</v>
      </c>
      <c r="X765">
        <v>0.98451420000000001</v>
      </c>
      <c r="Y765">
        <v>6.2121830000000003E-2</v>
      </c>
      <c r="Z765">
        <v>-5.8389610000000002E-4</v>
      </c>
      <c r="AA765">
        <v>0.99806839999999997</v>
      </c>
      <c r="AB765">
        <v>32</v>
      </c>
      <c r="AC765">
        <v>155.90769999999901</v>
      </c>
      <c r="AD765">
        <v>-1.08118202</v>
      </c>
      <c r="AE765">
        <v>-10.004300000000001</v>
      </c>
      <c r="AF765">
        <v>9.7253629943387505</v>
      </c>
      <c r="AG765">
        <v>-1.08118202</v>
      </c>
      <c r="AH765">
        <v>155.91785180418901</v>
      </c>
      <c r="AI765">
        <v>90.396529470804893</v>
      </c>
      <c r="AJ765">
        <v>86.430804548349698</v>
      </c>
      <c r="AK765">
        <v>156.22460802052001</v>
      </c>
      <c r="AL765">
        <v>80.372527046972806</v>
      </c>
      <c r="AM765">
        <v>93.055626025689406</v>
      </c>
      <c r="AN765">
        <v>0.99999996290798898</v>
      </c>
    </row>
    <row r="766" spans="1:40" x14ac:dyDescent="0.25">
      <c r="A766" t="str">
        <f>"20190304155610177"</f>
        <v>20190304155610177</v>
      </c>
      <c r="B766" t="str">
        <f>"1551686170175701"</f>
        <v>1551686170175701</v>
      </c>
      <c r="C766" t="s">
        <v>40</v>
      </c>
      <c r="D766">
        <v>4.3538779999999999</v>
      </c>
      <c r="E766">
        <v>0.51016010000000001</v>
      </c>
      <c r="F766" t="s">
        <v>43</v>
      </c>
      <c r="G766">
        <v>-169.2955</v>
      </c>
      <c r="H766">
        <v>4.7283169999999999E-2</v>
      </c>
      <c r="I766">
        <v>356.25599999999997</v>
      </c>
      <c r="J766">
        <v>-335.74040000000002</v>
      </c>
      <c r="K766">
        <v>1.109958</v>
      </c>
      <c r="L766">
        <v>366.99970000000002</v>
      </c>
      <c r="M766">
        <v>0.99993120000000002</v>
      </c>
      <c r="N766">
        <v>-1.1603769999999999E-2</v>
      </c>
      <c r="O766">
        <v>-1.7319049999999999E-3</v>
      </c>
      <c r="P766">
        <v>0.98648769999999997</v>
      </c>
      <c r="Q766">
        <v>0.1556457</v>
      </c>
      <c r="R766">
        <v>5.1152900000000001E-2</v>
      </c>
      <c r="S766">
        <v>3.0543520000000002</v>
      </c>
      <c r="T766">
        <v>-1.9479509999999998E-2</v>
      </c>
      <c r="U766">
        <v>-0.19696040000000001</v>
      </c>
      <c r="V766">
        <v>-5.2891430000000003E-2</v>
      </c>
      <c r="W766">
        <v>0.16707179999999999</v>
      </c>
      <c r="X766">
        <v>0.98452499999999998</v>
      </c>
      <c r="Y766">
        <v>6.2619449999999993E-2</v>
      </c>
      <c r="Z766">
        <v>-5.7222600000000001E-4</v>
      </c>
      <c r="AA766">
        <v>0.99803730000000002</v>
      </c>
      <c r="AB766">
        <v>32</v>
      </c>
      <c r="AC766">
        <v>166.44489999999999</v>
      </c>
      <c r="AD766">
        <v>-1.06267483</v>
      </c>
      <c r="AE766">
        <v>-10.7437</v>
      </c>
      <c r="AF766">
        <v>10.4549733271358</v>
      </c>
      <c r="AG766">
        <v>-1.06267483</v>
      </c>
      <c r="AH766">
        <v>166.456501646394</v>
      </c>
      <c r="AI766">
        <v>90.365057631257201</v>
      </c>
      <c r="AJ766">
        <v>86.406028086715494</v>
      </c>
      <c r="AK766">
        <v>166.78789729899901</v>
      </c>
      <c r="AL766">
        <v>80.382389085784098</v>
      </c>
      <c r="AM766">
        <v>93.075132994753304</v>
      </c>
      <c r="AN766">
        <v>0.99999998267384205</v>
      </c>
    </row>
    <row r="767" spans="1:40" x14ac:dyDescent="0.25">
      <c r="A767" t="str">
        <f>"20190304155610188"</f>
        <v>20190304155610188</v>
      </c>
      <c r="B767" t="str">
        <f>"1551686170185460"</f>
        <v>1551686170185460</v>
      </c>
      <c r="C767" t="s">
        <v>40</v>
      </c>
      <c r="D767">
        <v>4.3549439999999997</v>
      </c>
      <c r="E767">
        <v>0.50417780000000001</v>
      </c>
      <c r="F767" t="s">
        <v>43</v>
      </c>
      <c r="G767">
        <v>-158.19499999999999</v>
      </c>
      <c r="H767">
        <v>3.3345820000000002</v>
      </c>
      <c r="I767">
        <v>370.78320000000002</v>
      </c>
      <c r="J767">
        <v>-335.57940000000002</v>
      </c>
      <c r="K767">
        <v>1.1099570000000001</v>
      </c>
      <c r="L767">
        <v>366.99950000000001</v>
      </c>
      <c r="M767">
        <v>0.99993129999999997</v>
      </c>
      <c r="N767">
        <v>-1.1604130000000001E-2</v>
      </c>
      <c r="O767">
        <v>-1.679933E-3</v>
      </c>
      <c r="P767">
        <v>0.98650249999999995</v>
      </c>
      <c r="Q767">
        <v>0.15545519999999999</v>
      </c>
      <c r="R767">
        <v>5.1443419999999997E-2</v>
      </c>
      <c r="S767">
        <v>3.0317379999999998</v>
      </c>
      <c r="T767">
        <v>3.798878E-2</v>
      </c>
      <c r="U767">
        <v>6.4605709999999997E-2</v>
      </c>
      <c r="V767">
        <v>-5.3130700000000003E-2</v>
      </c>
      <c r="W767">
        <v>0.1668818</v>
      </c>
      <c r="X767">
        <v>0.98454430000000004</v>
      </c>
      <c r="Y767">
        <v>-2.2983969999999999E-2</v>
      </c>
      <c r="Z767" s="1">
        <v>-5.1140410000000003E-5</v>
      </c>
      <c r="AA767">
        <v>0.99973579999999995</v>
      </c>
      <c r="AB767">
        <v>32</v>
      </c>
      <c r="AC767">
        <v>177.3844</v>
      </c>
      <c r="AD767">
        <v>2.2246250000000001</v>
      </c>
      <c r="AE767">
        <v>3.7837000000000001</v>
      </c>
      <c r="AF767">
        <v>-4.0810670283789099</v>
      </c>
      <c r="AG767">
        <v>2.2246250000000001</v>
      </c>
      <c r="AH767">
        <v>177.349911366746</v>
      </c>
      <c r="AI767">
        <v>89.2815265046533</v>
      </c>
      <c r="AJ767">
        <v>91.318222577379203</v>
      </c>
      <c r="AK767">
        <v>177.41080893303399</v>
      </c>
      <c r="AL767">
        <v>80.393429904526101</v>
      </c>
      <c r="AM767">
        <v>93.088956949305896</v>
      </c>
      <c r="AN767">
        <v>0.99999994255810798</v>
      </c>
    </row>
    <row r="768" spans="1:40" x14ac:dyDescent="0.25">
      <c r="A768" t="str">
        <f>"20190304155610200"</f>
        <v>20190304155610200</v>
      </c>
      <c r="B768" t="str">
        <f>"1551686170195220"</f>
        <v>1551686170195220</v>
      </c>
      <c r="C768" t="s">
        <v>40</v>
      </c>
      <c r="D768">
        <v>4.3767239999999896</v>
      </c>
      <c r="E768">
        <v>0.50123790000000001</v>
      </c>
      <c r="F768" t="s">
        <v>43</v>
      </c>
      <c r="G768">
        <v>-158.19499999999999</v>
      </c>
      <c r="H768">
        <v>1.2480960000000001</v>
      </c>
      <c r="I768">
        <v>373.56009999999998</v>
      </c>
      <c r="J768">
        <v>-335.42509999999999</v>
      </c>
      <c r="K768">
        <v>1.1099559999999999</v>
      </c>
      <c r="L768">
        <v>366.99930000000001</v>
      </c>
      <c r="M768">
        <v>0.99993140000000003</v>
      </c>
      <c r="N768">
        <v>-1.160458E-2</v>
      </c>
      <c r="O768">
        <v>-1.6305789999999901E-3</v>
      </c>
      <c r="P768">
        <v>0.98652700000000004</v>
      </c>
      <c r="Q768">
        <v>0.1552055</v>
      </c>
      <c r="R768">
        <v>5.1728410000000002E-2</v>
      </c>
      <c r="S768">
        <v>3.034821</v>
      </c>
      <c r="T768">
        <v>2.3648739999999999E-3</v>
      </c>
      <c r="U768">
        <v>0.1122437</v>
      </c>
      <c r="V768">
        <v>-5.3366770000000001E-2</v>
      </c>
      <c r="W768">
        <v>0.16663310000000001</v>
      </c>
      <c r="X768">
        <v>0.9845737</v>
      </c>
      <c r="Y768">
        <v>-3.8589569999999997E-2</v>
      </c>
      <c r="Z768">
        <v>1.887747E-4</v>
      </c>
      <c r="AA768">
        <v>0.99925509999999995</v>
      </c>
      <c r="AB768">
        <v>32</v>
      </c>
      <c r="AC768">
        <v>177.23009999999999</v>
      </c>
      <c r="AD768">
        <v>0.13813999999999901</v>
      </c>
      <c r="AE768">
        <v>6.5607999999999702</v>
      </c>
      <c r="AF768">
        <v>-6.8497942420945401</v>
      </c>
      <c r="AG768">
        <v>0.13813999999999901</v>
      </c>
      <c r="AH768">
        <v>177.219058219499</v>
      </c>
      <c r="AI768">
        <v>89.955372001654197</v>
      </c>
      <c r="AJ768">
        <v>92.213469813579806</v>
      </c>
      <c r="AK768">
        <v>177.351440253596</v>
      </c>
      <c r="AL768">
        <v>80.407882145795895</v>
      </c>
      <c r="AM768">
        <v>93.102562561409798</v>
      </c>
      <c r="AN768">
        <v>0.99999998644376598</v>
      </c>
    </row>
    <row r="769" spans="1:40" x14ac:dyDescent="0.25">
      <c r="A769" t="str">
        <f>"20190304155610210"</f>
        <v>20190304155610210</v>
      </c>
      <c r="B769" t="str">
        <f>"1551686170205955"</f>
        <v>1551686170205955</v>
      </c>
      <c r="C769" t="s">
        <v>40</v>
      </c>
      <c r="D769">
        <v>4.3625819999999997</v>
      </c>
      <c r="E769">
        <v>0.49940380000000001</v>
      </c>
      <c r="F769" t="s">
        <v>43</v>
      </c>
      <c r="G769">
        <v>-158.19499999999999</v>
      </c>
      <c r="H769">
        <v>0.12701460000000001</v>
      </c>
      <c r="I769">
        <v>374.95600000000002</v>
      </c>
      <c r="J769">
        <v>-335.26749999999998</v>
      </c>
      <c r="K769">
        <v>1.109953</v>
      </c>
      <c r="L769">
        <v>366.99900000000002</v>
      </c>
      <c r="M769">
        <v>0.99993129999999997</v>
      </c>
      <c r="N769">
        <v>-1.160504E-2</v>
      </c>
      <c r="O769">
        <v>-1.579914E-3</v>
      </c>
      <c r="P769">
        <v>0.98651279999999997</v>
      </c>
      <c r="Q769">
        <v>0.15513629999999901</v>
      </c>
      <c r="R769">
        <v>5.2203909999999999E-2</v>
      </c>
      <c r="S769">
        <v>3.0364689999999999</v>
      </c>
      <c r="T769">
        <v>-1.6839150000000001E-2</v>
      </c>
      <c r="U769">
        <v>0.136322</v>
      </c>
      <c r="V769">
        <v>-5.3792760000000002E-2</v>
      </c>
      <c r="W769">
        <v>0.1665635</v>
      </c>
      <c r="X769">
        <v>0.9845623</v>
      </c>
      <c r="Y769">
        <v>-4.6425889999999997E-2</v>
      </c>
      <c r="Z769">
        <v>3.8863390000000003E-4</v>
      </c>
      <c r="AA769">
        <v>0.99892159999999997</v>
      </c>
      <c r="AB769">
        <v>32</v>
      </c>
      <c r="AC769">
        <v>177.07249999999999</v>
      </c>
      <c r="AD769">
        <v>-0.98293839999999999</v>
      </c>
      <c r="AE769">
        <v>7.9569999999999297</v>
      </c>
      <c r="AF769">
        <v>-8.2365149712835599</v>
      </c>
      <c r="AG769">
        <v>-0.98293839999999999</v>
      </c>
      <c r="AH769">
        <v>177.05426196427101</v>
      </c>
      <c r="AI769">
        <v>90.317737650308203</v>
      </c>
      <c r="AJ769">
        <v>92.663463498204493</v>
      </c>
      <c r="AK769">
        <v>177.24846410190099</v>
      </c>
      <c r="AL769">
        <v>80.411926501511601</v>
      </c>
      <c r="AM769">
        <v>93.127315346592596</v>
      </c>
      <c r="AN769">
        <v>0.99999999157097796</v>
      </c>
    </row>
    <row r="770" spans="1:40" x14ac:dyDescent="0.25">
      <c r="A770" t="str">
        <f>"20190304155610221"</f>
        <v>20190304155610221</v>
      </c>
      <c r="B770" t="str">
        <f>"1551686170215715"</f>
        <v>1551686170215715</v>
      </c>
      <c r="C770" t="s">
        <v>40</v>
      </c>
      <c r="D770">
        <v>4.3426369999999999</v>
      </c>
      <c r="E770">
        <v>0.49848999999999999</v>
      </c>
      <c r="F770" t="s">
        <v>41</v>
      </c>
      <c r="G770">
        <v>-211.12710000000001</v>
      </c>
      <c r="H770" s="1">
        <v>-4.5322429999999997E-6</v>
      </c>
      <c r="I770">
        <v>373.22320000000002</v>
      </c>
      <c r="J770">
        <v>-335.10419999999999</v>
      </c>
      <c r="K770">
        <v>1.109952</v>
      </c>
      <c r="L770">
        <v>366.99889999999999</v>
      </c>
      <c r="M770">
        <v>0.99993149999999997</v>
      </c>
      <c r="N770">
        <v>-1.160563E-2</v>
      </c>
      <c r="O770">
        <v>-1.5275829999999999E-3</v>
      </c>
      <c r="P770">
        <v>0.98652580000000001</v>
      </c>
      <c r="Q770">
        <v>0.15502479999999999</v>
      </c>
      <c r="R770">
        <v>5.2289389999999998E-2</v>
      </c>
      <c r="S770">
        <v>3.0372620000000001</v>
      </c>
      <c r="T770">
        <v>-2.7156590000000001E-2</v>
      </c>
      <c r="U770">
        <v>0.15228269999999999</v>
      </c>
      <c r="V770">
        <v>-5.3826640000000002E-2</v>
      </c>
      <c r="W770">
        <v>0.1664525</v>
      </c>
      <c r="X770">
        <v>0.98457919999999999</v>
      </c>
      <c r="Y770">
        <v>-5.1596219999999998E-2</v>
      </c>
      <c r="Z770">
        <v>5.2606199999999999E-4</v>
      </c>
      <c r="AA770">
        <v>0.99866790000000005</v>
      </c>
      <c r="AB770">
        <v>32</v>
      </c>
      <c r="AC770">
        <v>123.977099999999</v>
      </c>
      <c r="AD770">
        <v>-1.1099565322430001</v>
      </c>
      <c r="AE770">
        <v>6.2243000000000199</v>
      </c>
      <c r="AF770">
        <v>-6.41317804596979</v>
      </c>
      <c r="AG770">
        <v>-1.1099565322430001</v>
      </c>
      <c r="AH770">
        <v>123.95753575608001</v>
      </c>
      <c r="AI770">
        <v>90.512346331718106</v>
      </c>
      <c r="AJ770">
        <v>92.961665125321403</v>
      </c>
      <c r="AK770">
        <v>124.128286570276</v>
      </c>
      <c r="AL770">
        <v>80.4183761785157</v>
      </c>
      <c r="AM770">
        <v>93.129227486773601</v>
      </c>
      <c r="AN770">
        <v>0.99999997150128905</v>
      </c>
    </row>
    <row r="771" spans="1:40" x14ac:dyDescent="0.25">
      <c r="A771" t="str">
        <f>"20190304155610233"</f>
        <v>20190304155610233</v>
      </c>
      <c r="B771" t="str">
        <f>"1551686170225475"</f>
        <v>1551686170225475</v>
      </c>
      <c r="C771" t="s">
        <v>40</v>
      </c>
      <c r="D771">
        <v>4.3365330000000002</v>
      </c>
      <c r="E771">
        <v>0.49783110000000003</v>
      </c>
      <c r="F771" t="s">
        <v>41</v>
      </c>
      <c r="G771">
        <v>-236.1069</v>
      </c>
      <c r="H771" s="1">
        <v>-2.3403950000000001E-6</v>
      </c>
      <c r="I771">
        <v>372.20190000000002</v>
      </c>
      <c r="J771">
        <v>-334.94709999999998</v>
      </c>
      <c r="K771">
        <v>1.1099509999999999</v>
      </c>
      <c r="L771">
        <v>366.99869999999999</v>
      </c>
      <c r="M771">
        <v>0.99993160000000003</v>
      </c>
      <c r="N771">
        <v>-1.160622E-2</v>
      </c>
      <c r="O771">
        <v>-1.477159E-3</v>
      </c>
      <c r="P771">
        <v>0.98655610000000005</v>
      </c>
      <c r="Q771">
        <v>0.1547751</v>
      </c>
      <c r="R771">
        <v>5.246075E-2</v>
      </c>
      <c r="S771">
        <v>3.0379330000000002</v>
      </c>
      <c r="T771">
        <v>-3.4061189999999998E-2</v>
      </c>
      <c r="U771">
        <v>0.159668</v>
      </c>
      <c r="V771">
        <v>-5.3948650000000001E-2</v>
      </c>
      <c r="W771">
        <v>0.1662043</v>
      </c>
      <c r="X771">
        <v>0.98461449999999995</v>
      </c>
      <c r="Y771">
        <v>-5.3953929999999997E-2</v>
      </c>
      <c r="Z771">
        <v>6.1501079999999998E-4</v>
      </c>
      <c r="AA771">
        <v>0.99854330000000002</v>
      </c>
      <c r="AB771">
        <v>32</v>
      </c>
      <c r="AC771">
        <v>98.840199999999896</v>
      </c>
      <c r="AD771">
        <v>-1.1099533403949999</v>
      </c>
      <c r="AE771">
        <v>5.20320000000003</v>
      </c>
      <c r="AF771">
        <v>-5.3485342132015203</v>
      </c>
      <c r="AG771">
        <v>-1.1099533403949999</v>
      </c>
      <c r="AH771">
        <v>98.819978141779799</v>
      </c>
      <c r="AI771">
        <v>90.642582966428705</v>
      </c>
      <c r="AJ771">
        <v>93.098054968044195</v>
      </c>
      <c r="AK771">
        <v>98.970838607084104</v>
      </c>
      <c r="AL771">
        <v>80.432798347084201</v>
      </c>
      <c r="AM771">
        <v>93.136194212308993</v>
      </c>
      <c r="AN771">
        <v>1.0000000198927801</v>
      </c>
    </row>
    <row r="772" spans="1:40" x14ac:dyDescent="0.25">
      <c r="A772" t="str">
        <f>"20190304155610243"</f>
        <v>20190304155610243</v>
      </c>
      <c r="B772" t="str">
        <f>"1551686170235235"</f>
        <v>1551686170235235</v>
      </c>
      <c r="C772" t="s">
        <v>40</v>
      </c>
      <c r="D772">
        <v>4.3715320000000002</v>
      </c>
      <c r="E772">
        <v>0.49732500000000002</v>
      </c>
      <c r="F772" t="s">
        <v>41</v>
      </c>
      <c r="G772">
        <v>-250.50239999999999</v>
      </c>
      <c r="H772" s="1">
        <v>-4.4551069999999999E-6</v>
      </c>
      <c r="I772">
        <v>371.58980000000003</v>
      </c>
      <c r="J772">
        <v>-334.79730000000001</v>
      </c>
      <c r="K772">
        <v>1.1099479999999999</v>
      </c>
      <c r="L772">
        <v>366.99849999999998</v>
      </c>
      <c r="M772">
        <v>0.99993160000000003</v>
      </c>
      <c r="N772">
        <v>-1.160683E-2</v>
      </c>
      <c r="O772">
        <v>-1.4294749999999999E-3</v>
      </c>
      <c r="P772">
        <v>0.98656520000000003</v>
      </c>
      <c r="Q772">
        <v>0.15458069999999999</v>
      </c>
      <c r="R772">
        <v>5.2858599999999999E-2</v>
      </c>
      <c r="S772">
        <v>3.0383610000000001</v>
      </c>
      <c r="T772">
        <v>-3.9936659999999999E-2</v>
      </c>
      <c r="U772">
        <v>0.1651917</v>
      </c>
      <c r="V772">
        <v>-5.4299279999999998E-2</v>
      </c>
      <c r="W772">
        <v>0.16601060000000001</v>
      </c>
      <c r="X772">
        <v>0.9846279</v>
      </c>
      <c r="Y772">
        <v>-5.5706859999999997E-2</v>
      </c>
      <c r="Z772">
        <v>6.915844E-4</v>
      </c>
      <c r="AA772">
        <v>0.99844690000000003</v>
      </c>
      <c r="AB772">
        <v>32</v>
      </c>
      <c r="AC772">
        <v>84.294899999999998</v>
      </c>
      <c r="AD772">
        <v>-1.1099524551069999</v>
      </c>
      <c r="AE772">
        <v>4.5913000000000403</v>
      </c>
      <c r="AF772">
        <v>-4.7109864917923003</v>
      </c>
      <c r="AG772">
        <v>-1.1099524551069999</v>
      </c>
      <c r="AH772">
        <v>84.273681881393898</v>
      </c>
      <c r="AI772">
        <v>90.753411936768202</v>
      </c>
      <c r="AJ772">
        <v>93.199563655296203</v>
      </c>
      <c r="AK772">
        <v>84.412551472069794</v>
      </c>
      <c r="AL772">
        <v>80.444052856580996</v>
      </c>
      <c r="AM772">
        <v>93.156493411840302</v>
      </c>
      <c r="AN772">
        <v>1.0000000162896401</v>
      </c>
    </row>
    <row r="773" spans="1:40" x14ac:dyDescent="0.25">
      <c r="A773" t="str">
        <f>"20190304155610254"</f>
        <v>20190304155610254</v>
      </c>
      <c r="B773" t="str">
        <f>"1551686170245971"</f>
        <v>1551686170245971</v>
      </c>
      <c r="C773" t="s">
        <v>40</v>
      </c>
      <c r="D773">
        <v>4.5974740000000001</v>
      </c>
      <c r="E773">
        <v>0.49716909999999997</v>
      </c>
      <c r="F773" t="s">
        <v>41</v>
      </c>
      <c r="G773">
        <v>-257.34640000000002</v>
      </c>
      <c r="H773" s="1">
        <v>-1.5794789999999999E-6</v>
      </c>
      <c r="I773">
        <v>371.34050000000002</v>
      </c>
      <c r="J773">
        <v>-334.64069999999998</v>
      </c>
      <c r="K773">
        <v>1.1099479999999999</v>
      </c>
      <c r="L773">
        <v>366.99829999999997</v>
      </c>
      <c r="M773">
        <v>0.99993169999999998</v>
      </c>
      <c r="N773">
        <v>-1.160751E-2</v>
      </c>
      <c r="O773">
        <v>-1.3792889999999999E-3</v>
      </c>
      <c r="P773">
        <v>0.98659529999999995</v>
      </c>
      <c r="Q773">
        <v>0.15424549999999901</v>
      </c>
      <c r="R773">
        <v>5.3274990000000001E-2</v>
      </c>
      <c r="S773">
        <v>3.0385439999999999</v>
      </c>
      <c r="T773">
        <v>-4.354537E-2</v>
      </c>
      <c r="U773">
        <v>0.1703491</v>
      </c>
      <c r="V773">
        <v>-5.4666270000000003E-2</v>
      </c>
      <c r="W773">
        <v>0.16567570000000001</v>
      </c>
      <c r="X773">
        <v>0.98466399999999998</v>
      </c>
      <c r="Y773">
        <v>-5.7341379999999997E-2</v>
      </c>
      <c r="Z773">
        <v>7.473871E-4</v>
      </c>
      <c r="AA773">
        <v>0.99835439999999998</v>
      </c>
      <c r="AB773">
        <v>32</v>
      </c>
      <c r="AC773">
        <v>77.294299999999893</v>
      </c>
      <c r="AD773">
        <v>-1.109949579479</v>
      </c>
      <c r="AE773">
        <v>4.34220000000004</v>
      </c>
      <c r="AF773">
        <v>-4.4478999076002497</v>
      </c>
      <c r="AG773">
        <v>-1.109949579479</v>
      </c>
      <c r="AH773">
        <v>77.272352644047999</v>
      </c>
      <c r="AI773">
        <v>90.821587256429396</v>
      </c>
      <c r="AJ773">
        <v>93.294386426409204</v>
      </c>
      <c r="AK773">
        <v>77.408218457752398</v>
      </c>
      <c r="AL773">
        <v>80.463510656827296</v>
      </c>
      <c r="AM773">
        <v>93.1776672133402</v>
      </c>
      <c r="AN773">
        <v>1.0000000157711</v>
      </c>
    </row>
    <row r="774" spans="1:40" x14ac:dyDescent="0.25">
      <c r="A774" t="str">
        <f>"20190304155610266"</f>
        <v>20190304155610266</v>
      </c>
      <c r="B774" t="str">
        <f>"1551686170255731"</f>
        <v>1551686170255731</v>
      </c>
      <c r="C774" t="s">
        <v>40</v>
      </c>
      <c r="D774">
        <v>4.3513400000000004</v>
      </c>
      <c r="E774">
        <v>0.49714779999999997</v>
      </c>
      <c r="F774" t="s">
        <v>41</v>
      </c>
      <c r="G774">
        <v>-258.54750000000001</v>
      </c>
      <c r="H774" s="1">
        <v>-1.0600499999999999E-6</v>
      </c>
      <c r="I774">
        <v>371.32490000000001</v>
      </c>
      <c r="J774">
        <v>-334.47059999999999</v>
      </c>
      <c r="K774">
        <v>1.1099460000000001</v>
      </c>
      <c r="L774">
        <v>366.99810000000002</v>
      </c>
      <c r="M774">
        <v>0.99993180000000004</v>
      </c>
      <c r="N774">
        <v>-1.160829E-2</v>
      </c>
      <c r="O774">
        <v>-1.3250530000000001E-3</v>
      </c>
      <c r="P774">
        <v>0.98661480000000001</v>
      </c>
      <c r="Q774">
        <v>0.15405739999999901</v>
      </c>
      <c r="R774">
        <v>5.3459189999999997E-2</v>
      </c>
      <c r="S774">
        <v>3.0383610000000001</v>
      </c>
      <c r="T774">
        <v>-4.4319629999999999E-2</v>
      </c>
      <c r="U774">
        <v>0.17276</v>
      </c>
      <c r="V774">
        <v>-5.4797129999999999E-2</v>
      </c>
      <c r="W774">
        <v>0.1654891</v>
      </c>
      <c r="X774">
        <v>0.98468809999999996</v>
      </c>
      <c r="Y774">
        <v>-5.8079810000000003E-2</v>
      </c>
      <c r="Z774">
        <v>7.645932E-4</v>
      </c>
      <c r="AA774">
        <v>0.99831159999999997</v>
      </c>
      <c r="AB774">
        <v>32</v>
      </c>
      <c r="AC774">
        <v>75.923099999999906</v>
      </c>
      <c r="AD774">
        <v>-1.1099470600500001</v>
      </c>
      <c r="AE774">
        <v>4.3267999999999898</v>
      </c>
      <c r="AF774">
        <v>-4.4264621197562999</v>
      </c>
      <c r="AG774">
        <v>-1.1099470600500001</v>
      </c>
      <c r="AH774">
        <v>75.901130209886603</v>
      </c>
      <c r="AI774">
        <v>90.836389404227901</v>
      </c>
      <c r="AJ774">
        <v>93.337640132084303</v>
      </c>
      <c r="AK774">
        <v>76.038195116085703</v>
      </c>
      <c r="AL774">
        <v>80.474351653247993</v>
      </c>
      <c r="AM774">
        <v>93.185180463863503</v>
      </c>
      <c r="AN774">
        <v>1.00000001097832</v>
      </c>
    </row>
    <row r="775" spans="1:40" x14ac:dyDescent="0.25">
      <c r="A775" t="str">
        <f>"20190304155610279"</f>
        <v>20190304155610279</v>
      </c>
      <c r="B775" t="str">
        <f>"1551686170275251"</f>
        <v>1551686170275251</v>
      </c>
      <c r="C775" t="s">
        <v>40</v>
      </c>
      <c r="D775">
        <v>4.3316359999999996</v>
      </c>
      <c r="E775">
        <v>0.49673079999999997</v>
      </c>
      <c r="F775" t="s">
        <v>41</v>
      </c>
      <c r="G775">
        <v>-257.47669999999999</v>
      </c>
      <c r="H775" s="1">
        <v>-1.5370000000000001E-6</v>
      </c>
      <c r="I775">
        <v>371.39100000000002</v>
      </c>
      <c r="J775">
        <v>-334.29169999999999</v>
      </c>
      <c r="K775">
        <v>1.1099509999999999</v>
      </c>
      <c r="L775">
        <v>366.99799999999999</v>
      </c>
      <c r="M775">
        <v>0.99993180000000004</v>
      </c>
      <c r="N775">
        <v>-1.160915E-2</v>
      </c>
      <c r="O775">
        <v>-1.2677179999999999E-3</v>
      </c>
      <c r="P775">
        <v>0.98660689999999995</v>
      </c>
      <c r="Q775">
        <v>0.15399560000000001</v>
      </c>
      <c r="R775">
        <v>5.3778649999999997E-2</v>
      </c>
      <c r="S775">
        <v>3.038116</v>
      </c>
      <c r="T775">
        <v>-4.3797610000000001E-2</v>
      </c>
      <c r="U775">
        <v>0.17333979999999999</v>
      </c>
      <c r="V775">
        <v>-5.5060169999999999E-2</v>
      </c>
      <c r="W775">
        <v>0.16542789999999999</v>
      </c>
      <c r="X775">
        <v>0.98468370000000005</v>
      </c>
      <c r="Y775">
        <v>-5.8217190000000002E-2</v>
      </c>
      <c r="Z775">
        <v>7.6106600000000002E-4</v>
      </c>
      <c r="AA775">
        <v>0.99830370000000002</v>
      </c>
      <c r="AB775">
        <v>32</v>
      </c>
      <c r="AC775">
        <v>76.814999999999998</v>
      </c>
      <c r="AD775">
        <v>-1.1099525370000001</v>
      </c>
      <c r="AE775">
        <v>4.3929999999999101</v>
      </c>
      <c r="AF775">
        <v>-4.48944847977429</v>
      </c>
      <c r="AG775">
        <v>-1.1099525370000001</v>
      </c>
      <c r="AH775">
        <v>76.793387124456203</v>
      </c>
      <c r="AI775">
        <v>90.826670031158599</v>
      </c>
      <c r="AJ775">
        <v>93.3457829561072</v>
      </c>
      <c r="AK775">
        <v>76.932512297035601</v>
      </c>
      <c r="AL775">
        <v>80.477907062887894</v>
      </c>
      <c r="AM775">
        <v>93.200452693687794</v>
      </c>
      <c r="AN775">
        <v>1.00000000073226</v>
      </c>
    </row>
    <row r="776" spans="1:40" x14ac:dyDescent="0.25">
      <c r="A776" t="str">
        <f>"20190304155610292"</f>
        <v>20190304155610292</v>
      </c>
      <c r="B776" t="str">
        <f>"1551686170285987"</f>
        <v>1551686170285987</v>
      </c>
      <c r="C776" t="s">
        <v>40</v>
      </c>
      <c r="D776">
        <v>4.3513710000000003</v>
      </c>
      <c r="E776">
        <v>0.4965444</v>
      </c>
      <c r="F776" t="s">
        <v>41</v>
      </c>
      <c r="G776">
        <v>-267.73360000000002</v>
      </c>
      <c r="H776" s="1">
        <v>-1.2919019999999999E-6</v>
      </c>
      <c r="I776">
        <v>370.88389999999998</v>
      </c>
      <c r="J776">
        <v>-334.09539999999998</v>
      </c>
      <c r="K776">
        <v>1.109953</v>
      </c>
      <c r="L776">
        <v>366.99779999999998</v>
      </c>
      <c r="M776">
        <v>0.99993189999999998</v>
      </c>
      <c r="N776">
        <v>-1.161012E-2</v>
      </c>
      <c r="O776">
        <v>-1.2047819999999999E-3</v>
      </c>
      <c r="P776">
        <v>0.98658869999999999</v>
      </c>
      <c r="Q776">
        <v>0.15403789999999901</v>
      </c>
      <c r="R776">
        <v>5.3992430000000001E-2</v>
      </c>
      <c r="S776">
        <v>3.0389710000000001</v>
      </c>
      <c r="T776">
        <v>-5.0679210000000002E-2</v>
      </c>
      <c r="U776">
        <v>0.17742920000000001</v>
      </c>
      <c r="V776">
        <v>-5.521189E-2</v>
      </c>
      <c r="W776">
        <v>0.16547120000000001</v>
      </c>
      <c r="X776">
        <v>0.98466799999999999</v>
      </c>
      <c r="Y776">
        <v>-5.9474140000000002E-2</v>
      </c>
      <c r="Z776">
        <v>8.471463E-4</v>
      </c>
      <c r="AA776">
        <v>0.99822949999999999</v>
      </c>
      <c r="AB776">
        <v>32</v>
      </c>
      <c r="AC776">
        <v>66.361799999999903</v>
      </c>
      <c r="AD776">
        <v>-1.109954291902</v>
      </c>
      <c r="AE776">
        <v>3.8860999999999901</v>
      </c>
      <c r="AF776">
        <v>-3.9649486550747701</v>
      </c>
      <c r="AG776">
        <v>-1.109954291902</v>
      </c>
      <c r="AH776">
        <v>66.338574657582896</v>
      </c>
      <c r="AI776">
        <v>90.956856672691501</v>
      </c>
      <c r="AJ776">
        <v>93.420406518512195</v>
      </c>
      <c r="AK776">
        <v>66.466226792012193</v>
      </c>
      <c r="AL776">
        <v>80.475392157549706</v>
      </c>
      <c r="AM776">
        <v>93.209304294252803</v>
      </c>
      <c r="AN776">
        <v>1.0000000705254</v>
      </c>
    </row>
    <row r="777" spans="1:40" x14ac:dyDescent="0.25">
      <c r="A777" t="str">
        <f>"20190304155610304"</f>
        <v>20190304155610304</v>
      </c>
      <c r="B777" t="str">
        <f>"1551686170295747"</f>
        <v>1551686170295747</v>
      </c>
      <c r="C777" t="s">
        <v>40</v>
      </c>
      <c r="D777">
        <v>4.3696539999999997</v>
      </c>
      <c r="E777">
        <v>0.49639339999999998</v>
      </c>
      <c r="F777" t="s">
        <v>41</v>
      </c>
      <c r="G777">
        <v>-268.64729999999997</v>
      </c>
      <c r="H777" s="1">
        <v>-8.9570869999999996E-7</v>
      </c>
      <c r="I777">
        <v>370.86810000000003</v>
      </c>
      <c r="J777">
        <v>-333.9151</v>
      </c>
      <c r="K777">
        <v>1.109952</v>
      </c>
      <c r="L777">
        <v>366.99770000000001</v>
      </c>
      <c r="M777">
        <v>0.99993209999999999</v>
      </c>
      <c r="N777">
        <v>-1.1611059999999999E-2</v>
      </c>
      <c r="O777">
        <v>-1.146736E-3</v>
      </c>
      <c r="P777">
        <v>0.98665539999999996</v>
      </c>
      <c r="Q777">
        <v>0.15366179999999999</v>
      </c>
      <c r="R777">
        <v>5.3845089999999998E-2</v>
      </c>
      <c r="S777">
        <v>3.0390009999999998</v>
      </c>
      <c r="T777">
        <v>-5.1539300000000003E-2</v>
      </c>
      <c r="U777">
        <v>0.17971799999999999</v>
      </c>
      <c r="V777">
        <v>-5.5006930000000002E-2</v>
      </c>
      <c r="W777">
        <v>0.16509679999999999</v>
      </c>
      <c r="X777">
        <v>0.98474220000000001</v>
      </c>
      <c r="Y777">
        <v>-6.0164280000000001E-2</v>
      </c>
      <c r="Z777">
        <v>8.6546069999999999E-4</v>
      </c>
      <c r="AA777">
        <v>0.99818810000000002</v>
      </c>
      <c r="AB777">
        <v>32</v>
      </c>
      <c r="AC777">
        <v>65.267799999999994</v>
      </c>
      <c r="AD777">
        <v>-1.1099528957086999</v>
      </c>
      <c r="AE777">
        <v>3.8704000000000098</v>
      </c>
      <c r="AF777">
        <v>-3.94411075039356</v>
      </c>
      <c r="AG777">
        <v>-1.1099528957086999</v>
      </c>
      <c r="AH777">
        <v>65.244515304225402</v>
      </c>
      <c r="AI777">
        <v>90.972857758570598</v>
      </c>
      <c r="AJ777">
        <v>93.459390107197393</v>
      </c>
      <c r="AK777">
        <v>65.373043238978596</v>
      </c>
      <c r="AL777">
        <v>80.497141776409507</v>
      </c>
      <c r="AM777">
        <v>93.197174915041501</v>
      </c>
      <c r="AN777">
        <v>0.999999958089551</v>
      </c>
    </row>
    <row r="778" spans="1:40" x14ac:dyDescent="0.25">
      <c r="A778" t="str">
        <f>"20190304155610322"</f>
        <v>20190304155610322</v>
      </c>
      <c r="B778" t="str">
        <f>"1551686170315270"</f>
        <v>1551686170315270</v>
      </c>
      <c r="C778" t="s">
        <v>40</v>
      </c>
      <c r="D778">
        <v>4.3610249999999997</v>
      </c>
      <c r="E778">
        <v>0.4959365</v>
      </c>
      <c r="F778" t="s">
        <v>41</v>
      </c>
      <c r="G778">
        <v>-270.97149999999999</v>
      </c>
      <c r="H778" s="1">
        <v>-4.1441029999999997E-6</v>
      </c>
      <c r="I778">
        <v>370.73630000000003</v>
      </c>
      <c r="J778">
        <v>-333.68099999999998</v>
      </c>
      <c r="K778">
        <v>1.1099509999999999</v>
      </c>
      <c r="L778">
        <v>366.99740000000003</v>
      </c>
      <c r="M778">
        <v>0.99993209999999999</v>
      </c>
      <c r="N778">
        <v>-1.1612320000000001E-2</v>
      </c>
      <c r="O778">
        <v>-1.0714050000000001E-3</v>
      </c>
      <c r="P778">
        <v>0.98676830000000004</v>
      </c>
      <c r="Q778">
        <v>0.15290409999999999</v>
      </c>
      <c r="R778">
        <v>5.3934629999999997E-2</v>
      </c>
      <c r="S778">
        <v>3.0390630000000001</v>
      </c>
      <c r="T778">
        <v>-5.3591130000000001E-2</v>
      </c>
      <c r="U778">
        <v>0.18051149999999999</v>
      </c>
      <c r="V778">
        <v>-5.5022410000000001E-2</v>
      </c>
      <c r="W778">
        <v>0.1643415</v>
      </c>
      <c r="X778">
        <v>0.98486770000000001</v>
      </c>
      <c r="Y778">
        <v>-6.0346610000000002E-2</v>
      </c>
      <c r="Z778">
        <v>8.8876169999999998E-4</v>
      </c>
      <c r="AA778">
        <v>0.99817710000000004</v>
      </c>
      <c r="AB778">
        <v>32</v>
      </c>
      <c r="AC778">
        <v>62.709499999999899</v>
      </c>
      <c r="AD778">
        <v>-1.109955144103</v>
      </c>
      <c r="AE778">
        <v>3.7389000000000001</v>
      </c>
      <c r="AF778">
        <v>-3.8049018405934998</v>
      </c>
      <c r="AG778">
        <v>-1.109955144103</v>
      </c>
      <c r="AH778">
        <v>62.685888666683702</v>
      </c>
      <c r="AI778">
        <v>91.012545406346504</v>
      </c>
      <c r="AJ778">
        <v>93.473472017785298</v>
      </c>
      <c r="AK778">
        <v>62.811065238302803</v>
      </c>
      <c r="AL778">
        <v>80.541016897340398</v>
      </c>
      <c r="AM778">
        <v>93.197666114546394</v>
      </c>
      <c r="AN778">
        <v>0.99999999036387399</v>
      </c>
    </row>
    <row r="779" spans="1:40" x14ac:dyDescent="0.25">
      <c r="A779" t="str">
        <f>"20190304155610332"</f>
        <v>20190304155610332</v>
      </c>
      <c r="B779" t="str">
        <f>"1551686170326003"</f>
        <v>1551686170326003</v>
      </c>
      <c r="C779" t="s">
        <v>40</v>
      </c>
      <c r="D779">
        <v>4.2739390000000004</v>
      </c>
      <c r="E779">
        <v>0.49582310000000002</v>
      </c>
      <c r="F779" t="s">
        <v>41</v>
      </c>
      <c r="G779">
        <v>-275.08640000000003</v>
      </c>
      <c r="H779" s="1">
        <v>-2.3382220000000001E-6</v>
      </c>
      <c r="I779">
        <v>370.54829999999998</v>
      </c>
      <c r="J779">
        <v>-333.51859999999999</v>
      </c>
      <c r="K779">
        <v>1.1099479999999999</v>
      </c>
      <c r="L779">
        <v>366.9973</v>
      </c>
      <c r="M779">
        <v>0.99993209999999999</v>
      </c>
      <c r="N779">
        <v>-1.1613210000000001E-2</v>
      </c>
      <c r="O779">
        <v>-1.0190780000000001E-3</v>
      </c>
      <c r="P779">
        <v>0.98679519999999998</v>
      </c>
      <c r="Q779">
        <v>0.1526884</v>
      </c>
      <c r="R779">
        <v>5.4052940000000001E-2</v>
      </c>
      <c r="S779">
        <v>3.0390929999999998</v>
      </c>
      <c r="T779">
        <v>-5.7569269999999999E-2</v>
      </c>
      <c r="U779">
        <v>0.18417359999999999</v>
      </c>
      <c r="V779">
        <v>-5.5088739999999997E-2</v>
      </c>
      <c r="W779">
        <v>0.164127</v>
      </c>
      <c r="X779">
        <v>0.98489979999999999</v>
      </c>
      <c r="Y779">
        <v>-6.1489990000000001E-2</v>
      </c>
      <c r="Z779">
        <v>9.4671390000000005E-4</v>
      </c>
      <c r="AA779">
        <v>0.99810730000000003</v>
      </c>
      <c r="AB779">
        <v>32</v>
      </c>
      <c r="AC779">
        <v>58.432199999999902</v>
      </c>
      <c r="AD779">
        <v>-1.109950338222</v>
      </c>
      <c r="AE779">
        <v>3.5509999999999802</v>
      </c>
      <c r="AF779">
        <v>-3.6092516037447799</v>
      </c>
      <c r="AG779">
        <v>-1.109950338222</v>
      </c>
      <c r="AH779">
        <v>58.407553015573399</v>
      </c>
      <c r="AI779">
        <v>91.086619492736901</v>
      </c>
      <c r="AJ779">
        <v>93.536054111382498</v>
      </c>
      <c r="AK779">
        <v>58.529487748992601</v>
      </c>
      <c r="AL779">
        <v>80.553476385731898</v>
      </c>
      <c r="AM779">
        <v>93.201408788149607</v>
      </c>
      <c r="AN779">
        <v>1.00000002872191</v>
      </c>
    </row>
    <row r="780" spans="1:40" x14ac:dyDescent="0.25">
      <c r="A780" t="str">
        <f>"20190304155610343"</f>
        <v>20190304155610343</v>
      </c>
      <c r="B780" t="str">
        <f>"1551686170335763"</f>
        <v>1551686170335763</v>
      </c>
      <c r="C780" t="s">
        <v>40</v>
      </c>
      <c r="D780">
        <v>4.3458709999999998</v>
      </c>
      <c r="E780">
        <v>0.49611499999999997</v>
      </c>
      <c r="F780" t="s">
        <v>41</v>
      </c>
      <c r="G780">
        <v>-279.00740000000002</v>
      </c>
      <c r="H780" s="1">
        <v>-5.9538409999999997E-7</v>
      </c>
      <c r="I780">
        <v>370.31990000000002</v>
      </c>
      <c r="J780">
        <v>-333.36219999999997</v>
      </c>
      <c r="K780">
        <v>1.1099490000000001</v>
      </c>
      <c r="L780">
        <v>366.99720000000002</v>
      </c>
      <c r="M780">
        <v>0.99993220000000005</v>
      </c>
      <c r="N780">
        <v>-1.16141E-2</v>
      </c>
      <c r="O780">
        <v>-9.6877840000000003E-4</v>
      </c>
      <c r="P780">
        <v>0.98685619999999996</v>
      </c>
      <c r="Q780">
        <v>0.1523207</v>
      </c>
      <c r="R780">
        <v>5.3978249999999998E-2</v>
      </c>
      <c r="S780">
        <v>3.039612</v>
      </c>
      <c r="T780">
        <v>-6.1891910000000001E-2</v>
      </c>
      <c r="U780">
        <v>0.1852722</v>
      </c>
      <c r="V780">
        <v>-5.4964859999999997E-2</v>
      </c>
      <c r="W780">
        <v>0.16376109999999999</v>
      </c>
      <c r="X780">
        <v>0.98496760000000005</v>
      </c>
      <c r="Y780">
        <v>-6.1786599999999997E-2</v>
      </c>
      <c r="Z780">
        <v>9.9606039999999992E-4</v>
      </c>
      <c r="AA780">
        <v>0.99808889999999995</v>
      </c>
      <c r="AB780">
        <v>32</v>
      </c>
      <c r="AC780">
        <v>54.354799999999898</v>
      </c>
      <c r="AD780">
        <v>-1.1099495953841001</v>
      </c>
      <c r="AE780">
        <v>3.32269999999999</v>
      </c>
      <c r="AF780">
        <v>-3.3739580571610102</v>
      </c>
      <c r="AG780">
        <v>-1.1099495953841001</v>
      </c>
      <c r="AH780">
        <v>54.328984748108397</v>
      </c>
      <c r="AI780">
        <v>91.168149044425604</v>
      </c>
      <c r="AJ780">
        <v>93.553639252988106</v>
      </c>
      <c r="AK780">
        <v>54.444964549864203</v>
      </c>
      <c r="AL780">
        <v>80.574728218152103</v>
      </c>
      <c r="AM780">
        <v>93.194005172673997</v>
      </c>
      <c r="AN780">
        <v>1.0000000033788901</v>
      </c>
    </row>
    <row r="781" spans="1:40" x14ac:dyDescent="0.25">
      <c r="A781" t="str">
        <f>"20190304155610354"</f>
        <v>20190304155610354</v>
      </c>
      <c r="B781" t="str">
        <f>"1551686170345524"</f>
        <v>1551686170345524</v>
      </c>
      <c r="C781" t="s">
        <v>40</v>
      </c>
      <c r="D781">
        <v>4.3689850000000003</v>
      </c>
      <c r="E781">
        <v>0.49599110000000002</v>
      </c>
      <c r="F781" t="s">
        <v>41</v>
      </c>
      <c r="G781">
        <v>-278.0994</v>
      </c>
      <c r="H781" s="1">
        <v>-9.842553000000001E-7</v>
      </c>
      <c r="I781">
        <v>370.3175</v>
      </c>
      <c r="J781">
        <v>-333.20740000000001</v>
      </c>
      <c r="K781">
        <v>1.1099460000000001</v>
      </c>
      <c r="L781">
        <v>366.99709999999999</v>
      </c>
      <c r="M781">
        <v>0.99993220000000005</v>
      </c>
      <c r="N781">
        <v>-1.1615E-2</v>
      </c>
      <c r="O781">
        <v>-9.1919259999999998E-4</v>
      </c>
      <c r="P781">
        <v>0.98686549999999995</v>
      </c>
      <c r="Q781">
        <v>0.1523207</v>
      </c>
      <c r="R781">
        <v>5.3807340000000002E-2</v>
      </c>
      <c r="S781">
        <v>3.0393979999999998</v>
      </c>
      <c r="T781">
        <v>-6.1046120000000002E-2</v>
      </c>
      <c r="U781">
        <v>0.18261720000000001</v>
      </c>
      <c r="V781">
        <v>-5.4745040000000002E-2</v>
      </c>
      <c r="W781">
        <v>0.16376199999999999</v>
      </c>
      <c r="X781">
        <v>0.98497970000000001</v>
      </c>
      <c r="Y781">
        <v>-6.0873389999999999E-2</v>
      </c>
      <c r="Z781">
        <v>9.723927E-4</v>
      </c>
      <c r="AA781">
        <v>0.99814499999999995</v>
      </c>
      <c r="AB781">
        <v>32</v>
      </c>
      <c r="AC781">
        <v>55.107999999999997</v>
      </c>
      <c r="AD781">
        <v>-1.10994698425529</v>
      </c>
      <c r="AE781">
        <v>3.3203999999999998</v>
      </c>
      <c r="AF781">
        <v>-3.3696948295757001</v>
      </c>
      <c r="AG781">
        <v>-1.10994698425529</v>
      </c>
      <c r="AH781">
        <v>55.082659752541502</v>
      </c>
      <c r="AI781">
        <v>91.152232913040507</v>
      </c>
      <c r="AJ781">
        <v>93.500720264479199</v>
      </c>
      <c r="AK781">
        <v>55.196795477333502</v>
      </c>
      <c r="AL781">
        <v>80.574676016199604</v>
      </c>
      <c r="AM781">
        <v>93.181218733208098</v>
      </c>
      <c r="AN781">
        <v>1.0000000107303399</v>
      </c>
    </row>
    <row r="782" spans="1:40" x14ac:dyDescent="0.25">
      <c r="A782" t="str">
        <f>"20190304155610366"</f>
        <v>20190304155610366</v>
      </c>
      <c r="B782" t="str">
        <f>"1551686170355284"</f>
        <v>1551686170355284</v>
      </c>
      <c r="C782" t="s">
        <v>40</v>
      </c>
      <c r="D782">
        <v>4.3879789999999996</v>
      </c>
      <c r="E782">
        <v>0.49588900000000002</v>
      </c>
      <c r="F782" t="s">
        <v>41</v>
      </c>
      <c r="G782">
        <v>-278.2276</v>
      </c>
      <c r="H782" s="1">
        <v>-9.2383059999999999E-7</v>
      </c>
      <c r="I782">
        <v>370.29700000000003</v>
      </c>
      <c r="J782">
        <v>-333.03829999999999</v>
      </c>
      <c r="K782">
        <v>1.1099460000000001</v>
      </c>
      <c r="L782">
        <v>366.99700000000001</v>
      </c>
      <c r="M782">
        <v>0.99993220000000005</v>
      </c>
      <c r="N782">
        <v>-1.161601E-2</v>
      </c>
      <c r="O782">
        <v>-8.6507559999999997E-4</v>
      </c>
      <c r="P782">
        <v>0.98688629999999999</v>
      </c>
      <c r="Q782">
        <v>0.1521267</v>
      </c>
      <c r="R782">
        <v>5.3970770000000001E-2</v>
      </c>
      <c r="S782">
        <v>3.0394589999999999</v>
      </c>
      <c r="T782">
        <v>-6.1361310000000002E-2</v>
      </c>
      <c r="U782">
        <v>0.18243409999999999</v>
      </c>
      <c r="V782">
        <v>-5.4854849999999997E-2</v>
      </c>
      <c r="W782">
        <v>0.1635691</v>
      </c>
      <c r="X782">
        <v>0.98500560000000004</v>
      </c>
      <c r="Y782">
        <v>-6.075813E-2</v>
      </c>
      <c r="Z782">
        <v>9.7336259999999996E-4</v>
      </c>
      <c r="AA782">
        <v>0.99815200000000004</v>
      </c>
      <c r="AB782">
        <v>32</v>
      </c>
      <c r="AC782">
        <v>54.810699999999997</v>
      </c>
      <c r="AD782">
        <v>-1.1099469238305999</v>
      </c>
      <c r="AE782">
        <v>3.30000000000001</v>
      </c>
      <c r="AF782">
        <v>-3.3460501529992199</v>
      </c>
      <c r="AG782">
        <v>-1.1099469238305999</v>
      </c>
      <c r="AH782">
        <v>54.785439013220099</v>
      </c>
      <c r="AI782">
        <v>91.1584892511313</v>
      </c>
      <c r="AJ782">
        <v>93.495029119515806</v>
      </c>
      <c r="AK782">
        <v>54.898746448997997</v>
      </c>
      <c r="AL782">
        <v>80.585879039420107</v>
      </c>
      <c r="AM782">
        <v>93.187502973254198</v>
      </c>
      <c r="AN782">
        <v>0.99999996853734496</v>
      </c>
    </row>
    <row r="783" spans="1:40" x14ac:dyDescent="0.25">
      <c r="A783" t="str">
        <f>"20190304155610377"</f>
        <v>20190304155610377</v>
      </c>
      <c r="B783" t="str">
        <f>"1551686170375779"</f>
        <v>1551686170375779</v>
      </c>
      <c r="C783" t="s">
        <v>40</v>
      </c>
      <c r="D783">
        <v>4.3842239999999997</v>
      </c>
      <c r="E783">
        <v>0.4957105</v>
      </c>
      <c r="F783" t="s">
        <v>41</v>
      </c>
      <c r="G783">
        <v>-278.78989999999999</v>
      </c>
      <c r="H783" s="1">
        <v>-6.7899509999999904E-7</v>
      </c>
      <c r="I783">
        <v>370.28359999999998</v>
      </c>
      <c r="J783">
        <v>-332.87569999999999</v>
      </c>
      <c r="K783">
        <v>1.1099509999999999</v>
      </c>
      <c r="L783">
        <v>366.99689999999998</v>
      </c>
      <c r="M783">
        <v>0.9999323</v>
      </c>
      <c r="N783">
        <v>-1.1616980000000001E-2</v>
      </c>
      <c r="O783">
        <v>-8.1310559999999896E-4</v>
      </c>
      <c r="P783">
        <v>0.98689899999999997</v>
      </c>
      <c r="Q783">
        <v>0.1520475</v>
      </c>
      <c r="R783">
        <v>5.3963730000000001E-2</v>
      </c>
      <c r="S783">
        <v>3.0393979999999998</v>
      </c>
      <c r="T783">
        <v>-6.2187430000000002E-2</v>
      </c>
      <c r="U783">
        <v>0.1841431</v>
      </c>
      <c r="V783">
        <v>-5.4796860000000003E-2</v>
      </c>
      <c r="W783">
        <v>0.16349149999999901</v>
      </c>
      <c r="X783">
        <v>0.98502179999999995</v>
      </c>
      <c r="Y783">
        <v>-6.1266050000000002E-2</v>
      </c>
      <c r="Z783">
        <v>9.8956770000000003E-4</v>
      </c>
      <c r="AA783">
        <v>0.99812100000000004</v>
      </c>
      <c r="AB783">
        <v>32</v>
      </c>
      <c r="AC783">
        <v>54.085799999999999</v>
      </c>
      <c r="AD783">
        <v>-1.1099516789951001</v>
      </c>
      <c r="AE783">
        <v>3.28669999999999</v>
      </c>
      <c r="AF783">
        <v>-3.3292823590802398</v>
      </c>
      <c r="AG783">
        <v>-1.1099516789951001</v>
      </c>
      <c r="AH783">
        <v>54.060425470286901</v>
      </c>
      <c r="AI783">
        <v>91.173990159493997</v>
      </c>
      <c r="AJ783">
        <v>93.524079207255696</v>
      </c>
      <c r="AK783">
        <v>54.174216337521997</v>
      </c>
      <c r="AL783">
        <v>80.590386696293606</v>
      </c>
      <c r="AM783">
        <v>93.184087970855799</v>
      </c>
      <c r="AN783">
        <v>1.00000005645667</v>
      </c>
    </row>
    <row r="784" spans="1:40" x14ac:dyDescent="0.25">
      <c r="A784" t="str">
        <f>"20190304155610388"</f>
        <v>20190304155610388</v>
      </c>
      <c r="B784" t="str">
        <f>"1551686170375779"</f>
        <v>1551686170375779</v>
      </c>
      <c r="C784" t="s">
        <v>40</v>
      </c>
      <c r="D784">
        <v>4.3842239999999997</v>
      </c>
      <c r="E784">
        <v>0.4957105</v>
      </c>
      <c r="F784" t="s">
        <v>44</v>
      </c>
      <c r="G784">
        <v>-278.38330000000002</v>
      </c>
      <c r="H784">
        <v>-0.05</v>
      </c>
      <c r="I784">
        <v>370.32049999999998</v>
      </c>
      <c r="J784">
        <v>-332.7276</v>
      </c>
      <c r="K784">
        <v>1.1099460000000001</v>
      </c>
      <c r="L784">
        <v>366.99689999999998</v>
      </c>
      <c r="M784">
        <v>0.9999323</v>
      </c>
      <c r="N784">
        <v>-1.1617860000000001E-2</v>
      </c>
      <c r="O784">
        <v>-7.6554649999999896E-4</v>
      </c>
      <c r="P784">
        <v>0.98687760000000002</v>
      </c>
      <c r="Q784">
        <v>0.15214610000000001</v>
      </c>
      <c r="R784">
        <v>5.4077199999999902E-2</v>
      </c>
      <c r="S784">
        <v>3.0396730000000001</v>
      </c>
      <c r="T784">
        <v>-6.4703819999999995E-2</v>
      </c>
      <c r="U784">
        <v>0.18539430000000001</v>
      </c>
      <c r="V784">
        <v>-5.4863099999999998E-2</v>
      </c>
      <c r="W784">
        <v>0.16359070000000001</v>
      </c>
      <c r="X784">
        <v>0.98500160000000003</v>
      </c>
      <c r="Y784">
        <v>-6.1621000000000002E-2</v>
      </c>
      <c r="Z784">
        <v>1.020916E-3</v>
      </c>
      <c r="AA784">
        <v>0.99809910000000002</v>
      </c>
      <c r="AB784">
        <v>32</v>
      </c>
      <c r="AC784">
        <v>54.344299999999897</v>
      </c>
      <c r="AD784">
        <v>-1.1599459999999999</v>
      </c>
      <c r="AE784">
        <v>3.3235999999999901</v>
      </c>
      <c r="AF784">
        <v>-3.3636781948584602</v>
      </c>
      <c r="AG784">
        <v>-1.1599459999999999</v>
      </c>
      <c r="AH784">
        <v>54.317085801535001</v>
      </c>
      <c r="AI784">
        <v>91.221031984841801</v>
      </c>
      <c r="AJ784">
        <v>93.543613685920604</v>
      </c>
      <c r="AK784">
        <v>54.433497184112603</v>
      </c>
      <c r="AL784">
        <v>80.584624988797401</v>
      </c>
      <c r="AM784">
        <v>93.187994294506098</v>
      </c>
      <c r="AN784">
        <v>1.00000001443533</v>
      </c>
    </row>
    <row r="785" spans="1:40" x14ac:dyDescent="0.25">
      <c r="A785" t="str">
        <f>"20190304155610399"</f>
        <v>20190304155610399</v>
      </c>
      <c r="B785" t="str">
        <f>"1551686170395299"</f>
        <v>1551686170395299</v>
      </c>
      <c r="C785" t="s">
        <v>40</v>
      </c>
      <c r="D785">
        <v>4.4041050000000004</v>
      </c>
      <c r="E785">
        <v>0.49555500000000002</v>
      </c>
      <c r="F785" t="s">
        <v>44</v>
      </c>
      <c r="G785">
        <v>-277.97649999999999</v>
      </c>
      <c r="H785">
        <v>-0.05</v>
      </c>
      <c r="I785">
        <v>370.34280000000001</v>
      </c>
      <c r="J785">
        <v>-332.56810000000002</v>
      </c>
      <c r="K785">
        <v>1.109944</v>
      </c>
      <c r="L785">
        <v>366.99680000000001</v>
      </c>
      <c r="M785">
        <v>0.9999323</v>
      </c>
      <c r="N785">
        <v>-1.161884E-2</v>
      </c>
      <c r="O785">
        <v>-7.1488719999999995E-4</v>
      </c>
      <c r="P785">
        <v>0.98691399999999996</v>
      </c>
      <c r="Q785">
        <v>0.1518244</v>
      </c>
      <c r="R785">
        <v>5.4315549999999997E-2</v>
      </c>
      <c r="S785">
        <v>3.0396420000000002</v>
      </c>
      <c r="T785">
        <v>-6.4397339999999997E-2</v>
      </c>
      <c r="U785">
        <v>0.1857605</v>
      </c>
      <c r="V785">
        <v>-5.5051589999999997E-2</v>
      </c>
      <c r="W785">
        <v>0.16327039999999901</v>
      </c>
      <c r="X785">
        <v>0.98504420000000004</v>
      </c>
      <c r="Y785">
        <v>-6.1690990000000001E-2</v>
      </c>
      <c r="Z785">
        <v>1.0184339999999999E-3</v>
      </c>
      <c r="AA785">
        <v>0.99809479999999995</v>
      </c>
      <c r="AB785">
        <v>32</v>
      </c>
      <c r="AC785">
        <v>54.5916</v>
      </c>
      <c r="AD785">
        <v>-1.1599440000000001</v>
      </c>
      <c r="AE785">
        <v>3.3460000000000001</v>
      </c>
      <c r="AF785">
        <v>-3.3835068012098701</v>
      </c>
      <c r="AG785">
        <v>-1.1599440000000001</v>
      </c>
      <c r="AH785">
        <v>54.564652133982896</v>
      </c>
      <c r="AI785">
        <v>91.215485404848806</v>
      </c>
      <c r="AJ785">
        <v>93.548318379246197</v>
      </c>
      <c r="AK785">
        <v>54.681759763741397</v>
      </c>
      <c r="AL785">
        <v>80.603226687107906</v>
      </c>
      <c r="AM785">
        <v>93.198786339097296</v>
      </c>
      <c r="AN785">
        <v>0.99999998851566396</v>
      </c>
    </row>
    <row r="786" spans="1:40" x14ac:dyDescent="0.25">
      <c r="A786" t="str">
        <f>"20190304155610410"</f>
        <v>20190304155610410</v>
      </c>
      <c r="B786" t="str">
        <f>"1551686170406036"</f>
        <v>1551686170406036</v>
      </c>
      <c r="C786" t="s">
        <v>40</v>
      </c>
      <c r="D786">
        <v>4.3933549999999997</v>
      </c>
      <c r="E786">
        <v>0.49550630000000001</v>
      </c>
      <c r="F786" t="s">
        <v>44</v>
      </c>
      <c r="G786">
        <v>-278.3546</v>
      </c>
      <c r="H786">
        <v>-0.05</v>
      </c>
      <c r="I786">
        <v>370.34059999999999</v>
      </c>
      <c r="J786">
        <v>-332.40089999999998</v>
      </c>
      <c r="K786">
        <v>1.109942</v>
      </c>
      <c r="L786">
        <v>366.99669999999998</v>
      </c>
      <c r="M786">
        <v>0.99993220000000005</v>
      </c>
      <c r="N786">
        <v>-1.1619880000000001E-2</v>
      </c>
      <c r="O786">
        <v>-6.6136729999999896E-4</v>
      </c>
      <c r="P786">
        <v>0.98693189999999997</v>
      </c>
      <c r="Q786">
        <v>0.1516535</v>
      </c>
      <c r="R786">
        <v>5.446753E-2</v>
      </c>
      <c r="S786">
        <v>3.0394290000000002</v>
      </c>
      <c r="T786">
        <v>-6.5031050000000007E-2</v>
      </c>
      <c r="U786">
        <v>0.18746950000000001</v>
      </c>
      <c r="V786">
        <v>-5.5150860000000003E-2</v>
      </c>
      <c r="W786">
        <v>0.16310060000000001</v>
      </c>
      <c r="X786">
        <v>0.98506680000000002</v>
      </c>
      <c r="Y786">
        <v>-6.2200400000000003E-2</v>
      </c>
      <c r="Z786">
        <v>1.0329639999999999E-3</v>
      </c>
      <c r="AA786">
        <v>0.99806309999999998</v>
      </c>
      <c r="AB786">
        <v>32</v>
      </c>
      <c r="AC786">
        <v>54.046299999999903</v>
      </c>
      <c r="AD786">
        <v>-1.159942</v>
      </c>
      <c r="AE786">
        <v>3.3439000000000099</v>
      </c>
      <c r="AF786">
        <v>-3.37809606283207</v>
      </c>
      <c r="AG786">
        <v>-1.159942</v>
      </c>
      <c r="AH786">
        <v>54.019289129129803</v>
      </c>
      <c r="AI786">
        <v>91.227710701388503</v>
      </c>
      <c r="AJ786">
        <v>93.578331726805999</v>
      </c>
      <c r="AK786">
        <v>54.137238537531701</v>
      </c>
      <c r="AL786">
        <v>80.613087913662497</v>
      </c>
      <c r="AM786">
        <v>93.204469069143201</v>
      </c>
      <c r="AN786">
        <v>1.00000001177066</v>
      </c>
    </row>
    <row r="787" spans="1:40" x14ac:dyDescent="0.25">
      <c r="A787" t="str">
        <f>"20190304155610421"</f>
        <v>20190304155610421</v>
      </c>
      <c r="B787" t="str">
        <f>"1551686170415795"</f>
        <v>1551686170415795</v>
      </c>
      <c r="C787" t="s">
        <v>40</v>
      </c>
      <c r="D787">
        <v>4.4485659999999996</v>
      </c>
      <c r="E787">
        <v>0.49545660000000002</v>
      </c>
      <c r="F787" t="s">
        <v>44</v>
      </c>
      <c r="G787">
        <v>-278.40640000000002</v>
      </c>
      <c r="H787">
        <v>-0.05</v>
      </c>
      <c r="I787">
        <v>370.34339999999997</v>
      </c>
      <c r="J787">
        <v>-332.24329999999998</v>
      </c>
      <c r="K787">
        <v>1.1099410000000001</v>
      </c>
      <c r="L787">
        <v>366.9966</v>
      </c>
      <c r="M787">
        <v>0.9999323</v>
      </c>
      <c r="N787">
        <v>-1.162085E-2</v>
      </c>
      <c r="O787">
        <v>-6.108318E-4</v>
      </c>
      <c r="P787">
        <v>0.98693039999999999</v>
      </c>
      <c r="Q787">
        <v>0.1515666</v>
      </c>
      <c r="R787">
        <v>5.4735819999999998E-2</v>
      </c>
      <c r="S787">
        <v>3.0393680000000001</v>
      </c>
      <c r="T787">
        <v>-6.5293550000000006E-2</v>
      </c>
      <c r="U787">
        <v>0.188385</v>
      </c>
      <c r="V787">
        <v>-5.5369130000000003E-2</v>
      </c>
      <c r="W787">
        <v>0.16301489999999999</v>
      </c>
      <c r="X787">
        <v>0.98506870000000002</v>
      </c>
      <c r="Y787">
        <v>-6.2450449999999998E-2</v>
      </c>
      <c r="Z787">
        <v>1.039384E-3</v>
      </c>
      <c r="AA787">
        <v>0.99804749999999998</v>
      </c>
      <c r="AB787">
        <v>32</v>
      </c>
      <c r="AC787">
        <v>53.836899999999901</v>
      </c>
      <c r="AD787">
        <v>-1.1599409999999899</v>
      </c>
      <c r="AE787">
        <v>3.3467999999999698</v>
      </c>
      <c r="AF787">
        <v>-3.3781247740386999</v>
      </c>
      <c r="AG787">
        <v>-1.1599409999999899</v>
      </c>
      <c r="AH787">
        <v>53.8099626832336</v>
      </c>
      <c r="AI787">
        <v>91.232465345691494</v>
      </c>
      <c r="AJ787">
        <v>93.592245887844896</v>
      </c>
      <c r="AK787">
        <v>53.928371698795502</v>
      </c>
      <c r="AL787">
        <v>80.618064383084899</v>
      </c>
      <c r="AM787">
        <v>93.217118584768201</v>
      </c>
      <c r="AN787">
        <v>0.99999997094932802</v>
      </c>
    </row>
    <row r="788" spans="1:40" x14ac:dyDescent="0.25">
      <c r="A788" t="str">
        <f>"20190304155610433"</f>
        <v>20190304155610433</v>
      </c>
      <c r="B788" t="str">
        <f>"1551686170425555"</f>
        <v>1551686170425555</v>
      </c>
      <c r="C788" t="s">
        <v>40</v>
      </c>
      <c r="D788">
        <v>4.3703830000000004</v>
      </c>
      <c r="E788">
        <v>0.49543900000000002</v>
      </c>
      <c r="F788" t="s">
        <v>44</v>
      </c>
      <c r="G788">
        <v>-278.46390000000002</v>
      </c>
      <c r="H788">
        <v>-0.05</v>
      </c>
      <c r="I788">
        <v>370.3501</v>
      </c>
      <c r="J788">
        <v>-332.08179999999999</v>
      </c>
      <c r="K788">
        <v>1.1099380000000001</v>
      </c>
      <c r="L788">
        <v>366.9966</v>
      </c>
      <c r="M788">
        <v>0.99993240000000005</v>
      </c>
      <c r="N788">
        <v>-1.1621859999999999E-2</v>
      </c>
      <c r="O788">
        <v>-5.5886569999999999E-4</v>
      </c>
      <c r="P788">
        <v>0.98689800000000005</v>
      </c>
      <c r="Q788">
        <v>0.1517491</v>
      </c>
      <c r="R788">
        <v>5.481221E-2</v>
      </c>
      <c r="S788">
        <v>3.0392459999999999</v>
      </c>
      <c r="T788">
        <v>-6.5551999999999999E-2</v>
      </c>
      <c r="U788">
        <v>0.18951419999999999</v>
      </c>
      <c r="V788">
        <v>-5.5393739999999997E-2</v>
      </c>
      <c r="W788">
        <v>0.1631975</v>
      </c>
      <c r="X788">
        <v>0.9850371</v>
      </c>
      <c r="Y788">
        <v>-6.277017E-2</v>
      </c>
      <c r="Z788">
        <v>1.0469310000000001E-3</v>
      </c>
      <c r="AA788">
        <v>0.99802740000000001</v>
      </c>
      <c r="AB788">
        <v>32</v>
      </c>
      <c r="AC788">
        <v>53.617899999999899</v>
      </c>
      <c r="AD788">
        <v>-1.1599379999999999</v>
      </c>
      <c r="AE788">
        <v>3.3534999999999902</v>
      </c>
      <c r="AF788">
        <v>-3.3818901302712501</v>
      </c>
      <c r="AG788">
        <v>-1.1599379999999999</v>
      </c>
      <c r="AH788">
        <v>53.591034231368297</v>
      </c>
      <c r="AI788">
        <v>91.237470073214496</v>
      </c>
      <c r="AJ788">
        <v>93.610891864243499</v>
      </c>
      <c r="AK788">
        <v>53.710162790711699</v>
      </c>
      <c r="AL788">
        <v>80.607460342183998</v>
      </c>
      <c r="AM788">
        <v>93.218648530618694</v>
      </c>
      <c r="AN788">
        <v>0.99999998940692303</v>
      </c>
    </row>
    <row r="789" spans="1:40" x14ac:dyDescent="0.25">
      <c r="A789" t="str">
        <f>"20190304155610443"</f>
        <v>20190304155610443</v>
      </c>
      <c r="B789" t="str">
        <f>"1551686170435316"</f>
        <v>1551686170435316</v>
      </c>
      <c r="C789" t="s">
        <v>40</v>
      </c>
      <c r="D789">
        <v>4.3838869999999996</v>
      </c>
      <c r="E789">
        <v>0.49546069999999998</v>
      </c>
      <c r="F789" t="s">
        <v>44</v>
      </c>
      <c r="G789">
        <v>-277.73379999999997</v>
      </c>
      <c r="H789">
        <v>-0.05</v>
      </c>
      <c r="I789">
        <v>370.39530000000002</v>
      </c>
      <c r="J789">
        <v>-331.92759999999998</v>
      </c>
      <c r="K789">
        <v>1.1099380000000001</v>
      </c>
      <c r="L789">
        <v>366.9966</v>
      </c>
      <c r="M789">
        <v>0.9999323</v>
      </c>
      <c r="N789">
        <v>-1.1622850000000001E-2</v>
      </c>
      <c r="O789">
        <v>-5.0928249999999996E-4</v>
      </c>
      <c r="P789">
        <v>0.98685540000000005</v>
      </c>
      <c r="Q789">
        <v>0.1519307</v>
      </c>
      <c r="R789">
        <v>5.5075359999999997E-2</v>
      </c>
      <c r="S789">
        <v>3.0392459999999999</v>
      </c>
      <c r="T789">
        <v>-6.4865950000000006E-2</v>
      </c>
      <c r="U789">
        <v>0.1900635</v>
      </c>
      <c r="V789">
        <v>-5.5608570000000003E-2</v>
      </c>
      <c r="W789">
        <v>0.16338</v>
      </c>
      <c r="X789">
        <v>0.98499479999999995</v>
      </c>
      <c r="Y789">
        <v>-6.2900699999999907E-2</v>
      </c>
      <c r="Z789">
        <v>1.0414269999999999E-3</v>
      </c>
      <c r="AA789">
        <v>0.9980192</v>
      </c>
      <c r="AB789">
        <v>32</v>
      </c>
      <c r="AC789">
        <v>54.193800000000003</v>
      </c>
      <c r="AD789">
        <v>-1.1599379999999999</v>
      </c>
      <c r="AE789">
        <v>3.3987000000000198</v>
      </c>
      <c r="AF789">
        <v>-3.4247386155014099</v>
      </c>
      <c r="AG789">
        <v>-1.1599379999999999</v>
      </c>
      <c r="AH789">
        <v>54.167344534848198</v>
      </c>
      <c r="AI789">
        <v>91.224298899471705</v>
      </c>
      <c r="AJ789">
        <v>93.617719007746899</v>
      </c>
      <c r="AK789">
        <v>54.287894642409</v>
      </c>
      <c r="AL789">
        <v>80.596862153533607</v>
      </c>
      <c r="AM789">
        <v>93.231243275874704</v>
      </c>
      <c r="AN789">
        <v>1.0000000467422401</v>
      </c>
    </row>
    <row r="790" spans="1:40" x14ac:dyDescent="0.25">
      <c r="A790" t="str">
        <f>"20190304155610454"</f>
        <v>20190304155610454</v>
      </c>
      <c r="B790" t="str">
        <f>"1551686170446052"</f>
        <v>1551686170446052</v>
      </c>
      <c r="C790" t="s">
        <v>40</v>
      </c>
      <c r="D790">
        <v>4.3788199999999904</v>
      </c>
      <c r="E790">
        <v>0.49544290000000002</v>
      </c>
      <c r="F790" t="s">
        <v>41</v>
      </c>
      <c r="G790">
        <v>-279.23140000000001</v>
      </c>
      <c r="H790" s="1">
        <v>-4.9606539999999996E-7</v>
      </c>
      <c r="I790">
        <v>370.30790000000002</v>
      </c>
      <c r="J790">
        <v>-331.76209999999998</v>
      </c>
      <c r="K790">
        <v>1.109942</v>
      </c>
      <c r="L790">
        <v>366.99650000000003</v>
      </c>
      <c r="M790">
        <v>0.99993240000000005</v>
      </c>
      <c r="N790">
        <v>-1.1623909999999999E-2</v>
      </c>
      <c r="O790">
        <v>-4.5624370000000002E-4</v>
      </c>
      <c r="P790">
        <v>0.98686620000000003</v>
      </c>
      <c r="Q790">
        <v>0.15197769999999999</v>
      </c>
      <c r="R790">
        <v>5.4754940000000002E-2</v>
      </c>
      <c r="S790">
        <v>3.0391539999999999</v>
      </c>
      <c r="T790">
        <v>-6.4013599999999907E-2</v>
      </c>
      <c r="U790">
        <v>0.19097900000000001</v>
      </c>
      <c r="V790">
        <v>-5.5235659999999999E-2</v>
      </c>
      <c r="W790">
        <v>0.1634285</v>
      </c>
      <c r="X790">
        <v>0.98500770000000004</v>
      </c>
      <c r="Y790">
        <v>-6.3149490000000003E-2</v>
      </c>
      <c r="Z790">
        <v>1.036089E-3</v>
      </c>
      <c r="AA790">
        <v>0.99800350000000004</v>
      </c>
      <c r="AB790">
        <v>32</v>
      </c>
      <c r="AC790">
        <v>52.530699999999896</v>
      </c>
      <c r="AD790">
        <v>-1.1099424960653901</v>
      </c>
      <c r="AE790">
        <v>3.3113999999999901</v>
      </c>
      <c r="AF790">
        <v>-3.3338855459360599</v>
      </c>
      <c r="AG790">
        <v>-1.1099424960653901</v>
      </c>
      <c r="AH790">
        <v>52.505835080222099</v>
      </c>
      <c r="AI790">
        <v>91.208585595169097</v>
      </c>
      <c r="AJ790">
        <v>93.633148253321806</v>
      </c>
      <c r="AK790">
        <v>52.623278904392201</v>
      </c>
      <c r="AL790">
        <v>80.594045109442405</v>
      </c>
      <c r="AM790">
        <v>93.209578129998206</v>
      </c>
      <c r="AN790">
        <v>1.00000001090358</v>
      </c>
    </row>
    <row r="791" spans="1:40" x14ac:dyDescent="0.25">
      <c r="A791" t="str">
        <f>"20190304155610467"</f>
        <v>20190304155610467</v>
      </c>
      <c r="B791" t="str">
        <f>"1551686170455813"</f>
        <v>1551686170455813</v>
      </c>
      <c r="C791" t="s">
        <v>40</v>
      </c>
      <c r="D791">
        <v>4.3857160000000004</v>
      </c>
      <c r="E791">
        <v>0.49541059999999998</v>
      </c>
      <c r="F791" t="s">
        <v>41</v>
      </c>
      <c r="G791">
        <v>-278.63720000000001</v>
      </c>
      <c r="H791" s="1">
        <v>-7.5317429999999999E-7</v>
      </c>
      <c r="I791">
        <v>370.31619999999998</v>
      </c>
      <c r="J791">
        <v>-331.59059999999999</v>
      </c>
      <c r="K791">
        <v>1.109945</v>
      </c>
      <c r="L791">
        <v>366.99650000000003</v>
      </c>
      <c r="M791">
        <v>0.99993240000000005</v>
      </c>
      <c r="N791">
        <v>-1.1625E-2</v>
      </c>
      <c r="O791">
        <v>-4.0070280000000002E-4</v>
      </c>
      <c r="P791">
        <v>0.98683200000000004</v>
      </c>
      <c r="Q791">
        <v>0.1520832</v>
      </c>
      <c r="R791">
        <v>5.507919E-2</v>
      </c>
      <c r="S791">
        <v>3.0391539999999999</v>
      </c>
      <c r="T791">
        <v>-6.3497189999999995E-2</v>
      </c>
      <c r="U791">
        <v>0.18991089999999999</v>
      </c>
      <c r="V791">
        <v>-5.5505209999999999E-2</v>
      </c>
      <c r="W791">
        <v>0.16353429999999999</v>
      </c>
      <c r="X791">
        <v>0.98497500000000004</v>
      </c>
      <c r="Y791">
        <v>-6.2745110000000007E-2</v>
      </c>
      <c r="Z791">
        <v>1.0236030000000001E-3</v>
      </c>
      <c r="AA791">
        <v>0.9980291</v>
      </c>
      <c r="AB791">
        <v>32</v>
      </c>
      <c r="AC791">
        <v>52.953399999999903</v>
      </c>
      <c r="AD791">
        <v>-1.1099457531743</v>
      </c>
      <c r="AE791">
        <v>3.3196999999999499</v>
      </c>
      <c r="AF791">
        <v>-3.3394582771770298</v>
      </c>
      <c r="AG791">
        <v>-1.1099457531743</v>
      </c>
      <c r="AH791">
        <v>52.928901891545202</v>
      </c>
      <c r="AI791">
        <v>91.198961973486007</v>
      </c>
      <c r="AJ791">
        <v>93.6101935638155</v>
      </c>
      <c r="AK791">
        <v>53.045759647730698</v>
      </c>
      <c r="AL791">
        <v>80.587900665708005</v>
      </c>
      <c r="AM791">
        <v>93.225314731881795</v>
      </c>
      <c r="AN791">
        <v>1.00000002311931</v>
      </c>
    </row>
    <row r="792" spans="1:40" x14ac:dyDescent="0.25">
      <c r="A792" t="str">
        <f>"20190304155610479"</f>
        <v>20190304155610479</v>
      </c>
      <c r="B792" t="str">
        <f>"1551686170475331"</f>
        <v>1551686170475331</v>
      </c>
      <c r="C792" t="s">
        <v>40</v>
      </c>
      <c r="D792">
        <v>4.3981680000000001</v>
      </c>
      <c r="E792">
        <v>0.49532150000000003</v>
      </c>
      <c r="F792" t="s">
        <v>41</v>
      </c>
      <c r="G792">
        <v>-278.04610000000002</v>
      </c>
      <c r="H792" s="1">
        <v>-1.020476E-6</v>
      </c>
      <c r="I792">
        <v>370.36759999999998</v>
      </c>
      <c r="J792">
        <v>-331.41950000000003</v>
      </c>
      <c r="K792">
        <v>1.1099479999999999</v>
      </c>
      <c r="L792">
        <v>366.99650000000003</v>
      </c>
      <c r="M792">
        <v>0.9999323</v>
      </c>
      <c r="N792">
        <v>-1.162612E-2</v>
      </c>
      <c r="O792">
        <v>-3.4575410000000002E-4</v>
      </c>
      <c r="P792">
        <v>0.98675610000000002</v>
      </c>
      <c r="Q792">
        <v>0.15263170000000001</v>
      </c>
      <c r="R792">
        <v>5.4914949999999997E-2</v>
      </c>
      <c r="S792">
        <v>3.0391240000000002</v>
      </c>
      <c r="T792">
        <v>-6.299913E-2</v>
      </c>
      <c r="U792">
        <v>0.19134519999999999</v>
      </c>
      <c r="V792">
        <v>-5.5286399999999999E-2</v>
      </c>
      <c r="W792">
        <v>0.16408329999999999</v>
      </c>
      <c r="X792">
        <v>0.98489599999999999</v>
      </c>
      <c r="Y792">
        <v>-6.31602E-2</v>
      </c>
      <c r="Z792">
        <v>1.0246529999999999E-3</v>
      </c>
      <c r="AA792">
        <v>0.99800290000000003</v>
      </c>
      <c r="AB792">
        <v>32</v>
      </c>
      <c r="AC792">
        <v>53.373399999999997</v>
      </c>
      <c r="AD792">
        <v>-1.1099490204760001</v>
      </c>
      <c r="AE792">
        <v>3.37109999999995</v>
      </c>
      <c r="AF792">
        <v>-3.3880956898422498</v>
      </c>
      <c r="AG792">
        <v>-1.1099490204760001</v>
      </c>
      <c r="AH792">
        <v>53.349250864830999</v>
      </c>
      <c r="AI792">
        <v>91.189490266863402</v>
      </c>
      <c r="AJ792">
        <v>93.633851038514905</v>
      </c>
      <c r="AK792">
        <v>53.468249897207698</v>
      </c>
      <c r="AL792">
        <v>80.556014568799398</v>
      </c>
      <c r="AM792">
        <v>93.212883884610903</v>
      </c>
      <c r="AN792">
        <v>1.00000002308992</v>
      </c>
    </row>
    <row r="793" spans="1:40" x14ac:dyDescent="0.25">
      <c r="A793" t="str">
        <f>"20190304155610492"</f>
        <v>20190304155610492</v>
      </c>
      <c r="B793" t="str">
        <f>"1551686170486067"</f>
        <v>1551686170486067</v>
      </c>
      <c r="C793" t="s">
        <v>40</v>
      </c>
      <c r="D793">
        <v>4.6626349999999999</v>
      </c>
      <c r="E793">
        <v>0.49544359999999998</v>
      </c>
      <c r="F793" t="s">
        <v>41</v>
      </c>
      <c r="G793">
        <v>-275.8417</v>
      </c>
      <c r="H793" s="1">
        <v>-2.0012910000000002E-6</v>
      </c>
      <c r="I793">
        <v>370.49970000000002</v>
      </c>
      <c r="J793">
        <v>-331.22949999999997</v>
      </c>
      <c r="K793">
        <v>1.109953</v>
      </c>
      <c r="L793">
        <v>366.99650000000003</v>
      </c>
      <c r="M793">
        <v>0.9999323</v>
      </c>
      <c r="N793">
        <v>-1.16274E-2</v>
      </c>
      <c r="O793">
        <v>-2.8496430000000001E-4</v>
      </c>
      <c r="P793">
        <v>0.98665539999999996</v>
      </c>
      <c r="Q793">
        <v>0.15321879999999999</v>
      </c>
      <c r="R793">
        <v>5.5091979999999999E-2</v>
      </c>
      <c r="S793">
        <v>3.0390009999999998</v>
      </c>
      <c r="T793">
        <v>-6.0692070000000001E-2</v>
      </c>
      <c r="U793">
        <v>0.1915588</v>
      </c>
      <c r="V793">
        <v>-5.540395E-2</v>
      </c>
      <c r="W793">
        <v>0.16467029999999999</v>
      </c>
      <c r="X793">
        <v>0.98479139999999998</v>
      </c>
      <c r="Y793">
        <v>-6.3173160000000006E-2</v>
      </c>
      <c r="Z793">
        <v>1.000208E-3</v>
      </c>
      <c r="AA793">
        <v>0.9980021</v>
      </c>
      <c r="AB793">
        <v>32</v>
      </c>
      <c r="AC793">
        <v>55.387799999999899</v>
      </c>
      <c r="AD793">
        <v>-1.109955001291</v>
      </c>
      <c r="AE793">
        <v>3.5031999999999899</v>
      </c>
      <c r="AF793">
        <v>-3.5175774771752901</v>
      </c>
      <c r="AG793">
        <v>-1.109955001291</v>
      </c>
      <c r="AH793">
        <v>55.364654113754803</v>
      </c>
      <c r="AI793">
        <v>91.146206027495396</v>
      </c>
      <c r="AJ793">
        <v>93.635384628179693</v>
      </c>
      <c r="AK793">
        <v>55.487388445920999</v>
      </c>
      <c r="AL793">
        <v>80.521917966241205</v>
      </c>
      <c r="AM793">
        <v>93.220042026879</v>
      </c>
      <c r="AN793">
        <v>1.0000000034458201</v>
      </c>
    </row>
    <row r="794" spans="1:40" x14ac:dyDescent="0.25">
      <c r="A794" t="str">
        <f>"20190304155610505"</f>
        <v>20190304155610505</v>
      </c>
      <c r="B794" t="str">
        <f>"1551686170495828"</f>
        <v>1551686170495828</v>
      </c>
      <c r="C794" t="s">
        <v>40</v>
      </c>
      <c r="D794">
        <v>4.4018139999999999</v>
      </c>
      <c r="E794">
        <v>0.49539100000000003</v>
      </c>
      <c r="F794" t="s">
        <v>41</v>
      </c>
      <c r="G794">
        <v>-273.9674</v>
      </c>
      <c r="H794" s="1">
        <v>-2.8317209999999999E-6</v>
      </c>
      <c r="I794">
        <v>370.59890000000001</v>
      </c>
      <c r="J794">
        <v>-331.04180000000002</v>
      </c>
      <c r="K794">
        <v>1.1099570000000001</v>
      </c>
      <c r="L794">
        <v>366.99650000000003</v>
      </c>
      <c r="M794">
        <v>0.9999323</v>
      </c>
      <c r="N794">
        <v>-1.162879E-2</v>
      </c>
      <c r="O794">
        <v>-2.2477329999999999E-4</v>
      </c>
      <c r="P794">
        <v>0.98659669999999999</v>
      </c>
      <c r="Q794">
        <v>0.153699</v>
      </c>
      <c r="R794">
        <v>5.4803770000000002E-2</v>
      </c>
      <c r="S794">
        <v>3.0390630000000001</v>
      </c>
      <c r="T794">
        <v>-5.8908460000000003E-2</v>
      </c>
      <c r="U794">
        <v>0.19119259999999999</v>
      </c>
      <c r="V794">
        <v>-5.5056180000000003E-2</v>
      </c>
      <c r="W794">
        <v>0.16515089999999999</v>
      </c>
      <c r="X794">
        <v>0.98473040000000001</v>
      </c>
      <c r="Y794">
        <v>-6.299304E-2</v>
      </c>
      <c r="Z794">
        <v>9.7829759999999992E-4</v>
      </c>
      <c r="AA794">
        <v>0.9980135</v>
      </c>
      <c r="AB794">
        <v>32</v>
      </c>
      <c r="AC794">
        <v>57.074399999999997</v>
      </c>
      <c r="AD794">
        <v>-1.10995983172099</v>
      </c>
      <c r="AE794">
        <v>3.6023999999999798</v>
      </c>
      <c r="AF794">
        <v>-3.6138682046078201</v>
      </c>
      <c r="AG794">
        <v>-1.10995983172099</v>
      </c>
      <c r="AH794">
        <v>57.052096786099497</v>
      </c>
      <c r="AI794">
        <v>91.112331370555793</v>
      </c>
      <c r="AJ794">
        <v>93.624461484150103</v>
      </c>
      <c r="AK794">
        <v>57.177214009767702</v>
      </c>
      <c r="AL794">
        <v>80.493999158855203</v>
      </c>
      <c r="AM794">
        <v>93.200069798856504</v>
      </c>
      <c r="AN794">
        <v>0.99999998170558102</v>
      </c>
    </row>
    <row r="795" spans="1:40" x14ac:dyDescent="0.25">
      <c r="A795" t="str">
        <f>"20190304155610517"</f>
        <v>20190304155610517</v>
      </c>
      <c r="B795" t="str">
        <f>"1551686170505587"</f>
        <v>1551686170505587</v>
      </c>
      <c r="C795" t="s">
        <v>40</v>
      </c>
      <c r="D795">
        <v>4.3778610000000002</v>
      </c>
      <c r="E795">
        <v>0.49534309999999998</v>
      </c>
      <c r="F795" t="s">
        <v>41</v>
      </c>
      <c r="G795">
        <v>-272.32690000000002</v>
      </c>
      <c r="H795" s="1">
        <v>-3.5560439999999999E-6</v>
      </c>
      <c r="I795">
        <v>370.67610000000002</v>
      </c>
      <c r="J795">
        <v>-330.87580000000003</v>
      </c>
      <c r="K795">
        <v>1.109958</v>
      </c>
      <c r="L795">
        <v>366.99650000000003</v>
      </c>
      <c r="M795">
        <v>0.9999325</v>
      </c>
      <c r="N795">
        <v>-1.163E-2</v>
      </c>
      <c r="O795">
        <v>-1.717318E-4</v>
      </c>
      <c r="P795">
        <v>0.98650349999999998</v>
      </c>
      <c r="Q795">
        <v>0.1542704</v>
      </c>
      <c r="R795">
        <v>5.487802E-2</v>
      </c>
      <c r="S795">
        <v>3.0391240000000002</v>
      </c>
      <c r="T795">
        <v>-5.7452200000000002E-2</v>
      </c>
      <c r="U795">
        <v>0.1904602</v>
      </c>
      <c r="V795">
        <v>-5.507807E-2</v>
      </c>
      <c r="W795">
        <v>0.165722799999999</v>
      </c>
      <c r="X795">
        <v>0.98463310000000004</v>
      </c>
      <c r="Y795">
        <v>-6.2700110000000003E-2</v>
      </c>
      <c r="Z795">
        <v>9.5828510000000005E-4</v>
      </c>
      <c r="AA795">
        <v>0.99803200000000003</v>
      </c>
      <c r="AB795">
        <v>32</v>
      </c>
      <c r="AC795">
        <v>58.548900000000003</v>
      </c>
      <c r="AD795">
        <v>-1.1099615560439999</v>
      </c>
      <c r="AE795">
        <v>3.67959999999999</v>
      </c>
      <c r="AF795">
        <v>-3.688334958819</v>
      </c>
      <c r="AG795">
        <v>-1.1099615560439999</v>
      </c>
      <c r="AH795">
        <v>58.527315210862803</v>
      </c>
      <c r="AI795">
        <v>91.084324932257601</v>
      </c>
      <c r="AJ795">
        <v>93.605956248292699</v>
      </c>
      <c r="AK795">
        <v>58.653921055766098</v>
      </c>
      <c r="AL795">
        <v>80.460773958529799</v>
      </c>
      <c r="AM795">
        <v>93.201655174717501</v>
      </c>
      <c r="AN795">
        <v>0.99999999092518699</v>
      </c>
    </row>
    <row r="796" spans="1:40" x14ac:dyDescent="0.25">
      <c r="A796" t="str">
        <f>"20190304155610528"</f>
        <v>20190304155610528</v>
      </c>
      <c r="B796" t="str">
        <f>"1551686170526084"</f>
        <v>1551686170526084</v>
      </c>
      <c r="C796" t="s">
        <v>40</v>
      </c>
      <c r="D796">
        <v>4.2654809999999896</v>
      </c>
      <c r="E796">
        <v>0.49523470000000003</v>
      </c>
      <c r="F796" t="s">
        <v>41</v>
      </c>
      <c r="G796">
        <v>-270.37130000000002</v>
      </c>
      <c r="H796" s="1">
        <v>-4.3588329999999999E-6</v>
      </c>
      <c r="I796">
        <v>370.7955</v>
      </c>
      <c r="J796">
        <v>-330.71600000000001</v>
      </c>
      <c r="K796">
        <v>1.109958</v>
      </c>
      <c r="L796">
        <v>366.99650000000003</v>
      </c>
      <c r="M796">
        <v>0.9999325</v>
      </c>
      <c r="N796">
        <v>-1.163114E-2</v>
      </c>
      <c r="O796">
        <v>-1.208346E-4</v>
      </c>
      <c r="P796">
        <v>0.98648709999999995</v>
      </c>
      <c r="Q796">
        <v>0.15438180000000001</v>
      </c>
      <c r="R796">
        <v>5.4861210000000001E-2</v>
      </c>
      <c r="S796">
        <v>3.0391539999999999</v>
      </c>
      <c r="T796">
        <v>-5.5753589999999999E-2</v>
      </c>
      <c r="U796">
        <v>0.19082640000000001</v>
      </c>
      <c r="V796">
        <v>-5.5011749999999998E-2</v>
      </c>
      <c r="W796">
        <v>0.16583510000000001</v>
      </c>
      <c r="X796">
        <v>0.98461790000000005</v>
      </c>
      <c r="Y796">
        <v>-6.27693E-2</v>
      </c>
      <c r="Z796">
        <v>9.414111E-4</v>
      </c>
      <c r="AA796">
        <v>0.99802760000000001</v>
      </c>
      <c r="AB796">
        <v>32</v>
      </c>
      <c r="AC796">
        <v>60.344699999999897</v>
      </c>
      <c r="AD796">
        <v>-1.1099623588330001</v>
      </c>
      <c r="AE796">
        <v>3.7989999999999702</v>
      </c>
      <c r="AF796">
        <v>-3.8050099318643502</v>
      </c>
      <c r="AG796">
        <v>-1.1099623588330001</v>
      </c>
      <c r="AH796">
        <v>60.323911764857101</v>
      </c>
      <c r="AI796">
        <v>91.052035378092398</v>
      </c>
      <c r="AJ796">
        <v>93.609225002630197</v>
      </c>
      <c r="AK796">
        <v>60.453986201357203</v>
      </c>
      <c r="AL796">
        <v>80.454249362034304</v>
      </c>
      <c r="AM796">
        <v>93.197857302166398</v>
      </c>
      <c r="AN796">
        <v>0.99999999101524095</v>
      </c>
    </row>
    <row r="797" spans="1:40" x14ac:dyDescent="0.25">
      <c r="A797" t="str">
        <f>"20190304155610539"</f>
        <v>20190304155610539</v>
      </c>
      <c r="B797" t="str">
        <f>"1551686170535843"</f>
        <v>1551686170535843</v>
      </c>
      <c r="C797" t="s">
        <v>40</v>
      </c>
      <c r="D797">
        <v>4.3615440000000003</v>
      </c>
      <c r="E797">
        <v>0.49520039999999999</v>
      </c>
      <c r="F797" t="s">
        <v>41</v>
      </c>
      <c r="G797">
        <v>-271.02330000000001</v>
      </c>
      <c r="H797" s="1">
        <v>-4.1308670000000003E-6</v>
      </c>
      <c r="I797">
        <v>370.7611</v>
      </c>
      <c r="J797">
        <v>-330.55169999999998</v>
      </c>
      <c r="K797">
        <v>1.1099570000000001</v>
      </c>
      <c r="L797">
        <v>366.9966</v>
      </c>
      <c r="M797">
        <v>0.9999325</v>
      </c>
      <c r="N797">
        <v>-1.163224E-2</v>
      </c>
      <c r="O797" s="1">
        <v>-6.8270319999999896E-5</v>
      </c>
      <c r="P797">
        <v>0.98640419999999995</v>
      </c>
      <c r="Q797">
        <v>0.15484779999999901</v>
      </c>
      <c r="R797">
        <v>5.5035180000000003E-2</v>
      </c>
      <c r="S797">
        <v>3.0392760000000001</v>
      </c>
      <c r="T797">
        <v>-5.6514019999999998E-2</v>
      </c>
      <c r="U797">
        <v>0.19168089999999999</v>
      </c>
      <c r="V797">
        <v>-5.5133649999999999E-2</v>
      </c>
      <c r="W797">
        <v>0.16630110000000001</v>
      </c>
      <c r="X797">
        <v>0.98453250000000003</v>
      </c>
      <c r="Y797">
        <v>-6.2993380000000002E-2</v>
      </c>
      <c r="Z797">
        <v>9.5231470000000003E-4</v>
      </c>
      <c r="AA797">
        <v>0.9980135</v>
      </c>
      <c r="AB797">
        <v>32</v>
      </c>
      <c r="AC797">
        <v>59.528399999999898</v>
      </c>
      <c r="AD797">
        <v>-1.1099611308670001</v>
      </c>
      <c r="AE797">
        <v>3.7644999999999902</v>
      </c>
      <c r="AF797">
        <v>-3.7672597426238399</v>
      </c>
      <c r="AG797">
        <v>-1.1099611308670001</v>
      </c>
      <c r="AH797">
        <v>59.507536268196702</v>
      </c>
      <c r="AI797">
        <v>91.066448113636895</v>
      </c>
      <c r="AJ797">
        <v>93.6224053140607</v>
      </c>
      <c r="AK797">
        <v>59.636994662635203</v>
      </c>
      <c r="AL797">
        <v>80.427173739009504</v>
      </c>
      <c r="AM797">
        <v>93.205206068634496</v>
      </c>
      <c r="AN797">
        <v>1.00000000938989</v>
      </c>
    </row>
    <row r="798" spans="1:40" x14ac:dyDescent="0.25">
      <c r="A798" t="str">
        <f>"20190304155610550"</f>
        <v>20190304155610550</v>
      </c>
      <c r="B798" t="str">
        <f>"1551686170545604"</f>
        <v>1551686170545604</v>
      </c>
      <c r="C798" t="s">
        <v>40</v>
      </c>
      <c r="D798">
        <v>4.3805129999999997</v>
      </c>
      <c r="E798">
        <v>0.49515680000000001</v>
      </c>
      <c r="F798" t="s">
        <v>41</v>
      </c>
      <c r="G798">
        <v>-269.42410000000001</v>
      </c>
      <c r="H798" s="1">
        <v>-5.6138409999999996E-7</v>
      </c>
      <c r="I798">
        <v>370.86399999999998</v>
      </c>
      <c r="J798">
        <v>-330.39859999999999</v>
      </c>
      <c r="K798">
        <v>1.1099589999999999</v>
      </c>
      <c r="L798">
        <v>366.9966</v>
      </c>
      <c r="M798">
        <v>0.9999325</v>
      </c>
      <c r="N798">
        <v>-1.163324E-2</v>
      </c>
      <c r="O798" s="1">
        <v>-1.9222700000000001E-5</v>
      </c>
      <c r="P798">
        <v>0.98639149999999998</v>
      </c>
      <c r="Q798">
        <v>0.15494269999999999</v>
      </c>
      <c r="R798">
        <v>5.4997940000000002E-2</v>
      </c>
      <c r="S798">
        <v>3.0392760000000001</v>
      </c>
      <c r="T798">
        <v>-5.5187229999999997E-2</v>
      </c>
      <c r="U798">
        <v>0.1922913</v>
      </c>
      <c r="V798">
        <v>-5.504825E-2</v>
      </c>
      <c r="W798">
        <v>0.16639709999999999</v>
      </c>
      <c r="X798">
        <v>0.98452099999999998</v>
      </c>
      <c r="Y798">
        <v>-6.3144679999999995E-2</v>
      </c>
      <c r="Z798">
        <v>9.4051400000000004E-4</v>
      </c>
      <c r="AA798">
        <v>0.998004</v>
      </c>
      <c r="AB798">
        <v>32</v>
      </c>
      <c r="AC798">
        <v>60.9744999999999</v>
      </c>
      <c r="AD798">
        <v>-1.1099595613841</v>
      </c>
      <c r="AE798">
        <v>3.8674000000000301</v>
      </c>
      <c r="AF798">
        <v>-3.8672957882572798</v>
      </c>
      <c r="AG798">
        <v>-1.1099595613841</v>
      </c>
      <c r="AH798">
        <v>60.954307929489701</v>
      </c>
      <c r="AI798">
        <v>91.041130661905001</v>
      </c>
      <c r="AJ798">
        <v>93.630311568747004</v>
      </c>
      <c r="AK798">
        <v>61.086951488061999</v>
      </c>
      <c r="AL798">
        <v>80.421595069799693</v>
      </c>
      <c r="AM798">
        <v>93.200288953371398</v>
      </c>
      <c r="AN798">
        <v>0.99999995207873504</v>
      </c>
    </row>
    <row r="799" spans="1:40" x14ac:dyDescent="0.25">
      <c r="A799" t="str">
        <f>"20190304155610567"</f>
        <v>20190304155610567</v>
      </c>
      <c r="B799" t="str">
        <f>"1551686170555363"</f>
        <v>1551686170555363</v>
      </c>
      <c r="C799" t="s">
        <v>40</v>
      </c>
      <c r="D799">
        <v>4.3690389999999999</v>
      </c>
      <c r="E799">
        <v>0.49511870000000002</v>
      </c>
      <c r="F799" t="s">
        <v>41</v>
      </c>
      <c r="G799">
        <v>-268.92</v>
      </c>
      <c r="H799" s="1">
        <v>-7.8715769999999898E-7</v>
      </c>
      <c r="I799">
        <v>370.89980000000003</v>
      </c>
      <c r="J799">
        <v>-330.1567</v>
      </c>
      <c r="K799">
        <v>1.1099540000000001</v>
      </c>
      <c r="L799">
        <v>366.9966</v>
      </c>
      <c r="M799">
        <v>0.9999323</v>
      </c>
      <c r="N799">
        <v>-1.1634729999999999E-2</v>
      </c>
      <c r="O799" s="1">
        <v>5.6931639999999998E-5</v>
      </c>
      <c r="P799">
        <v>0.9863691</v>
      </c>
      <c r="Q799">
        <v>0.1550764</v>
      </c>
      <c r="R799">
        <v>5.5023120000000002E-2</v>
      </c>
      <c r="S799">
        <v>3.0392760000000001</v>
      </c>
      <c r="T799">
        <v>-5.4872270000000001E-2</v>
      </c>
      <c r="U799">
        <v>0.19296260000000001</v>
      </c>
      <c r="V799">
        <v>-5.4998159999999997E-2</v>
      </c>
      <c r="W799">
        <v>0.16653200000000001</v>
      </c>
      <c r="X799">
        <v>0.98450110000000002</v>
      </c>
      <c r="Y799">
        <v>-6.3288349999999993E-2</v>
      </c>
      <c r="Z799">
        <v>9.389337E-4</v>
      </c>
      <c r="AA799">
        <v>0.99799479999999996</v>
      </c>
      <c r="AB799">
        <v>32</v>
      </c>
      <c r="AC799">
        <v>61.2366999999999</v>
      </c>
      <c r="AD799">
        <v>-1.1099547871577</v>
      </c>
      <c r="AE799">
        <v>3.90320000000002</v>
      </c>
      <c r="AF799">
        <v>-3.8984378451952701</v>
      </c>
      <c r="AG799">
        <v>-1.1099547871577</v>
      </c>
      <c r="AH799">
        <v>61.216891370579702</v>
      </c>
      <c r="AI799">
        <v>91.036645837113497</v>
      </c>
      <c r="AJ799">
        <v>93.643811631974003</v>
      </c>
      <c r="AK799">
        <v>61.350938104806097</v>
      </c>
      <c r="AL799">
        <v>80.413757547527894</v>
      </c>
      <c r="AM799">
        <v>93.1974474578182</v>
      </c>
      <c r="AN799">
        <v>1.00000006026429</v>
      </c>
    </row>
    <row r="800" spans="1:40" x14ac:dyDescent="0.25">
      <c r="A800" t="str">
        <f>"20190304155610579"</f>
        <v>20190304155610579</v>
      </c>
      <c r="B800" t="str">
        <f>"1551686170575860"</f>
        <v>1551686170575860</v>
      </c>
      <c r="C800" t="s">
        <v>40</v>
      </c>
      <c r="D800">
        <v>4.3525910000000003</v>
      </c>
      <c r="E800">
        <v>0.49501410000000001</v>
      </c>
      <c r="F800" t="s">
        <v>41</v>
      </c>
      <c r="G800">
        <v>-268.3261</v>
      </c>
      <c r="H800" s="1">
        <v>-1.0480570000000001E-6</v>
      </c>
      <c r="I800">
        <v>370.9228</v>
      </c>
      <c r="J800">
        <v>-329.98669999999998</v>
      </c>
      <c r="K800">
        <v>1.1099540000000001</v>
      </c>
      <c r="L800">
        <v>366.99669999999998</v>
      </c>
      <c r="M800">
        <v>0.99993240000000005</v>
      </c>
      <c r="N800">
        <v>-1.163577E-2</v>
      </c>
      <c r="O800">
        <v>1.100197E-4</v>
      </c>
      <c r="P800">
        <v>0.98640349999999999</v>
      </c>
      <c r="Q800">
        <v>0.15474360000000001</v>
      </c>
      <c r="R800">
        <v>5.5344440000000002E-2</v>
      </c>
      <c r="S800">
        <v>3.0393370000000002</v>
      </c>
      <c r="T800">
        <v>-5.4560780000000003E-2</v>
      </c>
      <c r="U800">
        <v>0.1929932</v>
      </c>
      <c r="V800">
        <v>-5.5266530000000001E-2</v>
      </c>
      <c r="W800">
        <v>0.1662005</v>
      </c>
      <c r="X800">
        <v>0.98454200000000003</v>
      </c>
      <c r="Y800">
        <v>-6.3244259999999997E-2</v>
      </c>
      <c r="Z800">
        <v>9.3473449999999995E-4</v>
      </c>
      <c r="AA800">
        <v>0.99799760000000004</v>
      </c>
      <c r="AB800">
        <v>32</v>
      </c>
      <c r="AC800">
        <v>61.660599999999903</v>
      </c>
      <c r="AD800">
        <v>-1.109955048057</v>
      </c>
      <c r="AE800">
        <v>3.9261000000000199</v>
      </c>
      <c r="AF800">
        <v>-3.9180511678248799</v>
      </c>
      <c r="AG800">
        <v>-1.109955048057</v>
      </c>
      <c r="AH800">
        <v>61.641138215422103</v>
      </c>
      <c r="AI800">
        <v>91.029520710065</v>
      </c>
      <c r="AJ800">
        <v>93.636957568121701</v>
      </c>
      <c r="AK800">
        <v>61.7755052237953</v>
      </c>
      <c r="AL800">
        <v>80.433018685725102</v>
      </c>
      <c r="AM800">
        <v>93.212883973086804</v>
      </c>
      <c r="AN800">
        <v>0.99999997265124496</v>
      </c>
    </row>
    <row r="801" spans="1:40" x14ac:dyDescent="0.25">
      <c r="A801" t="str">
        <f>"20190304155610590"</f>
        <v>20190304155610590</v>
      </c>
      <c r="B801" t="str">
        <f>"1551686170585620"</f>
        <v>1551686170585620</v>
      </c>
      <c r="C801" t="s">
        <v>40</v>
      </c>
      <c r="D801">
        <v>4.3287750000000003</v>
      </c>
      <c r="E801">
        <v>0.49494519999999997</v>
      </c>
      <c r="F801" t="s">
        <v>41</v>
      </c>
      <c r="G801">
        <v>-269.57560000000001</v>
      </c>
      <c r="H801" s="1">
        <v>-4.9684039999999996E-7</v>
      </c>
      <c r="I801">
        <v>370.86559999999997</v>
      </c>
      <c r="J801">
        <v>-329.8261</v>
      </c>
      <c r="K801">
        <v>1.109955</v>
      </c>
      <c r="L801">
        <v>366.99680000000001</v>
      </c>
      <c r="M801">
        <v>0.99993240000000005</v>
      </c>
      <c r="N801">
        <v>-1.163675E-2</v>
      </c>
      <c r="O801">
        <v>1.6006739999999901E-4</v>
      </c>
      <c r="P801">
        <v>0.98639149999999998</v>
      </c>
      <c r="Q801">
        <v>0.1547335</v>
      </c>
      <c r="R801">
        <v>5.5585080000000002E-2</v>
      </c>
      <c r="S801">
        <v>3.0391849999999998</v>
      </c>
      <c r="T801">
        <v>-5.5839899999999998E-2</v>
      </c>
      <c r="U801">
        <v>0.19464110000000001</v>
      </c>
      <c r="V801">
        <v>-5.5457680000000002E-2</v>
      </c>
      <c r="W801">
        <v>0.16619159999999999</v>
      </c>
      <c r="X801">
        <v>0.98453279999999999</v>
      </c>
      <c r="Y801">
        <v>-6.3735650000000005E-2</v>
      </c>
      <c r="Z801">
        <v>9.5507329999999996E-4</v>
      </c>
      <c r="AA801">
        <v>0.99796629999999997</v>
      </c>
      <c r="AB801">
        <v>32</v>
      </c>
      <c r="AC801">
        <v>60.250499999999903</v>
      </c>
      <c r="AD801">
        <v>-1.1099554968404</v>
      </c>
      <c r="AE801">
        <v>3.8687999999999598</v>
      </c>
      <c r="AF801">
        <v>-3.8578512455958398</v>
      </c>
      <c r="AG801">
        <v>-1.1099554968404</v>
      </c>
      <c r="AH801">
        <v>60.230761191383998</v>
      </c>
      <c r="AI801">
        <v>91.053590524938102</v>
      </c>
      <c r="AJ801">
        <v>93.664855925132301</v>
      </c>
      <c r="AK801">
        <v>60.364390257267097</v>
      </c>
      <c r="AL801">
        <v>80.433536250075704</v>
      </c>
      <c r="AM801">
        <v>93.224003016807103</v>
      </c>
      <c r="AN801">
        <v>1.0000000182286899</v>
      </c>
    </row>
    <row r="802" spans="1:40" x14ac:dyDescent="0.25">
      <c r="A802" t="str">
        <f>"20190304155610601"</f>
        <v>20190304155610601</v>
      </c>
      <c r="B802" t="str">
        <f>"1551686170595379"</f>
        <v>1551686170595379</v>
      </c>
      <c r="C802" t="s">
        <v>40</v>
      </c>
      <c r="D802">
        <v>4.3414989999999998</v>
      </c>
      <c r="E802">
        <v>0.4949192</v>
      </c>
      <c r="F802" t="s">
        <v>41</v>
      </c>
      <c r="G802">
        <v>-270.10120000000001</v>
      </c>
      <c r="H802" s="1">
        <v>-4.4603089999999999E-6</v>
      </c>
      <c r="I802">
        <v>370.84930000000003</v>
      </c>
      <c r="J802">
        <v>-329.65839999999997</v>
      </c>
      <c r="K802">
        <v>1.109952</v>
      </c>
      <c r="L802">
        <v>366.99689999999998</v>
      </c>
      <c r="M802">
        <v>0.9999323</v>
      </c>
      <c r="N802">
        <v>-1.163777E-2</v>
      </c>
      <c r="O802">
        <v>2.11306E-4</v>
      </c>
      <c r="P802">
        <v>0.98638809999999999</v>
      </c>
      <c r="Q802">
        <v>0.1546575</v>
      </c>
      <c r="R802">
        <v>5.5853359999999998E-2</v>
      </c>
      <c r="S802">
        <v>3.039215</v>
      </c>
      <c r="T802">
        <v>-5.6482320000000003E-2</v>
      </c>
      <c r="U802">
        <v>0.19604489999999999</v>
      </c>
      <c r="V802">
        <v>-5.567482E-2</v>
      </c>
      <c r="W802">
        <v>0.16611679999999901</v>
      </c>
      <c r="X802">
        <v>0.98453310000000005</v>
      </c>
      <c r="Y802">
        <v>-6.4142489999999996E-2</v>
      </c>
      <c r="Z802">
        <v>9.6758239999999995E-4</v>
      </c>
      <c r="AA802">
        <v>0.9979403</v>
      </c>
      <c r="AB802">
        <v>32</v>
      </c>
      <c r="AC802">
        <v>59.557199999999902</v>
      </c>
      <c r="AD802">
        <v>-1.109956460309</v>
      </c>
      <c r="AE802">
        <v>3.8524000000000398</v>
      </c>
      <c r="AF802">
        <v>-3.83848659875204</v>
      </c>
      <c r="AG802">
        <v>-1.109956460309</v>
      </c>
      <c r="AH802">
        <v>59.537419740393197</v>
      </c>
      <c r="AI802">
        <v>91.065829509709204</v>
      </c>
      <c r="AJ802">
        <v>93.688858539001203</v>
      </c>
      <c r="AK802">
        <v>59.671352691692398</v>
      </c>
      <c r="AL802">
        <v>80.437881736791098</v>
      </c>
      <c r="AM802">
        <v>93.236598567120097</v>
      </c>
      <c r="AN802">
        <v>0.99999995090993998</v>
      </c>
    </row>
    <row r="803" spans="1:40" x14ac:dyDescent="0.25">
      <c r="A803" t="str">
        <f>"20190304155610611"</f>
        <v>20190304155610611</v>
      </c>
      <c r="B803" t="str">
        <f>"1551686170605139"</f>
        <v>1551686170605139</v>
      </c>
      <c r="C803" t="s">
        <v>40</v>
      </c>
      <c r="D803">
        <v>4.5119669999999896</v>
      </c>
      <c r="E803">
        <v>0.49475960000000002</v>
      </c>
      <c r="F803" t="s">
        <v>41</v>
      </c>
      <c r="G803">
        <v>-270.33</v>
      </c>
      <c r="H803" s="1">
        <v>-4.381297E-6</v>
      </c>
      <c r="I803">
        <v>370.84289999999999</v>
      </c>
      <c r="J803">
        <v>-329.51310000000001</v>
      </c>
      <c r="K803">
        <v>1.1099509999999999</v>
      </c>
      <c r="L803">
        <v>366.99689999999998</v>
      </c>
      <c r="M803">
        <v>0.9999323</v>
      </c>
      <c r="N803">
        <v>-1.163865E-2</v>
      </c>
      <c r="O803">
        <v>2.5527509999999999E-4</v>
      </c>
      <c r="P803">
        <v>0.98638570000000003</v>
      </c>
      <c r="Q803">
        <v>0.15461529999999901</v>
      </c>
      <c r="R803">
        <v>5.6013519999999997E-2</v>
      </c>
      <c r="S803">
        <v>3.0391849999999998</v>
      </c>
      <c r="T803">
        <v>-5.6859140000000002E-2</v>
      </c>
      <c r="U803">
        <v>0.19702149999999999</v>
      </c>
      <c r="V803">
        <v>-5.5791170000000001E-2</v>
      </c>
      <c r="W803">
        <v>0.166075</v>
      </c>
      <c r="X803">
        <v>0.98453360000000001</v>
      </c>
      <c r="Y803">
        <v>-6.4418310000000006E-2</v>
      </c>
      <c r="Z803">
        <v>9.7543399999999996E-4</v>
      </c>
      <c r="AA803">
        <v>0.99792250000000005</v>
      </c>
      <c r="AB803">
        <v>32</v>
      </c>
      <c r="AC803">
        <v>59.183100000000003</v>
      </c>
      <c r="AD803">
        <v>-1.109955381297</v>
      </c>
      <c r="AE803">
        <v>3.8460000000000001</v>
      </c>
      <c r="AF803">
        <v>-3.8295495582145902</v>
      </c>
      <c r="AG803">
        <v>-1.109955381297</v>
      </c>
      <c r="AH803">
        <v>59.163357611250497</v>
      </c>
      <c r="AI803">
        <v>91.072547938647503</v>
      </c>
      <c r="AJ803">
        <v>93.703497716775999</v>
      </c>
      <c r="AK803">
        <v>59.297557577053702</v>
      </c>
      <c r="AL803">
        <v>80.440310764092303</v>
      </c>
      <c r="AM803">
        <v>93.243346386379301</v>
      </c>
      <c r="AN803">
        <v>0.99999998490196396</v>
      </c>
    </row>
    <row r="804" spans="1:40" x14ac:dyDescent="0.25">
      <c r="A804" t="str">
        <f>"20190304155610623"</f>
        <v>20190304155610623</v>
      </c>
      <c r="B804" t="str">
        <f>"1551686170615876"</f>
        <v>1551686170615876</v>
      </c>
      <c r="C804" t="s">
        <v>40</v>
      </c>
      <c r="D804">
        <v>4.3757769999999896</v>
      </c>
      <c r="E804">
        <v>0.49473590000000001</v>
      </c>
      <c r="F804" t="s">
        <v>41</v>
      </c>
      <c r="G804">
        <v>-270.23219999999998</v>
      </c>
      <c r="H804" s="1">
        <v>-4.4201140000000002E-6</v>
      </c>
      <c r="I804">
        <v>370.87400000000002</v>
      </c>
      <c r="J804">
        <v>-329.34160000000003</v>
      </c>
      <c r="K804">
        <v>1.109947</v>
      </c>
      <c r="L804">
        <v>366.99700000000001</v>
      </c>
      <c r="M804">
        <v>0.9999323</v>
      </c>
      <c r="N804">
        <v>-1.1639719999999999E-2</v>
      </c>
      <c r="O804">
        <v>3.0615189999999999E-4</v>
      </c>
      <c r="P804">
        <v>0.98637549999999996</v>
      </c>
      <c r="Q804">
        <v>0.15464359999999999</v>
      </c>
      <c r="R804">
        <v>5.6116590000000001E-2</v>
      </c>
      <c r="S804">
        <v>3.0390320000000002</v>
      </c>
      <c r="T804">
        <v>-5.6901689999999998E-2</v>
      </c>
      <c r="U804">
        <v>0.19876099999999999</v>
      </c>
      <c r="V804">
        <v>-5.5843480000000001E-2</v>
      </c>
      <c r="W804">
        <v>0.16610459999999999</v>
      </c>
      <c r="X804">
        <v>0.98452569999999995</v>
      </c>
      <c r="Y804">
        <v>-6.4939369999999996E-2</v>
      </c>
      <c r="Z804">
        <v>9.8349029999999994E-4</v>
      </c>
      <c r="AA804">
        <v>0.99788869999999996</v>
      </c>
      <c r="AB804">
        <v>32</v>
      </c>
      <c r="AC804">
        <v>59.109400000000001</v>
      </c>
      <c r="AD804">
        <v>-1.1099514201139999</v>
      </c>
      <c r="AE804">
        <v>3.8770000000000602</v>
      </c>
      <c r="AF804">
        <v>-3.8575477548781199</v>
      </c>
      <c r="AG804">
        <v>-1.1099514201139999</v>
      </c>
      <c r="AH804">
        <v>59.089837835433997</v>
      </c>
      <c r="AI804">
        <v>91.073839736344496</v>
      </c>
      <c r="AJ804">
        <v>93.7351265222362</v>
      </c>
      <c r="AK804">
        <v>59.226021327234697</v>
      </c>
      <c r="AL804">
        <v>80.438591483916696</v>
      </c>
      <c r="AM804">
        <v>93.246406852111903</v>
      </c>
      <c r="AN804">
        <v>1.00000004318007</v>
      </c>
    </row>
    <row r="805" spans="1:40" x14ac:dyDescent="0.25">
      <c r="A805" t="str">
        <f>"20190304155610636"</f>
        <v>20190304155610636</v>
      </c>
      <c r="B805" t="str">
        <f>"1551686170625635"</f>
        <v>1551686170625635</v>
      </c>
      <c r="C805" t="s">
        <v>40</v>
      </c>
      <c r="D805">
        <v>4.3709670000000003</v>
      </c>
      <c r="E805">
        <v>0.49473590000000001</v>
      </c>
      <c r="F805" t="s">
        <v>41</v>
      </c>
      <c r="G805">
        <v>-269.96879999999999</v>
      </c>
      <c r="H805" s="1">
        <v>-4.5138080000000001E-6</v>
      </c>
      <c r="I805">
        <v>370.89690000000002</v>
      </c>
      <c r="J805">
        <v>-329.16649999999998</v>
      </c>
      <c r="K805">
        <v>1.109939</v>
      </c>
      <c r="L805">
        <v>366.99709999999999</v>
      </c>
      <c r="M805">
        <v>0.9999323</v>
      </c>
      <c r="N805">
        <v>-1.164081E-2</v>
      </c>
      <c r="O805">
        <v>3.5702830000000001E-4</v>
      </c>
      <c r="P805">
        <v>0.98638899999999996</v>
      </c>
      <c r="Q805">
        <v>0.15454889999999999</v>
      </c>
      <c r="R805">
        <v>5.6138609999999999E-2</v>
      </c>
      <c r="S805">
        <v>3.0389710000000001</v>
      </c>
      <c r="T805">
        <v>-5.6812290000000001E-2</v>
      </c>
      <c r="U805">
        <v>0.1996155</v>
      </c>
      <c r="V805">
        <v>-5.5814780000000001E-2</v>
      </c>
      <c r="W805">
        <v>0.16601150000000001</v>
      </c>
      <c r="X805">
        <v>0.98454299999999995</v>
      </c>
      <c r="Y805">
        <v>-6.5169270000000001E-2</v>
      </c>
      <c r="Z805">
        <v>9.857186E-4</v>
      </c>
      <c r="AA805">
        <v>0.99787369999999997</v>
      </c>
      <c r="AB805">
        <v>32</v>
      </c>
      <c r="AC805">
        <v>59.197699999999998</v>
      </c>
      <c r="AD805">
        <v>-1.109943513808</v>
      </c>
      <c r="AE805">
        <v>3.8998000000000199</v>
      </c>
      <c r="AF805">
        <v>-3.8773058750990899</v>
      </c>
      <c r="AG805">
        <v>-1.109943513808</v>
      </c>
      <c r="AH805">
        <v>59.178374161277503</v>
      </c>
      <c r="AI805">
        <v>91.072209422958494</v>
      </c>
      <c r="AJ805">
        <v>93.748602428317</v>
      </c>
      <c r="AK805">
        <v>59.3156424885129</v>
      </c>
      <c r="AL805">
        <v>80.444000536166698</v>
      </c>
      <c r="AM805">
        <v>93.244685077688899</v>
      </c>
      <c r="AN805">
        <v>1.00000001332384</v>
      </c>
    </row>
    <row r="806" spans="1:40" x14ac:dyDescent="0.25">
      <c r="A806" t="str">
        <f>"20190304155610657"</f>
        <v>20190304155610657</v>
      </c>
      <c r="B806" t="str">
        <f>"1551686170645155"</f>
        <v>1551686170645155</v>
      </c>
      <c r="C806" t="s">
        <v>40</v>
      </c>
      <c r="D806">
        <v>4.5386810000000004</v>
      </c>
      <c r="E806">
        <v>0.51194819999999996</v>
      </c>
      <c r="F806" t="s">
        <v>41</v>
      </c>
      <c r="G806">
        <v>-270.08269999999999</v>
      </c>
      <c r="H806" s="1">
        <v>-4.4724289999999999E-6</v>
      </c>
      <c r="I806">
        <v>370.88220000000001</v>
      </c>
      <c r="J806">
        <v>-328.85509999999999</v>
      </c>
      <c r="K806">
        <v>1.1099349999999999</v>
      </c>
      <c r="L806">
        <v>366.9973</v>
      </c>
      <c r="M806">
        <v>0.9999323</v>
      </c>
      <c r="N806">
        <v>-1.164276E-2</v>
      </c>
      <c r="O806">
        <v>4.4477679999999997E-4</v>
      </c>
      <c r="P806">
        <v>0.98649310000000001</v>
      </c>
      <c r="Q806">
        <v>0.153953799999999</v>
      </c>
      <c r="R806">
        <v>5.5948530000000003E-2</v>
      </c>
      <c r="S806">
        <v>3.0389710000000001</v>
      </c>
      <c r="T806">
        <v>-5.7089809999999998E-2</v>
      </c>
      <c r="U806">
        <v>0.19982910000000001</v>
      </c>
      <c r="V806">
        <v>-5.5537280000000001E-2</v>
      </c>
      <c r="W806">
        <v>0.16542000000000001</v>
      </c>
      <c r="X806">
        <v>0.98465820000000004</v>
      </c>
      <c r="Y806">
        <v>-6.5151399999999998E-2</v>
      </c>
      <c r="Z806">
        <v>9.8782410000000003E-4</v>
      </c>
      <c r="AA806">
        <v>0.99787490000000001</v>
      </c>
      <c r="AB806">
        <v>32</v>
      </c>
      <c r="AC806">
        <v>58.772399999999998</v>
      </c>
      <c r="AD806">
        <v>-1.1099394724289999</v>
      </c>
      <c r="AE806">
        <v>3.8849000000000098</v>
      </c>
      <c r="AF806">
        <v>-3.8573874660563798</v>
      </c>
      <c r="AG806">
        <v>-1.1099394724289999</v>
      </c>
      <c r="AH806">
        <v>58.753258567135902</v>
      </c>
      <c r="AI806">
        <v>91.079952226209102</v>
      </c>
      <c r="AJ806">
        <v>93.756307175740503</v>
      </c>
      <c r="AK806">
        <v>58.8902096782858</v>
      </c>
      <c r="AL806">
        <v>80.478365711627404</v>
      </c>
      <c r="AM806">
        <v>93.228210430649696</v>
      </c>
      <c r="AN806">
        <v>0.99999996834851801</v>
      </c>
    </row>
    <row r="807" spans="1:40" x14ac:dyDescent="0.25">
      <c r="A807" t="str">
        <f>"20190304155610669"</f>
        <v>20190304155610669</v>
      </c>
      <c r="B807" t="str">
        <f>"1551686170665652"</f>
        <v>1551686170665652</v>
      </c>
      <c r="C807" t="s">
        <v>40</v>
      </c>
      <c r="D807">
        <v>4.3387599999999997</v>
      </c>
      <c r="E807">
        <v>0.55488630000000005</v>
      </c>
      <c r="F807" t="s">
        <v>41</v>
      </c>
      <c r="G807">
        <v>-269.8793</v>
      </c>
      <c r="H807" s="1">
        <v>-4.0332170000000001E-7</v>
      </c>
      <c r="I807">
        <v>368.20249999999999</v>
      </c>
      <c r="J807">
        <v>-328.6814</v>
      </c>
      <c r="K807">
        <v>1.109934</v>
      </c>
      <c r="L807">
        <v>366.99740000000003</v>
      </c>
      <c r="M807">
        <v>0.99993220000000005</v>
      </c>
      <c r="N807">
        <v>-1.1643860000000001E-2</v>
      </c>
      <c r="O807">
        <v>4.9332409999999999E-4</v>
      </c>
      <c r="P807">
        <v>0.98652110000000004</v>
      </c>
      <c r="Q807">
        <v>0.15386250000000001</v>
      </c>
      <c r="R807">
        <v>5.5702950000000001E-2</v>
      </c>
      <c r="S807">
        <v>3.0465390000000001</v>
      </c>
      <c r="T807">
        <v>-5.7336329999999998E-2</v>
      </c>
      <c r="U807">
        <v>6.2255860000000003E-2</v>
      </c>
      <c r="V807">
        <v>-5.5242800000000002E-2</v>
      </c>
      <c r="W807">
        <v>0.16533010000000001</v>
      </c>
      <c r="X807">
        <v>0.98468990000000001</v>
      </c>
      <c r="Y807">
        <v>-1.9931730000000002E-2</v>
      </c>
      <c r="Z807">
        <v>3.0005759999999999E-4</v>
      </c>
      <c r="AA807">
        <v>0.9998013</v>
      </c>
      <c r="AB807">
        <v>32</v>
      </c>
      <c r="AC807">
        <v>58.802100000000003</v>
      </c>
      <c r="AD807">
        <v>-1.1099344033217</v>
      </c>
      <c r="AE807">
        <v>1.2050999999999501</v>
      </c>
      <c r="AF807">
        <v>-1.1756706879207801</v>
      </c>
      <c r="AG807">
        <v>-1.1099344033217</v>
      </c>
      <c r="AH807">
        <v>58.781752574517597</v>
      </c>
      <c r="AI807">
        <v>91.081531024825196</v>
      </c>
      <c r="AJ807">
        <v>91.145797559845406</v>
      </c>
      <c r="AK807">
        <v>58.803984488110302</v>
      </c>
      <c r="AL807">
        <v>80.4835888592917</v>
      </c>
      <c r="AM807">
        <v>93.211025975553895</v>
      </c>
      <c r="AN807">
        <v>1.0000000040399299</v>
      </c>
    </row>
    <row r="808" spans="1:40" x14ac:dyDescent="0.25">
      <c r="A808" t="str">
        <f>"20190304155610684"</f>
        <v>20190304155610684</v>
      </c>
      <c r="B808" t="str">
        <f>"1551686170675412"</f>
        <v>1551686170675412</v>
      </c>
      <c r="C808" t="s">
        <v>40</v>
      </c>
      <c r="D808">
        <v>4.351235</v>
      </c>
      <c r="E808">
        <v>0.55538350000000003</v>
      </c>
      <c r="F808" t="s">
        <v>41</v>
      </c>
      <c r="G808">
        <v>-235.29249999999999</v>
      </c>
      <c r="H808">
        <v>7.9986799999999997E-2</v>
      </c>
      <c r="I808">
        <v>358.46420000000001</v>
      </c>
      <c r="J808">
        <v>-328.48349999999999</v>
      </c>
      <c r="K808">
        <v>1.1099330000000001</v>
      </c>
      <c r="L808">
        <v>366.99759999999998</v>
      </c>
      <c r="M808">
        <v>0.99993209999999999</v>
      </c>
      <c r="N808">
        <v>-1.164522E-2</v>
      </c>
      <c r="O808">
        <v>5.4670010000000004E-4</v>
      </c>
      <c r="P808">
        <v>0.98658520000000005</v>
      </c>
      <c r="Q808">
        <v>0.1535791</v>
      </c>
      <c r="R808">
        <v>5.5347420000000001E-2</v>
      </c>
      <c r="S808">
        <v>3.0620419999999999</v>
      </c>
      <c r="T808">
        <v>-3.3769970000000003E-2</v>
      </c>
      <c r="U808">
        <v>-0.27978520000000001</v>
      </c>
      <c r="V808">
        <v>-5.483362E-2</v>
      </c>
      <c r="W808">
        <v>0.16504929999999901</v>
      </c>
      <c r="X808">
        <v>0.98475990000000002</v>
      </c>
      <c r="Y808">
        <v>9.1526079999999996E-2</v>
      </c>
      <c r="Z808">
        <v>-1.0373800000000001E-3</v>
      </c>
      <c r="AA808">
        <v>0.99580219999999997</v>
      </c>
      <c r="AB808">
        <v>32</v>
      </c>
      <c r="AC808">
        <v>93.191000000000003</v>
      </c>
      <c r="AD808">
        <v>-1.0299461999999999</v>
      </c>
      <c r="AE808">
        <v>-8.5333999999999701</v>
      </c>
      <c r="AF808">
        <v>8.5833100018110997</v>
      </c>
      <c r="AG808">
        <v>-1.0299461999999999</v>
      </c>
      <c r="AH808">
        <v>93.1750341724847</v>
      </c>
      <c r="AI808">
        <v>90.630645214213402</v>
      </c>
      <c r="AJ808">
        <v>84.736751581008406</v>
      </c>
      <c r="AK808">
        <v>93.575215697351098</v>
      </c>
      <c r="AL808">
        <v>80.499901861093804</v>
      </c>
      <c r="AM808">
        <v>93.1870652277468</v>
      </c>
      <c r="AN808">
        <v>1.0000000289804001</v>
      </c>
    </row>
    <row r="809" spans="1:40" x14ac:dyDescent="0.25">
      <c r="A809" t="str">
        <f>"20190304155610702"</f>
        <v>20190304155610702</v>
      </c>
      <c r="B809" t="str">
        <f>"1551686170695907"</f>
        <v>1551686170695907</v>
      </c>
      <c r="C809" t="s">
        <v>40</v>
      </c>
      <c r="D809">
        <v>4.3308839999999904</v>
      </c>
      <c r="E809">
        <v>0.5567455</v>
      </c>
      <c r="F809" t="s">
        <v>45</v>
      </c>
      <c r="G809">
        <v>-187.1481</v>
      </c>
      <c r="H809" s="1">
        <v>-2.9137530000000001E-6</v>
      </c>
      <c r="I809">
        <v>353.8544</v>
      </c>
      <c r="J809">
        <v>-328.20800000000003</v>
      </c>
      <c r="K809">
        <v>1.109931</v>
      </c>
      <c r="L809">
        <v>366.99790000000002</v>
      </c>
      <c r="M809">
        <v>0.99993209999999999</v>
      </c>
      <c r="N809">
        <v>-1.164711E-2</v>
      </c>
      <c r="O809">
        <v>6.187826E-4</v>
      </c>
      <c r="P809">
        <v>0.98658659999999998</v>
      </c>
      <c r="Q809">
        <v>0.1537461</v>
      </c>
      <c r="R809">
        <v>5.4857940000000001E-2</v>
      </c>
      <c r="S809">
        <v>3.0605159999999998</v>
      </c>
      <c r="T809">
        <v>-2.4034860000000002E-2</v>
      </c>
      <c r="U809">
        <v>-0.2846069</v>
      </c>
      <c r="V809">
        <v>-5.4272790000000001E-2</v>
      </c>
      <c r="W809">
        <v>0.16521910000000001</v>
      </c>
      <c r="X809">
        <v>0.98476249999999999</v>
      </c>
      <c r="Y809">
        <v>9.3202640000000003E-2</v>
      </c>
      <c r="Z809">
        <v>-9.06812E-4</v>
      </c>
      <c r="AA809">
        <v>0.99564680000000005</v>
      </c>
      <c r="AB809">
        <v>32</v>
      </c>
      <c r="AC809">
        <v>141.0599</v>
      </c>
      <c r="AD809">
        <v>-1.109933913753</v>
      </c>
      <c r="AE809">
        <v>-13.1435</v>
      </c>
      <c r="AF809">
        <v>13.2299767382691</v>
      </c>
      <c r="AG809">
        <v>-1.109933913753</v>
      </c>
      <c r="AH809">
        <v>141.04308212746699</v>
      </c>
      <c r="AI809">
        <v>90.448907475419603</v>
      </c>
      <c r="AJ809">
        <v>84.641280522622694</v>
      </c>
      <c r="AK809">
        <v>141.66656364083701</v>
      </c>
      <c r="AL809">
        <v>80.490037661674805</v>
      </c>
      <c r="AM809">
        <v>93.154526265520701</v>
      </c>
      <c r="AN809">
        <v>1.00000003407272</v>
      </c>
    </row>
    <row r="810" spans="1:40" x14ac:dyDescent="0.25">
      <c r="A810" t="str">
        <f>"20190304155610716"</f>
        <v>20190304155610716</v>
      </c>
      <c r="B810" t="str">
        <f>"1551686170705667"</f>
        <v>1551686170705667</v>
      </c>
      <c r="C810" t="s">
        <v>40</v>
      </c>
      <c r="D810">
        <v>4.3902799999999997</v>
      </c>
      <c r="E810">
        <v>0.55762529999999999</v>
      </c>
      <c r="F810" t="s">
        <v>51</v>
      </c>
      <c r="G810">
        <v>28.51962</v>
      </c>
      <c r="H810">
        <v>-0.1</v>
      </c>
      <c r="I810">
        <v>332.38709999999998</v>
      </c>
      <c r="J810">
        <v>-328.0059</v>
      </c>
      <c r="K810">
        <v>1.1099330000000001</v>
      </c>
      <c r="L810">
        <v>366.99799999999999</v>
      </c>
      <c r="M810">
        <v>0.99993200000000004</v>
      </c>
      <c r="N810">
        <v>-1.1648469999999999E-2</v>
      </c>
      <c r="O810">
        <v>6.7036859999999995E-4</v>
      </c>
      <c r="P810">
        <v>0.98658270000000003</v>
      </c>
      <c r="Q810">
        <v>0.15382750000000001</v>
      </c>
      <c r="R810">
        <v>5.469711E-2</v>
      </c>
      <c r="S810">
        <v>3.0588989999999998</v>
      </c>
      <c r="T810">
        <v>-1.037502E-2</v>
      </c>
      <c r="U810">
        <v>-0.29678339999999998</v>
      </c>
      <c r="V810">
        <v>-5.4060249999999997E-2</v>
      </c>
      <c r="W810">
        <v>0.1653019</v>
      </c>
      <c r="X810">
        <v>0.98476030000000003</v>
      </c>
      <c r="Y810">
        <v>9.7234260000000003E-2</v>
      </c>
      <c r="Z810">
        <v>-7.2665649999999996E-4</v>
      </c>
      <c r="AA810">
        <v>0.99526130000000002</v>
      </c>
      <c r="AB810">
        <v>32</v>
      </c>
      <c r="AC810">
        <v>356.52551999999997</v>
      </c>
      <c r="AD810">
        <v>-1.2099329999999999</v>
      </c>
      <c r="AE810">
        <v>-34.610900000000001</v>
      </c>
      <c r="AF810">
        <v>34.849514318797603</v>
      </c>
      <c r="AG810">
        <v>-1.2099329999999999</v>
      </c>
      <c r="AH810">
        <v>356.49816876977502</v>
      </c>
      <c r="AI810">
        <v>90.193535116984606</v>
      </c>
      <c r="AJ810">
        <v>84.416784733295501</v>
      </c>
      <c r="AK810">
        <v>358.19952110845099</v>
      </c>
      <c r="AL810">
        <v>80.485227474002301</v>
      </c>
      <c r="AM810">
        <v>93.142204499146999</v>
      </c>
      <c r="AN810">
        <v>1.00000003861488</v>
      </c>
    </row>
    <row r="811" spans="1:40" x14ac:dyDescent="0.25">
      <c r="A811" t="str">
        <f>"20190304155610728"</f>
        <v>20190304155610728</v>
      </c>
      <c r="B811" t="str">
        <f>"1551686170715428"</f>
        <v>1551686170715428</v>
      </c>
      <c r="C811" t="s">
        <v>40</v>
      </c>
      <c r="D811">
        <v>4.3145600000000002</v>
      </c>
      <c r="E811">
        <v>0.55798130000000001</v>
      </c>
      <c r="F811" t="s">
        <v>46</v>
      </c>
      <c r="G811">
        <v>0</v>
      </c>
      <c r="H811">
        <v>0</v>
      </c>
      <c r="I811">
        <v>0</v>
      </c>
      <c r="J811">
        <v>-327.84179999999998</v>
      </c>
      <c r="K811">
        <v>1.109931</v>
      </c>
      <c r="L811">
        <v>366.9982</v>
      </c>
      <c r="M811">
        <v>0.99993189999999998</v>
      </c>
      <c r="N811">
        <v>-1.164956E-2</v>
      </c>
      <c r="O811">
        <v>7.1128789999999901E-4</v>
      </c>
      <c r="P811">
        <v>0.98659410000000003</v>
      </c>
      <c r="Q811">
        <v>0.153893899999999</v>
      </c>
      <c r="R811">
        <v>5.4306640000000003E-2</v>
      </c>
      <c r="S811">
        <v>3.0581969999999998</v>
      </c>
      <c r="T811">
        <v>-3.5547019999999999E-3</v>
      </c>
      <c r="U811">
        <v>-0.30401610000000001</v>
      </c>
      <c r="V811">
        <v>-5.3629040000000003E-2</v>
      </c>
      <c r="W811">
        <v>0.16536960000000001</v>
      </c>
      <c r="X811">
        <v>0.98477239999999999</v>
      </c>
      <c r="Y811">
        <v>9.9629690000000007E-2</v>
      </c>
      <c r="Z811">
        <v>-6.320885E-4</v>
      </c>
      <c r="AA811">
        <v>0.99502440000000003</v>
      </c>
      <c r="AB811">
        <v>32</v>
      </c>
      <c r="AC811">
        <v>3.0581969999999998</v>
      </c>
      <c r="AD811">
        <v>-3.5547019999999999E-3</v>
      </c>
      <c r="AE811">
        <v>-0.30401610000000001</v>
      </c>
      <c r="AF811">
        <v>0.30619101956571398</v>
      </c>
      <c r="AG811">
        <v>-3.5547019999999999E-3</v>
      </c>
      <c r="AH811">
        <v>3.0579758775444201</v>
      </c>
      <c r="AI811">
        <v>90.066271280092806</v>
      </c>
      <c r="AJ811">
        <v>84.282108404029799</v>
      </c>
      <c r="AK811">
        <v>3.07326895080997</v>
      </c>
      <c r="AL811">
        <v>80.481293369125396</v>
      </c>
      <c r="AM811">
        <v>93.117152198009407</v>
      </c>
      <c r="AN811">
        <v>0.99999992916861802</v>
      </c>
    </row>
    <row r="812" spans="1:40" x14ac:dyDescent="0.25">
      <c r="A812" t="str">
        <f>"20190304155610739"</f>
        <v>20190304155610739</v>
      </c>
      <c r="B812" t="str">
        <f>"1551686170735924"</f>
        <v>1551686170735924</v>
      </c>
      <c r="C812" t="s">
        <v>40</v>
      </c>
      <c r="D812">
        <v>4.3420339999999999</v>
      </c>
      <c r="E812">
        <v>0.55889029999999995</v>
      </c>
      <c r="F812" t="s">
        <v>46</v>
      </c>
      <c r="G812">
        <v>0</v>
      </c>
      <c r="H812">
        <v>0</v>
      </c>
      <c r="I812">
        <v>0</v>
      </c>
      <c r="J812">
        <v>-327.66980000000001</v>
      </c>
      <c r="K812">
        <v>1.109926</v>
      </c>
      <c r="L812">
        <v>366.9984</v>
      </c>
      <c r="M812">
        <v>0.99993189999999998</v>
      </c>
      <c r="N812">
        <v>-1.165069E-2</v>
      </c>
      <c r="O812">
        <v>7.5184340000000001E-4</v>
      </c>
      <c r="P812">
        <v>0.98658460000000003</v>
      </c>
      <c r="Q812">
        <v>0.15399669999999999</v>
      </c>
      <c r="R812">
        <v>5.4182130000000002E-2</v>
      </c>
      <c r="S812">
        <v>3.058319</v>
      </c>
      <c r="T812">
        <v>-3.5614969999999998E-3</v>
      </c>
      <c r="U812">
        <v>-0.30801390000000001</v>
      </c>
      <c r="V812">
        <v>-5.3463740000000003E-2</v>
      </c>
      <c r="W812">
        <v>0.1654735</v>
      </c>
      <c r="X812">
        <v>0.98476399999999997</v>
      </c>
      <c r="Y812">
        <v>0.1009538</v>
      </c>
      <c r="Z812">
        <v>-6.4036609999999999E-4</v>
      </c>
      <c r="AA812">
        <v>0.99489090000000002</v>
      </c>
      <c r="AB812">
        <v>32</v>
      </c>
      <c r="AC812">
        <v>3.058319</v>
      </c>
      <c r="AD812">
        <v>-3.5614969999999998E-3</v>
      </c>
      <c r="AE812">
        <v>-0.30801390000000001</v>
      </c>
      <c r="AF812">
        <v>0.31031292923899401</v>
      </c>
      <c r="AG812">
        <v>-3.5614969999999998E-3</v>
      </c>
      <c r="AH812">
        <v>3.0580824360750398</v>
      </c>
      <c r="AI812">
        <v>90.066386740889499</v>
      </c>
      <c r="AJ812">
        <v>84.205855619518502</v>
      </c>
      <c r="AK812">
        <v>3.0737883766037601</v>
      </c>
      <c r="AL812">
        <v>80.475257791807906</v>
      </c>
      <c r="AM812">
        <v>93.1075895614008</v>
      </c>
      <c r="AN812">
        <v>0.999999993196518</v>
      </c>
    </row>
    <row r="813" spans="1:40" x14ac:dyDescent="0.25">
      <c r="A813" t="str">
        <f>"20190304155610751"</f>
        <v>20190304155610751</v>
      </c>
      <c r="B813" t="str">
        <f>"1551686170745684"</f>
        <v>1551686170745684</v>
      </c>
      <c r="C813" t="s">
        <v>40</v>
      </c>
      <c r="D813">
        <v>4.4095979999999999</v>
      </c>
      <c r="E813">
        <v>0.55824849999999904</v>
      </c>
      <c r="F813" t="s">
        <v>51</v>
      </c>
      <c r="G813">
        <v>77.548459999999906</v>
      </c>
      <c r="H813">
        <v>-0.1</v>
      </c>
      <c r="I813">
        <v>325.18520000000001</v>
      </c>
      <c r="J813">
        <v>-327.50389999999999</v>
      </c>
      <c r="K813">
        <v>1.1099239999999999</v>
      </c>
      <c r="L813">
        <v>366.99849999999998</v>
      </c>
      <c r="M813">
        <v>0.99993180000000004</v>
      </c>
      <c r="N813">
        <v>-1.165178E-2</v>
      </c>
      <c r="O813">
        <v>7.8989369999999998E-4</v>
      </c>
      <c r="P813">
        <v>0.9865372</v>
      </c>
      <c r="Q813">
        <v>0.1543272</v>
      </c>
      <c r="R813">
        <v>5.4105350000000003E-2</v>
      </c>
      <c r="S813">
        <v>3.0595400000000001</v>
      </c>
      <c r="T813">
        <v>-9.1353649999999995E-3</v>
      </c>
      <c r="U813">
        <v>-0.31570429999999999</v>
      </c>
      <c r="V813">
        <v>-5.33485E-2</v>
      </c>
      <c r="W813">
        <v>0.16580510000000001</v>
      </c>
      <c r="X813">
        <v>0.98471450000000005</v>
      </c>
      <c r="Y813">
        <v>0.1034253</v>
      </c>
      <c r="Z813">
        <v>-7.5133759999999905E-4</v>
      </c>
      <c r="AA813">
        <v>0.99463699999999999</v>
      </c>
      <c r="AB813">
        <v>32</v>
      </c>
      <c r="AC813">
        <v>405.05236000000002</v>
      </c>
      <c r="AD813">
        <v>-1.209924</v>
      </c>
      <c r="AE813">
        <v>-41.813299999999899</v>
      </c>
      <c r="AF813">
        <v>42.132885010240201</v>
      </c>
      <c r="AG813">
        <v>-1.209924</v>
      </c>
      <c r="AH813">
        <v>405.01562760685403</v>
      </c>
      <c r="AI813">
        <v>90.170243433129102</v>
      </c>
      <c r="AJ813">
        <v>84.061008083341406</v>
      </c>
      <c r="AK813">
        <v>407.203023713167</v>
      </c>
      <c r="AL813">
        <v>80.455992645475902</v>
      </c>
      <c r="AM813">
        <v>93.101059875161795</v>
      </c>
      <c r="AN813">
        <v>1.00000002007425</v>
      </c>
    </row>
    <row r="814" spans="1:40" x14ac:dyDescent="0.25">
      <c r="A814" t="str">
        <f>"20190304155610762"</f>
        <v>20190304155610762</v>
      </c>
      <c r="B814" t="str">
        <f>"1551686170755444"</f>
        <v>1551686170755444</v>
      </c>
      <c r="C814" t="s">
        <v>40</v>
      </c>
      <c r="D814">
        <v>4.3597460000000003</v>
      </c>
      <c r="E814">
        <v>0.55833769999999905</v>
      </c>
      <c r="F814" t="s">
        <v>51</v>
      </c>
      <c r="G814">
        <v>11.38696</v>
      </c>
      <c r="H814">
        <v>-0.1</v>
      </c>
      <c r="I814">
        <v>332.55470000000003</v>
      </c>
      <c r="J814">
        <v>-327.34070000000003</v>
      </c>
      <c r="K814">
        <v>1.109923</v>
      </c>
      <c r="L814">
        <v>366.99869999999999</v>
      </c>
      <c r="M814">
        <v>0.99993180000000004</v>
      </c>
      <c r="N814">
        <v>-1.1652859999999999E-2</v>
      </c>
      <c r="O814">
        <v>8.2387789999999997E-4</v>
      </c>
      <c r="P814">
        <v>0.98656370000000004</v>
      </c>
      <c r="Q814">
        <v>0.15413270000000001</v>
      </c>
      <c r="R814">
        <v>5.4177999999999997E-2</v>
      </c>
      <c r="S814">
        <v>3.0596619999999999</v>
      </c>
      <c r="T814">
        <v>-1.0923739999999999E-2</v>
      </c>
      <c r="U814">
        <v>-0.31097409999999998</v>
      </c>
      <c r="V814">
        <v>-5.3386410000000002E-2</v>
      </c>
      <c r="W814">
        <v>0.16561229999999999</v>
      </c>
      <c r="X814">
        <v>0.98474490000000003</v>
      </c>
      <c r="Y814">
        <v>0.1019327</v>
      </c>
      <c r="Z814">
        <v>-7.7031029999999996E-4</v>
      </c>
      <c r="AA814">
        <v>0.99479099999999998</v>
      </c>
      <c r="AB814">
        <v>32</v>
      </c>
      <c r="AC814">
        <v>338.72766000000001</v>
      </c>
      <c r="AD814">
        <v>-1.2099229999999901</v>
      </c>
      <c r="AE814">
        <v>-34.443999999999903</v>
      </c>
      <c r="AF814">
        <v>34.722638991333199</v>
      </c>
      <c r="AG814">
        <v>-1.2099229999999901</v>
      </c>
      <c r="AH814">
        <v>338.69488829133599</v>
      </c>
      <c r="AI814">
        <v>90.203610213088396</v>
      </c>
      <c r="AJ814">
        <v>84.146547438460601</v>
      </c>
      <c r="AK814">
        <v>340.47224986314097</v>
      </c>
      <c r="AL814">
        <v>80.467194234170805</v>
      </c>
      <c r="AM814">
        <v>93.103163601742494</v>
      </c>
      <c r="AN814">
        <v>1.0000000303799901</v>
      </c>
    </row>
    <row r="815" spans="1:40" x14ac:dyDescent="0.25">
      <c r="A815" t="str">
        <f>"20190304155610773"</f>
        <v>20190304155610773</v>
      </c>
      <c r="B815" t="str">
        <f>"1551686170765204"</f>
        <v>1551686170765204</v>
      </c>
      <c r="C815" t="s">
        <v>40</v>
      </c>
      <c r="D815">
        <v>4.34084</v>
      </c>
      <c r="E815">
        <v>0.55847910000000001</v>
      </c>
      <c r="F815" t="s">
        <v>51</v>
      </c>
      <c r="G815">
        <v>25.065519999999999</v>
      </c>
      <c r="H815">
        <v>-0.1</v>
      </c>
      <c r="I815">
        <v>331.10629999999998</v>
      </c>
      <c r="J815">
        <v>-327.18669999999997</v>
      </c>
      <c r="K815">
        <v>1.109917</v>
      </c>
      <c r="L815">
        <v>366.99880000000002</v>
      </c>
      <c r="M815">
        <v>0.99993180000000004</v>
      </c>
      <c r="N815">
        <v>-1.165393E-2</v>
      </c>
      <c r="O815">
        <v>8.5452179999999996E-4</v>
      </c>
      <c r="P815">
        <v>0.98655199999999998</v>
      </c>
      <c r="Q815">
        <v>0.154222</v>
      </c>
      <c r="R815">
        <v>5.4137959999999999E-2</v>
      </c>
      <c r="S815">
        <v>3.0595699999999999</v>
      </c>
      <c r="T815">
        <v>-1.050448E-2</v>
      </c>
      <c r="U815">
        <v>-0.31161499999999998</v>
      </c>
      <c r="V815">
        <v>-5.3314670000000002E-2</v>
      </c>
      <c r="W815">
        <v>0.1657025</v>
      </c>
      <c r="X815">
        <v>0.98473359999999999</v>
      </c>
      <c r="Y815">
        <v>0.1021726</v>
      </c>
      <c r="Z815">
        <v>-7.6485539999999997E-4</v>
      </c>
      <c r="AA815">
        <v>0.99476640000000005</v>
      </c>
      <c r="AB815">
        <v>32</v>
      </c>
      <c r="AC815">
        <v>352.25222000000002</v>
      </c>
      <c r="AD815">
        <v>-1.2099169999999999</v>
      </c>
      <c r="AE815">
        <v>-35.892499999999998</v>
      </c>
      <c r="AF815">
        <v>36.193091901292497</v>
      </c>
      <c r="AG815">
        <v>-1.2099169999999999</v>
      </c>
      <c r="AH815">
        <v>352.21730565488701</v>
      </c>
      <c r="AI815">
        <v>90.195787497583296</v>
      </c>
      <c r="AJ815">
        <v>84.133001466428894</v>
      </c>
      <c r="AK815">
        <v>354.07405186388701</v>
      </c>
      <c r="AL815">
        <v>80.461953627608906</v>
      </c>
      <c r="AM815">
        <v>93.099037234566197</v>
      </c>
      <c r="AN815">
        <v>1.0000000177562001</v>
      </c>
    </row>
    <row r="816" spans="1:40" x14ac:dyDescent="0.25">
      <c r="A816" t="str">
        <f>"20190304155610784"</f>
        <v>20190304155610784</v>
      </c>
      <c r="B816" t="str">
        <f>"1551686170775940"</f>
        <v>1551686170775940</v>
      </c>
      <c r="C816" t="s">
        <v>40</v>
      </c>
      <c r="D816">
        <v>4.3170659999999996</v>
      </c>
      <c r="E816">
        <v>0.55848769999999903</v>
      </c>
      <c r="F816" t="s">
        <v>51</v>
      </c>
      <c r="G816">
        <v>111.03570000000001</v>
      </c>
      <c r="H816">
        <v>-0.1</v>
      </c>
      <c r="I816">
        <v>322.22719999999998</v>
      </c>
      <c r="J816">
        <v>-327.02319999999997</v>
      </c>
      <c r="K816">
        <v>1.109912</v>
      </c>
      <c r="L816">
        <v>366.99900000000002</v>
      </c>
      <c r="M816">
        <v>0.99993180000000004</v>
      </c>
      <c r="N816">
        <v>-1.165514E-2</v>
      </c>
      <c r="O816">
        <v>8.8378030000000002E-4</v>
      </c>
      <c r="P816">
        <v>0.98654370000000002</v>
      </c>
      <c r="Q816">
        <v>0.15427279999999999</v>
      </c>
      <c r="R816">
        <v>5.4145819999999997E-2</v>
      </c>
      <c r="S816">
        <v>3.059326</v>
      </c>
      <c r="T816">
        <v>-8.4466929999999999E-3</v>
      </c>
      <c r="U816">
        <v>-0.31256099999999998</v>
      </c>
      <c r="V816">
        <v>-5.3292140000000002E-2</v>
      </c>
      <c r="W816">
        <v>0.16575519999999999</v>
      </c>
      <c r="X816">
        <v>0.98472599999999999</v>
      </c>
      <c r="Y816">
        <v>0.1025147</v>
      </c>
      <c r="Z816">
        <v>-7.3230069999999999E-4</v>
      </c>
      <c r="AA816">
        <v>0.99473120000000004</v>
      </c>
      <c r="AB816">
        <v>32</v>
      </c>
      <c r="AC816">
        <v>438.05889999999999</v>
      </c>
      <c r="AD816">
        <v>-1.2099120000000001</v>
      </c>
      <c r="AE816">
        <v>-44.771799999999999</v>
      </c>
      <c r="AF816">
        <v>45.158615658989497</v>
      </c>
      <c r="AG816">
        <v>-1.2099120000000001</v>
      </c>
      <c r="AH816">
        <v>438.01585089500298</v>
      </c>
      <c r="AI816">
        <v>90.157430752095607</v>
      </c>
      <c r="AJ816">
        <v>84.113708989558305</v>
      </c>
      <c r="AK816">
        <v>440.33924432255299</v>
      </c>
      <c r="AL816">
        <v>80.458892271407194</v>
      </c>
      <c r="AM816">
        <v>93.097754039211097</v>
      </c>
      <c r="AN816">
        <v>1.0000000667944</v>
      </c>
    </row>
    <row r="817" spans="1:40" x14ac:dyDescent="0.25">
      <c r="A817" t="str">
        <f>"20190304155610795"</f>
        <v>20190304155610795</v>
      </c>
      <c r="B817" t="str">
        <f>"1551686170785700"</f>
        <v>1551686170785700</v>
      </c>
      <c r="C817" t="s">
        <v>40</v>
      </c>
      <c r="D817">
        <v>4.3308999999999997</v>
      </c>
      <c r="E817">
        <v>0.55844469999999902</v>
      </c>
      <c r="F817" t="s">
        <v>51</v>
      </c>
      <c r="G817">
        <v>164.77119999999999</v>
      </c>
      <c r="H817">
        <v>-0.1</v>
      </c>
      <c r="I817">
        <v>316.74799999999999</v>
      </c>
      <c r="J817">
        <v>-326.86669999999998</v>
      </c>
      <c r="K817">
        <v>1.1099060000000001</v>
      </c>
      <c r="L817">
        <v>366.9991</v>
      </c>
      <c r="M817">
        <v>0.99993180000000004</v>
      </c>
      <c r="N817">
        <v>-1.165626E-2</v>
      </c>
      <c r="O817">
        <v>9.0844289999999996E-4</v>
      </c>
      <c r="P817">
        <v>0.98651659999999997</v>
      </c>
      <c r="Q817">
        <v>0.154387</v>
      </c>
      <c r="R817">
        <v>5.4311480000000002E-2</v>
      </c>
      <c r="S817">
        <v>3.0592649999999999</v>
      </c>
      <c r="T817">
        <v>-7.5263980000000001E-3</v>
      </c>
      <c r="U817">
        <v>-0.31259160000000002</v>
      </c>
      <c r="V817">
        <v>-5.3431489999999998E-2</v>
      </c>
      <c r="W817">
        <v>0.16587089999999999</v>
      </c>
      <c r="X817">
        <v>0.98469890000000004</v>
      </c>
      <c r="Y817">
        <v>0.1025513</v>
      </c>
      <c r="Z817">
        <v>-7.1674789999999998E-4</v>
      </c>
      <c r="AA817">
        <v>0.99472740000000004</v>
      </c>
      <c r="AB817">
        <v>32</v>
      </c>
      <c r="AC817">
        <v>491.6379</v>
      </c>
      <c r="AD817">
        <v>-1.2099059999999999</v>
      </c>
      <c r="AE817">
        <v>-50.251100000000001</v>
      </c>
      <c r="AF817">
        <v>50.697430631122401</v>
      </c>
      <c r="AG817">
        <v>-1.2099059999999999</v>
      </c>
      <c r="AH817">
        <v>491.58909729192197</v>
      </c>
      <c r="AI817">
        <v>90.140272916940702</v>
      </c>
      <c r="AJ817">
        <v>84.111919893081193</v>
      </c>
      <c r="AK817">
        <v>494.19786919958801</v>
      </c>
      <c r="AL817">
        <v>80.452169468434604</v>
      </c>
      <c r="AM817">
        <v>93.105923617065102</v>
      </c>
      <c r="AN817">
        <v>1.0000000016258199</v>
      </c>
    </row>
    <row r="818" spans="1:40" x14ac:dyDescent="0.25">
      <c r="A818" t="str">
        <f>"20190304155610806"</f>
        <v>20190304155610806</v>
      </c>
      <c r="B818" t="str">
        <f>"1551686170795460"</f>
        <v>1551686170795460</v>
      </c>
      <c r="C818" t="s">
        <v>40</v>
      </c>
      <c r="D818">
        <v>4.3913500000000001</v>
      </c>
      <c r="E818">
        <v>0.55880149999999995</v>
      </c>
      <c r="F818" t="s">
        <v>51</v>
      </c>
      <c r="G818">
        <v>280.35079999999999</v>
      </c>
      <c r="H818">
        <v>-0.1</v>
      </c>
      <c r="I818">
        <v>305.12090000000001</v>
      </c>
      <c r="J818">
        <v>-326.70460000000003</v>
      </c>
      <c r="K818">
        <v>1.10991</v>
      </c>
      <c r="L818">
        <v>366.99930000000001</v>
      </c>
      <c r="M818">
        <v>0.99993160000000003</v>
      </c>
      <c r="N818">
        <v>-1.165738E-2</v>
      </c>
      <c r="O818">
        <v>9.3130619999999998E-4</v>
      </c>
      <c r="P818">
        <v>0.9865505</v>
      </c>
      <c r="Q818">
        <v>0.15413869999999999</v>
      </c>
      <c r="R818">
        <v>5.4402909999999999E-2</v>
      </c>
      <c r="S818">
        <v>3.059113</v>
      </c>
      <c r="T818">
        <v>-6.0954090000000004E-3</v>
      </c>
      <c r="U818">
        <v>-0.31173709999999999</v>
      </c>
      <c r="V818">
        <v>-5.3498509999999999E-2</v>
      </c>
      <c r="W818">
        <v>0.16562499999999999</v>
      </c>
      <c r="X818">
        <v>0.98473670000000002</v>
      </c>
      <c r="Y818">
        <v>0.10230450000000001</v>
      </c>
      <c r="Z818">
        <v>-6.9054740000000004E-4</v>
      </c>
      <c r="AA818">
        <v>0.99475290000000005</v>
      </c>
      <c r="AB818">
        <v>32</v>
      </c>
      <c r="AC818">
        <v>607.05539999999996</v>
      </c>
      <c r="AD818">
        <v>-1.20991</v>
      </c>
      <c r="AE818">
        <v>-61.878399999999999</v>
      </c>
      <c r="AF818">
        <v>62.443520549352797</v>
      </c>
      <c r="AG818">
        <v>-1.20991</v>
      </c>
      <c r="AH818">
        <v>606.99511863767998</v>
      </c>
      <c r="AI818">
        <v>90.113606703968898</v>
      </c>
      <c r="AJ818">
        <v>84.126462250319506</v>
      </c>
      <c r="AK818">
        <v>610.19974696059796</v>
      </c>
      <c r="AL818">
        <v>80.466456574548005</v>
      </c>
      <c r="AM818">
        <v>93.109692647795399</v>
      </c>
      <c r="AN818">
        <v>1.00000004976205</v>
      </c>
    </row>
    <row r="819" spans="1:40" x14ac:dyDescent="0.25">
      <c r="A819" t="str">
        <f>"20190304155610819"</f>
        <v>20190304155610819</v>
      </c>
      <c r="B819" t="str">
        <f>"1551686170815956"</f>
        <v>1551686170815956</v>
      </c>
      <c r="C819" t="s">
        <v>40</v>
      </c>
      <c r="D819">
        <v>4.5597310000000002</v>
      </c>
      <c r="E819">
        <v>0.55815389999999998</v>
      </c>
      <c r="F819" t="s">
        <v>51</v>
      </c>
      <c r="G819">
        <v>650.68650000000002</v>
      </c>
      <c r="H819">
        <v>-0.1</v>
      </c>
      <c r="I819">
        <v>266.55220000000003</v>
      </c>
      <c r="J819">
        <v>-326.52999999999997</v>
      </c>
      <c r="K819">
        <v>1.1099030000000001</v>
      </c>
      <c r="L819">
        <v>366.99950000000001</v>
      </c>
      <c r="M819">
        <v>0.99993160000000003</v>
      </c>
      <c r="N819">
        <v>-1.165859E-2</v>
      </c>
      <c r="O819">
        <v>9.5039810000000001E-4</v>
      </c>
      <c r="P819">
        <v>0.98652709999999999</v>
      </c>
      <c r="Q819">
        <v>0.15419079999999999</v>
      </c>
      <c r="R819">
        <v>5.4675439999999999E-2</v>
      </c>
      <c r="S819">
        <v>3.0588679999999999</v>
      </c>
      <c r="T819">
        <v>-3.7865640000000001E-3</v>
      </c>
      <c r="U819">
        <v>-0.31436160000000002</v>
      </c>
      <c r="V819">
        <v>-5.3749239999999997E-2</v>
      </c>
      <c r="W819">
        <v>0.1656791</v>
      </c>
      <c r="X819">
        <v>0.98471390000000003</v>
      </c>
      <c r="Y819">
        <v>0.10317659999999999</v>
      </c>
      <c r="Z819">
        <v>-6.5686480000000001E-4</v>
      </c>
      <c r="AA819">
        <v>0.99466279999999996</v>
      </c>
      <c r="AB819">
        <v>32</v>
      </c>
      <c r="AC819">
        <v>977.2165</v>
      </c>
      <c r="AD819">
        <v>-1.209903</v>
      </c>
      <c r="AE819">
        <v>-100.447299999999</v>
      </c>
      <c r="AF819">
        <v>101.375908668395</v>
      </c>
      <c r="AG819">
        <v>-1.209903</v>
      </c>
      <c r="AH819">
        <v>977.11910500579097</v>
      </c>
      <c r="AI819">
        <v>90.070566824465203</v>
      </c>
      <c r="AJ819">
        <v>84.0767664537792</v>
      </c>
      <c r="AK819">
        <v>982.36463906786196</v>
      </c>
      <c r="AL819">
        <v>80.463313016743797</v>
      </c>
      <c r="AM819">
        <v>93.124310149373201</v>
      </c>
      <c r="AN819">
        <v>1.00000000491529</v>
      </c>
    </row>
    <row r="820" spans="1:40" x14ac:dyDescent="0.25">
      <c r="A820" t="str">
        <f>"20190304155610836"</f>
        <v>20190304155610836</v>
      </c>
      <c r="B820" t="str">
        <f>"1551686170825716"</f>
        <v>1551686170825716</v>
      </c>
      <c r="C820" t="s">
        <v>40</v>
      </c>
      <c r="D820">
        <v>4.3058120000000004</v>
      </c>
      <c r="E820">
        <v>0.55825480000000005</v>
      </c>
      <c r="F820" t="s">
        <v>51</v>
      </c>
      <c r="G820">
        <v>338.37270000000001</v>
      </c>
      <c r="H820">
        <v>-0.1</v>
      </c>
      <c r="I820">
        <v>299.96199999999999</v>
      </c>
      <c r="J820">
        <v>-326.28649999999999</v>
      </c>
      <c r="K820">
        <v>1.1098920000000001</v>
      </c>
      <c r="L820">
        <v>366.99979999999999</v>
      </c>
      <c r="M820">
        <v>0.99993169999999998</v>
      </c>
      <c r="N820">
        <v>-1.166026E-2</v>
      </c>
      <c r="O820">
        <v>9.7129569999999997E-4</v>
      </c>
      <c r="P820">
        <v>0.98651869999999997</v>
      </c>
      <c r="Q820">
        <v>0.15417809999999901</v>
      </c>
      <c r="R820">
        <v>5.4865499999999998E-2</v>
      </c>
      <c r="S820">
        <v>3.058929</v>
      </c>
      <c r="T820">
        <v>-5.5662389999999997E-3</v>
      </c>
      <c r="U820">
        <v>-0.30841059999999998</v>
      </c>
      <c r="V820">
        <v>-5.3915079999999997E-2</v>
      </c>
      <c r="W820">
        <v>0.16566919999999999</v>
      </c>
      <c r="X820">
        <v>0.98470650000000004</v>
      </c>
      <c r="Y820">
        <v>0.1012796</v>
      </c>
      <c r="Z820">
        <v>-6.7437059999999997E-4</v>
      </c>
      <c r="AA820">
        <v>0.99485780000000001</v>
      </c>
      <c r="AB820">
        <v>32</v>
      </c>
      <c r="AC820">
        <v>664.65920000000006</v>
      </c>
      <c r="AD820">
        <v>-1.209892</v>
      </c>
      <c r="AE820">
        <v>-67.037800000000004</v>
      </c>
      <c r="AF820">
        <v>67.683170774054403</v>
      </c>
      <c r="AG820">
        <v>-1.209892</v>
      </c>
      <c r="AH820">
        <v>664.59158849969799</v>
      </c>
      <c r="AI820">
        <v>90.103770360781596</v>
      </c>
      <c r="AJ820">
        <v>84.184946290701902</v>
      </c>
      <c r="AK820">
        <v>668.030279964339</v>
      </c>
      <c r="AL820">
        <v>80.463888198358703</v>
      </c>
      <c r="AM820">
        <v>93.133954335880901</v>
      </c>
      <c r="AN820">
        <v>1.00000000541114</v>
      </c>
    </row>
    <row r="821" spans="1:40" x14ac:dyDescent="0.25">
      <c r="A821" t="str">
        <f>"20190304155610846"</f>
        <v>20190304155610846</v>
      </c>
      <c r="B821" t="str">
        <f>"1551686170835477"</f>
        <v>1551686170835477</v>
      </c>
      <c r="C821" t="s">
        <v>40</v>
      </c>
      <c r="D821">
        <v>4.3051079999999997</v>
      </c>
      <c r="E821">
        <v>0.55831830000000005</v>
      </c>
      <c r="F821" t="s">
        <v>51</v>
      </c>
      <c r="G821">
        <v>437.31450000000001</v>
      </c>
      <c r="H821">
        <v>-0.1</v>
      </c>
      <c r="I821">
        <v>290.0027</v>
      </c>
      <c r="J821">
        <v>-326.12740000000002</v>
      </c>
      <c r="K821">
        <v>1.1098870000000001</v>
      </c>
      <c r="L821">
        <v>366.99990000000003</v>
      </c>
      <c r="M821">
        <v>0.99993169999999998</v>
      </c>
      <c r="N821">
        <v>-1.1661349999999999E-2</v>
      </c>
      <c r="O821">
        <v>9.8169560000000008E-4</v>
      </c>
      <c r="P821">
        <v>0.9865313</v>
      </c>
      <c r="Q821">
        <v>0.1541315</v>
      </c>
      <c r="R821">
        <v>5.4772620000000001E-2</v>
      </c>
      <c r="S821">
        <v>3.0588989999999998</v>
      </c>
      <c r="T821">
        <v>-4.8466919999999997E-3</v>
      </c>
      <c r="U821">
        <v>-0.30844120000000003</v>
      </c>
      <c r="V821">
        <v>-5.3809370000000002E-2</v>
      </c>
      <c r="W821">
        <v>0.16562449999999901</v>
      </c>
      <c r="X821">
        <v>0.98471980000000003</v>
      </c>
      <c r="Y821">
        <v>0.101301</v>
      </c>
      <c r="Z821">
        <v>-6.6235280000000001E-4</v>
      </c>
      <c r="AA821">
        <v>0.99485559999999995</v>
      </c>
      <c r="AB821">
        <v>32</v>
      </c>
      <c r="AC821">
        <v>763.44190000000003</v>
      </c>
      <c r="AD821">
        <v>-1.2098869999999999</v>
      </c>
      <c r="AE821">
        <v>-76.997200000000007</v>
      </c>
      <c r="AF821">
        <v>77.746487981710601</v>
      </c>
      <c r="AG821">
        <v>-1.2098869999999999</v>
      </c>
      <c r="AH821">
        <v>763.36404123312695</v>
      </c>
      <c r="AI821">
        <v>90.090343008801995</v>
      </c>
      <c r="AJ821">
        <v>84.184637428878403</v>
      </c>
      <c r="AK821">
        <v>767.31391207758895</v>
      </c>
      <c r="AL821">
        <v>80.466485182389107</v>
      </c>
      <c r="AM821">
        <v>93.127779718068794</v>
      </c>
      <c r="AN821">
        <v>1.0000000039060399</v>
      </c>
    </row>
    <row r="822" spans="1:40" x14ac:dyDescent="0.25">
      <c r="A822" t="str">
        <f>"20190304155610857"</f>
        <v>20190304155610857</v>
      </c>
      <c r="B822" t="str">
        <f>"1551686170845236"</f>
        <v>1551686170845236</v>
      </c>
      <c r="C822" t="s">
        <v>40</v>
      </c>
      <c r="D822">
        <v>4.3057059999999998</v>
      </c>
      <c r="E822">
        <v>0.55839669999999997</v>
      </c>
      <c r="F822" t="s">
        <v>51</v>
      </c>
      <c r="G822">
        <v>625.69579999999996</v>
      </c>
      <c r="H822">
        <v>-0.1</v>
      </c>
      <c r="I822">
        <v>270.72370000000001</v>
      </c>
      <c r="J822">
        <v>-325.97829999999999</v>
      </c>
      <c r="K822">
        <v>1.1098840000000001</v>
      </c>
      <c r="L822">
        <v>367.00009999999997</v>
      </c>
      <c r="M822">
        <v>0.99993160000000003</v>
      </c>
      <c r="N822">
        <v>-1.166238E-2</v>
      </c>
      <c r="O822">
        <v>9.8901130000000003E-4</v>
      </c>
      <c r="P822">
        <v>0.98654059999999999</v>
      </c>
      <c r="Q822">
        <v>0.15403539999999999</v>
      </c>
      <c r="R822">
        <v>5.4873600000000002E-2</v>
      </c>
      <c r="S822">
        <v>3.058716</v>
      </c>
      <c r="T822">
        <v>-3.8880109999999998E-3</v>
      </c>
      <c r="U822">
        <v>-0.30938719999999997</v>
      </c>
      <c r="V822">
        <v>-5.3900860000000002E-2</v>
      </c>
      <c r="W822">
        <v>0.16552999999999901</v>
      </c>
      <c r="X822">
        <v>0.98473069999999896</v>
      </c>
      <c r="Y822">
        <v>0.101619</v>
      </c>
      <c r="Z822">
        <v>-6.4826E-4</v>
      </c>
      <c r="AA822">
        <v>0.99482320000000002</v>
      </c>
      <c r="AB822">
        <v>32</v>
      </c>
      <c r="AC822">
        <v>951.67409999999995</v>
      </c>
      <c r="AD822">
        <v>-1.209884</v>
      </c>
      <c r="AE822">
        <v>-96.276399999999896</v>
      </c>
      <c r="AF822">
        <v>97.217477732742907</v>
      </c>
      <c r="AG822">
        <v>-1.209884</v>
      </c>
      <c r="AH822">
        <v>951.57688717175802</v>
      </c>
      <c r="AI822">
        <v>90.072471541424704</v>
      </c>
      <c r="AJ822">
        <v>84.166638523531404</v>
      </c>
      <c r="AK822">
        <v>956.53085365580398</v>
      </c>
      <c r="AL822">
        <v>80.471975547562906</v>
      </c>
      <c r="AM822">
        <v>93.133052564366395</v>
      </c>
      <c r="AN822">
        <v>1.0000000175656101</v>
      </c>
    </row>
    <row r="823" spans="1:40" x14ac:dyDescent="0.25">
      <c r="A823" t="str">
        <f>"20190304155610868"</f>
        <v>20190304155610868</v>
      </c>
      <c r="B823" t="str">
        <f>"1551686170865732"</f>
        <v>1551686170865732</v>
      </c>
      <c r="C823" t="s">
        <v>40</v>
      </c>
      <c r="D823">
        <v>4.2927720000000003</v>
      </c>
      <c r="E823">
        <v>0.55883919999999998</v>
      </c>
      <c r="F823" t="s">
        <v>46</v>
      </c>
      <c r="G823">
        <v>0</v>
      </c>
      <c r="H823">
        <v>0</v>
      </c>
      <c r="I823">
        <v>0</v>
      </c>
      <c r="J823">
        <v>-325.81729999999999</v>
      </c>
      <c r="K823">
        <v>1.10988</v>
      </c>
      <c r="L823">
        <v>367.00020000000001</v>
      </c>
      <c r="M823">
        <v>0.99993160000000003</v>
      </c>
      <c r="N823">
        <v>-1.16635E-2</v>
      </c>
      <c r="O823">
        <v>9.954905999999999E-4</v>
      </c>
      <c r="P823">
        <v>0.98655099999999996</v>
      </c>
      <c r="Q823">
        <v>0.1539325</v>
      </c>
      <c r="R823">
        <v>5.4971810000000003E-2</v>
      </c>
      <c r="S823">
        <v>3.0586850000000001</v>
      </c>
      <c r="T823">
        <v>-3.4666060000000001E-3</v>
      </c>
      <c r="U823">
        <v>-0.30957030000000002</v>
      </c>
      <c r="V823">
        <v>-5.3990999999999997E-2</v>
      </c>
      <c r="W823">
        <v>0.16542879999999999</v>
      </c>
      <c r="X823">
        <v>0.98474280000000003</v>
      </c>
      <c r="Y823">
        <v>0.1016855</v>
      </c>
      <c r="Z823">
        <v>-6.4155790000000005E-4</v>
      </c>
      <c r="AA823">
        <v>0.99481640000000005</v>
      </c>
      <c r="AB823">
        <v>32</v>
      </c>
      <c r="AC823">
        <v>3.0586850000000001</v>
      </c>
      <c r="AD823">
        <v>-3.4666060000000001E-3</v>
      </c>
      <c r="AE823">
        <v>-0.30957030000000002</v>
      </c>
      <c r="AF823">
        <v>0.31261484804142597</v>
      </c>
      <c r="AG823">
        <v>-3.4666060000000001E-3</v>
      </c>
      <c r="AH823">
        <v>3.05837140026888</v>
      </c>
      <c r="AI823">
        <v>90.064607017917993</v>
      </c>
      <c r="AJ823">
        <v>84.163717676915397</v>
      </c>
      <c r="AK823">
        <v>3.0743089764296201</v>
      </c>
      <c r="AL823">
        <v>80.477855240654094</v>
      </c>
      <c r="AM823">
        <v>93.138243111817005</v>
      </c>
      <c r="AN823">
        <v>1.00000004905113</v>
      </c>
    </row>
    <row r="824" spans="1:40" x14ac:dyDescent="0.25">
      <c r="A824" t="str">
        <f>"20190304155610880"</f>
        <v>20190304155610880</v>
      </c>
      <c r="B824" t="str">
        <f>"1551686170875492"</f>
        <v>1551686170875492</v>
      </c>
      <c r="C824" t="s">
        <v>40</v>
      </c>
      <c r="D824">
        <v>4.3000730000000003</v>
      </c>
      <c r="E824">
        <v>0.55889140000000004</v>
      </c>
      <c r="F824" t="s">
        <v>46</v>
      </c>
      <c r="G824">
        <v>0</v>
      </c>
      <c r="H824">
        <v>0</v>
      </c>
      <c r="I824">
        <v>0</v>
      </c>
      <c r="J824">
        <v>-325.64890000000003</v>
      </c>
      <c r="K824">
        <v>1.109877</v>
      </c>
      <c r="L824">
        <v>367.00040000000001</v>
      </c>
      <c r="M824">
        <v>0.99993149999999997</v>
      </c>
      <c r="N824">
        <v>-1.166466E-2</v>
      </c>
      <c r="O824">
        <v>9.9912679999999998E-4</v>
      </c>
      <c r="P824">
        <v>0.9865602</v>
      </c>
      <c r="Q824">
        <v>0.1538957</v>
      </c>
      <c r="R824">
        <v>5.4910720000000003E-2</v>
      </c>
      <c r="S824">
        <v>3.0584410000000002</v>
      </c>
      <c r="T824">
        <v>-6.9189070000000004E-4</v>
      </c>
      <c r="U824">
        <v>-0.31256099999999998</v>
      </c>
      <c r="V824">
        <v>-5.3924640000000003E-2</v>
      </c>
      <c r="W824">
        <v>0.16539409999999999</v>
      </c>
      <c r="X824">
        <v>0.98475219999999997</v>
      </c>
      <c r="Y824">
        <v>0.1026604</v>
      </c>
      <c r="Z824">
        <v>-6.0050830000000003E-4</v>
      </c>
      <c r="AA824">
        <v>0.9947163</v>
      </c>
      <c r="AB824">
        <v>32</v>
      </c>
      <c r="AC824">
        <v>3.0584410000000002</v>
      </c>
      <c r="AD824">
        <v>-6.9189070000000004E-4</v>
      </c>
      <c r="AE824">
        <v>-0.31256099999999998</v>
      </c>
      <c r="AF824">
        <v>0.315616806164081</v>
      </c>
      <c r="AG824">
        <v>-6.9189070000000004E-4</v>
      </c>
      <c r="AH824">
        <v>3.0581270090438299</v>
      </c>
      <c r="AI824">
        <v>90.012894481860997</v>
      </c>
      <c r="AJ824">
        <v>84.107598264822698</v>
      </c>
      <c r="AK824">
        <v>3.0743707080456799</v>
      </c>
      <c r="AL824">
        <v>80.479870561345905</v>
      </c>
      <c r="AM824">
        <v>93.134363752716595</v>
      </c>
      <c r="AN824">
        <v>0.99999998525938905</v>
      </c>
    </row>
    <row r="825" spans="1:40" x14ac:dyDescent="0.25">
      <c r="A825" t="str">
        <f>"20190304155610894"</f>
        <v>20190304155610894</v>
      </c>
      <c r="B825" t="str">
        <f>"1551686170885251"</f>
        <v>1551686170885251</v>
      </c>
      <c r="C825" t="s">
        <v>40</v>
      </c>
      <c r="D825">
        <v>4.2989069999999998</v>
      </c>
      <c r="E825">
        <v>0.55889739999999999</v>
      </c>
      <c r="F825" t="s">
        <v>46</v>
      </c>
      <c r="G825">
        <v>0</v>
      </c>
      <c r="H825">
        <v>0</v>
      </c>
      <c r="I825">
        <v>0</v>
      </c>
      <c r="J825">
        <v>-325.45400000000001</v>
      </c>
      <c r="K825">
        <v>1.1098709999999901</v>
      </c>
      <c r="L825">
        <v>367.00049999999999</v>
      </c>
      <c r="M825">
        <v>0.99993149999999997</v>
      </c>
      <c r="N825">
        <v>-1.1665999999999999E-2</v>
      </c>
      <c r="O825">
        <v>1.0021089999999999E-3</v>
      </c>
      <c r="P825">
        <v>0.98654489999999995</v>
      </c>
      <c r="Q825">
        <v>0.15406120000000001</v>
      </c>
      <c r="R825">
        <v>5.472146E-2</v>
      </c>
      <c r="S825">
        <v>3.0583800000000001</v>
      </c>
      <c r="T825">
        <v>-3.9851669999999999E-4</v>
      </c>
      <c r="U825">
        <v>-0.31320189999999998</v>
      </c>
      <c r="V825">
        <v>-5.3731069999999999E-2</v>
      </c>
      <c r="W825">
        <v>0.16556100000000001</v>
      </c>
      <c r="X825">
        <v>0.98473480000000002</v>
      </c>
      <c r="Y825">
        <v>0.102871699999999</v>
      </c>
      <c r="Z825">
        <v>-5.9679090000000002E-4</v>
      </c>
      <c r="AA825">
        <v>0.99469450000000004</v>
      </c>
      <c r="AB825">
        <v>32</v>
      </c>
      <c r="AC825">
        <v>3.0583800000000001</v>
      </c>
      <c r="AD825">
        <v>-3.9851669999999999E-4</v>
      </c>
      <c r="AE825">
        <v>-0.31320189999999998</v>
      </c>
      <c r="AF825">
        <v>0.31626677594170799</v>
      </c>
      <c r="AG825">
        <v>-3.9851669999999999E-4</v>
      </c>
      <c r="AH825">
        <v>3.05806452897383</v>
      </c>
      <c r="AI825">
        <v>90.007426980377602</v>
      </c>
      <c r="AJ825">
        <v>84.095429525322501</v>
      </c>
      <c r="AK825">
        <v>3.0743753017073301</v>
      </c>
      <c r="AL825">
        <v>80.470174835097893</v>
      </c>
      <c r="AM825">
        <v>93.123189906942201</v>
      </c>
      <c r="AN825">
        <v>1.0000000494676899</v>
      </c>
    </row>
    <row r="826" spans="1:40" x14ac:dyDescent="0.25">
      <c r="A826" t="str">
        <f>"20190304155610905"</f>
        <v>20190304155610905</v>
      </c>
      <c r="B826" t="str">
        <f>"1551686170895987"</f>
        <v>1551686170895987</v>
      </c>
      <c r="C826" t="s">
        <v>40</v>
      </c>
      <c r="D826">
        <v>4.2920239999999996</v>
      </c>
      <c r="E826">
        <v>0.55891650000000004</v>
      </c>
      <c r="F826" t="s">
        <v>46</v>
      </c>
      <c r="G826">
        <v>0</v>
      </c>
      <c r="H826">
        <v>0</v>
      </c>
      <c r="I826">
        <v>0</v>
      </c>
      <c r="J826">
        <v>-325.26600000000002</v>
      </c>
      <c r="K826">
        <v>1.1098669999999999</v>
      </c>
      <c r="L826">
        <v>367.00080000000003</v>
      </c>
      <c r="M826">
        <v>0.99993149999999997</v>
      </c>
      <c r="N826">
        <v>-1.166728E-2</v>
      </c>
      <c r="O826">
        <v>1.0027860000000001E-3</v>
      </c>
      <c r="P826">
        <v>0.98650439999999995</v>
      </c>
      <c r="Q826">
        <v>0.1542886</v>
      </c>
      <c r="R826">
        <v>5.4811680000000002E-2</v>
      </c>
      <c r="S826">
        <v>3.0582280000000002</v>
      </c>
      <c r="T826">
        <v>3.6633009999999998E-4</v>
      </c>
      <c r="U826">
        <v>-0.3136292</v>
      </c>
      <c r="V826">
        <v>-5.3820060000000003E-2</v>
      </c>
      <c r="W826">
        <v>0.16578950000000001</v>
      </c>
      <c r="X826">
        <v>0.98469139999999999</v>
      </c>
      <c r="Y826">
        <v>0.1030151</v>
      </c>
      <c r="Z826">
        <v>-5.8460230000000003E-4</v>
      </c>
      <c r="AA826">
        <v>0.9946796</v>
      </c>
      <c r="AB826">
        <v>32</v>
      </c>
      <c r="AC826">
        <v>3.0582280000000002</v>
      </c>
      <c r="AD826">
        <v>3.6633009999999998E-4</v>
      </c>
      <c r="AE826">
        <v>-0.3136292</v>
      </c>
      <c r="AF826">
        <v>0.31669599455972203</v>
      </c>
      <c r="AG826">
        <v>3.6633009999999998E-4</v>
      </c>
      <c r="AH826">
        <v>3.0579118943669599</v>
      </c>
      <c r="AI826">
        <v>89.993172628080998</v>
      </c>
      <c r="AJ826">
        <v>84.087179888808905</v>
      </c>
      <c r="AK826">
        <v>3.0742676592773899</v>
      </c>
      <c r="AL826">
        <v>80.4568983788715</v>
      </c>
      <c r="AM826">
        <v>93.128489910644703</v>
      </c>
      <c r="AN826">
        <v>0.99999995520130502</v>
      </c>
    </row>
    <row r="827" spans="1:40" x14ac:dyDescent="0.25">
      <c r="A827" t="str">
        <f>"20190304155610919"</f>
        <v>20190304155610919</v>
      </c>
      <c r="B827" t="str">
        <f>"1551686170915507"</f>
        <v>1551686170915507</v>
      </c>
      <c r="C827" t="s">
        <v>40</v>
      </c>
      <c r="D827">
        <v>4.3144960000000001</v>
      </c>
      <c r="E827">
        <v>0.55894290000000002</v>
      </c>
      <c r="F827" t="s">
        <v>46</v>
      </c>
      <c r="G827">
        <v>0</v>
      </c>
      <c r="H827">
        <v>0</v>
      </c>
      <c r="I827">
        <v>0</v>
      </c>
      <c r="J827">
        <v>-325.08659999999998</v>
      </c>
      <c r="K827">
        <v>1.109866</v>
      </c>
      <c r="L827">
        <v>367.0009</v>
      </c>
      <c r="M827">
        <v>0.99993149999999997</v>
      </c>
      <c r="N827">
        <v>-1.16685E-2</v>
      </c>
      <c r="O827">
        <v>1.002579E-3</v>
      </c>
      <c r="P827">
        <v>0.98652419999999996</v>
      </c>
      <c r="Q827">
        <v>0.1541824</v>
      </c>
      <c r="R827">
        <v>5.4753650000000001E-2</v>
      </c>
      <c r="S827">
        <v>3.0582889999999998</v>
      </c>
      <c r="T827">
        <v>1.4352799999999999E-3</v>
      </c>
      <c r="U827">
        <v>-0.313446</v>
      </c>
      <c r="V827">
        <v>-5.3761389999999999E-2</v>
      </c>
      <c r="W827">
        <v>0.16568469999999999</v>
      </c>
      <c r="X827">
        <v>0.98471229999999998</v>
      </c>
      <c r="Y827">
        <v>0.10295410000000001</v>
      </c>
      <c r="Z827">
        <v>-5.6601600000000002E-4</v>
      </c>
      <c r="AA827">
        <v>0.99468590000000001</v>
      </c>
      <c r="AB827">
        <v>32</v>
      </c>
      <c r="AC827">
        <v>3.0582889999999998</v>
      </c>
      <c r="AD827">
        <v>1.4352799999999999E-3</v>
      </c>
      <c r="AE827">
        <v>-0.313446</v>
      </c>
      <c r="AF827">
        <v>0.31651215829240298</v>
      </c>
      <c r="AG827">
        <v>1.4352799999999999E-3</v>
      </c>
      <c r="AH827">
        <v>3.0579725204838</v>
      </c>
      <c r="AI827">
        <v>89.973250743433397</v>
      </c>
      <c r="AJ827">
        <v>84.090704205857904</v>
      </c>
      <c r="AK827">
        <v>3.07430934396811</v>
      </c>
      <c r="AL827">
        <v>80.462987715783598</v>
      </c>
      <c r="AM827">
        <v>93.125020066708402</v>
      </c>
      <c r="AN827">
        <v>1.0000000103200499</v>
      </c>
    </row>
    <row r="828" spans="1:40" x14ac:dyDescent="0.25">
      <c r="A828" t="str">
        <f>"20190304155610931"</f>
        <v>20190304155610931</v>
      </c>
      <c r="B828" t="str">
        <f>"1551686170925267"</f>
        <v>1551686170925267</v>
      </c>
      <c r="C828" t="s">
        <v>40</v>
      </c>
      <c r="D828">
        <v>4.3252579999999998</v>
      </c>
      <c r="E828">
        <v>0.55897659999999905</v>
      </c>
      <c r="F828" t="s">
        <v>46</v>
      </c>
      <c r="G828">
        <v>0</v>
      </c>
      <c r="H828">
        <v>0</v>
      </c>
      <c r="I828">
        <v>0</v>
      </c>
      <c r="J828">
        <v>-324.91809999999998</v>
      </c>
      <c r="K828">
        <v>1.1098669999999999</v>
      </c>
      <c r="L828">
        <v>367.00110000000001</v>
      </c>
      <c r="M828">
        <v>0.99993149999999997</v>
      </c>
      <c r="N828">
        <v>-1.166964E-2</v>
      </c>
      <c r="O828">
        <v>1.0018410000000001E-3</v>
      </c>
      <c r="P828">
        <v>0.98652119999999999</v>
      </c>
      <c r="Q828">
        <v>0.1541952</v>
      </c>
      <c r="R828">
        <v>5.4768379999999998E-2</v>
      </c>
      <c r="S828">
        <v>3.0584720000000001</v>
      </c>
      <c r="T828" s="1">
        <v>-4.3869019999999998E-5</v>
      </c>
      <c r="U828">
        <v>-0.31420900000000002</v>
      </c>
      <c r="V828">
        <v>-5.3776280000000003E-2</v>
      </c>
      <c r="W828">
        <v>0.16569919999999999</v>
      </c>
      <c r="X828">
        <v>0.98470899999999995</v>
      </c>
      <c r="Y828">
        <v>0.1031926</v>
      </c>
      <c r="Z828">
        <v>-5.9280309999999996E-4</v>
      </c>
      <c r="AA828">
        <v>0.99466120000000002</v>
      </c>
      <c r="AB828">
        <v>32</v>
      </c>
      <c r="AC828">
        <v>3.0584720000000001</v>
      </c>
      <c r="AD828" s="1">
        <v>-4.3869019999999998E-5</v>
      </c>
      <c r="AE828">
        <v>-0.31420900000000002</v>
      </c>
      <c r="AF828">
        <v>0.317273153244779</v>
      </c>
      <c r="AG828" s="1">
        <v>-4.3869019999999998E-5</v>
      </c>
      <c r="AH828">
        <v>3.0581556554312401</v>
      </c>
      <c r="AI828">
        <v>90.000817515951397</v>
      </c>
      <c r="AJ828">
        <v>84.076949492393098</v>
      </c>
      <c r="AK828">
        <v>3.07456960704104</v>
      </c>
      <c r="AL828">
        <v>80.462144835873403</v>
      </c>
      <c r="AM828">
        <v>93.125894325157503</v>
      </c>
      <c r="AN828">
        <v>0.99999996392613799</v>
      </c>
    </row>
    <row r="829" spans="1:40" x14ac:dyDescent="0.25">
      <c r="A829" t="str">
        <f>"20190304155610941"</f>
        <v>20190304155610941</v>
      </c>
      <c r="B829" t="str">
        <f>"1551686170936004"</f>
        <v>1551686170936004</v>
      </c>
      <c r="C829" t="s">
        <v>40</v>
      </c>
      <c r="D829">
        <v>4.2845750000000002</v>
      </c>
      <c r="E829">
        <v>0.55899540000000003</v>
      </c>
      <c r="F829" t="s">
        <v>46</v>
      </c>
      <c r="G829">
        <v>0</v>
      </c>
      <c r="H829">
        <v>0</v>
      </c>
      <c r="I829">
        <v>0</v>
      </c>
      <c r="J829">
        <v>-324.75740000000002</v>
      </c>
      <c r="K829">
        <v>1.1098669999999999</v>
      </c>
      <c r="L829">
        <v>367.00119999999998</v>
      </c>
      <c r="M829">
        <v>0.99993149999999997</v>
      </c>
      <c r="N829">
        <v>-1.1670730000000001E-2</v>
      </c>
      <c r="O829">
        <v>1.0008110000000001E-3</v>
      </c>
      <c r="P829">
        <v>0.98653040000000003</v>
      </c>
      <c r="Q829">
        <v>0.154229</v>
      </c>
      <c r="R829">
        <v>5.4507670000000001E-2</v>
      </c>
      <c r="S829">
        <v>3.058319</v>
      </c>
      <c r="T829">
        <v>8.5222719999999996E-4</v>
      </c>
      <c r="U829">
        <v>-0.31414789999999998</v>
      </c>
      <c r="V829">
        <v>-5.3516309999999997E-2</v>
      </c>
      <c r="W829">
        <v>0.16573360000000001</v>
      </c>
      <c r="X829">
        <v>0.98471739999999996</v>
      </c>
      <c r="Y829">
        <v>0.1031772</v>
      </c>
      <c r="Z829">
        <v>-5.7741059999999998E-4</v>
      </c>
      <c r="AA829">
        <v>0.99466279999999996</v>
      </c>
      <c r="AB829">
        <v>32</v>
      </c>
      <c r="AC829">
        <v>3.058319</v>
      </c>
      <c r="AD829">
        <v>8.5222719999999996E-4</v>
      </c>
      <c r="AE829">
        <v>-0.31414789999999998</v>
      </c>
      <c r="AF829">
        <v>0.31720872571806902</v>
      </c>
      <c r="AG829">
        <v>8.5222719999999996E-4</v>
      </c>
      <c r="AH829">
        <v>3.0580028091192899</v>
      </c>
      <c r="AI829">
        <v>89.984117601181495</v>
      </c>
      <c r="AJ829">
        <v>84.077849831845398</v>
      </c>
      <c r="AK829">
        <v>3.0744110464517198</v>
      </c>
      <c r="AL829">
        <v>80.460146475625095</v>
      </c>
      <c r="AM829">
        <v>93.110786120663093</v>
      </c>
      <c r="AN829">
        <v>0.99999998973386806</v>
      </c>
    </row>
    <row r="830" spans="1:40" x14ac:dyDescent="0.25">
      <c r="A830" t="str">
        <f>"20190304155610952"</f>
        <v>20190304155610952</v>
      </c>
      <c r="B830" t="str">
        <f>"1551686170945765"</f>
        <v>1551686170945765</v>
      </c>
      <c r="C830" t="s">
        <v>40</v>
      </c>
      <c r="D830">
        <v>4.3445460000000002</v>
      </c>
      <c r="E830">
        <v>0.55908069999999999</v>
      </c>
      <c r="F830" t="s">
        <v>46</v>
      </c>
      <c r="G830">
        <v>0</v>
      </c>
      <c r="H830">
        <v>0</v>
      </c>
      <c r="I830">
        <v>0</v>
      </c>
      <c r="J830">
        <v>-324.6019</v>
      </c>
      <c r="K830">
        <v>1.1098669999999999</v>
      </c>
      <c r="L830">
        <v>367.00139999999999</v>
      </c>
      <c r="M830">
        <v>0.99993149999999997</v>
      </c>
      <c r="N830">
        <v>-1.167178E-2</v>
      </c>
      <c r="O830">
        <v>9.9978250000000001E-4</v>
      </c>
      <c r="P830">
        <v>0.98646900000000004</v>
      </c>
      <c r="Q830">
        <v>0.15464720000000001</v>
      </c>
      <c r="R830">
        <v>5.4436150000000003E-2</v>
      </c>
      <c r="S830">
        <v>3.0581360000000002</v>
      </c>
      <c r="T830">
        <v>1.570225E-3</v>
      </c>
      <c r="U830">
        <v>-0.31524659999999999</v>
      </c>
      <c r="V830">
        <v>-5.3445819999999998E-2</v>
      </c>
      <c r="W830">
        <v>0.16615260000000001</v>
      </c>
      <c r="X830">
        <v>0.98465060000000004</v>
      </c>
      <c r="Y830">
        <v>0.1035359</v>
      </c>
      <c r="Z830">
        <v>-5.6717949999999997E-4</v>
      </c>
      <c r="AA830">
        <v>0.9946256</v>
      </c>
      <c r="AB830">
        <v>32</v>
      </c>
      <c r="AC830">
        <v>3.0581360000000002</v>
      </c>
      <c r="AD830">
        <v>1.570225E-3</v>
      </c>
      <c r="AE830">
        <v>-0.31524659999999999</v>
      </c>
      <c r="AF830">
        <v>0.318304038166832</v>
      </c>
      <c r="AG830">
        <v>1.570225E-3</v>
      </c>
      <c r="AH830">
        <v>3.0578184742366701</v>
      </c>
      <c r="AI830">
        <v>89.970736081729299</v>
      </c>
      <c r="AJ830">
        <v>84.057191235507702</v>
      </c>
      <c r="AK830">
        <v>3.0743411892148398</v>
      </c>
      <c r="AL830">
        <v>80.435801855258703</v>
      </c>
      <c r="AM830">
        <v>93.106907072176597</v>
      </c>
      <c r="AN830">
        <v>0.99999997312129596</v>
      </c>
    </row>
    <row r="831" spans="1:40" x14ac:dyDescent="0.25">
      <c r="A831" t="str">
        <f>"20190304155610963"</f>
        <v>20190304155610963</v>
      </c>
      <c r="B831" t="str">
        <f>"1551686170955524"</f>
        <v>1551686170955524</v>
      </c>
      <c r="C831" t="s">
        <v>40</v>
      </c>
      <c r="D831">
        <v>4.3206619999999996</v>
      </c>
      <c r="E831">
        <v>0.55907150000000005</v>
      </c>
      <c r="F831" t="s">
        <v>46</v>
      </c>
      <c r="G831">
        <v>0</v>
      </c>
      <c r="H831">
        <v>0</v>
      </c>
      <c r="I831">
        <v>0</v>
      </c>
      <c r="J831">
        <v>-324.44499999999999</v>
      </c>
      <c r="K831">
        <v>1.1098699999999999</v>
      </c>
      <c r="L831">
        <v>367.00150000000002</v>
      </c>
      <c r="M831">
        <v>0.99993149999999997</v>
      </c>
      <c r="N831">
        <v>-1.167284E-2</v>
      </c>
      <c r="O831">
        <v>9.989338999999999E-4</v>
      </c>
      <c r="P831">
        <v>0.98648270000000005</v>
      </c>
      <c r="Q831">
        <v>0.15450510000000001</v>
      </c>
      <c r="R831">
        <v>5.4592969999999998E-2</v>
      </c>
      <c r="S831">
        <v>3.0581360000000002</v>
      </c>
      <c r="T831">
        <v>2.9331449999999998E-3</v>
      </c>
      <c r="U831">
        <v>-0.31597900000000001</v>
      </c>
      <c r="V831">
        <v>-5.3603459999999999E-2</v>
      </c>
      <c r="W831">
        <v>0.16601150000000001</v>
      </c>
      <c r="X831">
        <v>0.98466589999999998</v>
      </c>
      <c r="Y831">
        <v>0.103771</v>
      </c>
      <c r="Z831">
        <v>-5.4506010000000002E-4</v>
      </c>
      <c r="AA831">
        <v>0.99460110000000002</v>
      </c>
      <c r="AB831">
        <v>32</v>
      </c>
      <c r="AC831">
        <v>3.0581360000000002</v>
      </c>
      <c r="AD831">
        <v>2.9331449999999998E-3</v>
      </c>
      <c r="AE831">
        <v>-0.31597900000000001</v>
      </c>
      <c r="AF831">
        <v>0.319033635408148</v>
      </c>
      <c r="AG831">
        <v>2.9331449999999998E-3</v>
      </c>
      <c r="AH831">
        <v>3.0578160271277799</v>
      </c>
      <c r="AI831">
        <v>89.945336971747807</v>
      </c>
      <c r="AJ831">
        <v>84.043662575889101</v>
      </c>
      <c r="AK831">
        <v>3.0744153785103401</v>
      </c>
      <c r="AL831">
        <v>80.444000811217407</v>
      </c>
      <c r="AM831">
        <v>93.116004629601505</v>
      </c>
      <c r="AN831">
        <v>1.0000000418395101</v>
      </c>
    </row>
    <row r="832" spans="1:40" x14ac:dyDescent="0.25">
      <c r="A832" t="str">
        <f>"20190304155610974"</f>
        <v>20190304155610974</v>
      </c>
      <c r="B832" t="str">
        <f>"1551686170965285"</f>
        <v>1551686170965285</v>
      </c>
      <c r="C832" t="s">
        <v>40</v>
      </c>
      <c r="D832">
        <v>4.2973679999999996</v>
      </c>
      <c r="E832">
        <v>0.55911359999999999</v>
      </c>
      <c r="F832" t="s">
        <v>46</v>
      </c>
      <c r="G832">
        <v>0</v>
      </c>
      <c r="H832">
        <v>0</v>
      </c>
      <c r="I832">
        <v>0</v>
      </c>
      <c r="J832">
        <v>-324.29450000000003</v>
      </c>
      <c r="K832">
        <v>1.109866</v>
      </c>
      <c r="L832">
        <v>367.0016</v>
      </c>
      <c r="M832">
        <v>0.99993140000000003</v>
      </c>
      <c r="N832">
        <v>-1.167385E-2</v>
      </c>
      <c r="O832">
        <v>9.9844369999999992E-4</v>
      </c>
      <c r="P832">
        <v>0.98654940000000002</v>
      </c>
      <c r="Q832">
        <v>0.154252</v>
      </c>
      <c r="R832">
        <v>5.4098430000000003E-2</v>
      </c>
      <c r="S832">
        <v>3.0581670000000001</v>
      </c>
      <c r="T832">
        <v>2.3401979999999999E-3</v>
      </c>
      <c r="U832">
        <v>-0.31494139999999998</v>
      </c>
      <c r="V832">
        <v>-5.3108959999999997E-2</v>
      </c>
      <c r="W832">
        <v>0.1657604</v>
      </c>
      <c r="X832">
        <v>0.98473500000000003</v>
      </c>
      <c r="Y832">
        <v>0.1034355</v>
      </c>
      <c r="Z832">
        <v>-5.5349809999999996E-4</v>
      </c>
      <c r="AA832">
        <v>0.99463599999999996</v>
      </c>
      <c r="AB832">
        <v>32</v>
      </c>
      <c r="AC832">
        <v>3.0581670000000001</v>
      </c>
      <c r="AD832">
        <v>2.3401979999999999E-3</v>
      </c>
      <c r="AE832">
        <v>-0.31494139999999998</v>
      </c>
      <c r="AF832">
        <v>0.317994674272496</v>
      </c>
      <c r="AG832">
        <v>2.3401979999999999E-3</v>
      </c>
      <c r="AH832">
        <v>3.0578492309813798</v>
      </c>
      <c r="AI832">
        <v>89.956386258379098</v>
      </c>
      <c r="AJ832">
        <v>84.0629851434568</v>
      </c>
      <c r="AK832">
        <v>3.07434025586072</v>
      </c>
      <c r="AL832">
        <v>80.458589954083806</v>
      </c>
      <c r="AM832">
        <v>93.087098662717494</v>
      </c>
      <c r="AN832">
        <v>1.0000000460327101</v>
      </c>
    </row>
    <row r="833" spans="1:40" x14ac:dyDescent="0.25">
      <c r="A833" t="str">
        <f>"20190304155610983"</f>
        <v>20190304155610983</v>
      </c>
      <c r="B833" t="str">
        <f>"1551686170976021"</f>
        <v>1551686170976021</v>
      </c>
      <c r="C833" t="s">
        <v>40</v>
      </c>
      <c r="D833">
        <v>4.300268</v>
      </c>
      <c r="E833">
        <v>0.55913020000000002</v>
      </c>
      <c r="F833" t="s">
        <v>46</v>
      </c>
      <c r="G833">
        <v>0</v>
      </c>
      <c r="H833">
        <v>0</v>
      </c>
      <c r="I833">
        <v>0</v>
      </c>
      <c r="J833">
        <v>-324.1429</v>
      </c>
      <c r="K833">
        <v>1.1098650000000001</v>
      </c>
      <c r="L833">
        <v>367.0018</v>
      </c>
      <c r="M833">
        <v>0.99993129999999997</v>
      </c>
      <c r="N833">
        <v>-1.167488E-2</v>
      </c>
      <c r="O833">
        <v>9.9825169999999993E-4</v>
      </c>
      <c r="P833">
        <v>0.98657700000000004</v>
      </c>
      <c r="Q833">
        <v>0.15410109999999999</v>
      </c>
      <c r="R833">
        <v>5.4023630000000003E-2</v>
      </c>
      <c r="S833">
        <v>3.058014</v>
      </c>
      <c r="T833">
        <v>1.6176700000000001E-3</v>
      </c>
      <c r="U833">
        <v>-0.31683349999999999</v>
      </c>
      <c r="V833">
        <v>-5.3033780000000003E-2</v>
      </c>
      <c r="W833">
        <v>0.16561090000000001</v>
      </c>
      <c r="X833">
        <v>0.98476419999999998</v>
      </c>
      <c r="Y833">
        <v>0.10404910000000001</v>
      </c>
      <c r="Z833">
        <v>-5.6942410000000005E-4</v>
      </c>
      <c r="AA833">
        <v>0.99457200000000001</v>
      </c>
      <c r="AB833">
        <v>32</v>
      </c>
      <c r="AC833">
        <v>3.058014</v>
      </c>
      <c r="AD833">
        <v>1.6176700000000001E-3</v>
      </c>
      <c r="AE833">
        <v>-0.31683349999999999</v>
      </c>
      <c r="AF833">
        <v>0.31988612943618999</v>
      </c>
      <c r="AG833">
        <v>1.6176700000000001E-3</v>
      </c>
      <c r="AH833">
        <v>3.0576953284135899</v>
      </c>
      <c r="AI833">
        <v>89.969852269651994</v>
      </c>
      <c r="AJ833">
        <v>84.027627407618994</v>
      </c>
      <c r="AK833">
        <v>3.0743829420005899</v>
      </c>
      <c r="AL833">
        <v>80.467275671802994</v>
      </c>
      <c r="AM833">
        <v>93.082645829056503</v>
      </c>
      <c r="AN833">
        <v>1.0000000408107601</v>
      </c>
    </row>
    <row r="834" spans="1:40" x14ac:dyDescent="0.25">
      <c r="A834" t="str">
        <f>"20190304155610994"</f>
        <v>20190304155610994</v>
      </c>
      <c r="B834" t="str">
        <f>"1551686170985780"</f>
        <v>1551686170985780</v>
      </c>
      <c r="C834" t="s">
        <v>40</v>
      </c>
      <c r="D834">
        <v>4.3060010000000002</v>
      </c>
      <c r="E834">
        <v>0.55916089999999996</v>
      </c>
      <c r="F834" t="s">
        <v>46</v>
      </c>
      <c r="G834">
        <v>0</v>
      </c>
      <c r="H834">
        <v>0</v>
      </c>
      <c r="I834">
        <v>0</v>
      </c>
      <c r="J834">
        <v>-324.00479999999999</v>
      </c>
      <c r="K834">
        <v>1.1098650000000001</v>
      </c>
      <c r="L834">
        <v>367.00200000000001</v>
      </c>
      <c r="M834">
        <v>0.99993129999999997</v>
      </c>
      <c r="N834">
        <v>-1.167581E-2</v>
      </c>
      <c r="O834">
        <v>9.9806120000000003E-4</v>
      </c>
      <c r="P834">
        <v>0.98657329999999999</v>
      </c>
      <c r="Q834">
        <v>0.15418899999999999</v>
      </c>
      <c r="R834">
        <v>5.3840590000000001E-2</v>
      </c>
      <c r="S834">
        <v>3.0579830000000001</v>
      </c>
      <c r="T834">
        <v>1.6381739999999901E-3</v>
      </c>
      <c r="U834">
        <v>-0.31735229999999998</v>
      </c>
      <c r="V834">
        <v>-5.285078E-2</v>
      </c>
      <c r="W834">
        <v>0.16569970000000001</v>
      </c>
      <c r="X834">
        <v>0.98475900000000005</v>
      </c>
      <c r="Y834">
        <v>0.1042169</v>
      </c>
      <c r="Z834">
        <v>-5.7006220000000005E-4</v>
      </c>
      <c r="AA834">
        <v>0.99455439999999995</v>
      </c>
      <c r="AB834">
        <v>32</v>
      </c>
      <c r="AC834">
        <v>3.0579830000000001</v>
      </c>
      <c r="AD834">
        <v>1.6381739999999901E-3</v>
      </c>
      <c r="AE834">
        <v>-0.31735229999999998</v>
      </c>
      <c r="AF834">
        <v>0.32040431330006203</v>
      </c>
      <c r="AG834">
        <v>1.6381739999999901E-3</v>
      </c>
      <c r="AH834">
        <v>3.0576638499673501</v>
      </c>
      <c r="AI834">
        <v>89.969470371579305</v>
      </c>
      <c r="AJ834">
        <v>84.017961713894096</v>
      </c>
      <c r="AK834">
        <v>3.0744056054776601</v>
      </c>
      <c r="AL834">
        <v>80.462115573440798</v>
      </c>
      <c r="AM834">
        <v>93.072045356469701</v>
      </c>
      <c r="AN834">
        <v>0.99999994180384699</v>
      </c>
    </row>
    <row r="835" spans="1:40" x14ac:dyDescent="0.25">
      <c r="A835" t="str">
        <f>"20190304155611006"</f>
        <v>20190304155611006</v>
      </c>
      <c r="B835" t="str">
        <f>"1551686170995541"</f>
        <v>1551686170995541</v>
      </c>
      <c r="C835" t="s">
        <v>40</v>
      </c>
      <c r="D835">
        <v>4.4002400000000002</v>
      </c>
      <c r="E835">
        <v>0.5593127</v>
      </c>
      <c r="F835" t="s">
        <v>46</v>
      </c>
      <c r="G835">
        <v>0</v>
      </c>
      <c r="H835">
        <v>0</v>
      </c>
      <c r="I835">
        <v>0</v>
      </c>
      <c r="J835">
        <v>-323.82589999999999</v>
      </c>
      <c r="K835">
        <v>1.109866</v>
      </c>
      <c r="L835">
        <v>367.00209999999998</v>
      </c>
      <c r="M835">
        <v>0.99993129999999997</v>
      </c>
      <c r="N835">
        <v>-1.167702E-2</v>
      </c>
      <c r="O835">
        <v>9.9822530000000004E-4</v>
      </c>
      <c r="P835">
        <v>0.98660420000000004</v>
      </c>
      <c r="Q835">
        <v>0.154090899999999</v>
      </c>
      <c r="R835">
        <v>5.3554190000000002E-2</v>
      </c>
      <c r="S835">
        <v>3.0578310000000002</v>
      </c>
      <c r="T835">
        <v>2.3466350000000001E-3</v>
      </c>
      <c r="U835">
        <v>-0.31832890000000003</v>
      </c>
      <c r="V835">
        <v>-5.2563800000000001E-2</v>
      </c>
      <c r="W835">
        <v>0.16560329999999901</v>
      </c>
      <c r="X835">
        <v>0.98479059999999896</v>
      </c>
      <c r="Y835">
        <v>0.1045365</v>
      </c>
      <c r="Z835">
        <v>-5.5960919999999896E-4</v>
      </c>
      <c r="AA835">
        <v>0.99452090000000004</v>
      </c>
      <c r="AB835">
        <v>32</v>
      </c>
      <c r="AC835">
        <v>3.0578310000000002</v>
      </c>
      <c r="AD835">
        <v>2.3466350000000001E-3</v>
      </c>
      <c r="AE835">
        <v>-0.31832890000000003</v>
      </c>
      <c r="AF835">
        <v>0.32138116659712301</v>
      </c>
      <c r="AG835">
        <v>2.3466350000000001E-3</v>
      </c>
      <c r="AH835">
        <v>3.0575099093070501</v>
      </c>
      <c r="AI835">
        <v>89.9562665021176</v>
      </c>
      <c r="AJ835">
        <v>83.999556545684698</v>
      </c>
      <c r="AK835">
        <v>3.0743549252566802</v>
      </c>
      <c r="AL835">
        <v>80.467716496342305</v>
      </c>
      <c r="AM835">
        <v>93.055297971623403</v>
      </c>
      <c r="AN835">
        <v>0.99999996594484397</v>
      </c>
    </row>
    <row r="836" spans="1:40" x14ac:dyDescent="0.25">
      <c r="A836" t="str">
        <f>"20190304155611017"</f>
        <v>20190304155611017</v>
      </c>
      <c r="B836" t="str">
        <f>"1551686171016035"</f>
        <v>1551686171016035</v>
      </c>
      <c r="C836" t="s">
        <v>40</v>
      </c>
      <c r="D836">
        <v>4.3898910000000004</v>
      </c>
      <c r="E836">
        <v>0.55907209999999996</v>
      </c>
      <c r="F836" t="s">
        <v>46</v>
      </c>
      <c r="G836">
        <v>0</v>
      </c>
      <c r="H836">
        <v>0</v>
      </c>
      <c r="I836">
        <v>0</v>
      </c>
      <c r="J836">
        <v>-323.65859999999998</v>
      </c>
      <c r="K836">
        <v>1.109866</v>
      </c>
      <c r="L836">
        <v>367.00229999999999</v>
      </c>
      <c r="M836">
        <v>0.99993140000000003</v>
      </c>
      <c r="N836">
        <v>-1.167814E-2</v>
      </c>
      <c r="O836">
        <v>9.9821260000000005E-4</v>
      </c>
      <c r="P836">
        <v>0.98662070000000002</v>
      </c>
      <c r="Q836">
        <v>0.15403649999999999</v>
      </c>
      <c r="R836">
        <v>5.3409239999999997E-2</v>
      </c>
      <c r="S836">
        <v>3.0575869999999998</v>
      </c>
      <c r="T836">
        <v>3.402829E-3</v>
      </c>
      <c r="U836">
        <v>-0.32022089999999998</v>
      </c>
      <c r="V836">
        <v>-5.2419159999999999E-2</v>
      </c>
      <c r="W836">
        <v>0.16555020000000001</v>
      </c>
      <c r="X836">
        <v>0.98480730000000005</v>
      </c>
      <c r="Y836">
        <v>0.1051536</v>
      </c>
      <c r="Z836">
        <v>-5.4460580000000004E-4</v>
      </c>
      <c r="AA836">
        <v>0.9944558</v>
      </c>
      <c r="AB836">
        <v>32</v>
      </c>
      <c r="AC836">
        <v>3.0575869999999998</v>
      </c>
      <c r="AD836">
        <v>3.402829E-3</v>
      </c>
      <c r="AE836">
        <v>-0.32022089999999998</v>
      </c>
      <c r="AF836">
        <v>0.32327267412396299</v>
      </c>
      <c r="AG836">
        <v>3.402829E-3</v>
      </c>
      <c r="AH836">
        <v>3.0572620605834002</v>
      </c>
      <c r="AI836">
        <v>89.936581566936098</v>
      </c>
      <c r="AJ836">
        <v>83.964014828021206</v>
      </c>
      <c r="AK836">
        <v>3.0743077445439901</v>
      </c>
      <c r="AL836">
        <v>80.470802077668495</v>
      </c>
      <c r="AM836">
        <v>93.046854989202203</v>
      </c>
      <c r="AN836">
        <v>1.00000002759421</v>
      </c>
    </row>
    <row r="837" spans="1:40" x14ac:dyDescent="0.25">
      <c r="A837" t="str">
        <f>"20190304155611028"</f>
        <v>20190304155611028</v>
      </c>
      <c r="B837" t="str">
        <f>"1551686171025325"</f>
        <v>1551686171025325</v>
      </c>
      <c r="C837" t="s">
        <v>40</v>
      </c>
      <c r="D837">
        <v>4.4383530000000002</v>
      </c>
      <c r="E837">
        <v>0.53332880000000005</v>
      </c>
      <c r="F837" t="s">
        <v>46</v>
      </c>
      <c r="G837">
        <v>0</v>
      </c>
      <c r="H837">
        <v>0</v>
      </c>
      <c r="I837">
        <v>0</v>
      </c>
      <c r="J837">
        <v>-323.50330000000002</v>
      </c>
      <c r="K837">
        <v>1.1098650000000001</v>
      </c>
      <c r="L837">
        <v>367.00240000000002</v>
      </c>
      <c r="M837">
        <v>0.99993149999999997</v>
      </c>
      <c r="N837">
        <v>-1.1679190000000001E-2</v>
      </c>
      <c r="O837">
        <v>9.9855889999999996E-4</v>
      </c>
      <c r="P837">
        <v>0.98663310000000004</v>
      </c>
      <c r="Q837">
        <v>0.1539915</v>
      </c>
      <c r="R837">
        <v>5.3311240000000003E-2</v>
      </c>
      <c r="S837">
        <v>3.0577390000000002</v>
      </c>
      <c r="T837">
        <v>1.563072E-3</v>
      </c>
      <c r="U837">
        <v>-0.31896970000000002</v>
      </c>
      <c r="V837">
        <v>-5.2320940000000003E-2</v>
      </c>
      <c r="W837">
        <v>0.1655064</v>
      </c>
      <c r="X837">
        <v>0.98481980000000002</v>
      </c>
      <c r="Y837">
        <v>0.10474600000000001</v>
      </c>
      <c r="Z837">
        <v>-5.7450920000000003E-4</v>
      </c>
      <c r="AA837">
        <v>0.99449880000000002</v>
      </c>
      <c r="AB837">
        <v>32</v>
      </c>
      <c r="AC837">
        <v>3.0577390000000002</v>
      </c>
      <c r="AD837">
        <v>1.563072E-3</v>
      </c>
      <c r="AE837">
        <v>-0.31896970000000002</v>
      </c>
      <c r="AF837">
        <v>0.32202299784793997</v>
      </c>
      <c r="AG837">
        <v>1.563072E-3</v>
      </c>
      <c r="AH837">
        <v>3.05741815329697</v>
      </c>
      <c r="AI837">
        <v>89.970869287705398</v>
      </c>
      <c r="AJ837">
        <v>83.987481618492694</v>
      </c>
      <c r="AK837">
        <v>3.0743303365850099</v>
      </c>
      <c r="AL837">
        <v>80.473345930847302</v>
      </c>
      <c r="AM837">
        <v>93.041118166666607</v>
      </c>
      <c r="AN837">
        <v>0.99999994383774005</v>
      </c>
    </row>
    <row r="838" spans="1:40" x14ac:dyDescent="0.25">
      <c r="A838" t="str">
        <f>"20190304155611038"</f>
        <v>20190304155611038</v>
      </c>
      <c r="B838" t="str">
        <f>"1551686171036061"</f>
        <v>1551686171036061</v>
      </c>
      <c r="C838" t="s">
        <v>40</v>
      </c>
      <c r="D838">
        <v>4.4935269999999896</v>
      </c>
      <c r="E838">
        <v>0.53401359999999998</v>
      </c>
      <c r="F838" t="s">
        <v>43</v>
      </c>
      <c r="G838">
        <v>-168.84350000000001</v>
      </c>
      <c r="H838">
        <v>9.5802150000000008</v>
      </c>
      <c r="I838">
        <v>361.31369999999998</v>
      </c>
      <c r="J838">
        <v>-323.35430000000002</v>
      </c>
      <c r="K838">
        <v>1.1098619999999999</v>
      </c>
      <c r="L838">
        <v>367.00259999999997</v>
      </c>
      <c r="M838">
        <v>0.99993140000000003</v>
      </c>
      <c r="N838">
        <v>-1.168019E-2</v>
      </c>
      <c r="O838">
        <v>9.9884739999999989E-4</v>
      </c>
      <c r="P838">
        <v>0.98665320000000001</v>
      </c>
      <c r="Q838">
        <v>0.15391749999999901</v>
      </c>
      <c r="R838">
        <v>5.3151150000000001E-2</v>
      </c>
      <c r="S838">
        <v>3.0208439999999999</v>
      </c>
      <c r="T838">
        <v>0.16544600000000001</v>
      </c>
      <c r="U838">
        <v>-0.1111145</v>
      </c>
      <c r="V838">
        <v>-5.2160049999999999E-2</v>
      </c>
      <c r="W838">
        <v>0.16543359999999999</v>
      </c>
      <c r="X838">
        <v>0.98484059999999995</v>
      </c>
      <c r="Y838">
        <v>3.7709399999999997E-2</v>
      </c>
      <c r="Z838">
        <v>8.7737649999999998E-4</v>
      </c>
      <c r="AA838">
        <v>0.99928839999999997</v>
      </c>
      <c r="AB838">
        <v>32</v>
      </c>
      <c r="AC838">
        <v>154.51079999999999</v>
      </c>
      <c r="AD838">
        <v>8.4703529999999994</v>
      </c>
      <c r="AE838">
        <v>-5.6888999999999896</v>
      </c>
      <c r="AF838">
        <v>5.8257560416001901</v>
      </c>
      <c r="AG838">
        <v>8.4703529999999994</v>
      </c>
      <c r="AH838">
        <v>154.04272496440299</v>
      </c>
      <c r="AI838">
        <v>86.854888271303494</v>
      </c>
      <c r="AJ838">
        <v>87.834157819286901</v>
      </c>
      <c r="AK838">
        <v>154.38538605664601</v>
      </c>
      <c r="AL838">
        <v>80.477575687210802</v>
      </c>
      <c r="AM838">
        <v>93.031720108366002</v>
      </c>
      <c r="AN838">
        <v>0.999999977116661</v>
      </c>
    </row>
    <row r="839" spans="1:40" x14ac:dyDescent="0.25">
      <c r="A839" t="str">
        <f>"20190304155611050"</f>
        <v>20190304155611050</v>
      </c>
      <c r="B839" t="str">
        <f>"1551686171045822"</f>
        <v>1551686171045822</v>
      </c>
      <c r="C839" t="s">
        <v>40</v>
      </c>
      <c r="D839">
        <v>4.4169210000000003</v>
      </c>
      <c r="E839">
        <v>0.53364309999999904</v>
      </c>
      <c r="F839" t="s">
        <v>43</v>
      </c>
      <c r="G839">
        <v>-168.84350000000001</v>
      </c>
      <c r="H839">
        <v>12.40972</v>
      </c>
      <c r="I839">
        <v>361.05759999999998</v>
      </c>
      <c r="J839">
        <v>-323.19220000000001</v>
      </c>
      <c r="K839">
        <v>1.1098589999999999</v>
      </c>
      <c r="L839">
        <v>367.0027</v>
      </c>
      <c r="M839">
        <v>0.99993140000000003</v>
      </c>
      <c r="N839">
        <v>-1.1681270000000001E-2</v>
      </c>
      <c r="O839">
        <v>9.9901599999999992E-4</v>
      </c>
      <c r="P839">
        <v>0.98666580000000004</v>
      </c>
      <c r="Q839">
        <v>0.15381449999999999</v>
      </c>
      <c r="R839">
        <v>5.3216039999999999E-2</v>
      </c>
      <c r="S839">
        <v>3.0124209999999998</v>
      </c>
      <c r="T839">
        <v>0.22030930000000001</v>
      </c>
      <c r="U839">
        <v>-0.1159058</v>
      </c>
      <c r="V839">
        <v>-5.2224810000000003E-2</v>
      </c>
      <c r="W839">
        <v>0.16533200000000001</v>
      </c>
      <c r="X839">
        <v>0.98485429999999996</v>
      </c>
      <c r="Y839">
        <v>3.9354119999999999E-2</v>
      </c>
      <c r="Z839">
        <v>1.290989E-3</v>
      </c>
      <c r="AA839">
        <v>0.99922449999999996</v>
      </c>
      <c r="AB839">
        <v>32</v>
      </c>
      <c r="AC839">
        <v>154.34870000000001</v>
      </c>
      <c r="AD839">
        <v>11.299861</v>
      </c>
      <c r="AE839">
        <v>-5.9451000000000196</v>
      </c>
      <c r="AF839">
        <v>6.0668361205553101</v>
      </c>
      <c r="AG839">
        <v>11.299861</v>
      </c>
      <c r="AH839">
        <v>153.521075764751</v>
      </c>
      <c r="AI839">
        <v>85.793628270303302</v>
      </c>
      <c r="AJ839">
        <v>87.736966569496403</v>
      </c>
      <c r="AK839">
        <v>154.055879677147</v>
      </c>
      <c r="AL839">
        <v>80.483478887205095</v>
      </c>
      <c r="AM839">
        <v>93.035434998978005</v>
      </c>
      <c r="AN839">
        <v>1.0000000466160099</v>
      </c>
    </row>
    <row r="840" spans="1:40" x14ac:dyDescent="0.25">
      <c r="A840" t="str">
        <f>"20190304155611061"</f>
        <v>20190304155611061</v>
      </c>
      <c r="B840" t="str">
        <f>"1551686171055582"</f>
        <v>1551686171055582</v>
      </c>
      <c r="C840" t="s">
        <v>40</v>
      </c>
      <c r="D840">
        <v>4.4085349999999996</v>
      </c>
      <c r="E840">
        <v>0.5335126</v>
      </c>
      <c r="F840" t="s">
        <v>43</v>
      </c>
      <c r="G840">
        <v>-170.08879999999999</v>
      </c>
      <c r="H840">
        <v>14.4085</v>
      </c>
      <c r="I840">
        <v>361.29969999999997</v>
      </c>
      <c r="J840">
        <v>-323.0324</v>
      </c>
      <c r="K840">
        <v>1.109858</v>
      </c>
      <c r="L840">
        <v>367.00290000000001</v>
      </c>
      <c r="M840">
        <v>0.99993129999999997</v>
      </c>
      <c r="N840">
        <v>-1.1682339999999999E-2</v>
      </c>
      <c r="O840">
        <v>9.9936490000000007E-4</v>
      </c>
      <c r="P840">
        <v>0.98670769999999997</v>
      </c>
      <c r="Q840">
        <v>0.1535513</v>
      </c>
      <c r="R840">
        <v>5.3196279999999999E-2</v>
      </c>
      <c r="S840">
        <v>3.00589</v>
      </c>
      <c r="T840">
        <v>0.26109480000000002</v>
      </c>
      <c r="U840">
        <v>-0.111969</v>
      </c>
      <c r="V840">
        <v>-5.2204590000000002E-2</v>
      </c>
      <c r="W840">
        <v>0.16506999999999999</v>
      </c>
      <c r="X840">
        <v>0.98489930000000003</v>
      </c>
      <c r="Y840">
        <v>3.8094049999999997E-2</v>
      </c>
      <c r="Z840">
        <v>1.5260670000000001E-3</v>
      </c>
      <c r="AA840">
        <v>0.99927299999999997</v>
      </c>
      <c r="AB840">
        <v>32</v>
      </c>
      <c r="AC840">
        <v>152.9436</v>
      </c>
      <c r="AD840">
        <v>13.298641999999999</v>
      </c>
      <c r="AE840">
        <v>-5.70320000000003</v>
      </c>
      <c r="AF840">
        <v>5.8121719870268098</v>
      </c>
      <c r="AG840">
        <v>13.298641999999999</v>
      </c>
      <c r="AH840">
        <v>151.79179153354701</v>
      </c>
      <c r="AI840">
        <v>84.996687547026696</v>
      </c>
      <c r="AJ840">
        <v>87.807191583771896</v>
      </c>
      <c r="AK840">
        <v>152.48404244121599</v>
      </c>
      <c r="AL840">
        <v>80.498699331313404</v>
      </c>
      <c r="AM840">
        <v>93.034123582900307</v>
      </c>
      <c r="AN840">
        <v>1.0000000276287699</v>
      </c>
    </row>
    <row r="841" spans="1:40" x14ac:dyDescent="0.25">
      <c r="A841" t="str">
        <f>"20190304155611072"</f>
        <v>20190304155611072</v>
      </c>
      <c r="B841" t="str">
        <f>"1551686171065342"</f>
        <v>1551686171065342</v>
      </c>
      <c r="C841" t="s">
        <v>40</v>
      </c>
      <c r="D841">
        <v>4.4164560000000002</v>
      </c>
      <c r="E841">
        <v>0.53406940000000003</v>
      </c>
      <c r="F841" t="s">
        <v>43</v>
      </c>
      <c r="G841">
        <v>-158.19499999999999</v>
      </c>
      <c r="H841">
        <v>16.660309999999999</v>
      </c>
      <c r="I841">
        <v>360.92419999999998</v>
      </c>
      <c r="J841">
        <v>-322.87220000000002</v>
      </c>
      <c r="K841">
        <v>1.1098509999999999</v>
      </c>
      <c r="L841">
        <v>367.00310000000002</v>
      </c>
      <c r="M841">
        <v>0.99993129999999997</v>
      </c>
      <c r="N841">
        <v>-1.168343E-2</v>
      </c>
      <c r="O841">
        <v>9.995351E-4</v>
      </c>
      <c r="P841">
        <v>0.98675230000000003</v>
      </c>
      <c r="Q841">
        <v>0.15315619999999999</v>
      </c>
      <c r="R841">
        <v>5.3508720000000003E-2</v>
      </c>
      <c r="S841">
        <v>3.0023499999999999</v>
      </c>
      <c r="T841">
        <v>0.28323749999999998</v>
      </c>
      <c r="U841">
        <v>-0.11071780000000001</v>
      </c>
      <c r="V841">
        <v>-5.2516649999999998E-2</v>
      </c>
      <c r="W841">
        <v>0.16467679999999901</v>
      </c>
      <c r="X841">
        <v>0.9849485</v>
      </c>
      <c r="Y841">
        <v>3.7698950000000002E-2</v>
      </c>
      <c r="Z841">
        <v>1.658659E-3</v>
      </c>
      <c r="AA841">
        <v>0.99928779999999995</v>
      </c>
      <c r="AB841">
        <v>32</v>
      </c>
      <c r="AC841">
        <v>164.6772</v>
      </c>
      <c r="AD841">
        <v>15.550459</v>
      </c>
      <c r="AE841">
        <v>-6.0789000000000302</v>
      </c>
      <c r="AF841">
        <v>6.1884018528676004</v>
      </c>
      <c r="AG841">
        <v>15.550459</v>
      </c>
      <c r="AH841">
        <v>163.21760796301899</v>
      </c>
      <c r="AI841">
        <v>84.561491002980404</v>
      </c>
      <c r="AJ841">
        <v>87.828668394286794</v>
      </c>
      <c r="AK841">
        <v>164.07346111352999</v>
      </c>
      <c r="AL841">
        <v>80.521540330428707</v>
      </c>
      <c r="AM841">
        <v>93.052074099024097</v>
      </c>
      <c r="AN841">
        <v>0.99999999731885603</v>
      </c>
    </row>
    <row r="842" spans="1:40" x14ac:dyDescent="0.25">
      <c r="A842" t="str">
        <f>"20190304155611082"</f>
        <v>20190304155611082</v>
      </c>
      <c r="B842" t="str">
        <f>"1551686171076077"</f>
        <v>1551686171076077</v>
      </c>
      <c r="C842" t="s">
        <v>40</v>
      </c>
      <c r="D842">
        <v>4.4497770000000001</v>
      </c>
      <c r="E842">
        <v>0.53458629999999996</v>
      </c>
      <c r="F842" t="s">
        <v>43</v>
      </c>
      <c r="G842">
        <v>-158.19499999999999</v>
      </c>
      <c r="H842">
        <v>17.63034</v>
      </c>
      <c r="I842">
        <v>360.7509</v>
      </c>
      <c r="J842">
        <v>-322.71719999999999</v>
      </c>
      <c r="K842">
        <v>1.10985</v>
      </c>
      <c r="L842">
        <v>367.00319999999999</v>
      </c>
      <c r="M842">
        <v>0.99993129999999997</v>
      </c>
      <c r="N842">
        <v>-1.168454E-2</v>
      </c>
      <c r="O842">
        <v>9.9952690000000002E-4</v>
      </c>
      <c r="P842">
        <v>0.98676989999999998</v>
      </c>
      <c r="Q842">
        <v>0.15308250000000001</v>
      </c>
      <c r="R842">
        <v>5.3396300000000001E-2</v>
      </c>
      <c r="S842">
        <v>2.9997859999999998</v>
      </c>
      <c r="T842">
        <v>0.30094130000000002</v>
      </c>
      <c r="U842">
        <v>-0.1138916</v>
      </c>
      <c r="V842">
        <v>-5.2404560000000003E-2</v>
      </c>
      <c r="W842">
        <v>0.16460439999999901</v>
      </c>
      <c r="X842">
        <v>0.98496660000000003</v>
      </c>
      <c r="Y842">
        <v>3.8760330000000003E-2</v>
      </c>
      <c r="Z842">
        <v>1.8232680000000001E-3</v>
      </c>
      <c r="AA842">
        <v>0.99924690000000005</v>
      </c>
      <c r="AB842">
        <v>32</v>
      </c>
      <c r="AC842">
        <v>164.5222</v>
      </c>
      <c r="AD842">
        <v>16.520489999999999</v>
      </c>
      <c r="AE842">
        <v>-6.2522999999999902</v>
      </c>
      <c r="AF842">
        <v>6.3527886243795901</v>
      </c>
      <c r="AG842">
        <v>16.520489999999999</v>
      </c>
      <c r="AH842">
        <v>162.875931714915</v>
      </c>
      <c r="AI842">
        <v>84.212672693991493</v>
      </c>
      <c r="AJ842">
        <v>87.766376146381305</v>
      </c>
      <c r="AK842">
        <v>163.83483648219601</v>
      </c>
      <c r="AL842">
        <v>80.525746198550195</v>
      </c>
      <c r="AM842">
        <v>93.0455162573313</v>
      </c>
      <c r="AN842">
        <v>1.0000000247618499</v>
      </c>
    </row>
    <row r="843" spans="1:40" x14ac:dyDescent="0.25">
      <c r="A843" t="str">
        <f>"20190304155611095"</f>
        <v>20190304155611095</v>
      </c>
      <c r="B843" t="str">
        <f>"1551686171085838"</f>
        <v>1551686171085838</v>
      </c>
      <c r="C843" t="s">
        <v>40</v>
      </c>
      <c r="D843">
        <v>4.3593859999999998</v>
      </c>
      <c r="E843">
        <v>0.53458570000000005</v>
      </c>
      <c r="F843" t="s">
        <v>43</v>
      </c>
      <c r="G843">
        <v>-158.19499999999999</v>
      </c>
      <c r="H843">
        <v>18.522349999999999</v>
      </c>
      <c r="I843">
        <v>360.53739999999999</v>
      </c>
      <c r="J843">
        <v>-322.54390000000001</v>
      </c>
      <c r="K843">
        <v>1.10985</v>
      </c>
      <c r="L843">
        <v>367.00330000000002</v>
      </c>
      <c r="M843">
        <v>0.99993129999999997</v>
      </c>
      <c r="N843">
        <v>-1.168573E-2</v>
      </c>
      <c r="O843">
        <v>9.9963750000000001E-4</v>
      </c>
      <c r="P843">
        <v>0.98678670000000002</v>
      </c>
      <c r="Q843">
        <v>0.15290309999999999</v>
      </c>
      <c r="R843">
        <v>5.3598550000000002E-2</v>
      </c>
      <c r="S843">
        <v>2.9973749999999999</v>
      </c>
      <c r="T843">
        <v>0.31723420000000002</v>
      </c>
      <c r="U843">
        <v>-0.1177979</v>
      </c>
      <c r="V843">
        <v>-5.2605760000000001E-2</v>
      </c>
      <c r="W843">
        <v>0.16442660000000001</v>
      </c>
      <c r="X843">
        <v>0.98498549999999996</v>
      </c>
      <c r="Y843">
        <v>4.0063469999999997E-2</v>
      </c>
      <c r="Z843">
        <v>1.9957360000000001E-3</v>
      </c>
      <c r="AA843">
        <v>0.99919519999999995</v>
      </c>
      <c r="AB843">
        <v>32</v>
      </c>
      <c r="AC843">
        <v>164.34889999999999</v>
      </c>
      <c r="AD843">
        <v>17.412499999999898</v>
      </c>
      <c r="AE843">
        <v>-6.4659000000000297</v>
      </c>
      <c r="AF843">
        <v>6.5567115634670099</v>
      </c>
      <c r="AG843">
        <v>17.412499999999898</v>
      </c>
      <c r="AH843">
        <v>162.520866820306</v>
      </c>
      <c r="AI843">
        <v>83.889586338353496</v>
      </c>
      <c r="AJ843">
        <v>87.689722625880606</v>
      </c>
      <c r="AK843">
        <v>163.582449470596</v>
      </c>
      <c r="AL843">
        <v>80.536073434969893</v>
      </c>
      <c r="AM843">
        <v>93.057128403301206</v>
      </c>
      <c r="AN843">
        <v>0.999999953991492</v>
      </c>
    </row>
    <row r="844" spans="1:40" x14ac:dyDescent="0.25">
      <c r="A844" t="str">
        <f>"20190304155611109"</f>
        <v>20190304155611109</v>
      </c>
      <c r="B844" t="str">
        <f>"1551686171105358"</f>
        <v>1551686171105358</v>
      </c>
      <c r="C844" t="s">
        <v>40</v>
      </c>
      <c r="D844">
        <v>4.4181970000000002</v>
      </c>
      <c r="E844">
        <v>0.53442149999999999</v>
      </c>
      <c r="F844" t="s">
        <v>43</v>
      </c>
      <c r="G844">
        <v>-158.19499999999999</v>
      </c>
      <c r="H844">
        <v>19.090299999999999</v>
      </c>
      <c r="I844">
        <v>360.59100000000001</v>
      </c>
      <c r="J844">
        <v>-322.33690000000001</v>
      </c>
      <c r="K844">
        <v>1.1098490000000001</v>
      </c>
      <c r="L844">
        <v>367.00349999999997</v>
      </c>
      <c r="M844">
        <v>0.99993129999999997</v>
      </c>
      <c r="N844">
        <v>-1.1687100000000001E-2</v>
      </c>
      <c r="O844">
        <v>9.9998540000000003E-4</v>
      </c>
      <c r="P844">
        <v>0.98675409999999997</v>
      </c>
      <c r="Q844">
        <v>0.15304300000000001</v>
      </c>
      <c r="R844">
        <v>5.379768E-2</v>
      </c>
      <c r="S844">
        <v>2.9956969999999998</v>
      </c>
      <c r="T844">
        <v>0.32774330000000002</v>
      </c>
      <c r="U844">
        <v>-0.11688229999999999</v>
      </c>
      <c r="V844">
        <v>-5.2805049999999999E-2</v>
      </c>
      <c r="W844">
        <v>0.164567299999999</v>
      </c>
      <c r="X844">
        <v>0.98495140000000003</v>
      </c>
      <c r="Y844">
        <v>3.97676E-2</v>
      </c>
      <c r="Z844">
        <v>2.0556789999999999E-3</v>
      </c>
      <c r="AA844">
        <v>0.99920679999999995</v>
      </c>
      <c r="AB844">
        <v>32</v>
      </c>
      <c r="AC844">
        <v>164.14189999999999</v>
      </c>
      <c r="AD844">
        <v>17.980450999999999</v>
      </c>
      <c r="AE844">
        <v>-6.4124999999999597</v>
      </c>
      <c r="AF844">
        <v>6.4987843271889902</v>
      </c>
      <c r="AG844">
        <v>17.980450999999999</v>
      </c>
      <c r="AH844">
        <v>162.192150232193</v>
      </c>
      <c r="AI844">
        <v>83.679111279016297</v>
      </c>
      <c r="AJ844">
        <v>87.7054756542028</v>
      </c>
      <c r="AK844">
        <v>163.31510772992499</v>
      </c>
      <c r="AL844">
        <v>80.527901167205698</v>
      </c>
      <c r="AM844">
        <v>93.068793876307595</v>
      </c>
      <c r="AN844">
        <v>1.0000000149483701</v>
      </c>
    </row>
    <row r="845" spans="1:40" x14ac:dyDescent="0.25">
      <c r="A845" t="str">
        <f>"20190304155611122"</f>
        <v>20190304155611122</v>
      </c>
      <c r="B845" t="str">
        <f>"1551686171116095"</f>
        <v>1551686171116095</v>
      </c>
      <c r="C845" t="s">
        <v>40</v>
      </c>
      <c r="D845">
        <v>4.5133519999999896</v>
      </c>
      <c r="E845">
        <v>0.53277959999999902</v>
      </c>
      <c r="F845" t="s">
        <v>43</v>
      </c>
      <c r="G845">
        <v>-158.19499999999999</v>
      </c>
      <c r="H845">
        <v>19.645160000000001</v>
      </c>
      <c r="I845">
        <v>360.7047</v>
      </c>
      <c r="J845">
        <v>-322.1481</v>
      </c>
      <c r="K845">
        <v>1.10985</v>
      </c>
      <c r="L845">
        <v>367.00380000000001</v>
      </c>
      <c r="M845">
        <v>0.99993120000000002</v>
      </c>
      <c r="N845">
        <v>-1.168836E-2</v>
      </c>
      <c r="O845">
        <v>1.0003340000000001E-3</v>
      </c>
      <c r="P845">
        <v>0.98674139999999999</v>
      </c>
      <c r="Q845">
        <v>0.15309679999999901</v>
      </c>
      <c r="R845">
        <v>5.3876640000000003E-2</v>
      </c>
      <c r="S845">
        <v>2.99411</v>
      </c>
      <c r="T845">
        <v>0.3381035</v>
      </c>
      <c r="U845">
        <v>-0.11489870000000001</v>
      </c>
      <c r="V845">
        <v>-5.2883939999999997E-2</v>
      </c>
      <c r="W845">
        <v>0.1646223</v>
      </c>
      <c r="X845">
        <v>0.98493799999999998</v>
      </c>
      <c r="Y845">
        <v>3.9116230000000002E-2</v>
      </c>
      <c r="Z845">
        <v>2.0956289999999999E-3</v>
      </c>
      <c r="AA845">
        <v>0.99923249999999997</v>
      </c>
      <c r="AB845">
        <v>32</v>
      </c>
      <c r="AC845">
        <v>163.95310000000001</v>
      </c>
      <c r="AD845">
        <v>18.535309999999999</v>
      </c>
      <c r="AE845">
        <v>-6.2991000000000099</v>
      </c>
      <c r="AF845">
        <v>6.3816727943402896</v>
      </c>
      <c r="AG845">
        <v>18.535309999999999</v>
      </c>
      <c r="AH845">
        <v>161.880788421289</v>
      </c>
      <c r="AI845">
        <v>83.4731191802626</v>
      </c>
      <c r="AJ845">
        <v>87.7424518230671</v>
      </c>
      <c r="AK845">
        <v>163.063402161087</v>
      </c>
      <c r="AL845">
        <v>80.524706549152498</v>
      </c>
      <c r="AM845">
        <v>93.073411561033893</v>
      </c>
      <c r="AN845">
        <v>1.0000000383056</v>
      </c>
    </row>
    <row r="846" spans="1:40" x14ac:dyDescent="0.25">
      <c r="A846" t="str">
        <f>"20190304155611136"</f>
        <v>20190304155611136</v>
      </c>
      <c r="B846" t="str">
        <f>"1551686171125853"</f>
        <v>1551686171125853</v>
      </c>
      <c r="C846" t="s">
        <v>40</v>
      </c>
      <c r="D846">
        <v>4.407934</v>
      </c>
      <c r="E846">
        <v>0.53217669999999995</v>
      </c>
      <c r="F846" t="s">
        <v>43</v>
      </c>
      <c r="G846">
        <v>-158.19499999999999</v>
      </c>
      <c r="H846">
        <v>19.225269999999998</v>
      </c>
      <c r="I846">
        <v>361.41980000000001</v>
      </c>
      <c r="J846">
        <v>-321.94409999999999</v>
      </c>
      <c r="K846">
        <v>1.1098509999999999</v>
      </c>
      <c r="L846">
        <v>367.00389999999999</v>
      </c>
      <c r="M846">
        <v>0.99993129999999997</v>
      </c>
      <c r="N846">
        <v>-1.1689720000000001E-2</v>
      </c>
      <c r="O846">
        <v>1.000325E-3</v>
      </c>
      <c r="P846">
        <v>0.98667590000000005</v>
      </c>
      <c r="Q846">
        <v>0.15351339999999999</v>
      </c>
      <c r="R846">
        <v>5.3894259999999999E-2</v>
      </c>
      <c r="S846">
        <v>2.9945369999999998</v>
      </c>
      <c r="T846">
        <v>0.33087240000000001</v>
      </c>
      <c r="U846">
        <v>-0.1019897</v>
      </c>
      <c r="V846">
        <v>-5.2901339999999998E-2</v>
      </c>
      <c r="W846">
        <v>0.16503989999999999</v>
      </c>
      <c r="X846">
        <v>0.98486719999999905</v>
      </c>
      <c r="Y846">
        <v>3.4841999999999998E-2</v>
      </c>
      <c r="Z846">
        <v>1.836039E-3</v>
      </c>
      <c r="AA846">
        <v>0.99939109999999998</v>
      </c>
      <c r="AB846">
        <v>32</v>
      </c>
      <c r="AC846">
        <v>163.7491</v>
      </c>
      <c r="AD846">
        <v>18.115418999999999</v>
      </c>
      <c r="AE846">
        <v>-5.5840999999999701</v>
      </c>
      <c r="AF846">
        <v>5.6784934631578103</v>
      </c>
      <c r="AG846">
        <v>18.115418999999999</v>
      </c>
      <c r="AH846">
        <v>161.765910441746</v>
      </c>
      <c r="AI846">
        <v>83.614231897630404</v>
      </c>
      <c r="AJ846">
        <v>87.989563003428998</v>
      </c>
      <c r="AK846">
        <v>162.876098536905</v>
      </c>
      <c r="AL846">
        <v>80.500448237136794</v>
      </c>
      <c r="AM846">
        <v>93.074641432130093</v>
      </c>
      <c r="AN846">
        <v>1.00000006100082</v>
      </c>
    </row>
    <row r="847" spans="1:40" x14ac:dyDescent="0.25">
      <c r="A847" t="str">
        <f>"20190304155611148"</f>
        <v>20190304155611148</v>
      </c>
      <c r="B847" t="str">
        <f>"1551686171145374"</f>
        <v>1551686171145374</v>
      </c>
      <c r="C847" t="s">
        <v>40</v>
      </c>
      <c r="D847">
        <v>4.3754619999999997</v>
      </c>
      <c r="E847">
        <v>0.53127579999999996</v>
      </c>
      <c r="F847" t="s">
        <v>43</v>
      </c>
      <c r="G847">
        <v>-158.19499999999999</v>
      </c>
      <c r="H847">
        <v>19.27731</v>
      </c>
      <c r="I847">
        <v>361.68650000000002</v>
      </c>
      <c r="J847">
        <v>-321.774</v>
      </c>
      <c r="K847">
        <v>1.1098520000000001</v>
      </c>
      <c r="L847">
        <v>367.00409999999999</v>
      </c>
      <c r="M847">
        <v>0.99993129999999997</v>
      </c>
      <c r="N847">
        <v>-1.1690870000000001E-2</v>
      </c>
      <c r="O847">
        <v>1.000496E-3</v>
      </c>
      <c r="P847">
        <v>0.98659240000000004</v>
      </c>
      <c r="Q847">
        <v>0.15395639999999999</v>
      </c>
      <c r="R847">
        <v>5.4156679999999999E-2</v>
      </c>
      <c r="S847">
        <v>2.9941409999999999</v>
      </c>
      <c r="T847">
        <v>0.33219219999999999</v>
      </c>
      <c r="U847">
        <v>-9.7228999999999996E-2</v>
      </c>
      <c r="V847">
        <v>-5.3163599999999998E-2</v>
      </c>
      <c r="W847">
        <v>0.1654825</v>
      </c>
      <c r="X847">
        <v>0.98477879999999995</v>
      </c>
      <c r="Y847">
        <v>3.3266240000000002E-2</v>
      </c>
      <c r="Z847">
        <v>1.766522E-3</v>
      </c>
      <c r="AA847">
        <v>0.99944500000000003</v>
      </c>
      <c r="AB847">
        <v>32</v>
      </c>
      <c r="AC847">
        <v>163.57900000000001</v>
      </c>
      <c r="AD847">
        <v>18.167458</v>
      </c>
      <c r="AE847">
        <v>-5.3175999999999597</v>
      </c>
      <c r="AF847">
        <v>5.41455155684912</v>
      </c>
      <c r="AG847">
        <v>18.167458</v>
      </c>
      <c r="AH847">
        <v>161.582607233354</v>
      </c>
      <c r="AI847">
        <v>83.588488542676004</v>
      </c>
      <c r="AJ847">
        <v>88.080765512950407</v>
      </c>
      <c r="AK847">
        <v>162.69085056963701</v>
      </c>
      <c r="AL847">
        <v>80.474735520693301</v>
      </c>
      <c r="AM847">
        <v>93.090131424834894</v>
      </c>
      <c r="AN847">
        <v>1.0000000555503199</v>
      </c>
    </row>
    <row r="848" spans="1:40" x14ac:dyDescent="0.25">
      <c r="A848" t="str">
        <f>"20190304155611159"</f>
        <v>20190304155611159</v>
      </c>
      <c r="B848" t="str">
        <f>"1551686171155134"</f>
        <v>1551686171155134</v>
      </c>
      <c r="C848" t="s">
        <v>40</v>
      </c>
      <c r="D848">
        <v>4.3666260000000001</v>
      </c>
      <c r="E848">
        <v>0.53071480000000004</v>
      </c>
      <c r="F848" t="s">
        <v>43</v>
      </c>
      <c r="G848">
        <v>-158.19499999999999</v>
      </c>
      <c r="H848">
        <v>19.246420000000001</v>
      </c>
      <c r="I848">
        <v>362.14019999999999</v>
      </c>
      <c r="J848">
        <v>-321.6259</v>
      </c>
      <c r="K848">
        <v>1.109855</v>
      </c>
      <c r="L848">
        <v>367.00420000000003</v>
      </c>
      <c r="M848">
        <v>0.99993129999999997</v>
      </c>
      <c r="N848">
        <v>-1.169187E-2</v>
      </c>
      <c r="O848">
        <v>1.000489E-3</v>
      </c>
      <c r="P848">
        <v>0.98657550000000005</v>
      </c>
      <c r="Q848">
        <v>0.15408169999999999</v>
      </c>
      <c r="R848">
        <v>5.4107559999999999E-2</v>
      </c>
      <c r="S848">
        <v>2.9938349999999998</v>
      </c>
      <c r="T848">
        <v>0.33193830000000002</v>
      </c>
      <c r="U848">
        <v>-8.9019780000000007E-2</v>
      </c>
      <c r="V848">
        <v>-5.3114559999999998E-2</v>
      </c>
      <c r="W848">
        <v>0.16560849999999999</v>
      </c>
      <c r="X848">
        <v>0.98476019999999997</v>
      </c>
      <c r="Y848">
        <v>3.0546670000000001E-2</v>
      </c>
      <c r="Z848">
        <v>1.630987E-3</v>
      </c>
      <c r="AA848">
        <v>0.99953199999999998</v>
      </c>
      <c r="AB848">
        <v>32</v>
      </c>
      <c r="AC848">
        <v>163.43090000000001</v>
      </c>
      <c r="AD848">
        <v>18.136565000000001</v>
      </c>
      <c r="AE848">
        <v>-4.8640000000000301</v>
      </c>
      <c r="AF848">
        <v>4.9664112779811296</v>
      </c>
      <c r="AG848">
        <v>18.136565000000001</v>
      </c>
      <c r="AH848">
        <v>161.43954944218501</v>
      </c>
      <c r="AI848">
        <v>83.593115596520605</v>
      </c>
      <c r="AJ848">
        <v>88.237949176921802</v>
      </c>
      <c r="AK848">
        <v>162.53100736498499</v>
      </c>
      <c r="AL848">
        <v>80.4674146338848</v>
      </c>
      <c r="AM848">
        <v>93.087344693511398</v>
      </c>
      <c r="AN848">
        <v>0.99999999163014097</v>
      </c>
    </row>
    <row r="849" spans="1:40" x14ac:dyDescent="0.25">
      <c r="A849" t="str">
        <f>"20190304155611169"</f>
        <v>20190304155611169</v>
      </c>
      <c r="B849" t="str">
        <f>"1551686171165870"</f>
        <v>1551686171165870</v>
      </c>
      <c r="C849" t="s">
        <v>40</v>
      </c>
      <c r="D849">
        <v>4.4240059999999897</v>
      </c>
      <c r="E849">
        <v>0.53003129999999998</v>
      </c>
      <c r="F849" t="s">
        <v>43</v>
      </c>
      <c r="G849">
        <v>-158.19499999999999</v>
      </c>
      <c r="H849">
        <v>18.869009999999999</v>
      </c>
      <c r="I849">
        <v>362.36250000000001</v>
      </c>
      <c r="J849">
        <v>-321.45859999999999</v>
      </c>
      <c r="K849">
        <v>1.1098629999999901</v>
      </c>
      <c r="L849">
        <v>367.00439999999998</v>
      </c>
      <c r="M849">
        <v>0.99993129999999997</v>
      </c>
      <c r="N849">
        <v>-1.169301E-2</v>
      </c>
      <c r="O849">
        <v>1.0004809999999999E-3</v>
      </c>
      <c r="P849">
        <v>0.98653020000000002</v>
      </c>
      <c r="Q849">
        <v>0.1542675</v>
      </c>
      <c r="R849">
        <v>5.4402310000000002E-2</v>
      </c>
      <c r="S849">
        <v>2.994659</v>
      </c>
      <c r="T849">
        <v>0.32541500000000001</v>
      </c>
      <c r="U849">
        <v>-8.5052489999999994E-2</v>
      </c>
      <c r="V849">
        <v>-5.3409159999999997E-2</v>
      </c>
      <c r="W849">
        <v>0.1657952</v>
      </c>
      <c r="X849">
        <v>0.98471280000000005</v>
      </c>
      <c r="Y849">
        <v>2.9229539999999998E-2</v>
      </c>
      <c r="Z849">
        <v>1.5317970000000001E-3</v>
      </c>
      <c r="AA849">
        <v>0.9995716</v>
      </c>
      <c r="AB849">
        <v>32</v>
      </c>
      <c r="AC849">
        <v>163.2636</v>
      </c>
      <c r="AD849">
        <v>17.759146999999999</v>
      </c>
      <c r="AE849">
        <v>-4.6418999999999597</v>
      </c>
      <c r="AF849">
        <v>4.74910399096178</v>
      </c>
      <c r="AG849">
        <v>17.759146999999999</v>
      </c>
      <c r="AH849">
        <v>161.351275475298</v>
      </c>
      <c r="AI849">
        <v>83.721712406150701</v>
      </c>
      <c r="AJ849">
        <v>88.3140816280427</v>
      </c>
      <c r="AK849">
        <v>162.39512119638999</v>
      </c>
      <c r="AL849">
        <v>80.456567088369297</v>
      </c>
      <c r="AM849">
        <v>93.104584395853095</v>
      </c>
      <c r="AN849">
        <v>0.99999994259939096</v>
      </c>
    </row>
    <row r="850" spans="1:40" x14ac:dyDescent="0.25">
      <c r="A850" t="str">
        <f>"20190304155611182"</f>
        <v>20190304155611182</v>
      </c>
      <c r="B850" t="str">
        <f>"1551686171175630"</f>
        <v>1551686171175630</v>
      </c>
      <c r="C850" t="s">
        <v>40</v>
      </c>
      <c r="D850">
        <v>4.3596959999999996</v>
      </c>
      <c r="E850">
        <v>0.52967989999999998</v>
      </c>
      <c r="F850" t="s">
        <v>43</v>
      </c>
      <c r="G850">
        <v>-158.19499999999999</v>
      </c>
      <c r="H850">
        <v>18.565860000000001</v>
      </c>
      <c r="I850">
        <v>362.70440000000002</v>
      </c>
      <c r="J850">
        <v>-321.28120000000001</v>
      </c>
      <c r="K850">
        <v>1.109864</v>
      </c>
      <c r="L850">
        <v>367.00459999999998</v>
      </c>
      <c r="M850">
        <v>0.99993109999999996</v>
      </c>
      <c r="N850">
        <v>-1.16942E-2</v>
      </c>
      <c r="O850">
        <v>1.000772E-3</v>
      </c>
      <c r="P850">
        <v>0.98644670000000001</v>
      </c>
      <c r="Q850">
        <v>0.15476670000000001</v>
      </c>
      <c r="R850">
        <v>5.4498940000000003E-2</v>
      </c>
      <c r="S850">
        <v>2.9952390000000002</v>
      </c>
      <c r="T850">
        <v>0.32024960000000002</v>
      </c>
      <c r="U850">
        <v>-7.8887940000000004E-2</v>
      </c>
      <c r="V850">
        <v>-5.3505539999999997E-2</v>
      </c>
      <c r="W850">
        <v>0.16629449999999901</v>
      </c>
      <c r="X850">
        <v>0.98462340000000004</v>
      </c>
      <c r="Y850">
        <v>2.718431E-2</v>
      </c>
      <c r="Z850">
        <v>1.407848E-3</v>
      </c>
      <c r="AA850">
        <v>0.9996294</v>
      </c>
      <c r="AB850">
        <v>32</v>
      </c>
      <c r="AC850">
        <v>163.08619999999999</v>
      </c>
      <c r="AD850">
        <v>17.455995999999999</v>
      </c>
      <c r="AE850">
        <v>-4.3001999999999603</v>
      </c>
      <c r="AF850">
        <v>4.4128995197407503</v>
      </c>
      <c r="AG850">
        <v>17.455995999999999</v>
      </c>
      <c r="AH850">
        <v>161.23588670288001</v>
      </c>
      <c r="AI850">
        <v>83.823307537667603</v>
      </c>
      <c r="AJ850">
        <v>88.432250912943303</v>
      </c>
      <c r="AK850">
        <v>162.238086278738</v>
      </c>
      <c r="AL850">
        <v>80.427556866725297</v>
      </c>
      <c r="AM850">
        <v>93.110457651073801</v>
      </c>
      <c r="AN850">
        <v>0.99999997168425003</v>
      </c>
    </row>
    <row r="851" spans="1:40" x14ac:dyDescent="0.25">
      <c r="A851" t="str">
        <f>"20190304155611194"</f>
        <v>20190304155611194</v>
      </c>
      <c r="B851" t="str">
        <f>"1551686171185392"</f>
        <v>1551686171185392</v>
      </c>
      <c r="C851" t="s">
        <v>40</v>
      </c>
      <c r="D851">
        <v>4.4830730000000001</v>
      </c>
      <c r="E851">
        <v>0.52904960000000001</v>
      </c>
      <c r="F851" t="s">
        <v>43</v>
      </c>
      <c r="G851">
        <v>-158.19499999999999</v>
      </c>
      <c r="H851">
        <v>18.399370000000001</v>
      </c>
      <c r="I851">
        <v>362.88589999999999</v>
      </c>
      <c r="J851">
        <v>-321.11610000000002</v>
      </c>
      <c r="K851">
        <v>1.109829</v>
      </c>
      <c r="L851">
        <v>367.00470000000001</v>
      </c>
      <c r="M851">
        <v>0.99993270000000001</v>
      </c>
      <c r="N851">
        <v>-1.1559460000000001E-2</v>
      </c>
      <c r="O851">
        <v>1.000901E-3</v>
      </c>
      <c r="P851">
        <v>0.98634869999999997</v>
      </c>
      <c r="Q851">
        <v>0.15535089999999999</v>
      </c>
      <c r="R851">
        <v>5.4613630000000003E-2</v>
      </c>
      <c r="S851">
        <v>2.9955750000000001</v>
      </c>
      <c r="T851">
        <v>0.31757590000000002</v>
      </c>
      <c r="U851">
        <v>-7.5653079999999998E-2</v>
      </c>
      <c r="V851">
        <v>-5.3620210000000001E-2</v>
      </c>
      <c r="W851">
        <v>0.16674449999999999</v>
      </c>
      <c r="X851">
        <v>0.98454109999999995</v>
      </c>
      <c r="Y851">
        <v>2.611045E-2</v>
      </c>
      <c r="Z851">
        <v>1.345979E-3</v>
      </c>
      <c r="AA851">
        <v>0.99965820000000005</v>
      </c>
      <c r="AB851">
        <v>32</v>
      </c>
      <c r="AC851">
        <v>162.9211</v>
      </c>
      <c r="AD851">
        <v>17.289541</v>
      </c>
      <c r="AE851">
        <v>-4.1188000000000198</v>
      </c>
      <c r="AF851">
        <v>4.2342217326787601</v>
      </c>
      <c r="AG851">
        <v>17.289541</v>
      </c>
      <c r="AH851">
        <v>161.10371800298299</v>
      </c>
      <c r="AI851">
        <v>83.876599460429802</v>
      </c>
      <c r="AJ851">
        <v>88.494465555157106</v>
      </c>
      <c r="AK851">
        <v>162.084128822216</v>
      </c>
      <c r="AL851">
        <v>80.401409121529099</v>
      </c>
      <c r="AM851">
        <v>93.117370725857</v>
      </c>
      <c r="AN851">
        <v>1.0000000163949501</v>
      </c>
    </row>
    <row r="852" spans="1:40" x14ac:dyDescent="0.25">
      <c r="A852" t="str">
        <f>"20190304155611204"</f>
        <v>20190304155611204</v>
      </c>
      <c r="B852" t="str">
        <f>"1551686171196126"</f>
        <v>1551686171196126</v>
      </c>
      <c r="C852" t="s">
        <v>40</v>
      </c>
      <c r="D852">
        <v>4.3152210000000002</v>
      </c>
      <c r="E852">
        <v>0.52869359999999999</v>
      </c>
      <c r="F852" t="s">
        <v>43</v>
      </c>
      <c r="G852">
        <v>-158.19499999999999</v>
      </c>
      <c r="H852">
        <v>18.253990000000002</v>
      </c>
      <c r="I852">
        <v>363.16930000000002</v>
      </c>
      <c r="J852">
        <v>-320.94420000000002</v>
      </c>
      <c r="K852">
        <v>1.1097189999999999</v>
      </c>
      <c r="L852">
        <v>367.00490000000002</v>
      </c>
      <c r="M852">
        <v>0.99993759999999998</v>
      </c>
      <c r="N852">
        <v>-1.1139380000000001E-2</v>
      </c>
      <c r="O852">
        <v>1.000908E-3</v>
      </c>
      <c r="P852">
        <v>0.9862204</v>
      </c>
      <c r="Q852">
        <v>0.15612789999999999</v>
      </c>
      <c r="R852">
        <v>5.4714649999999997E-2</v>
      </c>
      <c r="S852">
        <v>2.995819</v>
      </c>
      <c r="T852">
        <v>0.315251</v>
      </c>
      <c r="U852">
        <v>-7.0526119999999998E-2</v>
      </c>
      <c r="V852">
        <v>-5.3721079999999997E-2</v>
      </c>
      <c r="W852">
        <v>0.16710649999999999</v>
      </c>
      <c r="X852">
        <v>0.98447419999999997</v>
      </c>
      <c r="Y852">
        <v>2.4408570000000001E-2</v>
      </c>
      <c r="Z852">
        <v>1.26038E-3</v>
      </c>
      <c r="AA852">
        <v>0.99970130000000001</v>
      </c>
      <c r="AB852">
        <v>32</v>
      </c>
      <c r="AC852">
        <v>162.7492</v>
      </c>
      <c r="AD852">
        <v>17.1442709999999</v>
      </c>
      <c r="AE852">
        <v>-3.8355999999999999</v>
      </c>
      <c r="AF852">
        <v>3.9546453323309598</v>
      </c>
      <c r="AG852">
        <v>17.1442709999999</v>
      </c>
      <c r="AH852">
        <v>160.96011790347799</v>
      </c>
      <c r="AI852">
        <v>83.922023894095005</v>
      </c>
      <c r="AJ852">
        <v>88.592577375086805</v>
      </c>
      <c r="AK852">
        <v>161.918883405635</v>
      </c>
      <c r="AL852">
        <v>80.380372679970506</v>
      </c>
      <c r="AM852">
        <v>93.123435323392997</v>
      </c>
      <c r="AN852">
        <v>0.99999999362212799</v>
      </c>
    </row>
    <row r="853" spans="1:40" x14ac:dyDescent="0.25">
      <c r="A853" t="str">
        <f>"20190304155611216"</f>
        <v>20190304155611216</v>
      </c>
      <c r="B853" t="str">
        <f>"1551686171205886"</f>
        <v>1551686171205886</v>
      </c>
      <c r="C853" t="s">
        <v>40</v>
      </c>
      <c r="D853">
        <v>4.2752059999999998</v>
      </c>
      <c r="E853">
        <v>0.52840580000000004</v>
      </c>
      <c r="F853" t="s">
        <v>43</v>
      </c>
      <c r="G853">
        <v>-158.19499999999999</v>
      </c>
      <c r="H853">
        <v>18.195270000000001</v>
      </c>
      <c r="I853">
        <v>363.33780000000002</v>
      </c>
      <c r="J853">
        <v>-320.78359999999998</v>
      </c>
      <c r="K853">
        <v>1.109588</v>
      </c>
      <c r="L853">
        <v>367.00510000000003</v>
      </c>
      <c r="M853">
        <v>0.99994159999999999</v>
      </c>
      <c r="N853">
        <v>-1.0759970000000001E-2</v>
      </c>
      <c r="O853">
        <v>1.000967E-3</v>
      </c>
      <c r="P853">
        <v>0.98613700000000004</v>
      </c>
      <c r="Q853">
        <v>0.1566282</v>
      </c>
      <c r="R853">
        <v>5.4787589999999997E-2</v>
      </c>
      <c r="S853">
        <v>2.9958800000000001</v>
      </c>
      <c r="T853">
        <v>0.3145114</v>
      </c>
      <c r="U853">
        <v>-6.7504880000000003E-2</v>
      </c>
      <c r="V853">
        <v>-5.3794090000000003E-2</v>
      </c>
      <c r="W853">
        <v>0.16723250000000001</v>
      </c>
      <c r="X853">
        <v>0.98444880000000001</v>
      </c>
      <c r="Y853">
        <v>2.3405619999999999E-2</v>
      </c>
      <c r="Z853">
        <v>1.2143239999999999E-3</v>
      </c>
      <c r="AA853">
        <v>0.99972530000000004</v>
      </c>
      <c r="AB853">
        <v>32</v>
      </c>
      <c r="AC853">
        <v>162.58860000000001</v>
      </c>
      <c r="AD853">
        <v>17.085681999999998</v>
      </c>
      <c r="AE853">
        <v>-3.6673000000000102</v>
      </c>
      <c r="AF853">
        <v>3.7882413839044302</v>
      </c>
      <c r="AG853">
        <v>17.085681999999998</v>
      </c>
      <c r="AH853">
        <v>160.80993704983999</v>
      </c>
      <c r="AI853">
        <v>83.936878834616707</v>
      </c>
      <c r="AJ853">
        <v>88.650518057888206</v>
      </c>
      <c r="AK853">
        <v>161.75941133721199</v>
      </c>
      <c r="AL853">
        <v>80.373050207034396</v>
      </c>
      <c r="AM853">
        <v>93.127752364895898</v>
      </c>
      <c r="AN853">
        <v>0.99999997649830796</v>
      </c>
    </row>
    <row r="854" spans="1:40" x14ac:dyDescent="0.25">
      <c r="A854" t="str">
        <f>"20190304155611226"</f>
        <v>20190304155611226</v>
      </c>
      <c r="B854" t="str">
        <f>"1551686171215646"</f>
        <v>1551686171215646</v>
      </c>
      <c r="C854" t="s">
        <v>40</v>
      </c>
      <c r="D854">
        <v>4.3346839999999904</v>
      </c>
      <c r="E854">
        <v>0.52813949999999998</v>
      </c>
      <c r="F854" t="s">
        <v>43</v>
      </c>
      <c r="G854">
        <v>-158.19499999999999</v>
      </c>
      <c r="H854">
        <v>18.10427</v>
      </c>
      <c r="I854">
        <v>363.48079999999999</v>
      </c>
      <c r="J854">
        <v>-320.63040000000001</v>
      </c>
      <c r="K854">
        <v>1.109445</v>
      </c>
      <c r="L854">
        <v>367.0052</v>
      </c>
      <c r="M854">
        <v>0.99994550000000004</v>
      </c>
      <c r="N854">
        <v>-1.0406840000000001E-2</v>
      </c>
      <c r="O854">
        <v>1.000698E-3</v>
      </c>
      <c r="P854">
        <v>0.98605279999999995</v>
      </c>
      <c r="Q854">
        <v>0.15714879999999901</v>
      </c>
      <c r="R854">
        <v>5.4815210000000003E-2</v>
      </c>
      <c r="S854">
        <v>2.9960019999999998</v>
      </c>
      <c r="T854">
        <v>0.31316070000000001</v>
      </c>
      <c r="U854">
        <v>-6.4941410000000005E-2</v>
      </c>
      <c r="V854">
        <v>-5.382253E-2</v>
      </c>
      <c r="W854">
        <v>0.1674051</v>
      </c>
      <c r="X854">
        <v>0.98441789999999996</v>
      </c>
      <c r="Y854">
        <v>2.2554319999999999E-2</v>
      </c>
      <c r="Z854">
        <v>1.172441E-3</v>
      </c>
      <c r="AA854">
        <v>0.99974499999999999</v>
      </c>
      <c r="AB854">
        <v>33</v>
      </c>
      <c r="AC854">
        <v>162.43539999999999</v>
      </c>
      <c r="AD854">
        <v>16.994824999999999</v>
      </c>
      <c r="AE854">
        <v>-3.5244000000000102</v>
      </c>
      <c r="AF854">
        <v>3.64705241801911</v>
      </c>
      <c r="AG854">
        <v>16.994824999999999</v>
      </c>
      <c r="AH854">
        <v>160.673816450418</v>
      </c>
      <c r="AI854">
        <v>83.963691881233501</v>
      </c>
      <c r="AJ854">
        <v>88.699695819025607</v>
      </c>
      <c r="AK854">
        <v>161.61126310026501</v>
      </c>
      <c r="AL854">
        <v>80.363019459519904</v>
      </c>
      <c r="AM854">
        <v>93.129500701302106</v>
      </c>
      <c r="AN854">
        <v>0.99999996704100902</v>
      </c>
    </row>
    <row r="855" spans="1:40" x14ac:dyDescent="0.25">
      <c r="A855" t="str">
        <f>"20190304155611238"</f>
        <v>20190304155611238</v>
      </c>
      <c r="B855" t="str">
        <f>"1551686171225406"</f>
        <v>1551686171225406</v>
      </c>
      <c r="C855" t="s">
        <v>40</v>
      </c>
      <c r="D855">
        <v>4.3240449999999999</v>
      </c>
      <c r="E855">
        <v>0.52797380000000005</v>
      </c>
      <c r="F855" t="s">
        <v>43</v>
      </c>
      <c r="G855">
        <v>-158.19499999999999</v>
      </c>
      <c r="H855">
        <v>18.056920000000002</v>
      </c>
      <c r="I855">
        <v>363.61509999999998</v>
      </c>
      <c r="J855">
        <v>-320.4769</v>
      </c>
      <c r="K855">
        <v>1.1092839999999999</v>
      </c>
      <c r="L855">
        <v>367.00540000000001</v>
      </c>
      <c r="M855">
        <v>0.99994749999999999</v>
      </c>
      <c r="N855">
        <v>-1.020125E-2</v>
      </c>
      <c r="O855">
        <v>1.000391E-3</v>
      </c>
      <c r="P855">
        <v>0.98597780000000002</v>
      </c>
      <c r="Q855">
        <v>0.1575183</v>
      </c>
      <c r="R855">
        <v>5.5096270000000003E-2</v>
      </c>
      <c r="S855">
        <v>2.9960939999999998</v>
      </c>
      <c r="T855">
        <v>0.31259490000000001</v>
      </c>
      <c r="U855">
        <v>-6.2530520000000006E-2</v>
      </c>
      <c r="V855">
        <v>-5.4103569999999997E-2</v>
      </c>
      <c r="W855">
        <v>0.167571</v>
      </c>
      <c r="X855">
        <v>0.98437430000000004</v>
      </c>
      <c r="Y855">
        <v>2.1753390000000001E-2</v>
      </c>
      <c r="Z855">
        <v>1.1346310000000001E-3</v>
      </c>
      <c r="AA855">
        <v>0.9997627</v>
      </c>
      <c r="AB855">
        <v>33</v>
      </c>
      <c r="AC855">
        <v>162.28190000000001</v>
      </c>
      <c r="AD855">
        <v>16.947635999999999</v>
      </c>
      <c r="AE855">
        <v>-3.3903000000000199</v>
      </c>
      <c r="AF855">
        <v>3.5143403121935299</v>
      </c>
      <c r="AG855">
        <v>16.947635999999999</v>
      </c>
      <c r="AH855">
        <v>160.52841709166401</v>
      </c>
      <c r="AI855">
        <v>83.974809772010701</v>
      </c>
      <c r="AJ855">
        <v>88.745862494677297</v>
      </c>
      <c r="AK855">
        <v>161.45880480101999</v>
      </c>
      <c r="AL855">
        <v>80.353378208903294</v>
      </c>
      <c r="AM855">
        <v>93.1459480373465</v>
      </c>
      <c r="AN855">
        <v>0.99999999941411699</v>
      </c>
    </row>
    <row r="856" spans="1:40" x14ac:dyDescent="0.25">
      <c r="A856" t="str">
        <f>"20190304155611247"</f>
        <v>20190304155611247</v>
      </c>
      <c r="B856" t="str">
        <f>"1551686171245902"</f>
        <v>1551686171245902</v>
      </c>
      <c r="C856" t="s">
        <v>40</v>
      </c>
      <c r="D856">
        <v>4.2033160000000001</v>
      </c>
      <c r="E856">
        <v>0.52794949999999996</v>
      </c>
      <c r="F856" t="s">
        <v>43</v>
      </c>
      <c r="G856">
        <v>-158.19499999999999</v>
      </c>
      <c r="H856">
        <v>17.996379999999998</v>
      </c>
      <c r="I856">
        <v>363.74090000000001</v>
      </c>
      <c r="J856">
        <v>-320.30720000000002</v>
      </c>
      <c r="K856">
        <v>1.1090979999999999</v>
      </c>
      <c r="L856">
        <v>367.00560000000002</v>
      </c>
      <c r="M856">
        <v>0.99994919999999998</v>
      </c>
      <c r="N856">
        <v>-1.004186E-2</v>
      </c>
      <c r="O856">
        <v>1.000187E-3</v>
      </c>
      <c r="P856">
        <v>0.98590880000000003</v>
      </c>
      <c r="Q856">
        <v>0.15793409999999999</v>
      </c>
      <c r="R856">
        <v>5.5146870000000001E-2</v>
      </c>
      <c r="S856">
        <v>2.9961850000000001</v>
      </c>
      <c r="T856">
        <v>0.31178519999999998</v>
      </c>
      <c r="U856">
        <v>-6.0272220000000001E-2</v>
      </c>
      <c r="V856">
        <v>-5.4154670000000002E-2</v>
      </c>
      <c r="W856">
        <v>0.16782910000000001</v>
      </c>
      <c r="X856">
        <v>0.98432759999999997</v>
      </c>
      <c r="Y856">
        <v>2.1003419999999998E-2</v>
      </c>
      <c r="Z856">
        <v>1.0978400000000001E-3</v>
      </c>
      <c r="AA856">
        <v>0.99977879999999997</v>
      </c>
      <c r="AB856">
        <v>33</v>
      </c>
      <c r="AC856">
        <v>162.1122</v>
      </c>
      <c r="AD856">
        <v>16.887281999999999</v>
      </c>
      <c r="AE856">
        <v>-3.2646999999999999</v>
      </c>
      <c r="AF856">
        <v>3.3900766751823501</v>
      </c>
      <c r="AG856">
        <v>16.887281999999999</v>
      </c>
      <c r="AH856">
        <v>160.36931792492101</v>
      </c>
      <c r="AI856">
        <v>83.990100307775705</v>
      </c>
      <c r="AJ856">
        <v>88.788994282776201</v>
      </c>
      <c r="AK856">
        <v>161.29163352423299</v>
      </c>
      <c r="AL856">
        <v>80.338378514613296</v>
      </c>
      <c r="AM856">
        <v>93.149062455704694</v>
      </c>
      <c r="AN856">
        <v>1.00000007960568</v>
      </c>
    </row>
    <row r="857" spans="1:40" x14ac:dyDescent="0.25">
      <c r="A857" t="str">
        <f>"20190304155611268"</f>
        <v>20190304155611268</v>
      </c>
      <c r="B857" t="str">
        <f>"1551686171265422"</f>
        <v>1551686171265422</v>
      </c>
      <c r="C857" t="s">
        <v>40</v>
      </c>
      <c r="D857">
        <v>4.1946539999999999</v>
      </c>
      <c r="E857">
        <v>0.52779290000000001</v>
      </c>
      <c r="F857" t="s">
        <v>43</v>
      </c>
      <c r="G857">
        <v>-158.19499999999999</v>
      </c>
      <c r="H857">
        <v>18.137180000000001</v>
      </c>
      <c r="I857">
        <v>363.75729999999999</v>
      </c>
      <c r="J857">
        <v>-320.02089999999998</v>
      </c>
      <c r="K857">
        <v>1.1086849999999999</v>
      </c>
      <c r="L857">
        <v>367.0059</v>
      </c>
      <c r="M857">
        <v>0.99994780000000005</v>
      </c>
      <c r="N857">
        <v>-1.016589E-2</v>
      </c>
      <c r="O857">
        <v>9.9991319999999991E-4</v>
      </c>
      <c r="P857">
        <v>0.98589340000000003</v>
      </c>
      <c r="Q857">
        <v>0.1580512</v>
      </c>
      <c r="R857">
        <v>5.5083849999999997E-2</v>
      </c>
      <c r="S857">
        <v>2.9957889999999998</v>
      </c>
      <c r="T857">
        <v>0.3146757</v>
      </c>
      <c r="U857">
        <v>-6.0028079999999998E-2</v>
      </c>
      <c r="V857">
        <v>-5.4091409999999999E-2</v>
      </c>
      <c r="W857">
        <v>0.16806789999999999</v>
      </c>
      <c r="X857">
        <v>0.9842902</v>
      </c>
      <c r="Y857">
        <v>2.0922739999999999E-2</v>
      </c>
      <c r="Z857">
        <v>1.1039719999999999E-3</v>
      </c>
      <c r="AA857">
        <v>0.99978049999999996</v>
      </c>
      <c r="AB857">
        <v>33</v>
      </c>
      <c r="AC857">
        <v>161.82589999999999</v>
      </c>
      <c r="AD857">
        <v>17.0284949999999</v>
      </c>
      <c r="AE857">
        <v>-3.2486000000000099</v>
      </c>
      <c r="AF857">
        <v>3.3730842384760802</v>
      </c>
      <c r="AG857">
        <v>17.0284949999999</v>
      </c>
      <c r="AH857">
        <v>160.051074983288</v>
      </c>
      <c r="AI857">
        <v>83.928249962215901</v>
      </c>
      <c r="AJ857">
        <v>88.792667370120995</v>
      </c>
      <c r="AK857">
        <v>160.98973241344001</v>
      </c>
      <c r="AL857">
        <v>80.324497859243706</v>
      </c>
      <c r="AM857">
        <v>93.145510589407905</v>
      </c>
      <c r="AN857">
        <v>0.99999994873111697</v>
      </c>
    </row>
    <row r="858" spans="1:40" x14ac:dyDescent="0.25">
      <c r="A858" t="str">
        <f>"20190304155611282"</f>
        <v>20190304155611282</v>
      </c>
      <c r="B858" t="str">
        <f>"1551686171275185"</f>
        <v>1551686171275185</v>
      </c>
      <c r="C858" t="s">
        <v>40</v>
      </c>
      <c r="D858">
        <v>4.1841889999999999</v>
      </c>
      <c r="E858">
        <v>0.52768369999999998</v>
      </c>
      <c r="F858" t="s">
        <v>43</v>
      </c>
      <c r="G858">
        <v>-158.19499999999999</v>
      </c>
      <c r="H858">
        <v>18.268940000000001</v>
      </c>
      <c r="I858">
        <v>363.81389999999999</v>
      </c>
      <c r="J858">
        <v>-319.8125</v>
      </c>
      <c r="K858">
        <v>1.108276</v>
      </c>
      <c r="L858">
        <v>367.0061</v>
      </c>
      <c r="M858">
        <v>0.99994459999999996</v>
      </c>
      <c r="N858">
        <v>-1.049545E-2</v>
      </c>
      <c r="O858">
        <v>9.9939239999999991E-4</v>
      </c>
      <c r="P858">
        <v>0.98594360000000003</v>
      </c>
      <c r="Q858">
        <v>0.15779849999999901</v>
      </c>
      <c r="R858">
        <v>5.4912139999999998E-2</v>
      </c>
      <c r="S858">
        <v>2.9952999999999999</v>
      </c>
      <c r="T858">
        <v>0.3176274</v>
      </c>
      <c r="U858">
        <v>-5.9082030000000001E-2</v>
      </c>
      <c r="V858">
        <v>-5.3920370000000002E-2</v>
      </c>
      <c r="W858">
        <v>0.1681407</v>
      </c>
      <c r="X858">
        <v>0.98428720000000003</v>
      </c>
      <c r="Y858">
        <v>2.0609539999999999E-2</v>
      </c>
      <c r="Z858">
        <v>1.0972670000000001E-3</v>
      </c>
      <c r="AA858">
        <v>0.99978699999999998</v>
      </c>
      <c r="AB858">
        <v>33</v>
      </c>
      <c r="AC858">
        <v>161.61750000000001</v>
      </c>
      <c r="AD858">
        <v>17.160664000000001</v>
      </c>
      <c r="AE858">
        <v>-3.1922000000000099</v>
      </c>
      <c r="AF858">
        <v>3.3163514578719302</v>
      </c>
      <c r="AG858">
        <v>17.160664000000001</v>
      </c>
      <c r="AH858">
        <v>159.81314262779199</v>
      </c>
      <c r="AI858">
        <v>83.872398106447207</v>
      </c>
      <c r="AJ858">
        <v>88.811201186205096</v>
      </c>
      <c r="AK858">
        <v>160.76606337310099</v>
      </c>
      <c r="AL858">
        <v>80.3202669795661</v>
      </c>
      <c r="AM858">
        <v>93.135593729200195</v>
      </c>
      <c r="AN858">
        <v>0.999999996690633</v>
      </c>
    </row>
    <row r="859" spans="1:40" x14ac:dyDescent="0.25">
      <c r="A859" t="str">
        <f>"20190304155611294"</f>
        <v>20190304155611294</v>
      </c>
      <c r="B859" t="str">
        <f>"1551686171285918"</f>
        <v>1551686171285918</v>
      </c>
      <c r="C859" t="s">
        <v>40</v>
      </c>
      <c r="D859">
        <v>4.209149</v>
      </c>
      <c r="E859">
        <v>0.52761639999999999</v>
      </c>
      <c r="F859" t="s">
        <v>43</v>
      </c>
      <c r="G859">
        <v>-158.19499999999999</v>
      </c>
      <c r="H859">
        <v>18.275179999999999</v>
      </c>
      <c r="I859">
        <v>363.85750000000002</v>
      </c>
      <c r="J859">
        <v>-319.64339999999999</v>
      </c>
      <c r="K859">
        <v>1.1079000000000001</v>
      </c>
      <c r="L859">
        <v>367.00630000000001</v>
      </c>
      <c r="M859">
        <v>0.99994059999999996</v>
      </c>
      <c r="N859">
        <v>-1.085678E-2</v>
      </c>
      <c r="O859">
        <v>9.9977630000000007E-4</v>
      </c>
      <c r="P859">
        <v>0.98595449999999996</v>
      </c>
      <c r="Q859">
        <v>0.15783069999999999</v>
      </c>
      <c r="R859">
        <v>5.4618029999999998E-2</v>
      </c>
      <c r="S859">
        <v>2.9950869999999998</v>
      </c>
      <c r="T859">
        <v>0.31813760000000002</v>
      </c>
      <c r="U859">
        <v>-5.8349610000000003E-2</v>
      </c>
      <c r="V859">
        <v>-5.3625760000000001E-2</v>
      </c>
      <c r="W859">
        <v>0.1685285</v>
      </c>
      <c r="X859">
        <v>0.98423700000000003</v>
      </c>
      <c r="Y859">
        <v>2.036812E-2</v>
      </c>
      <c r="Z859">
        <v>1.084464E-3</v>
      </c>
      <c r="AA859">
        <v>0.99979200000000001</v>
      </c>
      <c r="AB859">
        <v>33</v>
      </c>
      <c r="AC859">
        <v>161.44839999999999</v>
      </c>
      <c r="AD859">
        <v>17.167279999999899</v>
      </c>
      <c r="AE859">
        <v>-3.1487999999999898</v>
      </c>
      <c r="AF859">
        <v>3.27322495004764</v>
      </c>
      <c r="AG859">
        <v>17.167279999999899</v>
      </c>
      <c r="AH859">
        <v>159.64084775881901</v>
      </c>
      <c r="AI859">
        <v>83.863457199308201</v>
      </c>
      <c r="AJ859">
        <v>88.825390222146495</v>
      </c>
      <c r="AK859">
        <v>160.594613164099</v>
      </c>
      <c r="AL859">
        <v>80.297726289963506</v>
      </c>
      <c r="AM859">
        <v>93.118654128421596</v>
      </c>
      <c r="AN859">
        <v>1.00000002480841</v>
      </c>
    </row>
    <row r="860" spans="1:40" x14ac:dyDescent="0.25">
      <c r="A860" t="str">
        <f>"20190304155611307"</f>
        <v>20190304155611307</v>
      </c>
      <c r="B860" t="str">
        <f>"1551686171295678"</f>
        <v>1551686171295678</v>
      </c>
      <c r="C860" t="s">
        <v>40</v>
      </c>
      <c r="D860">
        <v>4.1937920000000002</v>
      </c>
      <c r="E860">
        <v>0.5275301</v>
      </c>
      <c r="F860" t="s">
        <v>43</v>
      </c>
      <c r="G860">
        <v>-158.19499999999999</v>
      </c>
      <c r="H860">
        <v>18.294440000000002</v>
      </c>
      <c r="I860">
        <v>363.8329</v>
      </c>
      <c r="J860">
        <v>-319.44639999999998</v>
      </c>
      <c r="K860">
        <v>1.10738799999999</v>
      </c>
      <c r="L860">
        <v>367.00650000000002</v>
      </c>
      <c r="M860">
        <v>0.9999342</v>
      </c>
      <c r="N860">
        <v>-1.143549E-2</v>
      </c>
      <c r="O860">
        <v>1.00124E-3</v>
      </c>
      <c r="P860">
        <v>0.98604979999999998</v>
      </c>
      <c r="Q860">
        <v>0.15722920000000001</v>
      </c>
      <c r="R860">
        <v>5.4634889999999998E-2</v>
      </c>
      <c r="S860">
        <v>2.9949650000000001</v>
      </c>
      <c r="T860">
        <v>0.318822099999999</v>
      </c>
      <c r="U860">
        <v>-5.8868410000000003E-2</v>
      </c>
      <c r="V860">
        <v>-5.3640599999999997E-2</v>
      </c>
      <c r="W860">
        <v>0.16849790000000001</v>
      </c>
      <c r="X860">
        <v>0.98424140000000004</v>
      </c>
      <c r="Y860">
        <v>2.0542680000000001E-2</v>
      </c>
      <c r="Z860">
        <v>1.0901470000000001E-3</v>
      </c>
      <c r="AA860">
        <v>0.99978840000000002</v>
      </c>
      <c r="AB860">
        <v>33</v>
      </c>
      <c r="AC860">
        <v>161.25139999999999</v>
      </c>
      <c r="AD860">
        <v>17.187051999999898</v>
      </c>
      <c r="AE860">
        <v>-3.17360000000002</v>
      </c>
      <c r="AF860">
        <v>3.2976124258111801</v>
      </c>
      <c r="AG860">
        <v>17.187051999999898</v>
      </c>
      <c r="AH860">
        <v>159.43755923793299</v>
      </c>
      <c r="AI860">
        <v>83.848692870624404</v>
      </c>
      <c r="AJ860">
        <v>88.815132764446503</v>
      </c>
      <c r="AK860">
        <v>160.39515048750999</v>
      </c>
      <c r="AL860">
        <v>80.299504683878396</v>
      </c>
      <c r="AM860">
        <v>93.119501539523995</v>
      </c>
      <c r="AN860">
        <v>0.99999999487336499</v>
      </c>
    </row>
    <row r="861" spans="1:40" x14ac:dyDescent="0.25">
      <c r="A861" t="str">
        <f>"20190304155611320"</f>
        <v>20190304155611320</v>
      </c>
      <c r="B861" t="str">
        <f>"1551686171315198"</f>
        <v>1551686171315198</v>
      </c>
      <c r="C861" t="s">
        <v>40</v>
      </c>
      <c r="D861">
        <v>4.1622370000000002</v>
      </c>
      <c r="E861">
        <v>0.52737489999999998</v>
      </c>
      <c r="F861" t="s">
        <v>43</v>
      </c>
      <c r="G861">
        <v>-158.19499999999999</v>
      </c>
      <c r="H861">
        <v>18.21499</v>
      </c>
      <c r="I861">
        <v>363.8879</v>
      </c>
      <c r="J861">
        <v>-319.26100000000002</v>
      </c>
      <c r="K861">
        <v>1.1068439999999999</v>
      </c>
      <c r="L861">
        <v>367.00670000000002</v>
      </c>
      <c r="M861">
        <v>0.99992440000000005</v>
      </c>
      <c r="N861">
        <v>-1.2263049999999999E-2</v>
      </c>
      <c r="O861">
        <v>1.00275E-3</v>
      </c>
      <c r="P861">
        <v>0.98620410000000003</v>
      </c>
      <c r="Q861">
        <v>0.15636549999999999</v>
      </c>
      <c r="R861">
        <v>5.4327800000000002E-2</v>
      </c>
      <c r="S861">
        <v>2.9949949999999999</v>
      </c>
      <c r="T861">
        <v>0.3177488</v>
      </c>
      <c r="U861">
        <v>-5.7922359999999999E-2</v>
      </c>
      <c r="V861">
        <v>-5.3331749999999997E-2</v>
      </c>
      <c r="W861">
        <v>0.16845099999999999</v>
      </c>
      <c r="X861">
        <v>0.98426619999999998</v>
      </c>
      <c r="Y861">
        <v>2.023142E-2</v>
      </c>
      <c r="Z861">
        <v>1.064069E-3</v>
      </c>
      <c r="AA861">
        <v>0.99979479999999998</v>
      </c>
      <c r="AB861">
        <v>33</v>
      </c>
      <c r="AC861">
        <v>161.06599999999901</v>
      </c>
      <c r="AD861">
        <v>17.108145999999898</v>
      </c>
      <c r="AE861">
        <v>-3.1188000000000198</v>
      </c>
      <c r="AF861">
        <v>3.2437363603756002</v>
      </c>
      <c r="AG861">
        <v>17.108145999999898</v>
      </c>
      <c r="AH861">
        <v>159.26656957430001</v>
      </c>
      <c r="AI861">
        <v>83.870155155967396</v>
      </c>
      <c r="AJ861">
        <v>88.833234665520607</v>
      </c>
      <c r="AK861">
        <v>160.215638029183</v>
      </c>
      <c r="AL861">
        <v>80.302230714034096</v>
      </c>
      <c r="AM861">
        <v>93.101497354252501</v>
      </c>
      <c r="AN861">
        <v>0.99999998371075105</v>
      </c>
    </row>
    <row r="862" spans="1:40" x14ac:dyDescent="0.25">
      <c r="A862" t="str">
        <f>"20190304155611333"</f>
        <v>20190304155611333</v>
      </c>
      <c r="B862" t="str">
        <f>"1551686171325934"</f>
        <v>1551686171325934</v>
      </c>
      <c r="C862" t="s">
        <v>40</v>
      </c>
      <c r="D862">
        <v>4.1577609999999998</v>
      </c>
      <c r="E862">
        <v>0.52732389999999996</v>
      </c>
      <c r="F862" t="s">
        <v>43</v>
      </c>
      <c r="G862">
        <v>-158.19499999999999</v>
      </c>
      <c r="H862">
        <v>18.127369999999999</v>
      </c>
      <c r="I862">
        <v>363.91469999999998</v>
      </c>
      <c r="J862">
        <v>-319.05689999999998</v>
      </c>
      <c r="K862">
        <v>1.1062019999999999</v>
      </c>
      <c r="L862">
        <v>367.0068</v>
      </c>
      <c r="M862">
        <v>0.99991050000000004</v>
      </c>
      <c r="N862">
        <v>-1.334138E-2</v>
      </c>
      <c r="O862">
        <v>1.0040419999999999E-3</v>
      </c>
      <c r="P862">
        <v>0.98636069999999998</v>
      </c>
      <c r="Q862">
        <v>0.1554072</v>
      </c>
      <c r="R862">
        <v>5.4236310000000003E-2</v>
      </c>
      <c r="S862">
        <v>2.9949949999999999</v>
      </c>
      <c r="T862">
        <v>0.31649519999999998</v>
      </c>
      <c r="U862">
        <v>-5.7495119999999997E-2</v>
      </c>
      <c r="V862">
        <v>-5.3239259999999997E-2</v>
      </c>
      <c r="W862">
        <v>0.16855580000000001</v>
      </c>
      <c r="X862">
        <v>0.9842533</v>
      </c>
      <c r="Y862">
        <v>2.0092740000000001E-2</v>
      </c>
      <c r="Z862">
        <v>1.043378E-3</v>
      </c>
      <c r="AA862">
        <v>0.99979759999999995</v>
      </c>
      <c r="AB862">
        <v>33</v>
      </c>
      <c r="AC862">
        <v>160.86189999999999</v>
      </c>
      <c r="AD862">
        <v>17.021167999999999</v>
      </c>
      <c r="AE862">
        <v>-3.0921000000000101</v>
      </c>
      <c r="AF862">
        <v>3.2176130474891198</v>
      </c>
      <c r="AG862">
        <v>17.021167999999999</v>
      </c>
      <c r="AH862">
        <v>159.07829260096199</v>
      </c>
      <c r="AI862">
        <v>83.8939027896498</v>
      </c>
      <c r="AJ862">
        <v>88.841259168841404</v>
      </c>
      <c r="AK862">
        <v>160.01867506839599</v>
      </c>
      <c r="AL862">
        <v>80.296139342871896</v>
      </c>
      <c r="AM862">
        <v>93.096169590527097</v>
      </c>
      <c r="AN862">
        <v>1.00000001753993</v>
      </c>
    </row>
    <row r="863" spans="1:40" x14ac:dyDescent="0.25">
      <c r="A863" t="str">
        <f>"20190304155611348"</f>
        <v>20190304155611348</v>
      </c>
      <c r="B863" t="str">
        <f>"1551686171345455"</f>
        <v>1551686171345455</v>
      </c>
      <c r="C863" t="s">
        <v>40</v>
      </c>
      <c r="D863">
        <v>4.1395210000000002</v>
      </c>
      <c r="E863">
        <v>0.52717819999999904</v>
      </c>
      <c r="F863" t="s">
        <v>43</v>
      </c>
      <c r="G863">
        <v>-158.19499999999999</v>
      </c>
      <c r="H863">
        <v>17.962779999999999</v>
      </c>
      <c r="I863">
        <v>363.91899999999998</v>
      </c>
      <c r="J863">
        <v>-318.83819999999997</v>
      </c>
      <c r="K863">
        <v>1.1054489999999999</v>
      </c>
      <c r="L863">
        <v>367.00709999999998</v>
      </c>
      <c r="M863">
        <v>0.99989119999999998</v>
      </c>
      <c r="N863">
        <v>-1.4732719999999999E-2</v>
      </c>
      <c r="O863">
        <v>1.0052080000000001E-3</v>
      </c>
      <c r="P863">
        <v>0.98655610000000005</v>
      </c>
      <c r="Q863">
        <v>0.15428919999999999</v>
      </c>
      <c r="R863">
        <v>5.387078E-2</v>
      </c>
      <c r="S863">
        <v>2.995209</v>
      </c>
      <c r="T863">
        <v>0.31386700000000001</v>
      </c>
      <c r="U863">
        <v>-5.7495119999999997E-2</v>
      </c>
      <c r="V863">
        <v>-5.287178E-2</v>
      </c>
      <c r="W863">
        <v>0.16880999999999999</v>
      </c>
      <c r="X863">
        <v>0.98422949999999998</v>
      </c>
      <c r="Y863">
        <v>2.0095680000000001E-2</v>
      </c>
      <c r="Z863">
        <v>1.0213399999999999E-3</v>
      </c>
      <c r="AA863">
        <v>0.99979750000000001</v>
      </c>
      <c r="AB863">
        <v>33</v>
      </c>
      <c r="AC863">
        <v>160.64319999999901</v>
      </c>
      <c r="AD863">
        <v>16.857330999999999</v>
      </c>
      <c r="AE863">
        <v>-3.0880999999999399</v>
      </c>
      <c r="AF863">
        <v>3.2142149789979202</v>
      </c>
      <c r="AG863">
        <v>16.857330999999999</v>
      </c>
      <c r="AH863">
        <v>158.891006315396</v>
      </c>
      <c r="AI863">
        <v>83.945163933603993</v>
      </c>
      <c r="AJ863">
        <v>88.841118558407302</v>
      </c>
      <c r="AK863">
        <v>159.81505772077301</v>
      </c>
      <c r="AL863">
        <v>80.281362598680303</v>
      </c>
      <c r="AM863">
        <v>93.074913874788194</v>
      </c>
      <c r="AN863">
        <v>0.99999997494530801</v>
      </c>
    </row>
    <row r="864" spans="1:40" x14ac:dyDescent="0.25">
      <c r="A864" t="str">
        <f>"20190304155611360"</f>
        <v>20190304155611360</v>
      </c>
      <c r="B864" t="str">
        <f>"1551686171355214"</f>
        <v>1551686171355214</v>
      </c>
      <c r="C864" t="s">
        <v>40</v>
      </c>
      <c r="D864">
        <v>4.1896750000000003</v>
      </c>
      <c r="E864">
        <v>0.52710539999999995</v>
      </c>
      <c r="F864" t="s">
        <v>43</v>
      </c>
      <c r="G864">
        <v>-158.19499999999999</v>
      </c>
      <c r="H864">
        <v>17.848310000000001</v>
      </c>
      <c r="I864">
        <v>363.93009999999998</v>
      </c>
      <c r="J864">
        <v>-318.67399999999998</v>
      </c>
      <c r="K864">
        <v>1.104819</v>
      </c>
      <c r="L864">
        <v>367.00720000000001</v>
      </c>
      <c r="M864">
        <v>0.99987380000000003</v>
      </c>
      <c r="N864">
        <v>-1.5859930000000001E-2</v>
      </c>
      <c r="O864">
        <v>1.0056780000000001E-3</v>
      </c>
      <c r="P864">
        <v>0.98674580000000001</v>
      </c>
      <c r="Q864">
        <v>0.15317510000000001</v>
      </c>
      <c r="R864">
        <v>5.3576989999999998E-2</v>
      </c>
      <c r="S864">
        <v>2.9952390000000002</v>
      </c>
      <c r="T864">
        <v>0.31217719999999999</v>
      </c>
      <c r="U864">
        <v>-5.7373050000000002E-2</v>
      </c>
      <c r="V864">
        <v>-5.2578010000000001E-2</v>
      </c>
      <c r="W864">
        <v>0.16880809999999999</v>
      </c>
      <c r="X864">
        <v>0.98424560000000005</v>
      </c>
      <c r="Y864">
        <v>2.0057620000000002E-2</v>
      </c>
      <c r="Z864">
        <v>1.0033080000000001E-3</v>
      </c>
      <c r="AA864">
        <v>0.99979830000000003</v>
      </c>
      <c r="AB864">
        <v>33</v>
      </c>
      <c r="AC864">
        <v>160.47900000000001</v>
      </c>
      <c r="AD864">
        <v>16.743490999999999</v>
      </c>
      <c r="AE864">
        <v>-3.0771000000000299</v>
      </c>
      <c r="AF864">
        <v>3.2036478597581399</v>
      </c>
      <c r="AG864">
        <v>16.743490999999999</v>
      </c>
      <c r="AH864">
        <v>158.748374797542</v>
      </c>
      <c r="AI864">
        <v>83.980382583765603</v>
      </c>
      <c r="AJ864">
        <v>88.843889964193806</v>
      </c>
      <c r="AK864">
        <v>159.66106084871501</v>
      </c>
      <c r="AL864">
        <v>80.281473403832905</v>
      </c>
      <c r="AM864">
        <v>93.057811406136395</v>
      </c>
      <c r="AN864">
        <v>1.0000000114402601</v>
      </c>
    </row>
    <row r="865" spans="1:40" x14ac:dyDescent="0.25">
      <c r="A865" t="str">
        <f>"20190304155611370"</f>
        <v>20190304155611370</v>
      </c>
      <c r="B865" t="str">
        <f>"1551686171365953"</f>
        <v>1551686171365953</v>
      </c>
      <c r="C865" t="s">
        <v>40</v>
      </c>
      <c r="D865">
        <v>4.108409</v>
      </c>
      <c r="E865">
        <v>0.52702369999999898</v>
      </c>
      <c r="F865" t="s">
        <v>43</v>
      </c>
      <c r="G865">
        <v>-158.19499999999999</v>
      </c>
      <c r="H865">
        <v>17.675660000000001</v>
      </c>
      <c r="I865">
        <v>363.92689999999999</v>
      </c>
      <c r="J865">
        <v>-318.50779999999997</v>
      </c>
      <c r="K865">
        <v>1.10416</v>
      </c>
      <c r="L865">
        <v>367.00740000000002</v>
      </c>
      <c r="M865">
        <v>0.9998551</v>
      </c>
      <c r="N865">
        <v>-1.6993009999999999E-2</v>
      </c>
      <c r="O865">
        <v>1.005941E-3</v>
      </c>
      <c r="P865">
        <v>0.98688730000000002</v>
      </c>
      <c r="Q865">
        <v>0.1523041</v>
      </c>
      <c r="R865">
        <v>5.3451119999999998E-2</v>
      </c>
      <c r="S865">
        <v>2.9953919999999998</v>
      </c>
      <c r="T865">
        <v>0.30930150000000001</v>
      </c>
      <c r="U865">
        <v>-5.7495119999999997E-2</v>
      </c>
      <c r="V865">
        <v>-5.2451390000000001E-2</v>
      </c>
      <c r="W865">
        <v>0.16905539999999999</v>
      </c>
      <c r="X865">
        <v>0.98420989999999997</v>
      </c>
      <c r="Y865">
        <v>2.0100469999999999E-2</v>
      </c>
      <c r="Z865">
        <v>9.8437140000000008E-4</v>
      </c>
      <c r="AA865">
        <v>0.99979750000000001</v>
      </c>
      <c r="AB865">
        <v>33</v>
      </c>
      <c r="AC865">
        <v>160.31279999999899</v>
      </c>
      <c r="AD865">
        <v>16.5715</v>
      </c>
      <c r="AE865">
        <v>-3.0805000000000202</v>
      </c>
      <c r="AF865">
        <v>3.2075261779676199</v>
      </c>
      <c r="AG865">
        <v>16.5715</v>
      </c>
      <c r="AH865">
        <v>158.61539011882201</v>
      </c>
      <c r="AI865">
        <v>84.036815146903393</v>
      </c>
      <c r="AJ865">
        <v>88.841520561805893</v>
      </c>
      <c r="AK865">
        <v>159.510955169162</v>
      </c>
      <c r="AL865">
        <v>80.267097450693498</v>
      </c>
      <c r="AM865">
        <v>93.050571853679301</v>
      </c>
      <c r="AN865">
        <v>1.0000000019200499</v>
      </c>
    </row>
    <row r="866" spans="1:40" x14ac:dyDescent="0.25">
      <c r="A866" t="str">
        <f>"20190304155611382"</f>
        <v>20190304155611382</v>
      </c>
      <c r="B866" t="str">
        <f>"1551686171375710"</f>
        <v>1551686171375710</v>
      </c>
      <c r="C866" t="s">
        <v>40</v>
      </c>
      <c r="D866">
        <v>4.1149329999999997</v>
      </c>
      <c r="E866">
        <v>0.52695950000000003</v>
      </c>
      <c r="F866" t="s">
        <v>43</v>
      </c>
      <c r="G866">
        <v>-158.19499999999999</v>
      </c>
      <c r="H866">
        <v>17.536159999999999</v>
      </c>
      <c r="I866">
        <v>363.94189999999998</v>
      </c>
      <c r="J866">
        <v>-318.33679999999998</v>
      </c>
      <c r="K866">
        <v>1.103375</v>
      </c>
      <c r="L866">
        <v>367.00760000000002</v>
      </c>
      <c r="M866">
        <v>0.99983820000000001</v>
      </c>
      <c r="N866">
        <v>-1.7960159999999999E-2</v>
      </c>
      <c r="O866">
        <v>1.005513E-3</v>
      </c>
      <c r="P866">
        <v>0.98702179999999995</v>
      </c>
      <c r="Q866">
        <v>0.15151689999999901</v>
      </c>
      <c r="R866">
        <v>5.3203859999999999E-2</v>
      </c>
      <c r="S866">
        <v>2.9955440000000002</v>
      </c>
      <c r="T866">
        <v>0.30704360000000003</v>
      </c>
      <c r="U866">
        <v>-5.7281489999999997E-2</v>
      </c>
      <c r="V866">
        <v>-5.2204399999999998E-2</v>
      </c>
      <c r="W866">
        <v>0.1692227</v>
      </c>
      <c r="X866">
        <v>0.98419429999999997</v>
      </c>
      <c r="Y866">
        <v>2.0030510000000001E-2</v>
      </c>
      <c r="Z866">
        <v>9.6428629999999996E-4</v>
      </c>
      <c r="AA866">
        <v>0.99979890000000005</v>
      </c>
      <c r="AB866">
        <v>33</v>
      </c>
      <c r="AC866">
        <v>160.14179999999999</v>
      </c>
      <c r="AD866">
        <v>16.432784999999999</v>
      </c>
      <c r="AE866">
        <v>-3.0657000000000401</v>
      </c>
      <c r="AF866">
        <v>3.19313884848237</v>
      </c>
      <c r="AG866">
        <v>16.432784999999999</v>
      </c>
      <c r="AH866">
        <v>158.470610992529</v>
      </c>
      <c r="AI866">
        <v>84.081003004824296</v>
      </c>
      <c r="AJ866">
        <v>88.845662145677295</v>
      </c>
      <c r="AK866">
        <v>159.35233637103499</v>
      </c>
      <c r="AL866">
        <v>80.257371927047501</v>
      </c>
      <c r="AM866">
        <v>93.036281896983198</v>
      </c>
      <c r="AN866">
        <v>1.00000002086356</v>
      </c>
    </row>
    <row r="867" spans="1:40" x14ac:dyDescent="0.25">
      <c r="A867" t="str">
        <f>"20190304155611393"</f>
        <v>20190304155611393</v>
      </c>
      <c r="B867" t="str">
        <f>"1551686171385471"</f>
        <v>1551686171385471</v>
      </c>
      <c r="C867" t="s">
        <v>40</v>
      </c>
      <c r="D867">
        <v>4.1149740000000001</v>
      </c>
      <c r="E867">
        <v>0.5268948</v>
      </c>
      <c r="F867" t="s">
        <v>43</v>
      </c>
      <c r="G867">
        <v>-158.19499999999999</v>
      </c>
      <c r="H867">
        <v>17.438289999999999</v>
      </c>
      <c r="I867">
        <v>363.93079999999998</v>
      </c>
      <c r="J867">
        <v>-318.18509999999998</v>
      </c>
      <c r="K867">
        <v>1.1026469999999999</v>
      </c>
      <c r="L867">
        <v>367.00779999999997</v>
      </c>
      <c r="M867">
        <v>0.99982360000000003</v>
      </c>
      <c r="N867">
        <v>-1.8761070000000001E-2</v>
      </c>
      <c r="O867">
        <v>1.005054E-3</v>
      </c>
      <c r="P867">
        <v>0.9871432</v>
      </c>
      <c r="Q867">
        <v>0.15078069999999999</v>
      </c>
      <c r="R867">
        <v>5.3044340000000002E-2</v>
      </c>
      <c r="S867">
        <v>2.9956360000000002</v>
      </c>
      <c r="T867">
        <v>0.30556489999999997</v>
      </c>
      <c r="U867">
        <v>-5.755615E-2</v>
      </c>
      <c r="V867">
        <v>-5.2045760000000003E-2</v>
      </c>
      <c r="W867">
        <v>0.16927719999999999</v>
      </c>
      <c r="X867">
        <v>0.98419330000000005</v>
      </c>
      <c r="Y867">
        <v>2.0122439999999998E-2</v>
      </c>
      <c r="Z867">
        <v>9.5537979999999996E-4</v>
      </c>
      <c r="AA867">
        <v>0.99979700000000005</v>
      </c>
      <c r="AB867">
        <v>33</v>
      </c>
      <c r="AC867">
        <v>159.99009999999899</v>
      </c>
      <c r="AD867">
        <v>16.335642999999902</v>
      </c>
      <c r="AE867">
        <v>-3.0769999999999902</v>
      </c>
      <c r="AF867">
        <v>3.2044308017043202</v>
      </c>
      <c r="AG867">
        <v>16.335642999999902</v>
      </c>
      <c r="AH867">
        <v>158.336836191468</v>
      </c>
      <c r="AI867">
        <v>84.110820671359505</v>
      </c>
      <c r="AJ867">
        <v>88.840602698915404</v>
      </c>
      <c r="AK867">
        <v>159.20953270489201</v>
      </c>
      <c r="AL867">
        <v>80.254203310860902</v>
      </c>
      <c r="AM867">
        <v>93.027075425657301</v>
      </c>
      <c r="AN867">
        <v>0.99999999166935305</v>
      </c>
    </row>
    <row r="868" spans="1:40" x14ac:dyDescent="0.25">
      <c r="A868" t="str">
        <f>"20190304155611404"</f>
        <v>20190304155611404</v>
      </c>
      <c r="B868" t="str">
        <f>"1551686171395230"</f>
        <v>1551686171395230</v>
      </c>
      <c r="C868" t="s">
        <v>40</v>
      </c>
      <c r="D868">
        <v>4.2059360000000003</v>
      </c>
      <c r="E868">
        <v>0.5268041</v>
      </c>
      <c r="F868" t="s">
        <v>43</v>
      </c>
      <c r="G868">
        <v>-158.19499999999999</v>
      </c>
      <c r="H868">
        <v>17.333469999999998</v>
      </c>
      <c r="I868">
        <v>363.93880000000001</v>
      </c>
      <c r="J868">
        <v>-318.0215</v>
      </c>
      <c r="K868">
        <v>1.1017790000000001</v>
      </c>
      <c r="L868">
        <v>367.00790000000001</v>
      </c>
      <c r="M868">
        <v>0.99980979999999997</v>
      </c>
      <c r="N868">
        <v>-1.9482719999999999E-2</v>
      </c>
      <c r="O868">
        <v>1.0043949999999999E-3</v>
      </c>
      <c r="P868">
        <v>0.9872107</v>
      </c>
      <c r="Q868">
        <v>0.1504665</v>
      </c>
      <c r="R868">
        <v>5.2681100000000002E-2</v>
      </c>
      <c r="S868">
        <v>2.9957579999999999</v>
      </c>
      <c r="T868">
        <v>0.30391800000000002</v>
      </c>
      <c r="U868">
        <v>-5.7464599999999998E-2</v>
      </c>
      <c r="V868">
        <v>-5.168317E-2</v>
      </c>
      <c r="W868">
        <v>0.1696743</v>
      </c>
      <c r="X868">
        <v>0.98414400000000002</v>
      </c>
      <c r="Y868">
        <v>2.0092329999999999E-2</v>
      </c>
      <c r="Z868">
        <v>9.414426E-4</v>
      </c>
      <c r="AA868">
        <v>0.99979770000000001</v>
      </c>
      <c r="AB868">
        <v>33</v>
      </c>
      <c r="AC868">
        <v>159.82650000000001</v>
      </c>
      <c r="AD868">
        <v>16.231691000000001</v>
      </c>
      <c r="AE868">
        <v>-3.0690999999999899</v>
      </c>
      <c r="AF868">
        <v>3.1966990310671002</v>
      </c>
      <c r="AG868">
        <v>16.231691000000001</v>
      </c>
      <c r="AH868">
        <v>158.19233127256101</v>
      </c>
      <c r="AI868">
        <v>84.142723552673203</v>
      </c>
      <c r="AJ868">
        <v>88.842343135647795</v>
      </c>
      <c r="AK868">
        <v>159.05502302933601</v>
      </c>
      <c r="AL868">
        <v>80.231116942291607</v>
      </c>
      <c r="AM868">
        <v>93.006175657954003</v>
      </c>
      <c r="AN868">
        <v>0.99999996543886804</v>
      </c>
    </row>
    <row r="869" spans="1:40" x14ac:dyDescent="0.25">
      <c r="A869" t="str">
        <f>"20190304155611415"</f>
        <v>20190304155611415</v>
      </c>
      <c r="B869" t="str">
        <f>"1551686171405966"</f>
        <v>1551686171405966</v>
      </c>
      <c r="C869" t="s">
        <v>40</v>
      </c>
      <c r="D869">
        <v>4.1887449999999999</v>
      </c>
      <c r="E869">
        <v>0.52681979999999995</v>
      </c>
      <c r="F869" t="s">
        <v>43</v>
      </c>
      <c r="G869">
        <v>-158.19499999999999</v>
      </c>
      <c r="H869">
        <v>17.305879999999998</v>
      </c>
      <c r="I869">
        <v>363.92579999999998</v>
      </c>
      <c r="J869">
        <v>-317.84440000000001</v>
      </c>
      <c r="K869">
        <v>1.100787</v>
      </c>
      <c r="L869">
        <v>367.00810000000001</v>
      </c>
      <c r="M869">
        <v>0.99979580000000001</v>
      </c>
      <c r="N869">
        <v>-2.0187150000000001E-2</v>
      </c>
      <c r="O869">
        <v>1.003945E-3</v>
      </c>
      <c r="P869">
        <v>0.98732509999999996</v>
      </c>
      <c r="Q869">
        <v>0.14982479999999901</v>
      </c>
      <c r="R869">
        <v>5.2363729999999997E-2</v>
      </c>
      <c r="S869">
        <v>2.9956670000000001</v>
      </c>
      <c r="T869">
        <v>0.30371880000000001</v>
      </c>
      <c r="U869">
        <v>-5.776978E-2</v>
      </c>
      <c r="V869">
        <v>-5.1365920000000002E-2</v>
      </c>
      <c r="W869">
        <v>0.1697283</v>
      </c>
      <c r="X869">
        <v>0.98415129999999995</v>
      </c>
      <c r="Y869">
        <v>2.019464E-2</v>
      </c>
      <c r="Z869">
        <v>9.3844459999999996E-4</v>
      </c>
      <c r="AA869">
        <v>0.99979560000000001</v>
      </c>
      <c r="AB869">
        <v>33</v>
      </c>
      <c r="AC869">
        <v>159.64940000000001</v>
      </c>
      <c r="AD869">
        <v>16.205092999999898</v>
      </c>
      <c r="AE869">
        <v>-3.0823000000000298</v>
      </c>
      <c r="AF869">
        <v>3.2095542385322502</v>
      </c>
      <c r="AG869">
        <v>16.205092999999898</v>
      </c>
      <c r="AH869">
        <v>158.018746022383</v>
      </c>
      <c r="AI869">
        <v>84.145887960117193</v>
      </c>
      <c r="AJ869">
        <v>88.836412548199604</v>
      </c>
      <c r="AK869">
        <v>158.87992438327399</v>
      </c>
      <c r="AL869">
        <v>80.227977452817598</v>
      </c>
      <c r="AM869">
        <v>92.987734078866296</v>
      </c>
      <c r="AN869">
        <v>0.99999996742501196</v>
      </c>
    </row>
    <row r="870" spans="1:40" x14ac:dyDescent="0.25">
      <c r="A870" t="str">
        <f>"20190304155611426"</f>
        <v>20190304155611426</v>
      </c>
      <c r="B870" t="str">
        <f>"1551686171415726"</f>
        <v>1551686171415726</v>
      </c>
      <c r="C870" t="s">
        <v>40</v>
      </c>
      <c r="D870">
        <v>4.1570220000000004</v>
      </c>
      <c r="E870">
        <v>0.52677109999999905</v>
      </c>
      <c r="F870" t="s">
        <v>43</v>
      </c>
      <c r="G870">
        <v>-158.19499999999999</v>
      </c>
      <c r="H870">
        <v>17.207000000000001</v>
      </c>
      <c r="I870">
        <v>363.88549999999998</v>
      </c>
      <c r="J870">
        <v>-317.67860000000002</v>
      </c>
      <c r="K870">
        <v>1.0998129999999999</v>
      </c>
      <c r="L870">
        <v>367.00830000000002</v>
      </c>
      <c r="M870">
        <v>0.99978370000000005</v>
      </c>
      <c r="N870">
        <v>-2.078089E-2</v>
      </c>
      <c r="O870">
        <v>1.003447E-3</v>
      </c>
      <c r="P870">
        <v>0.98740119999999998</v>
      </c>
      <c r="Q870">
        <v>0.1492918</v>
      </c>
      <c r="R870">
        <v>5.2449519999999999E-2</v>
      </c>
      <c r="S870">
        <v>2.9957579999999999</v>
      </c>
      <c r="T870">
        <v>0.30222830000000001</v>
      </c>
      <c r="U870">
        <v>-5.859375E-2</v>
      </c>
      <c r="V870">
        <v>-5.1451780000000003E-2</v>
      </c>
      <c r="W870">
        <v>0.169781399999999</v>
      </c>
      <c r="X870">
        <v>0.9841377</v>
      </c>
      <c r="Y870">
        <v>2.0468859999999998E-2</v>
      </c>
      <c r="Z870">
        <v>9.3839919999999999E-4</v>
      </c>
      <c r="AA870">
        <v>0.99979010000000001</v>
      </c>
      <c r="AB870">
        <v>33</v>
      </c>
      <c r="AC870">
        <v>159.4836</v>
      </c>
      <c r="AD870">
        <v>16.107187</v>
      </c>
      <c r="AE870">
        <v>-3.1228000000000402</v>
      </c>
      <c r="AF870">
        <v>3.24973120781174</v>
      </c>
      <c r="AG870">
        <v>16.107187</v>
      </c>
      <c r="AH870">
        <v>157.87069492369599</v>
      </c>
      <c r="AI870">
        <v>84.175625996417494</v>
      </c>
      <c r="AJ870">
        <v>88.820746368111301</v>
      </c>
      <c r="AK870">
        <v>158.72352863286099</v>
      </c>
      <c r="AL870">
        <v>80.224890670203493</v>
      </c>
      <c r="AM870">
        <v>92.992760395666096</v>
      </c>
      <c r="AN870">
        <v>1.0000000110062</v>
      </c>
    </row>
    <row r="871" spans="1:40" x14ac:dyDescent="0.25">
      <c r="A871" t="str">
        <f>"20190304155611437"</f>
        <v>20190304155611437</v>
      </c>
      <c r="B871" t="str">
        <f>"1551686171435925"</f>
        <v>1551686171435925</v>
      </c>
      <c r="C871" t="s">
        <v>40</v>
      </c>
      <c r="D871">
        <v>4.1002640000000001</v>
      </c>
      <c r="E871">
        <v>0.52665779999999995</v>
      </c>
      <c r="F871" t="s">
        <v>43</v>
      </c>
      <c r="G871">
        <v>-158.19499999999999</v>
      </c>
      <c r="H871">
        <v>17.12773</v>
      </c>
      <c r="I871">
        <v>363.91500000000002</v>
      </c>
      <c r="J871">
        <v>-317.52659999999997</v>
      </c>
      <c r="K871">
        <v>1.0988599999999999</v>
      </c>
      <c r="L871">
        <v>367.00839999999999</v>
      </c>
      <c r="M871">
        <v>0.99977369999999999</v>
      </c>
      <c r="N871">
        <v>-2.124641E-2</v>
      </c>
      <c r="O871">
        <v>1.003365E-3</v>
      </c>
      <c r="P871">
        <v>0.98750599999999999</v>
      </c>
      <c r="Q871">
        <v>0.14866109999999999</v>
      </c>
      <c r="R871">
        <v>5.2267399999999999E-2</v>
      </c>
      <c r="S871">
        <v>2.995819</v>
      </c>
      <c r="T871">
        <v>0.30107780000000001</v>
      </c>
      <c r="U871">
        <v>-5.8105469999999999E-2</v>
      </c>
      <c r="V871">
        <v>-5.1269809999999999E-2</v>
      </c>
      <c r="W871">
        <v>0.16961129999999999</v>
      </c>
      <c r="X871">
        <v>0.98417650000000001</v>
      </c>
      <c r="Y871">
        <v>2.030732E-2</v>
      </c>
      <c r="Z871">
        <v>9.2340610000000002E-4</v>
      </c>
      <c r="AA871">
        <v>0.99979340000000005</v>
      </c>
      <c r="AB871">
        <v>33</v>
      </c>
      <c r="AC871">
        <v>159.33159999999901</v>
      </c>
      <c r="AD871">
        <v>16.028870000000001</v>
      </c>
      <c r="AE871">
        <v>-3.0933999999999702</v>
      </c>
      <c r="AF871">
        <v>3.2207192901841699</v>
      </c>
      <c r="AG871">
        <v>16.028870000000001</v>
      </c>
      <c r="AH871">
        <v>157.73268308676799</v>
      </c>
      <c r="AI871">
        <v>84.198695635294797</v>
      </c>
      <c r="AJ871">
        <v>88.830248878640603</v>
      </c>
      <c r="AK871">
        <v>158.57773179098601</v>
      </c>
      <c r="AL871">
        <v>80.234779856644394</v>
      </c>
      <c r="AM871">
        <v>92.982077654063701</v>
      </c>
      <c r="AN871">
        <v>0.99999998482868702</v>
      </c>
    </row>
    <row r="872" spans="1:40" x14ac:dyDescent="0.25">
      <c r="A872" t="str">
        <f>"20190304155611448"</f>
        <v>20190304155611448</v>
      </c>
      <c r="B872" t="str">
        <f>"1551686171445338"</f>
        <v>1551686171445338</v>
      </c>
      <c r="C872" t="s">
        <v>40</v>
      </c>
      <c r="D872">
        <v>4.1104219999999998</v>
      </c>
      <c r="E872">
        <v>0.52665779999999995</v>
      </c>
      <c r="F872" t="s">
        <v>43</v>
      </c>
      <c r="G872">
        <v>-158.19499999999999</v>
      </c>
      <c r="H872">
        <v>17.042349999999999</v>
      </c>
      <c r="I872">
        <v>363.93439999999998</v>
      </c>
      <c r="J872">
        <v>-317.36430000000001</v>
      </c>
      <c r="K872">
        <v>1.0978209999999999</v>
      </c>
      <c r="L872">
        <v>367.0086</v>
      </c>
      <c r="M872">
        <v>0.99976359999999997</v>
      </c>
      <c r="N872">
        <v>-2.1718319999999999E-2</v>
      </c>
      <c r="O872">
        <v>1.0033430000000001E-3</v>
      </c>
      <c r="P872">
        <v>0.98757720000000004</v>
      </c>
      <c r="Q872">
        <v>0.14827099999999999</v>
      </c>
      <c r="R872">
        <v>5.203025E-2</v>
      </c>
      <c r="S872">
        <v>2.9958800000000001</v>
      </c>
      <c r="T872">
        <v>0.29978369999999999</v>
      </c>
      <c r="U872">
        <v>-5.7800289999999997E-2</v>
      </c>
      <c r="V872">
        <v>-5.1032609999999999E-2</v>
      </c>
      <c r="W872">
        <v>0.16968739999999999</v>
      </c>
      <c r="X872">
        <v>0.98417569999999999</v>
      </c>
      <c r="Y872">
        <v>2.0206760000000001E-2</v>
      </c>
      <c r="Z872">
        <v>9.1035059999999997E-4</v>
      </c>
      <c r="AA872">
        <v>0.9997954</v>
      </c>
      <c r="AB872">
        <v>33</v>
      </c>
      <c r="AC872">
        <v>159.16929999999999</v>
      </c>
      <c r="AD872">
        <v>15.944528999999999</v>
      </c>
      <c r="AE872">
        <v>-3.07420000000001</v>
      </c>
      <c r="AF872">
        <v>3.2018201841475902</v>
      </c>
      <c r="AG872">
        <v>15.944528999999999</v>
      </c>
      <c r="AH872">
        <v>157.585400686382</v>
      </c>
      <c r="AI872">
        <v>84.223645469150895</v>
      </c>
      <c r="AJ872">
        <v>88.836024500723099</v>
      </c>
      <c r="AK872">
        <v>158.42234112337499</v>
      </c>
      <c r="AL872">
        <v>80.230355415091097</v>
      </c>
      <c r="AM872">
        <v>92.968308197315594</v>
      </c>
      <c r="AN872">
        <v>0.99999997473632996</v>
      </c>
    </row>
    <row r="873" spans="1:40" x14ac:dyDescent="0.25">
      <c r="A873" t="str">
        <f>"20190304155611460"</f>
        <v>20190304155611460</v>
      </c>
      <c r="B873" t="str">
        <f>"1551686171455795"</f>
        <v>1551686171455795</v>
      </c>
      <c r="C873" t="s">
        <v>40</v>
      </c>
      <c r="D873">
        <v>4.0342029999999998</v>
      </c>
      <c r="E873">
        <v>0.51730299999999996</v>
      </c>
      <c r="F873" t="s">
        <v>43</v>
      </c>
      <c r="G873">
        <v>-158.19499999999999</v>
      </c>
      <c r="H873">
        <v>16.960129999999999</v>
      </c>
      <c r="I873">
        <v>363.90699999999998</v>
      </c>
      <c r="J873">
        <v>-317.19060000000002</v>
      </c>
      <c r="K873">
        <v>1.096627</v>
      </c>
      <c r="L873">
        <v>367.00880000000001</v>
      </c>
      <c r="M873">
        <v>0.99975559999999997</v>
      </c>
      <c r="N873">
        <v>-2.2087559999999999E-2</v>
      </c>
      <c r="O873">
        <v>1.0035109999999999E-3</v>
      </c>
      <c r="P873">
        <v>0.98764680000000005</v>
      </c>
      <c r="Q873">
        <v>0.1478921</v>
      </c>
      <c r="R873">
        <v>5.1784440000000001E-2</v>
      </c>
      <c r="S873">
        <v>2.9959720000000001</v>
      </c>
      <c r="T873">
        <v>0.29857060000000002</v>
      </c>
      <c r="U873">
        <v>-5.8380130000000002E-2</v>
      </c>
      <c r="V873">
        <v>-5.0786350000000001E-2</v>
      </c>
      <c r="W873">
        <v>0.16967380000000001</v>
      </c>
      <c r="X873">
        <v>0.98419080000000003</v>
      </c>
      <c r="Y873">
        <v>2.0400129999999999E-2</v>
      </c>
      <c r="Z873">
        <v>9.0997859999999997E-4</v>
      </c>
      <c r="AA873">
        <v>0.99979150000000006</v>
      </c>
      <c r="AB873">
        <v>33</v>
      </c>
      <c r="AC873">
        <v>158.9956</v>
      </c>
      <c r="AD873">
        <v>15.863503</v>
      </c>
      <c r="AE873">
        <v>-3.1018000000000199</v>
      </c>
      <c r="AF873">
        <v>3.2292571534521501</v>
      </c>
      <c r="AG873">
        <v>15.863503</v>
      </c>
      <c r="AH873">
        <v>157.42587600723999</v>
      </c>
      <c r="AI873">
        <v>84.247040370254197</v>
      </c>
      <c r="AJ873">
        <v>88.824863701433202</v>
      </c>
      <c r="AK873">
        <v>158.25607497294101</v>
      </c>
      <c r="AL873">
        <v>80.231146266581902</v>
      </c>
      <c r="AM873">
        <v>92.953964690638998</v>
      </c>
      <c r="AN873">
        <v>0.99999999127870098</v>
      </c>
    </row>
    <row r="874" spans="1:40" x14ac:dyDescent="0.25">
      <c r="A874" t="str">
        <f>"20190304155611472"</f>
        <v>20190304155611472</v>
      </c>
      <c r="B874" t="str">
        <f>"1551686171465610"</f>
        <v>1551686171465610</v>
      </c>
      <c r="C874" t="s">
        <v>40</v>
      </c>
      <c r="D874">
        <v>4.145702</v>
      </c>
      <c r="E874">
        <v>0.51940969999999997</v>
      </c>
      <c r="F874" t="s">
        <v>43</v>
      </c>
      <c r="G874">
        <v>-158.78319999999999</v>
      </c>
      <c r="H874">
        <v>3.6808619999999999</v>
      </c>
      <c r="I874">
        <v>367.62950000000001</v>
      </c>
      <c r="J874">
        <v>-317.0274</v>
      </c>
      <c r="K874">
        <v>1.09548</v>
      </c>
      <c r="L874">
        <v>367.00889999999998</v>
      </c>
      <c r="M874">
        <v>0.99974870000000005</v>
      </c>
      <c r="N874">
        <v>-2.2393440000000001E-2</v>
      </c>
      <c r="O874">
        <v>1.003491E-3</v>
      </c>
      <c r="P874">
        <v>0.98771260000000005</v>
      </c>
      <c r="Q874">
        <v>0.14746389999999901</v>
      </c>
      <c r="R874">
        <v>5.1753430000000003E-2</v>
      </c>
      <c r="S874">
        <v>3.029541</v>
      </c>
      <c r="T874">
        <v>4.9425129999999998E-2</v>
      </c>
      <c r="U874">
        <v>1.1871339999999999E-2</v>
      </c>
      <c r="V874">
        <v>-5.0755080000000001E-2</v>
      </c>
      <c r="W874">
        <v>0.16954830000000001</v>
      </c>
      <c r="X874">
        <v>0.98421409999999998</v>
      </c>
      <c r="Y874">
        <v>-2.9156569999999999E-3</v>
      </c>
      <c r="Z874" s="1">
        <v>4.7708260000000003E-5</v>
      </c>
      <c r="AA874">
        <v>0.99999579999999999</v>
      </c>
      <c r="AB874">
        <v>33</v>
      </c>
      <c r="AC874">
        <v>158.24420000000001</v>
      </c>
      <c r="AD874">
        <v>2.5853820000000001</v>
      </c>
      <c r="AE874">
        <v>0.62060000000002402</v>
      </c>
      <c r="AF874">
        <v>-0.46163999859732302</v>
      </c>
      <c r="AG874">
        <v>2.5853820000000001</v>
      </c>
      <c r="AH874">
        <v>158.20251520424699</v>
      </c>
      <c r="AI874">
        <v>89.063746481047701</v>
      </c>
      <c r="AJ874">
        <v>90.167190442371194</v>
      </c>
      <c r="AK874">
        <v>158.22431269727201</v>
      </c>
      <c r="AL874">
        <v>80.238443175999194</v>
      </c>
      <c r="AM874">
        <v>92.952079339087504</v>
      </c>
      <c r="AN874">
        <v>1.00000004940875</v>
      </c>
    </row>
    <row r="875" spans="1:40" x14ac:dyDescent="0.25">
      <c r="A875" t="str">
        <f>"20190304155611482"</f>
        <v>20190304155611482</v>
      </c>
      <c r="B875" t="str">
        <f>"1551686171475370"</f>
        <v>1551686171475370</v>
      </c>
      <c r="C875" t="s">
        <v>40</v>
      </c>
      <c r="D875">
        <v>4.1348459999999996</v>
      </c>
      <c r="E875">
        <v>0.52022199999999996</v>
      </c>
      <c r="F875" t="s">
        <v>43</v>
      </c>
      <c r="G875">
        <v>-158.19499999999999</v>
      </c>
      <c r="H875">
        <v>1.33639</v>
      </c>
      <c r="I875">
        <v>366.71050000000002</v>
      </c>
      <c r="J875">
        <v>-316.86520000000002</v>
      </c>
      <c r="K875">
        <v>1.0942670000000001</v>
      </c>
      <c r="L875">
        <v>367.00909999999999</v>
      </c>
      <c r="M875">
        <v>0.99974499999999999</v>
      </c>
      <c r="N875">
        <v>-2.2563969999999999E-2</v>
      </c>
      <c r="O875">
        <v>1.0034110000000001E-3</v>
      </c>
      <c r="P875">
        <v>0.98776779999999997</v>
      </c>
      <c r="Q875">
        <v>0.1470987</v>
      </c>
      <c r="R875">
        <v>5.173792E-2</v>
      </c>
      <c r="S875">
        <v>3.036896</v>
      </c>
      <c r="T875">
        <v>4.6079160000000001E-3</v>
      </c>
      <c r="U875">
        <v>-5.7067869999999996E-3</v>
      </c>
      <c r="V875">
        <v>-5.0739920000000001E-2</v>
      </c>
      <c r="W875">
        <v>0.1693529</v>
      </c>
      <c r="X875">
        <v>0.98424849999999997</v>
      </c>
      <c r="Y875">
        <v>2.8825669999999999E-3</v>
      </c>
      <c r="Z875" s="1">
        <v>-6.1720350000000003E-6</v>
      </c>
      <c r="AA875">
        <v>0.99999579999999999</v>
      </c>
      <c r="AB875">
        <v>33</v>
      </c>
      <c r="AC875">
        <v>158.67019999999999</v>
      </c>
      <c r="AD875">
        <v>0.24212299999999901</v>
      </c>
      <c r="AE875">
        <v>-0.29859999999996401</v>
      </c>
      <c r="AF875">
        <v>0.45785073659861297</v>
      </c>
      <c r="AG875">
        <v>0.24212299999999901</v>
      </c>
      <c r="AH875">
        <v>158.66945092240701</v>
      </c>
      <c r="AI875">
        <v>89.912569449127204</v>
      </c>
      <c r="AJ875">
        <v>89.834669863085296</v>
      </c>
      <c r="AK875">
        <v>158.67029623361199</v>
      </c>
      <c r="AL875">
        <v>80.249802828747093</v>
      </c>
      <c r="AM875">
        <v>92.951096179899807</v>
      </c>
      <c r="AN875">
        <v>1.00000002698613</v>
      </c>
    </row>
    <row r="876" spans="1:40" x14ac:dyDescent="0.25">
      <c r="A876" t="str">
        <f>"20190304155611493"</f>
        <v>20190304155611493</v>
      </c>
      <c r="B876" t="str">
        <f>"1551686171485130"</f>
        <v>1551686171485130</v>
      </c>
      <c r="C876" t="s">
        <v>40</v>
      </c>
      <c r="D876">
        <v>4.0892770000000001</v>
      </c>
      <c r="E876">
        <v>0.52089180000000002</v>
      </c>
      <c r="F876" t="s">
        <v>45</v>
      </c>
      <c r="G876">
        <v>-181.5369</v>
      </c>
      <c r="H876" s="1">
        <v>-8.4319460000000005E-6</v>
      </c>
      <c r="I876">
        <v>366.46190000000001</v>
      </c>
      <c r="J876">
        <v>-316.70920000000001</v>
      </c>
      <c r="K876">
        <v>1.0930799999999901</v>
      </c>
      <c r="L876">
        <v>367.0093</v>
      </c>
      <c r="M876">
        <v>0.99974229999999997</v>
      </c>
      <c r="N876">
        <v>-2.268365E-2</v>
      </c>
      <c r="O876">
        <v>1.003538E-3</v>
      </c>
      <c r="P876">
        <v>0.98782749999999997</v>
      </c>
      <c r="Q876">
        <v>0.14661779999999999</v>
      </c>
      <c r="R876">
        <v>5.1965989999999997E-2</v>
      </c>
      <c r="S876">
        <v>3.0414430000000001</v>
      </c>
      <c r="T876">
        <v>-2.459335E-2</v>
      </c>
      <c r="U876">
        <v>-1.229858E-2</v>
      </c>
      <c r="V876">
        <v>-5.0967940000000003E-2</v>
      </c>
      <c r="W876">
        <v>0.168991</v>
      </c>
      <c r="X876">
        <v>0.98429889999999998</v>
      </c>
      <c r="Y876">
        <v>5.0466859999999999E-3</v>
      </c>
      <c r="Z876" s="1">
        <v>-6.3000440000000004E-5</v>
      </c>
      <c r="AA876">
        <v>0.99998719999999996</v>
      </c>
      <c r="AB876">
        <v>33</v>
      </c>
      <c r="AC876">
        <v>135.17230000000001</v>
      </c>
      <c r="AD876">
        <v>-1.0930884319459999</v>
      </c>
      <c r="AE876">
        <v>-0.54739999999998101</v>
      </c>
      <c r="AF876">
        <v>0.68304049587274096</v>
      </c>
      <c r="AG876">
        <v>-1.0930884319459999</v>
      </c>
      <c r="AH876">
        <v>135.16284378286699</v>
      </c>
      <c r="AI876">
        <v>90.4633461909944</v>
      </c>
      <c r="AJ876">
        <v>89.710460334953197</v>
      </c>
      <c r="AK876">
        <v>135.16898951353701</v>
      </c>
      <c r="AL876">
        <v>80.270841210746099</v>
      </c>
      <c r="AM876">
        <v>92.964182988151904</v>
      </c>
      <c r="AN876">
        <v>1.0000000067650201</v>
      </c>
    </row>
    <row r="877" spans="1:40" x14ac:dyDescent="0.25">
      <c r="A877" t="str">
        <f>"20190304155611506"</f>
        <v>20190304155611506</v>
      </c>
      <c r="B877" t="str">
        <f>"1551686171495865"</f>
        <v>1551686171495865</v>
      </c>
      <c r="C877" t="s">
        <v>40</v>
      </c>
      <c r="D877">
        <v>4.1897260000000003</v>
      </c>
      <c r="E877">
        <v>0.52198310000000003</v>
      </c>
      <c r="F877" t="s">
        <v>41</v>
      </c>
      <c r="G877">
        <v>-234.62549999999999</v>
      </c>
      <c r="H877" s="1">
        <v>-2.83336E-6</v>
      </c>
      <c r="I877">
        <v>366.54180000000002</v>
      </c>
      <c r="J877">
        <v>-316.51519999999999</v>
      </c>
      <c r="K877">
        <v>1.0915459999999999</v>
      </c>
      <c r="L877">
        <v>367.0095</v>
      </c>
      <c r="M877">
        <v>0.99974110000000005</v>
      </c>
      <c r="N877">
        <v>-2.273157E-2</v>
      </c>
      <c r="O877">
        <v>1.0036380000000001E-3</v>
      </c>
      <c r="P877">
        <v>0.98787559999999996</v>
      </c>
      <c r="Q877">
        <v>0.1462475</v>
      </c>
      <c r="R877">
        <v>5.2089900000000001E-2</v>
      </c>
      <c r="S877">
        <v>3.0438839999999998</v>
      </c>
      <c r="T877">
        <v>-4.0534380000000002E-2</v>
      </c>
      <c r="U877">
        <v>-1.7333979999999999E-2</v>
      </c>
      <c r="V877">
        <v>-5.1091419999999999E-2</v>
      </c>
      <c r="W877">
        <v>0.16866900000000001</v>
      </c>
      <c r="X877">
        <v>0.98434770000000005</v>
      </c>
      <c r="Y877">
        <v>6.6968269999999998E-3</v>
      </c>
      <c r="Z877">
        <v>-1.112683E-4</v>
      </c>
      <c r="AA877">
        <v>0.99997760000000002</v>
      </c>
      <c r="AB877">
        <v>33</v>
      </c>
      <c r="AC877">
        <v>81.889700000000005</v>
      </c>
      <c r="AD877">
        <v>-1.0915488333600001</v>
      </c>
      <c r="AE877">
        <v>-0.46769999999997902</v>
      </c>
      <c r="AF877">
        <v>0.54981093671140902</v>
      </c>
      <c r="AG877">
        <v>-1.0915488333600001</v>
      </c>
      <c r="AH877">
        <v>81.874642561184203</v>
      </c>
      <c r="AI877">
        <v>90.763802130943503</v>
      </c>
      <c r="AJ877">
        <v>89.615248730176205</v>
      </c>
      <c r="AK877">
        <v>81.883764358042299</v>
      </c>
      <c r="AL877">
        <v>80.289558878102895</v>
      </c>
      <c r="AM877">
        <v>92.971204415511593</v>
      </c>
      <c r="AN877">
        <v>0.99999997962695297</v>
      </c>
    </row>
    <row r="878" spans="1:40" x14ac:dyDescent="0.25">
      <c r="A878" t="str">
        <f>"20190304155611520"</f>
        <v>20190304155611520</v>
      </c>
      <c r="B878" t="str">
        <f>"1551686171515386"</f>
        <v>1551686171515386</v>
      </c>
      <c r="C878" t="s">
        <v>40</v>
      </c>
      <c r="D878">
        <v>4.1269859999999996</v>
      </c>
      <c r="E878">
        <v>0.5217773</v>
      </c>
      <c r="F878" t="s">
        <v>41</v>
      </c>
      <c r="G878">
        <v>-243.5069</v>
      </c>
      <c r="H878" s="1">
        <v>-3.6219130000000001E-6</v>
      </c>
      <c r="I878">
        <v>366.39120000000003</v>
      </c>
      <c r="J878">
        <v>-316.32409999999999</v>
      </c>
      <c r="K878">
        <v>1.0899650000000001</v>
      </c>
      <c r="L878">
        <v>367.00970000000001</v>
      </c>
      <c r="M878">
        <v>0.99974450000000004</v>
      </c>
      <c r="N878">
        <v>-2.258452E-2</v>
      </c>
      <c r="O878">
        <v>1.0044609999999999E-3</v>
      </c>
      <c r="P878">
        <v>0.98788089999999995</v>
      </c>
      <c r="Q878">
        <v>0.1462184</v>
      </c>
      <c r="R878">
        <v>5.2077030000000003E-2</v>
      </c>
      <c r="S878">
        <v>3.0449220000000001</v>
      </c>
      <c r="T878">
        <v>-4.5524719999999998E-2</v>
      </c>
      <c r="U878">
        <v>-2.5787350000000001E-2</v>
      </c>
      <c r="V878">
        <v>-5.1076999999999997E-2</v>
      </c>
      <c r="W878">
        <v>0.1684956</v>
      </c>
      <c r="X878">
        <v>0.98437819999999998</v>
      </c>
      <c r="Y878">
        <v>9.4706579999999999E-3</v>
      </c>
      <c r="Z878">
        <v>-1.7009680000000001E-4</v>
      </c>
      <c r="AA878">
        <v>0.99995509999999999</v>
      </c>
      <c r="AB878">
        <v>33</v>
      </c>
      <c r="AC878">
        <v>72.8171999999999</v>
      </c>
      <c r="AD878">
        <v>-1.089968621913</v>
      </c>
      <c r="AE878">
        <v>-0.61849999999998295</v>
      </c>
      <c r="AF878">
        <v>0.69150545499069305</v>
      </c>
      <c r="AG878">
        <v>-1.089968621913</v>
      </c>
      <c r="AH878">
        <v>72.800231547498001</v>
      </c>
      <c r="AI878">
        <v>90.857732431733297</v>
      </c>
      <c r="AJ878">
        <v>89.455782602266694</v>
      </c>
      <c r="AK878">
        <v>72.811674371355807</v>
      </c>
      <c r="AL878">
        <v>80.299638757820404</v>
      </c>
      <c r="AM878">
        <v>92.970275458080806</v>
      </c>
      <c r="AN878">
        <v>1.00000003389179</v>
      </c>
    </row>
    <row r="879" spans="1:40" x14ac:dyDescent="0.25">
      <c r="A879" t="str">
        <f>"20190304155611534"</f>
        <v>20190304155611534</v>
      </c>
      <c r="B879" t="str">
        <f>"1551686171525145"</f>
        <v>1551686171525145</v>
      </c>
      <c r="C879" t="s">
        <v>40</v>
      </c>
      <c r="D879">
        <v>4.1299010000000003</v>
      </c>
      <c r="E879">
        <v>0.52185979999999998</v>
      </c>
      <c r="F879" t="s">
        <v>41</v>
      </c>
      <c r="G879">
        <v>-263.08440000000002</v>
      </c>
      <c r="H879" s="1">
        <v>-3.4869480000000001E-6</v>
      </c>
      <c r="I879">
        <v>366.58409999999998</v>
      </c>
      <c r="J879">
        <v>-316.11840000000001</v>
      </c>
      <c r="K879">
        <v>1.0882320000000001</v>
      </c>
      <c r="L879">
        <v>367.00990000000002</v>
      </c>
      <c r="M879">
        <v>0.99974969999999996</v>
      </c>
      <c r="N879">
        <v>-2.2355159999999999E-2</v>
      </c>
      <c r="O879">
        <v>1.0058409999999999E-3</v>
      </c>
      <c r="P879">
        <v>0.98788710000000002</v>
      </c>
      <c r="Q879">
        <v>0.14614549999999901</v>
      </c>
      <c r="R879">
        <v>5.2160320000000003E-2</v>
      </c>
      <c r="S879">
        <v>3.0473020000000002</v>
      </c>
      <c r="T879">
        <v>-6.2386869999999997E-2</v>
      </c>
      <c r="U879">
        <v>-2.4353030000000001E-2</v>
      </c>
      <c r="V879">
        <v>-5.115898E-2</v>
      </c>
      <c r="W879">
        <v>0.1681967</v>
      </c>
      <c r="X879">
        <v>0.98442499999999999</v>
      </c>
      <c r="Y879">
        <v>8.9935250000000005E-3</v>
      </c>
      <c r="Z879">
        <v>-1.907139E-4</v>
      </c>
      <c r="AA879">
        <v>0.9999595</v>
      </c>
      <c r="AB879">
        <v>33</v>
      </c>
      <c r="AC879">
        <v>53.033999999999899</v>
      </c>
      <c r="AD879">
        <v>-1.08823548694799</v>
      </c>
      <c r="AE879">
        <v>-0.42580000000003698</v>
      </c>
      <c r="AF879">
        <v>0.47895523172955801</v>
      </c>
      <c r="AG879">
        <v>-1.08823548694799</v>
      </c>
      <c r="AH879">
        <v>53.011225655942297</v>
      </c>
      <c r="AI879">
        <v>91.175977346345505</v>
      </c>
      <c r="AJ879">
        <v>89.482348005663994</v>
      </c>
      <c r="AK879">
        <v>53.024557519457801</v>
      </c>
      <c r="AL879">
        <v>80.317011856591904</v>
      </c>
      <c r="AM879">
        <v>92.974893094622502</v>
      </c>
      <c r="AN879">
        <v>0.99999997587526401</v>
      </c>
    </row>
    <row r="880" spans="1:40" x14ac:dyDescent="0.25">
      <c r="A880" t="str">
        <f>"20190304155611545"</f>
        <v>20190304155611545</v>
      </c>
      <c r="B880" t="str">
        <f>"1551686171535881"</f>
        <v>1551686171535881</v>
      </c>
      <c r="C880" t="s">
        <v>40</v>
      </c>
      <c r="D880">
        <v>4.1527149999999997</v>
      </c>
      <c r="E880">
        <v>0.52172659999999904</v>
      </c>
      <c r="F880" t="s">
        <v>41</v>
      </c>
      <c r="G880">
        <v>-266.25279999999998</v>
      </c>
      <c r="H880" s="1">
        <v>-2.124204E-6</v>
      </c>
      <c r="I880">
        <v>366.60390000000001</v>
      </c>
      <c r="J880">
        <v>-315.93849999999998</v>
      </c>
      <c r="K880">
        <v>1.086703</v>
      </c>
      <c r="L880">
        <v>367.01010000000002</v>
      </c>
      <c r="M880">
        <v>0.99975449999999999</v>
      </c>
      <c r="N880">
        <v>-2.2134540000000001E-2</v>
      </c>
      <c r="O880">
        <v>1.007282E-3</v>
      </c>
      <c r="P880">
        <v>0.98784490000000003</v>
      </c>
      <c r="Q880">
        <v>0.14640120000000001</v>
      </c>
      <c r="R880">
        <v>5.2240809999999999E-2</v>
      </c>
      <c r="S880">
        <v>3.0479430000000001</v>
      </c>
      <c r="T880">
        <v>-6.6516160000000005E-2</v>
      </c>
      <c r="U880">
        <v>-2.4810789999999999E-2</v>
      </c>
      <c r="V880">
        <v>-5.1237499999999998E-2</v>
      </c>
      <c r="W880">
        <v>0.168234299999999</v>
      </c>
      <c r="X880">
        <v>0.98441449999999997</v>
      </c>
      <c r="Y880">
        <v>9.1430139999999997E-3</v>
      </c>
      <c r="Z880">
        <v>-2.0065950000000001E-4</v>
      </c>
      <c r="AA880">
        <v>0.99995820000000002</v>
      </c>
      <c r="AB880">
        <v>33</v>
      </c>
      <c r="AC880">
        <v>49.685699999999997</v>
      </c>
      <c r="AD880">
        <v>-1.086705124204</v>
      </c>
      <c r="AE880">
        <v>-0.406200000000012</v>
      </c>
      <c r="AF880">
        <v>0.45604142908553202</v>
      </c>
      <c r="AG880">
        <v>-1.086705124204</v>
      </c>
      <c r="AH880">
        <v>49.6615107165117</v>
      </c>
      <c r="AI880">
        <v>91.253507139815497</v>
      </c>
      <c r="AJ880">
        <v>89.473867903748896</v>
      </c>
      <c r="AK880">
        <v>49.675492432971602</v>
      </c>
      <c r="AL880">
        <v>80.314826476817998</v>
      </c>
      <c r="AM880">
        <v>92.979482531939297</v>
      </c>
      <c r="AN880">
        <v>0.99999998445649396</v>
      </c>
    </row>
    <row r="881" spans="1:40" x14ac:dyDescent="0.25">
      <c r="A881" t="str">
        <f>"20190304155611561"</f>
        <v>20190304155611561</v>
      </c>
      <c r="B881" t="str">
        <f>"1551686171555401"</f>
        <v>1551686171555401</v>
      </c>
      <c r="C881" t="s">
        <v>40</v>
      </c>
      <c r="D881">
        <v>4.1410609999999997</v>
      </c>
      <c r="E881">
        <v>0.52187260000000002</v>
      </c>
      <c r="F881" t="s">
        <v>41</v>
      </c>
      <c r="G881">
        <v>-269.10610000000003</v>
      </c>
      <c r="H881" s="1">
        <v>-1.0807479999999999E-6</v>
      </c>
      <c r="I881">
        <v>366.64530000000002</v>
      </c>
      <c r="J881">
        <v>-315.72899999999998</v>
      </c>
      <c r="K881">
        <v>1.08494</v>
      </c>
      <c r="L881">
        <v>367.01029999999997</v>
      </c>
      <c r="M881">
        <v>0.99975999999999998</v>
      </c>
      <c r="N881">
        <v>-2.188462E-2</v>
      </c>
      <c r="O881">
        <v>1.008372E-3</v>
      </c>
      <c r="P881">
        <v>0.98786750000000001</v>
      </c>
      <c r="Q881">
        <v>0.1462503</v>
      </c>
      <c r="R881">
        <v>5.2237840000000001E-2</v>
      </c>
      <c r="S881">
        <v>3.0486149999999999</v>
      </c>
      <c r="T881">
        <v>-7.0740339999999999E-2</v>
      </c>
      <c r="U881">
        <v>-2.3742679999999999E-2</v>
      </c>
      <c r="V881">
        <v>-5.1233969999999997E-2</v>
      </c>
      <c r="W881">
        <v>0.16783799999999999</v>
      </c>
      <c r="X881">
        <v>0.98448230000000003</v>
      </c>
      <c r="Y881">
        <v>8.791765E-3</v>
      </c>
      <c r="Z881">
        <v>-1.9955250000000001E-4</v>
      </c>
      <c r="AA881">
        <v>0.99996130000000005</v>
      </c>
      <c r="AB881">
        <v>33</v>
      </c>
      <c r="AC881">
        <v>46.622900000000001</v>
      </c>
      <c r="AD881">
        <v>-1.084941080748</v>
      </c>
      <c r="AE881">
        <v>-0.36499999999995197</v>
      </c>
      <c r="AF881">
        <v>0.41180131863241798</v>
      </c>
      <c r="AG881">
        <v>-1.084941080748</v>
      </c>
      <c r="AH881">
        <v>46.597276374820296</v>
      </c>
      <c r="AI881">
        <v>91.333745110181795</v>
      </c>
      <c r="AJ881">
        <v>89.493664326067105</v>
      </c>
      <c r="AK881">
        <v>46.611724308655504</v>
      </c>
      <c r="AL881">
        <v>80.337860043760998</v>
      </c>
      <c r="AM881">
        <v>92.979072821429497</v>
      </c>
      <c r="AN881">
        <v>0.99999995646962403</v>
      </c>
    </row>
    <row r="882" spans="1:40" x14ac:dyDescent="0.25">
      <c r="A882" t="str">
        <f>"20190304155611572"</f>
        <v>20190304155611572</v>
      </c>
      <c r="B882" t="str">
        <f>"1551686171565162"</f>
        <v>1551686171565162</v>
      </c>
      <c r="C882" t="s">
        <v>40</v>
      </c>
      <c r="D882">
        <v>4.1255949999999997</v>
      </c>
      <c r="E882">
        <v>0.5219454</v>
      </c>
      <c r="F882" t="s">
        <v>41</v>
      </c>
      <c r="G882">
        <v>-273.65649999999999</v>
      </c>
      <c r="H882" s="1">
        <v>-3.2268670000000001E-6</v>
      </c>
      <c r="I882">
        <v>366.66669999999999</v>
      </c>
      <c r="J882">
        <v>-315.55329999999998</v>
      </c>
      <c r="K882">
        <v>1.083477</v>
      </c>
      <c r="L882">
        <v>367.01049999999998</v>
      </c>
      <c r="M882">
        <v>0.99976489999999996</v>
      </c>
      <c r="N882">
        <v>-2.1666970000000001E-2</v>
      </c>
      <c r="O882">
        <v>1.0087259999999999E-3</v>
      </c>
      <c r="P882">
        <v>0.98784119999999997</v>
      </c>
      <c r="Q882">
        <v>0.1464771</v>
      </c>
      <c r="R882">
        <v>5.209942E-2</v>
      </c>
      <c r="S882">
        <v>3.0498050000000001</v>
      </c>
      <c r="T882">
        <v>-7.8646659999999993E-2</v>
      </c>
      <c r="U882">
        <v>-2.4902339999999999E-2</v>
      </c>
      <c r="V882">
        <v>-5.1095389999999997E-2</v>
      </c>
      <c r="W882">
        <v>0.16784969999999999</v>
      </c>
      <c r="X882">
        <v>0.98448749999999996</v>
      </c>
      <c r="Y882">
        <v>9.1682599999999993E-3</v>
      </c>
      <c r="Z882">
        <v>-2.217094E-4</v>
      </c>
      <c r="AA882">
        <v>0.99995789999999996</v>
      </c>
      <c r="AB882">
        <v>33</v>
      </c>
      <c r="AC882">
        <v>41.896799999999899</v>
      </c>
      <c r="AD882">
        <v>-1.0834802268670001</v>
      </c>
      <c r="AE882">
        <v>-0.343799999999987</v>
      </c>
      <c r="AF882">
        <v>0.38581412757532502</v>
      </c>
      <c r="AG882">
        <v>-1.0834802268670001</v>
      </c>
      <c r="AH882">
        <v>41.868433101364097</v>
      </c>
      <c r="AI882">
        <v>91.482318627408901</v>
      </c>
      <c r="AJ882">
        <v>89.472039102336495</v>
      </c>
      <c r="AK882">
        <v>41.884227010969703</v>
      </c>
      <c r="AL882">
        <v>80.337179964966296</v>
      </c>
      <c r="AM882">
        <v>92.971013679690103</v>
      </c>
      <c r="AN882">
        <v>0.999999949162794</v>
      </c>
    </row>
    <row r="883" spans="1:40" x14ac:dyDescent="0.25">
      <c r="A883" t="str">
        <f>"20190304155611584"</f>
        <v>20190304155611584</v>
      </c>
      <c r="B883" t="str">
        <f>"1551686171575898"</f>
        <v>1551686171575898</v>
      </c>
      <c r="C883" t="s">
        <v>40</v>
      </c>
      <c r="D883">
        <v>4.05776</v>
      </c>
      <c r="E883">
        <v>0.52233629999999998</v>
      </c>
      <c r="F883" t="s">
        <v>41</v>
      </c>
      <c r="G883">
        <v>-274.01479999999998</v>
      </c>
      <c r="H883" s="1">
        <v>-3.0742639999999998E-6</v>
      </c>
      <c r="I883">
        <v>366.66050000000001</v>
      </c>
      <c r="J883">
        <v>-315.38240000000002</v>
      </c>
      <c r="K883">
        <v>1.082074</v>
      </c>
      <c r="L883">
        <v>367.01069999999999</v>
      </c>
      <c r="M883">
        <v>0.99976989999999999</v>
      </c>
      <c r="N883">
        <v>-2.142546E-2</v>
      </c>
      <c r="O883">
        <v>1.0086610000000001E-3</v>
      </c>
      <c r="P883">
        <v>0.98783299999999996</v>
      </c>
      <c r="Q883">
        <v>0.1465687</v>
      </c>
      <c r="R883">
        <v>5.1996189999999998E-2</v>
      </c>
      <c r="S883">
        <v>3.0500790000000002</v>
      </c>
      <c r="T883">
        <v>-7.9557420000000004E-2</v>
      </c>
      <c r="U883">
        <v>-2.5695800000000001E-2</v>
      </c>
      <c r="V883">
        <v>-5.0992460000000003E-2</v>
      </c>
      <c r="W883">
        <v>0.16770309999999999</v>
      </c>
      <c r="X883">
        <v>0.98451789999999995</v>
      </c>
      <c r="Y883">
        <v>9.4273350000000002E-3</v>
      </c>
      <c r="Z883">
        <v>-2.2865630000000001E-4</v>
      </c>
      <c r="AA883">
        <v>0.9999555</v>
      </c>
      <c r="AB883">
        <v>33</v>
      </c>
      <c r="AC883">
        <v>41.367600000000003</v>
      </c>
      <c r="AD883">
        <v>-1.082077074264</v>
      </c>
      <c r="AE883">
        <v>-0.35019999999997198</v>
      </c>
      <c r="AF883">
        <v>0.391667321254973</v>
      </c>
      <c r="AG883">
        <v>-1.082077074264</v>
      </c>
      <c r="AH883">
        <v>41.338942729562397</v>
      </c>
      <c r="AI883">
        <v>91.499349300563793</v>
      </c>
      <c r="AJ883">
        <v>89.457165288874705</v>
      </c>
      <c r="AK883">
        <v>41.354957140386801</v>
      </c>
      <c r="AL883">
        <v>80.345701070941502</v>
      </c>
      <c r="AM883">
        <v>92.964947968436206</v>
      </c>
      <c r="AN883">
        <v>1.00000002807343</v>
      </c>
    </row>
    <row r="884" spans="1:40" x14ac:dyDescent="0.25">
      <c r="A884" t="str">
        <f>"20190304155611595"</f>
        <v>20190304155611595</v>
      </c>
      <c r="B884" t="str">
        <f>"1551686171585658"</f>
        <v>1551686171585658</v>
      </c>
      <c r="C884" t="s">
        <v>40</v>
      </c>
      <c r="D884">
        <v>4.0618030000000003</v>
      </c>
      <c r="E884">
        <v>0.52241990000000005</v>
      </c>
      <c r="F884" t="s">
        <v>41</v>
      </c>
      <c r="G884">
        <v>-273.8485</v>
      </c>
      <c r="H884" s="1">
        <v>-3.1547559999999999E-6</v>
      </c>
      <c r="I884">
        <v>366.60879999999997</v>
      </c>
      <c r="J884">
        <v>-315.23599999999999</v>
      </c>
      <c r="K884">
        <v>1.0808930000000001</v>
      </c>
      <c r="L884">
        <v>367.01080000000002</v>
      </c>
      <c r="M884">
        <v>0.99977490000000002</v>
      </c>
      <c r="N884">
        <v>-2.1194259999999999E-2</v>
      </c>
      <c r="O884">
        <v>1.008276E-3</v>
      </c>
      <c r="P884">
        <v>0.98780159999999995</v>
      </c>
      <c r="Q884">
        <v>0.14676529999999999</v>
      </c>
      <c r="R884">
        <v>5.2038750000000002E-2</v>
      </c>
      <c r="S884">
        <v>3.0502929999999999</v>
      </c>
      <c r="T884">
        <v>-7.9468849999999994E-2</v>
      </c>
      <c r="U884">
        <v>-2.9510499999999999E-2</v>
      </c>
      <c r="V884">
        <v>-5.1034990000000002E-2</v>
      </c>
      <c r="W884">
        <v>0.1676716</v>
      </c>
      <c r="X884">
        <v>0.98452099999999998</v>
      </c>
      <c r="Y884">
        <v>1.0676059999999999E-2</v>
      </c>
      <c r="Z884">
        <v>-2.5712249999999999E-4</v>
      </c>
      <c r="AA884">
        <v>0.99994300000000003</v>
      </c>
      <c r="AB884">
        <v>33</v>
      </c>
      <c r="AC884">
        <v>41.387499999999903</v>
      </c>
      <c r="AD884">
        <v>-1.0808961547560001</v>
      </c>
      <c r="AE884">
        <v>-0.40200000000004299</v>
      </c>
      <c r="AF884">
        <v>0.44343676602802401</v>
      </c>
      <c r="AG884">
        <v>-1.0808961547560001</v>
      </c>
      <c r="AH884">
        <v>41.358866514419503</v>
      </c>
      <c r="AI884">
        <v>91.496973732018503</v>
      </c>
      <c r="AJ884">
        <v>89.385716199923394</v>
      </c>
      <c r="AK884">
        <v>41.375364796221497</v>
      </c>
      <c r="AL884">
        <v>80.347531220975</v>
      </c>
      <c r="AM884">
        <v>92.967407123300902</v>
      </c>
      <c r="AN884">
        <v>0.99999996754592901</v>
      </c>
    </row>
    <row r="885" spans="1:40" x14ac:dyDescent="0.25">
      <c r="A885" t="str">
        <f>"20190304155611606"</f>
        <v>20190304155611606</v>
      </c>
      <c r="B885" t="str">
        <f>"1551686171595418"</f>
        <v>1551686171595418</v>
      </c>
      <c r="C885" t="s">
        <v>40</v>
      </c>
      <c r="D885">
        <v>4.0541049999999998</v>
      </c>
      <c r="E885">
        <v>0.52239099999999905</v>
      </c>
      <c r="F885" t="s">
        <v>41</v>
      </c>
      <c r="G885">
        <v>-274.98020000000002</v>
      </c>
      <c r="H885" s="1">
        <v>-2.6685419999999998E-6</v>
      </c>
      <c r="I885">
        <v>366.61290000000002</v>
      </c>
      <c r="J885">
        <v>-315.06029999999998</v>
      </c>
      <c r="K885">
        <v>1.079502</v>
      </c>
      <c r="L885">
        <v>367.01100000000002</v>
      </c>
      <c r="M885">
        <v>0.99978140000000004</v>
      </c>
      <c r="N885">
        <v>-2.0885000000000001E-2</v>
      </c>
      <c r="O885">
        <v>1.0076709999999999E-3</v>
      </c>
      <c r="P885">
        <v>0.98776090000000005</v>
      </c>
      <c r="Q885">
        <v>0.14704719999999999</v>
      </c>
      <c r="R885">
        <v>5.2018439999999999E-2</v>
      </c>
      <c r="S885">
        <v>3.0508120000000001</v>
      </c>
      <c r="T885">
        <v>-8.1916329999999996E-2</v>
      </c>
      <c r="U885">
        <v>-3.015137E-2</v>
      </c>
      <c r="V885">
        <v>-5.1015940000000003E-2</v>
      </c>
      <c r="W885">
        <v>0.16764809999999999</v>
      </c>
      <c r="X885">
        <v>0.98452600000000001</v>
      </c>
      <c r="Y885">
        <v>1.0883429999999999E-2</v>
      </c>
      <c r="Z885">
        <v>-2.6579050000000002E-4</v>
      </c>
      <c r="AA885">
        <v>0.99994079999999996</v>
      </c>
      <c r="AB885">
        <v>33</v>
      </c>
      <c r="AC885">
        <v>40.080099999999902</v>
      </c>
      <c r="AD885">
        <v>-1.079504668542</v>
      </c>
      <c r="AE885">
        <v>-0.398099999999942</v>
      </c>
      <c r="AF885">
        <v>0.438178328993859</v>
      </c>
      <c r="AG885">
        <v>-1.079504668542</v>
      </c>
      <c r="AH885">
        <v>40.050627611634397</v>
      </c>
      <c r="AI885">
        <v>91.543855737764602</v>
      </c>
      <c r="AJ885">
        <v>89.373174184783394</v>
      </c>
      <c r="AK885">
        <v>40.067569213307799</v>
      </c>
      <c r="AL885">
        <v>80.3488971076832</v>
      </c>
      <c r="AM885">
        <v>92.966286410233906</v>
      </c>
      <c r="AN885">
        <v>0.99999997812184604</v>
      </c>
    </row>
    <row r="886" spans="1:40" x14ac:dyDescent="0.25">
      <c r="A886" t="str">
        <f>"20190304155611617"</f>
        <v>20190304155611617</v>
      </c>
      <c r="B886" t="str">
        <f>"1551686171605178"</f>
        <v>1551686171605178</v>
      </c>
      <c r="C886" t="s">
        <v>40</v>
      </c>
      <c r="D886">
        <v>4.165648</v>
      </c>
      <c r="E886">
        <v>0.52251210000000003</v>
      </c>
      <c r="F886" t="s">
        <v>41</v>
      </c>
      <c r="G886">
        <v>-276.85770000000002</v>
      </c>
      <c r="H886" s="1">
        <v>-1.8582540000000001E-6</v>
      </c>
      <c r="I886">
        <v>366.64030000000002</v>
      </c>
      <c r="J886">
        <v>-314.90469999999999</v>
      </c>
      <c r="K886">
        <v>1.0783180000000001</v>
      </c>
      <c r="L886">
        <v>367.01119999999997</v>
      </c>
      <c r="M886">
        <v>0.99978769999999995</v>
      </c>
      <c r="N886">
        <v>-2.0583480000000001E-2</v>
      </c>
      <c r="O886">
        <v>1.0071139999999999E-3</v>
      </c>
      <c r="P886">
        <v>0.98772950000000004</v>
      </c>
      <c r="Q886">
        <v>0.147258</v>
      </c>
      <c r="R886">
        <v>5.2014629999999999E-2</v>
      </c>
      <c r="S886">
        <v>3.0515750000000001</v>
      </c>
      <c r="T886">
        <v>-8.6229089999999994E-2</v>
      </c>
      <c r="U886">
        <v>-2.9602050000000001E-2</v>
      </c>
      <c r="V886">
        <v>-5.1012490000000001E-2</v>
      </c>
      <c r="W886">
        <v>0.16756070000000001</v>
      </c>
      <c r="X886">
        <v>0.98454109999999995</v>
      </c>
      <c r="Y886">
        <v>1.069999E-2</v>
      </c>
      <c r="Z886">
        <v>-2.6903760000000001E-4</v>
      </c>
      <c r="AA886">
        <v>0.99994269999999996</v>
      </c>
      <c r="AB886">
        <v>33</v>
      </c>
      <c r="AC886">
        <v>38.046999999999898</v>
      </c>
      <c r="AD886">
        <v>-1.0783198582539999</v>
      </c>
      <c r="AE886">
        <v>-0.37089999999994899</v>
      </c>
      <c r="AF886">
        <v>0.40889717710699303</v>
      </c>
      <c r="AG886">
        <v>-1.0783198582539999</v>
      </c>
      <c r="AH886">
        <v>38.016073314177198</v>
      </c>
      <c r="AI886">
        <v>91.6246560808288</v>
      </c>
      <c r="AJ886">
        <v>89.383755946818198</v>
      </c>
      <c r="AK886">
        <v>38.033561506215101</v>
      </c>
      <c r="AL886">
        <v>80.353977019282596</v>
      </c>
      <c r="AM886">
        <v>92.966040760676094</v>
      </c>
      <c r="AN886">
        <v>1.00000001995484</v>
      </c>
    </row>
    <row r="887" spans="1:40" x14ac:dyDescent="0.25">
      <c r="A887" t="str">
        <f>"20190304155611631"</f>
        <v>20190304155611631</v>
      </c>
      <c r="B887" t="str">
        <f>"1551686171625674"</f>
        <v>1551686171625674</v>
      </c>
      <c r="C887" t="s">
        <v>40</v>
      </c>
      <c r="D887">
        <v>4.2074170000000004</v>
      </c>
      <c r="E887">
        <v>0.5230477</v>
      </c>
      <c r="F887" t="s">
        <v>41</v>
      </c>
      <c r="G887">
        <v>-276.40030000000002</v>
      </c>
      <c r="H887" s="1">
        <v>-2.0577549999999998E-6</v>
      </c>
      <c r="I887">
        <v>366.62180000000001</v>
      </c>
      <c r="J887">
        <v>-314.71589999999998</v>
      </c>
      <c r="K887">
        <v>1.0769070000000001</v>
      </c>
      <c r="L887">
        <v>367.01139999999998</v>
      </c>
      <c r="M887">
        <v>0.99979549999999995</v>
      </c>
      <c r="N887">
        <v>-2.020286E-2</v>
      </c>
      <c r="O887">
        <v>1.0065989999999999E-3</v>
      </c>
      <c r="P887">
        <v>0.98764719999999995</v>
      </c>
      <c r="Q887">
        <v>0.14783560000000001</v>
      </c>
      <c r="R887">
        <v>5.194153E-2</v>
      </c>
      <c r="S887">
        <v>3.0516049999999999</v>
      </c>
      <c r="T887">
        <v>-8.5460309999999998E-2</v>
      </c>
      <c r="U887">
        <v>-3.0853269999999999E-2</v>
      </c>
      <c r="V887">
        <v>-5.093984E-2</v>
      </c>
      <c r="W887">
        <v>0.16776189999999999</v>
      </c>
      <c r="X887">
        <v>0.98451060000000001</v>
      </c>
      <c r="Y887">
        <v>1.110921E-2</v>
      </c>
      <c r="Z887">
        <v>-2.7564050000000002E-4</v>
      </c>
      <c r="AA887">
        <v>0.9999382</v>
      </c>
      <c r="AB887">
        <v>32</v>
      </c>
      <c r="AC887">
        <v>38.315599999999897</v>
      </c>
      <c r="AD887">
        <v>-1.076909057755</v>
      </c>
      <c r="AE887">
        <v>-0.38959999999997302</v>
      </c>
      <c r="AF887">
        <v>0.42783817506802801</v>
      </c>
      <c r="AG887">
        <v>-1.076909057755</v>
      </c>
      <c r="AH887">
        <v>38.284947760733502</v>
      </c>
      <c r="AI887">
        <v>91.611135245804405</v>
      </c>
      <c r="AJ887">
        <v>89.359740503131405</v>
      </c>
      <c r="AK887">
        <v>38.302480385280703</v>
      </c>
      <c r="AL887">
        <v>80.342283603546605</v>
      </c>
      <c r="AM887">
        <v>92.961915761071893</v>
      </c>
      <c r="AN887">
        <v>1.0000000219515901</v>
      </c>
    </row>
    <row r="888" spans="1:40" x14ac:dyDescent="0.25">
      <c r="A888" t="str">
        <f>"20190304155611643"</f>
        <v>20190304155611643</v>
      </c>
      <c r="B888" t="str">
        <f>"1551686171635434"</f>
        <v>1551686171635434</v>
      </c>
      <c r="C888" t="s">
        <v>40</v>
      </c>
      <c r="D888">
        <v>4.39377</v>
      </c>
      <c r="E888">
        <v>0.52324119999999996</v>
      </c>
      <c r="F888" t="s">
        <v>41</v>
      </c>
      <c r="G888">
        <v>-274.35239999999999</v>
      </c>
      <c r="H888" s="1">
        <v>-2.9507470000000002E-6</v>
      </c>
      <c r="I888">
        <v>366.54020000000003</v>
      </c>
      <c r="J888">
        <v>-314.53269999999998</v>
      </c>
      <c r="K888">
        <v>1.0756319999999999</v>
      </c>
      <c r="L888">
        <v>367.01159999999999</v>
      </c>
      <c r="M888">
        <v>0.9998032</v>
      </c>
      <c r="N888">
        <v>-1.981457E-2</v>
      </c>
      <c r="O888">
        <v>1.0064410000000001E-3</v>
      </c>
      <c r="P888">
        <v>0.98756860000000002</v>
      </c>
      <c r="Q888">
        <v>0.1483257</v>
      </c>
      <c r="R888">
        <v>5.2042610000000003E-2</v>
      </c>
      <c r="S888">
        <v>3.0515140000000001</v>
      </c>
      <c r="T888">
        <v>-8.1415299999999996E-2</v>
      </c>
      <c r="U888">
        <v>-3.5614010000000001E-2</v>
      </c>
      <c r="V888">
        <v>-5.1041709999999997E-2</v>
      </c>
      <c r="W888">
        <v>0.16786809999999999</v>
      </c>
      <c r="X888">
        <v>0.98448720000000001</v>
      </c>
      <c r="Y888">
        <v>1.2668820000000001E-2</v>
      </c>
      <c r="Z888">
        <v>-3.014413E-4</v>
      </c>
      <c r="AA888">
        <v>0.99991969999999997</v>
      </c>
      <c r="AB888">
        <v>32</v>
      </c>
      <c r="AC888">
        <v>40.180299999999903</v>
      </c>
      <c r="AD888">
        <v>-1.075634950747</v>
      </c>
      <c r="AE888">
        <v>-0.47139999999996002</v>
      </c>
      <c r="AF888">
        <v>0.51148030312372805</v>
      </c>
      <c r="AG888">
        <v>-1.075634950747</v>
      </c>
      <c r="AH888">
        <v>40.151035074946101</v>
      </c>
      <c r="AI888">
        <v>91.534446353220105</v>
      </c>
      <c r="AJ888">
        <v>89.270153869404993</v>
      </c>
      <c r="AK888">
        <v>40.168697019411802</v>
      </c>
      <c r="AL888">
        <v>80.336111054998796</v>
      </c>
      <c r="AM888">
        <v>92.967898866296807</v>
      </c>
      <c r="AN888">
        <v>1.0000000010605801</v>
      </c>
    </row>
    <row r="889" spans="1:40" x14ac:dyDescent="0.25">
      <c r="A889" t="str">
        <f>"20190304155611654"</f>
        <v>20190304155611654</v>
      </c>
      <c r="B889" t="str">
        <f>"1551686171645195"</f>
        <v>1551686171645195</v>
      </c>
      <c r="C889" t="s">
        <v>40</v>
      </c>
      <c r="D889">
        <v>4.41594</v>
      </c>
      <c r="E889">
        <v>0.52350600000000003</v>
      </c>
      <c r="F889" t="s">
        <v>41</v>
      </c>
      <c r="G889">
        <v>-271.95190000000002</v>
      </c>
      <c r="H889" s="1">
        <v>-3.987456E-6</v>
      </c>
      <c r="I889">
        <v>366.50130000000001</v>
      </c>
      <c r="J889">
        <v>-314.36189999999999</v>
      </c>
      <c r="K889">
        <v>1.074487</v>
      </c>
      <c r="L889">
        <v>367.01170000000002</v>
      </c>
      <c r="M889">
        <v>0.99981039999999999</v>
      </c>
      <c r="N889">
        <v>-1.9451510000000002E-2</v>
      </c>
      <c r="O889">
        <v>1.00632E-3</v>
      </c>
      <c r="P889">
        <v>0.98750099999999996</v>
      </c>
      <c r="Q889">
        <v>0.14871799999999999</v>
      </c>
      <c r="R889">
        <v>5.2200419999999997E-2</v>
      </c>
      <c r="S889">
        <v>3.0512389999999998</v>
      </c>
      <c r="T889">
        <v>-7.7077510000000002E-2</v>
      </c>
      <c r="U889">
        <v>-3.6560059999999998E-2</v>
      </c>
      <c r="V889">
        <v>-5.1199139999999997E-2</v>
      </c>
      <c r="W889">
        <v>0.16790150000000001</v>
      </c>
      <c r="X889">
        <v>0.9844733</v>
      </c>
      <c r="Y889">
        <v>1.298026E-2</v>
      </c>
      <c r="Z889">
        <v>-2.960514E-4</v>
      </c>
      <c r="AA889">
        <v>0.99991569999999996</v>
      </c>
      <c r="AB889">
        <v>32</v>
      </c>
      <c r="AC889">
        <v>42.409999999999897</v>
      </c>
      <c r="AD889">
        <v>-1.074490987456</v>
      </c>
      <c r="AE889">
        <v>-0.51040000000000396</v>
      </c>
      <c r="AF889">
        <v>0.55273109628957195</v>
      </c>
      <c r="AG889">
        <v>-1.074490987456</v>
      </c>
      <c r="AH889">
        <v>42.382263457685703</v>
      </c>
      <c r="AI889">
        <v>91.4521494946475</v>
      </c>
      <c r="AJ889">
        <v>89.252815655261102</v>
      </c>
      <c r="AK889">
        <v>42.399484647146501</v>
      </c>
      <c r="AL889">
        <v>80.334169539991194</v>
      </c>
      <c r="AM889">
        <v>92.977078392492501</v>
      </c>
      <c r="AN889">
        <v>0.99999997202593904</v>
      </c>
    </row>
    <row r="890" spans="1:40" x14ac:dyDescent="0.25">
      <c r="A890" t="str">
        <f>"20190304155611667"</f>
        <v>20190304155611667</v>
      </c>
      <c r="B890" t="str">
        <f>"1551686171665689"</f>
        <v>1551686171665689</v>
      </c>
      <c r="C890" t="s">
        <v>40</v>
      </c>
      <c r="D890">
        <v>4.1927529999999997</v>
      </c>
      <c r="E890">
        <v>0.52383009999999997</v>
      </c>
      <c r="F890" t="s">
        <v>41</v>
      </c>
      <c r="G890">
        <v>-268.9837</v>
      </c>
      <c r="H890" s="1">
        <v>-1.176383E-6</v>
      </c>
      <c r="I890">
        <v>366.4425</v>
      </c>
      <c r="J890">
        <v>-314.17869999999999</v>
      </c>
      <c r="K890">
        <v>1.0733170000000001</v>
      </c>
      <c r="L890">
        <v>367.01190000000003</v>
      </c>
      <c r="M890">
        <v>0.99981799999999998</v>
      </c>
      <c r="N890">
        <v>-1.9060239999999999E-2</v>
      </c>
      <c r="O890">
        <v>1.0062230000000001E-3</v>
      </c>
      <c r="P890">
        <v>0.98746449999999997</v>
      </c>
      <c r="Q890">
        <v>0.14905669999999999</v>
      </c>
      <c r="R890">
        <v>5.1928229999999999E-2</v>
      </c>
      <c r="S890">
        <v>3.0508730000000002</v>
      </c>
      <c r="T890">
        <v>-7.2239999999999999E-2</v>
      </c>
      <c r="U890">
        <v>-3.8269039999999997E-2</v>
      </c>
      <c r="V890">
        <v>-5.092729E-2</v>
      </c>
      <c r="W890">
        <v>0.16785449999999999</v>
      </c>
      <c r="X890">
        <v>0.98449549999999997</v>
      </c>
      <c r="Y890">
        <v>1.354211E-2</v>
      </c>
      <c r="Z890">
        <v>-2.9404920000000002E-4</v>
      </c>
      <c r="AA890">
        <v>0.99990829999999997</v>
      </c>
      <c r="AB890">
        <v>32</v>
      </c>
      <c r="AC890">
        <v>45.194999999999901</v>
      </c>
      <c r="AD890">
        <v>-1.073318176383</v>
      </c>
      <c r="AE890">
        <v>-0.56940000000002999</v>
      </c>
      <c r="AF890">
        <v>0.61453767336156895</v>
      </c>
      <c r="AG890">
        <v>-1.073318176383</v>
      </c>
      <c r="AH890">
        <v>45.168933000569503</v>
      </c>
      <c r="AI890">
        <v>91.361097974496801</v>
      </c>
      <c r="AJ890">
        <v>89.220520822599894</v>
      </c>
      <c r="AK890">
        <v>45.185862577466303</v>
      </c>
      <c r="AL890">
        <v>80.336902027245003</v>
      </c>
      <c r="AM890">
        <v>92.961232672876605</v>
      </c>
      <c r="AN890">
        <v>1.0000000557786199</v>
      </c>
    </row>
    <row r="891" spans="1:40" x14ac:dyDescent="0.25">
      <c r="A891" t="str">
        <f>"20190304155611680"</f>
        <v>20190304155611680</v>
      </c>
      <c r="B891" t="str">
        <f>"1551686171675450"</f>
        <v>1551686171675450</v>
      </c>
      <c r="C891" t="s">
        <v>40</v>
      </c>
      <c r="D891">
        <v>4.2120179999999996</v>
      </c>
      <c r="E891">
        <v>0.52382139999999999</v>
      </c>
      <c r="F891" t="s">
        <v>41</v>
      </c>
      <c r="G891">
        <v>-267.48250000000002</v>
      </c>
      <c r="H891" s="1">
        <v>-1.7051640000000001E-6</v>
      </c>
      <c r="I891">
        <v>366.37520000000001</v>
      </c>
      <c r="J891">
        <v>-313.9991</v>
      </c>
      <c r="K891">
        <v>1.0722579999999999</v>
      </c>
      <c r="L891">
        <v>367.01209999999998</v>
      </c>
      <c r="M891">
        <v>0.99982490000000002</v>
      </c>
      <c r="N891">
        <v>-1.868357E-2</v>
      </c>
      <c r="O891">
        <v>1.0066299999999999E-3</v>
      </c>
      <c r="P891">
        <v>0.98741129999999999</v>
      </c>
      <c r="Q891">
        <v>0.1493592</v>
      </c>
      <c r="R891">
        <v>5.2066840000000003E-2</v>
      </c>
      <c r="S891">
        <v>3.0508730000000002</v>
      </c>
      <c r="T891">
        <v>-7.0124629999999993E-2</v>
      </c>
      <c r="U891">
        <v>-4.1595460000000001E-2</v>
      </c>
      <c r="V891">
        <v>-5.1065439999999997E-2</v>
      </c>
      <c r="W891">
        <v>0.16778489999999999</v>
      </c>
      <c r="X891">
        <v>0.98450020000000005</v>
      </c>
      <c r="Y891">
        <v>1.463237E-2</v>
      </c>
      <c r="Z891">
        <v>-3.0920250000000002E-4</v>
      </c>
      <c r="AA891">
        <v>0.99989289999999997</v>
      </c>
      <c r="AB891">
        <v>32</v>
      </c>
      <c r="AC891">
        <v>46.516599999999897</v>
      </c>
      <c r="AD891">
        <v>-1.0722597051639999</v>
      </c>
      <c r="AE891">
        <v>-0.63689999999996805</v>
      </c>
      <c r="AF891">
        <v>0.68336981571505395</v>
      </c>
      <c r="AG891">
        <v>-1.0722597051639999</v>
      </c>
      <c r="AH891">
        <v>46.491236510038298</v>
      </c>
      <c r="AI891">
        <v>91.321075501416502</v>
      </c>
      <c r="AJ891">
        <v>89.157875983992</v>
      </c>
      <c r="AK891">
        <v>46.508620785964702</v>
      </c>
      <c r="AL891">
        <v>80.340947105203796</v>
      </c>
      <c r="AM891">
        <v>92.969237076947493</v>
      </c>
      <c r="AN891">
        <v>1.00000004781522</v>
      </c>
    </row>
    <row r="892" spans="1:40" x14ac:dyDescent="0.25">
      <c r="A892" t="str">
        <f>"20190304155611695"</f>
        <v>20190304155611695</v>
      </c>
      <c r="B892" t="str">
        <f>"1551686171685210"</f>
        <v>1551686171685210</v>
      </c>
      <c r="C892" t="s">
        <v>40</v>
      </c>
      <c r="D892">
        <v>4.249142</v>
      </c>
      <c r="E892">
        <v>0.5237752</v>
      </c>
      <c r="F892" t="s">
        <v>41</v>
      </c>
      <c r="G892">
        <v>-267.57870000000003</v>
      </c>
      <c r="H892" s="1">
        <v>-1.669235E-6</v>
      </c>
      <c r="I892">
        <v>366.38709999999998</v>
      </c>
      <c r="J892">
        <v>-313.7731</v>
      </c>
      <c r="K892">
        <v>1.0709979999999999</v>
      </c>
      <c r="L892">
        <v>367.01240000000001</v>
      </c>
      <c r="M892">
        <v>0.99983350000000004</v>
      </c>
      <c r="N892">
        <v>-1.8218359999999999E-2</v>
      </c>
      <c r="O892">
        <v>1.0068830000000001E-3</v>
      </c>
      <c r="P892">
        <v>0.98741780000000001</v>
      </c>
      <c r="Q892">
        <v>0.14933959999999999</v>
      </c>
      <c r="R892">
        <v>5.1998580000000003E-2</v>
      </c>
      <c r="S892">
        <v>3.051056</v>
      </c>
      <c r="T892">
        <v>-7.0475940000000001E-2</v>
      </c>
      <c r="U892">
        <v>-4.1076660000000001E-2</v>
      </c>
      <c r="V892">
        <v>-5.099687E-2</v>
      </c>
      <c r="W892">
        <v>0.16730729999999999</v>
      </c>
      <c r="X892">
        <v>0.98458500000000004</v>
      </c>
      <c r="Y892">
        <v>1.446192E-2</v>
      </c>
      <c r="Z892">
        <v>-3.036914E-4</v>
      </c>
      <c r="AA892">
        <v>0.99989539999999999</v>
      </c>
      <c r="AB892">
        <v>32</v>
      </c>
      <c r="AC892">
        <v>46.194399999999902</v>
      </c>
      <c r="AD892">
        <v>-1.0709996692349999</v>
      </c>
      <c r="AE892">
        <v>-0.62530000000003805</v>
      </c>
      <c r="AF892">
        <v>0.67145890004721298</v>
      </c>
      <c r="AG892">
        <v>-1.0709996692349999</v>
      </c>
      <c r="AH892">
        <v>46.168934380637403</v>
      </c>
      <c r="AI892">
        <v>91.328734854616002</v>
      </c>
      <c r="AJ892">
        <v>89.166776328922197</v>
      </c>
      <c r="AK892">
        <v>46.186236036178101</v>
      </c>
      <c r="AL892">
        <v>80.368703640423107</v>
      </c>
      <c r="AM892">
        <v>92.965002209900902</v>
      </c>
      <c r="AN892">
        <v>1.00000001780404</v>
      </c>
    </row>
    <row r="893" spans="1:40" x14ac:dyDescent="0.25">
      <c r="A893" t="str">
        <f>"20190304155611708"</f>
        <v>20190304155611708</v>
      </c>
      <c r="B893" t="str">
        <f>"1551686171705705"</f>
        <v>1551686171705705</v>
      </c>
      <c r="C893" t="s">
        <v>40</v>
      </c>
      <c r="D893">
        <v>4.1629139999999998</v>
      </c>
      <c r="E893">
        <v>0.52372640000000004</v>
      </c>
      <c r="F893" t="s">
        <v>41</v>
      </c>
      <c r="G893">
        <v>-268.06270000000001</v>
      </c>
      <c r="H893" s="1">
        <v>-1.5014529999999999E-6</v>
      </c>
      <c r="I893">
        <v>366.39879999999999</v>
      </c>
      <c r="J893">
        <v>-313.58139999999997</v>
      </c>
      <c r="K893">
        <v>1.070001</v>
      </c>
      <c r="L893">
        <v>367.01260000000002</v>
      </c>
      <c r="M893">
        <v>0.99984059999999997</v>
      </c>
      <c r="N893">
        <v>-1.783411E-2</v>
      </c>
      <c r="O893">
        <v>1.006783E-3</v>
      </c>
      <c r="P893">
        <v>0.98738760000000003</v>
      </c>
      <c r="Q893">
        <v>0.1494616</v>
      </c>
      <c r="R893">
        <v>5.222313E-2</v>
      </c>
      <c r="S893">
        <v>3.0512079999999999</v>
      </c>
      <c r="T893">
        <v>-7.1489929999999993E-2</v>
      </c>
      <c r="U893">
        <v>-4.0954589999999999E-2</v>
      </c>
      <c r="V893">
        <v>-5.1221200000000001E-2</v>
      </c>
      <c r="W893">
        <v>0.16705059999999999</v>
      </c>
      <c r="X893">
        <v>0.98461690000000002</v>
      </c>
      <c r="Y893">
        <v>1.4421069999999999E-2</v>
      </c>
      <c r="Z893">
        <v>-3.0318240000000001E-4</v>
      </c>
      <c r="AA893">
        <v>0.99989600000000001</v>
      </c>
      <c r="AB893">
        <v>32</v>
      </c>
      <c r="AC893">
        <v>45.518699999999903</v>
      </c>
      <c r="AD893">
        <v>-1.0700025014529999</v>
      </c>
      <c r="AE893">
        <v>-0.61380000000002599</v>
      </c>
      <c r="AF893">
        <v>0.65927019611978799</v>
      </c>
      <c r="AG893">
        <v>-1.0700025014529999</v>
      </c>
      <c r="AH893">
        <v>45.492925256821103</v>
      </c>
      <c r="AI893">
        <v>91.347218121375207</v>
      </c>
      <c r="AJ893">
        <v>89.169744401851204</v>
      </c>
      <c r="AK893">
        <v>45.510282255412498</v>
      </c>
      <c r="AL893">
        <v>80.383621015176303</v>
      </c>
      <c r="AM893">
        <v>92.977925214733602</v>
      </c>
      <c r="AN893">
        <v>0.99999997702770405</v>
      </c>
    </row>
    <row r="894" spans="1:40" x14ac:dyDescent="0.25">
      <c r="A894" t="str">
        <f>"20190304155611722"</f>
        <v>20190304155611722</v>
      </c>
      <c r="B894" t="str">
        <f>"1551686171715466"</f>
        <v>1551686171715466</v>
      </c>
      <c r="C894" t="s">
        <v>40</v>
      </c>
      <c r="D894">
        <v>4.2191229999999997</v>
      </c>
      <c r="E894">
        <v>0.52376400000000001</v>
      </c>
      <c r="F894" t="s">
        <v>41</v>
      </c>
      <c r="G894">
        <v>-269.18779999999998</v>
      </c>
      <c r="H894" s="1">
        <v>-1.112012E-6</v>
      </c>
      <c r="I894">
        <v>366.42340000000002</v>
      </c>
      <c r="J894">
        <v>-313.38850000000002</v>
      </c>
      <c r="K894">
        <v>1.0690999999999999</v>
      </c>
      <c r="L894">
        <v>367.01280000000003</v>
      </c>
      <c r="M894">
        <v>0.99984700000000004</v>
      </c>
      <c r="N894">
        <v>-1.7468290000000001E-2</v>
      </c>
      <c r="O894">
        <v>1.006985E-3</v>
      </c>
      <c r="P894">
        <v>0.98736570000000001</v>
      </c>
      <c r="Q894">
        <v>0.14965339999999999</v>
      </c>
      <c r="R894">
        <v>5.2087189999999998E-2</v>
      </c>
      <c r="S894">
        <v>3.0516049999999999</v>
      </c>
      <c r="T894">
        <v>-7.3551649999999996E-2</v>
      </c>
      <c r="U894">
        <v>-4.0496829999999998E-2</v>
      </c>
      <c r="V894">
        <v>-5.108559E-2</v>
      </c>
      <c r="W894">
        <v>0.16688129999999901</v>
      </c>
      <c r="X894">
        <v>0.98465270000000005</v>
      </c>
      <c r="Y894">
        <v>1.426937E-2</v>
      </c>
      <c r="Z894">
        <v>-3.0328529999999997E-4</v>
      </c>
      <c r="AA894">
        <v>0.99989810000000001</v>
      </c>
      <c r="AB894">
        <v>32</v>
      </c>
      <c r="AC894">
        <v>44.200699999999998</v>
      </c>
      <c r="AD894">
        <v>-1.069101112012</v>
      </c>
      <c r="AE894">
        <v>-0.58940000000001103</v>
      </c>
      <c r="AF894">
        <v>0.63354535326669104</v>
      </c>
      <c r="AG894">
        <v>-1.069101112012</v>
      </c>
      <c r="AH894">
        <v>44.174245243957202</v>
      </c>
      <c r="AI894">
        <v>91.386254153519104</v>
      </c>
      <c r="AJ894">
        <v>89.178322433281096</v>
      </c>
      <c r="AK894">
        <v>44.191722072981399</v>
      </c>
      <c r="AL894">
        <v>80.3934597371058</v>
      </c>
      <c r="AM894">
        <v>92.969947391693495</v>
      </c>
      <c r="AN894">
        <v>1.0000000227063099</v>
      </c>
    </row>
    <row r="895" spans="1:40" x14ac:dyDescent="0.25">
      <c r="A895" t="str">
        <f>"20190304155611736"</f>
        <v>20190304155611736</v>
      </c>
      <c r="B895" t="str">
        <f>"1551686171725226"</f>
        <v>1551686171725226</v>
      </c>
      <c r="C895" t="s">
        <v>40</v>
      </c>
      <c r="D895">
        <v>4.1435370000000002</v>
      </c>
      <c r="E895">
        <v>0.52376909999999999</v>
      </c>
      <c r="F895" t="s">
        <v>41</v>
      </c>
      <c r="G895">
        <v>-268.50670000000002</v>
      </c>
      <c r="H895" s="1">
        <v>-1.3484620000000001E-6</v>
      </c>
      <c r="I895">
        <v>366.40589999999997</v>
      </c>
      <c r="J895">
        <v>-313.18630000000002</v>
      </c>
      <c r="K895">
        <v>1.0682119999999999</v>
      </c>
      <c r="L895">
        <v>367.01299999999998</v>
      </c>
      <c r="M895">
        <v>0.99985329999999994</v>
      </c>
      <c r="N895">
        <v>-1.709838E-2</v>
      </c>
      <c r="O895">
        <v>1.007036E-3</v>
      </c>
      <c r="P895">
        <v>0.98731120000000006</v>
      </c>
      <c r="Q895">
        <v>0.1500186</v>
      </c>
      <c r="R895">
        <v>5.2064989999999998E-2</v>
      </c>
      <c r="S895">
        <v>3.0515439999999998</v>
      </c>
      <c r="T895">
        <v>-7.2688820000000001E-2</v>
      </c>
      <c r="U895">
        <v>-4.1259770000000001E-2</v>
      </c>
      <c r="V895">
        <v>-5.1063520000000001E-2</v>
      </c>
      <c r="W895">
        <v>0.16688129999999901</v>
      </c>
      <c r="X895">
        <v>0.98465380000000002</v>
      </c>
      <c r="Y895">
        <v>1.45197E-2</v>
      </c>
      <c r="Z895">
        <v>-3.038413E-4</v>
      </c>
      <c r="AA895">
        <v>0.99989459999999997</v>
      </c>
      <c r="AB895">
        <v>32</v>
      </c>
      <c r="AC895">
        <v>44.679599999999901</v>
      </c>
      <c r="AD895">
        <v>-1.068213348462</v>
      </c>
      <c r="AE895">
        <v>-0.60710000000005904</v>
      </c>
      <c r="AF895">
        <v>0.65172777318535802</v>
      </c>
      <c r="AG895">
        <v>-1.068213348462</v>
      </c>
      <c r="AH895">
        <v>44.653446371587101</v>
      </c>
      <c r="AI895">
        <v>91.370239838645901</v>
      </c>
      <c r="AJ895">
        <v>89.163813710312994</v>
      </c>
      <c r="AK895">
        <v>44.670976055022301</v>
      </c>
      <c r="AL895">
        <v>80.393459309472902</v>
      </c>
      <c r="AM895">
        <v>92.968663299944495</v>
      </c>
      <c r="AN895">
        <v>0.99999997860945999</v>
      </c>
    </row>
    <row r="896" spans="1:40" x14ac:dyDescent="0.25">
      <c r="A896" t="str">
        <f>"20190304155611751"</f>
        <v>20190304155611751</v>
      </c>
      <c r="B896" t="str">
        <f>"1551686171745722"</f>
        <v>1551686171745722</v>
      </c>
      <c r="C896" t="s">
        <v>40</v>
      </c>
      <c r="D896">
        <v>4.1073950000000004</v>
      </c>
      <c r="E896">
        <v>0.52384540000000002</v>
      </c>
      <c r="F896" t="s">
        <v>41</v>
      </c>
      <c r="G896">
        <v>-268.5992</v>
      </c>
      <c r="H896" s="1">
        <v>-1.3163039999999999E-6</v>
      </c>
      <c r="I896">
        <v>366.4083</v>
      </c>
      <c r="J896">
        <v>-312.9658</v>
      </c>
      <c r="K896">
        <v>1.0673189999999999</v>
      </c>
      <c r="L896">
        <v>367.01319999999998</v>
      </c>
      <c r="M896">
        <v>0.99985979999999997</v>
      </c>
      <c r="N896">
        <v>-1.6713579999999999E-2</v>
      </c>
      <c r="O896">
        <v>1.006905E-3</v>
      </c>
      <c r="P896">
        <v>0.98732589999999998</v>
      </c>
      <c r="Q896">
        <v>0.14992369999999999</v>
      </c>
      <c r="R896">
        <v>5.2061980000000001E-2</v>
      </c>
      <c r="S896">
        <v>3.0518800000000001</v>
      </c>
      <c r="T896">
        <v>-7.3116539999999994E-2</v>
      </c>
      <c r="U896">
        <v>-4.1381840000000003E-2</v>
      </c>
      <c r="V896">
        <v>-5.1060630000000003E-2</v>
      </c>
      <c r="W896">
        <v>0.16640739999999901</v>
      </c>
      <c r="X896">
        <v>0.9847342</v>
      </c>
      <c r="Y896">
        <v>1.455804E-2</v>
      </c>
      <c r="Z896">
        <v>-3.0334920000000003E-4</v>
      </c>
      <c r="AA896">
        <v>0.99989399999999995</v>
      </c>
      <c r="AB896">
        <v>32</v>
      </c>
      <c r="AC896">
        <v>44.366599999999998</v>
      </c>
      <c r="AD896">
        <v>-1.0673203163039999</v>
      </c>
      <c r="AE896">
        <v>-0.604899999999986</v>
      </c>
      <c r="AF896">
        <v>0.649203241362584</v>
      </c>
      <c r="AG896">
        <v>-1.0673203163039999</v>
      </c>
      <c r="AH896">
        <v>44.340311967103197</v>
      </c>
      <c r="AI896">
        <v>91.378758741976895</v>
      </c>
      <c r="AJ896">
        <v>89.161170805449302</v>
      </c>
      <c r="AK896">
        <v>44.357906880805601</v>
      </c>
      <c r="AL896">
        <v>80.420997310066994</v>
      </c>
      <c r="AM896">
        <v>92.968253651928705</v>
      </c>
      <c r="AN896">
        <v>1.0000000276801899</v>
      </c>
    </row>
    <row r="897" spans="1:40" x14ac:dyDescent="0.25">
      <c r="A897" t="str">
        <f>"20190304155611763"</f>
        <v>20190304155611763</v>
      </c>
      <c r="B897" t="str">
        <f>"1551686171755482"</f>
        <v>1551686171755482</v>
      </c>
      <c r="C897" t="s">
        <v>40</v>
      </c>
      <c r="D897">
        <v>4.2120579999999999</v>
      </c>
      <c r="E897">
        <v>0.52382600000000001</v>
      </c>
      <c r="F897" t="s">
        <v>41</v>
      </c>
      <c r="G897">
        <v>-268.87720000000002</v>
      </c>
      <c r="H897" s="1">
        <v>-1.222792E-6</v>
      </c>
      <c r="I897">
        <v>366.40429999999998</v>
      </c>
      <c r="J897">
        <v>-312.79450000000003</v>
      </c>
      <c r="K897">
        <v>1.0667009999999999</v>
      </c>
      <c r="L897">
        <v>367.01339999999999</v>
      </c>
      <c r="M897">
        <v>0.99986450000000004</v>
      </c>
      <c r="N897">
        <v>-1.643534E-2</v>
      </c>
      <c r="O897">
        <v>1.0068970000000001E-3</v>
      </c>
      <c r="P897">
        <v>0.98733780000000004</v>
      </c>
      <c r="Q897">
        <v>0.1498092</v>
      </c>
      <c r="R897">
        <v>5.2168600000000002E-2</v>
      </c>
      <c r="S897">
        <v>3.051971</v>
      </c>
      <c r="T897">
        <v>-7.3883530000000003E-2</v>
      </c>
      <c r="U897">
        <v>-4.214478E-2</v>
      </c>
      <c r="V897">
        <v>-5.1167320000000002E-2</v>
      </c>
      <c r="W897">
        <v>0.16601949999999999</v>
      </c>
      <c r="X897">
        <v>0.98479410000000001</v>
      </c>
      <c r="Y897">
        <v>1.480733E-2</v>
      </c>
      <c r="Z897">
        <v>-3.0874480000000001E-4</v>
      </c>
      <c r="AA897">
        <v>0.99989030000000001</v>
      </c>
      <c r="AB897">
        <v>32</v>
      </c>
      <c r="AC897">
        <v>43.917299999999997</v>
      </c>
      <c r="AD897">
        <v>-1.066702222792</v>
      </c>
      <c r="AE897">
        <v>-0.60910000000001197</v>
      </c>
      <c r="AF897">
        <v>0.65294073075222503</v>
      </c>
      <c r="AG897">
        <v>-1.066702222792</v>
      </c>
      <c r="AH897">
        <v>43.890775968285503</v>
      </c>
      <c r="AI897">
        <v>91.392063529046695</v>
      </c>
      <c r="AJ897">
        <v>89.147702725806099</v>
      </c>
      <c r="AK897">
        <v>43.908591418174801</v>
      </c>
      <c r="AL897">
        <v>80.443535535329104</v>
      </c>
      <c r="AM897">
        <v>92.974264027816503</v>
      </c>
      <c r="AN897">
        <v>0.99999999420552099</v>
      </c>
    </row>
    <row r="898" spans="1:40" x14ac:dyDescent="0.25">
      <c r="A898" t="str">
        <f>"20190304155611774"</f>
        <v>20190304155611774</v>
      </c>
      <c r="B898" t="str">
        <f>"1551686171765242"</f>
        <v>1551686171765242</v>
      </c>
      <c r="C898" t="s">
        <v>40</v>
      </c>
      <c r="D898">
        <v>4.1991360000000002</v>
      </c>
      <c r="E898">
        <v>0.52383230000000003</v>
      </c>
      <c r="F898" t="s">
        <v>41</v>
      </c>
      <c r="G898">
        <v>-268.95620000000002</v>
      </c>
      <c r="H898" s="1">
        <v>-1.1943510000000001E-6</v>
      </c>
      <c r="I898">
        <v>366.41019999999997</v>
      </c>
      <c r="J898">
        <v>-312.63720000000001</v>
      </c>
      <c r="K898">
        <v>1.0661609999999999</v>
      </c>
      <c r="L898">
        <v>367.01350000000002</v>
      </c>
      <c r="M898">
        <v>0.9998686</v>
      </c>
      <c r="N898">
        <v>-1.6188210000000001E-2</v>
      </c>
      <c r="O898">
        <v>1.0068950000000001E-3</v>
      </c>
      <c r="P898">
        <v>0.98736259999999998</v>
      </c>
      <c r="Q898">
        <v>0.149642</v>
      </c>
      <c r="R898">
        <v>5.2177769999999998E-2</v>
      </c>
      <c r="S898">
        <v>3.0519409999999998</v>
      </c>
      <c r="T898">
        <v>-7.4261670000000002E-2</v>
      </c>
      <c r="U898">
        <v>-4.1992189999999999E-2</v>
      </c>
      <c r="V898">
        <v>-5.117654E-2</v>
      </c>
      <c r="W898">
        <v>0.16560939999999999</v>
      </c>
      <c r="X898">
        <v>0.98486269999999998</v>
      </c>
      <c r="Y898">
        <v>1.475749E-2</v>
      </c>
      <c r="Z898">
        <v>-3.0719699999999999E-4</v>
      </c>
      <c r="AA898">
        <v>0.99989099999999997</v>
      </c>
      <c r="AB898">
        <v>32</v>
      </c>
      <c r="AC898">
        <v>43.680999999999898</v>
      </c>
      <c r="AD898">
        <v>-1.066162194351</v>
      </c>
      <c r="AE898">
        <v>-0.60330000000004702</v>
      </c>
      <c r="AF898">
        <v>0.64690231609300697</v>
      </c>
      <c r="AG898">
        <v>-1.066162194351</v>
      </c>
      <c r="AH898">
        <v>43.654368340324503</v>
      </c>
      <c r="AI898">
        <v>91.398892095370996</v>
      </c>
      <c r="AJ898">
        <v>89.151011430033705</v>
      </c>
      <c r="AK898">
        <v>43.672177179801302</v>
      </c>
      <c r="AL898">
        <v>80.467362664162806</v>
      </c>
      <c r="AM898">
        <v>92.974592171598403</v>
      </c>
      <c r="AN898">
        <v>1.0000000247330101</v>
      </c>
    </row>
    <row r="899" spans="1:40" x14ac:dyDescent="0.25">
      <c r="A899" t="str">
        <f>"20190304155611784"</f>
        <v>20190304155611784</v>
      </c>
      <c r="B899" t="str">
        <f>"1551686171775978"</f>
        <v>1551686171775978</v>
      </c>
      <c r="C899" t="s">
        <v>40</v>
      </c>
      <c r="D899">
        <v>4.2499349999999998</v>
      </c>
      <c r="E899">
        <v>0.52381</v>
      </c>
      <c r="F899" t="s">
        <v>41</v>
      </c>
      <c r="G899">
        <v>-268.91840000000002</v>
      </c>
      <c r="H899" s="1">
        <v>-1.207551E-6</v>
      </c>
      <c r="I899">
        <v>366.40890000000002</v>
      </c>
      <c r="J899">
        <v>-312.47890000000001</v>
      </c>
      <c r="K899">
        <v>1.0656589999999999</v>
      </c>
      <c r="L899">
        <v>367.01369999999997</v>
      </c>
      <c r="M899">
        <v>0.99987239999999999</v>
      </c>
      <c r="N899">
        <v>-1.5952649999999999E-2</v>
      </c>
      <c r="O899">
        <v>1.006949E-3</v>
      </c>
      <c r="P899">
        <v>0.98735700000000004</v>
      </c>
      <c r="Q899">
        <v>0.14962529999999999</v>
      </c>
      <c r="R899">
        <v>5.233413E-2</v>
      </c>
      <c r="S899">
        <v>3.0519099999999999</v>
      </c>
      <c r="T899">
        <v>-7.4426290000000006E-2</v>
      </c>
      <c r="U899">
        <v>-4.2205810000000003E-2</v>
      </c>
      <c r="V899">
        <v>-5.1332750000000003E-2</v>
      </c>
      <c r="W899">
        <v>0.16536020000000001</v>
      </c>
      <c r="X899">
        <v>0.98489640000000001</v>
      </c>
      <c r="Y899">
        <v>1.482763E-2</v>
      </c>
      <c r="Z899">
        <v>-3.0756449999999998E-4</v>
      </c>
      <c r="AA899">
        <v>0.99988999999999995</v>
      </c>
      <c r="AB899">
        <v>32</v>
      </c>
      <c r="AC899">
        <v>43.560499999999898</v>
      </c>
      <c r="AD899">
        <v>-1.065660207551</v>
      </c>
      <c r="AE899">
        <v>-0.60479999999995404</v>
      </c>
      <c r="AF899">
        <v>0.64828056054328997</v>
      </c>
      <c r="AG899">
        <v>-1.065660207551</v>
      </c>
      <c r="AH899">
        <v>43.533819602687402</v>
      </c>
      <c r="AI899">
        <v>91.402102477022893</v>
      </c>
      <c r="AJ899">
        <v>89.146847320853198</v>
      </c>
      <c r="AK899">
        <v>43.551685943973098</v>
      </c>
      <c r="AL899">
        <v>80.481839983632</v>
      </c>
      <c r="AM899">
        <v>92.983553455558507</v>
      </c>
      <c r="AN899">
        <v>0.99999998284978098</v>
      </c>
    </row>
    <row r="900" spans="1:40" x14ac:dyDescent="0.25">
      <c r="A900" t="str">
        <f>"20190304155611795"</f>
        <v>20190304155611795</v>
      </c>
      <c r="B900" t="str">
        <f>"1551686171785738"</f>
        <v>1551686171785738</v>
      </c>
      <c r="C900" t="s">
        <v>40</v>
      </c>
      <c r="D900">
        <v>4.2164089999999996</v>
      </c>
      <c r="E900">
        <v>0.52378999999999998</v>
      </c>
      <c r="F900" t="s">
        <v>41</v>
      </c>
      <c r="G900">
        <v>-268.88819999999998</v>
      </c>
      <c r="H900" s="1">
        <v>-1.218114E-6</v>
      </c>
      <c r="I900">
        <v>366.40780000000001</v>
      </c>
      <c r="J900">
        <v>-312.33010000000002</v>
      </c>
      <c r="K900">
        <v>1.065221</v>
      </c>
      <c r="L900">
        <v>367.01389999999998</v>
      </c>
      <c r="M900">
        <v>0.99987570000000003</v>
      </c>
      <c r="N900">
        <v>-1.574159E-2</v>
      </c>
      <c r="O900">
        <v>1.0068999999999901E-3</v>
      </c>
      <c r="P900">
        <v>0.98738979999999998</v>
      </c>
      <c r="Q900">
        <v>0.14937020000000001</v>
      </c>
      <c r="R900">
        <v>5.2440680000000003E-2</v>
      </c>
      <c r="S900">
        <v>3.0519409999999998</v>
      </c>
      <c r="T900">
        <v>-7.4610590000000004E-2</v>
      </c>
      <c r="U900">
        <v>-4.2419430000000001E-2</v>
      </c>
      <c r="V900">
        <v>-5.1439169999999999E-2</v>
      </c>
      <c r="W900">
        <v>0.16489789999999999</v>
      </c>
      <c r="X900">
        <v>0.98496839999999997</v>
      </c>
      <c r="Y900">
        <v>1.489739E-2</v>
      </c>
      <c r="Z900">
        <v>-3.081189E-4</v>
      </c>
      <c r="AA900">
        <v>0.99988900000000003</v>
      </c>
      <c r="AB900">
        <v>32</v>
      </c>
      <c r="AC900">
        <v>43.441899999999997</v>
      </c>
      <c r="AD900">
        <v>-1.0652222181140001</v>
      </c>
      <c r="AE900">
        <v>-0.606099999999969</v>
      </c>
      <c r="AF900">
        <v>0.64945634079947701</v>
      </c>
      <c r="AG900">
        <v>-1.0652222181140001</v>
      </c>
      <c r="AH900">
        <v>43.415168861179602</v>
      </c>
      <c r="AI900">
        <v>91.405353761586596</v>
      </c>
      <c r="AJ900">
        <v>89.142964706077805</v>
      </c>
      <c r="AK900">
        <v>43.433090831269503</v>
      </c>
      <c r="AL900">
        <v>80.508696936415305</v>
      </c>
      <c r="AM900">
        <v>92.989509421886595</v>
      </c>
      <c r="AN900">
        <v>1.0000000273166201</v>
      </c>
    </row>
    <row r="901" spans="1:40" x14ac:dyDescent="0.25">
      <c r="A901" t="str">
        <f>"20190304155611806"</f>
        <v>20190304155611806</v>
      </c>
      <c r="B901" t="str">
        <f>"1551686171795498"</f>
        <v>1551686171795498</v>
      </c>
      <c r="C901" t="s">
        <v>40</v>
      </c>
      <c r="D901">
        <v>4.1474989999999998</v>
      </c>
      <c r="E901">
        <v>0.52380969999999905</v>
      </c>
      <c r="F901" t="s">
        <v>41</v>
      </c>
      <c r="G901">
        <v>-269.49680000000001</v>
      </c>
      <c r="H901" s="1">
        <v>-1.0063560000000001E-6</v>
      </c>
      <c r="I901">
        <v>366.42529999999999</v>
      </c>
      <c r="J901">
        <v>-312.16410000000002</v>
      </c>
      <c r="K901">
        <v>1.064759</v>
      </c>
      <c r="L901">
        <v>367.01409999999998</v>
      </c>
      <c r="M901">
        <v>0.99987919999999997</v>
      </c>
      <c r="N901">
        <v>-1.551637E-2</v>
      </c>
      <c r="O901">
        <v>1.0069980000000001E-3</v>
      </c>
      <c r="P901">
        <v>0.98740870000000003</v>
      </c>
      <c r="Q901">
        <v>0.14920410000000001</v>
      </c>
      <c r="R901">
        <v>5.255903E-2</v>
      </c>
      <c r="S901">
        <v>3.0520320000000001</v>
      </c>
      <c r="T901">
        <v>-7.5900910000000002E-2</v>
      </c>
      <c r="U901">
        <v>-4.193115E-2</v>
      </c>
      <c r="V901">
        <v>-5.1558079999999999E-2</v>
      </c>
      <c r="W901">
        <v>0.1645104</v>
      </c>
      <c r="X901">
        <v>0.98502699999999999</v>
      </c>
      <c r="Y901">
        <v>1.473704E-2</v>
      </c>
      <c r="Z901">
        <v>-3.06998E-4</v>
      </c>
      <c r="AA901">
        <v>0.99989130000000004</v>
      </c>
      <c r="AB901">
        <v>32</v>
      </c>
      <c r="AC901">
        <v>42.667299999999997</v>
      </c>
      <c r="AD901">
        <v>-1.0647600063560001</v>
      </c>
      <c r="AE901">
        <v>-0.588799999999992</v>
      </c>
      <c r="AF901">
        <v>0.63137764125076201</v>
      </c>
      <c r="AG901">
        <v>-1.0647600063560001</v>
      </c>
      <c r="AH901">
        <v>42.640136317323702</v>
      </c>
      <c r="AI901">
        <v>91.430269740989203</v>
      </c>
      <c r="AJ901">
        <v>89.151676477260096</v>
      </c>
      <c r="AK901">
        <v>42.6581009511318</v>
      </c>
      <c r="AL901">
        <v>80.531206670220996</v>
      </c>
      <c r="AM901">
        <v>92.996229645778101</v>
      </c>
      <c r="AN901">
        <v>1.0000000490252201</v>
      </c>
    </row>
    <row r="902" spans="1:40" x14ac:dyDescent="0.25">
      <c r="A902" t="str">
        <f>"20190304155611818"</f>
        <v>20190304155611818</v>
      </c>
      <c r="B902" t="str">
        <f>"1551686171815994"</f>
        <v>1551686171815994</v>
      </c>
      <c r="C902" t="s">
        <v>40</v>
      </c>
      <c r="D902">
        <v>4.1276419999999998</v>
      </c>
      <c r="E902">
        <v>0.52382439999999997</v>
      </c>
      <c r="F902" t="s">
        <v>41</v>
      </c>
      <c r="G902">
        <v>-270.34140000000002</v>
      </c>
      <c r="H902" s="1">
        <v>-4.6897960000000003E-6</v>
      </c>
      <c r="I902">
        <v>366.43700000000001</v>
      </c>
      <c r="J902">
        <v>-311.99299999999999</v>
      </c>
      <c r="K902">
        <v>1.0643359999999999</v>
      </c>
      <c r="L902">
        <v>367.01429999999999</v>
      </c>
      <c r="M902">
        <v>0.9998823</v>
      </c>
      <c r="N902">
        <v>-1.530755E-2</v>
      </c>
      <c r="O902">
        <v>1.0071240000000001E-3</v>
      </c>
      <c r="P902">
        <v>0.98742479999999999</v>
      </c>
      <c r="Q902">
        <v>0.14902609999999999</v>
      </c>
      <c r="R902">
        <v>5.2761330000000002E-2</v>
      </c>
      <c r="S902">
        <v>3.0522459999999998</v>
      </c>
      <c r="T902">
        <v>-7.7706810000000001E-2</v>
      </c>
      <c r="U902">
        <v>-4.2114260000000001E-2</v>
      </c>
      <c r="V902">
        <v>-5.176012E-2</v>
      </c>
      <c r="W902">
        <v>0.16412650000000001</v>
      </c>
      <c r="X902">
        <v>0.98508039999999997</v>
      </c>
      <c r="Y902">
        <v>1.4795890000000001E-2</v>
      </c>
      <c r="Z902">
        <v>-3.118091E-4</v>
      </c>
      <c r="AA902">
        <v>0.99989050000000002</v>
      </c>
      <c r="AB902">
        <v>32</v>
      </c>
      <c r="AC902">
        <v>41.651599999999902</v>
      </c>
      <c r="AD902">
        <v>-1.0643406897959999</v>
      </c>
      <c r="AE902">
        <v>-0.57730000000003601</v>
      </c>
      <c r="AF902">
        <v>0.61884893319985301</v>
      </c>
      <c r="AG902">
        <v>-1.0643406897959999</v>
      </c>
      <c r="AH902">
        <v>41.623823207422198</v>
      </c>
      <c r="AI902">
        <v>91.464598984146306</v>
      </c>
      <c r="AJ902">
        <v>89.148208476487895</v>
      </c>
      <c r="AK902">
        <v>41.642027490370999</v>
      </c>
      <c r="AL902">
        <v>80.553505213169302</v>
      </c>
      <c r="AM902">
        <v>93.007786655757599</v>
      </c>
      <c r="AN902">
        <v>1.0000000062444101</v>
      </c>
    </row>
    <row r="903" spans="1:40" x14ac:dyDescent="0.25">
      <c r="A903" t="str">
        <f>"20190304155611831"</f>
        <v>20190304155611831</v>
      </c>
      <c r="B903" t="str">
        <f>"1551686171825754"</f>
        <v>1551686171825754</v>
      </c>
      <c r="C903" t="s">
        <v>40</v>
      </c>
      <c r="D903">
        <v>4.1198589999999999</v>
      </c>
      <c r="E903">
        <v>0.52386769999999905</v>
      </c>
      <c r="F903" t="s">
        <v>41</v>
      </c>
      <c r="G903">
        <v>-271.35849999999999</v>
      </c>
      <c r="H903" s="1">
        <v>-4.251168E-6</v>
      </c>
      <c r="I903">
        <v>366.44990000000001</v>
      </c>
      <c r="J903">
        <v>-311.81130000000002</v>
      </c>
      <c r="K903">
        <v>1.063895</v>
      </c>
      <c r="L903">
        <v>367.0145</v>
      </c>
      <c r="M903">
        <v>0.99988659999999996</v>
      </c>
      <c r="N903">
        <v>-1.503401E-2</v>
      </c>
      <c r="O903">
        <v>1.007003E-3</v>
      </c>
      <c r="P903">
        <v>0.98735119999999998</v>
      </c>
      <c r="Q903">
        <v>0.14937810000000001</v>
      </c>
      <c r="R903">
        <v>5.314091E-2</v>
      </c>
      <c r="S903">
        <v>3.0525509999999998</v>
      </c>
      <c r="T903">
        <v>-7.9955219999999994E-2</v>
      </c>
      <c r="U903">
        <v>-4.2388919999999997E-2</v>
      </c>
      <c r="V903">
        <v>-5.213988E-2</v>
      </c>
      <c r="W903">
        <v>0.16420789999999999</v>
      </c>
      <c r="X903">
        <v>0.9850468</v>
      </c>
      <c r="Y903">
        <v>1.488397E-2</v>
      </c>
      <c r="Z903">
        <v>-3.1804149999999998E-4</v>
      </c>
      <c r="AA903">
        <v>0.99988920000000003</v>
      </c>
      <c r="AB903">
        <v>32</v>
      </c>
      <c r="AC903">
        <v>40.452800000000003</v>
      </c>
      <c r="AD903">
        <v>-1.0638992511679899</v>
      </c>
      <c r="AE903">
        <v>-0.564599999999984</v>
      </c>
      <c r="AF903">
        <v>0.60492207428638101</v>
      </c>
      <c r="AG903">
        <v>-1.0638992511679899</v>
      </c>
      <c r="AH903">
        <v>40.424255752235297</v>
      </c>
      <c r="AI903">
        <v>91.507413021608897</v>
      </c>
      <c r="AJ903">
        <v>89.142670795558701</v>
      </c>
      <c r="AK903">
        <v>40.442777667399703</v>
      </c>
      <c r="AL903">
        <v>80.548777128417399</v>
      </c>
      <c r="AM903">
        <v>93.029916741581502</v>
      </c>
      <c r="AN903">
        <v>0.99999999984953203</v>
      </c>
    </row>
    <row r="904" spans="1:40" x14ac:dyDescent="0.25">
      <c r="A904" t="str">
        <f>"20190304155611841"</f>
        <v>20190304155611841</v>
      </c>
      <c r="B904" t="str">
        <f>"1551686171835514"</f>
        <v>1551686171835514</v>
      </c>
      <c r="C904" t="s">
        <v>40</v>
      </c>
      <c r="D904">
        <v>4.1879109999999997</v>
      </c>
      <c r="E904">
        <v>0.52386899999999903</v>
      </c>
      <c r="F904" t="s">
        <v>41</v>
      </c>
      <c r="G904">
        <v>-271.13909999999998</v>
      </c>
      <c r="H904" s="1">
        <v>-4.3433849999999996E-6</v>
      </c>
      <c r="I904">
        <v>366.4606</v>
      </c>
      <c r="J904">
        <v>-311.65030000000002</v>
      </c>
      <c r="K904">
        <v>1.0634300000000001</v>
      </c>
      <c r="L904">
        <v>367.01459999999997</v>
      </c>
      <c r="M904">
        <v>0.99989669999999997</v>
      </c>
      <c r="N904">
        <v>-1.434302E-2</v>
      </c>
      <c r="O904">
        <v>1.007211E-3</v>
      </c>
      <c r="P904">
        <v>0.9872282</v>
      </c>
      <c r="Q904">
        <v>0.1501101</v>
      </c>
      <c r="R904">
        <v>5.3364120000000001E-2</v>
      </c>
      <c r="S904">
        <v>3.0527039999999999</v>
      </c>
      <c r="T904">
        <v>-7.9852099999999995E-2</v>
      </c>
      <c r="U904">
        <v>-4.1564940000000002E-2</v>
      </c>
      <c r="V904">
        <v>-5.2363020000000003E-2</v>
      </c>
      <c r="W904">
        <v>0.16425729999999999</v>
      </c>
      <c r="X904">
        <v>0.98502670000000003</v>
      </c>
      <c r="Y904">
        <v>1.4613920000000001E-2</v>
      </c>
      <c r="Z904">
        <v>-3.0782999999999999E-4</v>
      </c>
      <c r="AA904">
        <v>0.99989320000000004</v>
      </c>
      <c r="AB904">
        <v>32</v>
      </c>
      <c r="AC904">
        <v>40.511200000000002</v>
      </c>
      <c r="AD904">
        <v>-1.063434343385</v>
      </c>
      <c r="AE904">
        <v>-0.55399999999997296</v>
      </c>
      <c r="AF904">
        <v>0.59439772749219799</v>
      </c>
      <c r="AG904">
        <v>-1.063434343385</v>
      </c>
      <c r="AH904">
        <v>40.4827306740574</v>
      </c>
      <c r="AI904">
        <v>91.504585467582103</v>
      </c>
      <c r="AJ904">
        <v>89.158800961466397</v>
      </c>
      <c r="AK904">
        <v>40.501057814449801</v>
      </c>
      <c r="AL904">
        <v>80.545907500222697</v>
      </c>
      <c r="AM904">
        <v>93.042921357579402</v>
      </c>
      <c r="AN904">
        <v>0.999999973089849</v>
      </c>
    </row>
    <row r="905" spans="1:40" x14ac:dyDescent="0.25">
      <c r="A905" t="str">
        <f>"20190304155611853"</f>
        <v>20190304155611853</v>
      </c>
      <c r="B905" t="str">
        <f>"1551686171845275"</f>
        <v>1551686171845275</v>
      </c>
      <c r="C905" t="s">
        <v>40</v>
      </c>
      <c r="D905">
        <v>4.2186719999999998</v>
      </c>
      <c r="E905">
        <v>0.52403120000000003</v>
      </c>
      <c r="F905" t="s">
        <v>41</v>
      </c>
      <c r="G905">
        <v>-269.81459999999998</v>
      </c>
      <c r="H905" s="1">
        <v>-8.9217000000000003E-7</v>
      </c>
      <c r="I905">
        <v>366.4479</v>
      </c>
      <c r="J905">
        <v>-311.49400000000003</v>
      </c>
      <c r="K905">
        <v>1.0629850000000001</v>
      </c>
      <c r="L905">
        <v>367.01479999999998</v>
      </c>
      <c r="M905">
        <v>0.99990650000000003</v>
      </c>
      <c r="N905">
        <v>-1.363988E-2</v>
      </c>
      <c r="O905">
        <v>1.007263E-3</v>
      </c>
      <c r="P905">
        <v>0.98712279999999997</v>
      </c>
      <c r="Q905">
        <v>0.150624799999999</v>
      </c>
      <c r="R905">
        <v>5.3859219999999999E-2</v>
      </c>
      <c r="S905">
        <v>3.0528559999999998</v>
      </c>
      <c r="T905">
        <v>-7.760119E-2</v>
      </c>
      <c r="U905">
        <v>-4.1351319999999997E-2</v>
      </c>
      <c r="V905">
        <v>-5.2858269999999999E-2</v>
      </c>
      <c r="W905">
        <v>0.16407759999999999</v>
      </c>
      <c r="X905">
        <v>0.98503019999999997</v>
      </c>
      <c r="Y905">
        <v>1.4543850000000001E-2</v>
      </c>
      <c r="Z905">
        <v>-2.9589090000000002E-4</v>
      </c>
      <c r="AA905">
        <v>0.99989419999999996</v>
      </c>
      <c r="AB905">
        <v>32</v>
      </c>
      <c r="AC905">
        <v>41.679400000000001</v>
      </c>
      <c r="AD905">
        <v>-1.0629858921699999</v>
      </c>
      <c r="AE905">
        <v>-0.56689999999997498</v>
      </c>
      <c r="AF905">
        <v>0.60849001678525305</v>
      </c>
      <c r="AG905">
        <v>-1.0629858921699999</v>
      </c>
      <c r="AH905">
        <v>41.651720545914401</v>
      </c>
      <c r="AI905">
        <v>91.461761797261204</v>
      </c>
      <c r="AJ905">
        <v>89.163025453786801</v>
      </c>
      <c r="AK905">
        <v>41.669725503564599</v>
      </c>
      <c r="AL905">
        <v>80.55634518558</v>
      </c>
      <c r="AM905">
        <v>93.071635592210498</v>
      </c>
      <c r="AN905">
        <v>0.99999997522059603</v>
      </c>
    </row>
    <row r="906" spans="1:40" x14ac:dyDescent="0.25">
      <c r="A906" t="str">
        <f>"20190304155611863"</f>
        <v>20190304155611863</v>
      </c>
      <c r="B906" t="str">
        <f>"1551686171856010"</f>
        <v>1551686171856010</v>
      </c>
      <c r="C906" t="s">
        <v>40</v>
      </c>
      <c r="D906">
        <v>4.240202</v>
      </c>
      <c r="E906">
        <v>0.5240996</v>
      </c>
      <c r="F906" t="s">
        <v>41</v>
      </c>
      <c r="G906">
        <v>-268.85289999999998</v>
      </c>
      <c r="H906" s="1">
        <v>-1.2225200000000001E-6</v>
      </c>
      <c r="I906">
        <v>366.43630000000002</v>
      </c>
      <c r="J906">
        <v>-311.32859999999999</v>
      </c>
      <c r="K906">
        <v>1.0625359999999999</v>
      </c>
      <c r="L906">
        <v>367.01499999999999</v>
      </c>
      <c r="M906">
        <v>0.99991739999999996</v>
      </c>
      <c r="N906">
        <v>-1.280768E-2</v>
      </c>
      <c r="O906">
        <v>1.0073650000000001E-3</v>
      </c>
      <c r="P906">
        <v>0.98699380000000003</v>
      </c>
      <c r="Q906">
        <v>0.15140410000000001</v>
      </c>
      <c r="R906">
        <v>5.4035279999999998E-2</v>
      </c>
      <c r="S906">
        <v>3.0530089999999999</v>
      </c>
      <c r="T906">
        <v>-7.6107380000000002E-2</v>
      </c>
      <c r="U906">
        <v>-4.1412350000000001E-2</v>
      </c>
      <c r="V906">
        <v>-5.3034310000000001E-2</v>
      </c>
      <c r="W906">
        <v>0.16403579999999901</v>
      </c>
      <c r="X906">
        <v>0.98502769999999995</v>
      </c>
      <c r="Y906">
        <v>1.4563619999999999E-2</v>
      </c>
      <c r="Z906">
        <v>-2.8698850000000002E-4</v>
      </c>
      <c r="AA906">
        <v>0.9998939</v>
      </c>
      <c r="AB906">
        <v>33</v>
      </c>
      <c r="AC906">
        <v>42.475700000000003</v>
      </c>
      <c r="AD906">
        <v>-1.06253722252</v>
      </c>
      <c r="AE906">
        <v>-0.57869999999996902</v>
      </c>
      <c r="AF906">
        <v>0.62110316389832199</v>
      </c>
      <c r="AG906">
        <v>-1.06253722252</v>
      </c>
      <c r="AH906">
        <v>42.448537802855597</v>
      </c>
      <c r="AI906">
        <v>91.433728459155702</v>
      </c>
      <c r="AJ906">
        <v>89.161713159251093</v>
      </c>
      <c r="AK906">
        <v>42.466376300432202</v>
      </c>
      <c r="AL906">
        <v>80.558773049479996</v>
      </c>
      <c r="AM906">
        <v>93.0818535343912</v>
      </c>
      <c r="AN906">
        <v>0.99999997574305199</v>
      </c>
    </row>
    <row r="907" spans="1:40" x14ac:dyDescent="0.25">
      <c r="A907" t="str">
        <f>"20190304155611874"</f>
        <v>20190304155611874</v>
      </c>
      <c r="B907" t="str">
        <f>"1551686171865770"</f>
        <v>1551686171865770</v>
      </c>
      <c r="C907" t="s">
        <v>40</v>
      </c>
      <c r="D907">
        <v>4.2923640000000001</v>
      </c>
      <c r="E907">
        <v>0.52409319999999904</v>
      </c>
      <c r="F907" t="s">
        <v>41</v>
      </c>
      <c r="G907">
        <v>-267.31119999999999</v>
      </c>
      <c r="H907" s="1">
        <v>-1.7530439999999999E-6</v>
      </c>
      <c r="I907">
        <v>366.41430000000003</v>
      </c>
      <c r="J907">
        <v>-311.17610000000002</v>
      </c>
      <c r="K907">
        <v>1.06214599999999</v>
      </c>
      <c r="L907">
        <v>367.01510000000002</v>
      </c>
      <c r="M907">
        <v>0.99992700000000001</v>
      </c>
      <c r="N907">
        <v>-1.204733E-2</v>
      </c>
      <c r="O907">
        <v>1.007223E-3</v>
      </c>
      <c r="P907">
        <v>0.986869</v>
      </c>
      <c r="Q907">
        <v>0.1520494</v>
      </c>
      <c r="R907">
        <v>5.4506180000000001E-2</v>
      </c>
      <c r="S907">
        <v>3.0531009999999998</v>
      </c>
      <c r="T907">
        <v>-7.3698879999999994E-2</v>
      </c>
      <c r="U907">
        <v>-4.1656489999999997E-2</v>
      </c>
      <c r="V907">
        <v>-5.3505419999999998E-2</v>
      </c>
      <c r="W907">
        <v>0.163930399999999</v>
      </c>
      <c r="X907">
        <v>0.9850198</v>
      </c>
      <c r="Y907">
        <v>1.4643450000000001E-2</v>
      </c>
      <c r="Z907">
        <v>-2.7711469999999998E-4</v>
      </c>
      <c r="AA907">
        <v>0.99989269999999997</v>
      </c>
      <c r="AB907">
        <v>33</v>
      </c>
      <c r="AC907">
        <v>43.864899999999999</v>
      </c>
      <c r="AD907">
        <v>-1.06214775304399</v>
      </c>
      <c r="AE907">
        <v>-0.60079999999999201</v>
      </c>
      <c r="AF907">
        <v>0.64460675875270201</v>
      </c>
      <c r="AG907">
        <v>-1.06214775304399</v>
      </c>
      <c r="AH907">
        <v>43.838573899531703</v>
      </c>
      <c r="AI907">
        <v>91.387775653569705</v>
      </c>
      <c r="AJ907">
        <v>89.157577859028706</v>
      </c>
      <c r="AK907">
        <v>43.856176728796498</v>
      </c>
      <c r="AL907">
        <v>80.564895185330698</v>
      </c>
      <c r="AM907">
        <v>93.109201411320896</v>
      </c>
      <c r="AN907">
        <v>1.0000000062027801</v>
      </c>
    </row>
    <row r="908" spans="1:40" x14ac:dyDescent="0.25">
      <c r="A908" t="str">
        <f>"20190304155611885"</f>
        <v>20190304155611885</v>
      </c>
      <c r="B908" t="str">
        <f>"1551686171875530"</f>
        <v>1551686171875530</v>
      </c>
      <c r="C908" t="s">
        <v>40</v>
      </c>
      <c r="D908">
        <v>4.2190859999999999</v>
      </c>
      <c r="E908">
        <v>0.52396039999999999</v>
      </c>
      <c r="F908" t="s">
        <v>41</v>
      </c>
      <c r="G908">
        <v>-266.0179</v>
      </c>
      <c r="H908" s="1">
        <v>-2.2574620000000002E-6</v>
      </c>
      <c r="I908">
        <v>366.42059999999998</v>
      </c>
      <c r="J908">
        <v>-311.00720000000001</v>
      </c>
      <c r="K908">
        <v>1.0617589999999999</v>
      </c>
      <c r="L908">
        <v>367.01530000000002</v>
      </c>
      <c r="M908">
        <v>0.99993670000000001</v>
      </c>
      <c r="N908">
        <v>-1.121453E-2</v>
      </c>
      <c r="O908">
        <v>1.007083E-3</v>
      </c>
      <c r="P908">
        <v>0.98674850000000003</v>
      </c>
      <c r="Q908">
        <v>0.1527839</v>
      </c>
      <c r="R908">
        <v>5.463192E-2</v>
      </c>
      <c r="S908">
        <v>3.0531920000000001</v>
      </c>
      <c r="T908">
        <v>-7.1812989999999993E-2</v>
      </c>
      <c r="U908">
        <v>-4.0191650000000002E-2</v>
      </c>
      <c r="V908">
        <v>-5.3631619999999998E-2</v>
      </c>
      <c r="W908">
        <v>0.16384290000000001</v>
      </c>
      <c r="X908">
        <v>0.98502749999999994</v>
      </c>
      <c r="Y908">
        <v>1.416387E-2</v>
      </c>
      <c r="Z908">
        <v>-2.5837389999999998E-4</v>
      </c>
      <c r="AA908">
        <v>0.9998996</v>
      </c>
      <c r="AB908">
        <v>33</v>
      </c>
      <c r="AC908">
        <v>44.9893</v>
      </c>
      <c r="AD908">
        <v>-1.0617612574619999</v>
      </c>
      <c r="AE908">
        <v>-0.59470000000004497</v>
      </c>
      <c r="AF908">
        <v>0.63965429393213702</v>
      </c>
      <c r="AG908">
        <v>-1.0617612574619999</v>
      </c>
      <c r="AH908">
        <v>44.963639009712203</v>
      </c>
      <c r="AI908">
        <v>91.352581446796293</v>
      </c>
      <c r="AJ908">
        <v>89.184963225363305</v>
      </c>
      <c r="AK908">
        <v>44.9807217325301</v>
      </c>
      <c r="AL908">
        <v>80.569977327194195</v>
      </c>
      <c r="AM908">
        <v>93.116496143473398</v>
      </c>
      <c r="AN908">
        <v>1.0000000111502401</v>
      </c>
    </row>
    <row r="909" spans="1:40" x14ac:dyDescent="0.25">
      <c r="A909" t="str">
        <f>"20190304155611896"</f>
        <v>20190304155611896</v>
      </c>
      <c r="B909" t="str">
        <f>"1551686171885291"</f>
        <v>1551686171885291</v>
      </c>
      <c r="C909" t="s">
        <v>40</v>
      </c>
      <c r="D909">
        <v>4.1412570000000004</v>
      </c>
      <c r="E909">
        <v>0.52396039999999999</v>
      </c>
      <c r="F909" t="s">
        <v>41</v>
      </c>
      <c r="G909">
        <v>-264.40449999999998</v>
      </c>
      <c r="H909" s="1">
        <v>-2.9497579999999998E-6</v>
      </c>
      <c r="I909">
        <v>366.41989999999998</v>
      </c>
      <c r="J909">
        <v>-310.85199999999998</v>
      </c>
      <c r="K909">
        <v>1.061434</v>
      </c>
      <c r="L909">
        <v>367.0154</v>
      </c>
      <c r="M909">
        <v>0.99994470000000002</v>
      </c>
      <c r="N909">
        <v>-1.0466980000000001E-2</v>
      </c>
      <c r="O909">
        <v>1.007102E-3</v>
      </c>
      <c r="P909">
        <v>0.98655309999999896</v>
      </c>
      <c r="Q909">
        <v>0.15382309999999999</v>
      </c>
      <c r="R909">
        <v>5.5239360000000001E-2</v>
      </c>
      <c r="S909">
        <v>3.0531920000000001</v>
      </c>
      <c r="T909">
        <v>-6.9561600000000001E-2</v>
      </c>
      <c r="U909">
        <v>-3.9001460000000002E-2</v>
      </c>
      <c r="V909">
        <v>-5.4238990000000001E-2</v>
      </c>
      <c r="W909">
        <v>0.16414389999999901</v>
      </c>
      <c r="X909">
        <v>0.98494409999999999</v>
      </c>
      <c r="Y909">
        <v>1.3774730000000001E-2</v>
      </c>
      <c r="Z909">
        <v>-2.4139889999999999E-4</v>
      </c>
      <c r="AA909">
        <v>0.99990509999999999</v>
      </c>
      <c r="AB909">
        <v>33</v>
      </c>
      <c r="AC909">
        <v>46.447499999999998</v>
      </c>
      <c r="AD909">
        <v>-1.0614369497579901</v>
      </c>
      <c r="AE909">
        <v>-0.59550000000001502</v>
      </c>
      <c r="AF909">
        <v>0.64194444230740899</v>
      </c>
      <c r="AG909">
        <v>-1.0614369497579901</v>
      </c>
      <c r="AH909">
        <v>46.422637264969197</v>
      </c>
      <c r="AI909">
        <v>91.309694053925895</v>
      </c>
      <c r="AJ909">
        <v>89.207749381572498</v>
      </c>
      <c r="AK909">
        <v>46.439207483550298</v>
      </c>
      <c r="AL909">
        <v>80.5524943482298</v>
      </c>
      <c r="AM909">
        <v>93.151985568975405</v>
      </c>
      <c r="AN909">
        <v>0.99999998403411905</v>
      </c>
    </row>
    <row r="910" spans="1:40" x14ac:dyDescent="0.25">
      <c r="A910" t="str">
        <f>"20190304155611906"</f>
        <v>20190304155611906</v>
      </c>
      <c r="B910" t="str">
        <f>"1551686171896026"</f>
        <v>1551686171896026</v>
      </c>
      <c r="C910" t="s">
        <v>40</v>
      </c>
      <c r="D910">
        <v>4.1067499999999999</v>
      </c>
      <c r="E910">
        <v>0.49713819999999997</v>
      </c>
      <c r="F910" t="s">
        <v>41</v>
      </c>
      <c r="G910">
        <v>-262.00740000000002</v>
      </c>
      <c r="H910" s="1">
        <v>-3.9775119999999999E-6</v>
      </c>
      <c r="I910">
        <v>366.42320000000001</v>
      </c>
      <c r="J910">
        <v>-310.68560000000002</v>
      </c>
      <c r="K910">
        <v>1.0611109999999999</v>
      </c>
      <c r="L910">
        <v>367.01560000000001</v>
      </c>
      <c r="M910">
        <v>0.99995270000000003</v>
      </c>
      <c r="N910">
        <v>-9.6789349999999996E-3</v>
      </c>
      <c r="O910">
        <v>1.0070389999999999E-3</v>
      </c>
      <c r="P910">
        <v>0.98640369999999999</v>
      </c>
      <c r="Q910">
        <v>0.15476289999999901</v>
      </c>
      <c r="R910">
        <v>5.5283260000000001E-2</v>
      </c>
      <c r="S910">
        <v>3.0533139999999999</v>
      </c>
      <c r="T910">
        <v>-6.6351289999999993E-2</v>
      </c>
      <c r="U910">
        <v>-3.701782E-2</v>
      </c>
      <c r="V910">
        <v>-5.4283070000000003E-2</v>
      </c>
      <c r="W910">
        <v>0.1643058</v>
      </c>
      <c r="X910">
        <v>0.98491470000000003</v>
      </c>
      <c r="Y910">
        <v>1.3125380000000001E-2</v>
      </c>
      <c r="Z910">
        <v>-2.1825990000000001E-4</v>
      </c>
      <c r="AA910">
        <v>0.99991379999999996</v>
      </c>
      <c r="AB910">
        <v>33</v>
      </c>
      <c r="AC910">
        <v>48.678199999999997</v>
      </c>
      <c r="AD910">
        <v>-1.0611149775119999</v>
      </c>
      <c r="AE910">
        <v>-0.59239999999999704</v>
      </c>
      <c r="AF910">
        <v>0.64111823952249503</v>
      </c>
      <c r="AG910">
        <v>-1.0611149775119999</v>
      </c>
      <c r="AH910">
        <v>48.654462634561298</v>
      </c>
      <c r="AI910">
        <v>91.249268720486796</v>
      </c>
      <c r="AJ910">
        <v>89.245059106791004</v>
      </c>
      <c r="AK910">
        <v>48.670255103609897</v>
      </c>
      <c r="AL910">
        <v>80.543090703054801</v>
      </c>
      <c r="AM910">
        <v>93.1546359884738</v>
      </c>
      <c r="AN910">
        <v>1.0000000069391699</v>
      </c>
    </row>
    <row r="911" spans="1:40" x14ac:dyDescent="0.25">
      <c r="A911" t="str">
        <f>"20190304155611920"</f>
        <v>20190304155611920</v>
      </c>
      <c r="B911" t="str">
        <f>"1551686171915545"</f>
        <v>1551686171915545</v>
      </c>
      <c r="C911" t="s">
        <v>40</v>
      </c>
      <c r="D911">
        <v>4.1273679999999997</v>
      </c>
      <c r="E911">
        <v>0.48847069999999998</v>
      </c>
      <c r="F911" t="s">
        <v>43</v>
      </c>
      <c r="G911">
        <v>-158.19499999999999</v>
      </c>
      <c r="H911">
        <v>2.2174740000000002</v>
      </c>
      <c r="I911">
        <v>376.02569999999997</v>
      </c>
      <c r="J911">
        <v>-310.49689999999998</v>
      </c>
      <c r="K911">
        <v>1.0607869999999999</v>
      </c>
      <c r="L911">
        <v>367.01580000000001</v>
      </c>
      <c r="M911">
        <v>0.99996070000000004</v>
      </c>
      <c r="N911">
        <v>-8.8162009999999992E-3</v>
      </c>
      <c r="O911">
        <v>1.0066400000000001E-3</v>
      </c>
      <c r="P911">
        <v>0.98627790000000004</v>
      </c>
      <c r="Q911">
        <v>0.15550929999999999</v>
      </c>
      <c r="R911">
        <v>5.5431920000000003E-2</v>
      </c>
      <c r="S911">
        <v>3.0277099999999999</v>
      </c>
      <c r="T911">
        <v>2.296138E-2</v>
      </c>
      <c r="U911">
        <v>0.178894</v>
      </c>
      <c r="V911">
        <v>-5.4432439999999999E-2</v>
      </c>
      <c r="W911">
        <v>0.16420129999999999</v>
      </c>
      <c r="X911">
        <v>0.98492389999999996</v>
      </c>
      <c r="Y911">
        <v>-5.7978189999999999E-2</v>
      </c>
      <c r="Z911" s="1">
        <v>5.2643789999999998E-5</v>
      </c>
      <c r="AA911">
        <v>0.99831780000000003</v>
      </c>
      <c r="AB911">
        <v>33</v>
      </c>
      <c r="AC911">
        <v>152.30189999999999</v>
      </c>
      <c r="AD911">
        <v>1.156687</v>
      </c>
      <c r="AE911">
        <v>9.0098999999999592</v>
      </c>
      <c r="AF911">
        <v>-8.8560672707103407</v>
      </c>
      <c r="AG911">
        <v>1.156687</v>
      </c>
      <c r="AH911">
        <v>152.30213883978001</v>
      </c>
      <c r="AI911">
        <v>89.565598631195797</v>
      </c>
      <c r="AJ911">
        <v>93.327888560867905</v>
      </c>
      <c r="AK911">
        <v>152.563787798714</v>
      </c>
      <c r="AL911">
        <v>80.549160706045598</v>
      </c>
      <c r="AM911">
        <v>93.163269465575198</v>
      </c>
      <c r="AN911">
        <v>1.0000000231186199</v>
      </c>
    </row>
    <row r="912" spans="1:40" x14ac:dyDescent="0.25">
      <c r="A912" t="str">
        <f>"20190304155611934"</f>
        <v>20190304155611934</v>
      </c>
      <c r="B912" t="str">
        <f>"1551686171925306"</f>
        <v>1551686171925306</v>
      </c>
      <c r="C912" t="s">
        <v>40</v>
      </c>
      <c r="D912">
        <v>4.1286909999999999</v>
      </c>
      <c r="E912">
        <v>0.48707010000000001</v>
      </c>
      <c r="F912" t="s">
        <v>43</v>
      </c>
      <c r="G912">
        <v>-158.19499999999999</v>
      </c>
      <c r="H912">
        <v>1.636933</v>
      </c>
      <c r="I912">
        <v>379.49720000000002</v>
      </c>
      <c r="J912">
        <v>-310.2792</v>
      </c>
      <c r="K912">
        <v>1.0604439999999999</v>
      </c>
      <c r="L912">
        <v>367.01600000000002</v>
      </c>
      <c r="M912">
        <v>0.99996879999999999</v>
      </c>
      <c r="N912">
        <v>-7.8546109999999992E-3</v>
      </c>
      <c r="O912">
        <v>1.0063209999999999E-3</v>
      </c>
      <c r="P912">
        <v>0.98611400000000005</v>
      </c>
      <c r="Q912">
        <v>0.15649299999999999</v>
      </c>
      <c r="R912">
        <v>5.5584189999999999E-2</v>
      </c>
      <c r="S912">
        <v>3.0260009999999999</v>
      </c>
      <c r="T912">
        <v>1.144886E-2</v>
      </c>
      <c r="U912">
        <v>0.24798580000000001</v>
      </c>
      <c r="V912">
        <v>-5.4585229999999998E-2</v>
      </c>
      <c r="W912">
        <v>0.16423660000000001</v>
      </c>
      <c r="X912">
        <v>0.98490949999999999</v>
      </c>
      <c r="Y912">
        <v>-8.0675510000000006E-2</v>
      </c>
      <c r="Z912">
        <v>1.7670159999999999E-4</v>
      </c>
      <c r="AA912">
        <v>0.99674039999999997</v>
      </c>
      <c r="AB912">
        <v>34</v>
      </c>
      <c r="AC912">
        <v>152.08420000000001</v>
      </c>
      <c r="AD912">
        <v>0.57648900000000003</v>
      </c>
      <c r="AE912">
        <v>12.481199999999999</v>
      </c>
      <c r="AF912">
        <v>-12.327967507625599</v>
      </c>
      <c r="AG912">
        <v>0.57648900000000003</v>
      </c>
      <c r="AH912">
        <v>152.094512706101</v>
      </c>
      <c r="AI912">
        <v>89.783540782005502</v>
      </c>
      <c r="AJ912">
        <v>94.633958930074996</v>
      </c>
      <c r="AK912">
        <v>152.594403297573</v>
      </c>
      <c r="AL912">
        <v>80.547109780770697</v>
      </c>
      <c r="AM912">
        <v>93.172176830936607</v>
      </c>
      <c r="AN912">
        <v>0.99999996565198002</v>
      </c>
    </row>
    <row r="913" spans="1:40" x14ac:dyDescent="0.25">
      <c r="A913" t="str">
        <f>"20190304155611948"</f>
        <v>20190304155611948</v>
      </c>
      <c r="B913" t="str">
        <f>"1551686171935573"</f>
        <v>1551686171935573</v>
      </c>
      <c r="C913" t="s">
        <v>40</v>
      </c>
      <c r="D913">
        <v>4.1025090000000004</v>
      </c>
      <c r="E913">
        <v>0.48618440000000002</v>
      </c>
      <c r="F913" t="s">
        <v>43</v>
      </c>
      <c r="G913">
        <v>-158.19499999999999</v>
      </c>
      <c r="H913">
        <v>1.67081699999999</v>
      </c>
      <c r="I913">
        <v>380.05009999999999</v>
      </c>
      <c r="J913">
        <v>-310.06580000000002</v>
      </c>
      <c r="K913">
        <v>1.060152</v>
      </c>
      <c r="L913">
        <v>367.0163</v>
      </c>
      <c r="M913">
        <v>0.99997530000000001</v>
      </c>
      <c r="N913">
        <v>-6.9659939999999997E-3</v>
      </c>
      <c r="O913">
        <v>1.006238E-3</v>
      </c>
      <c r="P913">
        <v>0.98598220000000003</v>
      </c>
      <c r="Q913">
        <v>0.15730139999999901</v>
      </c>
      <c r="R913">
        <v>5.5637180000000001E-2</v>
      </c>
      <c r="S913">
        <v>3.025665</v>
      </c>
      <c r="T913">
        <v>1.214492E-2</v>
      </c>
      <c r="U913">
        <v>0.25930789999999998</v>
      </c>
      <c r="V913">
        <v>-5.4638440000000003E-2</v>
      </c>
      <c r="W913">
        <v>0.16416889999999901</v>
      </c>
      <c r="X913">
        <v>0.98491790000000001</v>
      </c>
      <c r="Y913">
        <v>-8.4387669999999998E-2</v>
      </c>
      <c r="Z913">
        <v>1.3643659999999999E-4</v>
      </c>
      <c r="AA913">
        <v>0.99643300000000001</v>
      </c>
      <c r="AB913">
        <v>34</v>
      </c>
      <c r="AC913">
        <v>151.8708</v>
      </c>
      <c r="AD913">
        <v>0.61066499999999901</v>
      </c>
      <c r="AE913">
        <v>13.0337999999999</v>
      </c>
      <c r="AF913">
        <v>-12.8807647997295</v>
      </c>
      <c r="AG913">
        <v>0.61066499999999901</v>
      </c>
      <c r="AH913">
        <v>151.88140086173999</v>
      </c>
      <c r="AI913">
        <v>89.770457808825299</v>
      </c>
      <c r="AJ913">
        <v>94.847543468244595</v>
      </c>
      <c r="AK913">
        <v>152.42784175239399</v>
      </c>
      <c r="AL913">
        <v>80.551042677161803</v>
      </c>
      <c r="AM913">
        <v>93.175235737732194</v>
      </c>
      <c r="AN913">
        <v>1.0000000282966199</v>
      </c>
    </row>
    <row r="914" spans="1:40" x14ac:dyDescent="0.25">
      <c r="A914" t="str">
        <f>"20190304155611962"</f>
        <v>20190304155611962</v>
      </c>
      <c r="B914" t="str">
        <f>"1551686171956072"</f>
        <v>1551686171956072</v>
      </c>
      <c r="C914" t="s">
        <v>40</v>
      </c>
      <c r="D914">
        <v>4.1035430000000002</v>
      </c>
      <c r="E914">
        <v>0.48513620000000002</v>
      </c>
      <c r="F914" t="s">
        <v>43</v>
      </c>
      <c r="G914">
        <v>-158.19499999999999</v>
      </c>
      <c r="H914">
        <v>1.632225</v>
      </c>
      <c r="I914">
        <v>380.38979999999998</v>
      </c>
      <c r="J914">
        <v>-309.84010000000001</v>
      </c>
      <c r="K914">
        <v>1.0599069999999999</v>
      </c>
      <c r="L914">
        <v>367.01650000000001</v>
      </c>
      <c r="M914">
        <v>0.9999806</v>
      </c>
      <c r="N914">
        <v>-6.1673400000000003E-3</v>
      </c>
      <c r="O914">
        <v>1.006376E-3</v>
      </c>
      <c r="P914">
        <v>0.98591839999999997</v>
      </c>
      <c r="Q914">
        <v>0.15762670000000001</v>
      </c>
      <c r="R914">
        <v>5.5848340000000003E-2</v>
      </c>
      <c r="S914">
        <v>3.0258180000000001</v>
      </c>
      <c r="T914">
        <v>1.139951E-2</v>
      </c>
      <c r="U914">
        <v>0.26644899999999999</v>
      </c>
      <c r="V914">
        <v>-5.4849349999999998E-2</v>
      </c>
      <c r="W914">
        <v>0.16370689999999999</v>
      </c>
      <c r="X914">
        <v>0.98498300000000005</v>
      </c>
      <c r="Y914">
        <v>-8.6716940000000006E-2</v>
      </c>
      <c r="Z914">
        <v>1.148702E-4</v>
      </c>
      <c r="AA914">
        <v>0.99623300000000004</v>
      </c>
      <c r="AB914">
        <v>34</v>
      </c>
      <c r="AC914">
        <v>151.64510000000001</v>
      </c>
      <c r="AD914">
        <v>0.57231799999999999</v>
      </c>
      <c r="AE914">
        <v>13.373299999999899</v>
      </c>
      <c r="AF914">
        <v>-13.2204915014925</v>
      </c>
      <c r="AG914">
        <v>0.57231799999999999</v>
      </c>
      <c r="AH914">
        <v>151.656338573304</v>
      </c>
      <c r="AI914">
        <v>89.784596133586206</v>
      </c>
      <c r="AJ914">
        <v>94.982108260364498</v>
      </c>
      <c r="AK914">
        <v>152.23256541520499</v>
      </c>
      <c r="AL914">
        <v>80.577875674813399</v>
      </c>
      <c r="AM914">
        <v>93.187257016196199</v>
      </c>
      <c r="AN914">
        <v>0.99999995529601504</v>
      </c>
    </row>
    <row r="915" spans="1:40" x14ac:dyDescent="0.25">
      <c r="A915" t="str">
        <f>"20190304155611974"</f>
        <v>20190304155611974</v>
      </c>
      <c r="B915" t="str">
        <f>"1551686171965829"</f>
        <v>1551686171965829</v>
      </c>
      <c r="C915" t="s">
        <v>40</v>
      </c>
      <c r="D915">
        <v>4.1441330000000001</v>
      </c>
      <c r="E915">
        <v>0.48481150000000001</v>
      </c>
      <c r="F915" t="s">
        <v>43</v>
      </c>
      <c r="G915">
        <v>-158.19499999999999</v>
      </c>
      <c r="H915">
        <v>1.5009619999999999</v>
      </c>
      <c r="I915">
        <v>380.79680000000002</v>
      </c>
      <c r="J915">
        <v>-309.6635</v>
      </c>
      <c r="K915">
        <v>1.0597559999999999</v>
      </c>
      <c r="L915">
        <v>367.01659999999998</v>
      </c>
      <c r="M915">
        <v>0.99998350000000003</v>
      </c>
      <c r="N915">
        <v>-5.6471819999999997E-3</v>
      </c>
      <c r="O915">
        <v>1.006912E-3</v>
      </c>
      <c r="P915">
        <v>0.98590460000000002</v>
      </c>
      <c r="Q915">
        <v>0.15773860000000001</v>
      </c>
      <c r="R915">
        <v>5.5772889999999999E-2</v>
      </c>
      <c r="S915">
        <v>3.0258479999999999</v>
      </c>
      <c r="T915">
        <v>8.8022949999999999E-3</v>
      </c>
      <c r="U915">
        <v>0.27496340000000002</v>
      </c>
      <c r="V915">
        <v>-5.4773189999999999E-2</v>
      </c>
      <c r="W915">
        <v>0.1633066</v>
      </c>
      <c r="X915">
        <v>0.98505370000000003</v>
      </c>
      <c r="Y915">
        <v>-8.949617E-2</v>
      </c>
      <c r="Z915">
        <v>1.3191360000000001E-4</v>
      </c>
      <c r="AA915">
        <v>0.99598719999999996</v>
      </c>
      <c r="AB915">
        <v>34</v>
      </c>
      <c r="AC915">
        <v>151.46850000000001</v>
      </c>
      <c r="AD915">
        <v>0.44120599999999999</v>
      </c>
      <c r="AE915">
        <v>13.780200000000001</v>
      </c>
      <c r="AF915">
        <v>-13.6275604475561</v>
      </c>
      <c r="AG915">
        <v>0.44120599999999999</v>
      </c>
      <c r="AH915">
        <v>151.48102415808901</v>
      </c>
      <c r="AI915">
        <v>89.833791109407201</v>
      </c>
      <c r="AJ915">
        <v>95.140614016898496</v>
      </c>
      <c r="AK915">
        <v>152.09341125265601</v>
      </c>
      <c r="AL915">
        <v>80.601124186826098</v>
      </c>
      <c r="AM915">
        <v>93.182612546191507</v>
      </c>
      <c r="AN915">
        <v>0.99999996991501205</v>
      </c>
    </row>
    <row r="916" spans="1:40" x14ac:dyDescent="0.25">
      <c r="A916" t="str">
        <f>"20190304155611986"</f>
        <v>20190304155611986</v>
      </c>
      <c r="B916" t="str">
        <f>"1551686171975589"</f>
        <v>1551686171975589</v>
      </c>
      <c r="C916" t="s">
        <v>40</v>
      </c>
      <c r="D916">
        <v>4.1745760000000001</v>
      </c>
      <c r="E916">
        <v>0.48464940000000001</v>
      </c>
      <c r="F916" t="s">
        <v>43</v>
      </c>
      <c r="G916">
        <v>-158.19499999999999</v>
      </c>
      <c r="H916">
        <v>1.487838</v>
      </c>
      <c r="I916">
        <v>380.89679999999998</v>
      </c>
      <c r="J916">
        <v>-309.46780000000001</v>
      </c>
      <c r="K916">
        <v>1.059642</v>
      </c>
      <c r="L916">
        <v>367.01690000000002</v>
      </c>
      <c r="M916">
        <v>0.99998589999999998</v>
      </c>
      <c r="N916">
        <v>-5.2308739999999999E-3</v>
      </c>
      <c r="O916">
        <v>1.0078750000000001E-3</v>
      </c>
      <c r="P916">
        <v>0.98590429999999996</v>
      </c>
      <c r="Q916">
        <v>0.1577307</v>
      </c>
      <c r="R916">
        <v>5.5804609999999998E-2</v>
      </c>
      <c r="S916">
        <v>3.0258790000000002</v>
      </c>
      <c r="T916">
        <v>8.5535049999999994E-3</v>
      </c>
      <c r="U916">
        <v>0.27728269999999999</v>
      </c>
      <c r="V916">
        <v>-5.4804270000000002E-2</v>
      </c>
      <c r="W916">
        <v>0.16288839999999999</v>
      </c>
      <c r="X916">
        <v>0.98512129999999998</v>
      </c>
      <c r="Y916">
        <v>-9.0251339999999999E-2</v>
      </c>
      <c r="Z916">
        <v>1.17352E-4</v>
      </c>
      <c r="AA916">
        <v>0.995919</v>
      </c>
      <c r="AB916">
        <v>34</v>
      </c>
      <c r="AC916">
        <v>151.27279999999999</v>
      </c>
      <c r="AD916">
        <v>0.42819600000000002</v>
      </c>
      <c r="AE916">
        <v>13.8798999999999</v>
      </c>
      <c r="AF916">
        <v>-13.727317733747</v>
      </c>
      <c r="AG916">
        <v>0.42819600000000002</v>
      </c>
      <c r="AH916">
        <v>151.28551051712901</v>
      </c>
      <c r="AI916">
        <v>89.838494906648407</v>
      </c>
      <c r="AJ916">
        <v>95.184696209669298</v>
      </c>
      <c r="AK916">
        <v>151.90763080374199</v>
      </c>
      <c r="AL916">
        <v>80.6254113037336</v>
      </c>
      <c r="AM916">
        <v>93.184196675245403</v>
      </c>
      <c r="AN916">
        <v>1.00000005728923</v>
      </c>
    </row>
    <row r="917" spans="1:40" x14ac:dyDescent="0.25">
      <c r="A917" t="str">
        <f>"20190304155611998"</f>
        <v>20190304155611998</v>
      </c>
      <c r="B917" t="str">
        <f>"1551686171985350"</f>
        <v>1551686171985350</v>
      </c>
      <c r="C917" t="s">
        <v>40</v>
      </c>
      <c r="D917">
        <v>4.1230070000000003</v>
      </c>
      <c r="E917">
        <v>0.48443659999999999</v>
      </c>
      <c r="F917" t="s">
        <v>43</v>
      </c>
      <c r="G917">
        <v>-158.19499999999999</v>
      </c>
      <c r="H917">
        <v>1.4480170000000001</v>
      </c>
      <c r="I917">
        <v>380.93079999999998</v>
      </c>
      <c r="J917">
        <v>-309.30650000000003</v>
      </c>
      <c r="K917">
        <v>1.0596000000000001</v>
      </c>
      <c r="L917">
        <v>367.017</v>
      </c>
      <c r="M917">
        <v>0.99998659999999995</v>
      </c>
      <c r="N917">
        <v>-5.0751360000000001E-3</v>
      </c>
      <c r="O917">
        <v>1.0092930000000001E-3</v>
      </c>
      <c r="P917">
        <v>0.98591910000000005</v>
      </c>
      <c r="Q917">
        <v>0.15765950000000001</v>
      </c>
      <c r="R917">
        <v>5.5740770000000002E-2</v>
      </c>
      <c r="S917">
        <v>3.025909</v>
      </c>
      <c r="T917">
        <v>7.7704189999999998E-3</v>
      </c>
      <c r="U917">
        <v>0.27832030000000002</v>
      </c>
      <c r="V917">
        <v>-5.473915E-2</v>
      </c>
      <c r="W917">
        <v>0.162664</v>
      </c>
      <c r="X917">
        <v>0.98516199999999998</v>
      </c>
      <c r="Y917">
        <v>-9.0587650000000006E-2</v>
      </c>
      <c r="Z917">
        <v>1.219879E-4</v>
      </c>
      <c r="AA917">
        <v>0.99588849999999995</v>
      </c>
      <c r="AB917">
        <v>34</v>
      </c>
      <c r="AC917">
        <v>151.11150000000001</v>
      </c>
      <c r="AD917">
        <v>0.38841700000000001</v>
      </c>
      <c r="AE917">
        <v>13.913799999999901</v>
      </c>
      <c r="AF917">
        <v>-13.7611850125852</v>
      </c>
      <c r="AG917">
        <v>0.38841700000000001</v>
      </c>
      <c r="AH917">
        <v>151.12447623456799</v>
      </c>
      <c r="AI917">
        <v>89.853346640863407</v>
      </c>
      <c r="AJ917">
        <v>95.202925487623304</v>
      </c>
      <c r="AK917">
        <v>151.75021712633301</v>
      </c>
      <c r="AL917">
        <v>80.638442284364999</v>
      </c>
      <c r="AM917">
        <v>93.180289770541407</v>
      </c>
      <c r="AN917">
        <v>1.00000005884135</v>
      </c>
    </row>
    <row r="918" spans="1:40" x14ac:dyDescent="0.25">
      <c r="A918" t="str">
        <f>"20190304155612007"</f>
        <v>20190304155612007</v>
      </c>
      <c r="B918" t="str">
        <f>"1551686171996085"</f>
        <v>1551686171996085</v>
      </c>
      <c r="C918" t="s">
        <v>40</v>
      </c>
      <c r="D918">
        <v>4.1450839999999998</v>
      </c>
      <c r="E918">
        <v>0.48431439999999998</v>
      </c>
      <c r="F918" t="s">
        <v>43</v>
      </c>
      <c r="G918">
        <v>-158.19499999999999</v>
      </c>
      <c r="H918">
        <v>1.3901950000000001</v>
      </c>
      <c r="I918">
        <v>380.97829999999999</v>
      </c>
      <c r="J918">
        <v>-309.14350000000002</v>
      </c>
      <c r="K918">
        <v>1.0595810000000001</v>
      </c>
      <c r="L918">
        <v>367.0172</v>
      </c>
      <c r="M918">
        <v>0.99998719999999996</v>
      </c>
      <c r="N918">
        <v>-4.9906589999999997E-3</v>
      </c>
      <c r="O918">
        <v>1.0105209999999999E-3</v>
      </c>
      <c r="P918">
        <v>0.98598620000000003</v>
      </c>
      <c r="Q918">
        <v>0.1572433</v>
      </c>
      <c r="R918">
        <v>5.5731969999999999E-2</v>
      </c>
      <c r="S918">
        <v>3.02597</v>
      </c>
      <c r="T918">
        <v>6.6218379999999997E-3</v>
      </c>
      <c r="U918">
        <v>0.27957149999999997</v>
      </c>
      <c r="V918">
        <v>-5.4729149999999997E-2</v>
      </c>
      <c r="W918">
        <v>0.16216429999999901</v>
      </c>
      <c r="X918">
        <v>0.98524489999999998</v>
      </c>
      <c r="Y918">
        <v>-9.0992900000000002E-2</v>
      </c>
      <c r="Z918">
        <v>1.354301E-4</v>
      </c>
      <c r="AA918">
        <v>0.9958515</v>
      </c>
      <c r="AB918">
        <v>34</v>
      </c>
      <c r="AC918">
        <v>150.9485</v>
      </c>
      <c r="AD918">
        <v>0.33061400000000002</v>
      </c>
      <c r="AE918">
        <v>13.961099999999901</v>
      </c>
      <c r="AF918">
        <v>-13.8084886880465</v>
      </c>
      <c r="AG918">
        <v>0.33061400000000002</v>
      </c>
      <c r="AH918">
        <v>150.961813038721</v>
      </c>
      <c r="AI918">
        <v>89.875041208313803</v>
      </c>
      <c r="AJ918">
        <v>95.226305976865603</v>
      </c>
      <c r="AK918">
        <v>151.592389853193</v>
      </c>
      <c r="AL918">
        <v>80.667457933758001</v>
      </c>
      <c r="AM918">
        <v>93.179442976150497</v>
      </c>
      <c r="AN918">
        <v>1.0000000265151101</v>
      </c>
    </row>
    <row r="919" spans="1:40" x14ac:dyDescent="0.25">
      <c r="A919" t="str">
        <f>"20190304155612019"</f>
        <v>20190304155612019</v>
      </c>
      <c r="B919" t="str">
        <f>"1551686172015606"</f>
        <v>1551686172015606</v>
      </c>
      <c r="C919" t="s">
        <v>40</v>
      </c>
      <c r="D919">
        <v>4.3218629999999996</v>
      </c>
      <c r="E919">
        <v>0.48384280000000002</v>
      </c>
      <c r="F919" t="s">
        <v>43</v>
      </c>
      <c r="G919">
        <v>-158.19499999999999</v>
      </c>
      <c r="H919">
        <v>1.3078529999999999</v>
      </c>
      <c r="I919">
        <v>381.03210000000001</v>
      </c>
      <c r="J919">
        <v>-308.97550000000001</v>
      </c>
      <c r="K919">
        <v>1.0595950000000001</v>
      </c>
      <c r="L919">
        <v>367.01740000000001</v>
      </c>
      <c r="M919">
        <v>0.99998679999999995</v>
      </c>
      <c r="N919">
        <v>-5.0538329999999998E-3</v>
      </c>
      <c r="O919">
        <v>1.012031E-3</v>
      </c>
      <c r="P919">
        <v>0.98606859999999996</v>
      </c>
      <c r="Q919">
        <v>0.1567501</v>
      </c>
      <c r="R919">
        <v>5.5664669999999999E-2</v>
      </c>
      <c r="S919">
        <v>3.0259399999999999</v>
      </c>
      <c r="T919">
        <v>4.978657E-3</v>
      </c>
      <c r="U919">
        <v>0.28094479999999999</v>
      </c>
      <c r="V919">
        <v>-5.4660250000000001E-2</v>
      </c>
      <c r="W919">
        <v>0.16173419999999999</v>
      </c>
      <c r="X919">
        <v>0.98531939999999996</v>
      </c>
      <c r="Y919">
        <v>-9.1440370000000007E-2</v>
      </c>
      <c r="Z919">
        <v>1.6326129999999999E-4</v>
      </c>
      <c r="AA919">
        <v>0.99581059999999999</v>
      </c>
      <c r="AB919">
        <v>34</v>
      </c>
      <c r="AC919">
        <v>150.78049999999999</v>
      </c>
      <c r="AD919">
        <v>0.24825800000000001</v>
      </c>
      <c r="AE919">
        <v>14.014699999999999</v>
      </c>
      <c r="AF919">
        <v>-13.862059089506401</v>
      </c>
      <c r="AG919">
        <v>0.24825800000000001</v>
      </c>
      <c r="AH919">
        <v>150.79420098454301</v>
      </c>
      <c r="AI919">
        <v>89.9060680049637</v>
      </c>
      <c r="AJ919">
        <v>95.252267643134303</v>
      </c>
      <c r="AK919">
        <v>151.43021285332199</v>
      </c>
      <c r="AL919">
        <v>80.692430327434494</v>
      </c>
      <c r="AM919">
        <v>93.1752088819958</v>
      </c>
      <c r="AN919">
        <v>1.0000000071980299</v>
      </c>
    </row>
    <row r="920" spans="1:40" x14ac:dyDescent="0.25">
      <c r="A920" t="str">
        <f>"20190304155612030"</f>
        <v>20190304155612030</v>
      </c>
      <c r="B920" t="str">
        <f>"1551686172025365"</f>
        <v>1551686172025365</v>
      </c>
      <c r="C920" t="s">
        <v>40</v>
      </c>
      <c r="D920">
        <v>4.1495600000000001</v>
      </c>
      <c r="E920">
        <v>0.48376950000000002</v>
      </c>
      <c r="F920" t="s">
        <v>43</v>
      </c>
      <c r="G920">
        <v>-158.19499999999999</v>
      </c>
      <c r="H920">
        <v>1.1928559999999999</v>
      </c>
      <c r="I920">
        <v>381.16399999999999</v>
      </c>
      <c r="J920">
        <v>-308.80470000000003</v>
      </c>
      <c r="K920">
        <v>1.059615</v>
      </c>
      <c r="L920">
        <v>367.01749999999998</v>
      </c>
      <c r="M920">
        <v>0.99998640000000005</v>
      </c>
      <c r="N920">
        <v>-5.1504360000000004E-3</v>
      </c>
      <c r="O920">
        <v>1.0133329999999999E-3</v>
      </c>
      <c r="P920">
        <v>0.98614650000000004</v>
      </c>
      <c r="Q920">
        <v>0.15617929999999999</v>
      </c>
      <c r="R920">
        <v>5.5885520000000001E-2</v>
      </c>
      <c r="S920">
        <v>3.02597</v>
      </c>
      <c r="T920">
        <v>2.6761290000000002E-3</v>
      </c>
      <c r="U920">
        <v>0.28390500000000002</v>
      </c>
      <c r="V920">
        <v>-5.4879749999999998E-2</v>
      </c>
      <c r="W920">
        <v>0.16125889999999901</v>
      </c>
      <c r="X920">
        <v>0.98538510000000001</v>
      </c>
      <c r="Y920">
        <v>-9.2403810000000003E-2</v>
      </c>
      <c r="Z920">
        <v>2.0381380000000001E-4</v>
      </c>
      <c r="AA920">
        <v>0.99572159999999998</v>
      </c>
      <c r="AB920">
        <v>35</v>
      </c>
      <c r="AC920">
        <v>150.6097</v>
      </c>
      <c r="AD920">
        <v>0.133240999999999</v>
      </c>
      <c r="AE920">
        <v>14.1465</v>
      </c>
      <c r="AF920">
        <v>-13.9938621037139</v>
      </c>
      <c r="AG920">
        <v>0.133240999999999</v>
      </c>
      <c r="AH920">
        <v>150.62384111911101</v>
      </c>
      <c r="AI920">
        <v>89.949533821999793</v>
      </c>
      <c r="AJ920">
        <v>95.307886299036795</v>
      </c>
      <c r="AK920">
        <v>151.27256011325099</v>
      </c>
      <c r="AL920">
        <v>80.720025245585703</v>
      </c>
      <c r="AM920">
        <v>93.187721254324401</v>
      </c>
      <c r="AN920">
        <v>1.0000000075456399</v>
      </c>
    </row>
    <row r="921" spans="1:40" x14ac:dyDescent="0.25">
      <c r="A921" t="str">
        <f>"20190304155612040"</f>
        <v>20190304155612040</v>
      </c>
      <c r="B921" t="str">
        <f>"1551686172035125"</f>
        <v>1551686172035125</v>
      </c>
      <c r="C921" t="s">
        <v>40</v>
      </c>
      <c r="D921">
        <v>4.1408180000000003</v>
      </c>
      <c r="E921">
        <v>0.48374699999999998</v>
      </c>
      <c r="F921" t="s">
        <v>43</v>
      </c>
      <c r="G921">
        <v>-158.19499999999999</v>
      </c>
      <c r="H921">
        <v>1.0836479999999999</v>
      </c>
      <c r="I921">
        <v>381.20319999999998</v>
      </c>
      <c r="J921">
        <v>-308.62470000000002</v>
      </c>
      <c r="K921">
        <v>1.05965</v>
      </c>
      <c r="L921">
        <v>367.01769999999999</v>
      </c>
      <c r="M921">
        <v>0.99998529999999997</v>
      </c>
      <c r="N921">
        <v>-5.3353200000000002E-3</v>
      </c>
      <c r="O921">
        <v>1.0143350000000001E-3</v>
      </c>
      <c r="P921">
        <v>0.98626320000000001</v>
      </c>
      <c r="Q921">
        <v>0.15544839999999999</v>
      </c>
      <c r="R921">
        <v>5.5862589999999997E-2</v>
      </c>
      <c r="S921">
        <v>3.0258790000000002</v>
      </c>
      <c r="T921">
        <v>4.845858E-4</v>
      </c>
      <c r="U921">
        <v>0.28500370000000003</v>
      </c>
      <c r="V921">
        <v>-5.4855590000000003E-2</v>
      </c>
      <c r="W921">
        <v>0.16071060000000001</v>
      </c>
      <c r="X921">
        <v>0.98547600000000002</v>
      </c>
      <c r="Y921">
        <v>-9.2763799999999993E-2</v>
      </c>
      <c r="Z921">
        <v>2.4616090000000002E-4</v>
      </c>
      <c r="AA921">
        <v>0.99568809999999996</v>
      </c>
      <c r="AB921">
        <v>35</v>
      </c>
      <c r="AC921">
        <v>150.4297</v>
      </c>
      <c r="AD921">
        <v>2.3997999999999901E-2</v>
      </c>
      <c r="AE921">
        <v>14.1854999999999</v>
      </c>
      <c r="AF921">
        <v>-14.032904073949901</v>
      </c>
      <c r="AG921">
        <v>2.3997999999999901E-2</v>
      </c>
      <c r="AH921">
        <v>150.44400786931701</v>
      </c>
      <c r="AI921">
        <v>89.990899994385302</v>
      </c>
      <c r="AJ921">
        <v>95.328935800631001</v>
      </c>
      <c r="AK921">
        <v>151.09706309666001</v>
      </c>
      <c r="AL921">
        <v>80.751855522510795</v>
      </c>
      <c r="AM921">
        <v>93.186027499597103</v>
      </c>
      <c r="AN921">
        <v>0.99999998964130399</v>
      </c>
    </row>
    <row r="922" spans="1:40" x14ac:dyDescent="0.25">
      <c r="A922" t="str">
        <f>"20190304155612053"</f>
        <v>20190304155612053</v>
      </c>
      <c r="B922" t="str">
        <f>"1551686172045861"</f>
        <v>1551686172045861</v>
      </c>
      <c r="C922" t="s">
        <v>40</v>
      </c>
      <c r="D922">
        <v>4.1642839999999897</v>
      </c>
      <c r="E922">
        <v>0.48367559999999898</v>
      </c>
      <c r="F922" t="s">
        <v>43</v>
      </c>
      <c r="G922">
        <v>-158.19499999999999</v>
      </c>
      <c r="H922">
        <v>0.98670860000000005</v>
      </c>
      <c r="I922">
        <v>381.19880000000001</v>
      </c>
      <c r="J922">
        <v>-308.44959999999998</v>
      </c>
      <c r="K922">
        <v>1.05968</v>
      </c>
      <c r="L922">
        <v>367.0179</v>
      </c>
      <c r="M922">
        <v>0.99998430000000005</v>
      </c>
      <c r="N922">
        <v>-5.5228339999999999E-3</v>
      </c>
      <c r="O922">
        <v>1.015373E-3</v>
      </c>
      <c r="P922">
        <v>0.98632699999999995</v>
      </c>
      <c r="Q922">
        <v>0.1549132</v>
      </c>
      <c r="R922">
        <v>5.6223719999999998E-2</v>
      </c>
      <c r="S922">
        <v>3.0258479999999999</v>
      </c>
      <c r="T922">
        <v>-1.4654399999999999E-3</v>
      </c>
      <c r="U922">
        <v>0.2852478</v>
      </c>
      <c r="V922">
        <v>-5.521591E-2</v>
      </c>
      <c r="W922">
        <v>0.16036049999999999</v>
      </c>
      <c r="X922">
        <v>0.98551290000000003</v>
      </c>
      <c r="Y922">
        <v>-9.2843159999999994E-2</v>
      </c>
      <c r="Z922">
        <v>2.8448530000000001E-4</v>
      </c>
      <c r="AA922">
        <v>0.99568069999999997</v>
      </c>
      <c r="AB922">
        <v>35</v>
      </c>
      <c r="AC922">
        <v>150.25459999999899</v>
      </c>
      <c r="AD922">
        <v>-7.2971400000000006E-2</v>
      </c>
      <c r="AE922">
        <v>14.180899999999999</v>
      </c>
      <c r="AF922">
        <v>-14.0283226295569</v>
      </c>
      <c r="AG922">
        <v>-7.2971400000000006E-2</v>
      </c>
      <c r="AH922">
        <v>150.268886535185</v>
      </c>
      <c r="AI922">
        <v>90.027702690081099</v>
      </c>
      <c r="AJ922">
        <v>95.333378502092302</v>
      </c>
      <c r="AK922">
        <v>150.92228934504101</v>
      </c>
      <c r="AL922">
        <v>80.7721782842913</v>
      </c>
      <c r="AM922">
        <v>93.206791620746898</v>
      </c>
      <c r="AN922">
        <v>0.99999998137189305</v>
      </c>
    </row>
    <row r="923" spans="1:40" x14ac:dyDescent="0.25">
      <c r="A923" t="str">
        <f>"20190304155612063"</f>
        <v>20190304155612063</v>
      </c>
      <c r="B923" t="str">
        <f>"1551686172055621"</f>
        <v>1551686172055621</v>
      </c>
      <c r="C923" t="s">
        <v>40</v>
      </c>
      <c r="D923">
        <v>4.1672570000000002</v>
      </c>
      <c r="E923">
        <v>0.48359479999999999</v>
      </c>
      <c r="F923" t="s">
        <v>43</v>
      </c>
      <c r="G923">
        <v>-158.19499999999999</v>
      </c>
      <c r="H923">
        <v>0.87956520000000005</v>
      </c>
      <c r="I923">
        <v>381.25819999999999</v>
      </c>
      <c r="J923">
        <v>-308.28059999999999</v>
      </c>
      <c r="K923">
        <v>1.059704</v>
      </c>
      <c r="L923">
        <v>367.01799999999997</v>
      </c>
      <c r="M923">
        <v>0.99998319999999996</v>
      </c>
      <c r="N923">
        <v>-5.7234869999999898E-3</v>
      </c>
      <c r="O923">
        <v>1.0156410000000001E-3</v>
      </c>
      <c r="P923">
        <v>0.98642879999999999</v>
      </c>
      <c r="Q923">
        <v>0.15417739999999999</v>
      </c>
      <c r="R923">
        <v>5.6459950000000002E-2</v>
      </c>
      <c r="S923">
        <v>3.0258479999999999</v>
      </c>
      <c r="T923">
        <v>-3.6253930000000002E-3</v>
      </c>
      <c r="U923">
        <v>0.28677370000000002</v>
      </c>
      <c r="V923">
        <v>-5.5452469999999997E-2</v>
      </c>
      <c r="W923">
        <v>0.15982299999999999</v>
      </c>
      <c r="X923">
        <v>0.98558690000000004</v>
      </c>
      <c r="Y923">
        <v>-9.3340279999999998E-2</v>
      </c>
      <c r="Z923">
        <v>3.2809419999999998E-4</v>
      </c>
      <c r="AA923">
        <v>0.99563420000000002</v>
      </c>
      <c r="AB923">
        <v>35</v>
      </c>
      <c r="AC923">
        <v>150.0856</v>
      </c>
      <c r="AD923">
        <v>-0.18013879999999899</v>
      </c>
      <c r="AE923">
        <v>14.2401999999999</v>
      </c>
      <c r="AF923">
        <v>-14.0877369706179</v>
      </c>
      <c r="AG923">
        <v>-0.18013879999999899</v>
      </c>
      <c r="AH923">
        <v>150.09977145422599</v>
      </c>
      <c r="AI923">
        <v>90.068461309895795</v>
      </c>
      <c r="AJ923">
        <v>95.361835138027203</v>
      </c>
      <c r="AK923">
        <v>150.75953758735</v>
      </c>
      <c r="AL923">
        <v>80.803376898777898</v>
      </c>
      <c r="AM923">
        <v>93.220260238744501</v>
      </c>
      <c r="AN923">
        <v>0.99999995260485397</v>
      </c>
    </row>
    <row r="924" spans="1:40" x14ac:dyDescent="0.25">
      <c r="A924" t="str">
        <f>"20190304155612078"</f>
        <v>20190304155612078</v>
      </c>
      <c r="B924" t="str">
        <f>"1551686172065381"</f>
        <v>1551686172065381</v>
      </c>
      <c r="C924" t="s">
        <v>40</v>
      </c>
      <c r="D924">
        <v>4.1508039999999999</v>
      </c>
      <c r="E924">
        <v>0.48349979999999998</v>
      </c>
      <c r="F924" t="s">
        <v>43</v>
      </c>
      <c r="G924">
        <v>-158.19499999999999</v>
      </c>
      <c r="H924">
        <v>0.75977609999999995</v>
      </c>
      <c r="I924">
        <v>381.29910000000001</v>
      </c>
      <c r="J924">
        <v>-308.07350000000002</v>
      </c>
      <c r="K924">
        <v>1.0597259999999999</v>
      </c>
      <c r="L924">
        <v>367.01819999999998</v>
      </c>
      <c r="M924">
        <v>0.99998180000000003</v>
      </c>
      <c r="N924">
        <v>-5.9773830000000002E-3</v>
      </c>
      <c r="O924">
        <v>1.015373E-3</v>
      </c>
      <c r="P924">
        <v>0.986483</v>
      </c>
      <c r="Q924">
        <v>0.15376400000000001</v>
      </c>
      <c r="R924">
        <v>5.664019E-2</v>
      </c>
      <c r="S924">
        <v>3.0256959999999999</v>
      </c>
      <c r="T924">
        <v>-6.0447449999999998E-3</v>
      </c>
      <c r="U924">
        <v>0.28790280000000001</v>
      </c>
      <c r="V924">
        <v>-5.5632550000000003E-2</v>
      </c>
      <c r="W924">
        <v>0.1596601</v>
      </c>
      <c r="X924">
        <v>0.98560320000000001</v>
      </c>
      <c r="Y924">
        <v>-9.3713149999999995E-2</v>
      </c>
      <c r="Z924">
        <v>3.7814540000000001E-4</v>
      </c>
      <c r="AA924">
        <v>0.99559920000000002</v>
      </c>
      <c r="AB924">
        <v>35</v>
      </c>
      <c r="AC924">
        <v>149.8785</v>
      </c>
      <c r="AD924">
        <v>-0.29994989999999999</v>
      </c>
      <c r="AE924">
        <v>14.280900000000001</v>
      </c>
      <c r="AF924">
        <v>-14.128651286321601</v>
      </c>
      <c r="AG924">
        <v>-0.29994989999999999</v>
      </c>
      <c r="AH924">
        <v>149.89232849307399</v>
      </c>
      <c r="AI924">
        <v>90.114148604351897</v>
      </c>
      <c r="AJ924">
        <v>95.384714305371801</v>
      </c>
      <c r="AK924">
        <v>150.55702872396401</v>
      </c>
      <c r="AL924">
        <v>80.812832213915001</v>
      </c>
      <c r="AM924">
        <v>93.230642490990704</v>
      </c>
      <c r="AN924">
        <v>0.99999999800087602</v>
      </c>
    </row>
    <row r="925" spans="1:40" x14ac:dyDescent="0.25">
      <c r="A925" t="str">
        <f>"20190304155612088"</f>
        <v>20190304155612088</v>
      </c>
      <c r="B925" t="str">
        <f>"1551686172085877"</f>
        <v>1551686172085877</v>
      </c>
      <c r="C925" t="s">
        <v>40</v>
      </c>
      <c r="D925">
        <v>4.1739889999999997</v>
      </c>
      <c r="E925">
        <v>0.48344330000000002</v>
      </c>
      <c r="F925" t="s">
        <v>43</v>
      </c>
      <c r="G925">
        <v>-158.19499999999999</v>
      </c>
      <c r="H925">
        <v>0.70097540000000003</v>
      </c>
      <c r="I925">
        <v>381.3494</v>
      </c>
      <c r="J925">
        <v>-307.9006</v>
      </c>
      <c r="K925">
        <v>1.0597430000000001</v>
      </c>
      <c r="L925">
        <v>367.01839999999999</v>
      </c>
      <c r="M925">
        <v>0.99998030000000004</v>
      </c>
      <c r="N925">
        <v>-6.1947950000000003E-3</v>
      </c>
      <c r="O925">
        <v>1.015068E-3</v>
      </c>
      <c r="P925">
        <v>0.9865313</v>
      </c>
      <c r="Q925">
        <v>0.15328359999999999</v>
      </c>
      <c r="R925">
        <v>5.7101829999999999E-2</v>
      </c>
      <c r="S925">
        <v>3.0256349999999999</v>
      </c>
      <c r="T925">
        <v>-7.240415E-3</v>
      </c>
      <c r="U925">
        <v>0.28930660000000002</v>
      </c>
      <c r="V925">
        <v>-5.6095079999999999E-2</v>
      </c>
      <c r="W925">
        <v>0.1593946</v>
      </c>
      <c r="X925">
        <v>0.98562000000000005</v>
      </c>
      <c r="Y925">
        <v>-9.4172870000000006E-2</v>
      </c>
      <c r="Z925">
        <v>4.086316E-4</v>
      </c>
      <c r="AA925">
        <v>0.99555579999999999</v>
      </c>
      <c r="AB925">
        <v>35</v>
      </c>
      <c r="AC925">
        <v>149.7056</v>
      </c>
      <c r="AD925">
        <v>-0.35876760000000002</v>
      </c>
      <c r="AE925">
        <v>14.331</v>
      </c>
      <c r="AF925">
        <v>-14.1789476448565</v>
      </c>
      <c r="AG925">
        <v>-0.35876760000000002</v>
      </c>
      <c r="AH925">
        <v>149.719218037833</v>
      </c>
      <c r="AI925">
        <v>90.136684293302693</v>
      </c>
      <c r="AJ925">
        <v>95.409980966010096</v>
      </c>
      <c r="AK925">
        <v>150.38954591448999</v>
      </c>
      <c r="AL925">
        <v>80.8282419761413</v>
      </c>
      <c r="AM925">
        <v>93.257389102138703</v>
      </c>
      <c r="AN925">
        <v>1.0000000404546801</v>
      </c>
    </row>
    <row r="926" spans="1:40" x14ac:dyDescent="0.25">
      <c r="A926" t="str">
        <f>"20190304155612099"</f>
        <v>20190304155612099</v>
      </c>
      <c r="B926" t="str">
        <f>"1551686172095638"</f>
        <v>1551686172095638</v>
      </c>
      <c r="C926" t="s">
        <v>40</v>
      </c>
      <c r="D926">
        <v>4.1808509999999997</v>
      </c>
      <c r="E926">
        <v>0.48345300000000002</v>
      </c>
      <c r="F926" t="s">
        <v>43</v>
      </c>
      <c r="G926">
        <v>-158.19499999999999</v>
      </c>
      <c r="H926">
        <v>0.64519119999999996</v>
      </c>
      <c r="I926">
        <v>381.42329999999998</v>
      </c>
      <c r="J926">
        <v>-307.72669999999999</v>
      </c>
      <c r="K926">
        <v>1.059755</v>
      </c>
      <c r="L926">
        <v>367.01859999999999</v>
      </c>
      <c r="M926">
        <v>0.99997899999999995</v>
      </c>
      <c r="N926">
        <v>-6.4175539999999998E-3</v>
      </c>
      <c r="O926">
        <v>1.0145410000000001E-3</v>
      </c>
      <c r="P926">
        <v>0.98660389999999998</v>
      </c>
      <c r="Q926">
        <v>0.15268499999999999</v>
      </c>
      <c r="R926">
        <v>5.7449849999999997E-2</v>
      </c>
      <c r="S926">
        <v>3.0253909999999999</v>
      </c>
      <c r="T926">
        <v>-8.3758830000000006E-3</v>
      </c>
      <c r="U926">
        <v>0.29110720000000001</v>
      </c>
      <c r="V926">
        <v>-5.644354E-2</v>
      </c>
      <c r="W926">
        <v>0.15901609999999999</v>
      </c>
      <c r="X926">
        <v>0.98566120000000002</v>
      </c>
      <c r="Y926">
        <v>-9.4767859999999995E-2</v>
      </c>
      <c r="Z926">
        <v>4.3936959999999999E-4</v>
      </c>
      <c r="AA926">
        <v>0.99549929999999998</v>
      </c>
      <c r="AB926">
        <v>35</v>
      </c>
      <c r="AC926">
        <v>149.5317</v>
      </c>
      <c r="AD926">
        <v>-0.41456379999999998</v>
      </c>
      <c r="AE926">
        <v>14.404699999999901</v>
      </c>
      <c r="AF926">
        <v>-14.2528748937864</v>
      </c>
      <c r="AG926">
        <v>-0.41456379999999998</v>
      </c>
      <c r="AH926">
        <v>149.54509862205401</v>
      </c>
      <c r="AI926">
        <v>90.1581164799655</v>
      </c>
      <c r="AJ926">
        <v>95.444312881794602</v>
      </c>
      <c r="AK926">
        <v>150.22334315199501</v>
      </c>
      <c r="AL926">
        <v>80.850208202555095</v>
      </c>
      <c r="AM926">
        <v>93.277443169035493</v>
      </c>
      <c r="AN926">
        <v>0.99999999722619004</v>
      </c>
    </row>
    <row r="927" spans="1:40" x14ac:dyDescent="0.25">
      <c r="A927" t="str">
        <f>"20190304155612111"</f>
        <v>20190304155612111</v>
      </c>
      <c r="B927" t="str">
        <f>"1551686172105398"</f>
        <v>1551686172105398</v>
      </c>
      <c r="C927" t="s">
        <v>40</v>
      </c>
      <c r="D927">
        <v>4.1790070000000004</v>
      </c>
      <c r="E927">
        <v>0.48344520000000002</v>
      </c>
      <c r="F927" t="s">
        <v>43</v>
      </c>
      <c r="G927">
        <v>-158.19499999999999</v>
      </c>
      <c r="H927">
        <v>0.55202669999999998</v>
      </c>
      <c r="I927">
        <v>381.44459999999998</v>
      </c>
      <c r="J927">
        <v>-307.55399999999997</v>
      </c>
      <c r="K927">
        <v>1.0597669999999999</v>
      </c>
      <c r="L927">
        <v>367.01870000000002</v>
      </c>
      <c r="M927">
        <v>0.99997749999999996</v>
      </c>
      <c r="N927">
        <v>-6.6391749999999998E-3</v>
      </c>
      <c r="O927">
        <v>1.0139929999999999E-3</v>
      </c>
      <c r="P927">
        <v>0.98664059999999998</v>
      </c>
      <c r="Q927">
        <v>0.1522626</v>
      </c>
      <c r="R927">
        <v>5.7936219999999997E-2</v>
      </c>
      <c r="S927">
        <v>3.02536</v>
      </c>
      <c r="T927">
        <v>-1.0270710000000001E-2</v>
      </c>
      <c r="U927">
        <v>0.29187010000000002</v>
      </c>
      <c r="V927">
        <v>-5.6930460000000002E-2</v>
      </c>
      <c r="W927">
        <v>0.1588118</v>
      </c>
      <c r="X927">
        <v>0.98566620000000005</v>
      </c>
      <c r="Y927">
        <v>-9.5017660000000004E-2</v>
      </c>
      <c r="Z927">
        <v>4.803508E-4</v>
      </c>
      <c r="AA927">
        <v>0.99547549999999996</v>
      </c>
      <c r="AB927">
        <v>35</v>
      </c>
      <c r="AC927">
        <v>149.35900000000001</v>
      </c>
      <c r="AD927">
        <v>-0.50774029999999903</v>
      </c>
      <c r="AE927">
        <v>14.425899999999899</v>
      </c>
      <c r="AF927">
        <v>-14.274276839318601</v>
      </c>
      <c r="AG927">
        <v>-0.50774029999999903</v>
      </c>
      <c r="AH927">
        <v>149.37184105765999</v>
      </c>
      <c r="AI927">
        <v>90.193874131496202</v>
      </c>
      <c r="AJ927">
        <v>95.458724914021104</v>
      </c>
      <c r="AK927">
        <v>150.053189504431</v>
      </c>
      <c r="AL927">
        <v>80.862064985639407</v>
      </c>
      <c r="AM927">
        <v>93.305637437427805</v>
      </c>
      <c r="AN927">
        <v>1.0000000614587401</v>
      </c>
    </row>
    <row r="928" spans="1:40" x14ac:dyDescent="0.25">
      <c r="A928" t="str">
        <f>"20190304155612121"</f>
        <v>20190304155612121</v>
      </c>
      <c r="B928" t="str">
        <f>"1551686172115157"</f>
        <v>1551686172115157</v>
      </c>
      <c r="C928" t="s">
        <v>40</v>
      </c>
      <c r="D928">
        <v>4.1538199999999996</v>
      </c>
      <c r="E928">
        <v>0.48344579999999998</v>
      </c>
      <c r="F928" t="s">
        <v>43</v>
      </c>
      <c r="G928">
        <v>-158.19499999999999</v>
      </c>
      <c r="H928">
        <v>0.49037170000000002</v>
      </c>
      <c r="I928">
        <v>381.52109999999999</v>
      </c>
      <c r="J928">
        <v>-307.37639999999999</v>
      </c>
      <c r="K928">
        <v>1.059771</v>
      </c>
      <c r="L928">
        <v>367.01900000000001</v>
      </c>
      <c r="M928">
        <v>0.99997590000000003</v>
      </c>
      <c r="N928">
        <v>-6.8642340000000003E-3</v>
      </c>
      <c r="O928">
        <v>1.0142409999999999E-3</v>
      </c>
      <c r="P928">
        <v>0.98665919999999896</v>
      </c>
      <c r="Q928">
        <v>0.1519857</v>
      </c>
      <c r="R928">
        <v>5.8343159999999998E-2</v>
      </c>
      <c r="S928">
        <v>3.0251160000000001</v>
      </c>
      <c r="T928">
        <v>-1.1530759999999999E-2</v>
      </c>
      <c r="U928">
        <v>0.29373169999999998</v>
      </c>
      <c r="V928">
        <v>-5.7336579999999998E-2</v>
      </c>
      <c r="W928">
        <v>0.15875719999999999</v>
      </c>
      <c r="X928">
        <v>0.98565139999999996</v>
      </c>
      <c r="Y928">
        <v>-9.5631659999999993E-2</v>
      </c>
      <c r="Z928">
        <v>5.1391540000000002E-4</v>
      </c>
      <c r="AA928">
        <v>0.99541659999999998</v>
      </c>
      <c r="AB928">
        <v>35</v>
      </c>
      <c r="AC928">
        <v>149.1814</v>
      </c>
      <c r="AD928">
        <v>-0.56939929999999905</v>
      </c>
      <c r="AE928">
        <v>14.502099999999899</v>
      </c>
      <c r="AF928">
        <v>-14.3505759753007</v>
      </c>
      <c r="AG928">
        <v>-0.56939929999999905</v>
      </c>
      <c r="AH928">
        <v>149.193879105203</v>
      </c>
      <c r="AI928">
        <v>90.217664023117294</v>
      </c>
      <c r="AJ928">
        <v>95.494231201835106</v>
      </c>
      <c r="AK928">
        <v>149.88354415626699</v>
      </c>
      <c r="AL928">
        <v>80.865233033095805</v>
      </c>
      <c r="AM928">
        <v>93.329215606557895</v>
      </c>
      <c r="AN928">
        <v>1.00000000713994</v>
      </c>
    </row>
    <row r="929" spans="1:40" x14ac:dyDescent="0.25">
      <c r="A929" t="str">
        <f>"20190304155612135"</f>
        <v>20190304155612135</v>
      </c>
      <c r="B929" t="str">
        <f>"1551686172125893"</f>
        <v>1551686172125893</v>
      </c>
      <c r="C929" t="s">
        <v>40</v>
      </c>
      <c r="D929">
        <v>4.1658140000000001</v>
      </c>
      <c r="E929">
        <v>0.48343589999999997</v>
      </c>
      <c r="F929" t="s">
        <v>43</v>
      </c>
      <c r="G929">
        <v>-158.19499999999999</v>
      </c>
      <c r="H929">
        <v>0.4480133</v>
      </c>
      <c r="I929">
        <v>381.57530000000003</v>
      </c>
      <c r="J929">
        <v>-307.18279999999999</v>
      </c>
      <c r="K929">
        <v>1.059774</v>
      </c>
      <c r="L929">
        <v>367.01909999999998</v>
      </c>
      <c r="M929">
        <v>0.99997440000000004</v>
      </c>
      <c r="N929">
        <v>-7.1053949999999996E-3</v>
      </c>
      <c r="O929">
        <v>1.014404E-3</v>
      </c>
      <c r="P929">
        <v>0.9866878</v>
      </c>
      <c r="Q929">
        <v>0.15161169999999999</v>
      </c>
      <c r="R929">
        <v>5.8833589999999998E-2</v>
      </c>
      <c r="S929">
        <v>3.0250240000000002</v>
      </c>
      <c r="T929">
        <v>-1.240313E-2</v>
      </c>
      <c r="U929">
        <v>0.29516599999999998</v>
      </c>
      <c r="V929">
        <v>-5.782665E-2</v>
      </c>
      <c r="W929">
        <v>0.15862119999999999</v>
      </c>
      <c r="X929">
        <v>0.98564459999999998</v>
      </c>
      <c r="Y929">
        <v>-9.6101660000000005E-2</v>
      </c>
      <c r="Z929">
        <v>5.4182799999999995E-4</v>
      </c>
      <c r="AA929">
        <v>0.99537140000000002</v>
      </c>
      <c r="AB929">
        <v>35</v>
      </c>
      <c r="AC929">
        <v>148.98779999999999</v>
      </c>
      <c r="AD929">
        <v>-0.61176070000000005</v>
      </c>
      <c r="AE929">
        <v>14.5562</v>
      </c>
      <c r="AF929">
        <v>-14.404814327566701</v>
      </c>
      <c r="AG929">
        <v>-0.61176070000000005</v>
      </c>
      <c r="AH929">
        <v>149.00000116748501</v>
      </c>
      <c r="AI929">
        <v>90.234150670146093</v>
      </c>
      <c r="AJ929">
        <v>95.522000593524496</v>
      </c>
      <c r="AK929">
        <v>149.69593606666899</v>
      </c>
      <c r="AL929">
        <v>80.873124665410401</v>
      </c>
      <c r="AM929">
        <v>93.357629524126693</v>
      </c>
      <c r="AN929">
        <v>0.99999994202440901</v>
      </c>
    </row>
    <row r="930" spans="1:40" x14ac:dyDescent="0.25">
      <c r="A930" t="str">
        <f>"20190304155612148"</f>
        <v>20190304155612148</v>
      </c>
      <c r="B930" t="str">
        <f>"1551686172145413"</f>
        <v>1551686172145413</v>
      </c>
      <c r="C930" t="s">
        <v>40</v>
      </c>
      <c r="D930">
        <v>4.170604</v>
      </c>
      <c r="E930">
        <v>0.4834021</v>
      </c>
      <c r="F930" t="s">
        <v>43</v>
      </c>
      <c r="G930">
        <v>-158.19499999999999</v>
      </c>
      <c r="H930">
        <v>0.39081480000000002</v>
      </c>
      <c r="I930">
        <v>381.63549999999998</v>
      </c>
      <c r="J930">
        <v>-306.97660000000002</v>
      </c>
      <c r="K930">
        <v>1.0597700000000001</v>
      </c>
      <c r="L930">
        <v>367.01929999999999</v>
      </c>
      <c r="M930">
        <v>0.99997250000000004</v>
      </c>
      <c r="N930">
        <v>-7.3552239999999996E-3</v>
      </c>
      <c r="O930">
        <v>1.014804E-3</v>
      </c>
      <c r="P930">
        <v>0.9866973</v>
      </c>
      <c r="Q930">
        <v>0.1513697</v>
      </c>
      <c r="R930">
        <v>5.9297790000000003E-2</v>
      </c>
      <c r="S930">
        <v>3.0248719999999998</v>
      </c>
      <c r="T930">
        <v>-1.357996E-2</v>
      </c>
      <c r="U930">
        <v>0.29675289999999999</v>
      </c>
      <c r="V930">
        <v>-5.8290950000000001E-2</v>
      </c>
      <c r="W930">
        <v>0.15862589999999999</v>
      </c>
      <c r="X930">
        <v>0.98561659999999995</v>
      </c>
      <c r="Y930">
        <v>-9.6623000000000001E-2</v>
      </c>
      <c r="Z930">
        <v>5.7547469999999999E-4</v>
      </c>
      <c r="AA930">
        <v>0.99532089999999995</v>
      </c>
      <c r="AB930">
        <v>35</v>
      </c>
      <c r="AC930">
        <v>148.7816</v>
      </c>
      <c r="AD930">
        <v>-0.66895519999999997</v>
      </c>
      <c r="AE930">
        <v>14.6161999999999</v>
      </c>
      <c r="AF930">
        <v>-14.4649146084872</v>
      </c>
      <c r="AG930">
        <v>-0.66895519999999997</v>
      </c>
      <c r="AH930">
        <v>148.79337710775201</v>
      </c>
      <c r="AI930">
        <v>90.256383816073594</v>
      </c>
      <c r="AJ930">
        <v>95.552548307606898</v>
      </c>
      <c r="AK930">
        <v>149.49632211803799</v>
      </c>
      <c r="AL930">
        <v>80.872852884689493</v>
      </c>
      <c r="AM930">
        <v>93.384622007035006</v>
      </c>
      <c r="AN930">
        <v>1.0000000465991301</v>
      </c>
    </row>
    <row r="931" spans="1:40" x14ac:dyDescent="0.25">
      <c r="A931" t="str">
        <f>"20190304155612161"</f>
        <v>20190304155612161</v>
      </c>
      <c r="B931" t="str">
        <f>"1551686172155173"</f>
        <v>1551686172155173</v>
      </c>
      <c r="C931" t="s">
        <v>40</v>
      </c>
      <c r="D931">
        <v>4.2234669999999896</v>
      </c>
      <c r="E931">
        <v>0.48339330000000003</v>
      </c>
      <c r="F931" t="s">
        <v>43</v>
      </c>
      <c r="G931">
        <v>-158.19499999999999</v>
      </c>
      <c r="H931">
        <v>0.35149000000000002</v>
      </c>
      <c r="I931">
        <v>381.69569999999999</v>
      </c>
      <c r="J931">
        <v>-306.78480000000002</v>
      </c>
      <c r="K931">
        <v>1.059763</v>
      </c>
      <c r="L931">
        <v>367.01949999999999</v>
      </c>
      <c r="M931">
        <v>0.9999709</v>
      </c>
      <c r="N931">
        <v>-7.5746390000000002E-3</v>
      </c>
      <c r="O931">
        <v>1.0151699999999999E-3</v>
      </c>
      <c r="P931">
        <v>0.98671339999999996</v>
      </c>
      <c r="Q931">
        <v>0.15109520000000001</v>
      </c>
      <c r="R931">
        <v>5.9724319999999997E-2</v>
      </c>
      <c r="S931">
        <v>3.0247190000000002</v>
      </c>
      <c r="T931">
        <v>-1.4397500000000001E-2</v>
      </c>
      <c r="U931">
        <v>0.29837039999999998</v>
      </c>
      <c r="V931">
        <v>-5.8716829999999998E-2</v>
      </c>
      <c r="W931">
        <v>0.1585675</v>
      </c>
      <c r="X931">
        <v>0.9856007</v>
      </c>
      <c r="Y931">
        <v>-9.7154329999999997E-2</v>
      </c>
      <c r="Z931">
        <v>6.023704E-4</v>
      </c>
      <c r="AA931">
        <v>0.99526910000000002</v>
      </c>
      <c r="AB931">
        <v>35</v>
      </c>
      <c r="AC931">
        <v>148.5898</v>
      </c>
      <c r="AD931">
        <v>-0.70827299999999904</v>
      </c>
      <c r="AE931">
        <v>14.6761999999999</v>
      </c>
      <c r="AF931">
        <v>-14.5250173864929</v>
      </c>
      <c r="AG931">
        <v>-0.70827299999999904</v>
      </c>
      <c r="AH931">
        <v>148.601278974911</v>
      </c>
      <c r="AI931">
        <v>90.271789530189906</v>
      </c>
      <c r="AJ931">
        <v>95.582636441315003</v>
      </c>
      <c r="AK931">
        <v>149.311144573001</v>
      </c>
      <c r="AL931">
        <v>80.876241688833503</v>
      </c>
      <c r="AM931">
        <v>93.409347174569007</v>
      </c>
      <c r="AN931">
        <v>1.0000000290109901</v>
      </c>
    </row>
    <row r="932" spans="1:40" x14ac:dyDescent="0.25">
      <c r="A932" t="str">
        <f>"20190304155612174"</f>
        <v>20190304155612174</v>
      </c>
      <c r="B932" t="str">
        <f>"1551686172165909"</f>
        <v>1551686172165909</v>
      </c>
      <c r="C932" t="s">
        <v>40</v>
      </c>
      <c r="D932">
        <v>4.2131119999999997</v>
      </c>
      <c r="E932">
        <v>0.48336960000000001</v>
      </c>
      <c r="F932" t="s">
        <v>43</v>
      </c>
      <c r="G932">
        <v>-158.19499999999999</v>
      </c>
      <c r="H932">
        <v>0.29801749999999999</v>
      </c>
      <c r="I932">
        <v>381.75569999999999</v>
      </c>
      <c r="J932">
        <v>-306.5634</v>
      </c>
      <c r="K932">
        <v>1.0597529999999999</v>
      </c>
      <c r="L932">
        <v>367.0197</v>
      </c>
      <c r="M932">
        <v>0.999969</v>
      </c>
      <c r="N932">
        <v>-7.8184680000000003E-3</v>
      </c>
      <c r="O932">
        <v>1.0155940000000001E-3</v>
      </c>
      <c r="P932">
        <v>0.98671929999999997</v>
      </c>
      <c r="Q932">
        <v>0.15077699999999999</v>
      </c>
      <c r="R932">
        <v>6.0427839999999997E-2</v>
      </c>
      <c r="S932">
        <v>3.0245669999999998</v>
      </c>
      <c r="T932">
        <v>-1.5503640000000001E-2</v>
      </c>
      <c r="U932">
        <v>0.29995729999999998</v>
      </c>
      <c r="V932">
        <v>-5.9419710000000001E-2</v>
      </c>
      <c r="W932">
        <v>0.158490299999999</v>
      </c>
      <c r="X932">
        <v>0.98557099999999997</v>
      </c>
      <c r="Y932">
        <v>-9.767555E-2</v>
      </c>
      <c r="Z932">
        <v>6.3523500000000005E-4</v>
      </c>
      <c r="AA932">
        <v>0.99521809999999999</v>
      </c>
      <c r="AB932">
        <v>35</v>
      </c>
      <c r="AC932">
        <v>148.36840000000001</v>
      </c>
      <c r="AD932">
        <v>-0.76173550000000001</v>
      </c>
      <c r="AE932">
        <v>14.735999999999899</v>
      </c>
      <c r="AF932">
        <v>-14.584925063772801</v>
      </c>
      <c r="AG932">
        <v>-0.76173550000000001</v>
      </c>
      <c r="AH932">
        <v>148.37941683041399</v>
      </c>
      <c r="AI932">
        <v>90.292726077059498</v>
      </c>
      <c r="AJ932">
        <v>95.613843451680196</v>
      </c>
      <c r="AK932">
        <v>149.09645072576799</v>
      </c>
      <c r="AL932">
        <v>80.880721643662994</v>
      </c>
      <c r="AM932">
        <v>93.450165072327295</v>
      </c>
      <c r="AN932">
        <v>1.00000003658578</v>
      </c>
    </row>
    <row r="933" spans="1:40" x14ac:dyDescent="0.25">
      <c r="A933" t="str">
        <f>"20190304155612185"</f>
        <v>20190304155612185</v>
      </c>
      <c r="B933" t="str">
        <f>"1551686172175668"</f>
        <v>1551686172175668</v>
      </c>
      <c r="C933" t="s">
        <v>40</v>
      </c>
      <c r="D933">
        <v>4.2049079999999996</v>
      </c>
      <c r="E933">
        <v>0.48336449999999997</v>
      </c>
      <c r="F933" t="s">
        <v>43</v>
      </c>
      <c r="G933">
        <v>-158.19499999999999</v>
      </c>
      <c r="H933">
        <v>0.24853800000000001</v>
      </c>
      <c r="I933">
        <v>381.85329999999999</v>
      </c>
      <c r="J933">
        <v>-306.38139999999999</v>
      </c>
      <c r="K933">
        <v>1.0597449999999999</v>
      </c>
      <c r="L933">
        <v>367.01990000000001</v>
      </c>
      <c r="M933">
        <v>0.99996759999999996</v>
      </c>
      <c r="N933">
        <v>-8.0083629999999992E-3</v>
      </c>
      <c r="O933">
        <v>1.01585E-3</v>
      </c>
      <c r="P933">
        <v>0.98678480000000002</v>
      </c>
      <c r="Q933">
        <v>0.15022049999999901</v>
      </c>
      <c r="R933">
        <v>6.0745790000000001E-2</v>
      </c>
      <c r="S933">
        <v>3.0243530000000001</v>
      </c>
      <c r="T933">
        <v>-1.6534090000000001E-2</v>
      </c>
      <c r="U933">
        <v>0.30236819999999998</v>
      </c>
      <c r="V933">
        <v>-5.9737220000000001E-2</v>
      </c>
      <c r="W933">
        <v>0.1581207</v>
      </c>
      <c r="X933">
        <v>0.98561109999999996</v>
      </c>
      <c r="Y933">
        <v>-9.8467330000000006E-2</v>
      </c>
      <c r="Z933">
        <v>6.6633899999999995E-4</v>
      </c>
      <c r="AA933">
        <v>0.99514009999999997</v>
      </c>
      <c r="AB933">
        <v>35</v>
      </c>
      <c r="AC933">
        <v>148.18639999999999</v>
      </c>
      <c r="AD933">
        <v>-0.81120700000000001</v>
      </c>
      <c r="AE933">
        <v>14.8333999999999</v>
      </c>
      <c r="AF933">
        <v>-14.6824167650833</v>
      </c>
      <c r="AG933">
        <v>-0.81120700000000001</v>
      </c>
      <c r="AH933">
        <v>148.19699552768901</v>
      </c>
      <c r="AI933">
        <v>90.312096998860099</v>
      </c>
      <c r="AJ933">
        <v>95.658037699275596</v>
      </c>
      <c r="AK933">
        <v>148.92474912617499</v>
      </c>
      <c r="AL933">
        <v>80.902167956258396</v>
      </c>
      <c r="AM933">
        <v>93.4684154086261</v>
      </c>
      <c r="AN933">
        <v>0.99999996583251305</v>
      </c>
    </row>
    <row r="934" spans="1:40" x14ac:dyDescent="0.25">
      <c r="A934" t="str">
        <f>"20190304155612198"</f>
        <v>20190304155612198</v>
      </c>
      <c r="B934" t="str">
        <f>"1551686172196165"</f>
        <v>1551686172196165</v>
      </c>
      <c r="C934" t="s">
        <v>40</v>
      </c>
      <c r="D934">
        <v>4.2122919999999997</v>
      </c>
      <c r="E934">
        <v>0.48335820000000002</v>
      </c>
      <c r="F934" t="s">
        <v>43</v>
      </c>
      <c r="G934">
        <v>-158.19499999999999</v>
      </c>
      <c r="H934">
        <v>0.17940900000000001</v>
      </c>
      <c r="I934">
        <v>381.8852</v>
      </c>
      <c r="J934">
        <v>-306.20670000000001</v>
      </c>
      <c r="K934">
        <v>1.059733</v>
      </c>
      <c r="L934">
        <v>367.02010000000001</v>
      </c>
      <c r="M934">
        <v>0.99996600000000002</v>
      </c>
      <c r="N934">
        <v>-8.179469E-3</v>
      </c>
      <c r="O934">
        <v>1.016166E-3</v>
      </c>
      <c r="P934">
        <v>0.98683069999999895</v>
      </c>
      <c r="Q934">
        <v>0.1498438</v>
      </c>
      <c r="R934">
        <v>6.0928900000000001E-2</v>
      </c>
      <c r="S934">
        <v>3.0242309999999999</v>
      </c>
      <c r="T934">
        <v>-1.7964359999999999E-2</v>
      </c>
      <c r="U934">
        <v>0.30337520000000001</v>
      </c>
      <c r="V934">
        <v>-5.9920170000000002E-2</v>
      </c>
      <c r="W934">
        <v>0.157913</v>
      </c>
      <c r="X934">
        <v>0.98563330000000005</v>
      </c>
      <c r="Y934">
        <v>-9.8798590000000006E-2</v>
      </c>
      <c r="Z934">
        <v>7.0005879999999999E-4</v>
      </c>
      <c r="AA934">
        <v>0.99510719999999997</v>
      </c>
      <c r="AB934">
        <v>35</v>
      </c>
      <c r="AC934">
        <v>148.01169999999999</v>
      </c>
      <c r="AD934">
        <v>-0.880324</v>
      </c>
      <c r="AE934">
        <v>14.865099999999901</v>
      </c>
      <c r="AF934">
        <v>-14.714167519473801</v>
      </c>
      <c r="AG934">
        <v>-0.880324</v>
      </c>
      <c r="AH934">
        <v>148.02154555954601</v>
      </c>
      <c r="AI934">
        <v>90.339078277376402</v>
      </c>
      <c r="AJ934">
        <v>95.676870578376096</v>
      </c>
      <c r="AK934">
        <v>148.753687839908</v>
      </c>
      <c r="AL934">
        <v>80.914219761635295</v>
      </c>
      <c r="AM934">
        <v>93.478933489737997</v>
      </c>
      <c r="AN934">
        <v>0.99999997220535897</v>
      </c>
    </row>
    <row r="935" spans="1:40" x14ac:dyDescent="0.25">
      <c r="A935" t="str">
        <f>"20190304155612207"</f>
        <v>20190304155612207</v>
      </c>
      <c r="B935" t="str">
        <f>"1551686172205926"</f>
        <v>1551686172205926</v>
      </c>
      <c r="C935" t="s">
        <v>40</v>
      </c>
      <c r="D935">
        <v>4.2056779999999998</v>
      </c>
      <c r="E935">
        <v>0.48335050000000002</v>
      </c>
      <c r="F935" t="s">
        <v>43</v>
      </c>
      <c r="G935">
        <v>-158.19499999999999</v>
      </c>
      <c r="H935">
        <v>0.1266642</v>
      </c>
      <c r="I935">
        <v>381.8741</v>
      </c>
      <c r="J935">
        <v>-306.03910000000002</v>
      </c>
      <c r="K935">
        <v>1.0597190000000001</v>
      </c>
      <c r="L935">
        <v>367.02019999999999</v>
      </c>
      <c r="M935">
        <v>0.99996479999999999</v>
      </c>
      <c r="N935">
        <v>-8.3389060000000001E-3</v>
      </c>
      <c r="O935">
        <v>1.0163380000000001E-3</v>
      </c>
      <c r="P935">
        <v>0.98686470000000004</v>
      </c>
      <c r="Q935">
        <v>0.1495601</v>
      </c>
      <c r="R935">
        <v>6.1074469999999999E-2</v>
      </c>
      <c r="S935">
        <v>3.0241699999999998</v>
      </c>
      <c r="T935">
        <v>-1.9062639999999999E-2</v>
      </c>
      <c r="U935">
        <v>0.30349730000000003</v>
      </c>
      <c r="V935">
        <v>-6.0065680000000003E-2</v>
      </c>
      <c r="W935">
        <v>0.1577868</v>
      </c>
      <c r="X935">
        <v>0.98564470000000004</v>
      </c>
      <c r="Y935">
        <v>-9.8839769999999993E-2</v>
      </c>
      <c r="Z935">
        <v>7.2595190000000005E-4</v>
      </c>
      <c r="AA935">
        <v>0.99510310000000002</v>
      </c>
      <c r="AB935">
        <v>35</v>
      </c>
      <c r="AC935">
        <v>147.8441</v>
      </c>
      <c r="AD935">
        <v>-0.93305479999999996</v>
      </c>
      <c r="AE935">
        <v>14.853899999999999</v>
      </c>
      <c r="AF935">
        <v>-14.7030477745099</v>
      </c>
      <c r="AG935">
        <v>-0.93305479999999996</v>
      </c>
      <c r="AH935">
        <v>147.85329065198999</v>
      </c>
      <c r="AI935">
        <v>90.359795939463595</v>
      </c>
      <c r="AJ935">
        <v>95.679021635362403</v>
      </c>
      <c r="AK935">
        <v>148.58548301143401</v>
      </c>
      <c r="AL935">
        <v>80.921542704702404</v>
      </c>
      <c r="AM935">
        <v>93.487320663634804</v>
      </c>
      <c r="AN935">
        <v>1.0000000174030901</v>
      </c>
    </row>
    <row r="936" spans="1:40" x14ac:dyDescent="0.25">
      <c r="A936" t="str">
        <f>"20190304155612219"</f>
        <v>20190304155612219</v>
      </c>
      <c r="B936" t="str">
        <f>"1551686172215686"</f>
        <v>1551686172215686</v>
      </c>
      <c r="C936" t="s">
        <v>40</v>
      </c>
      <c r="D936">
        <v>4.1998930000000003</v>
      </c>
      <c r="E936">
        <v>0.4833501</v>
      </c>
      <c r="F936" t="s">
        <v>43</v>
      </c>
      <c r="G936">
        <v>-158.19499999999999</v>
      </c>
      <c r="H936">
        <v>9.2206949999999996E-2</v>
      </c>
      <c r="I936">
        <v>381.90109999999999</v>
      </c>
      <c r="J936">
        <v>-305.86709999999999</v>
      </c>
      <c r="K936">
        <v>1.0597049999999999</v>
      </c>
      <c r="L936">
        <v>367.0204</v>
      </c>
      <c r="M936">
        <v>0.99996339999999995</v>
      </c>
      <c r="N936">
        <v>-8.4888540000000005E-3</v>
      </c>
      <c r="O936">
        <v>1.016538E-3</v>
      </c>
      <c r="P936">
        <v>0.98692820000000003</v>
      </c>
      <c r="Q936">
        <v>0.14918699999999999</v>
      </c>
      <c r="R936">
        <v>6.0958560000000002E-2</v>
      </c>
      <c r="S936">
        <v>3.0241090000000002</v>
      </c>
      <c r="T936">
        <v>-1.9788380000000001E-2</v>
      </c>
      <c r="U936">
        <v>0.30438229999999999</v>
      </c>
      <c r="V936">
        <v>-5.9949420000000003E-2</v>
      </c>
      <c r="W936">
        <v>0.15756220000000001</v>
      </c>
      <c r="X936">
        <v>0.98568769999999994</v>
      </c>
      <c r="Y936">
        <v>-9.9129540000000002E-2</v>
      </c>
      <c r="Z936">
        <v>7.4730779999999995E-4</v>
      </c>
      <c r="AA936">
        <v>0.99507429999999997</v>
      </c>
      <c r="AB936">
        <v>35</v>
      </c>
      <c r="AC936">
        <v>147.6721</v>
      </c>
      <c r="AD936">
        <v>-0.96749805</v>
      </c>
      <c r="AE936">
        <v>14.8806999999999</v>
      </c>
      <c r="AF936">
        <v>-14.729946675945101</v>
      </c>
      <c r="AG936">
        <v>-0.96749805</v>
      </c>
      <c r="AH936">
        <v>147.680875661644</v>
      </c>
      <c r="AI936">
        <v>90.373501821756506</v>
      </c>
      <c r="AJ936">
        <v>95.695941744384697</v>
      </c>
      <c r="AK936">
        <v>148.41680638574201</v>
      </c>
      <c r="AL936">
        <v>80.934574287934296</v>
      </c>
      <c r="AM936">
        <v>93.480435932079104</v>
      </c>
      <c r="AN936">
        <v>1.00000001087923</v>
      </c>
    </row>
    <row r="937" spans="1:40" x14ac:dyDescent="0.25">
      <c r="A937" t="str">
        <f>"20190304155612232"</f>
        <v>20190304155612232</v>
      </c>
      <c r="B937" t="str">
        <f>"1551686172225445"</f>
        <v>1551686172225445</v>
      </c>
      <c r="C937" t="s">
        <v>40</v>
      </c>
      <c r="D937">
        <v>4.2020600000000004</v>
      </c>
      <c r="E937">
        <v>0.4833654</v>
      </c>
      <c r="F937" t="s">
        <v>47</v>
      </c>
      <c r="G937">
        <v>-179.93879999999999</v>
      </c>
      <c r="H937">
        <v>0.1859828</v>
      </c>
      <c r="I937">
        <v>379.69400000000002</v>
      </c>
      <c r="J937">
        <v>-305.6671</v>
      </c>
      <c r="K937">
        <v>1.0596909999999999</v>
      </c>
      <c r="L937">
        <v>367.0206</v>
      </c>
      <c r="M937">
        <v>0.99996200000000002</v>
      </c>
      <c r="N937">
        <v>-8.657494E-3</v>
      </c>
      <c r="O937">
        <v>1.016646E-3</v>
      </c>
      <c r="P937">
        <v>0.98702469999999998</v>
      </c>
      <c r="Q937">
        <v>0.1485794</v>
      </c>
      <c r="R937">
        <v>6.0881129999999999E-2</v>
      </c>
      <c r="S937">
        <v>3.0241389999999999</v>
      </c>
      <c r="T937">
        <v>-2.0979169999999998E-2</v>
      </c>
      <c r="U937">
        <v>0.30435180000000001</v>
      </c>
      <c r="V937">
        <v>-5.9871889999999997E-2</v>
      </c>
      <c r="W937">
        <v>0.15712190000000001</v>
      </c>
      <c r="X937">
        <v>0.98576269999999999</v>
      </c>
      <c r="Y937">
        <v>-9.9117999999999998E-2</v>
      </c>
      <c r="Z937">
        <v>7.7483439999999999E-4</v>
      </c>
      <c r="AA937">
        <v>0.99507540000000005</v>
      </c>
      <c r="AB937">
        <v>35</v>
      </c>
      <c r="AC937">
        <v>125.7283</v>
      </c>
      <c r="AD937">
        <v>-0.87370819999999905</v>
      </c>
      <c r="AE937">
        <v>12.673400000000001</v>
      </c>
      <c r="AF937">
        <v>-12.544967769183</v>
      </c>
      <c r="AG937">
        <v>-0.87370819999999905</v>
      </c>
      <c r="AH937">
        <v>125.735109056916</v>
      </c>
      <c r="AI937">
        <v>90.396163649521796</v>
      </c>
      <c r="AJ937">
        <v>95.697714908468797</v>
      </c>
      <c r="AK937">
        <v>126.36240434521299</v>
      </c>
      <c r="AL937">
        <v>80.9601198724895</v>
      </c>
      <c r="AM937">
        <v>93.475682064572098</v>
      </c>
      <c r="AN937">
        <v>1.00000001769153</v>
      </c>
    </row>
    <row r="938" spans="1:40" x14ac:dyDescent="0.25">
      <c r="A938" t="str">
        <f>"20190304155612243"</f>
        <v>20190304155612243</v>
      </c>
      <c r="B938" t="str">
        <f>"1551686172236182"</f>
        <v>1551686172236182</v>
      </c>
      <c r="C938" t="s">
        <v>40</v>
      </c>
      <c r="D938">
        <v>4.1951910000000003</v>
      </c>
      <c r="E938">
        <v>0.483377</v>
      </c>
      <c r="F938" t="s">
        <v>47</v>
      </c>
      <c r="G938">
        <v>-179.90450000000001</v>
      </c>
      <c r="H938">
        <v>0.1165341</v>
      </c>
      <c r="I938">
        <v>379.65969999999999</v>
      </c>
      <c r="J938">
        <v>-305.48649999999998</v>
      </c>
      <c r="K938">
        <v>1.059679</v>
      </c>
      <c r="L938">
        <v>367.02080000000001</v>
      </c>
      <c r="M938">
        <v>0.99996079999999998</v>
      </c>
      <c r="N938">
        <v>-8.7971769999999998E-3</v>
      </c>
      <c r="O938">
        <v>1.0166890000000001E-3</v>
      </c>
      <c r="P938">
        <v>0.98708680000000004</v>
      </c>
      <c r="Q938">
        <v>0.14829809999999999</v>
      </c>
      <c r="R938">
        <v>6.0560549999999998E-2</v>
      </c>
      <c r="S938">
        <v>3.0241389999999999</v>
      </c>
      <c r="T938">
        <v>-2.2676470000000001E-2</v>
      </c>
      <c r="U938">
        <v>0.30392459999999999</v>
      </c>
      <c r="V938">
        <v>-5.9550810000000003E-2</v>
      </c>
      <c r="W938">
        <v>0.156978799999999</v>
      </c>
      <c r="X938">
        <v>0.98580489999999998</v>
      </c>
      <c r="Y938">
        <v>-9.8978099999999999E-2</v>
      </c>
      <c r="Z938">
        <v>8.0795249999999997E-4</v>
      </c>
      <c r="AA938">
        <v>0.99508929999999995</v>
      </c>
      <c r="AB938">
        <v>35</v>
      </c>
      <c r="AC938">
        <v>125.581999999999</v>
      </c>
      <c r="AD938">
        <v>-0.94314489999999995</v>
      </c>
      <c r="AE938">
        <v>12.6388999999999</v>
      </c>
      <c r="AF938">
        <v>-12.510512135628501</v>
      </c>
      <c r="AG938">
        <v>-0.94314489999999995</v>
      </c>
      <c r="AH938">
        <v>125.587772922781</v>
      </c>
      <c r="AI938">
        <v>90.428155391592398</v>
      </c>
      <c r="AJ938">
        <v>95.688790746481502</v>
      </c>
      <c r="AK938">
        <v>126.21288026149401</v>
      </c>
      <c r="AL938">
        <v>80.968421503408607</v>
      </c>
      <c r="AM938">
        <v>93.456940429899106</v>
      </c>
      <c r="AN938">
        <v>0.99999997174255195</v>
      </c>
    </row>
    <row r="939" spans="1:40" x14ac:dyDescent="0.25">
      <c r="A939" t="str">
        <f>"20190304155612254"</f>
        <v>20190304155612254</v>
      </c>
      <c r="B939" t="str">
        <f>"1551686172245942"</f>
        <v>1551686172245942</v>
      </c>
      <c r="C939" t="s">
        <v>40</v>
      </c>
      <c r="D939">
        <v>4.3194699999999999</v>
      </c>
      <c r="E939">
        <v>0.4833035</v>
      </c>
      <c r="F939" t="s">
        <v>45</v>
      </c>
      <c r="G939">
        <v>-179.1395</v>
      </c>
      <c r="H939">
        <v>7.9988729999999994E-2</v>
      </c>
      <c r="I939">
        <v>379.69150000000002</v>
      </c>
      <c r="J939">
        <v>-305.33330000000001</v>
      </c>
      <c r="K939">
        <v>1.0596669999999999</v>
      </c>
      <c r="L939">
        <v>367.02080000000001</v>
      </c>
      <c r="M939">
        <v>0.99995990000000001</v>
      </c>
      <c r="N939">
        <v>-8.9107170000000003E-3</v>
      </c>
      <c r="O939">
        <v>1.01672E-3</v>
      </c>
      <c r="P939">
        <v>0.98715569999999997</v>
      </c>
      <c r="Q939">
        <v>0.1480195</v>
      </c>
      <c r="R939">
        <v>6.012025E-2</v>
      </c>
      <c r="S939">
        <v>3.0242</v>
      </c>
      <c r="T939">
        <v>-2.3449540000000001E-2</v>
      </c>
      <c r="U939">
        <v>0.30328369999999999</v>
      </c>
      <c r="V939">
        <v>-5.9110999999999997E-2</v>
      </c>
      <c r="W939">
        <v>0.15681249999999999</v>
      </c>
      <c r="X939">
        <v>0.98585780000000001</v>
      </c>
      <c r="Y939">
        <v>-9.8766960000000001E-2</v>
      </c>
      <c r="Z939">
        <v>8.2429379999999998E-4</v>
      </c>
      <c r="AA939">
        <v>0.9951103</v>
      </c>
      <c r="AB939">
        <v>35</v>
      </c>
      <c r="AC939">
        <v>126.1938</v>
      </c>
      <c r="AD939">
        <v>-0.97967826999999996</v>
      </c>
      <c r="AE939">
        <v>12.6707</v>
      </c>
      <c r="AF939">
        <v>-12.5416362889849</v>
      </c>
      <c r="AG939">
        <v>-0.97967826999999996</v>
      </c>
      <c r="AH939">
        <v>126.199087908294</v>
      </c>
      <c r="AI939">
        <v>90.442595663644695</v>
      </c>
      <c r="AJ939">
        <v>95.675406248269795</v>
      </c>
      <c r="AK939">
        <v>126.824533112499</v>
      </c>
      <c r="AL939">
        <v>80.9780689539203</v>
      </c>
      <c r="AM939">
        <v>93.431286886452796</v>
      </c>
      <c r="AN939">
        <v>0.99999993614904303</v>
      </c>
    </row>
    <row r="940" spans="1:40" x14ac:dyDescent="0.25">
      <c r="A940" t="str">
        <f>"20190304155612265"</f>
        <v>20190304155612265</v>
      </c>
      <c r="B940" t="str">
        <f>"1551686172255702"</f>
        <v>1551686172255702</v>
      </c>
      <c r="C940" t="s">
        <v>40</v>
      </c>
      <c r="D940">
        <v>4.2013749999999996</v>
      </c>
      <c r="E940">
        <v>0.48332389999999997</v>
      </c>
      <c r="F940" t="s">
        <v>45</v>
      </c>
      <c r="G940">
        <v>-181.99690000000001</v>
      </c>
      <c r="H940">
        <v>7.6722670000000007E-2</v>
      </c>
      <c r="I940">
        <v>379.33839999999998</v>
      </c>
      <c r="J940">
        <v>-305.14429999999999</v>
      </c>
      <c r="K940">
        <v>1.059652</v>
      </c>
      <c r="L940">
        <v>367.02109999999999</v>
      </c>
      <c r="M940">
        <v>0.99995869999999998</v>
      </c>
      <c r="N940">
        <v>-9.0414380000000006E-3</v>
      </c>
      <c r="O940">
        <v>1.0169650000000001E-3</v>
      </c>
      <c r="P940">
        <v>0.98723669999999997</v>
      </c>
      <c r="Q940">
        <v>0.14771090000000001</v>
      </c>
      <c r="R940">
        <v>5.9543459999999999E-2</v>
      </c>
      <c r="S940">
        <v>3.0242610000000001</v>
      </c>
      <c r="T940">
        <v>-2.4102209999999999E-2</v>
      </c>
      <c r="U940">
        <v>0.30203249999999998</v>
      </c>
      <c r="V940">
        <v>-5.8533500000000002E-2</v>
      </c>
      <c r="W940">
        <v>0.156634</v>
      </c>
      <c r="X940">
        <v>0.98592069999999998</v>
      </c>
      <c r="Y940">
        <v>-9.8356819999999998E-2</v>
      </c>
      <c r="Z940">
        <v>8.378134E-4</v>
      </c>
      <c r="AA940">
        <v>0.99515089999999995</v>
      </c>
      <c r="AB940">
        <v>35</v>
      </c>
      <c r="AC940">
        <v>123.147399999999</v>
      </c>
      <c r="AD940">
        <v>-0.98292933000000005</v>
      </c>
      <c r="AE940">
        <v>12.3172999999999</v>
      </c>
      <c r="AF940">
        <v>-12.191282937353799</v>
      </c>
      <c r="AG940">
        <v>-0.98292933000000005</v>
      </c>
      <c r="AH940">
        <v>123.152095025078</v>
      </c>
      <c r="AI940">
        <v>90.455068065355505</v>
      </c>
      <c r="AJ940">
        <v>95.653502223592994</v>
      </c>
      <c r="AK940">
        <v>123.75795747665001</v>
      </c>
      <c r="AL940">
        <v>80.988424828997907</v>
      </c>
      <c r="AM940">
        <v>93.397626713594704</v>
      </c>
      <c r="AN940">
        <v>1.0000000036333601</v>
      </c>
    </row>
    <row r="941" spans="1:40" x14ac:dyDescent="0.25">
      <c r="A941" t="str">
        <f>"20190304155612276"</f>
        <v>20190304155612276</v>
      </c>
      <c r="B941" t="str">
        <f>"1551686172265462"</f>
        <v>1551686172265462</v>
      </c>
      <c r="C941" t="s">
        <v>40</v>
      </c>
      <c r="D941">
        <v>4.1853910000000001</v>
      </c>
      <c r="E941">
        <v>0.4833305</v>
      </c>
      <c r="F941" t="s">
        <v>45</v>
      </c>
      <c r="G941">
        <v>-181.89709999999999</v>
      </c>
      <c r="H941">
        <v>4.7256920000000001E-2</v>
      </c>
      <c r="I941">
        <v>379.27589999999998</v>
      </c>
      <c r="J941">
        <v>-304.98239999999998</v>
      </c>
      <c r="K941">
        <v>1.059642</v>
      </c>
      <c r="L941">
        <v>367.02120000000002</v>
      </c>
      <c r="M941">
        <v>0.9999576</v>
      </c>
      <c r="N941">
        <v>-9.1458430000000007E-3</v>
      </c>
      <c r="O941">
        <v>1.0171430000000001E-3</v>
      </c>
      <c r="P941">
        <v>0.98727880000000001</v>
      </c>
      <c r="Q941">
        <v>0.14759140000000001</v>
      </c>
      <c r="R941">
        <v>5.9138009999999998E-2</v>
      </c>
      <c r="S941">
        <v>3.0243530000000001</v>
      </c>
      <c r="T941">
        <v>-2.48431E-2</v>
      </c>
      <c r="U941">
        <v>0.30072019999999999</v>
      </c>
      <c r="V941">
        <v>-5.8127459999999999E-2</v>
      </c>
      <c r="W941">
        <v>0.1566176</v>
      </c>
      <c r="X941">
        <v>0.98594729999999997</v>
      </c>
      <c r="Y941">
        <v>-9.7925789999999999E-2</v>
      </c>
      <c r="Z941">
        <v>8.5108190000000004E-4</v>
      </c>
      <c r="AA941">
        <v>0.99519340000000001</v>
      </c>
      <c r="AB941">
        <v>35</v>
      </c>
      <c r="AC941">
        <v>123.0853</v>
      </c>
      <c r="AD941">
        <v>-1.01238508</v>
      </c>
      <c r="AE941">
        <v>12.2546999999999</v>
      </c>
      <c r="AF941">
        <v>-12.128680592436099</v>
      </c>
      <c r="AG941">
        <v>-1.01238508</v>
      </c>
      <c r="AH941">
        <v>123.08945614519401</v>
      </c>
      <c r="AI941">
        <v>90.468964157337098</v>
      </c>
      <c r="AJ941">
        <v>95.627502030517704</v>
      </c>
      <c r="AK941">
        <v>123.689708668843</v>
      </c>
      <c r="AL941">
        <v>80.989375973570802</v>
      </c>
      <c r="AM941">
        <v>93.374021599097503</v>
      </c>
      <c r="AN941">
        <v>0.99999997630655002</v>
      </c>
    </row>
    <row r="942" spans="1:40" x14ac:dyDescent="0.25">
      <c r="A942" t="str">
        <f>"20190304155612286"</f>
        <v>20190304155612286</v>
      </c>
      <c r="B942" t="str">
        <f>"1551686172276198"</f>
        <v>1551686172276198</v>
      </c>
      <c r="C942" t="s">
        <v>40</v>
      </c>
      <c r="D942">
        <v>4.1784549999999996</v>
      </c>
      <c r="E942">
        <v>0.48337289999999999</v>
      </c>
      <c r="F942" t="s">
        <v>45</v>
      </c>
      <c r="G942">
        <v>-181.81190000000001</v>
      </c>
      <c r="H942">
        <v>4.6693449999999997E-2</v>
      </c>
      <c r="I942">
        <v>379.22840000000002</v>
      </c>
      <c r="J942">
        <v>-304.8073</v>
      </c>
      <c r="K942">
        <v>1.0596299999999901</v>
      </c>
      <c r="L942">
        <v>367.02140000000003</v>
      </c>
      <c r="M942">
        <v>0.99995679999999998</v>
      </c>
      <c r="N942">
        <v>-9.2536890000000007E-3</v>
      </c>
      <c r="O942">
        <v>1.017181E-3</v>
      </c>
      <c r="P942">
        <v>0.98736330000000005</v>
      </c>
      <c r="Q942">
        <v>0.14730279999999901</v>
      </c>
      <c r="R942">
        <v>5.8446280000000003E-2</v>
      </c>
      <c r="S942">
        <v>3.0244140000000002</v>
      </c>
      <c r="T942">
        <v>-2.4872660000000001E-2</v>
      </c>
      <c r="U942">
        <v>0.2997437</v>
      </c>
      <c r="V942">
        <v>-5.7436149999999998E-2</v>
      </c>
      <c r="W942">
        <v>0.156436299999999</v>
      </c>
      <c r="X942">
        <v>0.98601660000000002</v>
      </c>
      <c r="Y942">
        <v>-9.7605520000000001E-2</v>
      </c>
      <c r="Z942">
        <v>8.5414490000000002E-4</v>
      </c>
      <c r="AA942">
        <v>0.99522480000000002</v>
      </c>
      <c r="AB942">
        <v>35</v>
      </c>
      <c r="AC942">
        <v>122.9954</v>
      </c>
      <c r="AD942">
        <v>-1.0129365499999901</v>
      </c>
      <c r="AE942">
        <v>12.206999999999899</v>
      </c>
      <c r="AF942">
        <v>-12.081068359938699</v>
      </c>
      <c r="AG942">
        <v>-1.0129365499999901</v>
      </c>
      <c r="AH942">
        <v>122.999492613795</v>
      </c>
      <c r="AI942">
        <v>90.469577192536207</v>
      </c>
      <c r="AJ942">
        <v>95.609625572370405</v>
      </c>
      <c r="AK942">
        <v>123.595523529061</v>
      </c>
      <c r="AL942">
        <v>80.999893385033602</v>
      </c>
      <c r="AM942">
        <v>93.333751621074896</v>
      </c>
      <c r="AN942">
        <v>0.99999998138003598</v>
      </c>
    </row>
    <row r="943" spans="1:40" x14ac:dyDescent="0.25">
      <c r="A943" t="str">
        <f>"20190304155612298"</f>
        <v>20190304155612298</v>
      </c>
      <c r="B943" t="str">
        <f>"1551686172295718"</f>
        <v>1551686172295718</v>
      </c>
      <c r="C943" t="s">
        <v>40</v>
      </c>
      <c r="D943">
        <v>4.1853360000000004</v>
      </c>
      <c r="E943">
        <v>0.48338730000000002</v>
      </c>
      <c r="F943" t="s">
        <v>45</v>
      </c>
      <c r="G943">
        <v>-181.64689999999999</v>
      </c>
      <c r="H943">
        <v>2.5499170000000002E-2</v>
      </c>
      <c r="I943">
        <v>379.13639999999998</v>
      </c>
      <c r="J943">
        <v>-304.64339999999999</v>
      </c>
      <c r="K943">
        <v>1.0596190000000001</v>
      </c>
      <c r="L943">
        <v>367.0215</v>
      </c>
      <c r="M943">
        <v>0.99995590000000001</v>
      </c>
      <c r="N943">
        <v>-9.3459509999999999E-3</v>
      </c>
      <c r="O943">
        <v>1.0174050000000001E-3</v>
      </c>
      <c r="P943">
        <v>0.98741730000000005</v>
      </c>
      <c r="Q943">
        <v>0.14714379999999999</v>
      </c>
      <c r="R943">
        <v>5.7931059999999999E-2</v>
      </c>
      <c r="S943">
        <v>3.0245359999999999</v>
      </c>
      <c r="T943">
        <v>-2.5395870000000001E-2</v>
      </c>
      <c r="U943">
        <v>0.2975159</v>
      </c>
      <c r="V943">
        <v>-5.6920499999999999E-2</v>
      </c>
      <c r="W943">
        <v>0.15636889999999901</v>
      </c>
      <c r="X943">
        <v>0.98605719999999997</v>
      </c>
      <c r="Y943">
        <v>-9.6875180000000005E-2</v>
      </c>
      <c r="Z943">
        <v>8.6050160000000005E-4</v>
      </c>
      <c r="AA943">
        <v>0.99529619999999996</v>
      </c>
      <c r="AB943">
        <v>35</v>
      </c>
      <c r="AC943">
        <v>122.9965</v>
      </c>
      <c r="AD943">
        <v>-1.0341198300000001</v>
      </c>
      <c r="AE943">
        <v>12.114899999999899</v>
      </c>
      <c r="AF943">
        <v>-11.9889116716984</v>
      </c>
      <c r="AG943">
        <v>-1.0341198300000001</v>
      </c>
      <c r="AH943">
        <v>123.000151333769</v>
      </c>
      <c r="AI943">
        <v>90.4794291531271</v>
      </c>
      <c r="AJ943">
        <v>95.567074494303995</v>
      </c>
      <c r="AK943">
        <v>123.587380565431</v>
      </c>
      <c r="AL943">
        <v>81.003803306263094</v>
      </c>
      <c r="AM943">
        <v>93.303752749565206</v>
      </c>
      <c r="AN943">
        <v>0.99999998893964903</v>
      </c>
    </row>
    <row r="944" spans="1:40" x14ac:dyDescent="0.25">
      <c r="A944" t="str">
        <f>"20190304155612308"</f>
        <v>20190304155612308</v>
      </c>
      <c r="B944" t="str">
        <f>"1551686172305478"</f>
        <v>1551686172305478</v>
      </c>
      <c r="C944" t="s">
        <v>40</v>
      </c>
      <c r="D944">
        <v>4.2336169999999997</v>
      </c>
      <c r="E944">
        <v>0.48344480000000001</v>
      </c>
      <c r="F944" t="s">
        <v>45</v>
      </c>
      <c r="G944">
        <v>-181.5119</v>
      </c>
      <c r="H944">
        <v>3.5731430000000002E-2</v>
      </c>
      <c r="I944">
        <v>379.06110000000001</v>
      </c>
      <c r="J944">
        <v>-304.47609999999997</v>
      </c>
      <c r="K944">
        <v>1.059609</v>
      </c>
      <c r="L944">
        <v>367.02170000000001</v>
      </c>
      <c r="M944">
        <v>0.99995489999999998</v>
      </c>
      <c r="N944">
        <v>-9.4375780000000003E-3</v>
      </c>
      <c r="O944">
        <v>1.017628E-3</v>
      </c>
      <c r="P944">
        <v>0.98747750000000001</v>
      </c>
      <c r="Q944">
        <v>0.14696039999999999</v>
      </c>
      <c r="R944">
        <v>5.7363629999999999E-2</v>
      </c>
      <c r="S944">
        <v>3.0246580000000001</v>
      </c>
      <c r="T944">
        <v>-2.515125E-2</v>
      </c>
      <c r="U944">
        <v>0.2957458</v>
      </c>
      <c r="V944">
        <v>-5.6352399999999997E-2</v>
      </c>
      <c r="W944">
        <v>0.1562761</v>
      </c>
      <c r="X944">
        <v>0.98610450000000005</v>
      </c>
      <c r="Y944">
        <v>-9.6294229999999995E-2</v>
      </c>
      <c r="Z944">
        <v>8.5604319999999998E-4</v>
      </c>
      <c r="AA944">
        <v>0.99535260000000003</v>
      </c>
      <c r="AB944">
        <v>35</v>
      </c>
      <c r="AC944">
        <v>122.964199999999</v>
      </c>
      <c r="AD944">
        <v>-1.02387757</v>
      </c>
      <c r="AE944">
        <v>12.039400000000001</v>
      </c>
      <c r="AF944">
        <v>-11.913438224950101</v>
      </c>
      <c r="AG944">
        <v>-1.02387757</v>
      </c>
      <c r="AH944">
        <v>122.967943745771</v>
      </c>
      <c r="AI944">
        <v>90.474832157688795</v>
      </c>
      <c r="AJ944">
        <v>95.533686358671901</v>
      </c>
      <c r="AK944">
        <v>123.547940187934</v>
      </c>
      <c r="AL944">
        <v>81.009186170652498</v>
      </c>
      <c r="AM944">
        <v>93.2706947590151</v>
      </c>
      <c r="AN944">
        <v>0.99999994866860797</v>
      </c>
    </row>
    <row r="945" spans="1:40" x14ac:dyDescent="0.25">
      <c r="A945" t="str">
        <f>"20190304155612320"</f>
        <v>20190304155612320</v>
      </c>
      <c r="B945" t="str">
        <f>"1551686172316215"</f>
        <v>1551686172316215</v>
      </c>
      <c r="C945" t="s">
        <v>40</v>
      </c>
      <c r="D945">
        <v>4.1966020000000004</v>
      </c>
      <c r="E945">
        <v>0.48344480000000001</v>
      </c>
      <c r="F945" t="s">
        <v>45</v>
      </c>
      <c r="G945">
        <v>-181.3638</v>
      </c>
      <c r="H945">
        <v>2.7084270000000001E-2</v>
      </c>
      <c r="I945">
        <v>378.9785</v>
      </c>
      <c r="J945">
        <v>-304.29669999999999</v>
      </c>
      <c r="K945">
        <v>1.0595969999999999</v>
      </c>
      <c r="L945">
        <v>367.02190000000002</v>
      </c>
      <c r="M945">
        <v>0.99995420000000002</v>
      </c>
      <c r="N945">
        <v>-9.5256620000000007E-3</v>
      </c>
      <c r="O945">
        <v>1.0179239999999999E-3</v>
      </c>
      <c r="P945">
        <v>0.98755079999999995</v>
      </c>
      <c r="Q945">
        <v>0.1466961</v>
      </c>
      <c r="R945">
        <v>5.6777590000000003E-2</v>
      </c>
      <c r="S945">
        <v>3.024689</v>
      </c>
      <c r="T945">
        <v>-2.536762E-2</v>
      </c>
      <c r="U945">
        <v>0.29376219999999997</v>
      </c>
      <c r="V945">
        <v>-5.5766200000000002E-2</v>
      </c>
      <c r="W945">
        <v>0.1560995</v>
      </c>
      <c r="X945">
        <v>0.98616579999999998</v>
      </c>
      <c r="Y945">
        <v>-9.5646220000000004E-2</v>
      </c>
      <c r="Z945">
        <v>8.5793759999999903E-4</v>
      </c>
      <c r="AA945">
        <v>0.99541500000000005</v>
      </c>
      <c r="AB945">
        <v>35</v>
      </c>
      <c r="AC945">
        <v>122.9329</v>
      </c>
      <c r="AD945">
        <v>-1.0325127300000001</v>
      </c>
      <c r="AE945">
        <v>11.9565999999999</v>
      </c>
      <c r="AF945">
        <v>-11.8306250407286</v>
      </c>
      <c r="AG945">
        <v>-1.0325127300000001</v>
      </c>
      <c r="AH945">
        <v>122.93641671823499</v>
      </c>
      <c r="AI945">
        <v>90.478989121460899</v>
      </c>
      <c r="AJ945">
        <v>95.496857341031898</v>
      </c>
      <c r="AK945">
        <v>123.50867308376201</v>
      </c>
      <c r="AL945">
        <v>81.019430377061695</v>
      </c>
      <c r="AM945">
        <v>93.236543646290599</v>
      </c>
      <c r="AN945">
        <v>0.99999995402616304</v>
      </c>
    </row>
    <row r="946" spans="1:40" x14ac:dyDescent="0.25">
      <c r="A946" t="str">
        <f>"20190304155612333"</f>
        <v>20190304155612333</v>
      </c>
      <c r="B946" t="str">
        <f>"1551686172325973"</f>
        <v>1551686172325973</v>
      </c>
      <c r="C946" t="s">
        <v>40</v>
      </c>
      <c r="D946">
        <v>4.2673040000000002</v>
      </c>
      <c r="E946">
        <v>0.50376520000000002</v>
      </c>
      <c r="F946" t="s">
        <v>45</v>
      </c>
      <c r="G946">
        <v>-181.57140000000001</v>
      </c>
      <c r="H946" s="1">
        <v>-5.9628949999999998E-6</v>
      </c>
      <c r="I946">
        <v>378.8784</v>
      </c>
      <c r="J946">
        <v>-304.09640000000002</v>
      </c>
      <c r="K946">
        <v>1.0595859999999999</v>
      </c>
      <c r="L946">
        <v>367.02210000000002</v>
      </c>
      <c r="M946">
        <v>0.99995319999999999</v>
      </c>
      <c r="N946">
        <v>-9.620043E-3</v>
      </c>
      <c r="O946">
        <v>1.0181249999999999E-3</v>
      </c>
      <c r="P946">
        <v>0.98760409999999998</v>
      </c>
      <c r="Q946">
        <v>0.1465166</v>
      </c>
      <c r="R946">
        <v>5.6312639999999997E-2</v>
      </c>
      <c r="S946">
        <v>3.024902</v>
      </c>
      <c r="T946">
        <v>-2.611685E-2</v>
      </c>
      <c r="U946">
        <v>0.2922363</v>
      </c>
      <c r="V946">
        <v>-5.530094E-2</v>
      </c>
      <c r="W946">
        <v>0.15601329999999999</v>
      </c>
      <c r="X946">
        <v>0.98620569999999996</v>
      </c>
      <c r="Y946">
        <v>-9.514148E-2</v>
      </c>
      <c r="Z946">
        <v>8.6948799999999997E-4</v>
      </c>
      <c r="AA946">
        <v>0.9954634</v>
      </c>
      <c r="AB946">
        <v>35</v>
      </c>
      <c r="AC946">
        <v>122.52500000000001</v>
      </c>
      <c r="AD946">
        <v>-1.0595919628949999</v>
      </c>
      <c r="AE946">
        <v>11.8562999999999</v>
      </c>
      <c r="AF946">
        <v>-11.7306731483032</v>
      </c>
      <c r="AG946">
        <v>-1.0595919628949999</v>
      </c>
      <c r="AH946">
        <v>122.52792971996</v>
      </c>
      <c r="AI946">
        <v>90.493212618065698</v>
      </c>
      <c r="AJ946">
        <v>95.468759317509694</v>
      </c>
      <c r="AK946">
        <v>123.092749539116</v>
      </c>
      <c r="AL946">
        <v>81.024431070443299</v>
      </c>
      <c r="AM946">
        <v>93.209468120547896</v>
      </c>
      <c r="AN946">
        <v>1.0000000132271301</v>
      </c>
    </row>
    <row r="947" spans="1:40" x14ac:dyDescent="0.25">
      <c r="A947" t="str">
        <f>"20190304155612347"</f>
        <v>20190304155612347</v>
      </c>
      <c r="B947" t="str">
        <f>"1551686172335733"</f>
        <v>1551686172335733</v>
      </c>
      <c r="C947" t="s">
        <v>40</v>
      </c>
      <c r="D947">
        <v>4.1409770000000004</v>
      </c>
      <c r="E947">
        <v>0.50800459999999903</v>
      </c>
      <c r="F947" t="s">
        <v>41</v>
      </c>
      <c r="G947">
        <v>-265.54809999999998</v>
      </c>
      <c r="H947" s="1">
        <v>-2.0648039999999998E-6</v>
      </c>
      <c r="I947">
        <v>368.6431</v>
      </c>
      <c r="J947">
        <v>-303.86540000000002</v>
      </c>
      <c r="K947">
        <v>1.059569</v>
      </c>
      <c r="L947">
        <v>367.02229999999997</v>
      </c>
      <c r="M947">
        <v>0.99995230000000002</v>
      </c>
      <c r="N947">
        <v>-9.719353E-3</v>
      </c>
      <c r="O947">
        <v>1.0182979999999999E-3</v>
      </c>
      <c r="P947">
        <v>0.98768160000000005</v>
      </c>
      <c r="Q947">
        <v>0.1462252</v>
      </c>
      <c r="R947">
        <v>5.5708220000000003E-2</v>
      </c>
      <c r="S947">
        <v>3.0427550000000001</v>
      </c>
      <c r="T947">
        <v>-8.3636879999999997E-2</v>
      </c>
      <c r="U947">
        <v>0.1279602</v>
      </c>
      <c r="V947">
        <v>-5.4696460000000002E-2</v>
      </c>
      <c r="W947">
        <v>0.15582070000000001</v>
      </c>
      <c r="X947">
        <v>0.98626979999999997</v>
      </c>
      <c r="Y947">
        <v>-4.0978689999999998E-2</v>
      </c>
      <c r="Z947">
        <v>7.4404639999999997E-4</v>
      </c>
      <c r="AA947">
        <v>0.99915980000000004</v>
      </c>
      <c r="AB947">
        <v>35</v>
      </c>
      <c r="AC947">
        <v>38.317300000000003</v>
      </c>
      <c r="AD947">
        <v>-1.059571064804</v>
      </c>
      <c r="AE947">
        <v>1.62080000000003</v>
      </c>
      <c r="AF947">
        <v>-1.5805724411142501</v>
      </c>
      <c r="AG947">
        <v>-1.059571064804</v>
      </c>
      <c r="AH947">
        <v>38.289704219726097</v>
      </c>
      <c r="AI947">
        <v>91.583763683253807</v>
      </c>
      <c r="AJ947">
        <v>92.363788043683797</v>
      </c>
      <c r="AK947">
        <v>38.336958008129599</v>
      </c>
      <c r="AL947">
        <v>81.035602348033507</v>
      </c>
      <c r="AM947">
        <v>93.174252521405293</v>
      </c>
      <c r="AN947">
        <v>0.99999995583852896</v>
      </c>
    </row>
    <row r="948" spans="1:40" x14ac:dyDescent="0.25">
      <c r="A948" t="str">
        <f>"20190304155612361"</f>
        <v>20190304155612361</v>
      </c>
      <c r="B948" t="str">
        <f>"1551686172355255"</f>
        <v>1551686172355255</v>
      </c>
      <c r="C948" t="s">
        <v>40</v>
      </c>
      <c r="D948">
        <v>4.2394990000000004</v>
      </c>
      <c r="E948">
        <v>0.51074189999999997</v>
      </c>
      <c r="F948" t="s">
        <v>41</v>
      </c>
      <c r="G948">
        <v>-277.59530000000001</v>
      </c>
      <c r="H948" s="1">
        <v>-1.3337809999999999E-6</v>
      </c>
      <c r="I948">
        <v>367.81299999999999</v>
      </c>
      <c r="J948">
        <v>-303.66980000000001</v>
      </c>
      <c r="K948">
        <v>1.0595619999999999</v>
      </c>
      <c r="L948">
        <v>367.02249999999998</v>
      </c>
      <c r="M948">
        <v>0.9999517</v>
      </c>
      <c r="N948">
        <v>-9.7950050000000007E-3</v>
      </c>
      <c r="O948">
        <v>1.0182850000000001E-3</v>
      </c>
      <c r="P948">
        <v>0.98772280000000001</v>
      </c>
      <c r="Q948">
        <v>0.14607149999999999</v>
      </c>
      <c r="R948">
        <v>5.5382489999999999E-2</v>
      </c>
      <c r="S948">
        <v>3.050446</v>
      </c>
      <c r="T948">
        <v>-0.1230353</v>
      </c>
      <c r="U948">
        <v>9.1827389999999995E-2</v>
      </c>
      <c r="V948">
        <v>-5.437123E-2</v>
      </c>
      <c r="W948">
        <v>0.15574199999999999</v>
      </c>
      <c r="X948">
        <v>0.98630019999999996</v>
      </c>
      <c r="Y948">
        <v>-2.904257E-2</v>
      </c>
      <c r="Z948">
        <v>6.9659219999999996E-4</v>
      </c>
      <c r="AA948">
        <v>0.99957790000000002</v>
      </c>
      <c r="AB948">
        <v>35</v>
      </c>
      <c r="AC948">
        <v>26.0745</v>
      </c>
      <c r="AD948">
        <v>-1.059563333781</v>
      </c>
      <c r="AE948">
        <v>0.79050000000006504</v>
      </c>
      <c r="AF948">
        <v>-0.76268878960243602</v>
      </c>
      <c r="AG948">
        <v>-1.059563333781</v>
      </c>
      <c r="AH948">
        <v>26.032344144420101</v>
      </c>
      <c r="AI948">
        <v>92.329756441665097</v>
      </c>
      <c r="AJ948">
        <v>91.678156674709101</v>
      </c>
      <c r="AK948">
        <v>26.065059184694</v>
      </c>
      <c r="AL948">
        <v>81.040167139314406</v>
      </c>
      <c r="AM948">
        <v>93.155319328166897</v>
      </c>
      <c r="AN948">
        <v>0.99999994286787397</v>
      </c>
    </row>
    <row r="949" spans="1:40" x14ac:dyDescent="0.25">
      <c r="A949" t="str">
        <f>"20190304155612376"</f>
        <v>20190304155612376</v>
      </c>
      <c r="B949" t="str">
        <f>"1551686172365990"</f>
        <v>1551686172365990</v>
      </c>
      <c r="C949" t="s">
        <v>40</v>
      </c>
      <c r="D949">
        <v>4.2527730000000004</v>
      </c>
      <c r="E949">
        <v>0.51116539999999999</v>
      </c>
      <c r="F949" t="s">
        <v>41</v>
      </c>
      <c r="G949">
        <v>-279.74790000000002</v>
      </c>
      <c r="H949" s="1">
        <v>-6.1775050000000005E-7</v>
      </c>
      <c r="I949">
        <v>367.56470000000002</v>
      </c>
      <c r="J949">
        <v>-303.42259999999999</v>
      </c>
      <c r="K949">
        <v>1.0595509999999999</v>
      </c>
      <c r="L949">
        <v>367.02269999999999</v>
      </c>
      <c r="M949">
        <v>0.99995060000000002</v>
      </c>
      <c r="N949">
        <v>-9.8842600000000006E-3</v>
      </c>
      <c r="O949">
        <v>1.018499E-3</v>
      </c>
      <c r="P949">
        <v>0.98786470000000004</v>
      </c>
      <c r="Q949">
        <v>0.14544299999999999</v>
      </c>
      <c r="R949">
        <v>5.4496549999999998E-2</v>
      </c>
      <c r="S949">
        <v>3.0534059999999998</v>
      </c>
      <c r="T949">
        <v>-0.13524249999999999</v>
      </c>
      <c r="U949">
        <v>6.9213869999999997E-2</v>
      </c>
      <c r="V949">
        <v>-5.3484579999999997E-2</v>
      </c>
      <c r="W949">
        <v>0.1552027</v>
      </c>
      <c r="X949">
        <v>0.98643369999999997</v>
      </c>
      <c r="Y949">
        <v>-2.1618330000000002E-2</v>
      </c>
      <c r="Z949">
        <v>5.503665E-4</v>
      </c>
      <c r="AA949">
        <v>0.99976620000000005</v>
      </c>
      <c r="AB949">
        <v>35</v>
      </c>
      <c r="AC949">
        <v>23.674699999999898</v>
      </c>
      <c r="AD949">
        <v>-1.0595516177505</v>
      </c>
      <c r="AE949">
        <v>0.54200000000003001</v>
      </c>
      <c r="AF949">
        <v>-0.51685118478354497</v>
      </c>
      <c r="AG949">
        <v>-1.0595516177505</v>
      </c>
      <c r="AH949">
        <v>23.6279384227437</v>
      </c>
      <c r="AI949">
        <v>92.566990874674602</v>
      </c>
      <c r="AJ949">
        <v>91.253121158616693</v>
      </c>
      <c r="AK949">
        <v>23.657329918797998</v>
      </c>
      <c r="AL949">
        <v>81.071447279435404</v>
      </c>
      <c r="AM949">
        <v>93.103546661501198</v>
      </c>
      <c r="AN949">
        <v>0.99999996144037695</v>
      </c>
    </row>
    <row r="950" spans="1:40" x14ac:dyDescent="0.25">
      <c r="A950" t="str">
        <f>"20190304155612387"</f>
        <v>20190304155612387</v>
      </c>
      <c r="B950" t="str">
        <f>"1551686172375749"</f>
        <v>1551686172375749</v>
      </c>
      <c r="C950" t="s">
        <v>40</v>
      </c>
      <c r="D950">
        <v>4.3216330000000003</v>
      </c>
      <c r="E950">
        <v>0.51105559999999906</v>
      </c>
      <c r="F950" t="s">
        <v>44</v>
      </c>
      <c r="G950">
        <v>-279.45420000000001</v>
      </c>
      <c r="H950">
        <v>-0.05</v>
      </c>
      <c r="I950">
        <v>367.5213</v>
      </c>
      <c r="J950">
        <v>-303.24770000000001</v>
      </c>
      <c r="K950">
        <v>1.059545</v>
      </c>
      <c r="L950">
        <v>367.02289999999999</v>
      </c>
      <c r="M950">
        <v>0.99995020000000001</v>
      </c>
      <c r="N950">
        <v>-9.9428260000000001E-3</v>
      </c>
      <c r="O950">
        <v>1.0185649999999999E-3</v>
      </c>
      <c r="P950">
        <v>0.98795290000000002</v>
      </c>
      <c r="Q950">
        <v>0.14502079999999901</v>
      </c>
      <c r="R950">
        <v>5.4020810000000002E-2</v>
      </c>
      <c r="S950">
        <v>3.0541689999999999</v>
      </c>
      <c r="T950">
        <v>-0.14138439999999999</v>
      </c>
      <c r="U950">
        <v>6.35376E-2</v>
      </c>
      <c r="V950">
        <v>-5.3008319999999998E-2</v>
      </c>
      <c r="W950">
        <v>0.15483949999999999</v>
      </c>
      <c r="X950">
        <v>0.98651650000000002</v>
      </c>
      <c r="Y950">
        <v>-1.975563E-2</v>
      </c>
      <c r="Z950">
        <v>5.1826369999999995E-4</v>
      </c>
      <c r="AA950">
        <v>0.99980469999999999</v>
      </c>
      <c r="AB950">
        <v>35</v>
      </c>
      <c r="AC950">
        <v>23.793499999999899</v>
      </c>
      <c r="AD950">
        <v>-1.109545</v>
      </c>
      <c r="AE950">
        <v>0.49840000000000301</v>
      </c>
      <c r="AF950">
        <v>-0.47313490747570103</v>
      </c>
      <c r="AG950">
        <v>-1.109545</v>
      </c>
      <c r="AH950">
        <v>23.742388517190602</v>
      </c>
      <c r="AI950">
        <v>92.675107232314204</v>
      </c>
      <c r="AJ950">
        <v>91.141630957583203</v>
      </c>
      <c r="AK950">
        <v>23.773009049106999</v>
      </c>
      <c r="AL950">
        <v>81.092511908101002</v>
      </c>
      <c r="AM950">
        <v>93.075706382300297</v>
      </c>
      <c r="AN950">
        <v>0.999999978760861</v>
      </c>
    </row>
    <row r="951" spans="1:40" x14ac:dyDescent="0.25">
      <c r="A951" t="str">
        <f>"20190304155612400"</f>
        <v>20190304155612400</v>
      </c>
      <c r="B951" t="str">
        <f>"1551686172395269"</f>
        <v>1551686172395269</v>
      </c>
      <c r="C951" t="s">
        <v>40</v>
      </c>
      <c r="D951">
        <v>4.3430030000000004</v>
      </c>
      <c r="E951">
        <v>0.5108589</v>
      </c>
      <c r="F951" t="s">
        <v>44</v>
      </c>
      <c r="G951">
        <v>-279.98450000000003</v>
      </c>
      <c r="H951">
        <v>-0.05</v>
      </c>
      <c r="I951">
        <v>367.50189999999998</v>
      </c>
      <c r="J951">
        <v>-303.06630000000001</v>
      </c>
      <c r="K951">
        <v>1.0595399999999999</v>
      </c>
      <c r="L951">
        <v>367.02300000000002</v>
      </c>
      <c r="M951">
        <v>0.99994959999999999</v>
      </c>
      <c r="N951">
        <v>-9.9979219999999994E-3</v>
      </c>
      <c r="O951">
        <v>1.0187670000000001E-3</v>
      </c>
      <c r="P951">
        <v>0.98796669999999998</v>
      </c>
      <c r="Q951">
        <v>0.14496919999999999</v>
      </c>
      <c r="R951">
        <v>5.3906780000000001E-2</v>
      </c>
      <c r="S951">
        <v>3.054535</v>
      </c>
      <c r="T951">
        <v>-0.14568719999999999</v>
      </c>
      <c r="U951">
        <v>6.2896729999999998E-2</v>
      </c>
      <c r="V951">
        <v>-5.2894450000000003E-2</v>
      </c>
      <c r="W951">
        <v>0.15484229999999999</v>
      </c>
      <c r="X951">
        <v>0.98652220000000002</v>
      </c>
      <c r="Y951">
        <v>-1.954214E-2</v>
      </c>
      <c r="Z951">
        <v>5.2511400000000003E-4</v>
      </c>
      <c r="AA951">
        <v>0.9998089</v>
      </c>
      <c r="AB951">
        <v>35</v>
      </c>
      <c r="AC951">
        <v>23.081799999999902</v>
      </c>
      <c r="AD951">
        <v>-1.10954</v>
      </c>
      <c r="AE951">
        <v>0.47889999999995297</v>
      </c>
      <c r="AF951">
        <v>-0.45433421667546398</v>
      </c>
      <c r="AG951">
        <v>-1.10954</v>
      </c>
      <c r="AH951">
        <v>23.029085153380102</v>
      </c>
      <c r="AI951">
        <v>92.757838516351299</v>
      </c>
      <c r="AJ951">
        <v>91.130225381618999</v>
      </c>
      <c r="AK951">
        <v>23.060274534221701</v>
      </c>
      <c r="AL951">
        <v>81.092349765163206</v>
      </c>
      <c r="AM951">
        <v>93.069094239211793</v>
      </c>
      <c r="AN951">
        <v>1.00000000590146</v>
      </c>
    </row>
    <row r="952" spans="1:40" x14ac:dyDescent="0.25">
      <c r="A952" t="str">
        <f>"20190304155612411"</f>
        <v>20190304155612411</v>
      </c>
      <c r="B952" t="str">
        <f>"1551686172406006"</f>
        <v>1551686172406006</v>
      </c>
      <c r="C952" t="s">
        <v>40</v>
      </c>
      <c r="D952">
        <v>4.2585519999999999</v>
      </c>
      <c r="E952">
        <v>0.51105599999999995</v>
      </c>
      <c r="F952" t="s">
        <v>44</v>
      </c>
      <c r="G952">
        <v>-280.51150000000001</v>
      </c>
      <c r="H952">
        <v>-0.05</v>
      </c>
      <c r="I952">
        <v>367.49529999999999</v>
      </c>
      <c r="J952">
        <v>-302.87240000000003</v>
      </c>
      <c r="K952">
        <v>1.0595349999999999</v>
      </c>
      <c r="L952">
        <v>367.02319999999997</v>
      </c>
      <c r="M952">
        <v>0.99994899999999998</v>
      </c>
      <c r="N952">
        <v>-1.005436E-2</v>
      </c>
      <c r="O952">
        <v>1.0190189999999999E-3</v>
      </c>
      <c r="P952">
        <v>0.98799749999999997</v>
      </c>
      <c r="Q952">
        <v>0.14489859999999999</v>
      </c>
      <c r="R952">
        <v>5.353111E-2</v>
      </c>
      <c r="S952">
        <v>3.0551149999999998</v>
      </c>
      <c r="T952">
        <v>-0.1502907</v>
      </c>
      <c r="U952">
        <v>6.3964839999999995E-2</v>
      </c>
      <c r="V952">
        <v>-5.2518250000000002E-2</v>
      </c>
      <c r="W952">
        <v>0.15482770000000001</v>
      </c>
      <c r="X952">
        <v>0.98654459999999999</v>
      </c>
      <c r="Y952">
        <v>-1.988535E-2</v>
      </c>
      <c r="Z952">
        <v>5.4896299999999997E-4</v>
      </c>
      <c r="AA952">
        <v>0.99980210000000003</v>
      </c>
      <c r="AB952">
        <v>35</v>
      </c>
      <c r="AC952">
        <v>22.360900000000001</v>
      </c>
      <c r="AD952">
        <v>-1.1095349999999999</v>
      </c>
      <c r="AE952">
        <v>0.47210000000001101</v>
      </c>
      <c r="AF952">
        <v>-0.448209383612232</v>
      </c>
      <c r="AG952">
        <v>-1.1095349999999999</v>
      </c>
      <c r="AH952">
        <v>22.3064734761581</v>
      </c>
      <c r="AI952">
        <v>92.846999771000597</v>
      </c>
      <c r="AJ952">
        <v>91.151103100844495</v>
      </c>
      <c r="AK952">
        <v>22.338547815610699</v>
      </c>
      <c r="AL952">
        <v>81.093196581262305</v>
      </c>
      <c r="AM952">
        <v>93.047238216788401</v>
      </c>
      <c r="AN952">
        <v>1.0000000155297499</v>
      </c>
    </row>
    <row r="953" spans="1:40" x14ac:dyDescent="0.25">
      <c r="A953" t="str">
        <f>"20190304155612422"</f>
        <v>20190304155612422</v>
      </c>
      <c r="B953" t="str">
        <f>"1551686172415765"</f>
        <v>1551686172415765</v>
      </c>
      <c r="C953" t="s">
        <v>40</v>
      </c>
      <c r="D953">
        <v>4.250604</v>
      </c>
      <c r="E953">
        <v>0.51115840000000001</v>
      </c>
      <c r="F953" t="s">
        <v>44</v>
      </c>
      <c r="G953">
        <v>-280.39019999999999</v>
      </c>
      <c r="H953">
        <v>-0.05</v>
      </c>
      <c r="I953">
        <v>367.47609999999997</v>
      </c>
      <c r="J953">
        <v>-302.69229999999999</v>
      </c>
      <c r="K953">
        <v>1.059534</v>
      </c>
      <c r="L953">
        <v>367.02339999999998</v>
      </c>
      <c r="M953">
        <v>0.99994859999999997</v>
      </c>
      <c r="N953">
        <v>-1.010113E-2</v>
      </c>
      <c r="O953">
        <v>1.019081E-3</v>
      </c>
      <c r="P953">
        <v>0.98799749999999997</v>
      </c>
      <c r="Q953">
        <v>0.14485529999999999</v>
      </c>
      <c r="R953">
        <v>5.3646859999999998E-2</v>
      </c>
      <c r="S953">
        <v>3.0552060000000001</v>
      </c>
      <c r="T953">
        <v>-0.15077969999999999</v>
      </c>
      <c r="U953">
        <v>6.1553959999999998E-2</v>
      </c>
      <c r="V953">
        <v>-5.2633939999999997E-2</v>
      </c>
      <c r="W953">
        <v>0.15483050000000001</v>
      </c>
      <c r="X953">
        <v>0.98653800000000003</v>
      </c>
      <c r="Y953">
        <v>-1.9096999999999999E-2</v>
      </c>
      <c r="Z953">
        <v>5.2746469999999997E-4</v>
      </c>
      <c r="AA953">
        <v>0.99981750000000003</v>
      </c>
      <c r="AB953">
        <v>35</v>
      </c>
      <c r="AC953">
        <v>22.302099999999999</v>
      </c>
      <c r="AD953">
        <v>-1.109534</v>
      </c>
      <c r="AE953">
        <v>0.452699999999993</v>
      </c>
      <c r="AF953">
        <v>-0.42890981205357998</v>
      </c>
      <c r="AG953">
        <v>-1.109534</v>
      </c>
      <c r="AH953">
        <v>22.247508036491801</v>
      </c>
      <c r="AI953">
        <v>92.854576172218401</v>
      </c>
      <c r="AJ953">
        <v>91.104468779896806</v>
      </c>
      <c r="AK953">
        <v>22.279287312609402</v>
      </c>
      <c r="AL953">
        <v>81.093034238704405</v>
      </c>
      <c r="AM953">
        <v>93.053958535218896</v>
      </c>
      <c r="AN953">
        <v>1.00000002040708</v>
      </c>
    </row>
    <row r="954" spans="1:40" x14ac:dyDescent="0.25">
      <c r="A954" t="str">
        <f>"20190304155612434"</f>
        <v>20190304155612434</v>
      </c>
      <c r="B954" t="str">
        <f>"1551686172425525"</f>
        <v>1551686172425525</v>
      </c>
      <c r="C954" t="s">
        <v>40</v>
      </c>
      <c r="D954">
        <v>4.234807</v>
      </c>
      <c r="E954">
        <v>0.51124119999999995</v>
      </c>
      <c r="F954" t="s">
        <v>44</v>
      </c>
      <c r="G954">
        <v>-280.26710000000003</v>
      </c>
      <c r="H954">
        <v>-0.05</v>
      </c>
      <c r="I954">
        <v>367.47250000000003</v>
      </c>
      <c r="J954">
        <v>-302.5213</v>
      </c>
      <c r="K954">
        <v>1.059536</v>
      </c>
      <c r="L954">
        <v>367.02359999999999</v>
      </c>
      <c r="M954">
        <v>0.99994810000000001</v>
      </c>
      <c r="N954">
        <v>-1.0143620000000001E-2</v>
      </c>
      <c r="O954">
        <v>1.019222E-3</v>
      </c>
      <c r="P954">
        <v>0.98798850000000005</v>
      </c>
      <c r="Q954">
        <v>0.1449503</v>
      </c>
      <c r="R954">
        <v>5.3557050000000002E-2</v>
      </c>
      <c r="S954">
        <v>3.0552980000000001</v>
      </c>
      <c r="T954">
        <v>-0.15116740000000001</v>
      </c>
      <c r="U954">
        <v>6.1187739999999997E-2</v>
      </c>
      <c r="V954">
        <v>-5.2543899999999998E-2</v>
      </c>
      <c r="W954">
        <v>0.1549671</v>
      </c>
      <c r="X954">
        <v>0.98652130000000005</v>
      </c>
      <c r="Y954">
        <v>-1.8976489999999999E-2</v>
      </c>
      <c r="Z954">
        <v>5.2538620000000004E-4</v>
      </c>
      <c r="AA954">
        <v>0.99981980000000004</v>
      </c>
      <c r="AB954">
        <v>35</v>
      </c>
      <c r="AC954">
        <v>22.254199999999901</v>
      </c>
      <c r="AD954">
        <v>-1.1095360000000001</v>
      </c>
      <c r="AE954">
        <v>0.44890000000003699</v>
      </c>
      <c r="AF954">
        <v>-0.42516021560266798</v>
      </c>
      <c r="AG954">
        <v>-1.1095360000000001</v>
      </c>
      <c r="AH954">
        <v>22.199485889434499</v>
      </c>
      <c r="AI954">
        <v>92.860753099198604</v>
      </c>
      <c r="AJ954">
        <v>91.097183439900206</v>
      </c>
      <c r="AK954">
        <v>22.2312618872485</v>
      </c>
      <c r="AL954">
        <v>81.085111558732805</v>
      </c>
      <c r="AM954">
        <v>93.048795555998296</v>
      </c>
      <c r="AN954">
        <v>0.99999996943165403</v>
      </c>
    </row>
    <row r="955" spans="1:40" x14ac:dyDescent="0.25">
      <c r="A955" t="str">
        <f>"20190304155612445"</f>
        <v>20190304155612445</v>
      </c>
      <c r="B955" t="str">
        <f>"1551686172435877"</f>
        <v>1551686172435877</v>
      </c>
      <c r="C955" t="s">
        <v>40</v>
      </c>
      <c r="D955">
        <v>4.2662009999999997</v>
      </c>
      <c r="E955">
        <v>0.51134999999999997</v>
      </c>
      <c r="F955" t="s">
        <v>44</v>
      </c>
      <c r="G955">
        <v>-280.09739999999999</v>
      </c>
      <c r="H955">
        <v>-0.05</v>
      </c>
      <c r="I955">
        <v>367.46820000000002</v>
      </c>
      <c r="J955">
        <v>-302.34059999999999</v>
      </c>
      <c r="K955">
        <v>1.0595330000000001</v>
      </c>
      <c r="L955">
        <v>367.02370000000002</v>
      </c>
      <c r="M955">
        <v>0.99994769999999999</v>
      </c>
      <c r="N955">
        <v>-1.0185059999999999E-2</v>
      </c>
      <c r="O955">
        <v>1.019369E-3</v>
      </c>
      <c r="P955">
        <v>0.98798350000000001</v>
      </c>
      <c r="Q955">
        <v>0.14505899999999999</v>
      </c>
      <c r="R955">
        <v>5.3355020000000003E-2</v>
      </c>
      <c r="S955">
        <v>3.0552980000000001</v>
      </c>
      <c r="T955">
        <v>-0.15117620000000001</v>
      </c>
      <c r="U955">
        <v>6.0577390000000002E-2</v>
      </c>
      <c r="V955">
        <v>-5.2341779999999997E-2</v>
      </c>
      <c r="W955">
        <v>0.15511649999999999</v>
      </c>
      <c r="X955">
        <v>0.98650859999999996</v>
      </c>
      <c r="Y955">
        <v>-1.8776959999999999E-2</v>
      </c>
      <c r="Z955">
        <v>5.198914E-4</v>
      </c>
      <c r="AA955">
        <v>0.99982360000000003</v>
      </c>
      <c r="AB955">
        <v>35</v>
      </c>
      <c r="AC955">
        <v>22.243200000000002</v>
      </c>
      <c r="AD955">
        <v>-1.1095330000000001</v>
      </c>
      <c r="AE955">
        <v>0.444500000000005</v>
      </c>
      <c r="AF955">
        <v>-0.42077800296079099</v>
      </c>
      <c r="AG955">
        <v>-1.1095330000000001</v>
      </c>
      <c r="AH955">
        <v>22.188454222397102</v>
      </c>
      <c r="AI955">
        <v>92.862175552300698</v>
      </c>
      <c r="AJ955">
        <v>91.086417017008202</v>
      </c>
      <c r="AK955">
        <v>22.220162429318101</v>
      </c>
      <c r="AL955">
        <v>81.076447106586798</v>
      </c>
      <c r="AM955">
        <v>93.037128813550694</v>
      </c>
      <c r="AN955">
        <v>1.00000000418988</v>
      </c>
    </row>
    <row r="956" spans="1:40" x14ac:dyDescent="0.25">
      <c r="A956" t="str">
        <f>"20190304155612455"</f>
        <v>20190304155612455</v>
      </c>
      <c r="B956" t="str">
        <f>"1551686172445637"</f>
        <v>1551686172445637</v>
      </c>
      <c r="C956" t="s">
        <v>40</v>
      </c>
      <c r="D956">
        <v>4.2888019999999996</v>
      </c>
      <c r="E956">
        <v>0.51132540000000004</v>
      </c>
      <c r="F956" t="s">
        <v>44</v>
      </c>
      <c r="G956">
        <v>-279.86849999999998</v>
      </c>
      <c r="H956">
        <v>-0.05</v>
      </c>
      <c r="I956">
        <v>367.45710000000003</v>
      </c>
      <c r="J956">
        <v>-302.18099999999998</v>
      </c>
      <c r="K956">
        <v>1.0595270000000001</v>
      </c>
      <c r="L956">
        <v>367.02390000000003</v>
      </c>
      <c r="M956">
        <v>0.99994740000000004</v>
      </c>
      <c r="N956">
        <v>-1.0218140000000001E-2</v>
      </c>
      <c r="O956">
        <v>1.019378E-3</v>
      </c>
      <c r="P956">
        <v>0.98796719999999905</v>
      </c>
      <c r="Q956">
        <v>0.1451325</v>
      </c>
      <c r="R956">
        <v>5.3457579999999998E-2</v>
      </c>
      <c r="S956">
        <v>3.05545</v>
      </c>
      <c r="T956">
        <v>-0.15085899999999999</v>
      </c>
      <c r="U956">
        <v>5.892944E-2</v>
      </c>
      <c r="V956">
        <v>-5.2444860000000003E-2</v>
      </c>
      <c r="W956">
        <v>0.1552229</v>
      </c>
      <c r="X956">
        <v>0.98648639999999999</v>
      </c>
      <c r="Y956">
        <v>-1.8237799999999998E-2</v>
      </c>
      <c r="Z956">
        <v>5.032913E-4</v>
      </c>
      <c r="AA956">
        <v>0.99983350000000004</v>
      </c>
      <c r="AB956">
        <v>35</v>
      </c>
      <c r="AC956">
        <v>22.3125</v>
      </c>
      <c r="AD956">
        <v>-1.1095269999999999</v>
      </c>
      <c r="AE956">
        <v>0.43319999999999897</v>
      </c>
      <c r="AF956">
        <v>-0.40944165545407102</v>
      </c>
      <c r="AG956">
        <v>-1.1095269999999999</v>
      </c>
      <c r="AH956">
        <v>22.257912626235701</v>
      </c>
      <c r="AI956">
        <v>92.8532734180381</v>
      </c>
      <c r="AJ956">
        <v>91.053855931199493</v>
      </c>
      <c r="AK956">
        <v>22.289310601947601</v>
      </c>
      <c r="AL956">
        <v>81.070276185945502</v>
      </c>
      <c r="AM956">
        <v>93.043167147331005</v>
      </c>
      <c r="AN956">
        <v>1.00000001470489</v>
      </c>
    </row>
    <row r="957" spans="1:40" x14ac:dyDescent="0.25">
      <c r="A957" t="str">
        <f>"20190304155612466"</f>
        <v>20190304155612466</v>
      </c>
      <c r="B957" t="str">
        <f>"1551686172455397"</f>
        <v>1551686172455397</v>
      </c>
      <c r="C957" t="s">
        <v>40</v>
      </c>
      <c r="D957">
        <v>4.2510260000000004</v>
      </c>
      <c r="E957">
        <v>0.51139950000000001</v>
      </c>
      <c r="F957" t="s">
        <v>44</v>
      </c>
      <c r="G957">
        <v>-279.80189999999999</v>
      </c>
      <c r="H957">
        <v>-0.05</v>
      </c>
      <c r="I957">
        <v>367.46039999999999</v>
      </c>
      <c r="J957">
        <v>-302.005</v>
      </c>
      <c r="K957">
        <v>1.059523</v>
      </c>
      <c r="L957">
        <v>367.024</v>
      </c>
      <c r="M957">
        <v>0.99994700000000003</v>
      </c>
      <c r="N957">
        <v>-1.025155E-2</v>
      </c>
      <c r="O957">
        <v>1.019505E-3</v>
      </c>
      <c r="P957">
        <v>0.98797950000000001</v>
      </c>
      <c r="Q957">
        <v>0.14498699999999901</v>
      </c>
      <c r="R957">
        <v>5.3622240000000002E-2</v>
      </c>
      <c r="S957">
        <v>3.0555729999999999</v>
      </c>
      <c r="T957">
        <v>-0.15149179999999901</v>
      </c>
      <c r="U957">
        <v>5.960083E-2</v>
      </c>
      <c r="V957">
        <v>-5.2609030000000001E-2</v>
      </c>
      <c r="W957">
        <v>0.15511029999999901</v>
      </c>
      <c r="X957">
        <v>0.98649540000000002</v>
      </c>
      <c r="Y957">
        <v>-1.8455969999999999E-2</v>
      </c>
      <c r="Z957">
        <v>5.1180710000000001E-4</v>
      </c>
      <c r="AA957">
        <v>0.99982950000000004</v>
      </c>
      <c r="AB957">
        <v>35</v>
      </c>
      <c r="AC957">
        <v>22.203099999999999</v>
      </c>
      <c r="AD957">
        <v>-1.109523</v>
      </c>
      <c r="AE957">
        <v>0.43639999999999102</v>
      </c>
      <c r="AF957">
        <v>-0.412732155802703</v>
      </c>
      <c r="AG957">
        <v>-1.109523</v>
      </c>
      <c r="AH957">
        <v>22.148247161224099</v>
      </c>
      <c r="AI957">
        <v>92.867354661181693</v>
      </c>
      <c r="AJ957">
        <v>91.067582173085398</v>
      </c>
      <c r="AK957">
        <v>22.179861168064999</v>
      </c>
      <c r="AL957">
        <v>81.076807057148301</v>
      </c>
      <c r="AM957">
        <v>93.052647494083104</v>
      </c>
      <c r="AN957">
        <v>1.00000004471239</v>
      </c>
    </row>
    <row r="958" spans="1:40" x14ac:dyDescent="0.25">
      <c r="A958" t="str">
        <f>"20190304155612477"</f>
        <v>20190304155612477</v>
      </c>
      <c r="B958" t="str">
        <f>"1551686172466134"</f>
        <v>1551686172466134</v>
      </c>
      <c r="C958" t="s">
        <v>40</v>
      </c>
      <c r="D958">
        <v>4.2672119999999998</v>
      </c>
      <c r="E958">
        <v>0.51154140000000003</v>
      </c>
      <c r="F958" t="s">
        <v>44</v>
      </c>
      <c r="G958">
        <v>-279.68150000000003</v>
      </c>
      <c r="H958">
        <v>-0.05</v>
      </c>
      <c r="I958">
        <v>367.46170000000001</v>
      </c>
      <c r="J958">
        <v>-301.84559999999999</v>
      </c>
      <c r="K958">
        <v>1.05952</v>
      </c>
      <c r="L958">
        <v>367.02420000000001</v>
      </c>
      <c r="M958">
        <v>0.99994680000000002</v>
      </c>
      <c r="N958">
        <v>-1.027786E-2</v>
      </c>
      <c r="O958">
        <v>1.0195479999999999E-3</v>
      </c>
      <c r="P958">
        <v>0.98797789999999996</v>
      </c>
      <c r="Q958">
        <v>0.1449763</v>
      </c>
      <c r="R958">
        <v>5.3683799999999997E-2</v>
      </c>
      <c r="S958">
        <v>3.0555110000000001</v>
      </c>
      <c r="T958">
        <v>-0.1518651</v>
      </c>
      <c r="U958">
        <v>5.9906010000000003E-2</v>
      </c>
      <c r="V958">
        <v>-5.2670519999999998E-2</v>
      </c>
      <c r="W958">
        <v>0.1551254</v>
      </c>
      <c r="X958">
        <v>0.98648970000000002</v>
      </c>
      <c r="Y958">
        <v>-1.855586E-2</v>
      </c>
      <c r="Z958">
        <v>5.1607870000000002E-4</v>
      </c>
      <c r="AA958">
        <v>0.99982769999999999</v>
      </c>
      <c r="AB958">
        <v>35</v>
      </c>
      <c r="AC958">
        <v>22.164099999999902</v>
      </c>
      <c r="AD958">
        <v>-1.1095200000000001</v>
      </c>
      <c r="AE958">
        <v>0.4375</v>
      </c>
      <c r="AF958">
        <v>-0.413864504022114</v>
      </c>
      <c r="AG958">
        <v>-1.1095200000000001</v>
      </c>
      <c r="AH958">
        <v>22.109152002039799</v>
      </c>
      <c r="AI958">
        <v>92.872404201775595</v>
      </c>
      <c r="AJ958">
        <v>91.072402969458096</v>
      </c>
      <c r="AK958">
        <v>22.140842818361399</v>
      </c>
      <c r="AL958">
        <v>81.075930895575297</v>
      </c>
      <c r="AM958">
        <v>93.056226326733693</v>
      </c>
      <c r="AN958">
        <v>1.0000000008041601</v>
      </c>
    </row>
    <row r="959" spans="1:40" x14ac:dyDescent="0.25">
      <c r="A959" t="str">
        <f>"20190304155612488"</f>
        <v>20190304155612488</v>
      </c>
      <c r="B959" t="str">
        <f>"1551686172485653"</f>
        <v>1551686172485653</v>
      </c>
      <c r="C959" t="s">
        <v>40</v>
      </c>
      <c r="D959">
        <v>4.2797460000000003</v>
      </c>
      <c r="E959">
        <v>0.51169330000000002</v>
      </c>
      <c r="F959" t="s">
        <v>44</v>
      </c>
      <c r="G959">
        <v>-279.53539999999998</v>
      </c>
      <c r="H959">
        <v>-0.05</v>
      </c>
      <c r="I959">
        <v>367.4547</v>
      </c>
      <c r="J959">
        <v>-301.66449999999998</v>
      </c>
      <c r="K959">
        <v>1.0595190000000001</v>
      </c>
      <c r="L959">
        <v>367.02440000000001</v>
      </c>
      <c r="M959">
        <v>0.99994640000000001</v>
      </c>
      <c r="N959">
        <v>-1.0305770000000001E-2</v>
      </c>
      <c r="O959">
        <v>1.0199409999999999E-3</v>
      </c>
      <c r="P959">
        <v>0.98801609999999995</v>
      </c>
      <c r="Q959">
        <v>0.14466979999999999</v>
      </c>
      <c r="R959">
        <v>5.380248E-2</v>
      </c>
      <c r="S959">
        <v>3.055634</v>
      </c>
      <c r="T959">
        <v>-0.1519616</v>
      </c>
      <c r="U959">
        <v>5.8959959999999999E-2</v>
      </c>
      <c r="V959">
        <v>-5.278857E-2</v>
      </c>
      <c r="W959">
        <v>0.15484700000000001</v>
      </c>
      <c r="X959">
        <v>0.98652709999999999</v>
      </c>
      <c r="Y959">
        <v>-1.824566E-2</v>
      </c>
      <c r="Z959">
        <v>5.0728830000000005E-4</v>
      </c>
      <c r="AA959">
        <v>0.99983339999999998</v>
      </c>
      <c r="AB959">
        <v>35</v>
      </c>
      <c r="AC959">
        <v>22.129099999999902</v>
      </c>
      <c r="AD959">
        <v>-1.1095189999999999</v>
      </c>
      <c r="AE959">
        <v>0.43029999999998803</v>
      </c>
      <c r="AF959">
        <v>-0.406706183595411</v>
      </c>
      <c r="AG959">
        <v>-1.1095189999999999</v>
      </c>
      <c r="AH959">
        <v>22.074057162195199</v>
      </c>
      <c r="AI959">
        <v>92.876976395769105</v>
      </c>
      <c r="AJ959">
        <v>91.055533714275299</v>
      </c>
      <c r="AK959">
        <v>22.105665380870001</v>
      </c>
      <c r="AL959">
        <v>81.092076889977903</v>
      </c>
      <c r="AM959">
        <v>93.062947290044804</v>
      </c>
      <c r="AN959">
        <v>0.99999997278302699</v>
      </c>
    </row>
    <row r="960" spans="1:40" x14ac:dyDescent="0.25">
      <c r="A960" t="str">
        <f>"20190304155612498"</f>
        <v>20190304155612498</v>
      </c>
      <c r="B960" t="str">
        <f>"1551686172495413"</f>
        <v>1551686172495413</v>
      </c>
      <c r="C960" t="s">
        <v>40</v>
      </c>
      <c r="D960">
        <v>4.2572679999999998</v>
      </c>
      <c r="E960">
        <v>0.51175740000000003</v>
      </c>
      <c r="F960" t="s">
        <v>44</v>
      </c>
      <c r="G960">
        <v>-279.51979999999998</v>
      </c>
      <c r="H960">
        <v>-0.05</v>
      </c>
      <c r="I960">
        <v>367.44459999999998</v>
      </c>
      <c r="J960">
        <v>-301.50940000000003</v>
      </c>
      <c r="K960">
        <v>1.059517</v>
      </c>
      <c r="L960">
        <v>367.02460000000002</v>
      </c>
      <c r="M960">
        <v>0.99994620000000001</v>
      </c>
      <c r="N960">
        <v>-1.0326500000000001E-2</v>
      </c>
      <c r="O960">
        <v>1.019952E-3</v>
      </c>
      <c r="P960">
        <v>0.98799559999999997</v>
      </c>
      <c r="Q960">
        <v>0.14474609999999999</v>
      </c>
      <c r="R960">
        <v>5.3976389999999999E-2</v>
      </c>
      <c r="S960">
        <v>3.0556640000000002</v>
      </c>
      <c r="T960">
        <v>-0.15309879999999901</v>
      </c>
      <c r="U960">
        <v>5.7983399999999997E-2</v>
      </c>
      <c r="V960">
        <v>-5.2962750000000003E-2</v>
      </c>
      <c r="W960">
        <v>0.15494359999999999</v>
      </c>
      <c r="X960">
        <v>0.98650260000000001</v>
      </c>
      <c r="Y960">
        <v>-1.7926149999999998E-2</v>
      </c>
      <c r="Z960">
        <v>5.0085609999999997E-4</v>
      </c>
      <c r="AA960">
        <v>0.99983920000000004</v>
      </c>
      <c r="AB960">
        <v>35</v>
      </c>
      <c r="AC960">
        <v>21.989599999999999</v>
      </c>
      <c r="AD960">
        <v>-1.1095170000000001</v>
      </c>
      <c r="AE960">
        <v>0.41999999999995902</v>
      </c>
      <c r="AF960">
        <v>-0.39656103219027</v>
      </c>
      <c r="AG960">
        <v>-1.1095170000000001</v>
      </c>
      <c r="AH960">
        <v>21.934196096264699</v>
      </c>
      <c r="AI960">
        <v>92.895303001631703</v>
      </c>
      <c r="AJ960">
        <v>91.035770730161104</v>
      </c>
      <c r="AK960">
        <v>21.965819971376799</v>
      </c>
      <c r="AL960">
        <v>81.086474530034906</v>
      </c>
      <c r="AM960">
        <v>93.073110557473399</v>
      </c>
      <c r="AN960">
        <v>0.99999997593764101</v>
      </c>
    </row>
    <row r="961" spans="1:40" x14ac:dyDescent="0.25">
      <c r="A961" t="str">
        <f>"20190304155612510"</f>
        <v>20190304155612510</v>
      </c>
      <c r="B961" t="str">
        <f>"1551686172506149"</f>
        <v>1551686172506149</v>
      </c>
      <c r="C961" t="s">
        <v>40</v>
      </c>
      <c r="D961">
        <v>4.1757799999999996</v>
      </c>
      <c r="E961">
        <v>0.5117159</v>
      </c>
      <c r="F961" t="s">
        <v>44</v>
      </c>
      <c r="G961">
        <v>-279.31439999999998</v>
      </c>
      <c r="H961">
        <v>-0.05</v>
      </c>
      <c r="I961">
        <v>367.44420000000002</v>
      </c>
      <c r="J961">
        <v>-301.3297</v>
      </c>
      <c r="K961">
        <v>1.05952</v>
      </c>
      <c r="L961">
        <v>367.0247</v>
      </c>
      <c r="M961">
        <v>0.999946</v>
      </c>
      <c r="N961">
        <v>-1.034995E-2</v>
      </c>
      <c r="O961">
        <v>1.02001E-3</v>
      </c>
      <c r="P961">
        <v>0.9880198</v>
      </c>
      <c r="Q961">
        <v>0.14451530000000001</v>
      </c>
      <c r="R961">
        <v>5.4153109999999997E-2</v>
      </c>
      <c r="S961">
        <v>3.0556640000000002</v>
      </c>
      <c r="T961">
        <v>-0.15275079999999999</v>
      </c>
      <c r="U961">
        <v>5.776978E-2</v>
      </c>
      <c r="V961">
        <v>-5.3139489999999998E-2</v>
      </c>
      <c r="W961">
        <v>0.15473629999999999</v>
      </c>
      <c r="X961">
        <v>0.98652569999999995</v>
      </c>
      <c r="Y961">
        <v>-1.7856420000000001E-2</v>
      </c>
      <c r="Z961">
        <v>4.9808250000000001E-4</v>
      </c>
      <c r="AA961">
        <v>0.99984039999999996</v>
      </c>
      <c r="AB961">
        <v>35</v>
      </c>
      <c r="AC961">
        <v>22.0153</v>
      </c>
      <c r="AD961">
        <v>-1.1095200000000001</v>
      </c>
      <c r="AE961">
        <v>0.41950000000002702</v>
      </c>
      <c r="AF961">
        <v>-0.39603721450434398</v>
      </c>
      <c r="AG961">
        <v>-1.1095200000000001</v>
      </c>
      <c r="AH961">
        <v>21.959960035630001</v>
      </c>
      <c r="AI961">
        <v>92.891922088495903</v>
      </c>
      <c r="AJ961">
        <v>91.033189555039399</v>
      </c>
      <c r="AK961">
        <v>21.991537574079299</v>
      </c>
      <c r="AL961">
        <v>81.098497536866802</v>
      </c>
      <c r="AM961">
        <v>93.0832739052059</v>
      </c>
      <c r="AN961">
        <v>1.0000000423478099</v>
      </c>
    </row>
    <row r="962" spans="1:40" x14ac:dyDescent="0.25">
      <c r="A962" t="str">
        <f>"20190304155612521"</f>
        <v>20190304155612521</v>
      </c>
      <c r="B962" t="str">
        <f>"1551686172515909"</f>
        <v>1551686172515909</v>
      </c>
      <c r="C962" t="s">
        <v>40</v>
      </c>
      <c r="D962">
        <v>4.4513239999999996</v>
      </c>
      <c r="E962">
        <v>0.51142129999999997</v>
      </c>
      <c r="F962" t="s">
        <v>44</v>
      </c>
      <c r="G962">
        <v>-279.65069999999997</v>
      </c>
      <c r="H962">
        <v>-0.05</v>
      </c>
      <c r="I962">
        <v>367.4393</v>
      </c>
      <c r="J962">
        <v>-301.15089999999998</v>
      </c>
      <c r="K962">
        <v>1.0595190000000001</v>
      </c>
      <c r="L962">
        <v>367.0249</v>
      </c>
      <c r="M962">
        <v>0.99994590000000005</v>
      </c>
      <c r="N962">
        <v>-1.037013E-2</v>
      </c>
      <c r="O962">
        <v>1.0200840000000001E-3</v>
      </c>
      <c r="P962">
        <v>0.98799479999999995</v>
      </c>
      <c r="Q962">
        <v>0.1446549</v>
      </c>
      <c r="R962">
        <v>5.4235720000000001E-2</v>
      </c>
      <c r="S962">
        <v>3.0560610000000001</v>
      </c>
      <c r="T962">
        <v>-0.1564075</v>
      </c>
      <c r="U962">
        <v>5.8441159999999999E-2</v>
      </c>
      <c r="V962">
        <v>-5.3221879999999999E-2</v>
      </c>
      <c r="W962">
        <v>0.15489549999999999</v>
      </c>
      <c r="X962">
        <v>0.98649620000000005</v>
      </c>
      <c r="Y962">
        <v>-1.807199E-2</v>
      </c>
      <c r="Z962">
        <v>5.1430569999999997E-4</v>
      </c>
      <c r="AA962">
        <v>0.99983659999999996</v>
      </c>
      <c r="AB962">
        <v>35</v>
      </c>
      <c r="AC962">
        <v>21.5002</v>
      </c>
      <c r="AD962">
        <v>-1.1095189999999999</v>
      </c>
      <c r="AE962">
        <v>0.41439999999999999</v>
      </c>
      <c r="AF962">
        <v>-0.39142459062455998</v>
      </c>
      <c r="AG962">
        <v>-1.1095189999999999</v>
      </c>
      <c r="AH962">
        <v>21.443526901005701</v>
      </c>
      <c r="AI962">
        <v>92.961432475044006</v>
      </c>
      <c r="AJ962">
        <v>91.045746194606295</v>
      </c>
      <c r="AK962">
        <v>21.475779184366299</v>
      </c>
      <c r="AL962">
        <v>81.089264069149195</v>
      </c>
      <c r="AM962">
        <v>93.088137280616493</v>
      </c>
      <c r="AN962">
        <v>0.999999968522711</v>
      </c>
    </row>
    <row r="963" spans="1:40" x14ac:dyDescent="0.25">
      <c r="A963" t="str">
        <f>"20190304155612533"</f>
        <v>20190304155612533</v>
      </c>
      <c r="B963" t="str">
        <f>"1551686172525669"</f>
        <v>1551686172525669</v>
      </c>
      <c r="C963" t="s">
        <v>40</v>
      </c>
      <c r="D963">
        <v>4.2808129999999904</v>
      </c>
      <c r="E963">
        <v>0.51137949999999999</v>
      </c>
      <c r="F963" t="s">
        <v>44</v>
      </c>
      <c r="G963">
        <v>-279.51729999999998</v>
      </c>
      <c r="H963">
        <v>-0.05</v>
      </c>
      <c r="I963">
        <v>367.45780000000002</v>
      </c>
      <c r="J963">
        <v>-300.95859999999999</v>
      </c>
      <c r="K963">
        <v>1.0595190000000001</v>
      </c>
      <c r="L963">
        <v>367.02510000000001</v>
      </c>
      <c r="M963">
        <v>0.99994559999999999</v>
      </c>
      <c r="N963">
        <v>-1.0390969999999999E-2</v>
      </c>
      <c r="O963">
        <v>1.0201539999999999E-3</v>
      </c>
      <c r="P963">
        <v>0.98797270000000004</v>
      </c>
      <c r="Q963">
        <v>0.14475959999999999</v>
      </c>
      <c r="R963">
        <v>5.4357919999999997E-2</v>
      </c>
      <c r="S963">
        <v>3.0560610000000001</v>
      </c>
      <c r="T963">
        <v>-0.15673599999999999</v>
      </c>
      <c r="U963">
        <v>6.115723E-2</v>
      </c>
      <c r="V963">
        <v>-5.3343590000000003E-2</v>
      </c>
      <c r="W963">
        <v>0.1550204</v>
      </c>
      <c r="X963">
        <v>0.98646999999999996</v>
      </c>
      <c r="Y963">
        <v>-1.8958659999999999E-2</v>
      </c>
      <c r="Z963">
        <v>5.4270100000000003E-4</v>
      </c>
      <c r="AA963">
        <v>0.99982009999999999</v>
      </c>
      <c r="AB963">
        <v>35</v>
      </c>
      <c r="AC963">
        <v>21.441299999999998</v>
      </c>
      <c r="AD963">
        <v>-1.1095189999999999</v>
      </c>
      <c r="AE963">
        <v>0.43270000000001102</v>
      </c>
      <c r="AF963">
        <v>-0.40972847147855901</v>
      </c>
      <c r="AG963">
        <v>-1.1095189999999999</v>
      </c>
      <c r="AH963">
        <v>21.384491639465601</v>
      </c>
      <c r="AI963">
        <v>92.969543122865701</v>
      </c>
      <c r="AJ963">
        <v>91.097657147026695</v>
      </c>
      <c r="AK963">
        <v>21.417175175780699</v>
      </c>
      <c r="AL963">
        <v>81.082020270354505</v>
      </c>
      <c r="AM963">
        <v>93.095267691324693</v>
      </c>
      <c r="AN963">
        <v>0.99999996195512297</v>
      </c>
    </row>
    <row r="964" spans="1:40" x14ac:dyDescent="0.25">
      <c r="A964" t="str">
        <f>"20190304155612547"</f>
        <v>20190304155612547</v>
      </c>
      <c r="B964" t="str">
        <f>"1551686172535429"</f>
        <v>1551686172535429</v>
      </c>
      <c r="C964" t="s">
        <v>40</v>
      </c>
      <c r="D964">
        <v>4.3025159999999998</v>
      </c>
      <c r="E964">
        <v>0.51131539999999998</v>
      </c>
      <c r="F964" t="s">
        <v>44</v>
      </c>
      <c r="G964">
        <v>-279.37549999999999</v>
      </c>
      <c r="H964">
        <v>-0.05</v>
      </c>
      <c r="I964">
        <v>367.45940000000002</v>
      </c>
      <c r="J964">
        <v>-300.74869999999999</v>
      </c>
      <c r="K964">
        <v>1.059518</v>
      </c>
      <c r="L964">
        <v>367.02539999999999</v>
      </c>
      <c r="M964">
        <v>0.99994530000000004</v>
      </c>
      <c r="N964">
        <v>-1.041152E-2</v>
      </c>
      <c r="O964">
        <v>1.0203440000000001E-3</v>
      </c>
      <c r="P964">
        <v>0.98797230000000003</v>
      </c>
      <c r="Q964">
        <v>0.144706</v>
      </c>
      <c r="R964">
        <v>5.4507010000000002E-2</v>
      </c>
      <c r="S964">
        <v>3.056152</v>
      </c>
      <c r="T964">
        <v>-0.1571071</v>
      </c>
      <c r="U964">
        <v>6.149292E-2</v>
      </c>
      <c r="V964">
        <v>-5.3492989999999997E-2</v>
      </c>
      <c r="W964">
        <v>0.15498689999999901</v>
      </c>
      <c r="X964">
        <v>0.98646719999999999</v>
      </c>
      <c r="Y964">
        <v>-1.9067339999999999E-2</v>
      </c>
      <c r="Z964">
        <v>5.4727879999999995E-4</v>
      </c>
      <c r="AA964">
        <v>0.99981799999999998</v>
      </c>
      <c r="AB964">
        <v>35</v>
      </c>
      <c r="AC964">
        <v>21.373200000000001</v>
      </c>
      <c r="AD964">
        <v>-1.109518</v>
      </c>
      <c r="AE964">
        <v>0.43400000000002498</v>
      </c>
      <c r="AF964">
        <v>-0.41108323771882099</v>
      </c>
      <c r="AG964">
        <v>-1.109518</v>
      </c>
      <c r="AH964">
        <v>21.316212067956499</v>
      </c>
      <c r="AI964">
        <v>92.979028166061994</v>
      </c>
      <c r="AJ964">
        <v>91.104812393891905</v>
      </c>
      <c r="AK964">
        <v>21.349026126424398</v>
      </c>
      <c r="AL964">
        <v>81.083963394349695</v>
      </c>
      <c r="AM964">
        <v>93.103928508339294</v>
      </c>
      <c r="AN964">
        <v>0.99999998791329403</v>
      </c>
    </row>
    <row r="965" spans="1:40" x14ac:dyDescent="0.25">
      <c r="A965" t="str">
        <f>"20190304155612560"</f>
        <v>20190304155612560</v>
      </c>
      <c r="B965" t="str">
        <f>"1551686172555925"</f>
        <v>1551686172555925</v>
      </c>
      <c r="C965" t="s">
        <v>40</v>
      </c>
      <c r="D965">
        <v>4.3138820000000004</v>
      </c>
      <c r="E965">
        <v>0.5112177</v>
      </c>
      <c r="F965" t="s">
        <v>44</v>
      </c>
      <c r="G965">
        <v>-279.25900000000001</v>
      </c>
      <c r="H965">
        <v>-0.05</v>
      </c>
      <c r="I965">
        <v>367.46719999999999</v>
      </c>
      <c r="J965">
        <v>-300.54989999999998</v>
      </c>
      <c r="K965">
        <v>1.0595159999999999</v>
      </c>
      <c r="L965">
        <v>367.02550000000002</v>
      </c>
      <c r="M965">
        <v>0.99994510000000003</v>
      </c>
      <c r="N965">
        <v>-1.042907E-2</v>
      </c>
      <c r="O965">
        <v>1.0206099999999999E-3</v>
      </c>
      <c r="P965">
        <v>0.9879232</v>
      </c>
      <c r="Q965">
        <v>0.14507</v>
      </c>
      <c r="R965">
        <v>5.4427660000000003E-2</v>
      </c>
      <c r="S965">
        <v>3.0561829999999999</v>
      </c>
      <c r="T965">
        <v>-0.1577914</v>
      </c>
      <c r="U965">
        <v>6.283569E-2</v>
      </c>
      <c r="V965">
        <v>-5.3413549999999997E-2</v>
      </c>
      <c r="W965">
        <v>0.15536800000000001</v>
      </c>
      <c r="X965">
        <v>0.98641160000000006</v>
      </c>
      <c r="Y965">
        <v>-1.950503E-2</v>
      </c>
      <c r="Z965">
        <v>5.6292479999999997E-4</v>
      </c>
      <c r="AA965">
        <v>0.99980959999999997</v>
      </c>
      <c r="AB965">
        <v>35</v>
      </c>
      <c r="AC965">
        <v>21.290899999999901</v>
      </c>
      <c r="AD965">
        <v>-1.1095159999999999</v>
      </c>
      <c r="AE965">
        <v>0.44169999999996801</v>
      </c>
      <c r="AF965">
        <v>-0.41883195720661298</v>
      </c>
      <c r="AG965">
        <v>-1.1095159999999999</v>
      </c>
      <c r="AH965">
        <v>21.233700542655601</v>
      </c>
      <c r="AI965">
        <v>92.990552344371906</v>
      </c>
      <c r="AJ965">
        <v>91.130005197981504</v>
      </c>
      <c r="AK965">
        <v>21.266793004536598</v>
      </c>
      <c r="AL965">
        <v>81.061860640572505</v>
      </c>
      <c r="AM965">
        <v>93.099502354851893</v>
      </c>
      <c r="AN965">
        <v>1.0000000336810799</v>
      </c>
    </row>
    <row r="966" spans="1:40" x14ac:dyDescent="0.25">
      <c r="A966" t="str">
        <f>"20190304155612574"</f>
        <v>20190304155612574</v>
      </c>
      <c r="B966" t="str">
        <f>"1551686172565685"</f>
        <v>1551686172565685</v>
      </c>
      <c r="C966" t="s">
        <v>40</v>
      </c>
      <c r="D966">
        <v>4.3301449999999999</v>
      </c>
      <c r="E966">
        <v>0.51117559999999995</v>
      </c>
      <c r="F966" t="s">
        <v>44</v>
      </c>
      <c r="G966">
        <v>-279.07740000000001</v>
      </c>
      <c r="H966">
        <v>-0.05</v>
      </c>
      <c r="I966">
        <v>367.46940000000001</v>
      </c>
      <c r="J966">
        <v>-300.32549999999998</v>
      </c>
      <c r="K966">
        <v>1.059517</v>
      </c>
      <c r="L966">
        <v>367.0258</v>
      </c>
      <c r="M966">
        <v>0.99994490000000003</v>
      </c>
      <c r="N966">
        <v>-1.044754E-2</v>
      </c>
      <c r="O966">
        <v>1.020871E-3</v>
      </c>
      <c r="P966">
        <v>0.98787670000000005</v>
      </c>
      <c r="Q966">
        <v>0.1452695</v>
      </c>
      <c r="R966">
        <v>5.4743470000000002E-2</v>
      </c>
      <c r="S966">
        <v>3.0563959999999999</v>
      </c>
      <c r="T966">
        <v>-0.15792829999999999</v>
      </c>
      <c r="U966">
        <v>6.3171389999999994E-2</v>
      </c>
      <c r="V966">
        <v>-5.3729190000000003E-2</v>
      </c>
      <c r="W966">
        <v>0.15558469999999999</v>
      </c>
      <c r="X966">
        <v>0.98636029999999997</v>
      </c>
      <c r="Y966">
        <v>-1.9612870000000001E-2</v>
      </c>
      <c r="Z966">
        <v>5.6681989999999996E-4</v>
      </c>
      <c r="AA966">
        <v>0.99980749999999996</v>
      </c>
      <c r="AB966">
        <v>35</v>
      </c>
      <c r="AC966">
        <v>21.248099999999901</v>
      </c>
      <c r="AD966">
        <v>-1.1095170000000001</v>
      </c>
      <c r="AE966">
        <v>0.44360000000000299</v>
      </c>
      <c r="AF966">
        <v>-0.42076025406140299</v>
      </c>
      <c r="AG966">
        <v>-1.1095170000000001</v>
      </c>
      <c r="AH966">
        <v>21.190787344996899</v>
      </c>
      <c r="AI966">
        <v>92.996592395621704</v>
      </c>
      <c r="AJ966">
        <v>91.137504657597106</v>
      </c>
      <c r="AK966">
        <v>21.2239849101333</v>
      </c>
      <c r="AL966">
        <v>81.049291798178103</v>
      </c>
      <c r="AM966">
        <v>93.117944240777703</v>
      </c>
      <c r="AN966">
        <v>1.0000000330741099</v>
      </c>
    </row>
    <row r="967" spans="1:40" x14ac:dyDescent="0.25">
      <c r="A967" t="str">
        <f>"20190304155612588"</f>
        <v>20190304155612588</v>
      </c>
      <c r="B967" t="str">
        <f>"1551686172575446"</f>
        <v>1551686172575446</v>
      </c>
      <c r="C967" t="s">
        <v>40</v>
      </c>
      <c r="D967">
        <v>4.3498640000000002</v>
      </c>
      <c r="E967">
        <v>0.51112400000000002</v>
      </c>
      <c r="F967" t="s">
        <v>41</v>
      </c>
      <c r="G967">
        <v>-279.83550000000002</v>
      </c>
      <c r="H967" s="1">
        <v>-6.171364E-7</v>
      </c>
      <c r="I967">
        <v>367.45499999999998</v>
      </c>
      <c r="J967">
        <v>-300.1003</v>
      </c>
      <c r="K967">
        <v>1.0595159999999999</v>
      </c>
      <c r="L967">
        <v>367.02600000000001</v>
      </c>
      <c r="M967">
        <v>0.99994470000000002</v>
      </c>
      <c r="N967">
        <v>-1.0464309999999999E-2</v>
      </c>
      <c r="O967">
        <v>1.0210810000000001E-3</v>
      </c>
      <c r="P967">
        <v>0.98782809999999999</v>
      </c>
      <c r="Q967">
        <v>0.1454935</v>
      </c>
      <c r="R967">
        <v>5.5018570000000003E-2</v>
      </c>
      <c r="S967">
        <v>3.0565190000000002</v>
      </c>
      <c r="T967">
        <v>-0.15804860000000001</v>
      </c>
      <c r="U967">
        <v>6.4025879999999993E-2</v>
      </c>
      <c r="V967">
        <v>-5.4004139999999999E-2</v>
      </c>
      <c r="W967">
        <v>0.1558254</v>
      </c>
      <c r="X967">
        <v>0.9863073</v>
      </c>
      <c r="Y967">
        <v>-1.9890729999999999E-2</v>
      </c>
      <c r="Z967">
        <v>5.7595219999999998E-4</v>
      </c>
      <c r="AA967">
        <v>0.99980199999999997</v>
      </c>
      <c r="AB967">
        <v>35</v>
      </c>
      <c r="AC967">
        <v>20.264799999999902</v>
      </c>
      <c r="AD967">
        <v>-1.0595166171364001</v>
      </c>
      <c r="AE967">
        <v>0.42899999999997301</v>
      </c>
      <c r="AF967">
        <v>-0.40719404394216502</v>
      </c>
      <c r="AG967">
        <v>-1.0595166171364001</v>
      </c>
      <c r="AH967">
        <v>20.2100066928279</v>
      </c>
      <c r="AI967">
        <v>93.000395980783395</v>
      </c>
      <c r="AJ967">
        <v>91.154247215134703</v>
      </c>
      <c r="AK967">
        <v>20.241856460699399</v>
      </c>
      <c r="AL967">
        <v>81.035330544784998</v>
      </c>
      <c r="AM967">
        <v>93.134036132860103</v>
      </c>
      <c r="AN967">
        <v>1.00000004622779</v>
      </c>
    </row>
    <row r="968" spans="1:40" x14ac:dyDescent="0.25">
      <c r="A968" t="str">
        <f>"20190304155612599"</f>
        <v>20190304155612599</v>
      </c>
      <c r="B968" t="str">
        <f>"1551686172595942"</f>
        <v>1551686172595942</v>
      </c>
      <c r="C968" t="s">
        <v>40</v>
      </c>
      <c r="D968">
        <v>4.3332470000000001</v>
      </c>
      <c r="E968">
        <v>0.51102760000000003</v>
      </c>
      <c r="F968" t="s">
        <v>41</v>
      </c>
      <c r="G968">
        <v>-279.62740000000002</v>
      </c>
      <c r="H968" s="1">
        <v>-6.8638299999999996E-7</v>
      </c>
      <c r="I968">
        <v>367.46080000000001</v>
      </c>
      <c r="J968">
        <v>-299.91860000000003</v>
      </c>
      <c r="K968">
        <v>1.0595209999999999</v>
      </c>
      <c r="L968">
        <v>367.02620000000002</v>
      </c>
      <c r="M968">
        <v>0.99994470000000002</v>
      </c>
      <c r="N968">
        <v>-1.0476360000000001E-2</v>
      </c>
      <c r="O968">
        <v>1.0210180000000001E-3</v>
      </c>
      <c r="P968">
        <v>0.9878654</v>
      </c>
      <c r="Q968">
        <v>0.14528859999999999</v>
      </c>
      <c r="R968">
        <v>5.4895640000000002E-2</v>
      </c>
      <c r="S968">
        <v>3.0566409999999999</v>
      </c>
      <c r="T968">
        <v>-0.15818759999999901</v>
      </c>
      <c r="U968">
        <v>6.4910889999999999E-2</v>
      </c>
      <c r="V968">
        <v>-5.3881159999999997E-2</v>
      </c>
      <c r="W968">
        <v>0.15563270000000001</v>
      </c>
      <c r="X968">
        <v>0.98634440000000001</v>
      </c>
      <c r="Y968">
        <v>-2.0178789999999999E-2</v>
      </c>
      <c r="Z968">
        <v>5.8543110000000001E-4</v>
      </c>
      <c r="AA968">
        <v>0.99979620000000002</v>
      </c>
      <c r="AB968">
        <v>35</v>
      </c>
      <c r="AC968">
        <v>20.2912</v>
      </c>
      <c r="AD968">
        <v>-1.0595216863829999</v>
      </c>
      <c r="AE968">
        <v>0.434599999999989</v>
      </c>
      <c r="AF968">
        <v>-0.41275609784355299</v>
      </c>
      <c r="AG968">
        <v>-1.0595216863829999</v>
      </c>
      <c r="AH968">
        <v>20.236483867421502</v>
      </c>
      <c r="AI968">
        <v>92.996476706675793</v>
      </c>
      <c r="AJ968">
        <v>91.168478863069893</v>
      </c>
      <c r="AK968">
        <v>20.268404799505898</v>
      </c>
      <c r="AL968">
        <v>81.046507352856096</v>
      </c>
      <c r="AM968">
        <v>93.126796000593302</v>
      </c>
      <c r="AN968">
        <v>0.99999999606179701</v>
      </c>
    </row>
    <row r="969" spans="1:40" x14ac:dyDescent="0.25">
      <c r="A969" t="str">
        <f>"20190304155612610"</f>
        <v>20190304155612610</v>
      </c>
      <c r="B969" t="str">
        <f>"1551686172605701"</f>
        <v>1551686172605701</v>
      </c>
      <c r="C969" t="s">
        <v>40</v>
      </c>
      <c r="D969">
        <v>4.33453</v>
      </c>
      <c r="E969">
        <v>0.51123499999999999</v>
      </c>
      <c r="F969" t="s">
        <v>41</v>
      </c>
      <c r="G969">
        <v>-279.7158</v>
      </c>
      <c r="H969" s="1">
        <v>-6.5694969999999999E-7</v>
      </c>
      <c r="I969">
        <v>367.45839999999998</v>
      </c>
      <c r="J969">
        <v>-299.7439</v>
      </c>
      <c r="K969">
        <v>1.0595220000000001</v>
      </c>
      <c r="L969">
        <v>367.02640000000002</v>
      </c>
      <c r="M969">
        <v>0.99994450000000001</v>
      </c>
      <c r="N969">
        <v>-1.048758E-2</v>
      </c>
      <c r="O969">
        <v>1.0213170000000001E-3</v>
      </c>
      <c r="P969">
        <v>0.98792179999999996</v>
      </c>
      <c r="Q969">
        <v>0.14487459999999999</v>
      </c>
      <c r="R969">
        <v>5.497316E-2</v>
      </c>
      <c r="S969">
        <v>3.0567929999999999</v>
      </c>
      <c r="T969">
        <v>-0.1603106</v>
      </c>
      <c r="U969">
        <v>6.5399170000000006E-2</v>
      </c>
      <c r="V969">
        <v>-5.3958470000000001E-2</v>
      </c>
      <c r="W969">
        <v>0.15523000000000001</v>
      </c>
      <c r="X969">
        <v>0.98640360000000005</v>
      </c>
      <c r="Y969">
        <v>-2.033602E-2</v>
      </c>
      <c r="Z969">
        <v>5.9675099999999997E-4</v>
      </c>
      <c r="AA969">
        <v>0.99979309999999999</v>
      </c>
      <c r="AB969">
        <v>35</v>
      </c>
      <c r="AC969">
        <v>20.028099999999899</v>
      </c>
      <c r="AD969">
        <v>-1.0595226569496901</v>
      </c>
      <c r="AE969">
        <v>0.43199999999995897</v>
      </c>
      <c r="AF969">
        <v>-0.41039561152874598</v>
      </c>
      <c r="AG969">
        <v>-1.0595226569496901</v>
      </c>
      <c r="AH969">
        <v>19.972661268942499</v>
      </c>
      <c r="AI969">
        <v>93.035977557049605</v>
      </c>
      <c r="AJ969">
        <v>91.177140476246194</v>
      </c>
      <c r="AK969">
        <v>20.004954660845101</v>
      </c>
      <c r="AL969">
        <v>81.069863953709401</v>
      </c>
      <c r="AM969">
        <v>93.131085929608602</v>
      </c>
      <c r="AN969">
        <v>0.99999996573884897</v>
      </c>
    </row>
    <row r="970" spans="1:40" x14ac:dyDescent="0.25">
      <c r="A970" t="str">
        <f>"20190304155612622"</f>
        <v>20190304155612622</v>
      </c>
      <c r="B970" t="str">
        <f>"1551686172615461"</f>
        <v>1551686172615461</v>
      </c>
      <c r="C970" t="s">
        <v>40</v>
      </c>
      <c r="D970">
        <v>4.3096730000000001</v>
      </c>
      <c r="E970">
        <v>0.51123499999999999</v>
      </c>
      <c r="F970" t="s">
        <v>41</v>
      </c>
      <c r="G970">
        <v>-279.58980000000003</v>
      </c>
      <c r="H970" s="1">
        <v>-7.0169939999999898E-7</v>
      </c>
      <c r="I970">
        <v>367.4513</v>
      </c>
      <c r="J970">
        <v>-299.55380000000002</v>
      </c>
      <c r="K970">
        <v>1.059523</v>
      </c>
      <c r="L970">
        <v>367.02659999999997</v>
      </c>
      <c r="M970">
        <v>0.99994430000000001</v>
      </c>
      <c r="N970">
        <v>-1.0498530000000001E-2</v>
      </c>
      <c r="O970">
        <v>1.0216170000000001E-3</v>
      </c>
      <c r="P970">
        <v>0.987954</v>
      </c>
      <c r="Q970">
        <v>0.1447126</v>
      </c>
      <c r="R970">
        <v>5.4819569999999998E-2</v>
      </c>
      <c r="S970">
        <v>3.0566710000000001</v>
      </c>
      <c r="T970">
        <v>-0.16069220000000001</v>
      </c>
      <c r="U970">
        <v>6.4453129999999997E-2</v>
      </c>
      <c r="V970">
        <v>-5.3804539999999998E-2</v>
      </c>
      <c r="W970">
        <v>0.155079299999999</v>
      </c>
      <c r="X970">
        <v>0.98643579999999997</v>
      </c>
      <c r="Y970">
        <v>-2.0027639999999999E-2</v>
      </c>
      <c r="Z970">
        <v>5.8830120000000002E-4</v>
      </c>
      <c r="AA970">
        <v>0.99979929999999995</v>
      </c>
      <c r="AB970">
        <v>35</v>
      </c>
      <c r="AC970">
        <v>19.963999999999999</v>
      </c>
      <c r="AD970">
        <v>-1.0595237016993999</v>
      </c>
      <c r="AE970">
        <v>0.424700000000029</v>
      </c>
      <c r="AF970">
        <v>-0.40316803891978797</v>
      </c>
      <c r="AG970">
        <v>-1.0595237016993999</v>
      </c>
      <c r="AH970">
        <v>19.908374785613599</v>
      </c>
      <c r="AI970">
        <v>93.045784046228405</v>
      </c>
      <c r="AJ970">
        <v>91.160148443318803</v>
      </c>
      <c r="AK970">
        <v>19.940624903611301</v>
      </c>
      <c r="AL970">
        <v>81.078605053403805</v>
      </c>
      <c r="AM970">
        <v>93.122069707852503</v>
      </c>
      <c r="AN970">
        <v>1.00000005266736</v>
      </c>
    </row>
    <row r="971" spans="1:40" x14ac:dyDescent="0.25">
      <c r="A971" t="str">
        <f>"20190304155612634"</f>
        <v>20190304155612634</v>
      </c>
      <c r="B971" t="str">
        <f>"1551686172626198"</f>
        <v>1551686172626198</v>
      </c>
      <c r="C971" t="s">
        <v>40</v>
      </c>
      <c r="D971">
        <v>4.3359269999999999</v>
      </c>
      <c r="E971">
        <v>0.51144239999999996</v>
      </c>
      <c r="F971" t="s">
        <v>41</v>
      </c>
      <c r="G971">
        <v>-279.45929999999998</v>
      </c>
      <c r="H971" s="1">
        <v>-7.4815169999999895E-7</v>
      </c>
      <c r="I971">
        <v>367.44369999999998</v>
      </c>
      <c r="J971">
        <v>-299.37189999999998</v>
      </c>
      <c r="K971">
        <v>1.0595159999999999</v>
      </c>
      <c r="L971">
        <v>367.02679999999998</v>
      </c>
      <c r="M971">
        <v>0.99994439999999996</v>
      </c>
      <c r="N971">
        <v>-1.050862E-2</v>
      </c>
      <c r="O971">
        <v>1.0215630000000001E-3</v>
      </c>
      <c r="P971">
        <v>0.98798280000000005</v>
      </c>
      <c r="Q971">
        <v>0.14450929999999901</v>
      </c>
      <c r="R971">
        <v>5.4840060000000003E-2</v>
      </c>
      <c r="S971">
        <v>3.0566409999999999</v>
      </c>
      <c r="T971">
        <v>-0.1611667</v>
      </c>
      <c r="U971">
        <v>6.3446039999999995E-2</v>
      </c>
      <c r="V971">
        <v>-5.3824999999999998E-2</v>
      </c>
      <c r="W971">
        <v>0.1548861</v>
      </c>
      <c r="X971">
        <v>0.98646500000000004</v>
      </c>
      <c r="Y971">
        <v>-1.9699009999999999E-2</v>
      </c>
      <c r="Z971">
        <v>5.7942889999999998E-4</v>
      </c>
      <c r="AA971">
        <v>0.99980579999999997</v>
      </c>
      <c r="AB971">
        <v>35</v>
      </c>
      <c r="AC971">
        <v>19.912600000000001</v>
      </c>
      <c r="AD971">
        <v>-1.0595167481516901</v>
      </c>
      <c r="AE971">
        <v>0.41689999999999799</v>
      </c>
      <c r="AF971">
        <v>-0.395437641987543</v>
      </c>
      <c r="AG971">
        <v>-1.0595167481516901</v>
      </c>
      <c r="AH971">
        <v>19.856822918664101</v>
      </c>
      <c r="AI971">
        <v>93.053677100497595</v>
      </c>
      <c r="AJ971">
        <v>91.140862947733893</v>
      </c>
      <c r="AK971">
        <v>19.889001058160201</v>
      </c>
      <c r="AL971">
        <v>81.089809649889006</v>
      </c>
      <c r="AM971">
        <v>93.1231623053324</v>
      </c>
      <c r="AN971">
        <v>1.0000000154116</v>
      </c>
    </row>
    <row r="972" spans="1:40" x14ac:dyDescent="0.25">
      <c r="A972" t="str">
        <f>"20190304155612646"</f>
        <v>20190304155612646</v>
      </c>
      <c r="B972" t="str">
        <f>"1551686172635491"</f>
        <v>1551686172635491</v>
      </c>
      <c r="C972" t="s">
        <v>40</v>
      </c>
      <c r="D972">
        <v>4.4024769999999904</v>
      </c>
      <c r="E972">
        <v>0.51144239999999996</v>
      </c>
      <c r="F972" t="s">
        <v>41</v>
      </c>
      <c r="G972">
        <v>-279.23489999999998</v>
      </c>
      <c r="H972" s="1">
        <v>-8.2785250000000001E-7</v>
      </c>
      <c r="I972">
        <v>367.43110000000001</v>
      </c>
      <c r="J972">
        <v>-299.17099999999999</v>
      </c>
      <c r="K972">
        <v>1.059517</v>
      </c>
      <c r="L972">
        <v>367.02699999999999</v>
      </c>
      <c r="M972">
        <v>0.99994419999999995</v>
      </c>
      <c r="N972">
        <v>-1.051903E-2</v>
      </c>
      <c r="O972">
        <v>1.021807E-3</v>
      </c>
      <c r="P972">
        <v>0.98804890000000001</v>
      </c>
      <c r="Q972">
        <v>0.14406620000000001</v>
      </c>
      <c r="R972">
        <v>5.4814269999999998E-2</v>
      </c>
      <c r="S972">
        <v>3.0565799999999999</v>
      </c>
      <c r="T972">
        <v>-0.1608224</v>
      </c>
      <c r="U972">
        <v>6.1370849999999998E-2</v>
      </c>
      <c r="V972">
        <v>-5.3799050000000001E-2</v>
      </c>
      <c r="W972">
        <v>0.15445410000000001</v>
      </c>
      <c r="X972">
        <v>0.98653409999999997</v>
      </c>
      <c r="Y972">
        <v>-1.9021900000000001E-2</v>
      </c>
      <c r="Z972">
        <v>5.5718769999999905E-4</v>
      </c>
      <c r="AA972">
        <v>0.99981889999999995</v>
      </c>
      <c r="AB972">
        <v>35</v>
      </c>
      <c r="AC972">
        <v>19.9361</v>
      </c>
      <c r="AD972">
        <v>-1.0595178278524999</v>
      </c>
      <c r="AE972">
        <v>0.40410000000002799</v>
      </c>
      <c r="AF972">
        <v>-0.38264748596822501</v>
      </c>
      <c r="AG972">
        <v>-1.0595178278524999</v>
      </c>
      <c r="AH972">
        <v>19.880374175020801</v>
      </c>
      <c r="AI972">
        <v>93.050109245271997</v>
      </c>
      <c r="AJ972">
        <v>91.102664316985397</v>
      </c>
      <c r="AK972">
        <v>19.912264423337</v>
      </c>
      <c r="AL972">
        <v>81.114862494011902</v>
      </c>
      <c r="AM972">
        <v>93.121441332751004</v>
      </c>
      <c r="AN972">
        <v>0.99999996862525997</v>
      </c>
    </row>
    <row r="973" spans="1:40" x14ac:dyDescent="0.25">
      <c r="A973" t="str">
        <f>"20190304155612666"</f>
        <v>20190304155612666</v>
      </c>
      <c r="B973" t="str">
        <f>"1551686172655986"</f>
        <v>1551686172655986</v>
      </c>
      <c r="C973" t="s">
        <v>40</v>
      </c>
      <c r="D973">
        <v>4.3574419999999998</v>
      </c>
      <c r="E973">
        <v>0.52791359999999998</v>
      </c>
      <c r="F973" t="s">
        <v>41</v>
      </c>
      <c r="G973">
        <v>-279.20249999999999</v>
      </c>
      <c r="H973" s="1">
        <v>-8.3910829999999998E-7</v>
      </c>
      <c r="I973">
        <v>367.43029999999999</v>
      </c>
      <c r="J973">
        <v>-298.85860000000002</v>
      </c>
      <c r="K973">
        <v>1.0595139999999901</v>
      </c>
      <c r="L973">
        <v>367.02730000000003</v>
      </c>
      <c r="M973">
        <v>0.99994400000000006</v>
      </c>
      <c r="N973">
        <v>-1.053363E-2</v>
      </c>
      <c r="O973">
        <v>1.0220870000000001E-3</v>
      </c>
      <c r="P973">
        <v>0.98815030000000004</v>
      </c>
      <c r="Q973">
        <v>0.14339549999999901</v>
      </c>
      <c r="R973">
        <v>5.4743140000000003E-2</v>
      </c>
      <c r="S973">
        <v>3.0565190000000002</v>
      </c>
      <c r="T973">
        <v>-0.1621764</v>
      </c>
      <c r="U973">
        <v>6.1737060000000003E-2</v>
      </c>
      <c r="V973">
        <v>-5.3726990000000002E-2</v>
      </c>
      <c r="W973">
        <v>0.15379880000000001</v>
      </c>
      <c r="X973">
        <v>0.98664050000000003</v>
      </c>
      <c r="Y973">
        <v>-1.9141080000000001E-2</v>
      </c>
      <c r="Z973">
        <v>5.648793E-4</v>
      </c>
      <c r="AA973">
        <v>0.9998167</v>
      </c>
      <c r="AB973">
        <v>35</v>
      </c>
      <c r="AC973">
        <v>19.656099999999999</v>
      </c>
      <c r="AD973">
        <v>-1.05951483910829</v>
      </c>
      <c r="AE973">
        <v>0.402999999999963</v>
      </c>
      <c r="AF973">
        <v>-0.381799581826889</v>
      </c>
      <c r="AG973">
        <v>-1.05951483910829</v>
      </c>
      <c r="AH973">
        <v>19.5995792024781</v>
      </c>
      <c r="AI973">
        <v>93.093699991992807</v>
      </c>
      <c r="AJ973">
        <v>91.115979992739298</v>
      </c>
      <c r="AK973">
        <v>19.631908912002999</v>
      </c>
      <c r="AL973">
        <v>81.152863365898597</v>
      </c>
      <c r="AM973">
        <v>93.116933129875306</v>
      </c>
      <c r="AN973">
        <v>1.0000000682880701</v>
      </c>
    </row>
    <row r="974" spans="1:40" x14ac:dyDescent="0.25">
      <c r="A974" t="str">
        <f>"20190304155612679"</f>
        <v>20190304155612679</v>
      </c>
      <c r="B974" t="str">
        <f>"1551686172675507"</f>
        <v>1551686172675507</v>
      </c>
      <c r="C974" t="s">
        <v>40</v>
      </c>
      <c r="D974">
        <v>4.5422960000000003</v>
      </c>
      <c r="E974">
        <v>0.51953170000000004</v>
      </c>
      <c r="F974" t="s">
        <v>43</v>
      </c>
      <c r="G974">
        <v>-158.19499999999999</v>
      </c>
      <c r="H974">
        <v>1.185292</v>
      </c>
      <c r="I974">
        <v>363.9511</v>
      </c>
      <c r="J974">
        <v>-298.6628</v>
      </c>
      <c r="K974">
        <v>1.0595139999999901</v>
      </c>
      <c r="L974">
        <v>367.02760000000001</v>
      </c>
      <c r="M974">
        <v>0.99994400000000006</v>
      </c>
      <c r="N974">
        <v>-1.054185E-2</v>
      </c>
      <c r="O974">
        <v>1.0220439999999999E-3</v>
      </c>
      <c r="P974">
        <v>0.98819809999999997</v>
      </c>
      <c r="Q974">
        <v>0.1430872</v>
      </c>
      <c r="R974">
        <v>5.469102E-2</v>
      </c>
      <c r="S974">
        <v>3.0392459999999999</v>
      </c>
      <c r="T974">
        <v>2.7195219999999998E-3</v>
      </c>
      <c r="U974">
        <v>-6.6467289999999998E-2</v>
      </c>
      <c r="V974">
        <v>-5.3674939999999997E-2</v>
      </c>
      <c r="W974">
        <v>0.15349960000000001</v>
      </c>
      <c r="X974">
        <v>0.98668990000000001</v>
      </c>
      <c r="Y974">
        <v>2.2886320000000002E-2</v>
      </c>
      <c r="Z974" s="1">
        <v>-9.8723799999999998E-5</v>
      </c>
      <c r="AA974">
        <v>0.99973809999999996</v>
      </c>
      <c r="AB974">
        <v>35</v>
      </c>
      <c r="AC974">
        <v>140.46780000000001</v>
      </c>
      <c r="AD974">
        <v>0.125778</v>
      </c>
      <c r="AE974">
        <v>-3.0764999999999998</v>
      </c>
      <c r="AF974">
        <v>3.2200680496920202</v>
      </c>
      <c r="AG974">
        <v>0.125778</v>
      </c>
      <c r="AH974">
        <v>140.46446956676499</v>
      </c>
      <c r="AI974">
        <v>89.948708354702106</v>
      </c>
      <c r="AJ974">
        <v>88.686756869348002</v>
      </c>
      <c r="AK974">
        <v>140.501430131592</v>
      </c>
      <c r="AL974">
        <v>81.170212043422495</v>
      </c>
      <c r="AM974">
        <v>93.113763835702898</v>
      </c>
      <c r="AN974">
        <v>1.00000004257308</v>
      </c>
    </row>
    <row r="975" spans="1:40" x14ac:dyDescent="0.25">
      <c r="A975" t="str">
        <f>"20190304155612692"</f>
        <v>20190304155612692</v>
      </c>
      <c r="B975" t="str">
        <f>"1551686172685267"</f>
        <v>1551686172685267</v>
      </c>
      <c r="C975" t="s">
        <v>40</v>
      </c>
      <c r="D975">
        <v>4.3776549999999999</v>
      </c>
      <c r="E975">
        <v>0.51894119999999999</v>
      </c>
      <c r="F975" t="s">
        <v>41</v>
      </c>
      <c r="G975">
        <v>-275.93799999999999</v>
      </c>
      <c r="H975" s="1">
        <v>-2.1879179999999999E-6</v>
      </c>
      <c r="I975">
        <v>367.00619999999998</v>
      </c>
      <c r="J975">
        <v>-298.46210000000002</v>
      </c>
      <c r="K975">
        <v>1.0595139999999901</v>
      </c>
      <c r="L975">
        <v>367.02780000000001</v>
      </c>
      <c r="M975">
        <v>0.99994400000000006</v>
      </c>
      <c r="N975">
        <v>-1.0549889999999999E-2</v>
      </c>
      <c r="O975">
        <v>1.022001E-3</v>
      </c>
      <c r="P975">
        <v>0.98824109999999998</v>
      </c>
      <c r="Q975">
        <v>0.142797799999999</v>
      </c>
      <c r="R975">
        <v>5.4669120000000002E-2</v>
      </c>
      <c r="S975">
        <v>3.0565799999999999</v>
      </c>
      <c r="T975">
        <v>-0.1425081</v>
      </c>
      <c r="U975">
        <v>-2.8686520000000002E-3</v>
      </c>
      <c r="V975">
        <v>-5.3653319999999997E-2</v>
      </c>
      <c r="W975">
        <v>0.1532183</v>
      </c>
      <c r="X975">
        <v>0.98673469999999996</v>
      </c>
      <c r="Y975">
        <v>1.9573020000000002E-3</v>
      </c>
      <c r="Z975" s="1">
        <v>-9.2780610000000005E-5</v>
      </c>
      <c r="AA975">
        <v>0.9999981</v>
      </c>
      <c r="AB975">
        <v>35</v>
      </c>
      <c r="AC975">
        <v>22.524100000000001</v>
      </c>
      <c r="AD975">
        <v>-1.059516187918</v>
      </c>
      <c r="AE975">
        <v>-2.16000000000349E-2</v>
      </c>
      <c r="AF975">
        <v>4.45224044648629E-2</v>
      </c>
      <c r="AG975">
        <v>-1.059516187918</v>
      </c>
      <c r="AH975">
        <v>22.4743374944339</v>
      </c>
      <c r="AI975">
        <v>92.699112891920393</v>
      </c>
      <c r="AJ975">
        <v>89.886495317906594</v>
      </c>
      <c r="AK975">
        <v>22.4993422706237</v>
      </c>
      <c r="AL975">
        <v>81.186521439467995</v>
      </c>
      <c r="AM975">
        <v>93.112371056286904</v>
      </c>
      <c r="AN975">
        <v>0.99999994719299901</v>
      </c>
    </row>
    <row r="976" spans="1:40" x14ac:dyDescent="0.25">
      <c r="A976" t="str">
        <f>"20190304155612702"</f>
        <v>20190304155612702</v>
      </c>
      <c r="B976" t="str">
        <f>"1551686172696002"</f>
        <v>1551686172696002</v>
      </c>
      <c r="C976" t="s">
        <v>40</v>
      </c>
      <c r="D976">
        <v>4.3725059999999996</v>
      </c>
      <c r="E976">
        <v>0.51915909999999998</v>
      </c>
      <c r="F976" t="s">
        <v>41</v>
      </c>
      <c r="G976">
        <v>-276.02109999999999</v>
      </c>
      <c r="H976" s="1">
        <v>-2.145367E-6</v>
      </c>
      <c r="I976">
        <v>367.04500000000002</v>
      </c>
      <c r="J976">
        <v>-298.27749999999997</v>
      </c>
      <c r="K976">
        <v>1.0595209999999999</v>
      </c>
      <c r="L976">
        <v>367.02800000000002</v>
      </c>
      <c r="M976">
        <v>0.99994380000000005</v>
      </c>
      <c r="N976">
        <v>-1.0556619999999999E-2</v>
      </c>
      <c r="O976">
        <v>1.0223229999999999E-3</v>
      </c>
      <c r="P976">
        <v>0.98831919999999995</v>
      </c>
      <c r="Q976">
        <v>0.1423227</v>
      </c>
      <c r="R976">
        <v>5.4491619999999998E-2</v>
      </c>
      <c r="S976">
        <v>3.0564269999999998</v>
      </c>
      <c r="T976">
        <v>-0.1443036</v>
      </c>
      <c r="U976">
        <v>2.3498540000000002E-3</v>
      </c>
      <c r="V976">
        <v>-5.3475149999999999E-2</v>
      </c>
      <c r="W976">
        <v>0.15275079999999999</v>
      </c>
      <c r="X976">
        <v>0.9868169</v>
      </c>
      <c r="Y976">
        <v>2.5252590000000001E-4</v>
      </c>
      <c r="Z976" s="1">
        <v>-4.4744109999999998E-5</v>
      </c>
      <c r="AA976">
        <v>0.99999990000000005</v>
      </c>
      <c r="AB976">
        <v>35</v>
      </c>
      <c r="AC976">
        <v>22.2563999999999</v>
      </c>
      <c r="AD976">
        <v>-1.059523145367</v>
      </c>
      <c r="AE976">
        <v>1.69999999999959E-2</v>
      </c>
      <c r="AF976">
        <v>5.7414936634932797E-3</v>
      </c>
      <c r="AG976">
        <v>-1.059523145367</v>
      </c>
      <c r="AH976">
        <v>22.2060808713175</v>
      </c>
      <c r="AI976">
        <v>92.7316931243071</v>
      </c>
      <c r="AJ976">
        <v>89.985185888964594</v>
      </c>
      <c r="AK976">
        <v>22.231343862299699</v>
      </c>
      <c r="AL976">
        <v>81.213626715861494</v>
      </c>
      <c r="AM976">
        <v>93.101797935387197</v>
      </c>
      <c r="AN976">
        <v>0.99999999634688597</v>
      </c>
    </row>
    <row r="977" spans="1:40" x14ac:dyDescent="0.25">
      <c r="A977" t="str">
        <f>"20190304155612714"</f>
        <v>20190304155612714</v>
      </c>
      <c r="B977" t="str">
        <f>"1551686172705762"</f>
        <v>1551686172705762</v>
      </c>
      <c r="C977" t="s">
        <v>40</v>
      </c>
      <c r="D977">
        <v>4.3799919999999997</v>
      </c>
      <c r="E977">
        <v>0.51887740000000004</v>
      </c>
      <c r="F977" t="s">
        <v>41</v>
      </c>
      <c r="G977">
        <v>-275.98820000000001</v>
      </c>
      <c r="H977" s="1">
        <v>-2.1623820000000002E-6</v>
      </c>
      <c r="I977">
        <v>367.02859999999998</v>
      </c>
      <c r="J977">
        <v>-298.10660000000001</v>
      </c>
      <c r="K977">
        <v>1.05952</v>
      </c>
      <c r="L977">
        <v>367.02809999999999</v>
      </c>
      <c r="M977">
        <v>0.99994369999999999</v>
      </c>
      <c r="N977">
        <v>-1.056261E-2</v>
      </c>
      <c r="O977">
        <v>1.0224699999999999E-3</v>
      </c>
      <c r="P977">
        <v>0.98839379999999999</v>
      </c>
      <c r="Q977">
        <v>0.14185420000000001</v>
      </c>
      <c r="R977">
        <v>5.4360619999999998E-2</v>
      </c>
      <c r="S977">
        <v>3.0563349999999998</v>
      </c>
      <c r="T977">
        <v>-0.145282299999999</v>
      </c>
      <c r="U977" s="1">
        <v>9.1552730000000004E-5</v>
      </c>
      <c r="V977">
        <v>-5.3343950000000001E-2</v>
      </c>
      <c r="W977">
        <v>0.15228900000000001</v>
      </c>
      <c r="X977">
        <v>0.98689539999999998</v>
      </c>
      <c r="Y977">
        <v>9.9050669999999996E-4</v>
      </c>
      <c r="Z977" s="1">
        <v>-6.6543370000000002E-5</v>
      </c>
      <c r="AA977">
        <v>0.99999950000000004</v>
      </c>
      <c r="AB977">
        <v>35</v>
      </c>
      <c r="AC977">
        <v>22.118400000000001</v>
      </c>
      <c r="AD977">
        <v>-1.0595221623819999</v>
      </c>
      <c r="AE977">
        <v>4.9999999998817603E-4</v>
      </c>
      <c r="AF977">
        <v>2.2066028831922799E-2</v>
      </c>
      <c r="AG977">
        <v>-1.0595221623819999</v>
      </c>
      <c r="AH977">
        <v>22.067751622372199</v>
      </c>
      <c r="AI977">
        <v>92.748786431664001</v>
      </c>
      <c r="AJ977">
        <v>89.942708712561497</v>
      </c>
      <c r="AK977">
        <v>22.093183016236502</v>
      </c>
      <c r="AL977">
        <v>81.240399373787994</v>
      </c>
      <c r="AM977">
        <v>93.093956912322597</v>
      </c>
      <c r="AN977">
        <v>1.00000002353188</v>
      </c>
    </row>
    <row r="978" spans="1:40" x14ac:dyDescent="0.25">
      <c r="A978" t="str">
        <f>"20190304155612725"</f>
        <v>20190304155612725</v>
      </c>
      <c r="B978" t="str">
        <f>"1551686172715523"</f>
        <v>1551686172715523</v>
      </c>
      <c r="C978" t="s">
        <v>40</v>
      </c>
      <c r="D978">
        <v>4.4720500000000003</v>
      </c>
      <c r="E978">
        <v>0.51887740000000004</v>
      </c>
      <c r="F978" t="s">
        <v>41</v>
      </c>
      <c r="G978">
        <v>-276.0061</v>
      </c>
      <c r="H978" s="1">
        <v>-2.152503E-6</v>
      </c>
      <c r="I978">
        <v>367.04090000000002</v>
      </c>
      <c r="J978">
        <v>-297.92790000000002</v>
      </c>
      <c r="K978">
        <v>1.0595220000000001</v>
      </c>
      <c r="L978">
        <v>367.0283</v>
      </c>
      <c r="M978">
        <v>0.99994369999999999</v>
      </c>
      <c r="N978">
        <v>-1.056848E-2</v>
      </c>
      <c r="O978">
        <v>1.022558E-3</v>
      </c>
      <c r="P978">
        <v>0.98851500000000003</v>
      </c>
      <c r="Q978">
        <v>0.1410448</v>
      </c>
      <c r="R978">
        <v>5.4265149999999998E-2</v>
      </c>
      <c r="S978">
        <v>3.056152</v>
      </c>
      <c r="T978">
        <v>-0.146514899999999</v>
      </c>
      <c r="U978">
        <v>1.77002E-3</v>
      </c>
      <c r="V978">
        <v>-5.3248940000000002E-2</v>
      </c>
      <c r="W978">
        <v>0.15148629999999999</v>
      </c>
      <c r="X978">
        <v>0.98702400000000001</v>
      </c>
      <c r="Y978">
        <v>4.4211590000000001E-4</v>
      </c>
      <c r="Z978" s="1">
        <v>-5.1121510000000002E-5</v>
      </c>
      <c r="AA978">
        <v>0.99999990000000005</v>
      </c>
      <c r="AB978">
        <v>35</v>
      </c>
      <c r="AC978">
        <v>21.921800000000001</v>
      </c>
      <c r="AD978">
        <v>-1.0595241525029999</v>
      </c>
      <c r="AE978">
        <v>1.26000000000203E-2</v>
      </c>
      <c r="AF978">
        <v>9.7946887415583002E-3</v>
      </c>
      <c r="AG978">
        <v>-1.0595241525029999</v>
      </c>
      <c r="AH978">
        <v>21.870711872889299</v>
      </c>
      <c r="AI978">
        <v>92.773518878599305</v>
      </c>
      <c r="AJ978">
        <v>89.974340373908305</v>
      </c>
      <c r="AK978">
        <v>21.896363286916099</v>
      </c>
      <c r="AL978">
        <v>81.286930027325397</v>
      </c>
      <c r="AM978">
        <v>93.088055377927006</v>
      </c>
      <c r="AN978">
        <v>0.99999996263740598</v>
      </c>
    </row>
    <row r="979" spans="1:40" x14ac:dyDescent="0.25">
      <c r="A979" t="str">
        <f>"20190304155612736"</f>
        <v>20190304155612736</v>
      </c>
      <c r="B979" t="str">
        <f>"1551686172725283"</f>
        <v>1551686172725283</v>
      </c>
      <c r="C979" t="s">
        <v>40</v>
      </c>
      <c r="D979">
        <v>4.4517329999999999</v>
      </c>
      <c r="E979">
        <v>0.53372209999999998</v>
      </c>
      <c r="F979" t="s">
        <v>41</v>
      </c>
      <c r="G979">
        <v>-276.20460000000003</v>
      </c>
      <c r="H979" s="1">
        <v>-2.0674599999999999E-6</v>
      </c>
      <c r="I979">
        <v>367.04039999999998</v>
      </c>
      <c r="J979">
        <v>-297.75729999999999</v>
      </c>
      <c r="K979">
        <v>1.059515</v>
      </c>
      <c r="L979">
        <v>367.02850000000001</v>
      </c>
      <c r="M979">
        <v>0.99994369999999999</v>
      </c>
      <c r="N979">
        <v>-1.0573809999999999E-2</v>
      </c>
      <c r="O979">
        <v>1.0227089999999999E-3</v>
      </c>
      <c r="P979">
        <v>0.9885929</v>
      </c>
      <c r="Q979">
        <v>0.1404552</v>
      </c>
      <c r="R979">
        <v>5.4377040000000001E-2</v>
      </c>
      <c r="S979">
        <v>3.0560299999999998</v>
      </c>
      <c r="T979">
        <v>-0.14905260000000001</v>
      </c>
      <c r="U979">
        <v>1.708984E-3</v>
      </c>
      <c r="V979">
        <v>-5.3360119999999997E-2</v>
      </c>
      <c r="W979">
        <v>0.15090329999999999</v>
      </c>
      <c r="X979">
        <v>0.98710730000000002</v>
      </c>
      <c r="Y979">
        <v>4.6213470000000003E-4</v>
      </c>
      <c r="Z979" s="1">
        <v>-5.2750329999999997E-5</v>
      </c>
      <c r="AA979">
        <v>0.99999990000000005</v>
      </c>
      <c r="AB979">
        <v>35</v>
      </c>
      <c r="AC979">
        <v>21.552699999999898</v>
      </c>
      <c r="AD979">
        <v>-1.0595170674600001</v>
      </c>
      <c r="AE979">
        <v>1.18999999999687E-2</v>
      </c>
      <c r="AF979">
        <v>1.01189221837644E-2</v>
      </c>
      <c r="AG979">
        <v>-1.0595170674600001</v>
      </c>
      <c r="AH979">
        <v>21.500741292512199</v>
      </c>
      <c r="AI979">
        <v>92.821148448955199</v>
      </c>
      <c r="AJ979">
        <v>89.973034813839305</v>
      </c>
      <c r="AK979">
        <v>21.526833369921398</v>
      </c>
      <c r="AL979">
        <v>81.320721961824404</v>
      </c>
      <c r="AM979">
        <v>93.094229869499202</v>
      </c>
      <c r="AN979">
        <v>0.99999996503529598</v>
      </c>
    </row>
    <row r="980" spans="1:40" x14ac:dyDescent="0.25">
      <c r="A980" t="str">
        <f>"20190304155612751"</f>
        <v>20190304155612751</v>
      </c>
      <c r="B980" t="str">
        <f>"1551686172745311"</f>
        <v>1551686172745311</v>
      </c>
      <c r="C980" t="s">
        <v>40</v>
      </c>
      <c r="D980">
        <v>4.1883210000000002</v>
      </c>
      <c r="E980">
        <v>0.58332680000000003</v>
      </c>
      <c r="F980" t="s">
        <v>41</v>
      </c>
      <c r="G980">
        <v>-265.79820000000001</v>
      </c>
      <c r="H980" s="1">
        <v>-2.4580399999999998E-6</v>
      </c>
      <c r="I980">
        <v>365.82119999999998</v>
      </c>
      <c r="J980">
        <v>-297.53969999999998</v>
      </c>
      <c r="K980">
        <v>1.0595139999999901</v>
      </c>
      <c r="L980">
        <v>367.02870000000001</v>
      </c>
      <c r="M980">
        <v>0.99994360000000004</v>
      </c>
      <c r="N980">
        <v>-1.0580330000000001E-2</v>
      </c>
      <c r="O980">
        <v>1.022853E-3</v>
      </c>
      <c r="P980">
        <v>0.98866100000000001</v>
      </c>
      <c r="Q980">
        <v>0.14008679999999901</v>
      </c>
      <c r="R980">
        <v>5.4087679999999999E-2</v>
      </c>
      <c r="S980">
        <v>3.0553590000000002</v>
      </c>
      <c r="T980">
        <v>-0.1012923</v>
      </c>
      <c r="U980">
        <v>-0.11541750000000001</v>
      </c>
      <c r="V980">
        <v>-5.3070779999999998E-2</v>
      </c>
      <c r="W980">
        <v>0.1505417</v>
      </c>
      <c r="X980">
        <v>0.98717809999999995</v>
      </c>
      <c r="Y980">
        <v>3.8742360000000003E-2</v>
      </c>
      <c r="Z980">
        <v>-8.6997319999999997E-4</v>
      </c>
      <c r="AA980">
        <v>0.9992489</v>
      </c>
      <c r="AB980">
        <v>35</v>
      </c>
      <c r="AC980">
        <v>31.741499999999899</v>
      </c>
      <c r="AD980">
        <v>-1.0595164580399901</v>
      </c>
      <c r="AE980">
        <v>-1.20750000000003</v>
      </c>
      <c r="AF980">
        <v>1.2385900366120699</v>
      </c>
      <c r="AG980">
        <v>-1.0595164580399901</v>
      </c>
      <c r="AH980">
        <v>31.7049738100418</v>
      </c>
      <c r="AI980">
        <v>91.912539653262897</v>
      </c>
      <c r="AJ980">
        <v>87.762814337806802</v>
      </c>
      <c r="AK980">
        <v>31.746843066659199</v>
      </c>
      <c r="AL980">
        <v>81.341679455777694</v>
      </c>
      <c r="AM980">
        <v>93.077263759919504</v>
      </c>
      <c r="AN980">
        <v>0.99999995612415304</v>
      </c>
    </row>
    <row r="981" spans="1:40" x14ac:dyDescent="0.25">
      <c r="A981" t="str">
        <f>"20190304155612763"</f>
        <v>20190304155612763</v>
      </c>
      <c r="B981" t="str">
        <f>"1551686172756047"</f>
        <v>1551686172756047</v>
      </c>
      <c r="C981" t="s">
        <v>40</v>
      </c>
      <c r="D981">
        <v>4.2276660000000001</v>
      </c>
      <c r="E981">
        <v>0.58880619999999995</v>
      </c>
      <c r="F981" t="s">
        <v>44</v>
      </c>
      <c r="G981">
        <v>-280.23160000000001</v>
      </c>
      <c r="H981">
        <v>-0.05</v>
      </c>
      <c r="I981">
        <v>364.1549</v>
      </c>
      <c r="J981">
        <v>-297.31950000000001</v>
      </c>
      <c r="K981">
        <v>1.0595110000000001</v>
      </c>
      <c r="L981">
        <v>367.029</v>
      </c>
      <c r="M981">
        <v>0.99994360000000004</v>
      </c>
      <c r="N981">
        <v>-1.058636E-2</v>
      </c>
      <c r="O981">
        <v>1.023E-3</v>
      </c>
      <c r="P981">
        <v>0.98873630000000001</v>
      </c>
      <c r="Q981">
        <v>0.13960320000000001</v>
      </c>
      <c r="R981">
        <v>5.396099E-2</v>
      </c>
      <c r="S981">
        <v>3.0905459999999998</v>
      </c>
      <c r="T981">
        <v>-0.1981156</v>
      </c>
      <c r="U981">
        <v>-0.51315310000000003</v>
      </c>
      <c r="V981">
        <v>-5.2943799999999999E-2</v>
      </c>
      <c r="W981">
        <v>0.15006510000000001</v>
      </c>
      <c r="X981">
        <v>0.98725750000000001</v>
      </c>
      <c r="Y981">
        <v>0.16442089999999901</v>
      </c>
      <c r="Z981">
        <v>-6.1604969999999896E-3</v>
      </c>
      <c r="AA981">
        <v>0.986371</v>
      </c>
      <c r="AB981">
        <v>35</v>
      </c>
      <c r="AC981">
        <v>17.087899999999902</v>
      </c>
      <c r="AD981">
        <v>-1.1095109999999999</v>
      </c>
      <c r="AE981">
        <v>-2.8740999999999901</v>
      </c>
      <c r="AF981">
        <v>2.8797736880091498</v>
      </c>
      <c r="AG981">
        <v>-1.1095109999999999</v>
      </c>
      <c r="AH981">
        <v>17.015190568217498</v>
      </c>
      <c r="AI981">
        <v>93.678641132030705</v>
      </c>
      <c r="AJ981">
        <v>80.393879574247293</v>
      </c>
      <c r="AK981">
        <v>17.2927968017331</v>
      </c>
      <c r="AL981">
        <v>81.369300572698904</v>
      </c>
      <c r="AM981">
        <v>93.069668608515499</v>
      </c>
      <c r="AN981">
        <v>0.99999997575134902</v>
      </c>
    </row>
    <row r="982" spans="1:40" x14ac:dyDescent="0.25">
      <c r="A982" t="str">
        <f>"20190304155612778"</f>
        <v>20190304155612778</v>
      </c>
      <c r="B982" t="str">
        <f>"1551686172775566"</f>
        <v>1551686172775566</v>
      </c>
      <c r="C982" t="s">
        <v>40</v>
      </c>
      <c r="D982">
        <v>3.9729269999999999</v>
      </c>
      <c r="E982">
        <v>0.59472259999999999</v>
      </c>
      <c r="F982" t="s">
        <v>44</v>
      </c>
      <c r="G982">
        <v>-282.14030000000002</v>
      </c>
      <c r="H982">
        <v>-0.05</v>
      </c>
      <c r="I982">
        <v>364.29520000000002</v>
      </c>
      <c r="J982">
        <v>-297.08879999999999</v>
      </c>
      <c r="K982">
        <v>1.0595110000000001</v>
      </c>
      <c r="L982">
        <v>367.0292</v>
      </c>
      <c r="M982">
        <v>0.99994329999999998</v>
      </c>
      <c r="N982">
        <v>-1.059237E-2</v>
      </c>
      <c r="O982">
        <v>1.0232660000000001E-3</v>
      </c>
      <c r="P982">
        <v>0.98888589999999998</v>
      </c>
      <c r="Q982">
        <v>0.138651</v>
      </c>
      <c r="R982">
        <v>5.3669460000000002E-2</v>
      </c>
      <c r="S982">
        <v>3.0965579999999999</v>
      </c>
      <c r="T982">
        <v>-0.22634070000000001</v>
      </c>
      <c r="U982">
        <v>-0.55767819999999901</v>
      </c>
      <c r="V982">
        <v>-5.2651999999999997E-2</v>
      </c>
      <c r="W982">
        <v>0.14912030000000001</v>
      </c>
      <c r="X982">
        <v>0.98741630000000002</v>
      </c>
      <c r="Y982">
        <v>0.17772209999999999</v>
      </c>
      <c r="Z982">
        <v>-7.4485710000000002E-3</v>
      </c>
      <c r="AA982">
        <v>0.9840525</v>
      </c>
      <c r="AB982">
        <v>35</v>
      </c>
      <c r="AC982">
        <v>14.9484999999999</v>
      </c>
      <c r="AD982">
        <v>-1.1095109999999999</v>
      </c>
      <c r="AE982">
        <v>-2.73399999999998</v>
      </c>
      <c r="AF982">
        <v>2.7347179567303801</v>
      </c>
      <c r="AG982">
        <v>-1.1095109999999999</v>
      </c>
      <c r="AH982">
        <v>14.8664469150249</v>
      </c>
      <c r="AI982">
        <v>94.198001548554799</v>
      </c>
      <c r="AJ982">
        <v>79.576831823381298</v>
      </c>
      <c r="AK982">
        <v>15.1565477876473</v>
      </c>
      <c r="AL982">
        <v>81.424050092191607</v>
      </c>
      <c r="AM982">
        <v>93.0522921741223</v>
      </c>
      <c r="AN982">
        <v>1.0000000232408801</v>
      </c>
    </row>
    <row r="983" spans="1:40" x14ac:dyDescent="0.25">
      <c r="A983" t="str">
        <f>"20190304155612789"</f>
        <v>20190304155612789</v>
      </c>
      <c r="B983" t="str">
        <f>"1551686172785326"</f>
        <v>1551686172785326</v>
      </c>
      <c r="C983" t="s">
        <v>40</v>
      </c>
      <c r="D983">
        <v>4.2190089999999998</v>
      </c>
      <c r="E983">
        <v>0.59690109999999996</v>
      </c>
      <c r="F983" t="s">
        <v>44</v>
      </c>
      <c r="G983">
        <v>-282.86059999999998</v>
      </c>
      <c r="H983">
        <v>-0.05</v>
      </c>
      <c r="I983">
        <v>364.2482</v>
      </c>
      <c r="J983">
        <v>-296.92129999999997</v>
      </c>
      <c r="K983">
        <v>1.0595110000000001</v>
      </c>
      <c r="L983">
        <v>367.02940000000001</v>
      </c>
      <c r="M983">
        <v>0.99994349999999999</v>
      </c>
      <c r="N983">
        <v>-1.0596599999999999E-2</v>
      </c>
      <c r="O983">
        <v>1.0232430000000001E-3</v>
      </c>
      <c r="P983">
        <v>0.98893319999999996</v>
      </c>
      <c r="Q983">
        <v>0.1383885</v>
      </c>
      <c r="R983">
        <v>5.3480350000000003E-2</v>
      </c>
      <c r="S983">
        <v>3.1004640000000001</v>
      </c>
      <c r="T983">
        <v>-0.2417735</v>
      </c>
      <c r="U983">
        <v>-0.6060181</v>
      </c>
      <c r="V983">
        <v>-5.2462910000000001E-2</v>
      </c>
      <c r="W983">
        <v>0.14886240000000001</v>
      </c>
      <c r="X983">
        <v>0.98746529999999999</v>
      </c>
      <c r="Y983">
        <v>0.19219140000000001</v>
      </c>
      <c r="Z983">
        <v>-8.5101050000000004E-3</v>
      </c>
      <c r="AA983">
        <v>0.98132059999999999</v>
      </c>
      <c r="AB983">
        <v>35</v>
      </c>
      <c r="AC983">
        <v>14.060699999999899</v>
      </c>
      <c r="AD983">
        <v>-1.1095109999999999</v>
      </c>
      <c r="AE983">
        <v>-2.7812000000000099</v>
      </c>
      <c r="AF983">
        <v>2.7789351039552899</v>
      </c>
      <c r="AG983">
        <v>-1.1095109999999999</v>
      </c>
      <c r="AH983">
        <v>13.974111851420099</v>
      </c>
      <c r="AI983">
        <v>94.452792771518304</v>
      </c>
      <c r="AJ983">
        <v>78.752715790353705</v>
      </c>
      <c r="AK983">
        <v>14.290881603565101</v>
      </c>
      <c r="AL983">
        <v>81.4389936505344</v>
      </c>
      <c r="AM983">
        <v>93.041200408384299</v>
      </c>
      <c r="AN983">
        <v>1.0000000448817501</v>
      </c>
    </row>
    <row r="984" spans="1:40" x14ac:dyDescent="0.25">
      <c r="A984" t="str">
        <f>"20190304155612800"</f>
        <v>20190304155612800</v>
      </c>
      <c r="B984" t="str">
        <f>"1551686172796062"</f>
        <v>1551686172796062</v>
      </c>
      <c r="C984" t="s">
        <v>40</v>
      </c>
      <c r="D984">
        <v>4.2325939999999997</v>
      </c>
      <c r="E984">
        <v>0.59834330000000002</v>
      </c>
      <c r="F984" t="s">
        <v>44</v>
      </c>
      <c r="G984">
        <v>-283.22480000000002</v>
      </c>
      <c r="H984">
        <v>-0.05</v>
      </c>
      <c r="I984">
        <v>364.27420000000001</v>
      </c>
      <c r="J984">
        <v>-296.73989999999998</v>
      </c>
      <c r="K984">
        <v>1.0595110000000001</v>
      </c>
      <c r="L984">
        <v>367.02960000000002</v>
      </c>
      <c r="M984">
        <v>0.99994340000000004</v>
      </c>
      <c r="N984">
        <v>-1.060083E-2</v>
      </c>
      <c r="O984">
        <v>1.0233989999999999E-3</v>
      </c>
      <c r="P984">
        <v>0.98900379999999999</v>
      </c>
      <c r="Q984">
        <v>0.13790929999999901</v>
      </c>
      <c r="R984">
        <v>5.341191E-2</v>
      </c>
      <c r="S984">
        <v>3.1024780000000001</v>
      </c>
      <c r="T984">
        <v>-0.25132120000000002</v>
      </c>
      <c r="U984">
        <v>-0.62408450000000004</v>
      </c>
      <c r="V984">
        <v>-5.2394160000000002E-2</v>
      </c>
      <c r="W984">
        <v>0.14838850000000001</v>
      </c>
      <c r="X984">
        <v>0.98754019999999998</v>
      </c>
      <c r="Y984">
        <v>0.19750119999999999</v>
      </c>
      <c r="Z984">
        <v>-9.0378969999999996E-3</v>
      </c>
      <c r="AA984">
        <v>0.98026100000000005</v>
      </c>
      <c r="AB984">
        <v>35</v>
      </c>
      <c r="AC984">
        <v>13.515099999999901</v>
      </c>
      <c r="AD984">
        <v>-1.1095109999999999</v>
      </c>
      <c r="AE984">
        <v>-2.7553999999999998</v>
      </c>
      <c r="AF984">
        <v>2.7514275457436401</v>
      </c>
      <c r="AG984">
        <v>-1.1095109999999999</v>
      </c>
      <c r="AH984">
        <v>13.4254037432746</v>
      </c>
      <c r="AI984">
        <v>94.628567553450594</v>
      </c>
      <c r="AJ984">
        <v>78.418069284463698</v>
      </c>
      <c r="AK984">
        <v>13.749284849348699</v>
      </c>
      <c r="AL984">
        <v>81.466450436553401</v>
      </c>
      <c r="AM984">
        <v>93.036992608139798</v>
      </c>
      <c r="AN984">
        <v>0.99999997077519698</v>
      </c>
    </row>
    <row r="985" spans="1:40" x14ac:dyDescent="0.25">
      <c r="A985" t="str">
        <f>"20190304155612812"</f>
        <v>20190304155612812</v>
      </c>
      <c r="B985" t="str">
        <f>"1551686172805822"</f>
        <v>1551686172805822</v>
      </c>
      <c r="C985" t="s">
        <v>40</v>
      </c>
      <c r="D985">
        <v>4.2331820000000002</v>
      </c>
      <c r="E985">
        <v>0.59912690000000002</v>
      </c>
      <c r="F985" t="s">
        <v>44</v>
      </c>
      <c r="G985">
        <v>-283.55450000000002</v>
      </c>
      <c r="H985">
        <v>-0.05</v>
      </c>
      <c r="I985">
        <v>364.32870000000003</v>
      </c>
      <c r="J985">
        <v>-296.55689999999998</v>
      </c>
      <c r="K985">
        <v>1.0595110000000001</v>
      </c>
      <c r="L985">
        <v>367.02980000000002</v>
      </c>
      <c r="M985">
        <v>0.99994329999999998</v>
      </c>
      <c r="N985">
        <v>-1.060501E-2</v>
      </c>
      <c r="O985">
        <v>1.0235559999999999E-3</v>
      </c>
      <c r="P985">
        <v>0.98910189999999998</v>
      </c>
      <c r="Q985">
        <v>0.13727349999999999</v>
      </c>
      <c r="R985">
        <v>5.3232120000000001E-2</v>
      </c>
      <c r="S985">
        <v>3.1041259999999999</v>
      </c>
      <c r="T985">
        <v>-0.26120270000000001</v>
      </c>
      <c r="U985">
        <v>-0.63583369999999995</v>
      </c>
      <c r="V985">
        <v>-5.2214549999999998E-2</v>
      </c>
      <c r="W985">
        <v>0.147758</v>
      </c>
      <c r="X985">
        <v>0.98764430000000003</v>
      </c>
      <c r="Y985">
        <v>0.2008981</v>
      </c>
      <c r="Z985">
        <v>-9.5039740000000001E-3</v>
      </c>
      <c r="AA985">
        <v>0.97956600000000005</v>
      </c>
      <c r="AB985">
        <v>35</v>
      </c>
      <c r="AC985">
        <v>13.0023999999999</v>
      </c>
      <c r="AD985">
        <v>-1.1095109999999999</v>
      </c>
      <c r="AE985">
        <v>-2.7010999999999901</v>
      </c>
      <c r="AF985">
        <v>2.69559227258959</v>
      </c>
      <c r="AG985">
        <v>-1.1095109999999999</v>
      </c>
      <c r="AH985">
        <v>12.9095174293554</v>
      </c>
      <c r="AI985">
        <v>94.809009653132804</v>
      </c>
      <c r="AJ985">
        <v>78.205726024478096</v>
      </c>
      <c r="AK985">
        <v>13.2345333358603</v>
      </c>
      <c r="AL985">
        <v>81.502978554064399</v>
      </c>
      <c r="AM985">
        <v>93.026282605811204</v>
      </c>
      <c r="AN985">
        <v>1.0000000245590901</v>
      </c>
    </row>
    <row r="986" spans="1:40" x14ac:dyDescent="0.25">
      <c r="A986" t="str">
        <f>"20190304155612823"</f>
        <v>20190304155612823</v>
      </c>
      <c r="B986" t="str">
        <f>"1551686172815583"</f>
        <v>1551686172815583</v>
      </c>
      <c r="C986" t="s">
        <v>40</v>
      </c>
      <c r="D986">
        <v>4.6493969999999996</v>
      </c>
      <c r="E986">
        <v>0.59448519999999905</v>
      </c>
      <c r="F986" t="s">
        <v>44</v>
      </c>
      <c r="G986">
        <v>-283.7253</v>
      </c>
      <c r="H986">
        <v>-0.05</v>
      </c>
      <c r="I986">
        <v>364.37380000000002</v>
      </c>
      <c r="J986">
        <v>-296.37610000000001</v>
      </c>
      <c r="K986">
        <v>1.059509</v>
      </c>
      <c r="L986">
        <v>367.03</v>
      </c>
      <c r="M986">
        <v>0.99994329999999998</v>
      </c>
      <c r="N986">
        <v>-1.0608889999999999E-2</v>
      </c>
      <c r="O986">
        <v>1.023714E-3</v>
      </c>
      <c r="P986">
        <v>0.98916090000000001</v>
      </c>
      <c r="Q986">
        <v>0.13695589999999999</v>
      </c>
      <c r="R986">
        <v>5.2956360000000001E-2</v>
      </c>
      <c r="S986">
        <v>3.104889</v>
      </c>
      <c r="T986">
        <v>-0.26847120000000002</v>
      </c>
      <c r="U986">
        <v>-0.64266969999999901</v>
      </c>
      <c r="V986">
        <v>-5.1938209999999999E-2</v>
      </c>
      <c r="W986">
        <v>0.14744479999999999</v>
      </c>
      <c r="X986">
        <v>0.98770559999999996</v>
      </c>
      <c r="Y986">
        <v>0.2028712</v>
      </c>
      <c r="Z986">
        <v>-9.8295180000000006E-3</v>
      </c>
      <c r="AA986">
        <v>0.97915609999999997</v>
      </c>
      <c r="AB986">
        <v>36</v>
      </c>
      <c r="AC986">
        <v>12.6508</v>
      </c>
      <c r="AD986">
        <v>-1.1095090000000001</v>
      </c>
      <c r="AE986">
        <v>-2.6561999999999499</v>
      </c>
      <c r="AF986">
        <v>2.6496303380019302</v>
      </c>
      <c r="AG986">
        <v>-1.1095090000000001</v>
      </c>
      <c r="AH986">
        <v>12.555577223957799</v>
      </c>
      <c r="AI986">
        <v>94.941702633171403</v>
      </c>
      <c r="AJ986">
        <v>78.083593154906097</v>
      </c>
      <c r="AK986">
        <v>12.879987211791301</v>
      </c>
      <c r="AL986">
        <v>81.521121680618904</v>
      </c>
      <c r="AM986">
        <v>93.010109375919399</v>
      </c>
      <c r="AN986">
        <v>0.99999994948820004</v>
      </c>
    </row>
    <row r="987" spans="1:40" x14ac:dyDescent="0.25">
      <c r="A987" t="str">
        <f>"20190304155612834"</f>
        <v>20190304155612834</v>
      </c>
      <c r="B987" t="str">
        <f>"1551686172825406"</f>
        <v>1551686172825406</v>
      </c>
      <c r="C987" t="s">
        <v>40</v>
      </c>
      <c r="D987">
        <v>4.2419310000000001</v>
      </c>
      <c r="E987">
        <v>0.59577969999999902</v>
      </c>
      <c r="F987" t="s">
        <v>42</v>
      </c>
      <c r="G987">
        <v>-295.5455</v>
      </c>
      <c r="H987">
        <v>0.97881890000000005</v>
      </c>
      <c r="I987">
        <v>366.86720000000003</v>
      </c>
      <c r="J987">
        <v>-296.1995</v>
      </c>
      <c r="K987">
        <v>1.059509</v>
      </c>
      <c r="L987">
        <v>367.03019999999998</v>
      </c>
      <c r="M987">
        <v>0.99994329999999998</v>
      </c>
      <c r="N987">
        <v>-1.061258E-2</v>
      </c>
      <c r="O987">
        <v>1.023873E-3</v>
      </c>
      <c r="P987">
        <v>0.9892415</v>
      </c>
      <c r="Q987">
        <v>0.13637769999999999</v>
      </c>
      <c r="R987">
        <v>5.2938159999999998E-2</v>
      </c>
      <c r="S987">
        <v>3.1072389999999999</v>
      </c>
      <c r="T987">
        <v>-0.302178</v>
      </c>
      <c r="U987">
        <v>-0.60696410000000001</v>
      </c>
      <c r="V987">
        <v>-5.1919609999999998E-2</v>
      </c>
      <c r="W987">
        <v>0.14687130000000001</v>
      </c>
      <c r="X987">
        <v>0.98779209999999995</v>
      </c>
      <c r="Y987">
        <v>0.19174669999999999</v>
      </c>
      <c r="Z987">
        <v>-1.033249E-2</v>
      </c>
      <c r="AA987">
        <v>0.98139010000000004</v>
      </c>
      <c r="AB987">
        <v>36</v>
      </c>
      <c r="AC987">
        <v>0.65399999999999603</v>
      </c>
      <c r="AD987">
        <v>-8.0690099999999904E-2</v>
      </c>
      <c r="AE987">
        <v>-0.16299999999995399</v>
      </c>
      <c r="AF987">
        <v>0.16135696875709199</v>
      </c>
      <c r="AG987">
        <v>-8.0690099999999904E-2</v>
      </c>
      <c r="AH987">
        <v>0.64459431775362697</v>
      </c>
      <c r="AI987">
        <v>96.923691586174201</v>
      </c>
      <c r="AJ987">
        <v>75.946324435318203</v>
      </c>
      <c r="AK987">
        <v>0.66936447327651805</v>
      </c>
      <c r="AL987">
        <v>81.554343161852998</v>
      </c>
      <c r="AM987">
        <v>93.008770369412602</v>
      </c>
      <c r="AN987">
        <v>1.00000002874432</v>
      </c>
    </row>
    <row r="988" spans="1:40" x14ac:dyDescent="0.25">
      <c r="A988" t="str">
        <f>"20190304155612845"</f>
        <v>20190304155612845</v>
      </c>
      <c r="B988" t="str">
        <f>"1551686172835612"</f>
        <v>1551686172835612</v>
      </c>
      <c r="C988" t="s">
        <v>40</v>
      </c>
      <c r="D988">
        <v>5.7680449999999999</v>
      </c>
      <c r="E988">
        <v>0.59686759999999905</v>
      </c>
      <c r="F988" t="s">
        <v>44</v>
      </c>
      <c r="G988">
        <v>-284.78480000000002</v>
      </c>
      <c r="H988">
        <v>-0.05</v>
      </c>
      <c r="I988">
        <v>364.76310000000001</v>
      </c>
      <c r="J988">
        <v>-296.02140000000003</v>
      </c>
      <c r="K988">
        <v>1.059509</v>
      </c>
      <c r="L988">
        <v>367.03030000000001</v>
      </c>
      <c r="M988">
        <v>0.99994329999999998</v>
      </c>
      <c r="N988">
        <v>-1.061613E-2</v>
      </c>
      <c r="O988">
        <v>1.0240329999999999E-3</v>
      </c>
      <c r="P988">
        <v>0.98926820000000004</v>
      </c>
      <c r="Q988">
        <v>0.13611129999999999</v>
      </c>
      <c r="R988">
        <v>5.3127750000000001E-2</v>
      </c>
      <c r="S988">
        <v>3.1073</v>
      </c>
      <c r="T988">
        <v>-0.30203089999999999</v>
      </c>
      <c r="U988">
        <v>-0.61712650000000002</v>
      </c>
      <c r="V988">
        <v>-5.2109129999999997E-2</v>
      </c>
      <c r="W988">
        <v>0.14660809999999999</v>
      </c>
      <c r="X988">
        <v>0.98782119999999995</v>
      </c>
      <c r="Y988">
        <v>0.19481799999999999</v>
      </c>
      <c r="Z988">
        <v>-1.048957E-2</v>
      </c>
      <c r="AA988">
        <v>0.98078330000000002</v>
      </c>
      <c r="AB988">
        <v>36</v>
      </c>
      <c r="AC988">
        <v>11.236599999999999</v>
      </c>
      <c r="AD988">
        <v>-1.1095090000000001</v>
      </c>
      <c r="AE988">
        <v>-2.2671999999999999</v>
      </c>
      <c r="AF988">
        <v>2.2575565926730099</v>
      </c>
      <c r="AG988">
        <v>-1.1095090000000001</v>
      </c>
      <c r="AH988">
        <v>11.130002853913799</v>
      </c>
      <c r="AI988">
        <v>95.579909112941806</v>
      </c>
      <c r="AJ988">
        <v>78.533954743884806</v>
      </c>
      <c r="AK988">
        <v>11.4107202015618</v>
      </c>
      <c r="AL988">
        <v>81.569588277652301</v>
      </c>
      <c r="AM988">
        <v>93.019644076091296</v>
      </c>
      <c r="AN988">
        <v>1.0000000097921999</v>
      </c>
    </row>
    <row r="989" spans="1:40" x14ac:dyDescent="0.25">
      <c r="A989" t="str">
        <f>"20190304155612857"</f>
        <v>20190304155612857</v>
      </c>
      <c r="B989" t="str">
        <f>"1551686172845372"</f>
        <v>1551686172845372</v>
      </c>
      <c r="C989" t="s">
        <v>40</v>
      </c>
      <c r="D989">
        <v>4.6083049999999997</v>
      </c>
      <c r="E989">
        <v>0.59300940000000002</v>
      </c>
      <c r="F989" t="s">
        <v>44</v>
      </c>
      <c r="G989">
        <v>-284.60730000000001</v>
      </c>
      <c r="H989">
        <v>-0.05</v>
      </c>
      <c r="I989">
        <v>364.73520000000002</v>
      </c>
      <c r="J989">
        <v>-295.84780000000001</v>
      </c>
      <c r="K989">
        <v>1.059509</v>
      </c>
      <c r="L989">
        <v>367.03050000000002</v>
      </c>
      <c r="M989">
        <v>0.99994320000000003</v>
      </c>
      <c r="N989">
        <v>-1.0619470000000001E-2</v>
      </c>
      <c r="O989">
        <v>1.0241339999999999E-3</v>
      </c>
      <c r="P989">
        <v>0.98932949999999997</v>
      </c>
      <c r="Q989">
        <v>0.1357989</v>
      </c>
      <c r="R989">
        <v>5.2782790000000003E-2</v>
      </c>
      <c r="S989">
        <v>3.1076350000000001</v>
      </c>
      <c r="T989">
        <v>-0.30207709999999999</v>
      </c>
      <c r="U989">
        <v>-0.62487789999999999</v>
      </c>
      <c r="V989">
        <v>-5.1763900000000002E-2</v>
      </c>
      <c r="W989">
        <v>0.14630009999999999</v>
      </c>
      <c r="X989">
        <v>0.98788500000000001</v>
      </c>
      <c r="Y989">
        <v>0.19713849999999999</v>
      </c>
      <c r="Z989">
        <v>-1.06122E-2</v>
      </c>
      <c r="AA989">
        <v>0.98031820000000003</v>
      </c>
      <c r="AB989">
        <v>36</v>
      </c>
      <c r="AC989">
        <v>11.2404999999999</v>
      </c>
      <c r="AD989">
        <v>-1.1095090000000001</v>
      </c>
      <c r="AE989">
        <v>-2.2952999999999899</v>
      </c>
      <c r="AF989">
        <v>2.28543564418651</v>
      </c>
      <c r="AG989">
        <v>-1.1095090000000001</v>
      </c>
      <c r="AH989">
        <v>11.134007400828899</v>
      </c>
      <c r="AI989">
        <v>95.575275917212295</v>
      </c>
      <c r="AJ989">
        <v>78.400236270594405</v>
      </c>
      <c r="AK989">
        <v>11.420172814214</v>
      </c>
      <c r="AL989">
        <v>81.5874276230292</v>
      </c>
      <c r="AM989">
        <v>92.999481812907206</v>
      </c>
      <c r="AN989">
        <v>0.99999999691410901</v>
      </c>
    </row>
    <row r="990" spans="1:40" x14ac:dyDescent="0.25">
      <c r="A990" t="str">
        <f>"20190304155612867"</f>
        <v>20190304155612867</v>
      </c>
      <c r="B990" t="str">
        <f>"1551686172865868"</f>
        <v>1551686172865868</v>
      </c>
      <c r="C990" t="s">
        <v>40</v>
      </c>
      <c r="D990">
        <v>4.6440890000000001</v>
      </c>
      <c r="E990">
        <v>0.59014369999999905</v>
      </c>
      <c r="F990" t="s">
        <v>42</v>
      </c>
      <c r="G990">
        <v>-294.9171</v>
      </c>
      <c r="H990">
        <v>0.9640261</v>
      </c>
      <c r="I990">
        <v>366.85199999999998</v>
      </c>
      <c r="J990">
        <v>-295.66500000000002</v>
      </c>
      <c r="K990">
        <v>1.0595079999999999</v>
      </c>
      <c r="L990">
        <v>367.03070000000002</v>
      </c>
      <c r="M990">
        <v>0.99994320000000003</v>
      </c>
      <c r="N990">
        <v>-1.0622909999999999E-2</v>
      </c>
      <c r="O990">
        <v>1.0242949999999999E-3</v>
      </c>
      <c r="P990">
        <v>0.98939719999999998</v>
      </c>
      <c r="Q990">
        <v>0.13534270000000001</v>
      </c>
      <c r="R990">
        <v>5.2689329999999999E-2</v>
      </c>
      <c r="S990">
        <v>3.10791</v>
      </c>
      <c r="T990">
        <v>-0.319030599999999</v>
      </c>
      <c r="U990">
        <v>-0.59539790000000004</v>
      </c>
      <c r="V990">
        <v>-5.1670809999999998E-2</v>
      </c>
      <c r="W990">
        <v>0.14584820000000001</v>
      </c>
      <c r="X990">
        <v>0.98795670000000002</v>
      </c>
      <c r="Y990">
        <v>0.18809960000000001</v>
      </c>
      <c r="Z990">
        <v>-1.064701E-2</v>
      </c>
      <c r="AA990">
        <v>0.98209230000000003</v>
      </c>
      <c r="AB990">
        <v>36</v>
      </c>
      <c r="AC990">
        <v>0.747900000000015</v>
      </c>
      <c r="AD990">
        <v>-9.5481899999999897E-2</v>
      </c>
      <c r="AE990">
        <v>-0.17870000000004799</v>
      </c>
      <c r="AF990">
        <v>0.17674093421676401</v>
      </c>
      <c r="AG990">
        <v>-9.5481899999999897E-2</v>
      </c>
      <c r="AH990">
        <v>0.73636292209254295</v>
      </c>
      <c r="AI990">
        <v>97.186269166418597</v>
      </c>
      <c r="AJ990">
        <v>76.503249016049594</v>
      </c>
      <c r="AK990">
        <v>0.76327223458481297</v>
      </c>
      <c r="AL990">
        <v>81.613600396866801</v>
      </c>
      <c r="AM990">
        <v>92.993880597361894</v>
      </c>
      <c r="AN990">
        <v>1.0000000055620899</v>
      </c>
    </row>
    <row r="991" spans="1:40" x14ac:dyDescent="0.25">
      <c r="A991" t="str">
        <f>"20190304155612879"</f>
        <v>20190304155612879</v>
      </c>
      <c r="B991" t="str">
        <f>"1551686172875627"</f>
        <v>1551686172875627</v>
      </c>
      <c r="C991" t="s">
        <v>40</v>
      </c>
      <c r="D991">
        <v>4.6894070000000001</v>
      </c>
      <c r="E991">
        <v>0.58687869999999998</v>
      </c>
      <c r="F991" t="s">
        <v>42</v>
      </c>
      <c r="G991">
        <v>-294.91449999999998</v>
      </c>
      <c r="H991">
        <v>0.97627580000000003</v>
      </c>
      <c r="I991">
        <v>366.892</v>
      </c>
      <c r="J991">
        <v>-295.49869999999999</v>
      </c>
      <c r="K991">
        <v>1.059509</v>
      </c>
      <c r="L991">
        <v>367.03089999999997</v>
      </c>
      <c r="M991">
        <v>0.99994309999999997</v>
      </c>
      <c r="N991">
        <v>-1.0625860000000001E-2</v>
      </c>
      <c r="O991">
        <v>1.024458E-3</v>
      </c>
      <c r="P991">
        <v>0.98943130000000001</v>
      </c>
      <c r="Q991">
        <v>0.13511329999999999</v>
      </c>
      <c r="R991">
        <v>5.2632940000000003E-2</v>
      </c>
      <c r="S991">
        <v>3.1098940000000002</v>
      </c>
      <c r="T991">
        <v>-0.34511979999999998</v>
      </c>
      <c r="U991">
        <v>-0.57354740000000004</v>
      </c>
      <c r="V991">
        <v>-5.1613190000000003E-2</v>
      </c>
      <c r="W991">
        <v>0.14562169999999999</v>
      </c>
      <c r="X991">
        <v>0.98799309999999996</v>
      </c>
      <c r="Y991">
        <v>0.1811883</v>
      </c>
      <c r="Z991">
        <v>-1.101533E-2</v>
      </c>
      <c r="AA991">
        <v>0.98338680000000001</v>
      </c>
      <c r="AB991">
        <v>36</v>
      </c>
      <c r="AC991">
        <v>0.58420000000000905</v>
      </c>
      <c r="AD991">
        <v>-8.3233199999999993E-2</v>
      </c>
      <c r="AE991">
        <v>-0.13889999999997801</v>
      </c>
      <c r="AF991">
        <v>0.13686883113961501</v>
      </c>
      <c r="AG991">
        <v>-8.3233199999999993E-2</v>
      </c>
      <c r="AH991">
        <v>0.57304760368330498</v>
      </c>
      <c r="AI991">
        <v>98.041128024356098</v>
      </c>
      <c r="AJ991">
        <v>76.566924010610904</v>
      </c>
      <c r="AK991">
        <v>0.59501630112707204</v>
      </c>
      <c r="AL991">
        <v>81.626717750083301</v>
      </c>
      <c r="AM991">
        <v>92.990438096949902</v>
      </c>
      <c r="AN991">
        <v>0.99999998327023698</v>
      </c>
    </row>
    <row r="992" spans="1:40" x14ac:dyDescent="0.25">
      <c r="A992" t="str">
        <f>"20190304155612889"</f>
        <v>20190304155612889</v>
      </c>
      <c r="B992" t="str">
        <f>"1551686172885387"</f>
        <v>1551686172885387</v>
      </c>
      <c r="C992" t="s">
        <v>40</v>
      </c>
      <c r="D992">
        <v>4.0085449999999998</v>
      </c>
      <c r="E992">
        <v>0.58820349999999999</v>
      </c>
      <c r="F992" t="s">
        <v>42</v>
      </c>
      <c r="G992">
        <v>-294.60559999999998</v>
      </c>
      <c r="H992">
        <v>0.95533440000000003</v>
      </c>
      <c r="I992">
        <v>366.8734</v>
      </c>
      <c r="J992">
        <v>-295.31869999999998</v>
      </c>
      <c r="K992">
        <v>1.0595079999999999</v>
      </c>
      <c r="L992">
        <v>367.03109999999998</v>
      </c>
      <c r="M992">
        <v>0.99994300000000003</v>
      </c>
      <c r="N992">
        <v>-1.0629019999999999E-2</v>
      </c>
      <c r="O992">
        <v>1.0247989999999901E-3</v>
      </c>
      <c r="P992">
        <v>0.98941619999999997</v>
      </c>
      <c r="Q992">
        <v>0.1353386</v>
      </c>
      <c r="R992">
        <v>5.233496E-2</v>
      </c>
      <c r="S992">
        <v>3.1107480000000001</v>
      </c>
      <c r="T992">
        <v>-0.3630486</v>
      </c>
      <c r="U992">
        <v>-0.54779049999999996</v>
      </c>
      <c r="V992">
        <v>-5.1315590000000001E-2</v>
      </c>
      <c r="W992">
        <v>0.14585010000000001</v>
      </c>
      <c r="X992">
        <v>0.98797489999999999</v>
      </c>
      <c r="Y992">
        <v>0.1731839</v>
      </c>
      <c r="Z992">
        <v>-1.1033919999999999E-2</v>
      </c>
      <c r="AA992">
        <v>0.98482769999999997</v>
      </c>
      <c r="AB992">
        <v>36</v>
      </c>
      <c r="AC992">
        <v>0.71309999999999696</v>
      </c>
      <c r="AD992">
        <v>-0.10417359999999901</v>
      </c>
      <c r="AE992">
        <v>-0.157699999999977</v>
      </c>
      <c r="AF992">
        <v>0.15527159514639099</v>
      </c>
      <c r="AG992">
        <v>-0.10417359999999901</v>
      </c>
      <c r="AH992">
        <v>0.69872184864087805</v>
      </c>
      <c r="AI992">
        <v>98.280763010985595</v>
      </c>
      <c r="AJ992">
        <v>77.471186568808704</v>
      </c>
      <c r="AK992">
        <v>0.72330742355128097</v>
      </c>
      <c r="AL992">
        <v>81.613490076744199</v>
      </c>
      <c r="AM992">
        <v>92.973281027237505</v>
      </c>
      <c r="AN992">
        <v>0.99999997223853299</v>
      </c>
    </row>
    <row r="993" spans="1:40" x14ac:dyDescent="0.25">
      <c r="A993" t="str">
        <f>"20190304155612901"</f>
        <v>20190304155612901</v>
      </c>
      <c r="B993" t="str">
        <f>"1551686172896122"</f>
        <v>1551686172896122</v>
      </c>
      <c r="C993" t="s">
        <v>40</v>
      </c>
      <c r="D993">
        <v>4.2189610000000002</v>
      </c>
      <c r="E993">
        <v>0.58953489999999997</v>
      </c>
      <c r="F993" t="s">
        <v>42</v>
      </c>
      <c r="G993">
        <v>-294.59629999999999</v>
      </c>
      <c r="H993">
        <v>0.97607460000000001</v>
      </c>
      <c r="I993">
        <v>366.90100000000001</v>
      </c>
      <c r="J993">
        <v>-295.13869999999997</v>
      </c>
      <c r="K993">
        <v>1.059504</v>
      </c>
      <c r="L993">
        <v>367.03129999999999</v>
      </c>
      <c r="M993">
        <v>0.99994300000000003</v>
      </c>
      <c r="N993">
        <v>-1.0632020000000001E-2</v>
      </c>
      <c r="O993">
        <v>1.024783E-3</v>
      </c>
      <c r="P993">
        <v>0.98941250000000003</v>
      </c>
      <c r="Q993">
        <v>0.13543150000000001</v>
      </c>
      <c r="R993">
        <v>5.2167709999999999E-2</v>
      </c>
      <c r="S993">
        <v>3.11084</v>
      </c>
      <c r="T993">
        <v>-0.35953639999999998</v>
      </c>
      <c r="U993">
        <v>-0.5591431</v>
      </c>
      <c r="V993">
        <v>-5.1148560000000003E-2</v>
      </c>
      <c r="W993">
        <v>0.14594579999999999</v>
      </c>
      <c r="X993">
        <v>0.98796949999999994</v>
      </c>
      <c r="Y993">
        <v>0.17666099999999901</v>
      </c>
      <c r="Z993">
        <v>-1.115115E-2</v>
      </c>
      <c r="AA993">
        <v>0.98420859999999999</v>
      </c>
      <c r="AB993">
        <v>36</v>
      </c>
      <c r="AC993">
        <v>0.542399999999986</v>
      </c>
      <c r="AD993">
        <v>-8.3429400000000098E-2</v>
      </c>
      <c r="AE993">
        <v>-0.13029999999997699</v>
      </c>
      <c r="AF993">
        <v>0.127992827409217</v>
      </c>
      <c r="AG993">
        <v>-8.3429400000000098E-2</v>
      </c>
      <c r="AH993">
        <v>0.53040200425378203</v>
      </c>
      <c r="AI993">
        <v>98.693513996893202</v>
      </c>
      <c r="AJ993">
        <v>76.433163089789304</v>
      </c>
      <c r="AK993">
        <v>0.55196821898456705</v>
      </c>
      <c r="AL993">
        <v>81.607948156076105</v>
      </c>
      <c r="AM993">
        <v>92.963636577946701</v>
      </c>
      <c r="AN993">
        <v>1.0000000423289801</v>
      </c>
    </row>
    <row r="994" spans="1:40" x14ac:dyDescent="0.25">
      <c r="A994" t="str">
        <f>"20190304155612912"</f>
        <v>20190304155612912</v>
      </c>
      <c r="B994" t="str">
        <f>"1551686172905882"</f>
        <v>1551686172905882</v>
      </c>
      <c r="C994" t="s">
        <v>40</v>
      </c>
      <c r="D994">
        <v>4.270689</v>
      </c>
      <c r="E994">
        <v>0.59061419999999998</v>
      </c>
      <c r="F994" t="s">
        <v>42</v>
      </c>
      <c r="G994">
        <v>-294.28390000000002</v>
      </c>
      <c r="H994">
        <v>0.9615612</v>
      </c>
      <c r="I994">
        <v>366.87439999999998</v>
      </c>
      <c r="J994">
        <v>-294.95859999999999</v>
      </c>
      <c r="K994">
        <v>1.0595060000000001</v>
      </c>
      <c r="L994">
        <v>367.03149999999999</v>
      </c>
      <c r="M994">
        <v>0.99994300000000003</v>
      </c>
      <c r="N994">
        <v>-1.0635E-2</v>
      </c>
      <c r="O994">
        <v>1.0249460000000001E-3</v>
      </c>
      <c r="P994">
        <v>0.98941020000000002</v>
      </c>
      <c r="Q994">
        <v>0.1355596</v>
      </c>
      <c r="R994">
        <v>5.1877409999999999E-2</v>
      </c>
      <c r="S994">
        <v>3.1109619999999998</v>
      </c>
      <c r="T994">
        <v>-0.35659370000000001</v>
      </c>
      <c r="U994">
        <v>-0.57015990000000005</v>
      </c>
      <c r="V994">
        <v>-5.085783E-2</v>
      </c>
      <c r="W994">
        <v>0.1460765</v>
      </c>
      <c r="X994">
        <v>0.98796519999999999</v>
      </c>
      <c r="Y994">
        <v>0.18002470000000001</v>
      </c>
      <c r="Z994">
        <v>-1.1273750000000001E-2</v>
      </c>
      <c r="AA994">
        <v>0.98359750000000001</v>
      </c>
      <c r="AB994">
        <v>36</v>
      </c>
      <c r="AC994">
        <v>0.67469999999997299</v>
      </c>
      <c r="AD994">
        <v>-9.7944800000000096E-2</v>
      </c>
      <c r="AE994">
        <v>-0.15710000000001401</v>
      </c>
      <c r="AF994">
        <v>0.15469906209523501</v>
      </c>
      <c r="AG994">
        <v>-9.7944800000000096E-2</v>
      </c>
      <c r="AH994">
        <v>0.66131889025287005</v>
      </c>
      <c r="AI994">
        <v>98.206168005838805</v>
      </c>
      <c r="AJ994">
        <v>76.833828929110297</v>
      </c>
      <c r="AK994">
        <v>0.68619797308464303</v>
      </c>
      <c r="AL994">
        <v>81.600378534543296</v>
      </c>
      <c r="AM994">
        <v>92.946833754351999</v>
      </c>
      <c r="AN994">
        <v>1.0000000495677901</v>
      </c>
    </row>
    <row r="995" spans="1:40" x14ac:dyDescent="0.25">
      <c r="A995" t="str">
        <f>"20190304155612922"</f>
        <v>20190304155612922</v>
      </c>
      <c r="B995" t="str">
        <f>"1551686172915643"</f>
        <v>1551686172915643</v>
      </c>
      <c r="C995" t="s">
        <v>40</v>
      </c>
      <c r="D995">
        <v>4.703633</v>
      </c>
      <c r="E995">
        <v>0.58855329999999995</v>
      </c>
      <c r="F995" t="s">
        <v>42</v>
      </c>
      <c r="G995">
        <v>-293.97109999999998</v>
      </c>
      <c r="H995">
        <v>0.94699319999999998</v>
      </c>
      <c r="I995">
        <v>366.84739999999999</v>
      </c>
      <c r="J995">
        <v>-294.78899999999999</v>
      </c>
      <c r="K995">
        <v>1.0595060000000001</v>
      </c>
      <c r="L995">
        <v>367.03160000000003</v>
      </c>
      <c r="M995">
        <v>0.99994289999999997</v>
      </c>
      <c r="N995">
        <v>-1.06377E-2</v>
      </c>
      <c r="O995">
        <v>1.0250509999999999E-3</v>
      </c>
      <c r="P995">
        <v>0.98938570000000003</v>
      </c>
      <c r="Q995">
        <v>0.13586760000000001</v>
      </c>
      <c r="R995">
        <v>5.1538100000000003E-2</v>
      </c>
      <c r="S995">
        <v>3.1110530000000001</v>
      </c>
      <c r="T995">
        <v>-0.35453699999999999</v>
      </c>
      <c r="U995">
        <v>-0.57943730000000004</v>
      </c>
      <c r="V995">
        <v>-5.0518189999999998E-2</v>
      </c>
      <c r="W995">
        <v>0.14638689999999999</v>
      </c>
      <c r="X995">
        <v>0.98793660000000005</v>
      </c>
      <c r="Y995">
        <v>0.1828504</v>
      </c>
      <c r="Z995">
        <v>-1.1386429999999999E-2</v>
      </c>
      <c r="AA995">
        <v>0.98307480000000003</v>
      </c>
      <c r="AB995">
        <v>36</v>
      </c>
      <c r="AC995">
        <v>0.81790000000000795</v>
      </c>
      <c r="AD995">
        <v>-0.1125128</v>
      </c>
      <c r="AE995">
        <v>-0.184200000000032</v>
      </c>
      <c r="AF995">
        <v>0.18176473618365999</v>
      </c>
      <c r="AG995">
        <v>-0.1125128</v>
      </c>
      <c r="AH995">
        <v>0.803244224851829</v>
      </c>
      <c r="AI995">
        <v>97.779515983248601</v>
      </c>
      <c r="AJ995">
        <v>77.249380852025695</v>
      </c>
      <c r="AK995">
        <v>0.83120324484542996</v>
      </c>
      <c r="AL995">
        <v>81.582399985301905</v>
      </c>
      <c r="AM995">
        <v>92.927273070424306</v>
      </c>
      <c r="AN995">
        <v>0.99999996881602204</v>
      </c>
    </row>
    <row r="996" spans="1:40" x14ac:dyDescent="0.25">
      <c r="A996" t="str">
        <f>"20190304155612934"</f>
        <v>20190304155612934</v>
      </c>
      <c r="B996" t="str">
        <f>"1551686172925403"</f>
        <v>1551686172925403</v>
      </c>
      <c r="C996" t="s">
        <v>40</v>
      </c>
      <c r="D996">
        <v>4.6285689999999997</v>
      </c>
      <c r="E996">
        <v>0.58789130000000001</v>
      </c>
      <c r="F996" t="s">
        <v>42</v>
      </c>
      <c r="G996">
        <v>-293.96480000000003</v>
      </c>
      <c r="H996">
        <v>0.96233069999999998</v>
      </c>
      <c r="I996">
        <v>366.88209999999998</v>
      </c>
      <c r="J996">
        <v>-294.61149999999998</v>
      </c>
      <c r="K996">
        <v>1.059509</v>
      </c>
      <c r="L996">
        <v>367.03179999999998</v>
      </c>
      <c r="M996">
        <v>0.99994289999999997</v>
      </c>
      <c r="N996">
        <v>-1.0640470000000001E-2</v>
      </c>
      <c r="O996">
        <v>1.0252149999999999E-3</v>
      </c>
      <c r="P996">
        <v>0.98937220000000003</v>
      </c>
      <c r="Q996">
        <v>0.13612099999999999</v>
      </c>
      <c r="R996">
        <v>5.1125589999999999E-2</v>
      </c>
      <c r="S996">
        <v>3.1119690000000002</v>
      </c>
      <c r="T996">
        <v>-0.36702499999999999</v>
      </c>
      <c r="U996">
        <v>-0.56411739999999999</v>
      </c>
      <c r="V996">
        <v>-5.0105940000000002E-2</v>
      </c>
      <c r="W996">
        <v>0.146643</v>
      </c>
      <c r="X996">
        <v>0.98791960000000001</v>
      </c>
      <c r="Y996">
        <v>0.17806329999999901</v>
      </c>
      <c r="Z996">
        <v>-1.144762E-2</v>
      </c>
      <c r="AA996">
        <v>0.98395250000000001</v>
      </c>
      <c r="AB996">
        <v>36</v>
      </c>
      <c r="AC996">
        <v>0.64669999999995298</v>
      </c>
      <c r="AD996">
        <v>-9.7178300000000106E-2</v>
      </c>
      <c r="AE996">
        <v>-0.149699999999995</v>
      </c>
      <c r="AF996">
        <v>0.147207997282887</v>
      </c>
      <c r="AG996">
        <v>-9.7178300000000106E-2</v>
      </c>
      <c r="AH996">
        <v>0.63298011975756596</v>
      </c>
      <c r="AI996">
        <v>98.504676802267696</v>
      </c>
      <c r="AJ996">
        <v>76.907821985570493</v>
      </c>
      <c r="AK996">
        <v>0.65709789869031798</v>
      </c>
      <c r="AL996">
        <v>81.567566344782094</v>
      </c>
      <c r="AM996">
        <v>92.903476189472102</v>
      </c>
      <c r="AN996">
        <v>0.99999995536821995</v>
      </c>
    </row>
    <row r="997" spans="1:40" x14ac:dyDescent="0.25">
      <c r="A997" t="str">
        <f>"20190304155612948"</f>
        <v>20190304155612948</v>
      </c>
      <c r="B997" t="str">
        <f>"1551686172935671"</f>
        <v>1551686172935671</v>
      </c>
      <c r="C997" t="s">
        <v>40</v>
      </c>
      <c r="D997">
        <v>5.086659</v>
      </c>
      <c r="E997">
        <v>0.58732839999999997</v>
      </c>
      <c r="F997" t="s">
        <v>42</v>
      </c>
      <c r="G997">
        <v>-293.65370000000001</v>
      </c>
      <c r="H997">
        <v>0.94411719999999999</v>
      </c>
      <c r="I997">
        <v>366.85899999999998</v>
      </c>
      <c r="J997">
        <v>-294.39229999999998</v>
      </c>
      <c r="K997">
        <v>1.05951</v>
      </c>
      <c r="L997">
        <v>367.03210000000001</v>
      </c>
      <c r="M997">
        <v>0.99994300000000003</v>
      </c>
      <c r="N997">
        <v>-1.064381E-2</v>
      </c>
      <c r="O997">
        <v>1.0253759999999999E-3</v>
      </c>
      <c r="P997">
        <v>0.98935260000000003</v>
      </c>
      <c r="Q997">
        <v>0.13635910000000001</v>
      </c>
      <c r="R997">
        <v>5.0870560000000002E-2</v>
      </c>
      <c r="S997">
        <v>3.1128230000000001</v>
      </c>
      <c r="T997">
        <v>-0.3752704</v>
      </c>
      <c r="U997">
        <v>-0.56060790000000005</v>
      </c>
      <c r="V997">
        <v>-4.9850699999999998E-2</v>
      </c>
      <c r="W997">
        <v>0.1468845</v>
      </c>
      <c r="X997">
        <v>0.98789669999999896</v>
      </c>
      <c r="Y997">
        <v>0.1768941</v>
      </c>
      <c r="Z997">
        <v>-1.1604450000000001E-2</v>
      </c>
      <c r="AA997">
        <v>0.98416150000000002</v>
      </c>
      <c r="AB997">
        <v>36</v>
      </c>
      <c r="AC997">
        <v>0.73859999999996195</v>
      </c>
      <c r="AD997">
        <v>-0.1153928</v>
      </c>
      <c r="AE997">
        <v>-0.173099999999976</v>
      </c>
      <c r="AF997">
        <v>0.16992563541828701</v>
      </c>
      <c r="AG997">
        <v>-0.1153928</v>
      </c>
      <c r="AH997">
        <v>0.721723218268156</v>
      </c>
      <c r="AI997">
        <v>98.845962468942801</v>
      </c>
      <c r="AJ997">
        <v>76.751325626744304</v>
      </c>
      <c r="AK997">
        <v>0.75038298464950104</v>
      </c>
      <c r="AL997">
        <v>81.553578484480596</v>
      </c>
      <c r="AM997">
        <v>92.888777825651502</v>
      </c>
      <c r="AN997">
        <v>1.0000000192508101</v>
      </c>
    </row>
    <row r="998" spans="1:40" x14ac:dyDescent="0.25">
      <c r="A998" t="str">
        <f>"20190304155612962"</f>
        <v>20190304155612962</v>
      </c>
      <c r="B998" t="str">
        <f>"1551686172955190"</f>
        <v>1551686172955190</v>
      </c>
      <c r="C998" t="s">
        <v>40</v>
      </c>
      <c r="D998">
        <v>4.6215699999999904</v>
      </c>
      <c r="E998">
        <v>0.58527989999999996</v>
      </c>
      <c r="F998" t="s">
        <v>42</v>
      </c>
      <c r="G998">
        <v>-293.64319999999998</v>
      </c>
      <c r="H998">
        <v>0.96813039999999995</v>
      </c>
      <c r="I998">
        <v>366.89780000000002</v>
      </c>
      <c r="J998">
        <v>-294.17689999999999</v>
      </c>
      <c r="K998">
        <v>1.05951</v>
      </c>
      <c r="L998">
        <v>367.03230000000002</v>
      </c>
      <c r="M998">
        <v>0.99994280000000002</v>
      </c>
      <c r="N998">
        <v>-1.064697E-2</v>
      </c>
      <c r="O998">
        <v>1.025717E-3</v>
      </c>
      <c r="P998">
        <v>0.98931789999999997</v>
      </c>
      <c r="Q998">
        <v>0.13674710000000001</v>
      </c>
      <c r="R998">
        <v>5.0501699999999997E-2</v>
      </c>
      <c r="S998">
        <v>3.1132810000000002</v>
      </c>
      <c r="T998">
        <v>-0.3801484</v>
      </c>
      <c r="U998">
        <v>-0.55685419999999997</v>
      </c>
      <c r="V998">
        <v>-4.9481310000000001E-2</v>
      </c>
      <c r="W998">
        <v>0.1472745</v>
      </c>
      <c r="X998">
        <v>0.98785719999999999</v>
      </c>
      <c r="Y998">
        <v>0.17569479999999901</v>
      </c>
      <c r="Z998">
        <v>-1.1663099999999999E-2</v>
      </c>
      <c r="AA998">
        <v>0.98437560000000002</v>
      </c>
      <c r="AB998">
        <v>36</v>
      </c>
      <c r="AC998">
        <v>0.53370000000001006</v>
      </c>
      <c r="AD998">
        <v>-9.1379599999999894E-2</v>
      </c>
      <c r="AE998">
        <v>-0.13450000000000201</v>
      </c>
      <c r="AF998">
        <v>0.13142463171836599</v>
      </c>
      <c r="AG998">
        <v>-9.1379599999999894E-2</v>
      </c>
      <c r="AH998">
        <v>0.51924853334972598</v>
      </c>
      <c r="AI998">
        <v>99.681703312200398</v>
      </c>
      <c r="AJ998">
        <v>75.796416731375999</v>
      </c>
      <c r="AK998">
        <v>0.54336148603329404</v>
      </c>
      <c r="AL998">
        <v>81.530987392439101</v>
      </c>
      <c r="AM998">
        <v>92.867522515508696</v>
      </c>
      <c r="AN998">
        <v>1.0000000129907001</v>
      </c>
    </row>
    <row r="999" spans="1:40" x14ac:dyDescent="0.25">
      <c r="A999" t="str">
        <f>"20190304155612975"</f>
        <v>20190304155612975</v>
      </c>
      <c r="B999" t="str">
        <f>"1551686172965926"</f>
        <v>1551686172965926</v>
      </c>
      <c r="C999" t="s">
        <v>40</v>
      </c>
      <c r="D999">
        <v>4.679074</v>
      </c>
      <c r="E999">
        <v>0.58471850000000003</v>
      </c>
      <c r="F999" t="s">
        <v>42</v>
      </c>
      <c r="G999">
        <v>-293.33089999999999</v>
      </c>
      <c r="H999">
        <v>0.95281090000000002</v>
      </c>
      <c r="I999">
        <v>366.88499999999999</v>
      </c>
      <c r="J999">
        <v>-293.96379999999999</v>
      </c>
      <c r="K999">
        <v>1.059509</v>
      </c>
      <c r="L999">
        <v>367.03250000000003</v>
      </c>
      <c r="M999">
        <v>0.99994280000000002</v>
      </c>
      <c r="N999">
        <v>-1.065002E-2</v>
      </c>
      <c r="O999">
        <v>1.0257E-3</v>
      </c>
      <c r="P999">
        <v>0.98932549999999997</v>
      </c>
      <c r="Q999">
        <v>0.13675689999999999</v>
      </c>
      <c r="R999">
        <v>5.0328030000000003E-2</v>
      </c>
      <c r="S999">
        <v>3.1142880000000002</v>
      </c>
      <c r="T999">
        <v>-0.39291910000000002</v>
      </c>
      <c r="U999">
        <v>-0.54171749999999996</v>
      </c>
      <c r="V999">
        <v>-4.9307860000000002E-2</v>
      </c>
      <c r="W999">
        <v>0.1472878</v>
      </c>
      <c r="X999">
        <v>0.98786390000000002</v>
      </c>
      <c r="Y999">
        <v>0.1709463</v>
      </c>
      <c r="Z999">
        <v>-1.1700210000000001E-2</v>
      </c>
      <c r="AA999">
        <v>0.9852109</v>
      </c>
      <c r="AB999">
        <v>36</v>
      </c>
      <c r="AC999">
        <v>0.63290000000000601</v>
      </c>
      <c r="AD999">
        <v>-0.1066981</v>
      </c>
      <c r="AE999">
        <v>-0.14750000000003599</v>
      </c>
      <c r="AF999">
        <v>0.14426028637562699</v>
      </c>
      <c r="AG999">
        <v>-0.1066981</v>
      </c>
      <c r="AH999">
        <v>0.61613904840580003</v>
      </c>
      <c r="AI999">
        <v>99.570742867979206</v>
      </c>
      <c r="AJ999">
        <v>76.822374663268107</v>
      </c>
      <c r="AK999">
        <v>0.64173424541564905</v>
      </c>
      <c r="AL999">
        <v>81.5302170421661</v>
      </c>
      <c r="AM999">
        <v>92.857468145721199</v>
      </c>
      <c r="AN999">
        <v>1.00000002300491</v>
      </c>
    </row>
    <row r="1000" spans="1:40" x14ac:dyDescent="0.25">
      <c r="A1000" t="str">
        <f>"20190304155612987"</f>
        <v>20190304155612987</v>
      </c>
      <c r="B1000" t="str">
        <f>"1551686172975688"</f>
        <v>1551686172975688</v>
      </c>
      <c r="C1000" t="s">
        <v>40</v>
      </c>
      <c r="D1000">
        <v>4.6028529999999996</v>
      </c>
      <c r="E1000">
        <v>0.58452499999999996</v>
      </c>
      <c r="F1000" t="s">
        <v>42</v>
      </c>
      <c r="G1000">
        <v>-293.0179</v>
      </c>
      <c r="H1000">
        <v>0.93777630000000001</v>
      </c>
      <c r="I1000">
        <v>366.86880000000002</v>
      </c>
      <c r="J1000">
        <v>-293.75810000000001</v>
      </c>
      <c r="K1000">
        <v>1.05951</v>
      </c>
      <c r="L1000">
        <v>367.03269999999998</v>
      </c>
      <c r="M1000">
        <v>0.99994280000000002</v>
      </c>
      <c r="N1000">
        <v>-1.065291E-2</v>
      </c>
      <c r="O1000">
        <v>1.0259830000000001E-3</v>
      </c>
      <c r="P1000">
        <v>0.98931309999999995</v>
      </c>
      <c r="Q1000">
        <v>0.13686479999999901</v>
      </c>
      <c r="R1000">
        <v>5.0279539999999998E-2</v>
      </c>
      <c r="S1000">
        <v>3.1152039999999999</v>
      </c>
      <c r="T1000">
        <v>-0.40118409999999999</v>
      </c>
      <c r="U1000">
        <v>-0.53805539999999996</v>
      </c>
      <c r="V1000">
        <v>-4.9258990000000002E-2</v>
      </c>
      <c r="W1000">
        <v>0.14739859999999999</v>
      </c>
      <c r="X1000">
        <v>0.9878498</v>
      </c>
      <c r="Y1000">
        <v>0.16972579999999901</v>
      </c>
      <c r="Z1000">
        <v>-1.183936E-2</v>
      </c>
      <c r="AA1000">
        <v>0.98542019999999997</v>
      </c>
      <c r="AB1000">
        <v>36</v>
      </c>
      <c r="AC1000">
        <v>0.74020000000001496</v>
      </c>
      <c r="AD1000">
        <v>-0.121733699999999</v>
      </c>
      <c r="AE1000">
        <v>-0.163899999999955</v>
      </c>
      <c r="AF1000">
        <v>0.16052066389002101</v>
      </c>
      <c r="AG1000">
        <v>-0.121733699999999</v>
      </c>
      <c r="AH1000">
        <v>0.72143069915233304</v>
      </c>
      <c r="AI1000">
        <v>99.353281374283696</v>
      </c>
      <c r="AJ1000">
        <v>77.4558500827453</v>
      </c>
      <c r="AK1000">
        <v>0.74903152866271705</v>
      </c>
      <c r="AL1000">
        <v>81.523798516199506</v>
      </c>
      <c r="AM1000">
        <v>92.854681417120503</v>
      </c>
      <c r="AN1000">
        <v>1.00000001136891</v>
      </c>
    </row>
    <row r="1001" spans="1:40" x14ac:dyDescent="0.25">
      <c r="A1001" t="str">
        <f>"20190304155613002"</f>
        <v>20190304155613002</v>
      </c>
      <c r="B1001" t="str">
        <f>"1551686172996193"</f>
        <v>1551686172996193</v>
      </c>
      <c r="C1001" t="s">
        <v>40</v>
      </c>
      <c r="D1001">
        <v>4.6386399999999997</v>
      </c>
      <c r="E1001">
        <v>0.58397880000000002</v>
      </c>
      <c r="F1001" t="s">
        <v>42</v>
      </c>
      <c r="G1001">
        <v>-293.00740000000002</v>
      </c>
      <c r="H1001">
        <v>0.96168819999999999</v>
      </c>
      <c r="I1001">
        <v>366.90309999999999</v>
      </c>
      <c r="J1001">
        <v>-293.5333</v>
      </c>
      <c r="K1001">
        <v>1.059507</v>
      </c>
      <c r="L1001">
        <v>367.03300000000002</v>
      </c>
      <c r="M1001">
        <v>0.99994280000000002</v>
      </c>
      <c r="N1001">
        <v>-1.0658290000000001E-2</v>
      </c>
      <c r="O1001">
        <v>1.026133E-3</v>
      </c>
      <c r="P1001">
        <v>0.98928249999999995</v>
      </c>
      <c r="Q1001">
        <v>0.1372932</v>
      </c>
      <c r="R1001">
        <v>4.970749E-2</v>
      </c>
      <c r="S1001">
        <v>3.115875</v>
      </c>
      <c r="T1001">
        <v>-0.40638030000000003</v>
      </c>
      <c r="U1001">
        <v>-0.53677369999999902</v>
      </c>
      <c r="V1001">
        <v>-4.8686779999999999E-2</v>
      </c>
      <c r="W1001">
        <v>0.14783199999999999</v>
      </c>
      <c r="X1001">
        <v>0.98781339999999995</v>
      </c>
      <c r="Y1001">
        <v>0.1692642</v>
      </c>
      <c r="Z1001">
        <v>-1.1946170000000001E-2</v>
      </c>
      <c r="AA1001">
        <v>0.98549830000000005</v>
      </c>
      <c r="AB1001">
        <v>36</v>
      </c>
      <c r="AC1001">
        <v>0.52589999999997805</v>
      </c>
      <c r="AD1001">
        <v>-9.78187999999999E-2</v>
      </c>
      <c r="AE1001">
        <v>-0.12990000000002</v>
      </c>
      <c r="AF1001">
        <v>0.12632059983063401</v>
      </c>
      <c r="AG1001">
        <v>-9.78187999999999E-2</v>
      </c>
      <c r="AH1001">
        <v>0.50916383396686204</v>
      </c>
      <c r="AI1001">
        <v>100.56228798042901</v>
      </c>
      <c r="AJ1001">
        <v>76.0665730180054</v>
      </c>
      <c r="AK1001">
        <v>0.533641472708827</v>
      </c>
      <c r="AL1001">
        <v>81.498691445229696</v>
      </c>
      <c r="AM1001">
        <v>92.821678125346295</v>
      </c>
      <c r="AN1001">
        <v>1.0000000079951601</v>
      </c>
    </row>
    <row r="1002" spans="1:40" x14ac:dyDescent="0.25">
      <c r="A1002" t="str">
        <f>"20190304155613012"</f>
        <v>20190304155613012</v>
      </c>
      <c r="B1002" t="str">
        <f>"1551686173005942"</f>
        <v>1551686173005942</v>
      </c>
      <c r="C1002" t="s">
        <v>40</v>
      </c>
      <c r="D1002">
        <v>4.8251429999999997</v>
      </c>
      <c r="E1002">
        <v>0.58338279999999998</v>
      </c>
      <c r="F1002" t="s">
        <v>42</v>
      </c>
      <c r="G1002">
        <v>-292.69420000000002</v>
      </c>
      <c r="H1002">
        <v>0.94734529999999995</v>
      </c>
      <c r="I1002">
        <v>366.88900000000001</v>
      </c>
      <c r="J1002">
        <v>-293.35829999999999</v>
      </c>
      <c r="K1002">
        <v>1.059509</v>
      </c>
      <c r="L1002">
        <v>367.03320000000002</v>
      </c>
      <c r="M1002">
        <v>0.99994260000000001</v>
      </c>
      <c r="N1002">
        <v>-1.0663239999999999E-2</v>
      </c>
      <c r="O1002">
        <v>1.026285E-3</v>
      </c>
      <c r="P1002">
        <v>0.98932100000000001</v>
      </c>
      <c r="Q1002">
        <v>0.13711979999999999</v>
      </c>
      <c r="R1002">
        <v>4.9418520000000001E-2</v>
      </c>
      <c r="S1002">
        <v>3.1171570000000002</v>
      </c>
      <c r="T1002">
        <v>-0.41684650000000001</v>
      </c>
      <c r="U1002">
        <v>-0.53414919999999899</v>
      </c>
      <c r="V1002">
        <v>-4.8397849999999999E-2</v>
      </c>
      <c r="W1002">
        <v>0.14766409999999999</v>
      </c>
      <c r="X1002">
        <v>0.98785270000000003</v>
      </c>
      <c r="Y1002">
        <v>0.16832440000000001</v>
      </c>
      <c r="Z1002">
        <v>-1.215781E-2</v>
      </c>
      <c r="AA1002">
        <v>0.98565670000000005</v>
      </c>
      <c r="AB1002">
        <v>36</v>
      </c>
      <c r="AC1002">
        <v>0.66409999999996205</v>
      </c>
      <c r="AD1002">
        <v>-0.11216369999999901</v>
      </c>
      <c r="AE1002">
        <v>-0.14420000000001201</v>
      </c>
      <c r="AF1002">
        <v>0.14103940612410701</v>
      </c>
      <c r="AG1002">
        <v>-0.11216369999999901</v>
      </c>
      <c r="AH1002">
        <v>0.646344319652154</v>
      </c>
      <c r="AI1002">
        <v>99.622756941594702</v>
      </c>
      <c r="AJ1002">
        <v>77.690391067911705</v>
      </c>
      <c r="AK1002">
        <v>0.67099462682210498</v>
      </c>
      <c r="AL1002">
        <v>81.508418068016397</v>
      </c>
      <c r="AM1002">
        <v>92.804848384407606</v>
      </c>
      <c r="AN1002">
        <v>0.99999999760536096</v>
      </c>
    </row>
    <row r="1003" spans="1:40" x14ac:dyDescent="0.25">
      <c r="A1003" t="str">
        <f>"20190304155613024"</f>
        <v>20190304155613024</v>
      </c>
      <c r="B1003" t="str">
        <f>"1551686173015702"</f>
        <v>1551686173015702</v>
      </c>
      <c r="C1003" t="s">
        <v>40</v>
      </c>
      <c r="D1003">
        <v>4.9123739999999998</v>
      </c>
      <c r="E1003">
        <v>0.58268390000000003</v>
      </c>
      <c r="F1003" t="s">
        <v>42</v>
      </c>
      <c r="G1003">
        <v>-292.38290000000001</v>
      </c>
      <c r="H1003">
        <v>0.9274985</v>
      </c>
      <c r="I1003">
        <v>366.86720000000003</v>
      </c>
      <c r="J1003">
        <v>-293.15570000000002</v>
      </c>
      <c r="K1003">
        <v>1.0595129999999999</v>
      </c>
      <c r="L1003">
        <v>367.03339999999997</v>
      </c>
      <c r="M1003">
        <v>0.99994269999999996</v>
      </c>
      <c r="N1003">
        <v>-1.067045E-2</v>
      </c>
      <c r="O1003">
        <v>1.0264250000000001E-3</v>
      </c>
      <c r="P1003">
        <v>0.98934529999999998</v>
      </c>
      <c r="Q1003">
        <v>0.13700580000000001</v>
      </c>
      <c r="R1003">
        <v>4.9251719999999999E-2</v>
      </c>
      <c r="S1003">
        <v>3.11734</v>
      </c>
      <c r="T1003">
        <v>-0.42202849999999997</v>
      </c>
      <c r="U1003">
        <v>-0.53012079999999995</v>
      </c>
      <c r="V1003">
        <v>-4.8230469999999998E-2</v>
      </c>
      <c r="W1003">
        <v>0.14755699999999999</v>
      </c>
      <c r="X1003">
        <v>0.98787689999999995</v>
      </c>
      <c r="Y1003">
        <v>0.16705110000000001</v>
      </c>
      <c r="Z1003">
        <v>-1.220569E-2</v>
      </c>
      <c r="AA1003">
        <v>0.98587270000000005</v>
      </c>
      <c r="AB1003">
        <v>36</v>
      </c>
      <c r="AC1003">
        <v>0.77280000000001703</v>
      </c>
      <c r="AD1003">
        <v>-0.13201449999999901</v>
      </c>
      <c r="AE1003">
        <v>-0.166199999999946</v>
      </c>
      <c r="AF1003">
        <v>0.16246186331846699</v>
      </c>
      <c r="AG1003">
        <v>-0.13201449999999901</v>
      </c>
      <c r="AH1003">
        <v>0.75166390958088802</v>
      </c>
      <c r="AI1003">
        <v>99.740781103080494</v>
      </c>
      <c r="AJ1003">
        <v>77.803905193663397</v>
      </c>
      <c r="AK1003">
        <v>0.78026938823049097</v>
      </c>
      <c r="AL1003">
        <v>81.514622500126293</v>
      </c>
      <c r="AM1003">
        <v>92.795095091766299</v>
      </c>
      <c r="AN1003">
        <v>1.0000000080195099</v>
      </c>
    </row>
    <row r="1004" spans="1:40" x14ac:dyDescent="0.25">
      <c r="A1004" t="str">
        <f>"20190304155613035"</f>
        <v>20190304155613035</v>
      </c>
      <c r="B1004" t="str">
        <f>"1551686173025462"</f>
        <v>1551686173025462</v>
      </c>
      <c r="C1004" t="s">
        <v>40</v>
      </c>
      <c r="D1004">
        <v>4.816046</v>
      </c>
      <c r="E1004">
        <v>0.58197390000000004</v>
      </c>
      <c r="F1004" t="s">
        <v>42</v>
      </c>
      <c r="G1004">
        <v>-292.37189999999998</v>
      </c>
      <c r="H1004">
        <v>0.95262749999999996</v>
      </c>
      <c r="I1004">
        <v>366.90109999999999</v>
      </c>
      <c r="J1004">
        <v>-292.99290000000002</v>
      </c>
      <c r="K1004">
        <v>1.059518</v>
      </c>
      <c r="L1004">
        <v>367.0335</v>
      </c>
      <c r="M1004">
        <v>0.99994249999999996</v>
      </c>
      <c r="N1004">
        <v>-1.067646E-2</v>
      </c>
      <c r="O1004">
        <v>1.0265719999999999E-3</v>
      </c>
      <c r="P1004">
        <v>0.98932810000000004</v>
      </c>
      <c r="Q1004">
        <v>0.13715810000000001</v>
      </c>
      <c r="R1004">
        <v>4.9172279999999999E-2</v>
      </c>
      <c r="S1004">
        <v>3.11734</v>
      </c>
      <c r="T1004">
        <v>-0.42526069999999999</v>
      </c>
      <c r="U1004">
        <v>-0.52548219999999901</v>
      </c>
      <c r="V1004">
        <v>-4.8151119999999999E-2</v>
      </c>
      <c r="W1004">
        <v>0.14771509999999999</v>
      </c>
      <c r="X1004">
        <v>0.98785719999999999</v>
      </c>
      <c r="Y1004">
        <v>0.1656146</v>
      </c>
      <c r="Z1004">
        <v>-1.218881E-2</v>
      </c>
      <c r="AA1004">
        <v>0.98611519999999997</v>
      </c>
      <c r="AB1004">
        <v>36</v>
      </c>
      <c r="AC1004">
        <v>0.62100000000003697</v>
      </c>
      <c r="AD1004">
        <v>-0.1068905</v>
      </c>
      <c r="AE1004">
        <v>-0.132400000000018</v>
      </c>
      <c r="AF1004">
        <v>0.129371178521654</v>
      </c>
      <c r="AG1004">
        <v>-0.1068905</v>
      </c>
      <c r="AH1004">
        <v>0.60375378443951899</v>
      </c>
      <c r="AI1004">
        <v>99.821337448204005</v>
      </c>
      <c r="AJ1004">
        <v>77.905663237605495</v>
      </c>
      <c r="AK1004">
        <v>0.62664273158425199</v>
      </c>
      <c r="AL1004">
        <v>81.505464154903507</v>
      </c>
      <c r="AM1004">
        <v>92.790559365162196</v>
      </c>
      <c r="AN1004">
        <v>1.00000006435855</v>
      </c>
    </row>
    <row r="1005" spans="1:40" x14ac:dyDescent="0.25">
      <c r="A1005" t="str">
        <f>"20190304155613045"</f>
        <v>20190304155613045</v>
      </c>
      <c r="B1005" t="str">
        <f>"1551686173036199"</f>
        <v>1551686173036199</v>
      </c>
      <c r="C1005" t="s">
        <v>40</v>
      </c>
      <c r="D1005">
        <v>4.7767670000000004</v>
      </c>
      <c r="E1005">
        <v>0.58145429999999998</v>
      </c>
      <c r="F1005" t="s">
        <v>42</v>
      </c>
      <c r="G1005">
        <v>-292.0609</v>
      </c>
      <c r="H1005">
        <v>0.9318208</v>
      </c>
      <c r="I1005">
        <v>366.87790000000001</v>
      </c>
      <c r="J1005">
        <v>-292.81979999999999</v>
      </c>
      <c r="K1005">
        <v>1.0595209999999999</v>
      </c>
      <c r="L1005">
        <v>367.03370000000001</v>
      </c>
      <c r="M1005">
        <v>0.99994249999999996</v>
      </c>
      <c r="N1005">
        <v>-1.068303E-2</v>
      </c>
      <c r="O1005">
        <v>1.026716E-3</v>
      </c>
      <c r="P1005">
        <v>0.98935680000000004</v>
      </c>
      <c r="Q1005">
        <v>0.1369628</v>
      </c>
      <c r="R1005">
        <v>4.9138109999999999E-2</v>
      </c>
      <c r="S1005">
        <v>3.117432</v>
      </c>
      <c r="T1005">
        <v>-0.42719360000000001</v>
      </c>
      <c r="U1005">
        <v>-0.52020259999999996</v>
      </c>
      <c r="V1005">
        <v>-4.8116689999999997E-2</v>
      </c>
      <c r="W1005">
        <v>0.1475264</v>
      </c>
      <c r="X1005">
        <v>0.98788699999999996</v>
      </c>
      <c r="Y1005">
        <v>0.16398679999999999</v>
      </c>
      <c r="Z1005">
        <v>-1.212238E-2</v>
      </c>
      <c r="AA1005">
        <v>0.98638800000000004</v>
      </c>
      <c r="AB1005">
        <v>36</v>
      </c>
      <c r="AC1005">
        <v>0.75889999999998203</v>
      </c>
      <c r="AD1005">
        <v>-0.12770019999999899</v>
      </c>
      <c r="AE1005">
        <v>-0.15579999999999899</v>
      </c>
      <c r="AF1005">
        <v>0.15243745466230399</v>
      </c>
      <c r="AG1005">
        <v>-0.12770019999999899</v>
      </c>
      <c r="AH1005">
        <v>0.73867016963816701</v>
      </c>
      <c r="AI1005">
        <v>99.609663934110301</v>
      </c>
      <c r="AJ1005">
        <v>78.339706589276602</v>
      </c>
      <c r="AK1005">
        <v>0.764969370744503</v>
      </c>
      <c r="AL1005">
        <v>81.516394994256103</v>
      </c>
      <c r="AM1005">
        <v>92.788483167419301</v>
      </c>
      <c r="AN1005">
        <v>0.99999998966125803</v>
      </c>
    </row>
    <row r="1006" spans="1:40" x14ac:dyDescent="0.25">
      <c r="A1006" t="str">
        <f>"20190304155613057"</f>
        <v>20190304155613057</v>
      </c>
      <c r="B1006" t="str">
        <f>"1551686173045959"</f>
        <v>1551686173045959</v>
      </c>
      <c r="C1006" t="s">
        <v>40</v>
      </c>
      <c r="D1006">
        <v>4.805904</v>
      </c>
      <c r="E1006">
        <v>0.58084950000000002</v>
      </c>
      <c r="F1006" t="s">
        <v>42</v>
      </c>
      <c r="G1006">
        <v>-292.05130000000003</v>
      </c>
      <c r="H1006">
        <v>0.9535515</v>
      </c>
      <c r="I1006">
        <v>366.90629999999999</v>
      </c>
      <c r="J1006">
        <v>-292.6404</v>
      </c>
      <c r="K1006">
        <v>1.05952</v>
      </c>
      <c r="L1006">
        <v>367.03390000000002</v>
      </c>
      <c r="M1006">
        <v>0.99994229999999995</v>
      </c>
      <c r="N1006">
        <v>-1.0691269999999999E-2</v>
      </c>
      <c r="O1006">
        <v>1.026791E-3</v>
      </c>
      <c r="P1006">
        <v>0.98928360000000004</v>
      </c>
      <c r="Q1006">
        <v>0.13742190000000001</v>
      </c>
      <c r="R1006">
        <v>4.9325849999999997E-2</v>
      </c>
      <c r="S1006">
        <v>3.117432</v>
      </c>
      <c r="T1006">
        <v>-0.42991269999999998</v>
      </c>
      <c r="U1006">
        <v>-0.51638790000000001</v>
      </c>
      <c r="V1006">
        <v>-4.830454E-2</v>
      </c>
      <c r="W1006">
        <v>0.14799329999999999</v>
      </c>
      <c r="X1006">
        <v>0.98780800000000002</v>
      </c>
      <c r="Y1006">
        <v>0.16280359999999999</v>
      </c>
      <c r="Z1006">
        <v>-1.2108020000000001E-2</v>
      </c>
      <c r="AA1006">
        <v>0.98658420000000002</v>
      </c>
      <c r="AB1006">
        <v>36</v>
      </c>
      <c r="AC1006">
        <v>0.58909999999997298</v>
      </c>
      <c r="AD1006">
        <v>-0.10596849999999999</v>
      </c>
      <c r="AE1006">
        <v>-0.127600000000029</v>
      </c>
      <c r="AF1006">
        <v>0.124361159916538</v>
      </c>
      <c r="AG1006">
        <v>-0.10596849999999999</v>
      </c>
      <c r="AH1006">
        <v>0.57131088408080899</v>
      </c>
      <c r="AI1006">
        <v>100.272716420001</v>
      </c>
      <c r="AJ1006">
        <v>77.719604327008497</v>
      </c>
      <c r="AK1006">
        <v>0.59421473168984296</v>
      </c>
      <c r="AL1006">
        <v>81.4893467393523</v>
      </c>
      <c r="AM1006">
        <v>92.799575786740903</v>
      </c>
      <c r="AN1006">
        <v>0.99999999514674998</v>
      </c>
    </row>
    <row r="1007" spans="1:40" x14ac:dyDescent="0.25">
      <c r="A1007" t="str">
        <f>"20190304155613067"</f>
        <v>20190304155613067</v>
      </c>
      <c r="B1007" t="str">
        <f>"1551686173055718"</f>
        <v>1551686173055718</v>
      </c>
      <c r="C1007" t="s">
        <v>40</v>
      </c>
      <c r="D1007">
        <v>4.7120179999999996</v>
      </c>
      <c r="E1007">
        <v>0.5802813</v>
      </c>
      <c r="F1007" t="s">
        <v>42</v>
      </c>
      <c r="G1007">
        <v>-291.73919999999998</v>
      </c>
      <c r="H1007">
        <v>0.93507989999999996</v>
      </c>
      <c r="I1007">
        <v>366.88600000000002</v>
      </c>
      <c r="J1007">
        <v>-292.46870000000001</v>
      </c>
      <c r="K1007">
        <v>1.059517</v>
      </c>
      <c r="L1007">
        <v>367.03410000000002</v>
      </c>
      <c r="M1007">
        <v>0.9999422</v>
      </c>
      <c r="N1007">
        <v>-1.0699800000000001E-2</v>
      </c>
      <c r="O1007">
        <v>1.026924E-3</v>
      </c>
      <c r="P1007">
        <v>0.98924469999999998</v>
      </c>
      <c r="Q1007">
        <v>0.13768949999999999</v>
      </c>
      <c r="R1007">
        <v>4.9363120000000003E-2</v>
      </c>
      <c r="S1007">
        <v>3.1177980000000001</v>
      </c>
      <c r="T1007">
        <v>-0.4306469</v>
      </c>
      <c r="U1007">
        <v>-0.5109863</v>
      </c>
      <c r="V1007">
        <v>-4.834161E-2</v>
      </c>
      <c r="W1007">
        <v>0.1482687</v>
      </c>
      <c r="X1007">
        <v>0.98776489999999995</v>
      </c>
      <c r="Y1007">
        <v>0.16113189999999999</v>
      </c>
      <c r="Z1007">
        <v>-1.200469E-2</v>
      </c>
      <c r="AA1007">
        <v>0.98685990000000001</v>
      </c>
      <c r="AB1007">
        <v>36</v>
      </c>
      <c r="AC1007">
        <v>0.72950000000003001</v>
      </c>
      <c r="AD1007">
        <v>-0.124437099999999</v>
      </c>
      <c r="AE1007">
        <v>-0.14810000000005599</v>
      </c>
      <c r="AF1007">
        <v>0.144802556738894</v>
      </c>
      <c r="AG1007">
        <v>-0.124437099999999</v>
      </c>
      <c r="AH1007">
        <v>0.70951978454361897</v>
      </c>
      <c r="AI1007">
        <v>99.750477769953406</v>
      </c>
      <c r="AJ1007">
        <v>78.465177728896194</v>
      </c>
      <c r="AK1007">
        <v>0.73475893798806802</v>
      </c>
      <c r="AL1007">
        <v>81.473391570692996</v>
      </c>
      <c r="AM1007">
        <v>92.801842877939194</v>
      </c>
      <c r="AN1007">
        <v>1.0000000081645399</v>
      </c>
    </row>
    <row r="1008" spans="1:40" x14ac:dyDescent="0.25">
      <c r="A1008" t="str">
        <f>"20190304155613080"</f>
        <v>20190304155613080</v>
      </c>
      <c r="B1008" t="str">
        <f>"1551686173075238"</f>
        <v>1551686173075238</v>
      </c>
      <c r="C1008" t="s">
        <v>40</v>
      </c>
      <c r="D1008">
        <v>4.6716129999999998</v>
      </c>
      <c r="E1008">
        <v>0.57900669999999899</v>
      </c>
      <c r="F1008" t="s">
        <v>42</v>
      </c>
      <c r="G1008">
        <v>-291.72930000000002</v>
      </c>
      <c r="H1008">
        <v>0.95715510000000004</v>
      </c>
      <c r="I1008">
        <v>366.91390000000001</v>
      </c>
      <c r="J1008">
        <v>-292.28019999999998</v>
      </c>
      <c r="K1008">
        <v>1.0595190000000001</v>
      </c>
      <c r="L1008">
        <v>367.03429999999997</v>
      </c>
      <c r="M1008">
        <v>0.9999422</v>
      </c>
      <c r="N1008">
        <v>-1.0710580000000001E-2</v>
      </c>
      <c r="O1008">
        <v>1.027044E-3</v>
      </c>
      <c r="P1008">
        <v>0.98922690000000002</v>
      </c>
      <c r="Q1008">
        <v>0.13778840000000001</v>
      </c>
      <c r="R1008">
        <v>4.9445839999999998E-2</v>
      </c>
      <c r="S1008">
        <v>3.1179809999999999</v>
      </c>
      <c r="T1008">
        <v>-0.43184840000000002</v>
      </c>
      <c r="U1008">
        <v>-0.506073</v>
      </c>
      <c r="V1008">
        <v>-4.8424639999999998E-2</v>
      </c>
      <c r="W1008">
        <v>0.1483786</v>
      </c>
      <c r="X1008">
        <v>0.98774430000000002</v>
      </c>
      <c r="Y1008">
        <v>0.1596139</v>
      </c>
      <c r="Z1008">
        <v>-1.1924860000000001E-2</v>
      </c>
      <c r="AA1008">
        <v>0.98710750000000003</v>
      </c>
      <c r="AB1008">
        <v>36</v>
      </c>
      <c r="AC1008">
        <v>0.55089999999995598</v>
      </c>
      <c r="AD1008">
        <v>-0.10236389999999999</v>
      </c>
      <c r="AE1008">
        <v>-0.12039999999996</v>
      </c>
      <c r="AF1008">
        <v>0.11710684023179301</v>
      </c>
      <c r="AG1008">
        <v>-0.10236389999999999</v>
      </c>
      <c r="AH1008">
        <v>0.53320574750856897</v>
      </c>
      <c r="AI1008">
        <v>100.620159780338</v>
      </c>
      <c r="AJ1008">
        <v>77.612920462335893</v>
      </c>
      <c r="AK1008">
        <v>0.55542843754029803</v>
      </c>
      <c r="AL1008">
        <v>81.467024080248095</v>
      </c>
      <c r="AM1008">
        <v>92.806705986127199</v>
      </c>
      <c r="AN1008">
        <v>0.99999997843978905</v>
      </c>
    </row>
    <row r="1009" spans="1:40" x14ac:dyDescent="0.25">
      <c r="A1009" t="str">
        <f>"20190304155613091"</f>
        <v>20190304155613091</v>
      </c>
      <c r="B1009" t="str">
        <f>"1551686173085974"</f>
        <v>1551686173085974</v>
      </c>
      <c r="C1009" t="s">
        <v>40</v>
      </c>
      <c r="D1009">
        <v>4.8026239999999998</v>
      </c>
      <c r="E1009">
        <v>0.57840659999999999</v>
      </c>
      <c r="F1009" t="s">
        <v>42</v>
      </c>
      <c r="G1009">
        <v>-291.41719999999998</v>
      </c>
      <c r="H1009">
        <v>0.93851879999999999</v>
      </c>
      <c r="I1009">
        <v>366.89699999999999</v>
      </c>
      <c r="J1009">
        <v>-292.09899999999999</v>
      </c>
      <c r="K1009">
        <v>1.059523</v>
      </c>
      <c r="L1009">
        <v>367.03449999999998</v>
      </c>
      <c r="M1009">
        <v>0.999942</v>
      </c>
      <c r="N1009">
        <v>-1.072123E-2</v>
      </c>
      <c r="O1009">
        <v>1.0271659999999999E-3</v>
      </c>
      <c r="P1009">
        <v>0.98919009999999996</v>
      </c>
      <c r="Q1009">
        <v>0.13803799999999999</v>
      </c>
      <c r="R1009">
        <v>4.9484050000000002E-2</v>
      </c>
      <c r="S1009">
        <v>3.118347</v>
      </c>
      <c r="T1009">
        <v>-0.4373206</v>
      </c>
      <c r="U1009">
        <v>-0.49566650000000001</v>
      </c>
      <c r="V1009">
        <v>-4.8462289999999998E-2</v>
      </c>
      <c r="W1009">
        <v>0.14863789999999999</v>
      </c>
      <c r="X1009">
        <v>0.98770349999999996</v>
      </c>
      <c r="Y1009">
        <v>0.15637670000000001</v>
      </c>
      <c r="Z1009">
        <v>-1.182414E-2</v>
      </c>
      <c r="AA1009">
        <v>0.98762669999999997</v>
      </c>
      <c r="AB1009">
        <v>36</v>
      </c>
      <c r="AC1009">
        <v>0.68180000000000895</v>
      </c>
      <c r="AD1009">
        <v>-0.12100419999999899</v>
      </c>
      <c r="AE1009">
        <v>-0.13749999999998799</v>
      </c>
      <c r="AF1009">
        <v>0.13414023147715601</v>
      </c>
      <c r="AG1009">
        <v>-0.12100419999999899</v>
      </c>
      <c r="AH1009">
        <v>0.66163258760870003</v>
      </c>
      <c r="AI1009">
        <v>100.161825655236</v>
      </c>
      <c r="AJ1009">
        <v>78.5391251055065</v>
      </c>
      <c r="AK1009">
        <v>0.68585224290962898</v>
      </c>
      <c r="AL1009">
        <v>81.452000976204999</v>
      </c>
      <c r="AM1009">
        <v>92.809000540904293</v>
      </c>
      <c r="AN1009">
        <v>1.00000001139035</v>
      </c>
    </row>
    <row r="1010" spans="1:40" x14ac:dyDescent="0.25">
      <c r="A1010" t="str">
        <f>"20190304155613102"</f>
        <v>20190304155613102</v>
      </c>
      <c r="B1010" t="str">
        <f>"1551686173095734"</f>
        <v>1551686173095734</v>
      </c>
      <c r="C1010" t="s">
        <v>40</v>
      </c>
      <c r="D1010">
        <v>4.7612310000000004</v>
      </c>
      <c r="E1010">
        <v>0.57798549999999904</v>
      </c>
      <c r="F1010" t="s">
        <v>42</v>
      </c>
      <c r="G1010">
        <v>-291.10500000000002</v>
      </c>
      <c r="H1010">
        <v>0.91916569999999997</v>
      </c>
      <c r="I1010">
        <v>366.87799999999999</v>
      </c>
      <c r="J1010">
        <v>-291.91390000000001</v>
      </c>
      <c r="K1010">
        <v>1.0595250000000001</v>
      </c>
      <c r="L1010">
        <v>367.03469999999999</v>
      </c>
      <c r="M1010">
        <v>0.99994190000000005</v>
      </c>
      <c r="N1010">
        <v>-1.0732459999999999E-2</v>
      </c>
      <c r="O1010">
        <v>1.0272839999999901E-3</v>
      </c>
      <c r="P1010">
        <v>0.98910779999999998</v>
      </c>
      <c r="Q1010">
        <v>0.13855770000000001</v>
      </c>
      <c r="R1010">
        <v>4.9674219999999998E-2</v>
      </c>
      <c r="S1010">
        <v>3.118805</v>
      </c>
      <c r="T1010">
        <v>-0.44048959999999998</v>
      </c>
      <c r="U1010">
        <v>-0.49035640000000003</v>
      </c>
      <c r="V1010">
        <v>-4.865241E-2</v>
      </c>
      <c r="W1010">
        <v>0.14916789999999999</v>
      </c>
      <c r="X1010">
        <v>0.9876142</v>
      </c>
      <c r="Y1010">
        <v>0.15470829999999999</v>
      </c>
      <c r="Z1010">
        <v>-1.17781E-2</v>
      </c>
      <c r="AA1010">
        <v>0.98789000000000005</v>
      </c>
      <c r="AB1010">
        <v>36</v>
      </c>
      <c r="AC1010">
        <v>0.80889999999999396</v>
      </c>
      <c r="AD1010">
        <v>-0.14035929999999999</v>
      </c>
      <c r="AE1010">
        <v>-0.156699999999943</v>
      </c>
      <c r="AF1010">
        <v>0.15308835471071</v>
      </c>
      <c r="AG1010">
        <v>-0.14035929999999999</v>
      </c>
      <c r="AH1010">
        <v>0.78593109193677901</v>
      </c>
      <c r="AI1010">
        <v>99.942661303874402</v>
      </c>
      <c r="AJ1010">
        <v>78.9776049435728</v>
      </c>
      <c r="AK1010">
        <v>0.81291110136192601</v>
      </c>
      <c r="AL1010">
        <v>81.421291450295897</v>
      </c>
      <c r="AM1010">
        <v>92.820257210655896</v>
      </c>
      <c r="AN1010">
        <v>0.99999996371542799</v>
      </c>
    </row>
    <row r="1011" spans="1:40" x14ac:dyDescent="0.25">
      <c r="A1011" t="str">
        <f>"20190304155613114"</f>
        <v>20190304155613114</v>
      </c>
      <c r="B1011" t="str">
        <f>"1551686173105494"</f>
        <v>1551686173105494</v>
      </c>
      <c r="C1011" t="s">
        <v>40</v>
      </c>
      <c r="D1011">
        <v>4.8303890000000003</v>
      </c>
      <c r="E1011">
        <v>0.5777563</v>
      </c>
      <c r="F1011" t="s">
        <v>42</v>
      </c>
      <c r="G1011">
        <v>-291.0942</v>
      </c>
      <c r="H1011">
        <v>0.94343339999999998</v>
      </c>
      <c r="I1011">
        <v>366.90660000000003</v>
      </c>
      <c r="J1011">
        <v>-291.73939999999999</v>
      </c>
      <c r="K1011">
        <v>1.059528</v>
      </c>
      <c r="L1011">
        <v>367.03489999999999</v>
      </c>
      <c r="M1011">
        <v>0.99994179999999999</v>
      </c>
      <c r="N1011">
        <v>-1.0743620000000001E-2</v>
      </c>
      <c r="O1011">
        <v>1.027343E-3</v>
      </c>
      <c r="P1011">
        <v>0.98908059999999998</v>
      </c>
      <c r="Q1011">
        <v>0.13869879999999901</v>
      </c>
      <c r="R1011">
        <v>4.9821089999999998E-2</v>
      </c>
      <c r="S1011">
        <v>3.1193849999999999</v>
      </c>
      <c r="T1011">
        <v>-0.44192409999999999</v>
      </c>
      <c r="U1011">
        <v>-0.48690800000000001</v>
      </c>
      <c r="V1011">
        <v>-4.8799149999999999E-2</v>
      </c>
      <c r="W1011">
        <v>0.1493197</v>
      </c>
      <c r="X1011">
        <v>0.98758409999999996</v>
      </c>
      <c r="Y1011">
        <v>0.15361549999999999</v>
      </c>
      <c r="Z1011">
        <v>-1.173065E-2</v>
      </c>
      <c r="AA1011">
        <v>0.98806110000000003</v>
      </c>
      <c r="AB1011">
        <v>36</v>
      </c>
      <c r="AC1011">
        <v>0.64519999999998801</v>
      </c>
      <c r="AD1011">
        <v>-0.11609459999999901</v>
      </c>
      <c r="AE1011">
        <v>-0.128299999999967</v>
      </c>
      <c r="AF1011">
        <v>0.12506754131966</v>
      </c>
      <c r="AG1011">
        <v>-0.11609459999999901</v>
      </c>
      <c r="AH1011">
        <v>0.62558382386423295</v>
      </c>
      <c r="AI1011">
        <v>100.313652525335</v>
      </c>
      <c r="AJ1011">
        <v>78.694402459395505</v>
      </c>
      <c r="AK1011">
        <v>0.64844041107992401</v>
      </c>
      <c r="AL1011">
        <v>81.4124961182535</v>
      </c>
      <c r="AM1011">
        <v>92.828835638250894</v>
      </c>
      <c r="AN1011">
        <v>1.00000004221081</v>
      </c>
    </row>
    <row r="1012" spans="1:40" x14ac:dyDescent="0.25">
      <c r="A1012" t="str">
        <f>"20190304155613124"</f>
        <v>20190304155613124</v>
      </c>
      <c r="B1012" t="str">
        <f>"1551686173115255"</f>
        <v>1551686173115255</v>
      </c>
      <c r="C1012" t="s">
        <v>40</v>
      </c>
      <c r="D1012">
        <v>4.6897310000000001</v>
      </c>
      <c r="E1012">
        <v>0.57739719999999894</v>
      </c>
      <c r="F1012" t="s">
        <v>42</v>
      </c>
      <c r="G1012">
        <v>-290.7824</v>
      </c>
      <c r="H1012">
        <v>0.92285700000000004</v>
      </c>
      <c r="I1012">
        <v>366.88619999999997</v>
      </c>
      <c r="J1012">
        <v>-291.56819999999999</v>
      </c>
      <c r="K1012">
        <v>1.0595300000000001</v>
      </c>
      <c r="L1012">
        <v>367.03500000000003</v>
      </c>
      <c r="M1012">
        <v>0.99994170000000004</v>
      </c>
      <c r="N1012">
        <v>-1.0755600000000001E-2</v>
      </c>
      <c r="O1012">
        <v>1.0274570000000001E-3</v>
      </c>
      <c r="P1012">
        <v>0.98905710000000002</v>
      </c>
      <c r="Q1012">
        <v>0.13884540000000001</v>
      </c>
      <c r="R1012">
        <v>4.9881259999999997E-2</v>
      </c>
      <c r="S1012">
        <v>3.1199949999999999</v>
      </c>
      <c r="T1012">
        <v>-0.44563720000000001</v>
      </c>
      <c r="U1012">
        <v>-0.48443599999999998</v>
      </c>
      <c r="V1012">
        <v>-4.8859199999999998E-2</v>
      </c>
      <c r="W1012">
        <v>0.14947769999999999</v>
      </c>
      <c r="X1012">
        <v>0.98755720000000002</v>
      </c>
      <c r="Y1012">
        <v>0.15280439999999901</v>
      </c>
      <c r="Z1012">
        <v>-1.1759189999999999E-2</v>
      </c>
      <c r="AA1012">
        <v>0.98818649999999997</v>
      </c>
      <c r="AB1012">
        <v>36</v>
      </c>
      <c r="AC1012">
        <v>0.78579999999999395</v>
      </c>
      <c r="AD1012">
        <v>-0.13667299999999899</v>
      </c>
      <c r="AE1012">
        <v>-0.148800000000051</v>
      </c>
      <c r="AF1012">
        <v>0.14536219611673801</v>
      </c>
      <c r="AG1012">
        <v>-0.13667299999999899</v>
      </c>
      <c r="AH1012">
        <v>0.76335375946786999</v>
      </c>
      <c r="AI1012">
        <v>99.975287265949802</v>
      </c>
      <c r="AJ1012">
        <v>79.218492164331295</v>
      </c>
      <c r="AK1012">
        <v>0.78899850385321502</v>
      </c>
      <c r="AL1012">
        <v>81.403340387258098</v>
      </c>
      <c r="AM1012">
        <v>92.832388032696898</v>
      </c>
      <c r="AN1012">
        <v>1.0000000137468801</v>
      </c>
    </row>
    <row r="1013" spans="1:40" x14ac:dyDescent="0.25">
      <c r="A1013" t="str">
        <f>"20190304155613136"</f>
        <v>20190304155613136</v>
      </c>
      <c r="B1013" t="str">
        <f>"1551686173125991"</f>
        <v>1551686173125991</v>
      </c>
      <c r="C1013" t="s">
        <v>40</v>
      </c>
      <c r="D1013">
        <v>4.6821029999999997</v>
      </c>
      <c r="E1013">
        <v>0.57682809999999995</v>
      </c>
      <c r="F1013" t="s">
        <v>42</v>
      </c>
      <c r="G1013">
        <v>-290.77249999999998</v>
      </c>
      <c r="H1013">
        <v>0.94522269999999997</v>
      </c>
      <c r="I1013">
        <v>366.91219999999998</v>
      </c>
      <c r="J1013">
        <v>-291.38560000000001</v>
      </c>
      <c r="K1013">
        <v>1.0595330000000001</v>
      </c>
      <c r="L1013">
        <v>367.03519999999997</v>
      </c>
      <c r="M1013">
        <v>0.99994159999999999</v>
      </c>
      <c r="N1013">
        <v>-1.0769030000000001E-2</v>
      </c>
      <c r="O1013">
        <v>1.027563E-3</v>
      </c>
      <c r="P1013">
        <v>0.98901539999999999</v>
      </c>
      <c r="Q1013">
        <v>0.13913979999999901</v>
      </c>
      <c r="R1013">
        <v>4.9889330000000003E-2</v>
      </c>
      <c r="S1013">
        <v>3.1203919999999998</v>
      </c>
      <c r="T1013">
        <v>-0.4482951</v>
      </c>
      <c r="U1013">
        <v>-0.48138429999999999</v>
      </c>
      <c r="V1013">
        <v>-4.8867720000000003E-2</v>
      </c>
      <c r="W1013">
        <v>0.1497851</v>
      </c>
      <c r="X1013">
        <v>0.9875102</v>
      </c>
      <c r="Y1013">
        <v>0.1518332</v>
      </c>
      <c r="Z1013">
        <v>-1.174996E-2</v>
      </c>
      <c r="AA1013">
        <v>0.98833629999999995</v>
      </c>
      <c r="AB1013">
        <v>36</v>
      </c>
      <c r="AC1013">
        <v>0.61310000000003095</v>
      </c>
      <c r="AD1013">
        <v>-0.1143103</v>
      </c>
      <c r="AE1013">
        <v>-0.12299999999999001</v>
      </c>
      <c r="AF1013">
        <v>0.119632188221721</v>
      </c>
      <c r="AG1013">
        <v>-0.1143103</v>
      </c>
      <c r="AH1013">
        <v>0.59315176103091605</v>
      </c>
      <c r="AI1013">
        <v>100.697830499841</v>
      </c>
      <c r="AJ1013">
        <v>78.597047022022096</v>
      </c>
      <c r="AK1013">
        <v>0.61579843841867898</v>
      </c>
      <c r="AL1013">
        <v>81.385527111030797</v>
      </c>
      <c r="AM1013">
        <v>92.833015745899004</v>
      </c>
      <c r="AN1013">
        <v>1.0000000126720201</v>
      </c>
    </row>
    <row r="1014" spans="1:40" x14ac:dyDescent="0.25">
      <c r="A1014" t="str">
        <f>"20190304155613147"</f>
        <v>20190304155613147</v>
      </c>
      <c r="B1014" t="str">
        <f>"1551686173135281"</f>
        <v>1551686173135281</v>
      </c>
      <c r="C1014" t="s">
        <v>40</v>
      </c>
      <c r="D1014">
        <v>4.7271400000000003</v>
      </c>
      <c r="E1014">
        <v>0.5764629</v>
      </c>
      <c r="F1014" t="s">
        <v>42</v>
      </c>
      <c r="G1014">
        <v>-290.45999999999998</v>
      </c>
      <c r="H1014">
        <v>0.92614410000000003</v>
      </c>
      <c r="I1014">
        <v>366.89359999999999</v>
      </c>
      <c r="J1014">
        <v>-291.18470000000002</v>
      </c>
      <c r="K1014">
        <v>1.059537</v>
      </c>
      <c r="L1014">
        <v>367.03539999999998</v>
      </c>
      <c r="M1014">
        <v>0.99994130000000003</v>
      </c>
      <c r="N1014">
        <v>-1.0784490000000001E-2</v>
      </c>
      <c r="O1014">
        <v>1.027837E-3</v>
      </c>
      <c r="P1014">
        <v>0.98893660000000005</v>
      </c>
      <c r="Q1014">
        <v>0.13958709999999999</v>
      </c>
      <c r="R1014">
        <v>5.019999E-2</v>
      </c>
      <c r="S1014">
        <v>3.1206670000000001</v>
      </c>
      <c r="T1014">
        <v>-0.44978240000000003</v>
      </c>
      <c r="U1014">
        <v>-0.47686770000000001</v>
      </c>
      <c r="V1014">
        <v>-4.917784E-2</v>
      </c>
      <c r="W1014">
        <v>0.15024660000000001</v>
      </c>
      <c r="X1014">
        <v>0.98742470000000004</v>
      </c>
      <c r="Y1014">
        <v>0.15042710000000001</v>
      </c>
      <c r="Z1014">
        <v>-1.167934E-2</v>
      </c>
      <c r="AA1014">
        <v>0.98855210000000004</v>
      </c>
      <c r="AB1014">
        <v>36</v>
      </c>
      <c r="AC1014">
        <v>0.72470000000004098</v>
      </c>
      <c r="AD1014">
        <v>-0.13339290000000001</v>
      </c>
      <c r="AE1014">
        <v>-0.14179999999998899</v>
      </c>
      <c r="AF1014">
        <v>0.138040427346621</v>
      </c>
      <c r="AG1014">
        <v>-0.13339290000000001</v>
      </c>
      <c r="AH1014">
        <v>0.70165797184207301</v>
      </c>
      <c r="AI1014">
        <v>100.566254926733</v>
      </c>
      <c r="AJ1014">
        <v>78.870075586520102</v>
      </c>
      <c r="AK1014">
        <v>0.72744259897395203</v>
      </c>
      <c r="AL1014">
        <v>81.358782514575694</v>
      </c>
      <c r="AM1014">
        <v>92.851211266309306</v>
      </c>
      <c r="AN1014">
        <v>1.0000000194643499</v>
      </c>
    </row>
    <row r="1015" spans="1:40" x14ac:dyDescent="0.25">
      <c r="A1015" t="str">
        <f>"20190304155613161"</f>
        <v>20190304155613161</v>
      </c>
      <c r="B1015" t="str">
        <f>"1551686173155778"</f>
        <v>1551686173155778</v>
      </c>
      <c r="C1015" t="s">
        <v>40</v>
      </c>
      <c r="D1015">
        <v>4.6531190000000002</v>
      </c>
      <c r="E1015">
        <v>0.575856699999999</v>
      </c>
      <c r="F1015" t="s">
        <v>42</v>
      </c>
      <c r="G1015">
        <v>-290.44779999999997</v>
      </c>
      <c r="H1015">
        <v>0.95303389999999999</v>
      </c>
      <c r="I1015">
        <v>366.92360000000002</v>
      </c>
      <c r="J1015">
        <v>-290.97239999999999</v>
      </c>
      <c r="K1015">
        <v>1.0595429999999999</v>
      </c>
      <c r="L1015">
        <v>367.03570000000002</v>
      </c>
      <c r="M1015">
        <v>0.99994119999999997</v>
      </c>
      <c r="N1015">
        <v>-1.0800850000000001E-2</v>
      </c>
      <c r="O1015">
        <v>1.028047E-3</v>
      </c>
      <c r="P1015">
        <v>0.98889459999999996</v>
      </c>
      <c r="Q1015">
        <v>0.13990339999999901</v>
      </c>
      <c r="R1015">
        <v>5.0145929999999998E-2</v>
      </c>
      <c r="S1015">
        <v>3.1212460000000002</v>
      </c>
      <c r="T1015">
        <v>-0.45123530000000001</v>
      </c>
      <c r="U1015">
        <v>-0.47296139999999998</v>
      </c>
      <c r="V1015">
        <v>-4.9123550000000002E-2</v>
      </c>
      <c r="W1015">
        <v>0.1505785</v>
      </c>
      <c r="X1015">
        <v>0.98737680000000005</v>
      </c>
      <c r="Y1015">
        <v>0.14919399999999999</v>
      </c>
      <c r="Z1015">
        <v>-1.161942E-2</v>
      </c>
      <c r="AA1015">
        <v>0.9887397</v>
      </c>
      <c r="AB1015">
        <v>36</v>
      </c>
      <c r="AC1015">
        <v>0.52460000000002005</v>
      </c>
      <c r="AD1015">
        <v>-0.1065091</v>
      </c>
      <c r="AE1015">
        <v>-0.11209999999999801</v>
      </c>
      <c r="AF1015">
        <v>0.108367356662945</v>
      </c>
      <c r="AG1015">
        <v>-0.1065091</v>
      </c>
      <c r="AH1015">
        <v>0.50459300691319198</v>
      </c>
      <c r="AI1015">
        <v>101.660634242353</v>
      </c>
      <c r="AJ1015">
        <v>77.879159437585002</v>
      </c>
      <c r="AK1015">
        <v>0.52697416919486795</v>
      </c>
      <c r="AL1015">
        <v>81.339546836785303</v>
      </c>
      <c r="AM1015">
        <v>92.848206788811098</v>
      </c>
      <c r="AN1015">
        <v>0.99999997650254602</v>
      </c>
    </row>
    <row r="1016" spans="1:40" x14ac:dyDescent="0.25">
      <c r="A1016" t="str">
        <f>"20190304155613183"</f>
        <v>20190304155613183</v>
      </c>
      <c r="B1016" t="str">
        <f>"1551686173175299"</f>
        <v>1551686173175299</v>
      </c>
      <c r="C1016" t="s">
        <v>40</v>
      </c>
      <c r="D1016">
        <v>4.0263960000000001</v>
      </c>
      <c r="E1016">
        <v>0.57576969999999905</v>
      </c>
      <c r="F1016" t="s">
        <v>42</v>
      </c>
      <c r="G1016">
        <v>-290.13369999999998</v>
      </c>
      <c r="H1016">
        <v>0.9373667</v>
      </c>
      <c r="I1016">
        <v>366.90960000000001</v>
      </c>
      <c r="J1016">
        <v>-290.64530000000002</v>
      </c>
      <c r="K1016">
        <v>1.059558</v>
      </c>
      <c r="L1016">
        <v>367.036</v>
      </c>
      <c r="M1016">
        <v>0.99994090000000002</v>
      </c>
      <c r="N1016">
        <v>-1.0825299999999901E-2</v>
      </c>
      <c r="O1016">
        <v>1.0282710000000001E-3</v>
      </c>
      <c r="P1016">
        <v>0.98867890000000003</v>
      </c>
      <c r="Q1016">
        <v>0.141347</v>
      </c>
      <c r="R1016">
        <v>5.0351269999999997E-2</v>
      </c>
      <c r="S1016">
        <v>3.121826</v>
      </c>
      <c r="T1016">
        <v>-0.45477719999999999</v>
      </c>
      <c r="U1016">
        <v>-0.46878049999999999</v>
      </c>
      <c r="V1016">
        <v>-4.9328919999999998E-2</v>
      </c>
      <c r="W1016">
        <v>0.15204389999999901</v>
      </c>
      <c r="X1016">
        <v>0.98714199999999996</v>
      </c>
      <c r="Y1016">
        <v>0.14786199999999999</v>
      </c>
      <c r="Z1016">
        <v>-1.16011E-2</v>
      </c>
      <c r="AA1016">
        <v>0.98893989999999998</v>
      </c>
      <c r="AB1016">
        <v>36</v>
      </c>
      <c r="AC1016">
        <v>0.51160000000004402</v>
      </c>
      <c r="AD1016">
        <v>-0.1221913</v>
      </c>
      <c r="AE1016">
        <v>-0.12639999999998899</v>
      </c>
      <c r="AF1016">
        <v>0.12045021508614499</v>
      </c>
      <c r="AG1016">
        <v>-0.1221913</v>
      </c>
      <c r="AH1016">
        <v>0.48537437480903101</v>
      </c>
      <c r="AI1016">
        <v>103.730374226243</v>
      </c>
      <c r="AJ1016">
        <v>76.063054438819606</v>
      </c>
      <c r="AK1016">
        <v>0.51480797568729098</v>
      </c>
      <c r="AL1016">
        <v>81.254607902631804</v>
      </c>
      <c r="AM1016">
        <v>92.860773676711801</v>
      </c>
      <c r="AN1016">
        <v>1.00000000901978</v>
      </c>
    </row>
    <row r="1017" spans="1:40" x14ac:dyDescent="0.25">
      <c r="A1017" t="str">
        <f>"20190304155613193"</f>
        <v>20190304155613193</v>
      </c>
      <c r="B1017" t="str">
        <f>"1551686173186034"</f>
        <v>1551686173186034</v>
      </c>
      <c r="C1017" t="s">
        <v>40</v>
      </c>
      <c r="D1017">
        <v>4.2669269999999999</v>
      </c>
      <c r="E1017">
        <v>0.57576969999999905</v>
      </c>
      <c r="F1017" t="s">
        <v>42</v>
      </c>
      <c r="G1017">
        <v>-289.81099999999998</v>
      </c>
      <c r="H1017">
        <v>0.93964619999999999</v>
      </c>
      <c r="I1017">
        <v>366.91079999999999</v>
      </c>
      <c r="J1017">
        <v>-290.46129999999999</v>
      </c>
      <c r="K1017">
        <v>1.0595650000000001</v>
      </c>
      <c r="L1017">
        <v>367.03620000000001</v>
      </c>
      <c r="M1017">
        <v>0.99994079999999996</v>
      </c>
      <c r="N1017">
        <v>-1.0838469999999999E-2</v>
      </c>
      <c r="O1017">
        <v>1.0283779999999999E-3</v>
      </c>
      <c r="P1017">
        <v>0.98860440000000005</v>
      </c>
      <c r="Q1017">
        <v>0.14194209999999999</v>
      </c>
      <c r="R1017">
        <v>5.0141020000000001E-2</v>
      </c>
      <c r="S1017">
        <v>3.1223450000000001</v>
      </c>
      <c r="T1017">
        <v>-0.4489764</v>
      </c>
      <c r="U1017">
        <v>-0.46737669999999998</v>
      </c>
      <c r="V1017">
        <v>-4.9119040000000003E-2</v>
      </c>
      <c r="W1017">
        <v>0.15265090000000001</v>
      </c>
      <c r="X1017">
        <v>0.98705880000000001</v>
      </c>
      <c r="Y1017">
        <v>0.1474481</v>
      </c>
      <c r="Z1017">
        <v>-1.143244E-2</v>
      </c>
      <c r="AA1017">
        <v>0.98900370000000004</v>
      </c>
      <c r="AB1017">
        <v>36</v>
      </c>
      <c r="AC1017">
        <v>0.65030000000001498</v>
      </c>
      <c r="AD1017">
        <v>-0.11991879999999901</v>
      </c>
      <c r="AE1017">
        <v>-0.125400000000013</v>
      </c>
      <c r="AF1017">
        <v>0.12206662866053</v>
      </c>
      <c r="AG1017">
        <v>-0.11991879999999901</v>
      </c>
      <c r="AH1017">
        <v>0.62953078036448795</v>
      </c>
      <c r="AI1017">
        <v>100.59231683740801</v>
      </c>
      <c r="AJ1017">
        <v>79.026466594634698</v>
      </c>
      <c r="AK1017">
        <v>0.65237242726245603</v>
      </c>
      <c r="AL1017">
        <v>81.219418750018804</v>
      </c>
      <c r="AM1017">
        <v>92.848861736687795</v>
      </c>
      <c r="AN1017">
        <v>1.00000002600938</v>
      </c>
    </row>
    <row r="1018" spans="1:40" x14ac:dyDescent="0.25">
      <c r="A1018" t="str">
        <f>"20190304155613203"</f>
        <v>20190304155613203</v>
      </c>
      <c r="B1018" t="str">
        <f>"1551686173195794"</f>
        <v>1551686173195794</v>
      </c>
      <c r="C1018" t="s">
        <v>40</v>
      </c>
      <c r="D1018">
        <v>4.2449870000000001</v>
      </c>
      <c r="E1018">
        <v>0.57612140000000001</v>
      </c>
      <c r="F1018" t="s">
        <v>42</v>
      </c>
      <c r="G1018">
        <v>-289.49740000000003</v>
      </c>
      <c r="H1018">
        <v>0.92156930000000004</v>
      </c>
      <c r="I1018">
        <v>366.89170000000001</v>
      </c>
      <c r="J1018">
        <v>-290.28989999999999</v>
      </c>
      <c r="K1018">
        <v>1.059569</v>
      </c>
      <c r="L1018">
        <v>367.03640000000001</v>
      </c>
      <c r="M1018">
        <v>0.99994079999999996</v>
      </c>
      <c r="N1018">
        <v>-1.08501E-2</v>
      </c>
      <c r="O1018">
        <v>1.028494E-3</v>
      </c>
      <c r="P1018">
        <v>0.98850769999999999</v>
      </c>
      <c r="Q1018">
        <v>0.14260149999999999</v>
      </c>
      <c r="R1018">
        <v>5.0173950000000002E-2</v>
      </c>
      <c r="S1018">
        <v>3.122528</v>
      </c>
      <c r="T1018">
        <v>-0.44702340000000002</v>
      </c>
      <c r="U1018">
        <v>-0.4679565</v>
      </c>
      <c r="V1018">
        <v>-4.9151540000000001E-2</v>
      </c>
      <c r="W1018">
        <v>0.15332100000000001</v>
      </c>
      <c r="X1018">
        <v>0.98695330000000003</v>
      </c>
      <c r="Y1018">
        <v>0.14763090000000001</v>
      </c>
      <c r="Z1018">
        <v>-1.140068E-2</v>
      </c>
      <c r="AA1018">
        <v>0.98897679999999999</v>
      </c>
      <c r="AB1018">
        <v>36</v>
      </c>
      <c r="AC1018">
        <v>0.79249999999996101</v>
      </c>
      <c r="AD1018">
        <v>-0.137999699999999</v>
      </c>
      <c r="AE1018">
        <v>-0.1447</v>
      </c>
      <c r="AF1018">
        <v>0.141366822364307</v>
      </c>
      <c r="AG1018">
        <v>-0.137999699999999</v>
      </c>
      <c r="AH1018">
        <v>0.76976302755524095</v>
      </c>
      <c r="AI1018">
        <v>99.999985148348898</v>
      </c>
      <c r="AJ1018">
        <v>79.593600856891797</v>
      </c>
      <c r="AK1018">
        <v>0.79470976730909904</v>
      </c>
      <c r="AL1018">
        <v>81.180567360285593</v>
      </c>
      <c r="AM1018">
        <v>92.851047826601501</v>
      </c>
      <c r="AN1018">
        <v>1.0000000096531301</v>
      </c>
    </row>
    <row r="1019" spans="1:40" x14ac:dyDescent="0.25">
      <c r="A1019" t="str">
        <f>"20190304155613214"</f>
        <v>20190304155613214</v>
      </c>
      <c r="B1019" t="str">
        <f>"1551686173205554"</f>
        <v>1551686173205554</v>
      </c>
      <c r="C1019" t="s">
        <v>40</v>
      </c>
      <c r="D1019">
        <v>4.3142509999999996</v>
      </c>
      <c r="E1019">
        <v>0.57612140000000001</v>
      </c>
      <c r="F1019" t="s">
        <v>42</v>
      </c>
      <c r="G1019">
        <v>-289.48500000000001</v>
      </c>
      <c r="H1019">
        <v>0.94874910000000001</v>
      </c>
      <c r="I1019">
        <v>366.91489999999999</v>
      </c>
      <c r="J1019">
        <v>-290.12509999999997</v>
      </c>
      <c r="K1019">
        <v>1.059572</v>
      </c>
      <c r="L1019">
        <v>367.03649999999999</v>
      </c>
      <c r="M1019">
        <v>0.99994059999999996</v>
      </c>
      <c r="N1019">
        <v>-1.0860949999999999E-2</v>
      </c>
      <c r="O1019">
        <v>1.028614E-3</v>
      </c>
      <c r="P1019">
        <v>0.98840899999999998</v>
      </c>
      <c r="Q1019">
        <v>0.143344</v>
      </c>
      <c r="R1019">
        <v>5.0006130000000003E-2</v>
      </c>
      <c r="S1019">
        <v>3.1207889999999998</v>
      </c>
      <c r="T1019">
        <v>-0.42967270000000002</v>
      </c>
      <c r="U1019">
        <v>-0.47079470000000001</v>
      </c>
      <c r="V1019">
        <v>-4.8983850000000002E-2</v>
      </c>
      <c r="W1019">
        <v>0.15407299999999999</v>
      </c>
      <c r="X1019">
        <v>0.98684450000000001</v>
      </c>
      <c r="Y1019">
        <v>0.14869589999999999</v>
      </c>
      <c r="Z1019">
        <v>-1.1076890000000001E-2</v>
      </c>
      <c r="AA1019">
        <v>0.9888209</v>
      </c>
      <c r="AB1019">
        <v>36</v>
      </c>
      <c r="AC1019">
        <v>0.64009999999996103</v>
      </c>
      <c r="AD1019">
        <v>-0.110822899999999</v>
      </c>
      <c r="AE1019">
        <v>-0.1216</v>
      </c>
      <c r="AF1019">
        <v>0.118820763197792</v>
      </c>
      <c r="AG1019">
        <v>-0.110822899999999</v>
      </c>
      <c r="AH1019">
        <v>0.62197994931431599</v>
      </c>
      <c r="AI1019">
        <v>99.926951114274502</v>
      </c>
      <c r="AJ1019">
        <v>79.184735645924206</v>
      </c>
      <c r="AK1019">
        <v>0.64285235185099399</v>
      </c>
      <c r="AL1019">
        <v>81.136962623349007</v>
      </c>
      <c r="AM1019">
        <v>92.841649636300005</v>
      </c>
      <c r="AN1019">
        <v>0.99999998703503601</v>
      </c>
    </row>
    <row r="1020" spans="1:40" x14ac:dyDescent="0.25">
      <c r="A1020" t="str">
        <f>"20190304155613224"</f>
        <v>20190304155613224</v>
      </c>
      <c r="B1020" t="str">
        <f>"1551686173215314"</f>
        <v>1551686173215314</v>
      </c>
      <c r="C1020" t="s">
        <v>40</v>
      </c>
      <c r="D1020">
        <v>4.2485819999999999</v>
      </c>
      <c r="E1020">
        <v>0.55338269999999901</v>
      </c>
      <c r="F1020" t="s">
        <v>42</v>
      </c>
      <c r="G1020">
        <v>-289.17189999999999</v>
      </c>
      <c r="H1020">
        <v>0.92914039999999998</v>
      </c>
      <c r="I1020">
        <v>366.89240000000001</v>
      </c>
      <c r="J1020">
        <v>-289.95170000000002</v>
      </c>
      <c r="K1020">
        <v>1.0595749999999999</v>
      </c>
      <c r="L1020">
        <v>367.0367</v>
      </c>
      <c r="M1020">
        <v>0.99994039999999995</v>
      </c>
      <c r="N1020">
        <v>-1.087188E-2</v>
      </c>
      <c r="O1020">
        <v>1.028852E-3</v>
      </c>
      <c r="P1020">
        <v>0.98832439999999999</v>
      </c>
      <c r="Q1020">
        <v>0.14389150000000001</v>
      </c>
      <c r="R1020">
        <v>5.010001E-2</v>
      </c>
      <c r="S1020">
        <v>3.1209720000000001</v>
      </c>
      <c r="T1020">
        <v>-0.42718279999999997</v>
      </c>
      <c r="U1020">
        <v>-0.47116089999999999</v>
      </c>
      <c r="V1020">
        <v>-4.90774E-2</v>
      </c>
      <c r="W1020">
        <v>0.1546303</v>
      </c>
      <c r="X1020">
        <v>0.98675270000000004</v>
      </c>
      <c r="Y1020">
        <v>0.14881649999999999</v>
      </c>
      <c r="Z1020">
        <v>-1.1026859999999999E-2</v>
      </c>
      <c r="AA1020">
        <v>0.98880330000000005</v>
      </c>
      <c r="AB1020">
        <v>36</v>
      </c>
      <c r="AC1020">
        <v>0.77980000000002203</v>
      </c>
      <c r="AD1020">
        <v>-0.13043459999999901</v>
      </c>
      <c r="AE1020">
        <v>-0.14429999999998699</v>
      </c>
      <c r="AF1020">
        <v>0.14128037615543501</v>
      </c>
      <c r="AG1020">
        <v>-0.13043459999999901</v>
      </c>
      <c r="AH1020">
        <v>0.759115642804022</v>
      </c>
      <c r="AI1020">
        <v>99.588102734506805</v>
      </c>
      <c r="AJ1020">
        <v>79.457200898453195</v>
      </c>
      <c r="AK1020">
        <v>0.78308996208197201</v>
      </c>
      <c r="AL1020">
        <v>81.1046445512453</v>
      </c>
      <c r="AM1020">
        <v>92.847332169290397</v>
      </c>
      <c r="AN1020">
        <v>1.00000000591307</v>
      </c>
    </row>
    <row r="1021" spans="1:40" x14ac:dyDescent="0.25">
      <c r="A1021" t="str">
        <f>"20190304155613236"</f>
        <v>20190304155613236</v>
      </c>
      <c r="B1021" t="str">
        <f>"1551686173226050"</f>
        <v>1551686173226050</v>
      </c>
      <c r="C1021" t="s">
        <v>40</v>
      </c>
      <c r="D1021">
        <v>4.3643049999999999</v>
      </c>
      <c r="E1021">
        <v>0.55337650000000005</v>
      </c>
      <c r="F1021" t="s">
        <v>43</v>
      </c>
      <c r="G1021">
        <v>-169.2955</v>
      </c>
      <c r="H1021">
        <v>4.1786079999999997</v>
      </c>
      <c r="I1021">
        <v>355.87729999999999</v>
      </c>
      <c r="J1021">
        <v>-289.7715</v>
      </c>
      <c r="K1021">
        <v>1.059577</v>
      </c>
      <c r="L1021">
        <v>367.0369</v>
      </c>
      <c r="M1021">
        <v>0.99994019999999995</v>
      </c>
      <c r="N1021">
        <v>-1.088275E-2</v>
      </c>
      <c r="O1021">
        <v>1.028972E-3</v>
      </c>
      <c r="P1021">
        <v>0.98826400000000003</v>
      </c>
      <c r="Q1021">
        <v>0.14429639999999999</v>
      </c>
      <c r="R1021">
        <v>5.0128079999999998E-2</v>
      </c>
      <c r="S1021">
        <v>3.0382389999999999</v>
      </c>
      <c r="T1021">
        <v>7.8542349999999997E-2</v>
      </c>
      <c r="U1021">
        <v>-0.28100589999999998</v>
      </c>
      <c r="V1021">
        <v>-4.9105219999999998E-2</v>
      </c>
      <c r="W1021">
        <v>0.1550453</v>
      </c>
      <c r="X1021">
        <v>0.98668619999999996</v>
      </c>
      <c r="Y1021">
        <v>9.3102799999999999E-2</v>
      </c>
      <c r="Z1021">
        <v>7.3061339999999999E-4</v>
      </c>
      <c r="AA1021">
        <v>0.99565630000000005</v>
      </c>
      <c r="AB1021">
        <v>36</v>
      </c>
      <c r="AC1021">
        <v>120.476</v>
      </c>
      <c r="AD1021">
        <v>3.1190310000000001</v>
      </c>
      <c r="AE1021">
        <v>-11.159599999999999</v>
      </c>
      <c r="AF1021">
        <v>11.276074351283199</v>
      </c>
      <c r="AG1021">
        <v>3.1190310000000001</v>
      </c>
      <c r="AH1021">
        <v>120.384451090656</v>
      </c>
      <c r="AI1021">
        <v>88.522325492324399</v>
      </c>
      <c r="AJ1021">
        <v>84.648877801004801</v>
      </c>
      <c r="AK1021">
        <v>120.951619549112</v>
      </c>
      <c r="AL1021">
        <v>81.080576599224699</v>
      </c>
      <c r="AM1021">
        <v>92.8491352435951</v>
      </c>
      <c r="AN1021">
        <v>1.00000001247688</v>
      </c>
    </row>
    <row r="1022" spans="1:40" x14ac:dyDescent="0.25">
      <c r="A1022" t="str">
        <f>"20190304155613246"</f>
        <v>20190304155613246</v>
      </c>
      <c r="B1022" t="str">
        <f>"1551686173235226"</f>
        <v>1551686173235226</v>
      </c>
      <c r="C1022" t="s">
        <v>40</v>
      </c>
      <c r="D1022">
        <v>4.3115540000000001</v>
      </c>
      <c r="E1022">
        <v>0.55329150000000005</v>
      </c>
      <c r="F1022" t="s">
        <v>43</v>
      </c>
      <c r="G1022">
        <v>-169.2955</v>
      </c>
      <c r="H1022">
        <v>4.5344199999999999</v>
      </c>
      <c r="I1022">
        <v>355.88990000000001</v>
      </c>
      <c r="J1022">
        <v>-289.5881</v>
      </c>
      <c r="K1022">
        <v>1.05958</v>
      </c>
      <c r="L1022">
        <v>367.03710000000001</v>
      </c>
      <c r="M1022">
        <v>0.99994019999999995</v>
      </c>
      <c r="N1022">
        <v>-1.0893409999999999E-2</v>
      </c>
      <c r="O1022">
        <v>1.0290919999999999E-3</v>
      </c>
      <c r="P1022">
        <v>0.98816649999999995</v>
      </c>
      <c r="Q1022">
        <v>0.144951</v>
      </c>
      <c r="R1022">
        <v>5.0164100000000003E-2</v>
      </c>
      <c r="S1022">
        <v>3.0370789999999999</v>
      </c>
      <c r="T1022">
        <v>8.7599399999999994E-2</v>
      </c>
      <c r="U1022">
        <v>-0.28100589999999998</v>
      </c>
      <c r="V1022">
        <v>-4.914143E-2</v>
      </c>
      <c r="W1022">
        <v>0.1557095</v>
      </c>
      <c r="X1022">
        <v>0.98657980000000001</v>
      </c>
      <c r="Y1022">
        <v>9.3131619999999998E-2</v>
      </c>
      <c r="Z1022">
        <v>8.7234819999999996E-4</v>
      </c>
      <c r="AA1022">
        <v>0.99565349999999997</v>
      </c>
      <c r="AB1022">
        <v>36</v>
      </c>
      <c r="AC1022">
        <v>120.29259999999999</v>
      </c>
      <c r="AD1022">
        <v>3.4748399999999999</v>
      </c>
      <c r="AE1022">
        <v>-11.1471999999999</v>
      </c>
      <c r="AF1022">
        <v>11.2616764733602</v>
      </c>
      <c r="AG1022">
        <v>3.4748399999999999</v>
      </c>
      <c r="AH1022">
        <v>120.181634351192</v>
      </c>
      <c r="AI1022">
        <v>88.351074516398995</v>
      </c>
      <c r="AJ1022">
        <v>84.646704147624007</v>
      </c>
      <c r="AK1022">
        <v>120.75812645673101</v>
      </c>
      <c r="AL1022">
        <v>81.042052902817602</v>
      </c>
      <c r="AM1022">
        <v>92.851539709783296</v>
      </c>
      <c r="AN1022">
        <v>1.0000000151503601</v>
      </c>
    </row>
    <row r="1023" spans="1:40" x14ac:dyDescent="0.25">
      <c r="A1023" t="str">
        <f>"20190304155613257"</f>
        <v>20190304155613257</v>
      </c>
      <c r="B1023" t="str">
        <f>"1551686173255723"</f>
        <v>1551686173255723</v>
      </c>
      <c r="C1023" t="s">
        <v>40</v>
      </c>
      <c r="D1023">
        <v>4.326435</v>
      </c>
      <c r="E1023">
        <v>0.55304339999999996</v>
      </c>
      <c r="F1023" t="s">
        <v>43</v>
      </c>
      <c r="G1023">
        <v>-169.2955</v>
      </c>
      <c r="H1023">
        <v>4.403626</v>
      </c>
      <c r="I1023">
        <v>355.93619999999999</v>
      </c>
      <c r="J1023">
        <v>-289.41919999999999</v>
      </c>
      <c r="K1023">
        <v>1.0595840000000001</v>
      </c>
      <c r="L1023">
        <v>367.03730000000002</v>
      </c>
      <c r="M1023">
        <v>0.99994000000000005</v>
      </c>
      <c r="N1023">
        <v>-1.0902530000000001E-2</v>
      </c>
      <c r="O1023">
        <v>1.0292210000000001E-3</v>
      </c>
      <c r="P1023">
        <v>0.98808739999999995</v>
      </c>
      <c r="Q1023">
        <v>0.14540829999999999</v>
      </c>
      <c r="R1023">
        <v>5.0396459999999997E-2</v>
      </c>
      <c r="S1023">
        <v>3.0377809999999998</v>
      </c>
      <c r="T1023">
        <v>8.4450239999999996E-2</v>
      </c>
      <c r="U1023">
        <v>-0.28033449999999999</v>
      </c>
      <c r="V1023">
        <v>-4.9373439999999998E-2</v>
      </c>
      <c r="W1023">
        <v>0.15617490000000001</v>
      </c>
      <c r="X1023">
        <v>0.98649469999999995</v>
      </c>
      <c r="Y1023">
        <v>9.2894779999999996E-2</v>
      </c>
      <c r="Z1023">
        <v>8.2045160000000002E-4</v>
      </c>
      <c r="AA1023">
        <v>0.99567559999999999</v>
      </c>
      <c r="AB1023">
        <v>36</v>
      </c>
      <c r="AC1023">
        <v>120.1237</v>
      </c>
      <c r="AD1023">
        <v>3.344042</v>
      </c>
      <c r="AE1023">
        <v>-11.101100000000001</v>
      </c>
      <c r="AF1023">
        <v>11.2161167355895</v>
      </c>
      <c r="AG1023">
        <v>3.344042</v>
      </c>
      <c r="AH1023">
        <v>120.019985696476</v>
      </c>
      <c r="AI1023">
        <v>88.410936560516603</v>
      </c>
      <c r="AJ1023">
        <v>84.661096534887093</v>
      </c>
      <c r="AK1023">
        <v>120.589306566156</v>
      </c>
      <c r="AL1023">
        <v>81.015057634007505</v>
      </c>
      <c r="AM1023">
        <v>92.865226959472096</v>
      </c>
      <c r="AN1023">
        <v>1.00000006454776</v>
      </c>
    </row>
    <row r="1024" spans="1:40" x14ac:dyDescent="0.25">
      <c r="A1024" t="str">
        <f>"20190304155613269"</f>
        <v>20190304155613269</v>
      </c>
      <c r="B1024" t="str">
        <f>"1551686173265482"</f>
        <v>1551686173265482</v>
      </c>
      <c r="C1024" t="s">
        <v>40</v>
      </c>
      <c r="D1024">
        <v>4.3330149999999996</v>
      </c>
      <c r="E1024">
        <v>0.55306560000000005</v>
      </c>
      <c r="F1024" t="s">
        <v>43</v>
      </c>
      <c r="G1024">
        <v>-169.2955</v>
      </c>
      <c r="H1024">
        <v>4.3368349999999998</v>
      </c>
      <c r="I1024">
        <v>356.06189999999998</v>
      </c>
      <c r="J1024">
        <v>-289.23090000000002</v>
      </c>
      <c r="K1024">
        <v>1.059585</v>
      </c>
      <c r="L1024">
        <v>367.03750000000002</v>
      </c>
      <c r="M1024">
        <v>0.99994000000000005</v>
      </c>
      <c r="N1024">
        <v>-1.0912460000000001E-2</v>
      </c>
      <c r="O1024">
        <v>1.0293450000000001E-3</v>
      </c>
      <c r="P1024">
        <v>0.98798810000000004</v>
      </c>
      <c r="Q1024">
        <v>0.1461855</v>
      </c>
      <c r="R1024">
        <v>5.0093940000000003E-2</v>
      </c>
      <c r="S1024">
        <v>3.0381469999999999</v>
      </c>
      <c r="T1024">
        <v>8.28898E-2</v>
      </c>
      <c r="U1024">
        <v>-0.2775879</v>
      </c>
      <c r="V1024">
        <v>-4.9070889999999999E-2</v>
      </c>
      <c r="W1024">
        <v>0.1569604</v>
      </c>
      <c r="X1024">
        <v>0.98638499999999996</v>
      </c>
      <c r="Y1024">
        <v>9.1992560000000001E-2</v>
      </c>
      <c r="Z1024">
        <v>7.8825839999999896E-4</v>
      </c>
      <c r="AA1024">
        <v>0.99575939999999996</v>
      </c>
      <c r="AB1024">
        <v>36</v>
      </c>
      <c r="AC1024">
        <v>119.9354</v>
      </c>
      <c r="AD1024">
        <v>3.27725</v>
      </c>
      <c r="AE1024">
        <v>-10.9756</v>
      </c>
      <c r="AF1024">
        <v>11.090844088147501</v>
      </c>
      <c r="AG1024">
        <v>3.27725</v>
      </c>
      <c r="AH1024">
        <v>119.835304671705</v>
      </c>
      <c r="AI1024">
        <v>88.440131386441294</v>
      </c>
      <c r="AJ1024">
        <v>84.7122973624774</v>
      </c>
      <c r="AK1024">
        <v>120.39205719610599</v>
      </c>
      <c r="AL1024">
        <v>80.96948872454</v>
      </c>
      <c r="AM1024">
        <v>92.848014626574695</v>
      </c>
      <c r="AN1024">
        <v>0.99999994381927404</v>
      </c>
    </row>
    <row r="1025" spans="1:40" x14ac:dyDescent="0.25">
      <c r="A1025" t="str">
        <f>"20190304155613281"</f>
        <v>20190304155613281</v>
      </c>
      <c r="B1025" t="str">
        <f>"1551686173275242"</f>
        <v>1551686173275242</v>
      </c>
      <c r="C1025" t="s">
        <v>40</v>
      </c>
      <c r="D1025">
        <v>4.3385889999999998</v>
      </c>
      <c r="E1025">
        <v>0.5530311</v>
      </c>
      <c r="F1025" t="s">
        <v>43</v>
      </c>
      <c r="G1025">
        <v>-169.2955</v>
      </c>
      <c r="H1025">
        <v>4.3224210000000003</v>
      </c>
      <c r="I1025">
        <v>356.02480000000003</v>
      </c>
      <c r="J1025">
        <v>-289.04770000000002</v>
      </c>
      <c r="K1025">
        <v>1.0595889999999999</v>
      </c>
      <c r="L1025">
        <v>367.03769999999997</v>
      </c>
      <c r="M1025">
        <v>0.99993989999999999</v>
      </c>
      <c r="N1025">
        <v>-1.092139E-2</v>
      </c>
      <c r="O1025">
        <v>1.0294150000000001E-3</v>
      </c>
      <c r="P1025">
        <v>0.98790449999999996</v>
      </c>
      <c r="Q1025">
        <v>0.14675239999999901</v>
      </c>
      <c r="R1025">
        <v>5.0083530000000001E-2</v>
      </c>
      <c r="S1025">
        <v>3.0383909999999998</v>
      </c>
      <c r="T1025">
        <v>8.2661390000000001E-2</v>
      </c>
      <c r="U1025">
        <v>-0.27899170000000001</v>
      </c>
      <c r="V1025">
        <v>-4.9060230000000003E-2</v>
      </c>
      <c r="W1025">
        <v>0.15753539999999999</v>
      </c>
      <c r="X1025">
        <v>0.98629389999999995</v>
      </c>
      <c r="Y1025">
        <v>9.2441700000000002E-2</v>
      </c>
      <c r="Z1025">
        <v>7.8783130000000001E-4</v>
      </c>
      <c r="AA1025">
        <v>0.99571779999999999</v>
      </c>
      <c r="AB1025">
        <v>36</v>
      </c>
      <c r="AC1025">
        <v>119.7522</v>
      </c>
      <c r="AD1025">
        <v>3.262832</v>
      </c>
      <c r="AE1025">
        <v>-11.012899999999901</v>
      </c>
      <c r="AF1025">
        <v>11.127984380588501</v>
      </c>
      <c r="AG1025">
        <v>3.262832</v>
      </c>
      <c r="AH1025">
        <v>119.652716967648</v>
      </c>
      <c r="AI1025">
        <v>88.444686419367699</v>
      </c>
      <c r="AJ1025">
        <v>84.686641624835602</v>
      </c>
      <c r="AK1025">
        <v>120.21335527625401</v>
      </c>
      <c r="AL1025">
        <v>80.936128977556905</v>
      </c>
      <c r="AM1025">
        <v>92.847659521177206</v>
      </c>
      <c r="AN1025">
        <v>0.99999998279901103</v>
      </c>
    </row>
    <row r="1026" spans="1:40" x14ac:dyDescent="0.25">
      <c r="A1026" t="str">
        <f>"20190304155613291"</f>
        <v>20190304155613291</v>
      </c>
      <c r="B1026" t="str">
        <f>"1551686173285978"</f>
        <v>1551686173285978</v>
      </c>
      <c r="C1026" t="s">
        <v>40</v>
      </c>
      <c r="D1026">
        <v>4.4599060000000001</v>
      </c>
      <c r="E1026">
        <v>0.5535156</v>
      </c>
      <c r="F1026" t="s">
        <v>43</v>
      </c>
      <c r="G1026">
        <v>-169.2955</v>
      </c>
      <c r="H1026">
        <v>4.2518229999999999</v>
      </c>
      <c r="I1026">
        <v>356.0505</v>
      </c>
      <c r="J1026">
        <v>-288.8689</v>
      </c>
      <c r="K1026">
        <v>1.059588</v>
      </c>
      <c r="L1026">
        <v>367.03789999999998</v>
      </c>
      <c r="M1026">
        <v>0.99993969999999999</v>
      </c>
      <c r="N1026">
        <v>-1.093035E-2</v>
      </c>
      <c r="O1026">
        <v>1.029545E-3</v>
      </c>
      <c r="P1026">
        <v>0.98779989999999995</v>
      </c>
      <c r="Q1026">
        <v>0.1475302</v>
      </c>
      <c r="R1026">
        <v>4.9861450000000002E-2</v>
      </c>
      <c r="S1026">
        <v>3.038818</v>
      </c>
      <c r="T1026">
        <v>8.1007960000000004E-2</v>
      </c>
      <c r="U1026">
        <v>-0.27880860000000002</v>
      </c>
      <c r="V1026">
        <v>-4.8838159999999999E-2</v>
      </c>
      <c r="W1026">
        <v>0.15832079999999901</v>
      </c>
      <c r="X1026">
        <v>0.98617920000000003</v>
      </c>
      <c r="Y1026">
        <v>9.2370690000000005E-2</v>
      </c>
      <c r="Z1026">
        <v>7.6106209999999999E-4</v>
      </c>
      <c r="AA1026">
        <v>0.99572439999999995</v>
      </c>
      <c r="AB1026">
        <v>36</v>
      </c>
      <c r="AC1026">
        <v>119.57340000000001</v>
      </c>
      <c r="AD1026">
        <v>3.1922349999999899</v>
      </c>
      <c r="AE1026">
        <v>-10.9873999999999</v>
      </c>
      <c r="AF1026">
        <v>11.1026608677575</v>
      </c>
      <c r="AG1026">
        <v>3.1922349999999899</v>
      </c>
      <c r="AH1026">
        <v>119.47758252208099</v>
      </c>
      <c r="AI1026">
        <v>88.4760822207719</v>
      </c>
      <c r="AJ1026">
        <v>84.690937541404594</v>
      </c>
      <c r="AK1026">
        <v>120.034795655094</v>
      </c>
      <c r="AL1026">
        <v>80.890557385248499</v>
      </c>
      <c r="AM1026">
        <v>92.8351198983584</v>
      </c>
      <c r="AN1026">
        <v>1.00000002804873</v>
      </c>
    </row>
    <row r="1027" spans="1:40" x14ac:dyDescent="0.25">
      <c r="A1027" t="str">
        <f>"20190304155613302"</f>
        <v>20190304155613302</v>
      </c>
      <c r="B1027" t="str">
        <f>"1551686173295738"</f>
        <v>1551686173295738</v>
      </c>
      <c r="C1027" t="s">
        <v>40</v>
      </c>
      <c r="D1027">
        <v>4.3635120000000001</v>
      </c>
      <c r="E1027">
        <v>0.55335730000000005</v>
      </c>
      <c r="F1027" t="s">
        <v>43</v>
      </c>
      <c r="G1027">
        <v>-169.2955</v>
      </c>
      <c r="H1027">
        <v>4.3636819999999998</v>
      </c>
      <c r="I1027">
        <v>355.8836</v>
      </c>
      <c r="J1027">
        <v>-288.697</v>
      </c>
      <c r="K1027">
        <v>1.059593</v>
      </c>
      <c r="L1027">
        <v>367.03809999999999</v>
      </c>
      <c r="M1027">
        <v>0.99993980000000005</v>
      </c>
      <c r="N1027">
        <v>-1.094001E-2</v>
      </c>
      <c r="O1027">
        <v>1.0296700000000001E-3</v>
      </c>
      <c r="P1027">
        <v>0.98769669999999998</v>
      </c>
      <c r="Q1027">
        <v>0.14820929999999999</v>
      </c>
      <c r="R1027">
        <v>4.9896749999999997E-2</v>
      </c>
      <c r="S1027">
        <v>3.0388489999999999</v>
      </c>
      <c r="T1027">
        <v>8.3972690000000003E-2</v>
      </c>
      <c r="U1027">
        <v>-0.2834778</v>
      </c>
      <c r="V1027">
        <v>-4.8873600000000003E-2</v>
      </c>
      <c r="W1027">
        <v>0.15900810000000001</v>
      </c>
      <c r="X1027">
        <v>0.98606680000000002</v>
      </c>
      <c r="Y1027">
        <v>9.3884419999999996E-2</v>
      </c>
      <c r="Z1027">
        <v>8.189909E-4</v>
      </c>
      <c r="AA1027">
        <v>0.99558279999999999</v>
      </c>
      <c r="AB1027">
        <v>36</v>
      </c>
      <c r="AC1027">
        <v>119.4015</v>
      </c>
      <c r="AD1027">
        <v>3.3040889999999998</v>
      </c>
      <c r="AE1027">
        <v>-11.154499999999899</v>
      </c>
      <c r="AF1027">
        <v>11.268891130572801</v>
      </c>
      <c r="AG1027">
        <v>3.3040889999999998</v>
      </c>
      <c r="AH1027">
        <v>119.299388069419</v>
      </c>
      <c r="AI1027">
        <v>88.420581472977702</v>
      </c>
      <c r="AJ1027">
        <v>84.603913483407894</v>
      </c>
      <c r="AK1027">
        <v>119.87597301031801</v>
      </c>
      <c r="AL1027">
        <v>80.850672218695905</v>
      </c>
      <c r="AM1027">
        <v>92.837496752974602</v>
      </c>
      <c r="AN1027">
        <v>0.99999996935240398</v>
      </c>
    </row>
    <row r="1028" spans="1:40" x14ac:dyDescent="0.25">
      <c r="A1028" t="str">
        <f>"20190304155613315"</f>
        <v>20190304155613315</v>
      </c>
      <c r="B1028" t="str">
        <f>"1551686173305498"</f>
        <v>1551686173305498</v>
      </c>
      <c r="C1028" t="s">
        <v>40</v>
      </c>
      <c r="D1028">
        <v>4.3590309999999999</v>
      </c>
      <c r="E1028">
        <v>0.55315289999999995</v>
      </c>
      <c r="F1028" t="s">
        <v>43</v>
      </c>
      <c r="G1028">
        <v>-169.2955</v>
      </c>
      <c r="H1028">
        <v>4.353612</v>
      </c>
      <c r="I1028">
        <v>355.96640000000002</v>
      </c>
      <c r="J1028">
        <v>-288.505</v>
      </c>
      <c r="K1028">
        <v>1.059596</v>
      </c>
      <c r="L1028">
        <v>367.03829999999999</v>
      </c>
      <c r="M1028">
        <v>0.99993960000000004</v>
      </c>
      <c r="N1028">
        <v>-1.0951280000000001E-2</v>
      </c>
      <c r="O1028">
        <v>1.0297870000000001E-3</v>
      </c>
      <c r="P1028">
        <v>0.98762570000000005</v>
      </c>
      <c r="Q1028">
        <v>0.1487492</v>
      </c>
      <c r="R1028">
        <v>4.9694960000000003E-2</v>
      </c>
      <c r="S1028">
        <v>3.0390320000000002</v>
      </c>
      <c r="T1028">
        <v>8.3842280000000005E-2</v>
      </c>
      <c r="U1028">
        <v>-0.28179929999999997</v>
      </c>
      <c r="V1028">
        <v>-4.8671739999999998E-2</v>
      </c>
      <c r="W1028">
        <v>0.15955839999999999</v>
      </c>
      <c r="X1028">
        <v>0.98598790000000003</v>
      </c>
      <c r="Y1028">
        <v>9.3334089999999995E-2</v>
      </c>
      <c r="Z1028">
        <v>8.1183890000000004E-4</v>
      </c>
      <c r="AA1028">
        <v>0.99563449999999998</v>
      </c>
      <c r="AB1028">
        <v>36</v>
      </c>
      <c r="AC1028">
        <v>119.20950000000001</v>
      </c>
      <c r="AD1028">
        <v>3.2940160000000001</v>
      </c>
      <c r="AE1028">
        <v>-11.0718999999999</v>
      </c>
      <c r="AF1028">
        <v>11.1861938546038</v>
      </c>
      <c r="AG1028">
        <v>3.2940160000000001</v>
      </c>
      <c r="AH1028">
        <v>119.10786901385499</v>
      </c>
      <c r="AI1028">
        <v>88.422783702245397</v>
      </c>
      <c r="AJ1028">
        <v>84.634718626473003</v>
      </c>
      <c r="AK1028">
        <v>119.677340943817</v>
      </c>
      <c r="AL1028">
        <v>80.818734699467399</v>
      </c>
      <c r="AM1028">
        <v>92.826021984620496</v>
      </c>
      <c r="AN1028">
        <v>0.99999998011579805</v>
      </c>
    </row>
    <row r="1029" spans="1:40" x14ac:dyDescent="0.25">
      <c r="A1029" t="str">
        <f>"20190304155613325"</f>
        <v>20190304155613325</v>
      </c>
      <c r="B1029" t="str">
        <f>"1551686173315259"</f>
        <v>1551686173315259</v>
      </c>
      <c r="C1029" t="s">
        <v>40</v>
      </c>
      <c r="D1029">
        <v>4.3490449999999896</v>
      </c>
      <c r="E1029">
        <v>0.55294119999999902</v>
      </c>
      <c r="F1029" t="s">
        <v>43</v>
      </c>
      <c r="G1029">
        <v>-169.2955</v>
      </c>
      <c r="H1029">
        <v>4.2830570000000003</v>
      </c>
      <c r="I1029">
        <v>355.99619999999999</v>
      </c>
      <c r="J1029">
        <v>-288.33749999999998</v>
      </c>
      <c r="K1029">
        <v>1.059598</v>
      </c>
      <c r="L1029">
        <v>367.03840000000002</v>
      </c>
      <c r="M1029">
        <v>0.99993960000000004</v>
      </c>
      <c r="N1029">
        <v>-1.0961739999999999E-2</v>
      </c>
      <c r="O1029">
        <v>1.029907E-3</v>
      </c>
      <c r="P1029">
        <v>0.98747549999999995</v>
      </c>
      <c r="Q1029">
        <v>0.14963779999999999</v>
      </c>
      <c r="R1029">
        <v>5.0008740000000003E-2</v>
      </c>
      <c r="S1029">
        <v>3.0393370000000002</v>
      </c>
      <c r="T1029">
        <v>8.2186819999999994E-2</v>
      </c>
      <c r="U1029">
        <v>-0.28152470000000002</v>
      </c>
      <c r="V1029">
        <v>-4.8985630000000002E-2</v>
      </c>
      <c r="W1029">
        <v>0.1604556</v>
      </c>
      <c r="X1029">
        <v>0.9858268</v>
      </c>
      <c r="Y1029">
        <v>9.3236979999999997E-2</v>
      </c>
      <c r="Z1029">
        <v>7.8455910000000003E-4</v>
      </c>
      <c r="AA1029">
        <v>0.99564359999999996</v>
      </c>
      <c r="AB1029">
        <v>36</v>
      </c>
      <c r="AC1029">
        <v>119.04199999999901</v>
      </c>
      <c r="AD1029">
        <v>3.2234590000000001</v>
      </c>
      <c r="AE1029">
        <v>-11.042199999999999</v>
      </c>
      <c r="AF1029">
        <v>11.1566929682058</v>
      </c>
      <c r="AG1029">
        <v>3.2234590000000001</v>
      </c>
      <c r="AH1029">
        <v>118.944093634605</v>
      </c>
      <c r="AI1029">
        <v>88.454409538118696</v>
      </c>
      <c r="AJ1029">
        <v>84.641460730931698</v>
      </c>
      <c r="AK1029">
        <v>119.509664447982</v>
      </c>
      <c r="AL1029">
        <v>80.766658476551299</v>
      </c>
      <c r="AM1029">
        <v>92.844681542897902</v>
      </c>
      <c r="AN1029">
        <v>1.0000000355580401</v>
      </c>
    </row>
    <row r="1030" spans="1:40" x14ac:dyDescent="0.25">
      <c r="A1030" t="str">
        <f>"20190304155613336"</f>
        <v>20190304155613336</v>
      </c>
      <c r="B1030" t="str">
        <f>"1551686173325994"</f>
        <v>1551686173325994</v>
      </c>
      <c r="C1030" t="s">
        <v>40</v>
      </c>
      <c r="D1030">
        <v>4.3542690000000004</v>
      </c>
      <c r="E1030">
        <v>0.55292089999999905</v>
      </c>
      <c r="F1030" t="s">
        <v>43</v>
      </c>
      <c r="G1030">
        <v>-169.2955</v>
      </c>
      <c r="H1030">
        <v>4.2655669999999999</v>
      </c>
      <c r="I1030">
        <v>356.10660000000001</v>
      </c>
      <c r="J1030">
        <v>-288.142</v>
      </c>
      <c r="K1030">
        <v>1.059599</v>
      </c>
      <c r="L1030">
        <v>367.03859999999997</v>
      </c>
      <c r="M1030">
        <v>0.99993929999999998</v>
      </c>
      <c r="N1030">
        <v>-1.097395E-2</v>
      </c>
      <c r="O1030">
        <v>1.0301380000000001E-3</v>
      </c>
      <c r="P1030">
        <v>0.98736349999999995</v>
      </c>
      <c r="Q1030">
        <v>0.15041170000000001</v>
      </c>
      <c r="R1030">
        <v>4.9898140000000001E-2</v>
      </c>
      <c r="S1030">
        <v>3.0397340000000002</v>
      </c>
      <c r="T1030">
        <v>8.1866499999999995E-2</v>
      </c>
      <c r="U1030">
        <v>-0.27914430000000001</v>
      </c>
      <c r="V1030">
        <v>-4.8874939999999999E-2</v>
      </c>
      <c r="W1030">
        <v>0.16124059999999901</v>
      </c>
      <c r="X1030">
        <v>0.98570420000000003</v>
      </c>
      <c r="Y1030">
        <v>9.2452519999999996E-2</v>
      </c>
      <c r="Z1030">
        <v>7.7267459999999998E-4</v>
      </c>
      <c r="AA1030">
        <v>0.99571679999999996</v>
      </c>
      <c r="AB1030">
        <v>36</v>
      </c>
      <c r="AC1030">
        <v>118.84650000000001</v>
      </c>
      <c r="AD1030">
        <v>3.2059679999999999</v>
      </c>
      <c r="AE1030">
        <v>-10.931999999999899</v>
      </c>
      <c r="AF1030">
        <v>11.0464589221483</v>
      </c>
      <c r="AG1030">
        <v>3.2059679999999999</v>
      </c>
      <c r="AH1030">
        <v>118.74948714965601</v>
      </c>
      <c r="AI1030">
        <v>88.460163768373903</v>
      </c>
      <c r="AJ1030">
        <v>84.685456721224796</v>
      </c>
      <c r="AK1030">
        <v>119.305252121782</v>
      </c>
      <c r="AL1030">
        <v>80.721087875192296</v>
      </c>
      <c r="AM1030">
        <v>92.838616543271797</v>
      </c>
      <c r="AN1030">
        <v>1.0000000303729999</v>
      </c>
    </row>
    <row r="1031" spans="1:40" x14ac:dyDescent="0.25">
      <c r="A1031" t="str">
        <f>"20190304155613347"</f>
        <v>20190304155613347</v>
      </c>
      <c r="B1031" t="str">
        <f>"1551686173335754"</f>
        <v>1551686173335754</v>
      </c>
      <c r="C1031" t="s">
        <v>40</v>
      </c>
      <c r="D1031">
        <v>4.374593</v>
      </c>
      <c r="E1031">
        <v>0.55274109999999999</v>
      </c>
      <c r="F1031" t="s">
        <v>43</v>
      </c>
      <c r="G1031">
        <v>-169.2955</v>
      </c>
      <c r="H1031">
        <v>4.2379340000000001</v>
      </c>
      <c r="I1031">
        <v>356.11450000000002</v>
      </c>
      <c r="J1031">
        <v>-287.96949999999998</v>
      </c>
      <c r="K1031">
        <v>1.0596019999999999</v>
      </c>
      <c r="L1031">
        <v>367.03879999999998</v>
      </c>
      <c r="M1031">
        <v>0.99993920000000003</v>
      </c>
      <c r="N1031">
        <v>-1.098475E-2</v>
      </c>
      <c r="O1031">
        <v>1.030436E-3</v>
      </c>
      <c r="P1031">
        <v>0.9872879</v>
      </c>
      <c r="Q1031">
        <v>0.1510116</v>
      </c>
      <c r="R1031">
        <v>4.9579690000000003E-2</v>
      </c>
      <c r="S1031">
        <v>3.0401919999999998</v>
      </c>
      <c r="T1031">
        <v>8.1306580000000003E-2</v>
      </c>
      <c r="U1031">
        <v>-0.27944950000000002</v>
      </c>
      <c r="V1031">
        <v>-4.8556059999999998E-2</v>
      </c>
      <c r="W1031">
        <v>0.16184999999999999</v>
      </c>
      <c r="X1031">
        <v>0.9856201</v>
      </c>
      <c r="Y1031">
        <v>9.253865E-2</v>
      </c>
      <c r="Z1031">
        <v>7.6399379999999998E-4</v>
      </c>
      <c r="AA1031">
        <v>0.99570879999999995</v>
      </c>
      <c r="AB1031">
        <v>36</v>
      </c>
      <c r="AC1031">
        <v>118.673999999999</v>
      </c>
      <c r="AD1031">
        <v>3.1783320000000002</v>
      </c>
      <c r="AE1031">
        <v>-10.924299999999899</v>
      </c>
      <c r="AF1031">
        <v>11.0387362221872</v>
      </c>
      <c r="AG1031">
        <v>3.1783320000000002</v>
      </c>
      <c r="AH1031">
        <v>118.578340580423</v>
      </c>
      <c r="AI1031">
        <v>88.471238578175004</v>
      </c>
      <c r="AJ1031">
        <v>84.681529590148301</v>
      </c>
      <c r="AK1031">
        <v>119.13344763957799</v>
      </c>
      <c r="AL1031">
        <v>80.685707272741197</v>
      </c>
      <c r="AM1031">
        <v>92.820366493678307</v>
      </c>
      <c r="AN1031">
        <v>1.0000000474933599</v>
      </c>
    </row>
    <row r="1032" spans="1:40" x14ac:dyDescent="0.25">
      <c r="A1032" t="str">
        <f>"20190304155613360"</f>
        <v>20190304155613360</v>
      </c>
      <c r="B1032" t="str">
        <f>"1551686173355274"</f>
        <v>1551686173355274</v>
      </c>
      <c r="C1032" t="s">
        <v>40</v>
      </c>
      <c r="D1032">
        <v>4.389221</v>
      </c>
      <c r="E1032">
        <v>0.55260580000000004</v>
      </c>
      <c r="F1032" t="s">
        <v>43</v>
      </c>
      <c r="G1032">
        <v>-169.2955</v>
      </c>
      <c r="H1032">
        <v>4.1360749999999999</v>
      </c>
      <c r="I1032">
        <v>356.15320000000003</v>
      </c>
      <c r="J1032">
        <v>-287.77460000000002</v>
      </c>
      <c r="K1032">
        <v>1.059606</v>
      </c>
      <c r="L1032">
        <v>367.03899999999999</v>
      </c>
      <c r="M1032">
        <v>0.99993900000000002</v>
      </c>
      <c r="N1032">
        <v>-1.099818E-2</v>
      </c>
      <c r="O1032">
        <v>1.030719E-3</v>
      </c>
      <c r="P1032">
        <v>0.98724920000000005</v>
      </c>
      <c r="Q1032">
        <v>0.1513747</v>
      </c>
      <c r="R1032">
        <v>4.9240649999999997E-2</v>
      </c>
      <c r="S1032">
        <v>3.0405579999999999</v>
      </c>
      <c r="T1032">
        <v>7.8824759999999994E-2</v>
      </c>
      <c r="U1032">
        <v>-0.27890009999999998</v>
      </c>
      <c r="V1032">
        <v>-4.821653E-2</v>
      </c>
      <c r="W1032">
        <v>0.16222590000000001</v>
      </c>
      <c r="X1032">
        <v>0.98557490000000003</v>
      </c>
      <c r="Y1032">
        <v>9.2351260000000004E-2</v>
      </c>
      <c r="Z1032">
        <v>7.233653E-4</v>
      </c>
      <c r="AA1032">
        <v>0.99572620000000001</v>
      </c>
      <c r="AB1032">
        <v>36</v>
      </c>
      <c r="AC1032">
        <v>118.4791</v>
      </c>
      <c r="AD1032">
        <v>3.0764689999999999</v>
      </c>
      <c r="AE1032">
        <v>-10.8857999999999</v>
      </c>
      <c r="AF1032">
        <v>11.0005652093352</v>
      </c>
      <c r="AG1032">
        <v>3.0764689999999999</v>
      </c>
      <c r="AH1032">
        <v>118.388660723939</v>
      </c>
      <c r="AI1032">
        <v>88.517818515252202</v>
      </c>
      <c r="AJ1032">
        <v>84.691372123387595</v>
      </c>
      <c r="AK1032">
        <v>118.93843821255101</v>
      </c>
      <c r="AL1032">
        <v>80.663880714037603</v>
      </c>
      <c r="AM1032">
        <v>92.800804727892597</v>
      </c>
      <c r="AN1032">
        <v>0.99999997995303003</v>
      </c>
    </row>
    <row r="1033" spans="1:40" x14ac:dyDescent="0.25">
      <c r="A1033" t="str">
        <f>"20190304155613373"</f>
        <v>20190304155613373</v>
      </c>
      <c r="B1033" t="str">
        <f>"1551686173366010"</f>
        <v>1551686173366010</v>
      </c>
      <c r="C1033" t="s">
        <v>40</v>
      </c>
      <c r="D1033">
        <v>4.5649610000000003</v>
      </c>
      <c r="E1033">
        <v>0.55282619999999905</v>
      </c>
      <c r="F1033" t="s">
        <v>43</v>
      </c>
      <c r="G1033">
        <v>-169.2955</v>
      </c>
      <c r="H1033">
        <v>3.954529</v>
      </c>
      <c r="I1033">
        <v>356.1585</v>
      </c>
      <c r="J1033">
        <v>-287.55950000000001</v>
      </c>
      <c r="K1033">
        <v>1.059606</v>
      </c>
      <c r="L1033">
        <v>367.03919999999999</v>
      </c>
      <c r="M1033">
        <v>0.99993889999999996</v>
      </c>
      <c r="N1033">
        <v>-1.101361E-2</v>
      </c>
      <c r="O1033">
        <v>1.030752E-3</v>
      </c>
      <c r="P1033">
        <v>0.98720300000000005</v>
      </c>
      <c r="Q1033">
        <v>0.1517617</v>
      </c>
      <c r="R1033">
        <v>4.8980679999999999E-2</v>
      </c>
      <c r="S1033">
        <v>3.04129</v>
      </c>
      <c r="T1033">
        <v>7.4313160000000003E-2</v>
      </c>
      <c r="U1033">
        <v>-0.27929690000000001</v>
      </c>
      <c r="V1033">
        <v>-4.7956730000000003E-2</v>
      </c>
      <c r="W1033">
        <v>0.1626273</v>
      </c>
      <c r="X1033">
        <v>0.98552139999999999</v>
      </c>
      <c r="Y1033">
        <v>9.246103E-2</v>
      </c>
      <c r="Z1033">
        <v>6.5325759999999996E-4</v>
      </c>
      <c r="AA1033">
        <v>0.99571609999999999</v>
      </c>
      <c r="AB1033">
        <v>36</v>
      </c>
      <c r="AC1033">
        <v>118.264</v>
      </c>
      <c r="AD1033">
        <v>2.8949229999999999</v>
      </c>
      <c r="AE1033">
        <v>-10.8806999999999</v>
      </c>
      <c r="AF1033">
        <v>10.9960689607229</v>
      </c>
      <c r="AG1033">
        <v>2.8949229999999999</v>
      </c>
      <c r="AH1033">
        <v>118.182501090914</v>
      </c>
      <c r="AI1033">
        <v>88.602832034006695</v>
      </c>
      <c r="AJ1033">
        <v>84.684325803723794</v>
      </c>
      <c r="AK1033">
        <v>118.72825138048999</v>
      </c>
      <c r="AL1033">
        <v>80.6405724664681</v>
      </c>
      <c r="AM1033">
        <v>92.785888274107506</v>
      </c>
      <c r="AN1033">
        <v>0.99999995825776999</v>
      </c>
    </row>
    <row r="1034" spans="1:40" x14ac:dyDescent="0.25">
      <c r="A1034" t="str">
        <f>"20190304155613387"</f>
        <v>20190304155613387</v>
      </c>
      <c r="B1034" t="str">
        <f>"1551686173375770"</f>
        <v>1551686173375770</v>
      </c>
      <c r="C1034" t="s">
        <v>40</v>
      </c>
      <c r="D1034">
        <v>4.4389719999999997</v>
      </c>
      <c r="E1034">
        <v>0.55283530000000003</v>
      </c>
      <c r="F1034" t="s">
        <v>43</v>
      </c>
      <c r="G1034">
        <v>-169.2955</v>
      </c>
      <c r="H1034">
        <v>3.872328</v>
      </c>
      <c r="I1034">
        <v>356.07119999999998</v>
      </c>
      <c r="J1034">
        <v>-287.33150000000001</v>
      </c>
      <c r="K1034">
        <v>1.059609</v>
      </c>
      <c r="L1034">
        <v>367.03949999999998</v>
      </c>
      <c r="M1034">
        <v>0.99993869999999896</v>
      </c>
      <c r="N1034">
        <v>-1.1031010000000001E-2</v>
      </c>
      <c r="O1034">
        <v>1.0310129999999999E-3</v>
      </c>
      <c r="P1034">
        <v>0.9871164</v>
      </c>
      <c r="Q1034">
        <v>0.1523632</v>
      </c>
      <c r="R1034">
        <v>4.8854540000000002E-2</v>
      </c>
      <c r="S1034">
        <v>3.0418090000000002</v>
      </c>
      <c r="T1034">
        <v>7.2346809999999998E-2</v>
      </c>
      <c r="U1034">
        <v>-0.28210449999999998</v>
      </c>
      <c r="V1034">
        <v>-4.7830530000000003E-2</v>
      </c>
      <c r="W1034">
        <v>0.16324549999999999</v>
      </c>
      <c r="X1034">
        <v>0.98542540000000001</v>
      </c>
      <c r="Y1034">
        <v>9.3358070000000001E-2</v>
      </c>
      <c r="Z1034">
        <v>6.2742709999999999E-4</v>
      </c>
      <c r="AA1034">
        <v>0.99563239999999997</v>
      </c>
      <c r="AB1034">
        <v>36</v>
      </c>
      <c r="AC1034">
        <v>118.036</v>
      </c>
      <c r="AD1034">
        <v>2.812719</v>
      </c>
      <c r="AE1034">
        <v>-10.968299999999999</v>
      </c>
      <c r="AF1034">
        <v>11.0837583271715</v>
      </c>
      <c r="AG1034">
        <v>2.812719</v>
      </c>
      <c r="AH1034">
        <v>117.958220475</v>
      </c>
      <c r="AI1034">
        <v>88.640026674520698</v>
      </c>
      <c r="AJ1034">
        <v>84.632053421754904</v>
      </c>
      <c r="AK1034">
        <v>118.511192992294</v>
      </c>
      <c r="AL1034">
        <v>80.604673202692794</v>
      </c>
      <c r="AM1034">
        <v>92.778838868188899</v>
      </c>
      <c r="AN1034">
        <v>1.0000000359177399</v>
      </c>
    </row>
    <row r="1035" spans="1:40" x14ac:dyDescent="0.25">
      <c r="A1035" t="str">
        <f>"20190304155613399"</f>
        <v>20190304155613399</v>
      </c>
      <c r="B1035" t="str">
        <f>"1551686173395291"</f>
        <v>1551686173395291</v>
      </c>
      <c r="C1035" t="s">
        <v>40</v>
      </c>
      <c r="D1035">
        <v>4.4403459999999999</v>
      </c>
      <c r="E1035">
        <v>0.55257869999999998</v>
      </c>
      <c r="F1035" t="s">
        <v>43</v>
      </c>
      <c r="G1035">
        <v>-169.2955</v>
      </c>
      <c r="H1035">
        <v>3.8221759999999998</v>
      </c>
      <c r="I1035">
        <v>356.0677</v>
      </c>
      <c r="J1035">
        <v>-287.14120000000003</v>
      </c>
      <c r="K1035">
        <v>1.0596139999999901</v>
      </c>
      <c r="L1035">
        <v>367.03969999999998</v>
      </c>
      <c r="M1035">
        <v>0.99993860000000001</v>
      </c>
      <c r="N1035">
        <v>-1.104541E-2</v>
      </c>
      <c r="O1035">
        <v>1.0311109999999999E-3</v>
      </c>
      <c r="P1035">
        <v>0.98712149999999999</v>
      </c>
      <c r="Q1035">
        <v>0.15244750000000001</v>
      </c>
      <c r="R1035">
        <v>4.8488860000000002E-2</v>
      </c>
      <c r="S1035">
        <v>3.0421450000000001</v>
      </c>
      <c r="T1035">
        <v>7.1201920000000002E-2</v>
      </c>
      <c r="U1035">
        <v>-0.28277590000000002</v>
      </c>
      <c r="V1035">
        <v>-4.7465109999999998E-2</v>
      </c>
      <c r="W1035">
        <v>0.16334379999999901</v>
      </c>
      <c r="X1035">
        <v>0.98542669999999999</v>
      </c>
      <c r="Y1035">
        <v>9.3566559999999993E-2</v>
      </c>
      <c r="Z1035">
        <v>6.1000309999999995E-4</v>
      </c>
      <c r="AA1035">
        <v>0.99561290000000002</v>
      </c>
      <c r="AB1035">
        <v>36</v>
      </c>
      <c r="AC1035">
        <v>117.84569999999999</v>
      </c>
      <c r="AD1035">
        <v>2.762562</v>
      </c>
      <c r="AE1035">
        <v>-10.9719999999999</v>
      </c>
      <c r="AF1035">
        <v>11.0874729522412</v>
      </c>
      <c r="AG1035">
        <v>2.762562</v>
      </c>
      <c r="AH1035">
        <v>117.77016049495499</v>
      </c>
      <c r="AI1035">
        <v>88.662159608745895</v>
      </c>
      <c r="AJ1035">
        <v>84.621740553435501</v>
      </c>
      <c r="AK1035">
        <v>118.32317823773199</v>
      </c>
      <c r="AL1035">
        <v>80.598963655352904</v>
      </c>
      <c r="AM1035">
        <v>92.757638108604496</v>
      </c>
      <c r="AN1035">
        <v>0.99999995736932001</v>
      </c>
    </row>
    <row r="1036" spans="1:40" x14ac:dyDescent="0.25">
      <c r="A1036" t="str">
        <f>"20190304155613410"</f>
        <v>20190304155613410</v>
      </c>
      <c r="B1036" t="str">
        <f>"1551686173406026"</f>
        <v>1551686173406026</v>
      </c>
      <c r="C1036" t="s">
        <v>40</v>
      </c>
      <c r="D1036">
        <v>4.4325140000000003</v>
      </c>
      <c r="E1036">
        <v>0.5524464</v>
      </c>
      <c r="F1036" t="s">
        <v>43</v>
      </c>
      <c r="G1036">
        <v>-169.2955</v>
      </c>
      <c r="H1036">
        <v>3.6113230000000001</v>
      </c>
      <c r="I1036">
        <v>356.11520000000002</v>
      </c>
      <c r="J1036">
        <v>-286.95460000000003</v>
      </c>
      <c r="K1036">
        <v>1.0596159999999999</v>
      </c>
      <c r="L1036">
        <v>367.03989999999999</v>
      </c>
      <c r="M1036">
        <v>0.9999382</v>
      </c>
      <c r="N1036">
        <v>-1.1059609999999999E-2</v>
      </c>
      <c r="O1036">
        <v>1.0315089999999999E-3</v>
      </c>
      <c r="P1036">
        <v>0.98706360000000004</v>
      </c>
      <c r="Q1036">
        <v>0.152893899999999</v>
      </c>
      <c r="R1036">
        <v>4.8258740000000001E-2</v>
      </c>
      <c r="S1036">
        <v>3.0428160000000002</v>
      </c>
      <c r="T1036">
        <v>6.5888169999999996E-2</v>
      </c>
      <c r="U1036">
        <v>-0.28207399999999999</v>
      </c>
      <c r="V1036">
        <v>-4.7234039999999998E-2</v>
      </c>
      <c r="W1036">
        <v>0.16380339999999999</v>
      </c>
      <c r="X1036">
        <v>0.98536159999999995</v>
      </c>
      <c r="Y1036">
        <v>9.3321870000000001E-2</v>
      </c>
      <c r="Z1036">
        <v>5.2456949999999997E-4</v>
      </c>
      <c r="AA1036">
        <v>0.99563590000000002</v>
      </c>
      <c r="AB1036">
        <v>36</v>
      </c>
      <c r="AC1036">
        <v>117.6591</v>
      </c>
      <c r="AD1036">
        <v>2.5517069999999999</v>
      </c>
      <c r="AE1036">
        <v>-10.9246999999999</v>
      </c>
      <c r="AF1036">
        <v>11.040919461258699</v>
      </c>
      <c r="AG1036">
        <v>2.5517069999999999</v>
      </c>
      <c r="AH1036">
        <v>117.592932042489</v>
      </c>
      <c r="AI1036">
        <v>88.7623473258937</v>
      </c>
      <c r="AJ1036">
        <v>84.6361660285813</v>
      </c>
      <c r="AK1036">
        <v>118.137677213975</v>
      </c>
      <c r="AL1036">
        <v>80.572271832905301</v>
      </c>
      <c r="AM1036">
        <v>92.744414952538804</v>
      </c>
      <c r="AN1036">
        <v>1.0000000455704099</v>
      </c>
    </row>
    <row r="1037" spans="1:40" x14ac:dyDescent="0.25">
      <c r="A1037" t="str">
        <f>"20190304155613425"</f>
        <v>20190304155613425</v>
      </c>
      <c r="B1037" t="str">
        <f>"1551686173415786"</f>
        <v>1551686173415786</v>
      </c>
      <c r="C1037" t="s">
        <v>40</v>
      </c>
      <c r="D1037">
        <v>4.4205709999999998</v>
      </c>
      <c r="E1037">
        <v>0.55240069999999997</v>
      </c>
      <c r="F1037" t="s">
        <v>43</v>
      </c>
      <c r="G1037">
        <v>-169.2955</v>
      </c>
      <c r="H1037">
        <v>3.5568689999999998</v>
      </c>
      <c r="I1037">
        <v>356.14670000000001</v>
      </c>
      <c r="J1037">
        <v>-286.69900000000001</v>
      </c>
      <c r="K1037">
        <v>1.0596179999999999</v>
      </c>
      <c r="L1037">
        <v>367.0401</v>
      </c>
      <c r="M1037">
        <v>0.99993810000000005</v>
      </c>
      <c r="N1037">
        <v>-1.1080889999999999E-2</v>
      </c>
      <c r="O1037">
        <v>1.0317480000000001E-3</v>
      </c>
      <c r="P1037">
        <v>0.98696490000000003</v>
      </c>
      <c r="Q1037">
        <v>0.15361169999999999</v>
      </c>
      <c r="R1037">
        <v>4.7999930000000003E-2</v>
      </c>
      <c r="S1037">
        <v>3.043091</v>
      </c>
      <c r="T1037">
        <v>6.4590220000000004E-2</v>
      </c>
      <c r="U1037">
        <v>-0.2817383</v>
      </c>
      <c r="V1037">
        <v>-4.69754E-2</v>
      </c>
      <c r="W1037">
        <v>0.1645414</v>
      </c>
      <c r="X1037">
        <v>0.98525090000000004</v>
      </c>
      <c r="Y1037">
        <v>9.3205620000000003E-2</v>
      </c>
      <c r="Z1037">
        <v>5.026443E-4</v>
      </c>
      <c r="AA1037">
        <v>0.99564680000000005</v>
      </c>
      <c r="AB1037">
        <v>36</v>
      </c>
      <c r="AC1037">
        <v>117.40349999999999</v>
      </c>
      <c r="AD1037">
        <v>2.4972509999999999</v>
      </c>
      <c r="AE1037">
        <v>-10.8933999999999</v>
      </c>
      <c r="AF1037">
        <v>11.009593784178399</v>
      </c>
      <c r="AG1037">
        <v>2.4972509999999999</v>
      </c>
      <c r="AH1037">
        <v>117.33956145633</v>
      </c>
      <c r="AI1037">
        <v>88.786130217436195</v>
      </c>
      <c r="AJ1037">
        <v>84.639813872015296</v>
      </c>
      <c r="AK1037">
        <v>117.881381484158</v>
      </c>
      <c r="AL1037">
        <v>80.529404999141804</v>
      </c>
      <c r="AM1037">
        <v>92.729716318507002</v>
      </c>
      <c r="AN1037">
        <v>0.99999994823496297</v>
      </c>
    </row>
    <row r="1038" spans="1:40" x14ac:dyDescent="0.25">
      <c r="A1038" t="str">
        <f>"20190304155613437"</f>
        <v>20190304155613437</v>
      </c>
      <c r="B1038" t="str">
        <f>"1551686173425547"</f>
        <v>1551686173425547</v>
      </c>
      <c r="C1038" t="s">
        <v>40</v>
      </c>
      <c r="D1038">
        <v>4.4473240000000001</v>
      </c>
      <c r="E1038">
        <v>0.55232709999999996</v>
      </c>
      <c r="F1038" t="s">
        <v>43</v>
      </c>
      <c r="G1038">
        <v>-169.2955</v>
      </c>
      <c r="H1038">
        <v>3.5283639999999998</v>
      </c>
      <c r="I1038">
        <v>356.14229999999998</v>
      </c>
      <c r="J1038">
        <v>-286.5215</v>
      </c>
      <c r="K1038">
        <v>1.059625</v>
      </c>
      <c r="L1038">
        <v>367.0403</v>
      </c>
      <c r="M1038">
        <v>0.99993799999999999</v>
      </c>
      <c r="N1038">
        <v>-1.109772E-2</v>
      </c>
      <c r="O1038">
        <v>1.031833E-3</v>
      </c>
      <c r="P1038">
        <v>0.98692279999999999</v>
      </c>
      <c r="Q1038">
        <v>0.1539297</v>
      </c>
      <c r="R1038">
        <v>4.7846399999999997E-2</v>
      </c>
      <c r="S1038">
        <v>3.043396</v>
      </c>
      <c r="T1038">
        <v>6.3998340000000001E-2</v>
      </c>
      <c r="U1038">
        <v>-0.28250120000000001</v>
      </c>
      <c r="V1038">
        <v>-4.6821479999999999E-2</v>
      </c>
      <c r="W1038">
        <v>0.1648753</v>
      </c>
      <c r="X1038">
        <v>0.98520240000000003</v>
      </c>
      <c r="Y1038">
        <v>9.3444310000000003E-2</v>
      </c>
      <c r="Z1038">
        <v>4.9369669999999998E-4</v>
      </c>
      <c r="AA1038">
        <v>0.99562439999999996</v>
      </c>
      <c r="AB1038">
        <v>36</v>
      </c>
      <c r="AC1038">
        <v>117.226</v>
      </c>
      <c r="AD1038">
        <v>2.4687389999999998</v>
      </c>
      <c r="AE1038">
        <v>-10.898</v>
      </c>
      <c r="AF1038">
        <v>11.0141162848189</v>
      </c>
      <c r="AG1038">
        <v>2.4687389999999998</v>
      </c>
      <c r="AH1038">
        <v>117.163174303601</v>
      </c>
      <c r="AI1038">
        <v>88.798199367817304</v>
      </c>
      <c r="AJ1038">
        <v>84.629599058690602</v>
      </c>
      <c r="AK1038">
        <v>117.705627914224</v>
      </c>
      <c r="AL1038">
        <v>80.510008975926695</v>
      </c>
      <c r="AM1038">
        <v>92.720919307342001</v>
      </c>
      <c r="AN1038">
        <v>0.99999994225261801</v>
      </c>
    </row>
    <row r="1039" spans="1:40" x14ac:dyDescent="0.25">
      <c r="A1039" t="str">
        <f>"20190304155613448"</f>
        <v>20190304155613448</v>
      </c>
      <c r="B1039" t="str">
        <f>"1551686173446042"</f>
        <v>1551686173446042</v>
      </c>
      <c r="C1039" t="s">
        <v>40</v>
      </c>
      <c r="D1039">
        <v>4.4442089999999999</v>
      </c>
      <c r="E1039">
        <v>0.55225939999999996</v>
      </c>
      <c r="F1039" t="s">
        <v>43</v>
      </c>
      <c r="G1039">
        <v>-169.2955</v>
      </c>
      <c r="H1039">
        <v>3.443651</v>
      </c>
      <c r="I1039">
        <v>356.16030000000001</v>
      </c>
      <c r="J1039">
        <v>-286.33030000000002</v>
      </c>
      <c r="K1039">
        <v>1.059628</v>
      </c>
      <c r="L1039">
        <v>367.04050000000001</v>
      </c>
      <c r="M1039">
        <v>0.99993770000000004</v>
      </c>
      <c r="N1039">
        <v>-1.1116849999999999E-2</v>
      </c>
      <c r="O1039">
        <v>1.032083E-3</v>
      </c>
      <c r="P1039">
        <v>0.98685630000000002</v>
      </c>
      <c r="Q1039">
        <v>0.15442129999999901</v>
      </c>
      <c r="R1039">
        <v>4.7629600000000001E-2</v>
      </c>
      <c r="S1039">
        <v>3.043793</v>
      </c>
      <c r="T1039">
        <v>6.190383E-2</v>
      </c>
      <c r="U1039">
        <v>-0.28250120000000001</v>
      </c>
      <c r="V1039">
        <v>-4.6604630000000001E-2</v>
      </c>
      <c r="W1039">
        <v>0.16538510000000001</v>
      </c>
      <c r="X1039">
        <v>0.98512730000000004</v>
      </c>
      <c r="Y1039">
        <v>9.3433619999999995E-2</v>
      </c>
      <c r="Z1039">
        <v>4.5987209999999998E-4</v>
      </c>
      <c r="AA1039">
        <v>0.99562539999999999</v>
      </c>
      <c r="AB1039">
        <v>36</v>
      </c>
      <c r="AC1039">
        <v>117.0348</v>
      </c>
      <c r="AD1039">
        <v>2.384023</v>
      </c>
      <c r="AE1039">
        <v>-10.8802</v>
      </c>
      <c r="AF1039">
        <v>10.996467458490301</v>
      </c>
      <c r="AG1039">
        <v>2.384023</v>
      </c>
      <c r="AH1039">
        <v>116.975385213398</v>
      </c>
      <c r="AI1039">
        <v>88.837565635964694</v>
      </c>
      <c r="AJ1039">
        <v>84.629596827741693</v>
      </c>
      <c r="AK1039">
        <v>117.515303718507</v>
      </c>
      <c r="AL1039">
        <v>80.480393661999699</v>
      </c>
      <c r="AM1039">
        <v>92.708542549670696</v>
      </c>
      <c r="AN1039">
        <v>1.0000000100223601</v>
      </c>
    </row>
    <row r="1040" spans="1:40" x14ac:dyDescent="0.25">
      <c r="A1040" t="str">
        <f>"20190304155613460"</f>
        <v>20190304155613460</v>
      </c>
      <c r="B1040" t="str">
        <f>"1551686173455802"</f>
        <v>1551686173455802</v>
      </c>
      <c r="C1040" t="s">
        <v>40</v>
      </c>
      <c r="D1040">
        <v>4.4430990000000001</v>
      </c>
      <c r="E1040">
        <v>0.55217579999999999</v>
      </c>
      <c r="F1040" t="s">
        <v>43</v>
      </c>
      <c r="G1040">
        <v>-169.2955</v>
      </c>
      <c r="H1040">
        <v>3.3283299999999998</v>
      </c>
      <c r="I1040">
        <v>356.17219999999998</v>
      </c>
      <c r="J1040">
        <v>-286.1497</v>
      </c>
      <c r="K1040">
        <v>1.059633</v>
      </c>
      <c r="L1040">
        <v>367.04070000000002</v>
      </c>
      <c r="M1040">
        <v>0.99993739999999998</v>
      </c>
      <c r="N1040">
        <v>-1.114242E-2</v>
      </c>
      <c r="O1040">
        <v>1.032238E-3</v>
      </c>
      <c r="P1040">
        <v>0.98680409999999996</v>
      </c>
      <c r="Q1040">
        <v>0.15478749999999999</v>
      </c>
      <c r="R1040">
        <v>4.7522080000000001E-2</v>
      </c>
      <c r="S1040">
        <v>3.044403</v>
      </c>
      <c r="T1040">
        <v>5.901754E-2</v>
      </c>
      <c r="U1040">
        <v>-0.28271479999999999</v>
      </c>
      <c r="V1040">
        <v>-4.6496780000000001E-2</v>
      </c>
      <c r="W1040">
        <v>0.1657759</v>
      </c>
      <c r="X1040">
        <v>0.98506669999999996</v>
      </c>
      <c r="Y1040">
        <v>9.3485970000000002E-2</v>
      </c>
      <c r="Z1040">
        <v>4.135675E-4</v>
      </c>
      <c r="AA1040">
        <v>0.99562050000000002</v>
      </c>
      <c r="AB1040">
        <v>36</v>
      </c>
      <c r="AC1040">
        <v>116.85420000000001</v>
      </c>
      <c r="AD1040">
        <v>2.268697</v>
      </c>
      <c r="AE1040">
        <v>-10.868499999999999</v>
      </c>
      <c r="AF1040">
        <v>10.985017936301199</v>
      </c>
      <c r="AG1040">
        <v>2.268697</v>
      </c>
      <c r="AH1040">
        <v>116.799270229277</v>
      </c>
      <c r="AI1040">
        <v>88.892120455416602</v>
      </c>
      <c r="AJ1040">
        <v>84.627113810288293</v>
      </c>
      <c r="AK1040">
        <v>117.336640190651</v>
      </c>
      <c r="AL1040">
        <v>80.457688981476494</v>
      </c>
      <c r="AM1040">
        <v>92.702449878167698</v>
      </c>
      <c r="AN1040">
        <v>1.0000000015100301</v>
      </c>
    </row>
    <row r="1041" spans="1:40" x14ac:dyDescent="0.25">
      <c r="A1041" t="str">
        <f>"20190304155613471"</f>
        <v>20190304155613471</v>
      </c>
      <c r="B1041" t="str">
        <f>"1551686173465562"</f>
        <v>1551686173465562</v>
      </c>
      <c r="C1041" t="s">
        <v>40</v>
      </c>
      <c r="D1041">
        <v>4.4411329999999998</v>
      </c>
      <c r="E1041">
        <v>0.55205459999999995</v>
      </c>
      <c r="F1041" t="s">
        <v>43</v>
      </c>
      <c r="G1041">
        <v>-169.2955</v>
      </c>
      <c r="H1041">
        <v>3.2695669999999999</v>
      </c>
      <c r="I1041">
        <v>356.19029999999998</v>
      </c>
      <c r="J1041">
        <v>-285.97620000000001</v>
      </c>
      <c r="K1041">
        <v>1.0596399999999999</v>
      </c>
      <c r="L1041">
        <v>367.04090000000002</v>
      </c>
      <c r="M1041">
        <v>0.99993719999999997</v>
      </c>
      <c r="N1041">
        <v>-1.116871E-2</v>
      </c>
      <c r="O1041">
        <v>1.0326269999999999E-3</v>
      </c>
      <c r="P1041">
        <v>0.98673359999999999</v>
      </c>
      <c r="Q1041">
        <v>0.1552308</v>
      </c>
      <c r="R1041">
        <v>4.7543439999999999E-2</v>
      </c>
      <c r="S1041">
        <v>3.044708</v>
      </c>
      <c r="T1041">
        <v>5.7583450000000001E-2</v>
      </c>
      <c r="U1041">
        <v>-0.28271479999999999</v>
      </c>
      <c r="V1041">
        <v>-4.6517959999999997E-2</v>
      </c>
      <c r="W1041">
        <v>0.16624430000000001</v>
      </c>
      <c r="X1041">
        <v>0.98498680000000005</v>
      </c>
      <c r="Y1041">
        <v>9.3477809999999995E-2</v>
      </c>
      <c r="Z1041">
        <v>3.8980470000000002E-4</v>
      </c>
      <c r="AA1041">
        <v>0.99562130000000004</v>
      </c>
      <c r="AB1041">
        <v>36</v>
      </c>
      <c r="AC1041">
        <v>116.6807</v>
      </c>
      <c r="AD1041">
        <v>2.209927</v>
      </c>
      <c r="AE1041">
        <v>-10.8506</v>
      </c>
      <c r="AF1041">
        <v>10.9671889186867</v>
      </c>
      <c r="AG1041">
        <v>2.209927</v>
      </c>
      <c r="AH1041">
        <v>116.627954168812</v>
      </c>
      <c r="AI1041">
        <v>88.919226570127805</v>
      </c>
      <c r="AJ1041">
        <v>84.627949766834803</v>
      </c>
      <c r="AK1041">
        <v>117.16331637387999</v>
      </c>
      <c r="AL1041">
        <v>80.4304743959257</v>
      </c>
      <c r="AM1041">
        <v>92.703898050703799</v>
      </c>
      <c r="AN1041">
        <v>1.00000004202964</v>
      </c>
    </row>
    <row r="1042" spans="1:40" x14ac:dyDescent="0.25">
      <c r="A1042" t="str">
        <f>"20190304155613482"</f>
        <v>20190304155613482</v>
      </c>
      <c r="B1042" t="str">
        <f>"1551686173475323"</f>
        <v>1551686173475323</v>
      </c>
      <c r="C1042" t="s">
        <v>40</v>
      </c>
      <c r="D1042">
        <v>4.4635879999999997</v>
      </c>
      <c r="E1042">
        <v>0.55197229999999997</v>
      </c>
      <c r="F1042" t="s">
        <v>43</v>
      </c>
      <c r="G1042">
        <v>-169.2955</v>
      </c>
      <c r="H1042">
        <v>3.216488</v>
      </c>
      <c r="I1042">
        <v>356.24639999999999</v>
      </c>
      <c r="J1042">
        <v>-285.79140000000001</v>
      </c>
      <c r="K1042">
        <v>1.0596490000000001</v>
      </c>
      <c r="L1042">
        <v>367.04109999999997</v>
      </c>
      <c r="M1042">
        <v>0.99993659999999995</v>
      </c>
      <c r="N1042">
        <v>-1.120734E-2</v>
      </c>
      <c r="O1042">
        <v>1.0328869999999999E-3</v>
      </c>
      <c r="P1042">
        <v>0.98674099999999998</v>
      </c>
      <c r="Q1042">
        <v>0.15517500000000001</v>
      </c>
      <c r="R1042">
        <v>4.7569840000000002E-2</v>
      </c>
      <c r="S1042">
        <v>3.0450439999999999</v>
      </c>
      <c r="T1042">
        <v>5.6290029999999998E-2</v>
      </c>
      <c r="U1042">
        <v>-0.28170780000000001</v>
      </c>
      <c r="V1042">
        <v>-4.6544410000000001E-2</v>
      </c>
      <c r="W1042">
        <v>0.1662264</v>
      </c>
      <c r="X1042">
        <v>0.98498850000000004</v>
      </c>
      <c r="Y1042">
        <v>9.3142050000000004E-2</v>
      </c>
      <c r="Z1042">
        <v>3.6651339999999998E-4</v>
      </c>
      <c r="AA1042">
        <v>0.99565269999999995</v>
      </c>
      <c r="AB1042">
        <v>36</v>
      </c>
      <c r="AC1042">
        <v>116.49590000000001</v>
      </c>
      <c r="AD1042">
        <v>2.1568390000000002</v>
      </c>
      <c r="AE1042">
        <v>-10.794699999999899</v>
      </c>
      <c r="AF1042">
        <v>10.911320575890199</v>
      </c>
      <c r="AG1042">
        <v>2.1568390000000002</v>
      </c>
      <c r="AH1042">
        <v>116.445112306827</v>
      </c>
      <c r="AI1042">
        <v>88.943494987502802</v>
      </c>
      <c r="AJ1042">
        <v>84.646813085987603</v>
      </c>
      <c r="AK1042">
        <v>116.975095859467</v>
      </c>
      <c r="AL1042">
        <v>80.431513781900605</v>
      </c>
      <c r="AM1042">
        <v>92.705428534652498</v>
      </c>
      <c r="AN1042">
        <v>0.99999997164572796</v>
      </c>
    </row>
    <row r="1043" spans="1:40" x14ac:dyDescent="0.25">
      <c r="A1043" t="str">
        <f>"20190304155613493"</f>
        <v>20190304155613493</v>
      </c>
      <c r="B1043" t="str">
        <f>"1551686173486059"</f>
        <v>1551686173486059</v>
      </c>
      <c r="C1043" t="s">
        <v>40</v>
      </c>
      <c r="D1043">
        <v>4.3593209999999996</v>
      </c>
      <c r="E1043">
        <v>0.55197229999999997</v>
      </c>
      <c r="F1043" t="s">
        <v>43</v>
      </c>
      <c r="G1043">
        <v>-169.2955</v>
      </c>
      <c r="H1043">
        <v>3.1181139999999998</v>
      </c>
      <c r="I1043">
        <v>356.29410000000001</v>
      </c>
      <c r="J1043">
        <v>-285.61770000000001</v>
      </c>
      <c r="K1043">
        <v>1.0596570000000001</v>
      </c>
      <c r="L1043">
        <v>367.04129999999998</v>
      </c>
      <c r="M1043">
        <v>0.9999363</v>
      </c>
      <c r="N1043">
        <v>-1.124619E-2</v>
      </c>
      <c r="O1043">
        <v>1.0330249999999999E-3</v>
      </c>
      <c r="P1043">
        <v>0.98666259999999995</v>
      </c>
      <c r="Q1043">
        <v>0.15567059999999999</v>
      </c>
      <c r="R1043">
        <v>4.7579080000000003E-2</v>
      </c>
      <c r="S1043">
        <v>3.04541</v>
      </c>
      <c r="T1043">
        <v>5.3814170000000001E-2</v>
      </c>
      <c r="U1043">
        <v>-0.28094479999999999</v>
      </c>
      <c r="V1043">
        <v>-4.6553780000000003E-2</v>
      </c>
      <c r="W1043">
        <v>0.16675960000000001</v>
      </c>
      <c r="X1043">
        <v>0.98489800000000005</v>
      </c>
      <c r="Y1043">
        <v>9.2884880000000003E-2</v>
      </c>
      <c r="Z1043">
        <v>3.2523110000000002E-4</v>
      </c>
      <c r="AA1043">
        <v>0.99567680000000003</v>
      </c>
      <c r="AB1043">
        <v>36</v>
      </c>
      <c r="AC1043">
        <v>116.3222</v>
      </c>
      <c r="AD1043">
        <v>2.0584570000000002</v>
      </c>
      <c r="AE1043">
        <v>-10.7471999999999</v>
      </c>
      <c r="AF1043">
        <v>10.8639922857106</v>
      </c>
      <c r="AG1043">
        <v>2.0584570000000002</v>
      </c>
      <c r="AH1043">
        <v>116.27493129330399</v>
      </c>
      <c r="AI1043">
        <v>88.990175432401301</v>
      </c>
      <c r="AJ1043">
        <v>84.6621425726414</v>
      </c>
      <c r="AK1043">
        <v>116.79950008826</v>
      </c>
      <c r="AL1043">
        <v>80.400531942435904</v>
      </c>
      <c r="AM1043">
        <v>92.706220639378301</v>
      </c>
      <c r="AN1043">
        <v>1.0000000445142201</v>
      </c>
    </row>
    <row r="1044" spans="1:40" x14ac:dyDescent="0.25">
      <c r="A1044" t="str">
        <f>"20190304155613503"</f>
        <v>20190304155613503</v>
      </c>
      <c r="B1044" t="str">
        <f>"1551686173495819"</f>
        <v>1551686173495819</v>
      </c>
      <c r="C1044" t="s">
        <v>40</v>
      </c>
      <c r="D1044">
        <v>4.4748390000000002</v>
      </c>
      <c r="E1044">
        <v>0.54923029999999995</v>
      </c>
      <c r="F1044" t="s">
        <v>43</v>
      </c>
      <c r="G1044">
        <v>-169.2955</v>
      </c>
      <c r="H1044">
        <v>3.1743570000000001</v>
      </c>
      <c r="I1044">
        <v>356.31369999999998</v>
      </c>
      <c r="J1044">
        <v>-285.43579999999997</v>
      </c>
      <c r="K1044">
        <v>1.05967099999999</v>
      </c>
      <c r="L1044">
        <v>367.04149999999998</v>
      </c>
      <c r="M1044">
        <v>0.99993569999999998</v>
      </c>
      <c r="N1044">
        <v>-1.1292669999999999E-2</v>
      </c>
      <c r="O1044">
        <v>1.0330599999999999E-3</v>
      </c>
      <c r="P1044">
        <v>0.98663009999999995</v>
      </c>
      <c r="Q1044">
        <v>0.1558602</v>
      </c>
      <c r="R1044">
        <v>4.7631510000000002E-2</v>
      </c>
      <c r="S1044">
        <v>3.0453800000000002</v>
      </c>
      <c r="T1044">
        <v>5.5366279999999997E-2</v>
      </c>
      <c r="U1044">
        <v>-0.28085329999999997</v>
      </c>
      <c r="V1044">
        <v>-4.6605899999999999E-2</v>
      </c>
      <c r="W1044">
        <v>0.16699420000000001</v>
      </c>
      <c r="X1044">
        <v>0.98485579999999995</v>
      </c>
      <c r="Y1044">
        <v>9.2855590000000002E-2</v>
      </c>
      <c r="Z1044">
        <v>3.4716420000000003E-4</v>
      </c>
      <c r="AA1044">
        <v>0.99567950000000005</v>
      </c>
      <c r="AB1044">
        <v>36</v>
      </c>
      <c r="AC1044">
        <v>116.140299999999</v>
      </c>
      <c r="AD1044">
        <v>2.1146859999999998</v>
      </c>
      <c r="AE1044">
        <v>-10.7278</v>
      </c>
      <c r="AF1044">
        <v>10.8442170308721</v>
      </c>
      <c r="AG1044">
        <v>2.1146859999999998</v>
      </c>
      <c r="AH1044">
        <v>116.090992537473</v>
      </c>
      <c r="AI1044">
        <v>88.960951435619194</v>
      </c>
      <c r="AJ1044">
        <v>84.663409387128596</v>
      </c>
      <c r="AK1044">
        <v>116.61555422938601</v>
      </c>
      <c r="AL1044">
        <v>80.386899339192794</v>
      </c>
      <c r="AM1044">
        <v>92.709361833899607</v>
      </c>
      <c r="AN1044">
        <v>1.0000000597710399</v>
      </c>
    </row>
    <row r="1045" spans="1:40" x14ac:dyDescent="0.25">
      <c r="A1045" t="str">
        <f>"20190304155613515"</f>
        <v>20190304155613515</v>
      </c>
      <c r="B1045" t="str">
        <f>"1551686173505578"</f>
        <v>1551686173505578</v>
      </c>
      <c r="C1045" t="s">
        <v>40</v>
      </c>
      <c r="D1045">
        <v>4.4920070000000001</v>
      </c>
      <c r="E1045">
        <v>0.54879129999999998</v>
      </c>
      <c r="F1045" t="s">
        <v>45</v>
      </c>
      <c r="G1045">
        <v>-190.56970000000001</v>
      </c>
      <c r="H1045" s="1">
        <v>-5.1078410000000001E-6</v>
      </c>
      <c r="I1045">
        <v>358.94400000000002</v>
      </c>
      <c r="J1045">
        <v>-285.26650000000001</v>
      </c>
      <c r="K1045">
        <v>1.0596829999999999</v>
      </c>
      <c r="L1045">
        <v>367.04169999999999</v>
      </c>
      <c r="M1045">
        <v>0.99993520000000002</v>
      </c>
      <c r="N1045">
        <v>-1.133783E-2</v>
      </c>
      <c r="O1045">
        <v>1.0331610000000001E-3</v>
      </c>
      <c r="P1045">
        <v>0.98659969999999997</v>
      </c>
      <c r="Q1045">
        <v>0.1560436</v>
      </c>
      <c r="R1045">
        <v>4.7661750000000003E-2</v>
      </c>
      <c r="S1045">
        <v>3.0586549999999999</v>
      </c>
      <c r="T1045">
        <v>-3.4165859999999999E-2</v>
      </c>
      <c r="U1045">
        <v>-0.26107789999999997</v>
      </c>
      <c r="V1045">
        <v>-4.6636009999999999E-2</v>
      </c>
      <c r="W1045">
        <v>0.16722219999999999</v>
      </c>
      <c r="X1045">
        <v>0.98481569999999996</v>
      </c>
      <c r="Y1045">
        <v>8.6066499999999893E-2</v>
      </c>
      <c r="Z1045">
        <v>-9.6846580000000001E-4</v>
      </c>
      <c r="AA1045">
        <v>0.99628890000000003</v>
      </c>
      <c r="AB1045">
        <v>36</v>
      </c>
      <c r="AC1045">
        <v>94.696799999999996</v>
      </c>
      <c r="AD1045">
        <v>-1.0596881078410001</v>
      </c>
      <c r="AE1045">
        <v>-8.0976999999999695</v>
      </c>
      <c r="AF1045">
        <v>8.1945203094689898</v>
      </c>
      <c r="AG1045">
        <v>-1.0596881078410001</v>
      </c>
      <c r="AH1045">
        <v>94.676613022323806</v>
      </c>
      <c r="AI1045">
        <v>90.638880027092995</v>
      </c>
      <c r="AJ1045">
        <v>85.053221416301</v>
      </c>
      <c r="AK1045">
        <v>95.036488547120996</v>
      </c>
      <c r="AL1045">
        <v>80.373649713343596</v>
      </c>
      <c r="AM1045">
        <v>92.711219848413904</v>
      </c>
      <c r="AN1045">
        <v>1.0000000722840201</v>
      </c>
    </row>
    <row r="1046" spans="1:40" x14ac:dyDescent="0.25">
      <c r="A1046" t="str">
        <f>"20190304155613526"</f>
        <v>20190304155613526</v>
      </c>
      <c r="B1046" t="str">
        <f>"1551686173515339"</f>
        <v>1551686173515339</v>
      </c>
      <c r="C1046" t="s">
        <v>40</v>
      </c>
      <c r="D1046">
        <v>4.4762469999999999</v>
      </c>
      <c r="E1046">
        <v>0.54869279999999998</v>
      </c>
      <c r="F1046" t="s">
        <v>45</v>
      </c>
      <c r="G1046">
        <v>-176.63990000000001</v>
      </c>
      <c r="H1046">
        <v>7.9988030000000002E-2</v>
      </c>
      <c r="I1046">
        <v>357.89960000000002</v>
      </c>
      <c r="J1046">
        <v>-285.07679999999999</v>
      </c>
      <c r="K1046">
        <v>1.0596939999999999</v>
      </c>
      <c r="L1046">
        <v>367.04180000000002</v>
      </c>
      <c r="M1046">
        <v>0.99993469999999995</v>
      </c>
      <c r="N1046">
        <v>-1.139077E-2</v>
      </c>
      <c r="O1046">
        <v>1.0332169999999999E-3</v>
      </c>
      <c r="P1046">
        <v>0.98655519999999997</v>
      </c>
      <c r="Q1046">
        <v>0.15631989999999901</v>
      </c>
      <c r="R1046">
        <v>4.767706E-2</v>
      </c>
      <c r="S1046">
        <v>3.0575559999999999</v>
      </c>
      <c r="T1046">
        <v>-2.7575849999999999E-2</v>
      </c>
      <c r="U1046">
        <v>-0.2573242</v>
      </c>
      <c r="V1046">
        <v>-4.665122E-2</v>
      </c>
      <c r="W1046">
        <v>0.167549799999999</v>
      </c>
      <c r="X1046">
        <v>0.98475919999999895</v>
      </c>
      <c r="Y1046">
        <v>8.4885429999999998E-2</v>
      </c>
      <c r="Z1046">
        <v>-8.6400379999999996E-4</v>
      </c>
      <c r="AA1046">
        <v>0.99639029999999995</v>
      </c>
      <c r="AB1046">
        <v>36</v>
      </c>
      <c r="AC1046">
        <v>108.436899999999</v>
      </c>
      <c r="AD1046">
        <v>-0.97970597000000004</v>
      </c>
      <c r="AE1046">
        <v>-9.1422000000000008</v>
      </c>
      <c r="AF1046">
        <v>9.2534912151292392</v>
      </c>
      <c r="AG1046">
        <v>-0.97970597000000004</v>
      </c>
      <c r="AH1046">
        <v>108.418608128709</v>
      </c>
      <c r="AI1046">
        <v>90.515853919934202</v>
      </c>
      <c r="AJ1046">
        <v>85.121647400350597</v>
      </c>
      <c r="AK1046">
        <v>108.817193090167</v>
      </c>
      <c r="AL1046">
        <v>80.35461007968</v>
      </c>
      <c r="AM1046">
        <v>92.712258146290495</v>
      </c>
      <c r="AN1046">
        <v>0.999999976896083</v>
      </c>
    </row>
    <row r="1047" spans="1:40" x14ac:dyDescent="0.25">
      <c r="A1047" t="str">
        <f>"20190304155613537"</f>
        <v>20190304155613537</v>
      </c>
      <c r="B1047" t="str">
        <f>"1551686173526075"</f>
        <v>1551686173526075</v>
      </c>
      <c r="C1047" t="s">
        <v>40</v>
      </c>
      <c r="D1047">
        <v>4.4843339999999996</v>
      </c>
      <c r="E1047">
        <v>0.54862230000000001</v>
      </c>
      <c r="F1047" t="s">
        <v>43</v>
      </c>
      <c r="G1047">
        <v>-158.19499999999999</v>
      </c>
      <c r="H1047">
        <v>0.17177679999999901</v>
      </c>
      <c r="I1047">
        <v>356.39580000000001</v>
      </c>
      <c r="J1047">
        <v>-284.90480000000002</v>
      </c>
      <c r="K1047">
        <v>1.059707</v>
      </c>
      <c r="L1047">
        <v>367.04199999999997</v>
      </c>
      <c r="M1047">
        <v>0.99993399999999999</v>
      </c>
      <c r="N1047">
        <v>-1.144034E-2</v>
      </c>
      <c r="O1047">
        <v>1.033588E-3</v>
      </c>
      <c r="P1047">
        <v>0.98646409999999995</v>
      </c>
      <c r="Q1047">
        <v>0.15679199999999999</v>
      </c>
      <c r="R1047">
        <v>4.800658E-2</v>
      </c>
      <c r="S1047">
        <v>3.0566710000000001</v>
      </c>
      <c r="T1047">
        <v>-2.138841E-2</v>
      </c>
      <c r="U1047">
        <v>-0.25646970000000002</v>
      </c>
      <c r="V1047">
        <v>-4.6980389999999997E-2</v>
      </c>
      <c r="W1047">
        <v>0.16806969999999999</v>
      </c>
      <c r="X1047">
        <v>0.98465499999999995</v>
      </c>
      <c r="Y1047">
        <v>8.4635650000000007E-2</v>
      </c>
      <c r="Z1047">
        <v>-7.7601350000000005E-4</v>
      </c>
      <c r="AA1047">
        <v>0.99641170000000001</v>
      </c>
      <c r="AB1047">
        <v>36</v>
      </c>
      <c r="AC1047">
        <v>126.7098</v>
      </c>
      <c r="AD1047">
        <v>-0.8879302</v>
      </c>
      <c r="AE1047">
        <v>-10.646199999999901</v>
      </c>
      <c r="AF1047">
        <v>10.776643124220501</v>
      </c>
      <c r="AG1047">
        <v>-0.8879302</v>
      </c>
      <c r="AH1047">
        <v>126.692550012621</v>
      </c>
      <c r="AI1047">
        <v>90.400108542529097</v>
      </c>
      <c r="AJ1047">
        <v>85.138045517826001</v>
      </c>
      <c r="AK1047">
        <v>127.15316231131401</v>
      </c>
      <c r="AL1047">
        <v>80.324393984301906</v>
      </c>
      <c r="AM1047">
        <v>92.731655507386904</v>
      </c>
      <c r="AN1047">
        <v>1.0000000250638199</v>
      </c>
    </row>
    <row r="1048" spans="1:40" x14ac:dyDescent="0.25">
      <c r="A1048" t="str">
        <f>"20190304155613547"</f>
        <v>20190304155613547</v>
      </c>
      <c r="B1048" t="str">
        <f>"1551686173545595"</f>
        <v>1551686173545595</v>
      </c>
      <c r="C1048" t="s">
        <v>40</v>
      </c>
      <c r="D1048">
        <v>4.477589</v>
      </c>
      <c r="E1048">
        <v>0.54881119999999906</v>
      </c>
      <c r="F1048" t="s">
        <v>43</v>
      </c>
      <c r="G1048">
        <v>-158.19499999999999</v>
      </c>
      <c r="H1048">
        <v>0.3070869</v>
      </c>
      <c r="I1048">
        <v>356.47809999999998</v>
      </c>
      <c r="J1048">
        <v>-284.72680000000003</v>
      </c>
      <c r="K1048">
        <v>1.0597179999999999</v>
      </c>
      <c r="L1048">
        <v>367.04219999999998</v>
      </c>
      <c r="M1048">
        <v>0.99993350000000003</v>
      </c>
      <c r="N1048">
        <v>-1.149236E-2</v>
      </c>
      <c r="O1048">
        <v>1.0334669999999999E-3</v>
      </c>
      <c r="P1048">
        <v>0.98638009999999998</v>
      </c>
      <c r="Q1048">
        <v>0.1573321</v>
      </c>
      <c r="R1048">
        <v>4.7971350000000003E-2</v>
      </c>
      <c r="S1048">
        <v>3.0564580000000001</v>
      </c>
      <c r="T1048">
        <v>-1.8152359999999999E-2</v>
      </c>
      <c r="U1048">
        <v>-0.25482179999999999</v>
      </c>
      <c r="V1048">
        <v>-4.694508E-2</v>
      </c>
      <c r="W1048">
        <v>0.16865959999999999</v>
      </c>
      <c r="X1048">
        <v>0.98455579999999998</v>
      </c>
      <c r="Y1048">
        <v>8.4108929999999998E-2</v>
      </c>
      <c r="Z1048">
        <v>-7.2776830000000005E-4</v>
      </c>
      <c r="AA1048">
        <v>0.99645629999999996</v>
      </c>
      <c r="AB1048">
        <v>36</v>
      </c>
      <c r="AC1048">
        <v>126.5318</v>
      </c>
      <c r="AD1048">
        <v>-0.752631099999999</v>
      </c>
      <c r="AE1048">
        <v>-10.5640999999999</v>
      </c>
      <c r="AF1048">
        <v>10.694493666033701</v>
      </c>
      <c r="AG1048">
        <v>-0.752631099999999</v>
      </c>
      <c r="AH1048">
        <v>126.51636881383</v>
      </c>
      <c r="AI1048">
        <v>90.339630667638701</v>
      </c>
      <c r="AJ1048">
        <v>85.168244756905295</v>
      </c>
      <c r="AK1048">
        <v>126.969800449487</v>
      </c>
      <c r="AL1048">
        <v>80.290105606474796</v>
      </c>
      <c r="AM1048">
        <v>92.729880136557995</v>
      </c>
      <c r="AN1048">
        <v>1.000000012261</v>
      </c>
    </row>
    <row r="1049" spans="1:40" x14ac:dyDescent="0.25">
      <c r="A1049" t="str">
        <f>"20190304155613561"</f>
        <v>20190304155613561</v>
      </c>
      <c r="B1049" t="str">
        <f>"1551686173555354"</f>
        <v>1551686173555354</v>
      </c>
      <c r="C1049" t="s">
        <v>40</v>
      </c>
      <c r="D1049">
        <v>4.4958320000000001</v>
      </c>
      <c r="E1049">
        <v>0.54890569999999905</v>
      </c>
      <c r="F1049" t="s">
        <v>43</v>
      </c>
      <c r="G1049">
        <v>-158.19499999999999</v>
      </c>
      <c r="H1049">
        <v>0.43794440000000001</v>
      </c>
      <c r="I1049">
        <v>356.42180000000002</v>
      </c>
      <c r="J1049">
        <v>-284.53309999999999</v>
      </c>
      <c r="K1049">
        <v>1.0597270000000001</v>
      </c>
      <c r="L1049">
        <v>367.04239999999999</v>
      </c>
      <c r="M1049">
        <v>0.99993290000000001</v>
      </c>
      <c r="N1049">
        <v>-1.155058E-2</v>
      </c>
      <c r="O1049">
        <v>1.033607E-3</v>
      </c>
      <c r="P1049">
        <v>0.98625940000000001</v>
      </c>
      <c r="Q1049">
        <v>0.15806400000000001</v>
      </c>
      <c r="R1049">
        <v>4.8045379999999999E-2</v>
      </c>
      <c r="S1049">
        <v>3.056305</v>
      </c>
      <c r="T1049">
        <v>-1.5016440000000001E-2</v>
      </c>
      <c r="U1049">
        <v>-0.2565308</v>
      </c>
      <c r="V1049">
        <v>-4.701938E-2</v>
      </c>
      <c r="W1049">
        <v>0.16944779999999901</v>
      </c>
      <c r="X1049">
        <v>0.98441690000000004</v>
      </c>
      <c r="Y1049">
        <v>8.4667409999999999E-2</v>
      </c>
      <c r="Z1049">
        <v>-6.9064479999999997E-4</v>
      </c>
      <c r="AA1049">
        <v>0.99640910000000005</v>
      </c>
      <c r="AB1049">
        <v>36</v>
      </c>
      <c r="AC1049">
        <v>126.3381</v>
      </c>
      <c r="AD1049">
        <v>-0.62178259999999996</v>
      </c>
      <c r="AE1049">
        <v>-10.6205999999999</v>
      </c>
      <c r="AF1049">
        <v>10.7509283828579</v>
      </c>
      <c r="AG1049">
        <v>-0.62178259999999996</v>
      </c>
      <c r="AH1049">
        <v>126.324015909758</v>
      </c>
      <c r="AI1049">
        <v>90.280998923782093</v>
      </c>
      <c r="AJ1049">
        <v>85.135508840329095</v>
      </c>
      <c r="AK1049">
        <v>126.782199343061</v>
      </c>
      <c r="AL1049">
        <v>80.244285515844197</v>
      </c>
      <c r="AM1049">
        <v>92.734579373711</v>
      </c>
      <c r="AN1049">
        <v>1.0000000060130101</v>
      </c>
    </row>
    <row r="1050" spans="1:40" x14ac:dyDescent="0.25">
      <c r="A1050" t="str">
        <f>"20190304155613573"</f>
        <v>20190304155613573</v>
      </c>
      <c r="B1050" t="str">
        <f>"1551686173566092"</f>
        <v>1551686173566092</v>
      </c>
      <c r="C1050" t="s">
        <v>40</v>
      </c>
      <c r="D1050">
        <v>4.4861680000000002</v>
      </c>
      <c r="E1050">
        <v>0.54903329999999995</v>
      </c>
      <c r="F1050" t="s">
        <v>43</v>
      </c>
      <c r="G1050">
        <v>-158.19499999999999</v>
      </c>
      <c r="H1050">
        <v>0.55236240000000003</v>
      </c>
      <c r="I1050">
        <v>356.43699999999899</v>
      </c>
      <c r="J1050">
        <v>-284.31990000000002</v>
      </c>
      <c r="K1050">
        <v>1.0597369999999999</v>
      </c>
      <c r="L1050">
        <v>367.04259999999999</v>
      </c>
      <c r="M1050">
        <v>0.99993209999999999</v>
      </c>
      <c r="N1050">
        <v>-1.161471E-2</v>
      </c>
      <c r="O1050">
        <v>1.03377E-3</v>
      </c>
      <c r="P1050">
        <v>0.98620719999999995</v>
      </c>
      <c r="Q1050">
        <v>0.15843119999999999</v>
      </c>
      <c r="R1050">
        <v>4.79073E-2</v>
      </c>
      <c r="S1050">
        <v>3.056305</v>
      </c>
      <c r="T1050">
        <v>-1.227176E-2</v>
      </c>
      <c r="U1050">
        <v>-0.25656129999999999</v>
      </c>
      <c r="V1050">
        <v>-4.6881140000000002E-2</v>
      </c>
      <c r="W1050">
        <v>0.169877799999999</v>
      </c>
      <c r="X1050">
        <v>0.98434940000000004</v>
      </c>
      <c r="Y1050">
        <v>8.4678199999999995E-2</v>
      </c>
      <c r="Z1050">
        <v>-6.5450320000000003E-4</v>
      </c>
      <c r="AA1050">
        <v>0.99640819999999997</v>
      </c>
      <c r="AB1050">
        <v>36</v>
      </c>
      <c r="AC1050">
        <v>126.1249</v>
      </c>
      <c r="AD1050">
        <v>-0.50737460000000001</v>
      </c>
      <c r="AE1050">
        <v>-10.605600000000001</v>
      </c>
      <c r="AF1050">
        <v>10.7358147375549</v>
      </c>
      <c r="AG1050">
        <v>-0.50737460000000001</v>
      </c>
      <c r="AH1050">
        <v>126.11184158409201</v>
      </c>
      <c r="AI1050">
        <v>90.229681052188198</v>
      </c>
      <c r="AJ1050">
        <v>85.134181082456195</v>
      </c>
      <c r="AK1050">
        <v>126.568999896479</v>
      </c>
      <c r="AL1050">
        <v>80.219286075431199</v>
      </c>
      <c r="AM1050">
        <v>92.7267383708908</v>
      </c>
      <c r="AN1050">
        <v>1.0000000247504399</v>
      </c>
    </row>
    <row r="1051" spans="1:40" x14ac:dyDescent="0.25">
      <c r="A1051" t="str">
        <f>"20190304155613587"</f>
        <v>20190304155613587</v>
      </c>
      <c r="B1051" t="str">
        <f>"1551686173575850"</f>
        <v>1551686173575850</v>
      </c>
      <c r="C1051" t="s">
        <v>40</v>
      </c>
      <c r="D1051">
        <v>4.6227900000000002</v>
      </c>
      <c r="E1051">
        <v>0.54928159999999904</v>
      </c>
      <c r="F1051" t="s">
        <v>43</v>
      </c>
      <c r="G1051">
        <v>-158.19499999999999</v>
      </c>
      <c r="H1051">
        <v>0.60627940000000002</v>
      </c>
      <c r="I1051">
        <v>356.38459999999998</v>
      </c>
      <c r="J1051">
        <v>-284.0992</v>
      </c>
      <c r="K1051">
        <v>1.0597449999999999</v>
      </c>
      <c r="L1051">
        <v>367.04289999999997</v>
      </c>
      <c r="M1051">
        <v>0.99993140000000003</v>
      </c>
      <c r="N1051">
        <v>-1.168049E-2</v>
      </c>
      <c r="O1051">
        <v>1.033862E-3</v>
      </c>
      <c r="P1051">
        <v>0.9860833</v>
      </c>
      <c r="Q1051">
        <v>0.15910769999999999</v>
      </c>
      <c r="R1051">
        <v>4.8214519999999997E-2</v>
      </c>
      <c r="S1051">
        <v>3.056305</v>
      </c>
      <c r="T1051">
        <v>-1.098621E-2</v>
      </c>
      <c r="U1051">
        <v>-0.25827030000000001</v>
      </c>
      <c r="V1051">
        <v>-4.718808E-2</v>
      </c>
      <c r="W1051">
        <v>0.170617299999999</v>
      </c>
      <c r="X1051">
        <v>0.98420680000000005</v>
      </c>
      <c r="Y1051">
        <v>8.5231829999999995E-2</v>
      </c>
      <c r="Z1051">
        <v>-6.4325329999999998E-4</v>
      </c>
      <c r="AA1051">
        <v>0.99636100000000005</v>
      </c>
      <c r="AB1051">
        <v>36</v>
      </c>
      <c r="AC1051">
        <v>125.9042</v>
      </c>
      <c r="AD1051">
        <v>-0.45346560000000002</v>
      </c>
      <c r="AE1051">
        <v>-10.658299999999899</v>
      </c>
      <c r="AF1051">
        <v>10.788331780699</v>
      </c>
      <c r="AG1051">
        <v>-0.45346560000000002</v>
      </c>
      <c r="AH1051">
        <v>125.89149129216</v>
      </c>
      <c r="AI1051">
        <v>90.205626884755105</v>
      </c>
      <c r="AJ1051">
        <v>85.101977174542697</v>
      </c>
      <c r="AK1051">
        <v>126.353715075675</v>
      </c>
      <c r="AL1051">
        <v>80.176287903429895</v>
      </c>
      <c r="AM1051">
        <v>92.744960699499401</v>
      </c>
      <c r="AN1051">
        <v>1.0000000015598001</v>
      </c>
    </row>
    <row r="1052" spans="1:40" x14ac:dyDescent="0.25">
      <c r="A1052" t="str">
        <f>"20190304155613600"</f>
        <v>20190304155613600</v>
      </c>
      <c r="B1052" t="str">
        <f>"1551686173595372"</f>
        <v>1551686173595372</v>
      </c>
      <c r="C1052" t="s">
        <v>40</v>
      </c>
      <c r="D1052">
        <v>4.4871840000000001</v>
      </c>
      <c r="E1052">
        <v>0.54934629999999995</v>
      </c>
      <c r="F1052" t="s">
        <v>43</v>
      </c>
      <c r="G1052">
        <v>-158.19499999999999</v>
      </c>
      <c r="H1052">
        <v>0.68500899999999998</v>
      </c>
      <c r="I1052">
        <v>356.3689</v>
      </c>
      <c r="J1052">
        <v>-283.89190000000002</v>
      </c>
      <c r="K1052">
        <v>1.0597540000000001</v>
      </c>
      <c r="L1052">
        <v>367.04309999999998</v>
      </c>
      <c r="M1052">
        <v>0.9999306</v>
      </c>
      <c r="N1052">
        <v>-1.1741700000000001E-2</v>
      </c>
      <c r="O1052">
        <v>1.0340379999999999E-3</v>
      </c>
      <c r="P1052">
        <v>0.9859675</v>
      </c>
      <c r="Q1052">
        <v>0.15975929999999999</v>
      </c>
      <c r="R1052">
        <v>4.8426610000000002E-2</v>
      </c>
      <c r="S1052">
        <v>3.0564879999999999</v>
      </c>
      <c r="T1052">
        <v>-9.0950730000000004E-3</v>
      </c>
      <c r="U1052">
        <v>-0.25912479999999999</v>
      </c>
      <c r="V1052">
        <v>-4.7400390000000001E-2</v>
      </c>
      <c r="W1052">
        <v>0.1713277</v>
      </c>
      <c r="X1052">
        <v>0.98407319999999998</v>
      </c>
      <c r="Y1052">
        <v>8.5504010000000005E-2</v>
      </c>
      <c r="Z1052">
        <v>-6.2084170000000004E-4</v>
      </c>
      <c r="AA1052">
        <v>0.99633769999999999</v>
      </c>
      <c r="AB1052">
        <v>36</v>
      </c>
      <c r="AC1052">
        <v>125.6969</v>
      </c>
      <c r="AD1052">
        <v>-0.37474499999999999</v>
      </c>
      <c r="AE1052">
        <v>-10.6741999999999</v>
      </c>
      <c r="AF1052">
        <v>10.804083271873299</v>
      </c>
      <c r="AG1052">
        <v>-0.37474499999999999</v>
      </c>
      <c r="AH1052">
        <v>125.684685367757</v>
      </c>
      <c r="AI1052">
        <v>90.170206501094</v>
      </c>
      <c r="AJ1052">
        <v>85.086829077828995</v>
      </c>
      <c r="AK1052">
        <v>126.148756573946</v>
      </c>
      <c r="AL1052">
        <v>80.134976893794999</v>
      </c>
      <c r="AM1052">
        <v>92.757665649428702</v>
      </c>
      <c r="AN1052">
        <v>1.0000000203588399</v>
      </c>
    </row>
    <row r="1053" spans="1:40" x14ac:dyDescent="0.25">
      <c r="A1053" t="str">
        <f>"20190304155613611"</f>
        <v>20190304155613611</v>
      </c>
      <c r="B1053" t="str">
        <f>"1551686173606107"</f>
        <v>1551686173606107</v>
      </c>
      <c r="C1053" t="s">
        <v>40</v>
      </c>
      <c r="D1053">
        <v>4.5079279999999997</v>
      </c>
      <c r="E1053">
        <v>0.54941479999999998</v>
      </c>
      <c r="F1053" t="s">
        <v>43</v>
      </c>
      <c r="G1053">
        <v>-158.19499999999999</v>
      </c>
      <c r="H1053">
        <v>0.76349929999999999</v>
      </c>
      <c r="I1053">
        <v>356.3845</v>
      </c>
      <c r="J1053">
        <v>-283.70010000000002</v>
      </c>
      <c r="K1053">
        <v>1.05976</v>
      </c>
      <c r="L1053">
        <v>367.04320000000001</v>
      </c>
      <c r="M1053">
        <v>0.99992990000000004</v>
      </c>
      <c r="N1053">
        <v>-1.179817E-2</v>
      </c>
      <c r="O1053">
        <v>1.034002E-3</v>
      </c>
      <c r="P1053">
        <v>0.98589550000000004</v>
      </c>
      <c r="Q1053">
        <v>0.1601533</v>
      </c>
      <c r="R1053">
        <v>4.8590719999999997E-2</v>
      </c>
      <c r="S1053">
        <v>3.0565799999999999</v>
      </c>
      <c r="T1053">
        <v>-7.2019099999999997E-3</v>
      </c>
      <c r="U1053">
        <v>-0.25918580000000002</v>
      </c>
      <c r="V1053">
        <v>-4.7564130000000003E-2</v>
      </c>
      <c r="W1053">
        <v>0.17177629999999999</v>
      </c>
      <c r="X1053">
        <v>0.9839871</v>
      </c>
      <c r="Y1053">
        <v>8.5521650000000005E-2</v>
      </c>
      <c r="Z1053">
        <v>-5.962516E-4</v>
      </c>
      <c r="AA1053">
        <v>0.99633620000000001</v>
      </c>
      <c r="AB1053">
        <v>36</v>
      </c>
      <c r="AC1053">
        <v>125.5051</v>
      </c>
      <c r="AD1053">
        <v>-0.29626069999999999</v>
      </c>
      <c r="AE1053">
        <v>-10.6587</v>
      </c>
      <c r="AF1053">
        <v>10.7884161694403</v>
      </c>
      <c r="AG1053">
        <v>-0.29626069999999999</v>
      </c>
      <c r="AH1053">
        <v>125.49331674996399</v>
      </c>
      <c r="AI1053">
        <v>90.134764762912795</v>
      </c>
      <c r="AJ1053">
        <v>85.086474078632605</v>
      </c>
      <c r="AK1053">
        <v>125.956541087608</v>
      </c>
      <c r="AL1053">
        <v>80.108887309554802</v>
      </c>
      <c r="AM1053">
        <v>92.767418708841504</v>
      </c>
      <c r="AN1053">
        <v>1.0000000283353701</v>
      </c>
    </row>
    <row r="1054" spans="1:40" x14ac:dyDescent="0.25">
      <c r="A1054" t="str">
        <f>"20190304155613623"</f>
        <v>20190304155613623</v>
      </c>
      <c r="B1054" t="str">
        <f>"1551686173615867"</f>
        <v>1551686173615867</v>
      </c>
      <c r="C1054" t="s">
        <v>40</v>
      </c>
      <c r="D1054">
        <v>4.4490589999999903</v>
      </c>
      <c r="E1054">
        <v>0.54946740000000005</v>
      </c>
      <c r="F1054" t="s">
        <v>43</v>
      </c>
      <c r="G1054">
        <v>-158.19499999999999</v>
      </c>
      <c r="H1054">
        <v>0.820627199999999</v>
      </c>
      <c r="I1054">
        <v>356.39729999999997</v>
      </c>
      <c r="J1054">
        <v>-283.5052</v>
      </c>
      <c r="K1054">
        <v>1.059769</v>
      </c>
      <c r="L1054">
        <v>367.04349999999999</v>
      </c>
      <c r="M1054">
        <v>0.99992930000000002</v>
      </c>
      <c r="N1054">
        <v>-1.1855630000000001E-2</v>
      </c>
      <c r="O1054">
        <v>1.034019E-3</v>
      </c>
      <c r="P1054">
        <v>0.98578429999999995</v>
      </c>
      <c r="Q1054">
        <v>0.16080459999999999</v>
      </c>
      <c r="R1054">
        <v>4.8696719999999999E-2</v>
      </c>
      <c r="S1054">
        <v>3.05661</v>
      </c>
      <c r="T1054">
        <v>-5.8218239999999997E-3</v>
      </c>
      <c r="U1054">
        <v>-0.25927729999999999</v>
      </c>
      <c r="V1054">
        <v>-4.7670289999999997E-2</v>
      </c>
      <c r="W1054">
        <v>0.17248329999999901</v>
      </c>
      <c r="X1054">
        <v>0.98385820000000002</v>
      </c>
      <c r="Y1054">
        <v>8.5550769999999998E-2</v>
      </c>
      <c r="Z1054">
        <v>-5.7911449999999999E-4</v>
      </c>
      <c r="AA1054">
        <v>0.99633369999999999</v>
      </c>
      <c r="AB1054">
        <v>36</v>
      </c>
      <c r="AC1054">
        <v>125.31019999999999</v>
      </c>
      <c r="AD1054">
        <v>-0.23914179999999999</v>
      </c>
      <c r="AE1054">
        <v>-10.6462</v>
      </c>
      <c r="AF1054">
        <v>10.7757375638108</v>
      </c>
      <c r="AG1054">
        <v>-0.23914179999999999</v>
      </c>
      <c r="AH1054">
        <v>125.29867078885999</v>
      </c>
      <c r="AI1054">
        <v>90.108950947756895</v>
      </c>
      <c r="AJ1054">
        <v>85.084633565485802</v>
      </c>
      <c r="AK1054">
        <v>125.76140350003899</v>
      </c>
      <c r="AL1054">
        <v>80.067764649042303</v>
      </c>
      <c r="AM1054">
        <v>92.773948583883396</v>
      </c>
      <c r="AN1054">
        <v>0.99999995151740595</v>
      </c>
    </row>
    <row r="1055" spans="1:40" x14ac:dyDescent="0.25">
      <c r="A1055" t="str">
        <f>"20190304155613640"</f>
        <v>20190304155613640</v>
      </c>
      <c r="B1055" t="str">
        <f>"1551686173635387"</f>
        <v>1551686173635387</v>
      </c>
      <c r="C1055" t="s">
        <v>40</v>
      </c>
      <c r="D1055">
        <v>4.4775390000000002</v>
      </c>
      <c r="E1055">
        <v>0.54957369999999905</v>
      </c>
      <c r="F1055" t="s">
        <v>43</v>
      </c>
      <c r="G1055">
        <v>-158.19499999999999</v>
      </c>
      <c r="H1055">
        <v>0.86578180000000005</v>
      </c>
      <c r="I1055">
        <v>356.40100000000001</v>
      </c>
      <c r="J1055">
        <v>-283.25700000000001</v>
      </c>
      <c r="K1055">
        <v>1.0597780000000001</v>
      </c>
      <c r="L1055">
        <v>367.0437</v>
      </c>
      <c r="M1055">
        <v>0.99992840000000005</v>
      </c>
      <c r="N1055">
        <v>-1.19293E-2</v>
      </c>
      <c r="O1055">
        <v>1.0341149999999999E-3</v>
      </c>
      <c r="P1055">
        <v>0.98564989999999997</v>
      </c>
      <c r="Q1055">
        <v>0.16154789999999999</v>
      </c>
      <c r="R1055">
        <v>4.8959240000000001E-2</v>
      </c>
      <c r="S1055">
        <v>3.0568240000000002</v>
      </c>
      <c r="T1055">
        <v>-4.7299859999999899E-3</v>
      </c>
      <c r="U1055">
        <v>-0.25961299999999998</v>
      </c>
      <c r="V1055">
        <v>-4.793356E-2</v>
      </c>
      <c r="W1055">
        <v>0.1732967</v>
      </c>
      <c r="X1055">
        <v>0.98370250000000004</v>
      </c>
      <c r="Y1055">
        <v>8.5653850000000004E-2</v>
      </c>
      <c r="Z1055">
        <v>-5.6726610000000001E-4</v>
      </c>
      <c r="AA1055">
        <v>0.99632480000000001</v>
      </c>
      <c r="AB1055">
        <v>36</v>
      </c>
      <c r="AC1055">
        <v>125.062</v>
      </c>
      <c r="AD1055">
        <v>-0.19399619999999901</v>
      </c>
      <c r="AE1055">
        <v>-10.6426999999999</v>
      </c>
      <c r="AF1055">
        <v>10.7720062566375</v>
      </c>
      <c r="AG1055">
        <v>-0.19399619999999901</v>
      </c>
      <c r="AH1055">
        <v>125.050627826154</v>
      </c>
      <c r="AI1055">
        <v>90.088557283140503</v>
      </c>
      <c r="AJ1055">
        <v>85.076628662947599</v>
      </c>
      <c r="AK1055">
        <v>125.51387681461399</v>
      </c>
      <c r="AL1055">
        <v>80.020448111719503</v>
      </c>
      <c r="AM1055">
        <v>92.789685001431593</v>
      </c>
      <c r="AN1055">
        <v>0.99999999045570598</v>
      </c>
    </row>
    <row r="1056" spans="1:40" x14ac:dyDescent="0.25">
      <c r="A1056" t="str">
        <f>"20190304155613652"</f>
        <v>20190304155613652</v>
      </c>
      <c r="B1056" t="str">
        <f>"1551686173646124"</f>
        <v>1551686173646124</v>
      </c>
      <c r="C1056" t="s">
        <v>40</v>
      </c>
      <c r="D1056">
        <v>4.5013969999999999</v>
      </c>
      <c r="E1056">
        <v>0.54973269999999996</v>
      </c>
      <c r="F1056" t="s">
        <v>43</v>
      </c>
      <c r="G1056">
        <v>-158.19499999999999</v>
      </c>
      <c r="H1056">
        <v>0.92512700000000003</v>
      </c>
      <c r="I1056">
        <v>356.43329999999997</v>
      </c>
      <c r="J1056">
        <v>-283.04509999999999</v>
      </c>
      <c r="K1056">
        <v>1.059788</v>
      </c>
      <c r="L1056">
        <v>367.04399999999998</v>
      </c>
      <c r="M1056">
        <v>0.99992760000000003</v>
      </c>
      <c r="N1056">
        <v>-1.199361E-2</v>
      </c>
      <c r="O1056">
        <v>1.0340270000000001E-3</v>
      </c>
      <c r="P1056">
        <v>0.9856182</v>
      </c>
      <c r="Q1056">
        <v>0.1617297</v>
      </c>
      <c r="R1056">
        <v>4.8993519999999999E-2</v>
      </c>
      <c r="S1056">
        <v>3.0570979999999999</v>
      </c>
      <c r="T1056">
        <v>-3.2893419999999998E-3</v>
      </c>
      <c r="U1056">
        <v>-0.25936890000000001</v>
      </c>
      <c r="V1056">
        <v>-4.7967580000000003E-2</v>
      </c>
      <c r="W1056">
        <v>0.1735418</v>
      </c>
      <c r="X1056">
        <v>0.98365769999999997</v>
      </c>
      <c r="Y1056">
        <v>8.5567499999999894E-2</v>
      </c>
      <c r="Z1056">
        <v>-5.4875439999999996E-4</v>
      </c>
      <c r="AA1056">
        <v>0.9963322</v>
      </c>
      <c r="AB1056">
        <v>36</v>
      </c>
      <c r="AC1056">
        <v>124.8501</v>
      </c>
      <c r="AD1056">
        <v>-0.134660999999999</v>
      </c>
      <c r="AE1056">
        <v>-10.6107</v>
      </c>
      <c r="AF1056">
        <v>10.739789574951301</v>
      </c>
      <c r="AG1056">
        <v>-0.134660999999999</v>
      </c>
      <c r="AH1056">
        <v>124.838916517561</v>
      </c>
      <c r="AI1056">
        <v>90.061576232962096</v>
      </c>
      <c r="AJ1056">
        <v>85.082997521219298</v>
      </c>
      <c r="AK1056">
        <v>125.300104912078</v>
      </c>
      <c r="AL1056">
        <v>80.006189542311105</v>
      </c>
      <c r="AM1056">
        <v>92.791788743391905</v>
      </c>
      <c r="AN1056">
        <v>1.00000005792379</v>
      </c>
    </row>
    <row r="1057" spans="1:40" x14ac:dyDescent="0.25">
      <c r="A1057" t="str">
        <f>"20190304155613665"</f>
        <v>20190304155613665</v>
      </c>
      <c r="B1057" t="str">
        <f>"1551686173655883"</f>
        <v>1551686173655883</v>
      </c>
      <c r="C1057" t="s">
        <v>40</v>
      </c>
      <c r="D1057">
        <v>4.5034749999999999</v>
      </c>
      <c r="E1057">
        <v>0.54974100000000004</v>
      </c>
      <c r="F1057" t="s">
        <v>43</v>
      </c>
      <c r="G1057">
        <v>-158.19499999999999</v>
      </c>
      <c r="H1057">
        <v>0.91057679999999996</v>
      </c>
      <c r="I1057">
        <v>356.39249999999998</v>
      </c>
      <c r="J1057">
        <v>-282.82490000000001</v>
      </c>
      <c r="K1057">
        <v>1.0597970000000001</v>
      </c>
      <c r="L1057">
        <v>367.04419999999999</v>
      </c>
      <c r="M1057">
        <v>0.99992669999999995</v>
      </c>
      <c r="N1057">
        <v>-1.206543E-2</v>
      </c>
      <c r="O1057">
        <v>1.034129E-3</v>
      </c>
      <c r="P1057">
        <v>0.98560300000000001</v>
      </c>
      <c r="Q1057">
        <v>0.16175349999999999</v>
      </c>
      <c r="R1057">
        <v>4.9219239999999997E-2</v>
      </c>
      <c r="S1057">
        <v>3.0573429999999999</v>
      </c>
      <c r="T1057">
        <v>-3.6517379999999999E-3</v>
      </c>
      <c r="U1057">
        <v>-0.2608337</v>
      </c>
      <c r="V1057">
        <v>-4.8192850000000002E-2</v>
      </c>
      <c r="W1057">
        <v>0.17363629999999999</v>
      </c>
      <c r="X1057">
        <v>0.98362989999999995</v>
      </c>
      <c r="Y1057">
        <v>8.6034769999999997E-2</v>
      </c>
      <c r="Z1057">
        <v>-5.600507E-4</v>
      </c>
      <c r="AA1057">
        <v>0.99629199999999996</v>
      </c>
      <c r="AB1057">
        <v>36</v>
      </c>
      <c r="AC1057">
        <v>124.62990000000001</v>
      </c>
      <c r="AD1057">
        <v>-0.149220199999999</v>
      </c>
      <c r="AE1057">
        <v>-10.6517</v>
      </c>
      <c r="AF1057">
        <v>10.780571734011099</v>
      </c>
      <c r="AG1057">
        <v>-0.149220199999999</v>
      </c>
      <c r="AH1057">
        <v>124.618639965082</v>
      </c>
      <c r="AI1057">
        <v>90.0683514950302</v>
      </c>
      <c r="AJ1057">
        <v>85.055737312446794</v>
      </c>
      <c r="AK1057">
        <v>125.084165346086</v>
      </c>
      <c r="AL1057">
        <v>80.000690510767797</v>
      </c>
      <c r="AM1057">
        <v>92.804958070583396</v>
      </c>
      <c r="AN1057">
        <v>0.999999947821409</v>
      </c>
    </row>
    <row r="1058" spans="1:40" x14ac:dyDescent="0.25">
      <c r="A1058" t="str">
        <f>"20190304155613678"</f>
        <v>20190304155613678</v>
      </c>
      <c r="B1058" t="str">
        <f>"1551686173675403"</f>
        <v>1551686173675403</v>
      </c>
      <c r="C1058" t="s">
        <v>40</v>
      </c>
      <c r="D1058">
        <v>4.5049460000000003</v>
      </c>
      <c r="E1058">
        <v>0.54993479999999995</v>
      </c>
      <c r="F1058" t="s">
        <v>43</v>
      </c>
      <c r="G1058">
        <v>-158.19499999999999</v>
      </c>
      <c r="H1058">
        <v>0.89736749999999899</v>
      </c>
      <c r="I1058">
        <v>356.42570000000001</v>
      </c>
      <c r="J1058">
        <v>-282.63119999999998</v>
      </c>
      <c r="K1058">
        <v>1.059815</v>
      </c>
      <c r="L1058">
        <v>367.0444</v>
      </c>
      <c r="M1058">
        <v>0.99992599999999998</v>
      </c>
      <c r="N1058">
        <v>-1.21317E-2</v>
      </c>
      <c r="O1058">
        <v>1.0340239999999999E-3</v>
      </c>
      <c r="P1058">
        <v>0.98554010000000003</v>
      </c>
      <c r="Q1058">
        <v>0.16207969999999999</v>
      </c>
      <c r="R1058">
        <v>4.940667E-2</v>
      </c>
      <c r="S1058">
        <v>3.0574650000000001</v>
      </c>
      <c r="T1058">
        <v>-3.982663E-3</v>
      </c>
      <c r="U1058">
        <v>-0.26049800000000001</v>
      </c>
      <c r="V1058">
        <v>-4.8380819999999998E-2</v>
      </c>
      <c r="W1058">
        <v>0.1740264</v>
      </c>
      <c r="X1058">
        <v>0.98355179999999998</v>
      </c>
      <c r="Y1058">
        <v>8.5922600000000002E-2</v>
      </c>
      <c r="Z1058">
        <v>-5.6684019999999995E-4</v>
      </c>
      <c r="AA1058">
        <v>0.99630169999999996</v>
      </c>
      <c r="AB1058">
        <v>36</v>
      </c>
      <c r="AC1058">
        <v>124.4362</v>
      </c>
      <c r="AD1058">
        <v>-0.16244749999999999</v>
      </c>
      <c r="AE1058">
        <v>-10.618699999999899</v>
      </c>
      <c r="AF1058">
        <v>10.7473556093925</v>
      </c>
      <c r="AG1058">
        <v>-0.16244749999999999</v>
      </c>
      <c r="AH1058">
        <v>124.42494215103601</v>
      </c>
      <c r="AI1058">
        <v>90.074527041735394</v>
      </c>
      <c r="AJ1058">
        <v>85.063260498560098</v>
      </c>
      <c r="AK1058">
        <v>124.88834321534399</v>
      </c>
      <c r="AL1058">
        <v>79.977994584675201</v>
      </c>
      <c r="AM1058">
        <v>92.816104112116307</v>
      </c>
      <c r="AN1058">
        <v>1.00000001746203</v>
      </c>
    </row>
    <row r="1059" spans="1:40" x14ac:dyDescent="0.25">
      <c r="A1059" t="str">
        <f>"20190304155613694"</f>
        <v>20190304155613694</v>
      </c>
      <c r="B1059" t="str">
        <f>"1551686173686140"</f>
        <v>1551686173686140</v>
      </c>
      <c r="C1059" t="s">
        <v>40</v>
      </c>
      <c r="D1059">
        <v>4.1822629999999998</v>
      </c>
      <c r="E1059">
        <v>0.55124050000000002</v>
      </c>
      <c r="F1059" t="s">
        <v>43</v>
      </c>
      <c r="G1059">
        <v>-158.19499999999999</v>
      </c>
      <c r="H1059">
        <v>0.94320389999999998</v>
      </c>
      <c r="I1059">
        <v>356.40309999999999</v>
      </c>
      <c r="J1059">
        <v>-282.37169999999998</v>
      </c>
      <c r="K1059">
        <v>1.059828</v>
      </c>
      <c r="L1059">
        <v>367.0446</v>
      </c>
      <c r="M1059">
        <v>0.99992479999999995</v>
      </c>
      <c r="N1059">
        <v>-1.2224769999999999E-2</v>
      </c>
      <c r="O1059">
        <v>1.0341689999999999E-3</v>
      </c>
      <c r="P1059">
        <v>0.9854271</v>
      </c>
      <c r="Q1059">
        <v>0.16260459999999999</v>
      </c>
      <c r="R1059">
        <v>4.993293E-2</v>
      </c>
      <c r="S1059">
        <v>3.0575869999999998</v>
      </c>
      <c r="T1059">
        <v>-2.863169E-3</v>
      </c>
      <c r="U1059">
        <v>-0.2614746</v>
      </c>
      <c r="V1059">
        <v>-4.8907249999999999E-2</v>
      </c>
      <c r="W1059">
        <v>0.17464160000000001</v>
      </c>
      <c r="X1059">
        <v>0.98341670000000003</v>
      </c>
      <c r="Y1059">
        <v>8.6235519999999996E-2</v>
      </c>
      <c r="Z1059">
        <v>-5.5673579999999999E-4</v>
      </c>
      <c r="AA1059">
        <v>0.99627469999999996</v>
      </c>
      <c r="AB1059">
        <v>36</v>
      </c>
      <c r="AC1059">
        <v>124.176699999999</v>
      </c>
      <c r="AD1059">
        <v>-0.116624099999999</v>
      </c>
      <c r="AE1059">
        <v>-10.641500000000001</v>
      </c>
      <c r="AF1059">
        <v>10.7699141610219</v>
      </c>
      <c r="AG1059">
        <v>-0.116624099999999</v>
      </c>
      <c r="AH1059">
        <v>124.165518932506</v>
      </c>
      <c r="AI1059">
        <v>90.053614492713507</v>
      </c>
      <c r="AJ1059">
        <v>85.042665133891205</v>
      </c>
      <c r="AK1059">
        <v>124.631780633974</v>
      </c>
      <c r="AL1059">
        <v>79.942197944325102</v>
      </c>
      <c r="AM1059">
        <v>92.847086340988199</v>
      </c>
      <c r="AN1059">
        <v>1.000000006696</v>
      </c>
    </row>
    <row r="1060" spans="1:40" x14ac:dyDescent="0.25">
      <c r="A1060" t="str">
        <f>"20190304155613705"</f>
        <v>20190304155613705</v>
      </c>
      <c r="B1060" t="str">
        <f>"1551686173695898"</f>
        <v>1551686173695898</v>
      </c>
      <c r="C1060" t="s">
        <v>40</v>
      </c>
      <c r="D1060">
        <v>4.4600600000000004</v>
      </c>
      <c r="E1060">
        <v>0.55124050000000002</v>
      </c>
      <c r="F1060" t="s">
        <v>43</v>
      </c>
      <c r="G1060">
        <v>-158.19499999999999</v>
      </c>
      <c r="H1060">
        <v>1.0778730000000001</v>
      </c>
      <c r="I1060">
        <v>356.0727</v>
      </c>
      <c r="J1060">
        <v>-282.17149999999998</v>
      </c>
      <c r="K1060">
        <v>1.0598399999999999</v>
      </c>
      <c r="L1060">
        <v>367.04489999999998</v>
      </c>
      <c r="M1060">
        <v>0.99992380000000003</v>
      </c>
      <c r="N1060">
        <v>-1.230156E-2</v>
      </c>
      <c r="O1060">
        <v>1.034351E-3</v>
      </c>
      <c r="P1060">
        <v>0.98540099999999997</v>
      </c>
      <c r="Q1060">
        <v>0.16279460000000001</v>
      </c>
      <c r="R1060">
        <v>4.9829239999999997E-2</v>
      </c>
      <c r="S1060">
        <v>3.0580440000000002</v>
      </c>
      <c r="T1060">
        <v>4.46558E-4</v>
      </c>
      <c r="U1060">
        <v>-0.27020260000000001</v>
      </c>
      <c r="V1060">
        <v>-4.8803149999999997E-2</v>
      </c>
      <c r="W1060">
        <v>0.1749068</v>
      </c>
      <c r="X1060">
        <v>0.98337470000000005</v>
      </c>
      <c r="Y1060">
        <v>8.9045449999999998E-2</v>
      </c>
      <c r="Z1060">
        <v>-5.2944500000000002E-4</v>
      </c>
      <c r="AA1060">
        <v>0.99602740000000001</v>
      </c>
      <c r="AB1060">
        <v>36</v>
      </c>
      <c r="AC1060">
        <v>123.9765</v>
      </c>
      <c r="AD1060">
        <v>1.80329999999999E-2</v>
      </c>
      <c r="AE1060">
        <v>-10.9721999999999</v>
      </c>
      <c r="AF1060">
        <v>11.100438817007801</v>
      </c>
      <c r="AG1060">
        <v>1.80329999999999E-2</v>
      </c>
      <c r="AH1060">
        <v>123.96508110262999</v>
      </c>
      <c r="AI1060">
        <v>89.991698491099399</v>
      </c>
      <c r="AJ1060">
        <v>84.8831031926604</v>
      </c>
      <c r="AK1060">
        <v>124.461083877254</v>
      </c>
      <c r="AL1060">
        <v>79.926765186890606</v>
      </c>
      <c r="AM1060">
        <v>92.841157345301497</v>
      </c>
      <c r="AN1060">
        <v>0.99999996836812499</v>
      </c>
    </row>
    <row r="1061" spans="1:40" x14ac:dyDescent="0.25">
      <c r="A1061" t="str">
        <f>"20190304155613717"</f>
        <v>20190304155613717</v>
      </c>
      <c r="B1061" t="str">
        <f>"1551686173705659"</f>
        <v>1551686173705659</v>
      </c>
      <c r="C1061" t="s">
        <v>40</v>
      </c>
      <c r="D1061">
        <v>4.7779069999999999</v>
      </c>
      <c r="E1061">
        <v>0.60200169999999997</v>
      </c>
      <c r="F1061" t="s">
        <v>43</v>
      </c>
      <c r="G1061">
        <v>-158.19499999999999</v>
      </c>
      <c r="H1061">
        <v>1.1010359999999999</v>
      </c>
      <c r="I1061">
        <v>356.0838</v>
      </c>
      <c r="J1061">
        <v>-281.99639999999999</v>
      </c>
      <c r="K1061">
        <v>1.05985</v>
      </c>
      <c r="L1061">
        <v>367.04500000000002</v>
      </c>
      <c r="M1061">
        <v>0.99992309999999995</v>
      </c>
      <c r="N1061">
        <v>-1.2371460000000001E-2</v>
      </c>
      <c r="O1061">
        <v>1.034276E-3</v>
      </c>
      <c r="P1061">
        <v>0.98537200000000003</v>
      </c>
      <c r="Q1061">
        <v>0.1629649</v>
      </c>
      <c r="R1061">
        <v>4.9848589999999998E-2</v>
      </c>
      <c r="S1061">
        <v>3.0578919999999998</v>
      </c>
      <c r="T1061">
        <v>1.018286E-3</v>
      </c>
      <c r="U1061">
        <v>-0.27035520000000002</v>
      </c>
      <c r="V1061">
        <v>-4.8822619999999997E-2</v>
      </c>
      <c r="W1061">
        <v>0.17514579999999999</v>
      </c>
      <c r="X1061">
        <v>0.98333119999999996</v>
      </c>
      <c r="Y1061">
        <v>8.9099129999999999E-2</v>
      </c>
      <c r="Z1061">
        <v>-5.2431549999999998E-4</v>
      </c>
      <c r="AA1061">
        <v>0.99602259999999998</v>
      </c>
      <c r="AB1061">
        <v>36</v>
      </c>
      <c r="AC1061">
        <v>123.8014</v>
      </c>
      <c r="AD1061">
        <v>4.1186000000000098E-2</v>
      </c>
      <c r="AE1061">
        <v>-10.9612</v>
      </c>
      <c r="AF1061">
        <v>11.089247514293399</v>
      </c>
      <c r="AG1061">
        <v>4.1186000000000098E-2</v>
      </c>
      <c r="AH1061">
        <v>123.78998240727699</v>
      </c>
      <c r="AI1061">
        <v>89.981013228396293</v>
      </c>
      <c r="AJ1061">
        <v>84.881042517705694</v>
      </c>
      <c r="AK1061">
        <v>124.285690451934</v>
      </c>
      <c r="AL1061">
        <v>79.912856861225805</v>
      </c>
      <c r="AM1061">
        <v>92.842414495000298</v>
      </c>
      <c r="AN1061">
        <v>0.99999997418737097</v>
      </c>
    </row>
    <row r="1062" spans="1:40" x14ac:dyDescent="0.25">
      <c r="A1062" t="str">
        <f>"20190304155613728"</f>
        <v>20190304155613728</v>
      </c>
      <c r="B1062" t="str">
        <f>"1551686173726154"</f>
        <v>1551686173726154</v>
      </c>
      <c r="C1062" t="s">
        <v>40</v>
      </c>
      <c r="D1062">
        <v>4.7158639999999998</v>
      </c>
      <c r="E1062">
        <v>0.60453000000000001</v>
      </c>
      <c r="F1062" t="s">
        <v>41</v>
      </c>
      <c r="G1062">
        <v>-241.3355</v>
      </c>
      <c r="H1062">
        <v>7.9986130000000003E-2</v>
      </c>
      <c r="I1062">
        <v>358.14280000000002</v>
      </c>
      <c r="J1062">
        <v>-281.81290000000001</v>
      </c>
      <c r="K1062">
        <v>1.0598620000000001</v>
      </c>
      <c r="L1062">
        <v>367.04520000000002</v>
      </c>
      <c r="M1062">
        <v>0.99992210000000004</v>
      </c>
      <c r="N1062">
        <v>-1.244608E-2</v>
      </c>
      <c r="O1062">
        <v>1.0344659999999999E-3</v>
      </c>
      <c r="P1062">
        <v>0.98536250000000003</v>
      </c>
      <c r="Q1062">
        <v>0.16300729999999999</v>
      </c>
      <c r="R1062">
        <v>4.9896610000000001E-2</v>
      </c>
      <c r="S1062">
        <v>3.0910950000000001</v>
      </c>
      <c r="T1062">
        <v>-7.4490550000000003E-2</v>
      </c>
      <c r="U1062">
        <v>-0.67675779999999996</v>
      </c>
      <c r="V1062">
        <v>-4.8870370000000003E-2</v>
      </c>
      <c r="W1062">
        <v>0.17526079999999999</v>
      </c>
      <c r="X1062">
        <v>0.98330839999999997</v>
      </c>
      <c r="Y1062">
        <v>0.21479090000000001</v>
      </c>
      <c r="Z1062">
        <v>-3.9219579999999997E-3</v>
      </c>
      <c r="AA1062">
        <v>0.97665219999999997</v>
      </c>
      <c r="AB1062">
        <v>36</v>
      </c>
      <c r="AC1062">
        <v>40.477400000000003</v>
      </c>
      <c r="AD1062">
        <v>-0.97987586999999998</v>
      </c>
      <c r="AE1062">
        <v>-8.9024000000000001</v>
      </c>
      <c r="AF1062">
        <v>8.9392740315089299</v>
      </c>
      <c r="AG1062">
        <v>-0.97987586999999998</v>
      </c>
      <c r="AH1062">
        <v>40.445559852900999</v>
      </c>
      <c r="AI1062">
        <v>91.355143235392802</v>
      </c>
      <c r="AJ1062">
        <v>77.536854590994693</v>
      </c>
      <c r="AK1062">
        <v>41.433248590300202</v>
      </c>
      <c r="AL1062">
        <v>79.906164951429304</v>
      </c>
      <c r="AM1062">
        <v>92.845255759878597</v>
      </c>
      <c r="AN1062">
        <v>1.00000003529556</v>
      </c>
    </row>
    <row r="1063" spans="1:40" x14ac:dyDescent="0.25">
      <c r="A1063" t="str">
        <f>"20190304155613739"</f>
        <v>20190304155613739</v>
      </c>
      <c r="B1063" t="str">
        <f>"1551686173735915"</f>
        <v>1551686173735915</v>
      </c>
      <c r="C1063" t="s">
        <v>40</v>
      </c>
      <c r="D1063">
        <v>4.7267729999999997</v>
      </c>
      <c r="E1063">
        <v>0.60555519999999996</v>
      </c>
      <c r="F1063" t="s">
        <v>41</v>
      </c>
      <c r="G1063">
        <v>-237.9529</v>
      </c>
      <c r="H1063">
        <v>7.9986070000000006E-2</v>
      </c>
      <c r="I1063">
        <v>357.1619</v>
      </c>
      <c r="J1063">
        <v>-281.63330000000002</v>
      </c>
      <c r="K1063">
        <v>1.0598749999999999</v>
      </c>
      <c r="L1063">
        <v>367.04539999999997</v>
      </c>
      <c r="M1063">
        <v>0.99992110000000001</v>
      </c>
      <c r="N1063">
        <v>-1.252603E-2</v>
      </c>
      <c r="O1063">
        <v>1.0344410000000001E-3</v>
      </c>
      <c r="P1063">
        <v>0.98537719999999995</v>
      </c>
      <c r="Q1063">
        <v>0.16293189999999999</v>
      </c>
      <c r="R1063">
        <v>4.9850999999999999E-2</v>
      </c>
      <c r="S1063">
        <v>3.0912169999999999</v>
      </c>
      <c r="T1063">
        <v>-6.9060679999999999E-2</v>
      </c>
      <c r="U1063">
        <v>-0.69656370000000001</v>
      </c>
      <c r="V1063">
        <v>-4.8824850000000003E-2</v>
      </c>
      <c r="W1063">
        <v>0.17526449999999999</v>
      </c>
      <c r="X1063">
        <v>0.98331000000000002</v>
      </c>
      <c r="Y1063">
        <v>0.22075049999999999</v>
      </c>
      <c r="Z1063">
        <v>-3.8450849999999998E-3</v>
      </c>
      <c r="AA1063">
        <v>0.97532269999999999</v>
      </c>
      <c r="AB1063">
        <v>36</v>
      </c>
      <c r="AC1063">
        <v>43.680399999999999</v>
      </c>
      <c r="AD1063">
        <v>-0.97988892999999999</v>
      </c>
      <c r="AE1063">
        <v>-9.8834999999999695</v>
      </c>
      <c r="AF1063">
        <v>9.9239321042961102</v>
      </c>
      <c r="AG1063">
        <v>-0.97988892999999999</v>
      </c>
      <c r="AH1063">
        <v>43.649255451968202</v>
      </c>
      <c r="AI1063">
        <v>91.254033777904993</v>
      </c>
      <c r="AJ1063">
        <v>77.191182226484898</v>
      </c>
      <c r="AK1063">
        <v>44.773899899796398</v>
      </c>
      <c r="AL1063">
        <v>79.905949606033701</v>
      </c>
      <c r="AM1063">
        <v>92.842605295183205</v>
      </c>
      <c r="AN1063">
        <v>1.0000000335188799</v>
      </c>
    </row>
    <row r="1064" spans="1:40" x14ac:dyDescent="0.25">
      <c r="A1064" t="str">
        <f>"20190304155613753"</f>
        <v>20190304155613753</v>
      </c>
      <c r="B1064" t="str">
        <f>"1551686173745675"</f>
        <v>1551686173745675</v>
      </c>
      <c r="C1064" t="s">
        <v>40</v>
      </c>
      <c r="D1064">
        <v>4.7510810000000001</v>
      </c>
      <c r="E1064">
        <v>0.60688120000000001</v>
      </c>
      <c r="F1064" t="s">
        <v>41</v>
      </c>
      <c r="G1064">
        <v>-237.44300000000001</v>
      </c>
      <c r="H1064">
        <v>7.998624E-2</v>
      </c>
      <c r="I1064">
        <v>356.9674</v>
      </c>
      <c r="J1064">
        <v>-281.42430000000002</v>
      </c>
      <c r="K1064">
        <v>1.0598890000000001</v>
      </c>
      <c r="L1064">
        <v>367.04570000000001</v>
      </c>
      <c r="M1064">
        <v>0.99991980000000003</v>
      </c>
      <c r="N1064">
        <v>-1.2623199999999999E-2</v>
      </c>
      <c r="O1064">
        <v>1.034543E-3</v>
      </c>
      <c r="P1064">
        <v>0.98534270000000002</v>
      </c>
      <c r="Q1064">
        <v>0.16316829999999999</v>
      </c>
      <c r="R1064">
        <v>4.97586E-2</v>
      </c>
      <c r="S1064">
        <v>3.0915219999999999</v>
      </c>
      <c r="T1064">
        <v>-6.8552260000000004E-2</v>
      </c>
      <c r="U1064">
        <v>-0.7050476</v>
      </c>
      <c r="V1064">
        <v>-4.8732379999999999E-2</v>
      </c>
      <c r="W1064">
        <v>0.175596</v>
      </c>
      <c r="X1064">
        <v>0.9832554</v>
      </c>
      <c r="Y1064">
        <v>0.22327469999999999</v>
      </c>
      <c r="Z1064">
        <v>-3.8809690000000002E-3</v>
      </c>
      <c r="AA1064">
        <v>0.97474780000000005</v>
      </c>
      <c r="AB1064">
        <v>36</v>
      </c>
      <c r="AC1064">
        <v>43.981299999999997</v>
      </c>
      <c r="AD1064">
        <v>-0.97990275999999998</v>
      </c>
      <c r="AE1064">
        <v>-10.0783</v>
      </c>
      <c r="AF1064">
        <v>10.1190263146219</v>
      </c>
      <c r="AG1064">
        <v>-0.97990275999999998</v>
      </c>
      <c r="AH1064">
        <v>43.9501208864109</v>
      </c>
      <c r="AI1064">
        <v>91.244689362578001</v>
      </c>
      <c r="AJ1064">
        <v>77.034237369040895</v>
      </c>
      <c r="AK1064">
        <v>45.110619912668</v>
      </c>
      <c r="AL1064">
        <v>79.886656425109294</v>
      </c>
      <c r="AM1064">
        <v>92.837387747525895</v>
      </c>
      <c r="AN1064">
        <v>0.99999999085281199</v>
      </c>
    </row>
    <row r="1065" spans="1:40" x14ac:dyDescent="0.25">
      <c r="A1065" t="str">
        <f>"20190304155613766"</f>
        <v>20190304155613766</v>
      </c>
      <c r="B1065" t="str">
        <f>"1551686173755435"</f>
        <v>1551686173755435</v>
      </c>
      <c r="C1065" t="s">
        <v>40</v>
      </c>
      <c r="D1065">
        <v>4.7193860000000001</v>
      </c>
      <c r="E1065">
        <v>0.60761549999999998</v>
      </c>
      <c r="F1065" t="s">
        <v>41</v>
      </c>
      <c r="G1065">
        <v>-237.1705</v>
      </c>
      <c r="H1065">
        <v>7.998632E-2</v>
      </c>
      <c r="I1065">
        <v>356.79919999999998</v>
      </c>
      <c r="J1065">
        <v>-281.2133</v>
      </c>
      <c r="K1065">
        <v>1.059906</v>
      </c>
      <c r="L1065">
        <v>367.04590000000002</v>
      </c>
      <c r="M1065">
        <v>0.99991850000000004</v>
      </c>
      <c r="N1065">
        <v>-1.2732230000000001E-2</v>
      </c>
      <c r="O1065">
        <v>1.034683E-3</v>
      </c>
      <c r="P1065">
        <v>0.9853693</v>
      </c>
      <c r="Q1065">
        <v>0.163024799999999</v>
      </c>
      <c r="R1065">
        <v>4.9702259999999998E-2</v>
      </c>
      <c r="S1065">
        <v>3.092133</v>
      </c>
      <c r="T1065">
        <v>-6.8468329999999994E-2</v>
      </c>
      <c r="U1065">
        <v>-0.71594239999999998</v>
      </c>
      <c r="V1065">
        <v>-4.8675950000000003E-2</v>
      </c>
      <c r="W1065">
        <v>0.175560299999999</v>
      </c>
      <c r="X1065">
        <v>0.98326460000000004</v>
      </c>
      <c r="Y1065">
        <v>0.2264929</v>
      </c>
      <c r="Z1065">
        <v>-3.9452009999999997E-3</v>
      </c>
      <c r="AA1065">
        <v>0.9740048</v>
      </c>
      <c r="AB1065">
        <v>36</v>
      </c>
      <c r="AC1065">
        <v>44.0428</v>
      </c>
      <c r="AD1065">
        <v>-0.97991967999999996</v>
      </c>
      <c r="AE1065">
        <v>-10.246700000000001</v>
      </c>
      <c r="AF1065">
        <v>10.2874374500692</v>
      </c>
      <c r="AG1065">
        <v>-0.97991967999999996</v>
      </c>
      <c r="AH1065">
        <v>44.011505203257201</v>
      </c>
      <c r="AI1065">
        <v>91.242016832597699</v>
      </c>
      <c r="AJ1065">
        <v>76.843650127315499</v>
      </c>
      <c r="AK1065">
        <v>45.208452772956903</v>
      </c>
      <c r="AL1065">
        <v>79.888734462227006</v>
      </c>
      <c r="AM1065">
        <v>92.834081059979695</v>
      </c>
      <c r="AN1065">
        <v>1.00000002032882</v>
      </c>
    </row>
    <row r="1066" spans="1:40" x14ac:dyDescent="0.25">
      <c r="A1066" t="str">
        <f>"20190304155613780"</f>
        <v>20190304155613780</v>
      </c>
      <c r="B1066" t="str">
        <f>"1551686173775930"</f>
        <v>1551686173775930</v>
      </c>
      <c r="C1066" t="s">
        <v>40</v>
      </c>
      <c r="D1066">
        <v>4.7374470000000004</v>
      </c>
      <c r="E1066">
        <v>0.60829869999999997</v>
      </c>
      <c r="F1066" t="s">
        <v>41</v>
      </c>
      <c r="G1066">
        <v>-237.2543</v>
      </c>
      <c r="H1066">
        <v>7.9986299999999996E-2</v>
      </c>
      <c r="I1066">
        <v>356.7792</v>
      </c>
      <c r="J1066">
        <v>-280.99310000000003</v>
      </c>
      <c r="K1066">
        <v>1.0600430000000001</v>
      </c>
      <c r="L1066">
        <v>367.04610000000002</v>
      </c>
      <c r="M1066">
        <v>0.9999112</v>
      </c>
      <c r="N1066">
        <v>-1.3288670000000001E-2</v>
      </c>
      <c r="O1066">
        <v>1.034566E-3</v>
      </c>
      <c r="P1066">
        <v>0.98545499999999997</v>
      </c>
      <c r="Q1066">
        <v>0.16252749999999999</v>
      </c>
      <c r="R1066">
        <v>4.9633480000000001E-2</v>
      </c>
      <c r="S1066">
        <v>3.0924070000000001</v>
      </c>
      <c r="T1066">
        <v>-6.8934919999999997E-2</v>
      </c>
      <c r="U1066">
        <v>-0.72222900000000001</v>
      </c>
      <c r="V1066">
        <v>-4.8607060000000001E-2</v>
      </c>
      <c r="W1066">
        <v>0.1756115</v>
      </c>
      <c r="X1066">
        <v>0.98325879999999999</v>
      </c>
      <c r="Y1066">
        <v>0.22834889999999999</v>
      </c>
      <c r="Z1066">
        <v>-4.0579680000000003E-3</v>
      </c>
      <c r="AA1066">
        <v>0.97357090000000002</v>
      </c>
      <c r="AB1066">
        <v>36</v>
      </c>
      <c r="AC1066">
        <v>43.738799999999998</v>
      </c>
      <c r="AD1066">
        <v>-0.980056699999999</v>
      </c>
      <c r="AE1066">
        <v>-10.2669</v>
      </c>
      <c r="AF1066">
        <v>10.3072444118911</v>
      </c>
      <c r="AG1066">
        <v>-0.980056699999999</v>
      </c>
      <c r="AH1066">
        <v>43.707355464934402</v>
      </c>
      <c r="AI1066">
        <v>91.250253292698801</v>
      </c>
      <c r="AJ1066">
        <v>76.730714857184907</v>
      </c>
      <c r="AK1066">
        <v>44.916953594826602</v>
      </c>
      <c r="AL1066">
        <v>79.885753971535195</v>
      </c>
      <c r="AM1066">
        <v>92.830093239678305</v>
      </c>
      <c r="AN1066">
        <v>0.99999995649576501</v>
      </c>
    </row>
    <row r="1067" spans="1:40" x14ac:dyDescent="0.25">
      <c r="A1067" t="str">
        <f>"20190304155613795"</f>
        <v>20190304155613795</v>
      </c>
      <c r="B1067" t="str">
        <f>"1551686173785691"</f>
        <v>1551686173785691</v>
      </c>
      <c r="C1067" t="s">
        <v>40</v>
      </c>
      <c r="D1067">
        <v>4.737082</v>
      </c>
      <c r="E1067">
        <v>0.60883989999999999</v>
      </c>
      <c r="F1067" t="s">
        <v>41</v>
      </c>
      <c r="G1067">
        <v>-240.05250000000001</v>
      </c>
      <c r="H1067">
        <v>7.9986470000000004E-2</v>
      </c>
      <c r="I1067">
        <v>357.41289999999998</v>
      </c>
      <c r="J1067">
        <v>-280.75209999999998</v>
      </c>
      <c r="K1067">
        <v>1.060335</v>
      </c>
      <c r="L1067">
        <v>367.04629999999997</v>
      </c>
      <c r="M1067">
        <v>0.99989930000000005</v>
      </c>
      <c r="N1067">
        <v>-1.415917E-2</v>
      </c>
      <c r="O1067">
        <v>1.03447E-3</v>
      </c>
      <c r="P1067">
        <v>0.98561279999999996</v>
      </c>
      <c r="Q1067">
        <v>0.161732399999999</v>
      </c>
      <c r="R1067">
        <v>4.9097839999999997E-2</v>
      </c>
      <c r="S1067">
        <v>3.0931700000000002</v>
      </c>
      <c r="T1067">
        <v>-7.4045899999999998E-2</v>
      </c>
      <c r="U1067">
        <v>-0.72781370000000001</v>
      </c>
      <c r="V1067">
        <v>-4.8071530000000001E-2</v>
      </c>
      <c r="W1067">
        <v>0.17567439999999901</v>
      </c>
      <c r="X1067">
        <v>0.98327390000000003</v>
      </c>
      <c r="Y1067">
        <v>0.2299477</v>
      </c>
      <c r="Z1067">
        <v>-4.3751379999999998E-3</v>
      </c>
      <c r="AA1067">
        <v>0.97319319999999998</v>
      </c>
      <c r="AB1067">
        <v>36</v>
      </c>
      <c r="AC1067">
        <v>40.699599999999897</v>
      </c>
      <c r="AD1067">
        <v>-0.98034853</v>
      </c>
      <c r="AE1067">
        <v>-9.6333999999999893</v>
      </c>
      <c r="AF1067">
        <v>9.6701885552160292</v>
      </c>
      <c r="AG1067">
        <v>-0.98034853</v>
      </c>
      <c r="AH1067">
        <v>40.667268232689104</v>
      </c>
      <c r="AI1067">
        <v>91.343491466707505</v>
      </c>
      <c r="AJ1067">
        <v>76.624162218767793</v>
      </c>
      <c r="AK1067">
        <v>41.812681514621701</v>
      </c>
      <c r="AL1067">
        <v>79.882093238595999</v>
      </c>
      <c r="AM1067">
        <v>92.798919531333596</v>
      </c>
      <c r="AN1067">
        <v>0.99999996461655405</v>
      </c>
    </row>
    <row r="1068" spans="1:40" x14ac:dyDescent="0.25">
      <c r="A1068" t="str">
        <f>"20190304155613807"</f>
        <v>20190304155613807</v>
      </c>
      <c r="B1068" t="str">
        <f>"1551686173795451"</f>
        <v>1551686173795451</v>
      </c>
      <c r="C1068" t="s">
        <v>40</v>
      </c>
      <c r="D1068">
        <v>4.7624750000000002</v>
      </c>
      <c r="E1068">
        <v>0.6091183</v>
      </c>
      <c r="F1068" t="s">
        <v>41</v>
      </c>
      <c r="G1068">
        <v>-241.22370000000001</v>
      </c>
      <c r="H1068">
        <v>7.9986169999999995E-2</v>
      </c>
      <c r="I1068">
        <v>357.66829999999999</v>
      </c>
      <c r="J1068">
        <v>-280.54849999999999</v>
      </c>
      <c r="K1068">
        <v>1.0607359999999999</v>
      </c>
      <c r="L1068">
        <v>367.04660000000001</v>
      </c>
      <c r="M1068">
        <v>0.99988690000000002</v>
      </c>
      <c r="N1068">
        <v>-1.5004E-2</v>
      </c>
      <c r="O1068">
        <v>1.034187E-3</v>
      </c>
      <c r="P1068">
        <v>0.98573569999999999</v>
      </c>
      <c r="Q1068">
        <v>0.1610394</v>
      </c>
      <c r="R1068">
        <v>4.8903380000000003E-2</v>
      </c>
      <c r="S1068">
        <v>3.0929570000000002</v>
      </c>
      <c r="T1068">
        <v>-7.6708789999999999E-2</v>
      </c>
      <c r="U1068">
        <v>-0.73379519999999998</v>
      </c>
      <c r="V1068">
        <v>-4.787715E-2</v>
      </c>
      <c r="W1068">
        <v>0.17581429999999901</v>
      </c>
      <c r="X1068">
        <v>0.98325839999999998</v>
      </c>
      <c r="Y1068">
        <v>0.23173540000000001</v>
      </c>
      <c r="Z1068">
        <v>-4.6066759999999997E-3</v>
      </c>
      <c r="AA1068">
        <v>0.97276790000000002</v>
      </c>
      <c r="AB1068">
        <v>36</v>
      </c>
      <c r="AC1068">
        <v>39.324799999999897</v>
      </c>
      <c r="AD1068">
        <v>-0.98074983000000004</v>
      </c>
      <c r="AE1068">
        <v>-9.3783000000000207</v>
      </c>
      <c r="AF1068">
        <v>9.4134287816680509</v>
      </c>
      <c r="AG1068">
        <v>-0.98074983000000004</v>
      </c>
      <c r="AH1068">
        <v>39.291954913800602</v>
      </c>
      <c r="AI1068">
        <v>91.390506252136305</v>
      </c>
      <c r="AJ1068">
        <v>76.527212506867599</v>
      </c>
      <c r="AK1068">
        <v>40.415742385915898</v>
      </c>
      <c r="AL1068">
        <v>79.873951041380295</v>
      </c>
      <c r="AM1068">
        <v>92.7876637013226</v>
      </c>
      <c r="AN1068">
        <v>0.99999998537358603</v>
      </c>
    </row>
    <row r="1069" spans="1:40" x14ac:dyDescent="0.25">
      <c r="A1069" t="str">
        <f>"20190304155613820"</f>
        <v>20190304155613820</v>
      </c>
      <c r="B1069" t="str">
        <f>"1551686173815947"</f>
        <v>1551686173815947</v>
      </c>
      <c r="C1069" t="s">
        <v>40</v>
      </c>
      <c r="D1069">
        <v>4.756367</v>
      </c>
      <c r="E1069">
        <v>0.60988779999999998</v>
      </c>
      <c r="F1069" t="s">
        <v>41</v>
      </c>
      <c r="G1069">
        <v>-242.19829999999999</v>
      </c>
      <c r="H1069">
        <v>7.9985920000000002E-2</v>
      </c>
      <c r="I1069">
        <v>357.91250000000002</v>
      </c>
      <c r="J1069">
        <v>-280.3605</v>
      </c>
      <c r="K1069">
        <v>1.0611539999999999</v>
      </c>
      <c r="L1069">
        <v>367.04680000000002</v>
      </c>
      <c r="M1069">
        <v>0.99988270000000001</v>
      </c>
      <c r="N1069">
        <v>-1.5285089999999999E-2</v>
      </c>
      <c r="O1069">
        <v>1.0337160000000001E-3</v>
      </c>
      <c r="P1069">
        <v>0.98586830000000003</v>
      </c>
      <c r="Q1069">
        <v>0.16034770000000001</v>
      </c>
      <c r="R1069">
        <v>4.8501919999999997E-2</v>
      </c>
      <c r="S1069">
        <v>3.0928339999999999</v>
      </c>
      <c r="T1069">
        <v>-7.9094529999999996E-2</v>
      </c>
      <c r="U1069">
        <v>-0.73663330000000005</v>
      </c>
      <c r="V1069">
        <v>-4.7475610000000001E-2</v>
      </c>
      <c r="W1069">
        <v>0.17540120000000001</v>
      </c>
      <c r="X1069">
        <v>0.98335159999999999</v>
      </c>
      <c r="Y1069">
        <v>0.2325816</v>
      </c>
      <c r="Z1069">
        <v>-4.7455529999999996E-3</v>
      </c>
      <c r="AA1069">
        <v>0.97256529999999997</v>
      </c>
      <c r="AB1069">
        <v>36</v>
      </c>
      <c r="AC1069">
        <v>38.162199999999999</v>
      </c>
      <c r="AD1069">
        <v>-0.98116808</v>
      </c>
      <c r="AE1069">
        <v>-9.1342999999999908</v>
      </c>
      <c r="AF1069">
        <v>9.1680166702316601</v>
      </c>
      <c r="AG1069">
        <v>-0.98116808</v>
      </c>
      <c r="AH1069">
        <v>38.128897678905297</v>
      </c>
      <c r="AI1069">
        <v>91.433231312953495</v>
      </c>
      <c r="AJ1069">
        <v>76.479999398051206</v>
      </c>
      <c r="AK1069">
        <v>39.2278989836989</v>
      </c>
      <c r="AL1069">
        <v>79.897993099580901</v>
      </c>
      <c r="AM1069">
        <v>92.764058722334894</v>
      </c>
      <c r="AN1069">
        <v>0.99999994186443397</v>
      </c>
    </row>
    <row r="1070" spans="1:40" x14ac:dyDescent="0.25">
      <c r="A1070" t="str">
        <f>"20190304155613839"</f>
        <v>20190304155613839</v>
      </c>
      <c r="B1070" t="str">
        <f>"1551686173835466"</f>
        <v>1551686173835466</v>
      </c>
      <c r="C1070" t="s">
        <v>40</v>
      </c>
      <c r="D1070">
        <v>4.7962989999999897</v>
      </c>
      <c r="E1070">
        <v>0.61012690000000003</v>
      </c>
      <c r="F1070" t="s">
        <v>41</v>
      </c>
      <c r="G1070">
        <v>-243.8501</v>
      </c>
      <c r="H1070">
        <v>7.9985490000000006E-2</v>
      </c>
      <c r="I1070">
        <v>358.26889999999997</v>
      </c>
      <c r="J1070">
        <v>-280.05869999999999</v>
      </c>
      <c r="K1070">
        <v>1.061804</v>
      </c>
      <c r="L1070">
        <v>367.0471</v>
      </c>
      <c r="M1070">
        <v>0.99988960000000005</v>
      </c>
      <c r="N1070">
        <v>-1.482316E-2</v>
      </c>
      <c r="O1070">
        <v>1.0336810000000001E-3</v>
      </c>
      <c r="P1070">
        <v>0.98582289999999995</v>
      </c>
      <c r="Q1070">
        <v>0.160859</v>
      </c>
      <c r="R1070">
        <v>4.7726369999999997E-2</v>
      </c>
      <c r="S1070">
        <v>3.0931090000000001</v>
      </c>
      <c r="T1070">
        <v>-8.3123210000000003E-2</v>
      </c>
      <c r="U1070">
        <v>-0.74365230000000004</v>
      </c>
      <c r="V1070">
        <v>-4.6700029999999997E-2</v>
      </c>
      <c r="W1070">
        <v>0.175457</v>
      </c>
      <c r="X1070">
        <v>0.9833788</v>
      </c>
      <c r="Y1070">
        <v>0.2346396</v>
      </c>
      <c r="Z1070">
        <v>-4.8843109999999997E-3</v>
      </c>
      <c r="AA1070">
        <v>0.9720702</v>
      </c>
      <c r="AB1070">
        <v>35</v>
      </c>
      <c r="AC1070">
        <v>36.208599999999898</v>
      </c>
      <c r="AD1070">
        <v>-0.98181850999999998</v>
      </c>
      <c r="AE1070">
        <v>-8.7782000000000195</v>
      </c>
      <c r="AF1070">
        <v>8.8095098756726795</v>
      </c>
      <c r="AG1070">
        <v>-0.98181850999999998</v>
      </c>
      <c r="AH1070">
        <v>36.174384807156699</v>
      </c>
      <c r="AI1070">
        <v>91.510571429217904</v>
      </c>
      <c r="AJ1070">
        <v>76.313238650885395</v>
      </c>
      <c r="AK1070">
        <v>37.244564006206303</v>
      </c>
      <c r="AL1070">
        <v>79.894745797867301</v>
      </c>
      <c r="AM1070">
        <v>92.7188972149915</v>
      </c>
      <c r="AN1070">
        <v>0.99999995797021901</v>
      </c>
    </row>
    <row r="1071" spans="1:40" x14ac:dyDescent="0.25">
      <c r="A1071" t="str">
        <f>"20190304155613850"</f>
        <v>20190304155613850</v>
      </c>
      <c r="B1071" t="str">
        <f>"1551686173845227"</f>
        <v>1551686173845227</v>
      </c>
      <c r="C1071" t="s">
        <v>40</v>
      </c>
      <c r="D1071">
        <v>4.8208929999999999</v>
      </c>
      <c r="E1071">
        <v>0.61053840000000004</v>
      </c>
      <c r="F1071" t="s">
        <v>41</v>
      </c>
      <c r="G1071">
        <v>-243.3717</v>
      </c>
      <c r="H1071">
        <v>7.9985609999999999E-2</v>
      </c>
      <c r="I1071">
        <v>358.17250000000001</v>
      </c>
      <c r="J1071">
        <v>-279.88440000000003</v>
      </c>
      <c r="K1071">
        <v>1.0621529999999999</v>
      </c>
      <c r="L1071">
        <v>367.04730000000001</v>
      </c>
      <c r="M1071">
        <v>0.99990040000000002</v>
      </c>
      <c r="N1071">
        <v>-1.408072E-2</v>
      </c>
      <c r="O1071">
        <v>1.0338159999999999E-3</v>
      </c>
      <c r="P1071">
        <v>0.98569419999999996</v>
      </c>
      <c r="Q1071">
        <v>0.16178619999999999</v>
      </c>
      <c r="R1071">
        <v>4.7248760000000001E-2</v>
      </c>
      <c r="S1071">
        <v>3.0928960000000001</v>
      </c>
      <c r="T1071">
        <v>-8.2772139999999994E-2</v>
      </c>
      <c r="U1071">
        <v>-0.74816890000000003</v>
      </c>
      <c r="V1071">
        <v>-4.6222449999999998E-2</v>
      </c>
      <c r="W1071">
        <v>0.17565229999999901</v>
      </c>
      <c r="X1071">
        <v>0.98336650000000003</v>
      </c>
      <c r="Y1071">
        <v>0.23599870000000001</v>
      </c>
      <c r="Z1071">
        <v>-4.8110549999999998E-3</v>
      </c>
      <c r="AA1071">
        <v>0.97174139999999998</v>
      </c>
      <c r="AB1071">
        <v>35</v>
      </c>
      <c r="AC1071">
        <v>36.512700000000002</v>
      </c>
      <c r="AD1071">
        <v>-0.98216738999999997</v>
      </c>
      <c r="AE1071">
        <v>-8.8747999999999898</v>
      </c>
      <c r="AF1071">
        <v>8.9064614154990203</v>
      </c>
      <c r="AG1071">
        <v>-0.98216738999999997</v>
      </c>
      <c r="AH1071">
        <v>36.478582088747203</v>
      </c>
      <c r="AI1071">
        <v>91.498296368302206</v>
      </c>
      <c r="AJ1071">
        <v>76.279332394350902</v>
      </c>
      <c r="AK1071">
        <v>37.562969250755799</v>
      </c>
      <c r="AL1071">
        <v>79.883379422146106</v>
      </c>
      <c r="AM1071">
        <v>92.691166985455297</v>
      </c>
      <c r="AN1071">
        <v>0.99999995935077002</v>
      </c>
    </row>
    <row r="1072" spans="1:40" x14ac:dyDescent="0.25">
      <c r="A1072" t="str">
        <f>"20190304155613861"</f>
        <v>20190304155613861</v>
      </c>
      <c r="B1072" t="str">
        <f>"1551686173855963"</f>
        <v>1551686173855963</v>
      </c>
      <c r="C1072" t="s">
        <v>40</v>
      </c>
      <c r="D1072">
        <v>4.8457410000000003</v>
      </c>
      <c r="E1072">
        <v>0.61086669999999998</v>
      </c>
      <c r="F1072" t="s">
        <v>41</v>
      </c>
      <c r="G1072">
        <v>-241.97890000000001</v>
      </c>
      <c r="H1072">
        <v>7.9985979999999998E-2</v>
      </c>
      <c r="I1072">
        <v>357.81509999999997</v>
      </c>
      <c r="J1072">
        <v>-279.6968</v>
      </c>
      <c r="K1072">
        <v>1.062649</v>
      </c>
      <c r="L1072">
        <v>367.04750000000001</v>
      </c>
      <c r="M1072">
        <v>0.99991540000000001</v>
      </c>
      <c r="N1072">
        <v>-1.297511E-2</v>
      </c>
      <c r="O1072">
        <v>1.0342890000000001E-3</v>
      </c>
      <c r="P1072">
        <v>0.98547560000000001</v>
      </c>
      <c r="Q1072">
        <v>0.16323119999999999</v>
      </c>
      <c r="R1072">
        <v>4.6837490000000002E-2</v>
      </c>
      <c r="S1072">
        <v>3.0927730000000002</v>
      </c>
      <c r="T1072">
        <v>-8.0136540000000006E-2</v>
      </c>
      <c r="U1072">
        <v>-0.75326539999999997</v>
      </c>
      <c r="V1072">
        <v>-4.5811079999999997E-2</v>
      </c>
      <c r="W1072">
        <v>0.17600669999999999</v>
      </c>
      <c r="X1072">
        <v>0.98332240000000004</v>
      </c>
      <c r="Y1072">
        <v>0.23752889999999999</v>
      </c>
      <c r="Z1072">
        <v>-4.6092800000000003E-3</v>
      </c>
      <c r="AA1072">
        <v>0.97136960000000006</v>
      </c>
      <c r="AB1072">
        <v>35</v>
      </c>
      <c r="AC1072">
        <v>37.717899999999901</v>
      </c>
      <c r="AD1072">
        <v>-0.98266302000000005</v>
      </c>
      <c r="AE1072">
        <v>-9.2324000000000392</v>
      </c>
      <c r="AF1072">
        <v>9.2654760491851</v>
      </c>
      <c r="AG1072">
        <v>-0.98266302000000005</v>
      </c>
      <c r="AH1072">
        <v>37.684197537891997</v>
      </c>
      <c r="AI1072">
        <v>91.450539263036902</v>
      </c>
      <c r="AJ1072">
        <v>76.186594640171194</v>
      </c>
      <c r="AK1072">
        <v>38.8189826902221</v>
      </c>
      <c r="AL1072">
        <v>79.862752631877001</v>
      </c>
      <c r="AM1072">
        <v>92.667370360906403</v>
      </c>
      <c r="AN1072">
        <v>0.99999997791870798</v>
      </c>
    </row>
    <row r="1073" spans="1:40" x14ac:dyDescent="0.25">
      <c r="A1073" t="str">
        <f>"20190304155613873"</f>
        <v>20190304155613873</v>
      </c>
      <c r="B1073" t="str">
        <f>"1551686173865723"</f>
        <v>1551686173865723</v>
      </c>
      <c r="C1073" t="s">
        <v>40</v>
      </c>
      <c r="D1073">
        <v>4.7907440000000001</v>
      </c>
      <c r="E1073">
        <v>0.61098549999999996</v>
      </c>
      <c r="F1073" t="s">
        <v>41</v>
      </c>
      <c r="G1073">
        <v>-240.1498</v>
      </c>
      <c r="H1073">
        <v>7.9986450000000001E-2</v>
      </c>
      <c r="I1073">
        <v>357.36849999999998</v>
      </c>
      <c r="J1073">
        <v>-279.51900000000001</v>
      </c>
      <c r="K1073">
        <v>1.063172</v>
      </c>
      <c r="L1073">
        <v>367.04770000000002</v>
      </c>
      <c r="M1073">
        <v>0.99992820000000004</v>
      </c>
      <c r="N1073">
        <v>-1.1947269999999999E-2</v>
      </c>
      <c r="O1073">
        <v>1.0346400000000001E-3</v>
      </c>
      <c r="P1073">
        <v>0.98530609999999996</v>
      </c>
      <c r="Q1073">
        <v>0.16448090000000001</v>
      </c>
      <c r="R1073">
        <v>4.6025139999999999E-2</v>
      </c>
      <c r="S1073">
        <v>3.0929570000000002</v>
      </c>
      <c r="T1073">
        <v>-7.6853749999999998E-2</v>
      </c>
      <c r="U1073">
        <v>-0.75698849999999995</v>
      </c>
      <c r="V1073">
        <v>-4.4998419999999997E-2</v>
      </c>
      <c r="W1073">
        <v>0.17624379999999901</v>
      </c>
      <c r="X1073">
        <v>0.98331749999999996</v>
      </c>
      <c r="Y1073">
        <v>0.2386296</v>
      </c>
      <c r="Z1073">
        <v>-4.38092E-3</v>
      </c>
      <c r="AA1073">
        <v>0.97110079999999999</v>
      </c>
      <c r="AB1073">
        <v>35</v>
      </c>
      <c r="AC1073">
        <v>39.369199999999999</v>
      </c>
      <c r="AD1073">
        <v>-0.98318554999999996</v>
      </c>
      <c r="AE1073">
        <v>-9.67920000000003</v>
      </c>
      <c r="AF1073">
        <v>9.7142175004738096</v>
      </c>
      <c r="AG1073">
        <v>-0.98318554999999996</v>
      </c>
      <c r="AH1073">
        <v>39.336029237637199</v>
      </c>
      <c r="AI1073">
        <v>91.390040417929399</v>
      </c>
      <c r="AJ1073">
        <v>76.1280927008074</v>
      </c>
      <c r="AK1073">
        <v>40.529691235642098</v>
      </c>
      <c r="AL1073">
        <v>79.848952503571795</v>
      </c>
      <c r="AM1073">
        <v>92.620132445357797</v>
      </c>
      <c r="AN1073">
        <v>1.0000000203235899</v>
      </c>
    </row>
    <row r="1074" spans="1:40" x14ac:dyDescent="0.25">
      <c r="A1074" t="str">
        <f>"20190304155613883"</f>
        <v>20190304155613883</v>
      </c>
      <c r="B1074" t="str">
        <f>"1551686173875483"</f>
        <v>1551686173875483</v>
      </c>
      <c r="C1074" t="s">
        <v>40</v>
      </c>
      <c r="D1074">
        <v>4.8184889999999996</v>
      </c>
      <c r="E1074">
        <v>0.61097179999999995</v>
      </c>
      <c r="F1074" t="s">
        <v>41</v>
      </c>
      <c r="G1074">
        <v>-238.60169999999999</v>
      </c>
      <c r="H1074">
        <v>7.9985890000000004E-2</v>
      </c>
      <c r="I1074">
        <v>356.99029999999999</v>
      </c>
      <c r="J1074">
        <v>-279.34519999999998</v>
      </c>
      <c r="K1074">
        <v>1.0638019999999999</v>
      </c>
      <c r="L1074">
        <v>367.0478</v>
      </c>
      <c r="M1074">
        <v>0.99993900000000002</v>
      </c>
      <c r="N1074">
        <v>-1.099283E-2</v>
      </c>
      <c r="O1074">
        <v>1.0352530000000001E-3</v>
      </c>
      <c r="P1074">
        <v>0.98508799999999996</v>
      </c>
      <c r="Q1074">
        <v>0.16595489999999999</v>
      </c>
      <c r="R1074">
        <v>4.5396680000000002E-2</v>
      </c>
      <c r="S1074">
        <v>3.092651</v>
      </c>
      <c r="T1074">
        <v>-7.4311970000000005E-2</v>
      </c>
      <c r="U1074">
        <v>-0.76016240000000002</v>
      </c>
      <c r="V1074">
        <v>-4.4369550000000001E-2</v>
      </c>
      <c r="W1074">
        <v>0.1767765</v>
      </c>
      <c r="X1074">
        <v>0.98325039999999997</v>
      </c>
      <c r="Y1074">
        <v>0.23960029999999999</v>
      </c>
      <c r="Z1074">
        <v>-4.1858779999999996E-3</v>
      </c>
      <c r="AA1074">
        <v>0.97086260000000002</v>
      </c>
      <c r="AB1074">
        <v>36</v>
      </c>
      <c r="AC1074">
        <v>40.743499999999898</v>
      </c>
      <c r="AD1074">
        <v>-0.98381611000000002</v>
      </c>
      <c r="AE1074">
        <v>-10.057499999999999</v>
      </c>
      <c r="AF1074">
        <v>10.0941295653216</v>
      </c>
      <c r="AG1074">
        <v>-0.98381611000000002</v>
      </c>
      <c r="AH1074">
        <v>40.710692123183499</v>
      </c>
      <c r="AI1074">
        <v>91.343670927134198</v>
      </c>
      <c r="AJ1074">
        <v>76.074471644315395</v>
      </c>
      <c r="AK1074">
        <v>41.954973471192098</v>
      </c>
      <c r="AL1074">
        <v>79.817943641506602</v>
      </c>
      <c r="AM1074">
        <v>92.583741137092105</v>
      </c>
      <c r="AN1074">
        <v>0.99999996850980499</v>
      </c>
    </row>
    <row r="1075" spans="1:40" x14ac:dyDescent="0.25">
      <c r="A1075" t="str">
        <f>"20190304155613895"</f>
        <v>20190304155613895</v>
      </c>
      <c r="B1075" t="str">
        <f>"1551686173886219"</f>
        <v>1551686173886219</v>
      </c>
      <c r="C1075" t="s">
        <v>40</v>
      </c>
      <c r="D1075">
        <v>4.8572050000000004</v>
      </c>
      <c r="E1075">
        <v>0.61091499999999999</v>
      </c>
      <c r="F1075" t="s">
        <v>41</v>
      </c>
      <c r="G1075">
        <v>-236.47200000000001</v>
      </c>
      <c r="H1075">
        <v>7.9986539999999995E-2</v>
      </c>
      <c r="I1075">
        <v>356.48320000000001</v>
      </c>
      <c r="J1075">
        <v>-279.17759999999998</v>
      </c>
      <c r="K1075">
        <v>1.064457</v>
      </c>
      <c r="L1075">
        <v>367.048</v>
      </c>
      <c r="M1075">
        <v>0.99994839999999996</v>
      </c>
      <c r="N1075">
        <v>-1.0110620000000001E-2</v>
      </c>
      <c r="O1075">
        <v>1.035521E-3</v>
      </c>
      <c r="P1075">
        <v>0.98490069999999996</v>
      </c>
      <c r="Q1075">
        <v>0.16729330000000001</v>
      </c>
      <c r="R1075">
        <v>4.453965E-2</v>
      </c>
      <c r="S1075">
        <v>3.0924680000000002</v>
      </c>
      <c r="T1075">
        <v>-7.0963139999999994E-2</v>
      </c>
      <c r="U1075">
        <v>-0.76202389999999998</v>
      </c>
      <c r="V1075">
        <v>-4.3512040000000002E-2</v>
      </c>
      <c r="W1075">
        <v>0.17724529999999999</v>
      </c>
      <c r="X1075">
        <v>0.98320439999999998</v>
      </c>
      <c r="Y1075">
        <v>0.2401742</v>
      </c>
      <c r="Z1075">
        <v>-3.9600950000000003E-3</v>
      </c>
      <c r="AA1075">
        <v>0.97072170000000002</v>
      </c>
      <c r="AB1075">
        <v>36</v>
      </c>
      <c r="AC1075">
        <v>42.705599999999897</v>
      </c>
      <c r="AD1075">
        <v>-0.98447046000000005</v>
      </c>
      <c r="AE1075">
        <v>-10.5647999999999</v>
      </c>
      <c r="AF1075">
        <v>10.6037091184422</v>
      </c>
      <c r="AG1075">
        <v>-0.98447046000000005</v>
      </c>
      <c r="AH1075">
        <v>42.673266973585697</v>
      </c>
      <c r="AI1075">
        <v>91.282586625281098</v>
      </c>
      <c r="AJ1075">
        <v>76.045429064548003</v>
      </c>
      <c r="AK1075">
        <v>43.981991125392099</v>
      </c>
      <c r="AL1075">
        <v>79.790653189830707</v>
      </c>
      <c r="AM1075">
        <v>92.533990471262797</v>
      </c>
      <c r="AN1075">
        <v>1.0000000430881999</v>
      </c>
    </row>
    <row r="1076" spans="1:40" x14ac:dyDescent="0.25">
      <c r="A1076" t="str">
        <f>"20190304155613905"</f>
        <v>20190304155613905</v>
      </c>
      <c r="B1076" t="str">
        <f>"1551686173895979"</f>
        <v>1551686173895979</v>
      </c>
      <c r="C1076" t="s">
        <v>40</v>
      </c>
      <c r="D1076">
        <v>4.881049</v>
      </c>
      <c r="E1076">
        <v>0.6111858</v>
      </c>
      <c r="F1076" t="s">
        <v>41</v>
      </c>
      <c r="G1076">
        <v>-234.77440000000001</v>
      </c>
      <c r="H1076">
        <v>7.9985600000000004E-2</v>
      </c>
      <c r="I1076">
        <v>356.07339999999999</v>
      </c>
      <c r="J1076">
        <v>-278.99380000000002</v>
      </c>
      <c r="K1076">
        <v>1.0652459999999999</v>
      </c>
      <c r="L1076">
        <v>367.04820000000001</v>
      </c>
      <c r="M1076">
        <v>0.99995730000000005</v>
      </c>
      <c r="N1076">
        <v>-9.1956550000000005E-3</v>
      </c>
      <c r="O1076">
        <v>1.03579E-3</v>
      </c>
      <c r="P1076">
        <v>0.98474830000000002</v>
      </c>
      <c r="Q1076">
        <v>0.16835079999999999</v>
      </c>
      <c r="R1076">
        <v>4.3922919999999997E-2</v>
      </c>
      <c r="S1076">
        <v>3.0921940000000001</v>
      </c>
      <c r="T1076">
        <v>-6.8557499999999993E-2</v>
      </c>
      <c r="U1076">
        <v>-0.76425169999999998</v>
      </c>
      <c r="V1076">
        <v>-4.289569E-2</v>
      </c>
      <c r="W1076">
        <v>0.17740159999999999</v>
      </c>
      <c r="X1076">
        <v>0.98320320000000005</v>
      </c>
      <c r="Y1076">
        <v>0.24086070000000001</v>
      </c>
      <c r="Z1076">
        <v>-3.7674940000000001E-3</v>
      </c>
      <c r="AA1076">
        <v>0.97055239999999998</v>
      </c>
      <c r="AB1076">
        <v>36</v>
      </c>
      <c r="AC1076">
        <v>44.2194</v>
      </c>
      <c r="AD1076">
        <v>-0.98526040000000004</v>
      </c>
      <c r="AE1076">
        <v>-10.9748</v>
      </c>
      <c r="AF1076">
        <v>11.015446738180099</v>
      </c>
      <c r="AG1076">
        <v>-0.98526040000000004</v>
      </c>
      <c r="AH1076">
        <v>44.187344222980599</v>
      </c>
      <c r="AI1076">
        <v>91.239412985553997</v>
      </c>
      <c r="AJ1076">
        <v>76.002069888440005</v>
      </c>
      <c r="AK1076">
        <v>45.550325952485402</v>
      </c>
      <c r="AL1076">
        <v>79.781552696780295</v>
      </c>
      <c r="AM1076">
        <v>92.4981452268281</v>
      </c>
      <c r="AN1076">
        <v>0.99999995019668597</v>
      </c>
    </row>
    <row r="1077" spans="1:40" x14ac:dyDescent="0.25">
      <c r="A1077" t="str">
        <f>"20190304155613917"</f>
        <v>20190304155613917</v>
      </c>
      <c r="B1077" t="str">
        <f>"1551686173905739"</f>
        <v>1551686173905739</v>
      </c>
      <c r="C1077" t="s">
        <v>40</v>
      </c>
      <c r="D1077">
        <v>4.8213460000000001</v>
      </c>
      <c r="E1077">
        <v>0.61133890000000002</v>
      </c>
      <c r="F1077" t="s">
        <v>41</v>
      </c>
      <c r="G1077">
        <v>-232.73580000000001</v>
      </c>
      <c r="H1077">
        <v>7.9986199999999993E-2</v>
      </c>
      <c r="I1077">
        <v>355.5532</v>
      </c>
      <c r="J1077">
        <v>-278.81540000000001</v>
      </c>
      <c r="K1077">
        <v>1.0660430000000001</v>
      </c>
      <c r="L1077">
        <v>367.04840000000002</v>
      </c>
      <c r="M1077">
        <v>0.99996490000000005</v>
      </c>
      <c r="N1077">
        <v>-8.3359650000000007E-3</v>
      </c>
      <c r="O1077">
        <v>1.036005E-3</v>
      </c>
      <c r="P1077">
        <v>0.98458789999999996</v>
      </c>
      <c r="Q1077">
        <v>0.1695275</v>
      </c>
      <c r="R1077">
        <v>4.2980860000000003E-2</v>
      </c>
      <c r="S1077">
        <v>3.09198</v>
      </c>
      <c r="T1077">
        <v>-6.5856700000000004E-2</v>
      </c>
      <c r="U1077">
        <v>-0.7683411</v>
      </c>
      <c r="V1077">
        <v>-4.1953610000000002E-2</v>
      </c>
      <c r="W1077">
        <v>0.17773149999999999</v>
      </c>
      <c r="X1077">
        <v>0.98318430000000001</v>
      </c>
      <c r="Y1077">
        <v>0.2420928</v>
      </c>
      <c r="Z1077">
        <v>-3.5768499999999999E-3</v>
      </c>
      <c r="AA1077">
        <v>0.97024650000000001</v>
      </c>
      <c r="AB1077">
        <v>36</v>
      </c>
      <c r="AC1077">
        <v>46.079599999999999</v>
      </c>
      <c r="AD1077">
        <v>-0.98605679999999996</v>
      </c>
      <c r="AE1077">
        <v>-11.495200000000001</v>
      </c>
      <c r="AF1077">
        <v>11.537960288586399</v>
      </c>
      <c r="AG1077">
        <v>-0.98605679999999996</v>
      </c>
      <c r="AH1077">
        <v>46.047815065265802</v>
      </c>
      <c r="AI1077">
        <v>91.189955851283003</v>
      </c>
      <c r="AJ1077">
        <v>75.933304996602203</v>
      </c>
      <c r="AK1077">
        <v>47.4815554496559</v>
      </c>
      <c r="AL1077">
        <v>79.762345898570601</v>
      </c>
      <c r="AM1077">
        <v>92.443394827554997</v>
      </c>
      <c r="AN1077">
        <v>0.999999979625385</v>
      </c>
    </row>
    <row r="1078" spans="1:40" x14ac:dyDescent="0.25">
      <c r="A1078" t="str">
        <f>"20190304155613928"</f>
        <v>20190304155613928</v>
      </c>
      <c r="B1078" t="str">
        <f>"1551686173925259"</f>
        <v>1551686173925259</v>
      </c>
      <c r="C1078" t="s">
        <v>40</v>
      </c>
      <c r="D1078">
        <v>4.8726260000000003</v>
      </c>
      <c r="E1078">
        <v>0.61132609999999998</v>
      </c>
      <c r="F1078" t="s">
        <v>41</v>
      </c>
      <c r="G1078">
        <v>-230.07060000000001</v>
      </c>
      <c r="H1078">
        <v>7.9987000000000003E-2</v>
      </c>
      <c r="I1078">
        <v>354.86739999999998</v>
      </c>
      <c r="J1078">
        <v>-278.64299999999997</v>
      </c>
      <c r="K1078">
        <v>1.0668310000000001</v>
      </c>
      <c r="L1078">
        <v>367.04860000000002</v>
      </c>
      <c r="M1078">
        <v>0.99997130000000001</v>
      </c>
      <c r="N1078">
        <v>-7.5185549999999997E-3</v>
      </c>
      <c r="O1078">
        <v>1.0362870000000001E-3</v>
      </c>
      <c r="P1078">
        <v>0.98443939999999996</v>
      </c>
      <c r="Q1078">
        <v>0.1706068</v>
      </c>
      <c r="R1078">
        <v>4.2101069999999997E-2</v>
      </c>
      <c r="S1078">
        <v>3.091431</v>
      </c>
      <c r="T1078">
        <v>-6.2536240000000007E-2</v>
      </c>
      <c r="U1078">
        <v>-0.77252200000000004</v>
      </c>
      <c r="V1078">
        <v>-4.1073430000000001E-2</v>
      </c>
      <c r="W1078">
        <v>0.17800550000000001</v>
      </c>
      <c r="X1078">
        <v>0.98317189999999999</v>
      </c>
      <c r="Y1078">
        <v>0.24337639999999999</v>
      </c>
      <c r="Z1078">
        <v>-3.3659879999999999E-3</v>
      </c>
      <c r="AA1078">
        <v>0.96992610000000001</v>
      </c>
      <c r="AB1078">
        <v>36</v>
      </c>
      <c r="AC1078">
        <v>48.572399999999902</v>
      </c>
      <c r="AD1078">
        <v>-0.98684399999999906</v>
      </c>
      <c r="AE1078">
        <v>-12.1812</v>
      </c>
      <c r="AF1078">
        <v>12.2267814968948</v>
      </c>
      <c r="AG1078">
        <v>-0.98684399999999906</v>
      </c>
      <c r="AH1078">
        <v>48.540899263296197</v>
      </c>
      <c r="AI1078">
        <v>91.129403716305006</v>
      </c>
      <c r="AJ1078">
        <v>75.862088887627195</v>
      </c>
      <c r="AK1078">
        <v>50.066824825852699</v>
      </c>
      <c r="AL1078">
        <v>79.746392519179196</v>
      </c>
      <c r="AM1078">
        <v>92.392223121764403</v>
      </c>
      <c r="AN1078">
        <v>0.99999998481591201</v>
      </c>
    </row>
    <row r="1079" spans="1:40" x14ac:dyDescent="0.25">
      <c r="A1079" t="str">
        <f>"20190304155613940"</f>
        <v>20190304155613940</v>
      </c>
      <c r="B1079" t="str">
        <f>"1551686173935997"</f>
        <v>1551686173935997</v>
      </c>
      <c r="C1079" t="s">
        <v>40</v>
      </c>
      <c r="D1079">
        <v>4.8348459999999998</v>
      </c>
      <c r="E1079">
        <v>0.61139679999999996</v>
      </c>
      <c r="F1079" t="s">
        <v>44</v>
      </c>
      <c r="G1079">
        <v>-218.47730000000001</v>
      </c>
      <c r="H1079">
        <v>-0.05</v>
      </c>
      <c r="I1079">
        <v>351.96170000000001</v>
      </c>
      <c r="J1079">
        <v>-278.45850000000002</v>
      </c>
      <c r="K1079">
        <v>1.0677890000000001</v>
      </c>
      <c r="L1079">
        <v>367.04880000000003</v>
      </c>
      <c r="M1079">
        <v>0.99997480000000005</v>
      </c>
      <c r="N1079">
        <v>-7.0269549999999997E-3</v>
      </c>
      <c r="O1079">
        <v>1.0365389999999999E-3</v>
      </c>
      <c r="P1079">
        <v>0.98433939999999998</v>
      </c>
      <c r="Q1079">
        <v>0.17137359999999999</v>
      </c>
      <c r="R1079">
        <v>4.1317859999999998E-2</v>
      </c>
      <c r="S1079">
        <v>3.0905149999999999</v>
      </c>
      <c r="T1079">
        <v>-5.7367920000000003E-2</v>
      </c>
      <c r="U1079">
        <v>-0.77496339999999997</v>
      </c>
      <c r="V1079">
        <v>-4.0290279999999998E-2</v>
      </c>
      <c r="W1079">
        <v>0.17828840000000001</v>
      </c>
      <c r="X1079">
        <v>0.98315300000000005</v>
      </c>
      <c r="Y1079">
        <v>0.24417510000000001</v>
      </c>
      <c r="Z1079">
        <v>-3.114393E-3</v>
      </c>
      <c r="AA1079">
        <v>0.96972610000000004</v>
      </c>
      <c r="AB1079">
        <v>36</v>
      </c>
      <c r="AC1079">
        <v>59.981200000000001</v>
      </c>
      <c r="AD1079">
        <v>-1.1177889999999999</v>
      </c>
      <c r="AE1079">
        <v>-15.0871</v>
      </c>
      <c r="AF1079">
        <v>15.144319797703799</v>
      </c>
      <c r="AG1079">
        <v>-1.1177889999999999</v>
      </c>
      <c r="AH1079">
        <v>59.945949295882102</v>
      </c>
      <c r="AI1079">
        <v>91.0357156699569</v>
      </c>
      <c r="AJ1079">
        <v>75.821863731313499</v>
      </c>
      <c r="AK1079">
        <v>61.839443006612797</v>
      </c>
      <c r="AL1079">
        <v>79.729919590729807</v>
      </c>
      <c r="AM1079">
        <v>92.346706982450797</v>
      </c>
      <c r="AN1079">
        <v>0.99999994082301702</v>
      </c>
    </row>
    <row r="1080" spans="1:40" x14ac:dyDescent="0.25">
      <c r="A1080" t="str">
        <f>"20190304155613952"</f>
        <v>20190304155613952</v>
      </c>
      <c r="B1080" t="str">
        <f>"1551686173945755"</f>
        <v>1551686173945755</v>
      </c>
      <c r="C1080" t="s">
        <v>40</v>
      </c>
      <c r="D1080">
        <v>4.8422099999999997</v>
      </c>
      <c r="E1080">
        <v>0.61133459999999995</v>
      </c>
      <c r="F1080" t="s">
        <v>44</v>
      </c>
      <c r="G1080">
        <v>-216.12190000000001</v>
      </c>
      <c r="H1080">
        <v>-0.05</v>
      </c>
      <c r="I1080">
        <v>351.3492</v>
      </c>
      <c r="J1080">
        <v>-278.2629</v>
      </c>
      <c r="K1080">
        <v>1.068886</v>
      </c>
      <c r="L1080">
        <v>367.04899999999998</v>
      </c>
      <c r="M1080">
        <v>0.99997720000000001</v>
      </c>
      <c r="N1080">
        <v>-6.6746289999999996E-3</v>
      </c>
      <c r="O1080">
        <v>1.036384E-3</v>
      </c>
      <c r="P1080">
        <v>0.98427710000000002</v>
      </c>
      <c r="Q1080">
        <v>0.17194110000000001</v>
      </c>
      <c r="R1080">
        <v>4.0432830000000003E-2</v>
      </c>
      <c r="S1080">
        <v>3.0900270000000001</v>
      </c>
      <c r="T1080">
        <v>-5.5408840000000001E-2</v>
      </c>
      <c r="U1080">
        <v>-0.77822880000000005</v>
      </c>
      <c r="V1080">
        <v>-3.9405429999999998E-2</v>
      </c>
      <c r="W1080">
        <v>0.178509</v>
      </c>
      <c r="X1080">
        <v>0.98314889999999999</v>
      </c>
      <c r="Y1080">
        <v>0.2451786</v>
      </c>
      <c r="Z1080">
        <v>-3.00665E-3</v>
      </c>
      <c r="AA1080">
        <v>0.96947329999999998</v>
      </c>
      <c r="AB1080">
        <v>36</v>
      </c>
      <c r="AC1080">
        <v>62.140999999999899</v>
      </c>
      <c r="AD1080">
        <v>-1.118886</v>
      </c>
      <c r="AE1080">
        <v>-15.6998</v>
      </c>
      <c r="AF1080">
        <v>15.7593922780797</v>
      </c>
      <c r="AG1080">
        <v>-1.118886</v>
      </c>
      <c r="AH1080">
        <v>62.105768559696699</v>
      </c>
      <c r="AI1080">
        <v>91.000419395231006</v>
      </c>
      <c r="AJ1080">
        <v>75.761668867715699</v>
      </c>
      <c r="AK1080">
        <v>64.083826658884902</v>
      </c>
      <c r="AL1080">
        <v>79.717074746922293</v>
      </c>
      <c r="AM1080">
        <v>92.295234200884906</v>
      </c>
      <c r="AN1080">
        <v>1.0000000052828399</v>
      </c>
    </row>
    <row r="1081" spans="1:40" x14ac:dyDescent="0.25">
      <c r="A1081" t="str">
        <f>"20190304155613964"</f>
        <v>20190304155613964</v>
      </c>
      <c r="B1081" t="str">
        <f>"1551686173955515"</f>
        <v>1551686173955515</v>
      </c>
      <c r="C1081" t="s">
        <v>40</v>
      </c>
      <c r="D1081">
        <v>4.8360880000000002</v>
      </c>
      <c r="E1081">
        <v>0.61156140000000003</v>
      </c>
      <c r="F1081" t="s">
        <v>44</v>
      </c>
      <c r="G1081">
        <v>-215.14949999999999</v>
      </c>
      <c r="H1081">
        <v>-0.05</v>
      </c>
      <c r="I1081">
        <v>351.10509999999999</v>
      </c>
      <c r="J1081">
        <v>-278.072</v>
      </c>
      <c r="K1081">
        <v>1.0701909999999999</v>
      </c>
      <c r="L1081">
        <v>367.04919999999998</v>
      </c>
      <c r="M1081">
        <v>0.99997709999999995</v>
      </c>
      <c r="N1081">
        <v>-6.7181230000000003E-3</v>
      </c>
      <c r="O1081">
        <v>1.036417E-3</v>
      </c>
      <c r="P1081">
        <v>0.98423419999999895</v>
      </c>
      <c r="Q1081">
        <v>0.17236779999999999</v>
      </c>
      <c r="R1081">
        <v>3.965871E-2</v>
      </c>
      <c r="S1081">
        <v>3.0895389999999998</v>
      </c>
      <c r="T1081">
        <v>-5.4771899999999998E-2</v>
      </c>
      <c r="U1081">
        <v>-0.78048709999999999</v>
      </c>
      <c r="V1081">
        <v>-3.8631829999999999E-2</v>
      </c>
      <c r="W1081">
        <v>0.1789781</v>
      </c>
      <c r="X1081">
        <v>0.98309429999999998</v>
      </c>
      <c r="Y1081">
        <v>0.24588180000000001</v>
      </c>
      <c r="Z1081">
        <v>-2.995686E-3</v>
      </c>
      <c r="AA1081">
        <v>0.96929520000000002</v>
      </c>
      <c r="AB1081">
        <v>35</v>
      </c>
      <c r="AC1081">
        <v>62.922499999999999</v>
      </c>
      <c r="AD1081">
        <v>-1.1201909999999999</v>
      </c>
      <c r="AE1081">
        <v>-15.944099999999899</v>
      </c>
      <c r="AF1081">
        <v>16.004540460050901</v>
      </c>
      <c r="AG1081">
        <v>-1.1201909999999999</v>
      </c>
      <c r="AH1081">
        <v>62.887212377734102</v>
      </c>
      <c r="AI1081">
        <v>90.988966774421797</v>
      </c>
      <c r="AJ1081">
        <v>75.721568439738306</v>
      </c>
      <c r="AK1081">
        <v>64.901476284104007</v>
      </c>
      <c r="AL1081">
        <v>79.689757216583899</v>
      </c>
      <c r="AM1081">
        <v>92.250346223449398</v>
      </c>
      <c r="AN1081">
        <v>0.99999999063062395</v>
      </c>
    </row>
    <row r="1082" spans="1:40" x14ac:dyDescent="0.25">
      <c r="A1082" t="str">
        <f>"20190304155613977"</f>
        <v>20190304155613977</v>
      </c>
      <c r="B1082" t="str">
        <f>"1551686173965275"</f>
        <v>1551686173965275</v>
      </c>
      <c r="C1082" t="s">
        <v>40</v>
      </c>
      <c r="D1082">
        <v>4.8425050000000001</v>
      </c>
      <c r="E1082">
        <v>0.61186649999999998</v>
      </c>
      <c r="F1082" t="s">
        <v>44</v>
      </c>
      <c r="G1082">
        <v>-213.5514</v>
      </c>
      <c r="H1082">
        <v>-0.05</v>
      </c>
      <c r="I1082">
        <v>350.6576</v>
      </c>
      <c r="J1082">
        <v>-277.88350000000003</v>
      </c>
      <c r="K1082">
        <v>1.0715760000000001</v>
      </c>
      <c r="L1082">
        <v>367.04939999999999</v>
      </c>
      <c r="M1082">
        <v>0.99997650000000005</v>
      </c>
      <c r="N1082">
        <v>-6.7872949999999996E-3</v>
      </c>
      <c r="O1082">
        <v>1.0365400000000001E-3</v>
      </c>
      <c r="P1082">
        <v>0.98424699999999998</v>
      </c>
      <c r="Q1082">
        <v>0.1724897</v>
      </c>
      <c r="R1082">
        <v>3.8799849999999997E-2</v>
      </c>
      <c r="S1082">
        <v>3.0890810000000002</v>
      </c>
      <c r="T1082">
        <v>-5.3631900000000003E-2</v>
      </c>
      <c r="U1082">
        <v>-0.78478999999999999</v>
      </c>
      <c r="V1082">
        <v>-3.7772159999999999E-2</v>
      </c>
      <c r="W1082">
        <v>0.17916760000000001</v>
      </c>
      <c r="X1082">
        <v>0.9830932</v>
      </c>
      <c r="Y1082">
        <v>0.24718599999999999</v>
      </c>
      <c r="Z1082">
        <v>-2.9749529999999998E-3</v>
      </c>
      <c r="AA1082">
        <v>0.96896349999999998</v>
      </c>
      <c r="AB1082">
        <v>35</v>
      </c>
      <c r="AC1082">
        <v>64.332099999999997</v>
      </c>
      <c r="AD1082">
        <v>-1.1215759999999999</v>
      </c>
      <c r="AE1082">
        <v>-16.3917999999999</v>
      </c>
      <c r="AF1082">
        <v>16.453779288844601</v>
      </c>
      <c r="AG1082">
        <v>-1.1215759999999999</v>
      </c>
      <c r="AH1082">
        <v>64.296722747140393</v>
      </c>
      <c r="AI1082">
        <v>90.9681599920238</v>
      </c>
      <c r="AJ1082">
        <v>75.645833402170993</v>
      </c>
      <c r="AK1082">
        <v>66.3781089037073</v>
      </c>
      <c r="AL1082">
        <v>79.678721402382706</v>
      </c>
      <c r="AM1082">
        <v>92.200321747403507</v>
      </c>
      <c r="AN1082">
        <v>1.00000000242353</v>
      </c>
    </row>
    <row r="1083" spans="1:40" x14ac:dyDescent="0.25">
      <c r="A1083" t="str">
        <f>"20190304155613990"</f>
        <v>20190304155613990</v>
      </c>
      <c r="B1083" t="str">
        <f>"1551686173985771"</f>
        <v>1551686173985771</v>
      </c>
      <c r="C1083" t="s">
        <v>40</v>
      </c>
      <c r="D1083">
        <v>4.7689500000000002</v>
      </c>
      <c r="E1083">
        <v>0.61205549999999997</v>
      </c>
      <c r="F1083" t="s">
        <v>44</v>
      </c>
      <c r="G1083">
        <v>-213.0016</v>
      </c>
      <c r="H1083">
        <v>-0.05</v>
      </c>
      <c r="I1083">
        <v>350.45580000000001</v>
      </c>
      <c r="J1083">
        <v>-277.67270000000002</v>
      </c>
      <c r="K1083">
        <v>1.0732159999999999</v>
      </c>
      <c r="L1083">
        <v>367.0496</v>
      </c>
      <c r="M1083">
        <v>0.99997570000000002</v>
      </c>
      <c r="N1083">
        <v>-6.8802269999999896E-3</v>
      </c>
      <c r="O1083">
        <v>1.0363989999999999E-3</v>
      </c>
      <c r="P1083">
        <v>0.98418499999999998</v>
      </c>
      <c r="Q1083">
        <v>0.1730159</v>
      </c>
      <c r="R1083">
        <v>3.8015979999999998E-2</v>
      </c>
      <c r="S1083">
        <v>3.0885009999999999</v>
      </c>
      <c r="T1083">
        <v>-5.3389190000000003E-2</v>
      </c>
      <c r="U1083">
        <v>-0.78988649999999905</v>
      </c>
      <c r="V1083">
        <v>-3.6988809999999997E-2</v>
      </c>
      <c r="W1083">
        <v>0.179785</v>
      </c>
      <c r="X1083">
        <v>0.9830103</v>
      </c>
      <c r="Y1083">
        <v>0.24873020000000001</v>
      </c>
      <c r="Z1083">
        <v>-2.9955519999999999E-3</v>
      </c>
      <c r="AA1083">
        <v>0.96856819999999999</v>
      </c>
      <c r="AB1083">
        <v>35</v>
      </c>
      <c r="AC1083">
        <v>64.671099999999996</v>
      </c>
      <c r="AD1083">
        <v>-1.123216</v>
      </c>
      <c r="AE1083">
        <v>-16.593799999999899</v>
      </c>
      <c r="AF1083">
        <v>16.656103754212701</v>
      </c>
      <c r="AG1083">
        <v>-1.123216</v>
      </c>
      <c r="AH1083">
        <v>64.635573980517094</v>
      </c>
      <c r="AI1083">
        <v>90.964077927807097</v>
      </c>
      <c r="AJ1083">
        <v>75.549690847657402</v>
      </c>
      <c r="AK1083">
        <v>66.7566088881442</v>
      </c>
      <c r="AL1083">
        <v>79.642763439143806</v>
      </c>
      <c r="AM1083">
        <v>92.154914683251704</v>
      </c>
      <c r="AN1083">
        <v>1.0000000340981501</v>
      </c>
    </row>
    <row r="1084" spans="1:40" x14ac:dyDescent="0.25">
      <c r="A1084" t="str">
        <f>"20190304155614005"</f>
        <v>20190304155614005</v>
      </c>
      <c r="B1084" t="str">
        <f>"1551686173995531"</f>
        <v>1551686173995531</v>
      </c>
      <c r="C1084" t="s">
        <v>40</v>
      </c>
      <c r="D1084">
        <v>4.7903039999999999</v>
      </c>
      <c r="E1084">
        <v>0.61218079999999997</v>
      </c>
      <c r="F1084" t="s">
        <v>44</v>
      </c>
      <c r="G1084">
        <v>-211.3777</v>
      </c>
      <c r="H1084">
        <v>-0.05</v>
      </c>
      <c r="I1084">
        <v>350.00479999999999</v>
      </c>
      <c r="J1084">
        <v>-277.4425</v>
      </c>
      <c r="K1084">
        <v>1.0750959999999901</v>
      </c>
      <c r="L1084">
        <v>367.04989999999998</v>
      </c>
      <c r="M1084">
        <v>0.99997659999999999</v>
      </c>
      <c r="N1084">
        <v>-6.7818979999999997E-3</v>
      </c>
      <c r="O1084">
        <v>1.0360219999999999E-3</v>
      </c>
      <c r="P1084">
        <v>0.98410469999999906</v>
      </c>
      <c r="Q1084">
        <v>0.17363629999999999</v>
      </c>
      <c r="R1084">
        <v>3.7264310000000002E-2</v>
      </c>
      <c r="S1084">
        <v>3.0881349999999999</v>
      </c>
      <c r="T1084">
        <v>-5.2321310000000003E-2</v>
      </c>
      <c r="U1084">
        <v>-0.79397580000000001</v>
      </c>
      <c r="V1084">
        <v>-3.623763E-2</v>
      </c>
      <c r="W1084">
        <v>0.18030789999999999</v>
      </c>
      <c r="X1084">
        <v>0.98294250000000005</v>
      </c>
      <c r="Y1084">
        <v>0.2499623</v>
      </c>
      <c r="Z1084">
        <v>-2.955114E-3</v>
      </c>
      <c r="AA1084">
        <v>0.96825099999999997</v>
      </c>
      <c r="AB1084">
        <v>35</v>
      </c>
      <c r="AC1084">
        <v>66.064799999999906</v>
      </c>
      <c r="AD1084">
        <v>-1.1250960000000001</v>
      </c>
      <c r="AE1084">
        <v>-17.045099999999898</v>
      </c>
      <c r="AF1084">
        <v>17.1088846520699</v>
      </c>
      <c r="AG1084">
        <v>-1.1250960000000001</v>
      </c>
      <c r="AH1084">
        <v>66.029149996534102</v>
      </c>
      <c r="AI1084">
        <v>90.944988925867705</v>
      </c>
      <c r="AJ1084">
        <v>75.473500300090805</v>
      </c>
      <c r="AK1084">
        <v>68.218974078417901</v>
      </c>
      <c r="AL1084">
        <v>79.612305712695502</v>
      </c>
      <c r="AM1084">
        <v>92.111337522365901</v>
      </c>
      <c r="AN1084">
        <v>1.0000000314683299</v>
      </c>
    </row>
    <row r="1085" spans="1:40" x14ac:dyDescent="0.25">
      <c r="A1085" t="str">
        <f>"20190304155614017"</f>
        <v>20190304155614017</v>
      </c>
      <c r="B1085" t="str">
        <f>"1551686174016027"</f>
        <v>1551686174016027</v>
      </c>
      <c r="C1085" t="s">
        <v>40</v>
      </c>
      <c r="D1085">
        <v>4.7772079999999999</v>
      </c>
      <c r="E1085">
        <v>0.61229639999999996</v>
      </c>
      <c r="F1085" t="s">
        <v>44</v>
      </c>
      <c r="G1085">
        <v>-208.67679999999999</v>
      </c>
      <c r="H1085">
        <v>-0.05</v>
      </c>
      <c r="I1085">
        <v>349.30259999999998</v>
      </c>
      <c r="J1085">
        <v>-277.24119999999999</v>
      </c>
      <c r="K1085">
        <v>1.0767960000000001</v>
      </c>
      <c r="L1085">
        <v>367.05</v>
      </c>
      <c r="M1085">
        <v>0.99997720000000001</v>
      </c>
      <c r="N1085">
        <v>-6.6807749999999999E-3</v>
      </c>
      <c r="O1085">
        <v>1.036066E-3</v>
      </c>
      <c r="P1085">
        <v>0.98402650000000003</v>
      </c>
      <c r="Q1085">
        <v>0.17437920000000001</v>
      </c>
      <c r="R1085">
        <v>3.5828800000000001E-2</v>
      </c>
      <c r="S1085">
        <v>3.087555</v>
      </c>
      <c r="T1085">
        <v>-5.0516369999999998E-2</v>
      </c>
      <c r="U1085">
        <v>-0.79684449999999996</v>
      </c>
      <c r="V1085">
        <v>-3.4802E-2</v>
      </c>
      <c r="W1085">
        <v>0.18095140000000001</v>
      </c>
      <c r="X1085">
        <v>0.98287610000000003</v>
      </c>
      <c r="Y1085">
        <v>0.25085259999999998</v>
      </c>
      <c r="Z1085">
        <v>-2.8803330000000001E-3</v>
      </c>
      <c r="AA1085">
        <v>0.96802100000000002</v>
      </c>
      <c r="AB1085">
        <v>35</v>
      </c>
      <c r="AC1085">
        <v>68.564400000000006</v>
      </c>
      <c r="AD1085">
        <v>-1.1267959999999999</v>
      </c>
      <c r="AE1085">
        <v>-17.747399999999999</v>
      </c>
      <c r="AF1085">
        <v>17.813920213802</v>
      </c>
      <c r="AG1085">
        <v>-1.1267959999999999</v>
      </c>
      <c r="AH1085">
        <v>68.528629244290201</v>
      </c>
      <c r="AI1085">
        <v>90.911717690091706</v>
      </c>
      <c r="AJ1085">
        <v>75.428543160549296</v>
      </c>
      <c r="AK1085">
        <v>70.815100428585893</v>
      </c>
      <c r="AL1085">
        <v>79.574819025715001</v>
      </c>
      <c r="AM1085">
        <v>92.027900582829105</v>
      </c>
      <c r="AN1085">
        <v>1.00000000815858</v>
      </c>
    </row>
    <row r="1086" spans="1:40" x14ac:dyDescent="0.25">
      <c r="A1086" t="str">
        <f>"20190304155614030"</f>
        <v>20190304155614030</v>
      </c>
      <c r="B1086" t="str">
        <f>"1551686174025787"</f>
        <v>1551686174025787</v>
      </c>
      <c r="C1086" t="s">
        <v>40</v>
      </c>
      <c r="D1086">
        <v>4.8150820000000003</v>
      </c>
      <c r="E1086">
        <v>0.6123999</v>
      </c>
      <c r="F1086" t="s">
        <v>44</v>
      </c>
      <c r="G1086">
        <v>-205.80510000000001</v>
      </c>
      <c r="H1086">
        <v>-0.05</v>
      </c>
      <c r="I1086">
        <v>348.48110000000003</v>
      </c>
      <c r="J1086">
        <v>-277.04930000000002</v>
      </c>
      <c r="K1086">
        <v>1.078436</v>
      </c>
      <c r="L1086">
        <v>367.05020000000002</v>
      </c>
      <c r="M1086">
        <v>0.99997789999999998</v>
      </c>
      <c r="N1086">
        <v>-6.5770309999999997E-3</v>
      </c>
      <c r="O1086">
        <v>1.035876E-3</v>
      </c>
      <c r="P1086">
        <v>0.98399360000000002</v>
      </c>
      <c r="Q1086">
        <v>0.17471220000000001</v>
      </c>
      <c r="R1086">
        <v>3.5104209999999997E-2</v>
      </c>
      <c r="S1086">
        <v>3.0865480000000001</v>
      </c>
      <c r="T1086">
        <v>-4.8685550000000001E-2</v>
      </c>
      <c r="U1086">
        <v>-0.80230709999999905</v>
      </c>
      <c r="V1086">
        <v>-3.4077360000000001E-2</v>
      </c>
      <c r="W1086">
        <v>0.1811817</v>
      </c>
      <c r="X1086">
        <v>0.98285909999999999</v>
      </c>
      <c r="Y1086">
        <v>0.2525365</v>
      </c>
      <c r="Z1086">
        <v>-2.812513E-3</v>
      </c>
      <c r="AA1086">
        <v>0.96758330000000004</v>
      </c>
      <c r="AB1086">
        <v>35</v>
      </c>
      <c r="AC1086">
        <v>71.244200000000006</v>
      </c>
      <c r="AD1086">
        <v>-1.128436</v>
      </c>
      <c r="AE1086">
        <v>-18.569099999999899</v>
      </c>
      <c r="AF1086">
        <v>18.638513319251601</v>
      </c>
      <c r="AG1086">
        <v>-1.128436</v>
      </c>
      <c r="AH1086">
        <v>71.208198202204201</v>
      </c>
      <c r="AI1086">
        <v>90.878306259730195</v>
      </c>
      <c r="AJ1086">
        <v>75.332080311841807</v>
      </c>
      <c r="AK1086">
        <v>73.615725478748203</v>
      </c>
      <c r="AL1086">
        <v>79.561402400532998</v>
      </c>
      <c r="AM1086">
        <v>91.985744539258704</v>
      </c>
      <c r="AN1086">
        <v>1.00000004266613</v>
      </c>
    </row>
    <row r="1087" spans="1:40" x14ac:dyDescent="0.25">
      <c r="A1087" t="str">
        <f>"20190304155614040"</f>
        <v>20190304155614040</v>
      </c>
      <c r="B1087" t="str">
        <f>"1551686174035547"</f>
        <v>1551686174035547</v>
      </c>
      <c r="C1087" t="s">
        <v>40</v>
      </c>
      <c r="D1087">
        <v>4.7869440000000001</v>
      </c>
      <c r="E1087">
        <v>0.61237640000000004</v>
      </c>
      <c r="F1087" t="s">
        <v>44</v>
      </c>
      <c r="G1087">
        <v>-204.59469999999999</v>
      </c>
      <c r="H1087">
        <v>-0.05</v>
      </c>
      <c r="I1087">
        <v>348.13909999999998</v>
      </c>
      <c r="J1087">
        <v>-276.87220000000002</v>
      </c>
      <c r="K1087">
        <v>1.079996</v>
      </c>
      <c r="L1087">
        <v>367.05040000000002</v>
      </c>
      <c r="M1087">
        <v>0.99997809999999998</v>
      </c>
      <c r="N1087">
        <v>-6.5564480000000003E-3</v>
      </c>
      <c r="O1087">
        <v>1.035944E-3</v>
      </c>
      <c r="P1087">
        <v>0.98397449999999997</v>
      </c>
      <c r="Q1087">
        <v>0.17493139999999999</v>
      </c>
      <c r="R1087">
        <v>3.4547939999999999E-2</v>
      </c>
      <c r="S1087">
        <v>3.0860599999999998</v>
      </c>
      <c r="T1087">
        <v>-4.8063519999999998E-2</v>
      </c>
      <c r="U1087">
        <v>-0.805481</v>
      </c>
      <c r="V1087">
        <v>-3.3521210000000003E-2</v>
      </c>
      <c r="W1087">
        <v>0.18138099999999999</v>
      </c>
      <c r="X1087">
        <v>0.98284139999999998</v>
      </c>
      <c r="Y1087">
        <v>0.25350640000000002</v>
      </c>
      <c r="Z1087">
        <v>-2.7954780000000001E-3</v>
      </c>
      <c r="AA1087">
        <v>0.96732969999999896</v>
      </c>
      <c r="AB1087">
        <v>35</v>
      </c>
      <c r="AC1087">
        <v>72.277500000000003</v>
      </c>
      <c r="AD1087">
        <v>-1.129996</v>
      </c>
      <c r="AE1087">
        <v>-18.911300000000001</v>
      </c>
      <c r="AF1087">
        <v>18.981824519519801</v>
      </c>
      <c r="AG1087">
        <v>-1.129996</v>
      </c>
      <c r="AH1087">
        <v>72.241343467478998</v>
      </c>
      <c r="AI1087">
        <v>90.866729353429406</v>
      </c>
      <c r="AJ1087">
        <v>75.277991053109801</v>
      </c>
      <c r="AK1087">
        <v>74.702063284999895</v>
      </c>
      <c r="AL1087">
        <v>79.549790283352607</v>
      </c>
      <c r="AM1087">
        <v>91.953397217085794</v>
      </c>
      <c r="AN1087">
        <v>0.99999997811741104</v>
      </c>
    </row>
    <row r="1088" spans="1:40" x14ac:dyDescent="0.25">
      <c r="A1088" t="str">
        <f>"20190304155614052"</f>
        <v>20190304155614052</v>
      </c>
      <c r="B1088" t="str">
        <f>"1551686174045316"</f>
        <v>1551686174045316</v>
      </c>
      <c r="C1088" t="s">
        <v>40</v>
      </c>
      <c r="D1088">
        <v>4.7418060000000004</v>
      </c>
      <c r="E1088">
        <v>0.61233169999999904</v>
      </c>
      <c r="F1088" t="s">
        <v>44</v>
      </c>
      <c r="G1088">
        <v>-204.5624</v>
      </c>
      <c r="H1088">
        <v>-0.05</v>
      </c>
      <c r="I1088">
        <v>348.14019999999999</v>
      </c>
      <c r="J1088">
        <v>-276.69760000000002</v>
      </c>
      <c r="K1088">
        <v>1.0815349999999999</v>
      </c>
      <c r="L1088">
        <v>367.05059999999997</v>
      </c>
      <c r="M1088">
        <v>0.99997809999999998</v>
      </c>
      <c r="N1088">
        <v>-6.5599200000000003E-3</v>
      </c>
      <c r="O1088">
        <v>1.035932E-3</v>
      </c>
      <c r="P1088">
        <v>0.98396669999999997</v>
      </c>
      <c r="Q1088">
        <v>0.17509430000000001</v>
      </c>
      <c r="R1088">
        <v>3.3938290000000003E-2</v>
      </c>
      <c r="S1088">
        <v>3.0857540000000001</v>
      </c>
      <c r="T1088">
        <v>-4.8221590000000002E-2</v>
      </c>
      <c r="U1088">
        <v>-0.80697629999999998</v>
      </c>
      <c r="V1088">
        <v>-3.2911389999999999E-2</v>
      </c>
      <c r="W1088">
        <v>0.18154699999999999</v>
      </c>
      <c r="X1088">
        <v>0.98283140000000002</v>
      </c>
      <c r="Y1088">
        <v>0.25396819999999998</v>
      </c>
      <c r="Z1088">
        <v>-2.8075690000000002E-3</v>
      </c>
      <c r="AA1088">
        <v>0.96720850000000003</v>
      </c>
      <c r="AB1088">
        <v>35</v>
      </c>
      <c r="AC1088">
        <v>72.135199999999998</v>
      </c>
      <c r="AD1088">
        <v>-1.131535</v>
      </c>
      <c r="AE1088">
        <v>-18.9103999999999</v>
      </c>
      <c r="AF1088">
        <v>18.9807485312955</v>
      </c>
      <c r="AG1088">
        <v>-1.131535</v>
      </c>
      <c r="AH1088">
        <v>72.098971099290907</v>
      </c>
      <c r="AI1088">
        <v>90.869515418537006</v>
      </c>
      <c r="AJ1088">
        <v>75.250985768101302</v>
      </c>
      <c r="AK1088">
        <v>74.5641389666701</v>
      </c>
      <c r="AL1088">
        <v>79.540119019945806</v>
      </c>
      <c r="AM1088">
        <v>91.9179071736922</v>
      </c>
      <c r="AN1088">
        <v>1.0000000168133401</v>
      </c>
    </row>
    <row r="1089" spans="1:40" x14ac:dyDescent="0.25">
      <c r="A1089" t="str">
        <f>"20190304155614063"</f>
        <v>20190304155614063</v>
      </c>
      <c r="B1089" t="str">
        <f>"1551686174056052"</f>
        <v>1551686174056052</v>
      </c>
      <c r="C1089" t="s">
        <v>40</v>
      </c>
      <c r="D1089">
        <v>4.7416419999999997</v>
      </c>
      <c r="E1089">
        <v>0.61224999999999996</v>
      </c>
      <c r="F1089" t="s">
        <v>44</v>
      </c>
      <c r="G1089">
        <v>-204.49350000000001</v>
      </c>
      <c r="H1089">
        <v>-0.05</v>
      </c>
      <c r="I1089">
        <v>348.13850000000002</v>
      </c>
      <c r="J1089">
        <v>-276.5111</v>
      </c>
      <c r="K1089">
        <v>1.08318799999999</v>
      </c>
      <c r="L1089">
        <v>367.05079999999998</v>
      </c>
      <c r="M1089">
        <v>0.99997749999999996</v>
      </c>
      <c r="N1089">
        <v>-6.6480990000000002E-3</v>
      </c>
      <c r="O1089">
        <v>1.036176E-3</v>
      </c>
      <c r="P1089">
        <v>0.98394219999999999</v>
      </c>
      <c r="Q1089">
        <v>0.17533750000000001</v>
      </c>
      <c r="R1089">
        <v>3.3393300000000001E-2</v>
      </c>
      <c r="S1089">
        <v>3.0853579999999998</v>
      </c>
      <c r="T1089">
        <v>-4.8351650000000003E-2</v>
      </c>
      <c r="U1089">
        <v>-0.80813599999999997</v>
      </c>
      <c r="V1089">
        <v>-3.2366689999999997E-2</v>
      </c>
      <c r="W1089">
        <v>0.18187610000000001</v>
      </c>
      <c r="X1089">
        <v>0.98278860000000001</v>
      </c>
      <c r="Y1089">
        <v>0.25433869999999997</v>
      </c>
      <c r="Z1089">
        <v>-2.8284730000000002E-3</v>
      </c>
      <c r="AA1089">
        <v>0.9671111</v>
      </c>
      <c r="AB1089">
        <v>35</v>
      </c>
      <c r="AC1089">
        <v>72.017599999999902</v>
      </c>
      <c r="AD1089">
        <v>-1.1331880000000001</v>
      </c>
      <c r="AE1089">
        <v>-18.912299999999899</v>
      </c>
      <c r="AF1089">
        <v>18.982517783029099</v>
      </c>
      <c r="AG1089">
        <v>-1.1331880000000001</v>
      </c>
      <c r="AH1089">
        <v>71.981292580508693</v>
      </c>
      <c r="AI1089">
        <v>90.872111084472905</v>
      </c>
      <c r="AJ1089">
        <v>75.2266102478318</v>
      </c>
      <c r="AK1089">
        <v>74.450833292765495</v>
      </c>
      <c r="AL1089">
        <v>79.520943307215006</v>
      </c>
      <c r="AM1089">
        <v>91.886270053322704</v>
      </c>
      <c r="AN1089">
        <v>0.99999997533136198</v>
      </c>
    </row>
    <row r="1090" spans="1:40" x14ac:dyDescent="0.25">
      <c r="A1090" t="str">
        <f>"20190304155614087"</f>
        <v>20190304155614087</v>
      </c>
      <c r="B1090" t="str">
        <f>"1551686174075572"</f>
        <v>1551686174075572</v>
      </c>
      <c r="C1090" t="s">
        <v>40</v>
      </c>
      <c r="D1090">
        <v>4.7494009999999998</v>
      </c>
      <c r="E1090">
        <v>0.6121453</v>
      </c>
      <c r="F1090" t="s">
        <v>44</v>
      </c>
      <c r="G1090">
        <v>-204.24369999999999</v>
      </c>
      <c r="H1090">
        <v>-0.05</v>
      </c>
      <c r="I1090">
        <v>348.09160000000003</v>
      </c>
      <c r="J1090">
        <v>-276.14350000000002</v>
      </c>
      <c r="K1090">
        <v>1.0863929999999999</v>
      </c>
      <c r="L1090">
        <v>367.05119999999999</v>
      </c>
      <c r="M1090">
        <v>0.99997530000000001</v>
      </c>
      <c r="N1090">
        <v>-6.9578419999999997E-3</v>
      </c>
      <c r="O1090">
        <v>1.036606E-3</v>
      </c>
      <c r="P1090">
        <v>0.98391050000000002</v>
      </c>
      <c r="Q1090">
        <v>0.17569309999999999</v>
      </c>
      <c r="R1090">
        <v>3.2441589999999999E-2</v>
      </c>
      <c r="S1090">
        <v>3.0850520000000001</v>
      </c>
      <c r="T1090">
        <v>-4.8375130000000002E-2</v>
      </c>
      <c r="U1090">
        <v>-0.80935669999999904</v>
      </c>
      <c r="V1090">
        <v>-3.1414259999999999E-2</v>
      </c>
      <c r="W1090">
        <v>0.18253630000000001</v>
      </c>
      <c r="X1090">
        <v>0.98269709999999999</v>
      </c>
      <c r="Y1090">
        <v>0.2547199</v>
      </c>
      <c r="Z1090">
        <v>-2.8735950000000001E-3</v>
      </c>
      <c r="AA1090">
        <v>0.96701060000000005</v>
      </c>
      <c r="AB1090">
        <v>35</v>
      </c>
      <c r="AC1090">
        <v>71.899799999999999</v>
      </c>
      <c r="AD1090">
        <v>-1.136393</v>
      </c>
      <c r="AE1090">
        <v>-18.959599999999899</v>
      </c>
      <c r="AF1090">
        <v>19.029678721287102</v>
      </c>
      <c r="AG1090">
        <v>-1.136393</v>
      </c>
      <c r="AH1090">
        <v>71.863322539733403</v>
      </c>
      <c r="AI1090">
        <v>90.875777159836503</v>
      </c>
      <c r="AJ1090">
        <v>75.168278869853907</v>
      </c>
      <c r="AK1090">
        <v>74.348888275048196</v>
      </c>
      <c r="AL1090">
        <v>79.482472626106201</v>
      </c>
      <c r="AM1090">
        <v>91.830972915613401</v>
      </c>
      <c r="AN1090">
        <v>0.99999997344872305</v>
      </c>
    </row>
    <row r="1091" spans="1:40" x14ac:dyDescent="0.25">
      <c r="A1091" t="str">
        <f>"20190304155614098"</f>
        <v>20190304155614098</v>
      </c>
      <c r="B1091" t="str">
        <f>"1551686174096068"</f>
        <v>1551686174096068</v>
      </c>
      <c r="C1091" t="s">
        <v>40</v>
      </c>
      <c r="D1091">
        <v>4.6873360000000002</v>
      </c>
      <c r="E1091">
        <v>0.61202570000000001</v>
      </c>
      <c r="F1091" t="s">
        <v>44</v>
      </c>
      <c r="G1091">
        <v>-202.97649999999999</v>
      </c>
      <c r="H1091">
        <v>-0.05</v>
      </c>
      <c r="I1091">
        <v>347.8066</v>
      </c>
      <c r="J1091">
        <v>-275.96870000000001</v>
      </c>
      <c r="K1091">
        <v>1.087852</v>
      </c>
      <c r="L1091">
        <v>367.0514</v>
      </c>
      <c r="M1091">
        <v>0.99997380000000002</v>
      </c>
      <c r="N1091">
        <v>-7.1696829999999996E-3</v>
      </c>
      <c r="O1091">
        <v>1.0368669999999999E-3</v>
      </c>
      <c r="P1091">
        <v>0.98389459999999995</v>
      </c>
      <c r="Q1091">
        <v>0.175861299999999</v>
      </c>
      <c r="R1091">
        <v>3.2006850000000003E-2</v>
      </c>
      <c r="S1091">
        <v>3.08432</v>
      </c>
      <c r="T1091">
        <v>-4.7904130000000003E-2</v>
      </c>
      <c r="U1091">
        <v>-0.81124879999999999</v>
      </c>
      <c r="V1091">
        <v>-3.0979070000000001E-2</v>
      </c>
      <c r="W1091">
        <v>0.18291270000000001</v>
      </c>
      <c r="X1091">
        <v>0.98264090000000004</v>
      </c>
      <c r="Y1091">
        <v>0.25533149999999999</v>
      </c>
      <c r="Z1091">
        <v>-2.8888160000000002E-3</v>
      </c>
      <c r="AA1091">
        <v>0.96684930000000002</v>
      </c>
      <c r="AB1091">
        <v>35</v>
      </c>
      <c r="AC1091">
        <v>72.992199999999997</v>
      </c>
      <c r="AD1091">
        <v>-1.1378520000000001</v>
      </c>
      <c r="AE1091">
        <v>-19.244800000000001</v>
      </c>
      <c r="AF1091">
        <v>19.316085945550402</v>
      </c>
      <c r="AG1091">
        <v>-1.1378520000000001</v>
      </c>
      <c r="AH1091">
        <v>72.955629525963701</v>
      </c>
      <c r="AI1091">
        <v>90.863782554179195</v>
      </c>
      <c r="AJ1091">
        <v>75.170362978411902</v>
      </c>
      <c r="AK1091">
        <v>75.4780084723985</v>
      </c>
      <c r="AL1091">
        <v>79.460536926206402</v>
      </c>
      <c r="AM1091">
        <v>91.805728075418003</v>
      </c>
      <c r="AN1091">
        <v>0.99999994847608098</v>
      </c>
    </row>
    <row r="1092" spans="1:40" x14ac:dyDescent="0.25">
      <c r="A1092" t="str">
        <f>"20190304155614110"</f>
        <v>20190304155614110</v>
      </c>
      <c r="B1092" t="str">
        <f>"1551686174105828"</f>
        <v>1551686174105828</v>
      </c>
      <c r="C1092" t="s">
        <v>40</v>
      </c>
      <c r="D1092">
        <v>4.720129</v>
      </c>
      <c r="E1092">
        <v>0.61192329999999995</v>
      </c>
      <c r="F1092" t="s">
        <v>44</v>
      </c>
      <c r="G1092">
        <v>-203.2259</v>
      </c>
      <c r="H1092">
        <v>-0.05</v>
      </c>
      <c r="I1092">
        <v>347.90710000000001</v>
      </c>
      <c r="J1092">
        <v>-275.78469999999999</v>
      </c>
      <c r="K1092">
        <v>1.089367</v>
      </c>
      <c r="L1092">
        <v>367.05160000000001</v>
      </c>
      <c r="M1092">
        <v>0.99997210000000003</v>
      </c>
      <c r="N1092">
        <v>-7.4060599999999999E-3</v>
      </c>
      <c r="O1092">
        <v>1.0370150000000001E-3</v>
      </c>
      <c r="P1092">
        <v>0.98389260000000001</v>
      </c>
      <c r="Q1092">
        <v>0.175899</v>
      </c>
      <c r="R1092">
        <v>3.1860560000000003E-2</v>
      </c>
      <c r="S1092">
        <v>3.0841370000000001</v>
      </c>
      <c r="T1092">
        <v>-4.8242449999999999E-2</v>
      </c>
      <c r="U1092">
        <v>-0.81167599999999995</v>
      </c>
      <c r="V1092">
        <v>-3.0833180000000002E-2</v>
      </c>
      <c r="W1092">
        <v>0.18318229999999999</v>
      </c>
      <c r="X1092">
        <v>0.98259529999999995</v>
      </c>
      <c r="Y1092">
        <v>0.25547009999999998</v>
      </c>
      <c r="Z1092">
        <v>-2.9348270000000001E-3</v>
      </c>
      <c r="AA1092">
        <v>0.96681249999999996</v>
      </c>
      <c r="AB1092">
        <v>35</v>
      </c>
      <c r="AC1092">
        <v>72.558799999999906</v>
      </c>
      <c r="AD1092">
        <v>-1.139367</v>
      </c>
      <c r="AE1092">
        <v>-19.144499999999901</v>
      </c>
      <c r="AF1092">
        <v>19.215306707047201</v>
      </c>
      <c r="AG1092">
        <v>-1.139367</v>
      </c>
      <c r="AH1092">
        <v>72.522189080463207</v>
      </c>
      <c r="AI1092">
        <v>90.870059576000003</v>
      </c>
      <c r="AJ1092">
        <v>75.160041762797505</v>
      </c>
      <c r="AK1092">
        <v>75.033286466934399</v>
      </c>
      <c r="AL1092">
        <v>79.444824863040793</v>
      </c>
      <c r="AM1092">
        <v>91.797313285439998</v>
      </c>
      <c r="AN1092">
        <v>0.999999981802146</v>
      </c>
    </row>
    <row r="1093" spans="1:40" x14ac:dyDescent="0.25">
      <c r="A1093" t="str">
        <f>"20190304155614121"</f>
        <v>20190304155614121</v>
      </c>
      <c r="B1093" t="str">
        <f>"1551686174115588"</f>
        <v>1551686174115588</v>
      </c>
      <c r="C1093" t="s">
        <v>40</v>
      </c>
      <c r="D1093">
        <v>4.1957360000000001</v>
      </c>
      <c r="E1093">
        <v>0.61192329999999995</v>
      </c>
      <c r="F1093" t="s">
        <v>44</v>
      </c>
      <c r="G1093">
        <v>-203.8597</v>
      </c>
      <c r="H1093">
        <v>-0.05</v>
      </c>
      <c r="I1093">
        <v>348.13029999999998</v>
      </c>
      <c r="J1093">
        <v>-275.60559999999998</v>
      </c>
      <c r="K1093">
        <v>1.0907530000000001</v>
      </c>
      <c r="L1093">
        <v>367.05180000000001</v>
      </c>
      <c r="M1093">
        <v>0.99997009999999997</v>
      </c>
      <c r="N1093">
        <v>-7.6666340000000003E-3</v>
      </c>
      <c r="O1093">
        <v>1.037041E-3</v>
      </c>
      <c r="P1093">
        <v>0.98389990000000005</v>
      </c>
      <c r="Q1093">
        <v>0.17589739999999901</v>
      </c>
      <c r="R1093">
        <v>3.1641009999999997E-2</v>
      </c>
      <c r="S1093">
        <v>3.0841370000000001</v>
      </c>
      <c r="T1093">
        <v>-4.8855900000000001E-2</v>
      </c>
      <c r="U1093">
        <v>-0.81134030000000001</v>
      </c>
      <c r="V1093">
        <v>-3.0613359999999999E-2</v>
      </c>
      <c r="W1093">
        <v>0.18343680000000001</v>
      </c>
      <c r="X1093">
        <v>0.9825547</v>
      </c>
      <c r="Y1093">
        <v>0.25537019999999999</v>
      </c>
      <c r="Z1093">
        <v>-2.992438E-3</v>
      </c>
      <c r="AA1093">
        <v>0.96683869999999905</v>
      </c>
      <c r="AB1093">
        <v>35</v>
      </c>
      <c r="AC1093">
        <v>71.745899999999907</v>
      </c>
      <c r="AD1093">
        <v>-1.1407529999999999</v>
      </c>
      <c r="AE1093">
        <v>-18.921500000000002</v>
      </c>
      <c r="AF1093">
        <v>18.991406509270899</v>
      </c>
      <c r="AG1093">
        <v>-1.1407529999999999</v>
      </c>
      <c r="AH1093">
        <v>71.709288767355602</v>
      </c>
      <c r="AI1093">
        <v>90.881017194105894</v>
      </c>
      <c r="AJ1093">
        <v>75.166399944704807</v>
      </c>
      <c r="AK1093">
        <v>74.190275199162002</v>
      </c>
      <c r="AL1093">
        <v>79.429991808922907</v>
      </c>
      <c r="AM1093">
        <v>91.784581645328899</v>
      </c>
      <c r="AN1093">
        <v>0.99999998794840905</v>
      </c>
    </row>
    <row r="1094" spans="1:40" x14ac:dyDescent="0.25">
      <c r="A1094" t="str">
        <f>"20190304155614133"</f>
        <v>20190304155614133</v>
      </c>
      <c r="B1094" t="str">
        <f>"1551686174125348"</f>
        <v>1551686174125348</v>
      </c>
      <c r="C1094" t="s">
        <v>40</v>
      </c>
      <c r="D1094">
        <v>4.2481350000000004</v>
      </c>
      <c r="E1094">
        <v>0.56326669999999901</v>
      </c>
      <c r="F1094" t="s">
        <v>44</v>
      </c>
      <c r="G1094">
        <v>-203.38640000000001</v>
      </c>
      <c r="H1094">
        <v>-0.05</v>
      </c>
      <c r="I1094">
        <v>348.02969999999999</v>
      </c>
      <c r="J1094">
        <v>-275.43970000000002</v>
      </c>
      <c r="K1094">
        <v>1.092014</v>
      </c>
      <c r="L1094">
        <v>367.05200000000002</v>
      </c>
      <c r="M1094">
        <v>0.99996819999999997</v>
      </c>
      <c r="N1094">
        <v>-7.9114830000000004E-3</v>
      </c>
      <c r="O1094">
        <v>1.0370959999999999E-3</v>
      </c>
      <c r="P1094">
        <v>0.98385789999999995</v>
      </c>
      <c r="Q1094">
        <v>0.17618539999999999</v>
      </c>
      <c r="R1094">
        <v>3.134489E-2</v>
      </c>
      <c r="S1094">
        <v>3.083923</v>
      </c>
      <c r="T1094">
        <v>-4.8712730000000003E-2</v>
      </c>
      <c r="U1094">
        <v>-0.81228639999999996</v>
      </c>
      <c r="V1094">
        <v>-3.0317029999999998E-2</v>
      </c>
      <c r="W1094">
        <v>0.18396509999999999</v>
      </c>
      <c r="X1094">
        <v>0.98246509999999998</v>
      </c>
      <c r="Y1094">
        <v>0.2556638</v>
      </c>
      <c r="Z1094">
        <v>-3.0216639999999999E-3</v>
      </c>
      <c r="AA1094">
        <v>0.96676110000000004</v>
      </c>
      <c r="AB1094">
        <v>35</v>
      </c>
      <c r="AC1094">
        <v>72.053299999999993</v>
      </c>
      <c r="AD1094">
        <v>-1.1420139999999901</v>
      </c>
      <c r="AE1094">
        <v>-19.022299999999898</v>
      </c>
      <c r="AF1094">
        <v>19.092534583603101</v>
      </c>
      <c r="AG1094">
        <v>-1.1420139999999901</v>
      </c>
      <c r="AH1094">
        <v>72.016620220267399</v>
      </c>
      <c r="AI1094">
        <v>90.878168039365605</v>
      </c>
      <c r="AJ1094">
        <v>75.151729209499507</v>
      </c>
      <c r="AK1094">
        <v>74.513238157742904</v>
      </c>
      <c r="AL1094">
        <v>79.399198288715098</v>
      </c>
      <c r="AM1094">
        <v>91.767479406188599</v>
      </c>
      <c r="AN1094">
        <v>0.99999997652202</v>
      </c>
    </row>
    <row r="1095" spans="1:40" x14ac:dyDescent="0.25">
      <c r="A1095" t="str">
        <f>"20190304155614143"</f>
        <v>20190304155614143</v>
      </c>
      <c r="B1095" t="str">
        <f>"1551686174136084"</f>
        <v>1551686174136084</v>
      </c>
      <c r="C1095" t="s">
        <v>40</v>
      </c>
      <c r="D1095">
        <v>4.5387950000000004</v>
      </c>
      <c r="E1095">
        <v>0.55437609999999904</v>
      </c>
      <c r="F1095" t="s">
        <v>41</v>
      </c>
      <c r="G1095">
        <v>-252.94280000000001</v>
      </c>
      <c r="H1095" s="1">
        <v>-4.0167869999999997E-6</v>
      </c>
      <c r="I1095">
        <v>363.93970000000002</v>
      </c>
      <c r="J1095">
        <v>-275.26319999999998</v>
      </c>
      <c r="K1095">
        <v>1.0932809999999999</v>
      </c>
      <c r="L1095">
        <v>367.05220000000003</v>
      </c>
      <c r="M1095">
        <v>0.99996600000000002</v>
      </c>
      <c r="N1095">
        <v>-8.1833870000000003E-3</v>
      </c>
      <c r="O1095">
        <v>1.0371880000000001E-3</v>
      </c>
      <c r="P1095">
        <v>0.9838789</v>
      </c>
      <c r="Q1095">
        <v>0.17606629999999901</v>
      </c>
      <c r="R1095">
        <v>3.1354699999999999E-2</v>
      </c>
      <c r="S1095">
        <v>3.0896910000000002</v>
      </c>
      <c r="T1095">
        <v>-0.14997550000000001</v>
      </c>
      <c r="U1095">
        <v>-0.42742920000000001</v>
      </c>
      <c r="V1095">
        <v>-3.0326949999999998E-2</v>
      </c>
      <c r="W1095">
        <v>0.1841132</v>
      </c>
      <c r="X1095">
        <v>0.98243709999999995</v>
      </c>
      <c r="Y1095">
        <v>0.13787530000000001</v>
      </c>
      <c r="Z1095">
        <v>-3.9373300000000002E-3</v>
      </c>
      <c r="AA1095">
        <v>0.99044169999999998</v>
      </c>
      <c r="AB1095">
        <v>35</v>
      </c>
      <c r="AC1095">
        <v>22.3203999999999</v>
      </c>
      <c r="AD1095">
        <v>-1.0932850167870001</v>
      </c>
      <c r="AE1095">
        <v>-3.11250000000001</v>
      </c>
      <c r="AF1095">
        <v>3.12828738624835</v>
      </c>
      <c r="AG1095">
        <v>-1.0932850167870001</v>
      </c>
      <c r="AH1095">
        <v>22.264761366389202</v>
      </c>
      <c r="AI1095">
        <v>92.783883251717</v>
      </c>
      <c r="AJ1095">
        <v>82.002071232551302</v>
      </c>
      <c r="AK1095">
        <v>22.510021163942699</v>
      </c>
      <c r="AL1095">
        <v>79.390565842158907</v>
      </c>
      <c r="AM1095">
        <v>91.768107732675801</v>
      </c>
      <c r="AN1095">
        <v>1.00000002488347</v>
      </c>
    </row>
    <row r="1096" spans="1:40" x14ac:dyDescent="0.25">
      <c r="A1096" t="str">
        <f>"20190304155614154"</f>
        <v>20190304155614154</v>
      </c>
      <c r="B1096" t="str">
        <f>"1551686174145844"</f>
        <v>1551686174145844</v>
      </c>
      <c r="C1096" t="s">
        <v>40</v>
      </c>
      <c r="D1096">
        <v>4.5499099999999997</v>
      </c>
      <c r="E1096">
        <v>0.5505314</v>
      </c>
      <c r="F1096" t="s">
        <v>41</v>
      </c>
      <c r="G1096">
        <v>-251.32259999999999</v>
      </c>
      <c r="H1096" s="1">
        <v>-4.6503299999999997E-6</v>
      </c>
      <c r="I1096">
        <v>364.28640000000001</v>
      </c>
      <c r="J1096">
        <v>-275.09059999999999</v>
      </c>
      <c r="K1096">
        <v>1.0944670000000001</v>
      </c>
      <c r="L1096">
        <v>367.0523</v>
      </c>
      <c r="M1096">
        <v>0.99996379999999996</v>
      </c>
      <c r="N1096">
        <v>-8.4508399999999994E-3</v>
      </c>
      <c r="O1096">
        <v>1.037084E-3</v>
      </c>
      <c r="P1096">
        <v>0.98389199999999999</v>
      </c>
      <c r="Q1096">
        <v>0.1760108</v>
      </c>
      <c r="R1096">
        <v>3.1259549999999997E-2</v>
      </c>
      <c r="S1096">
        <v>3.0857239999999999</v>
      </c>
      <c r="T1096">
        <v>-0.14091409999999999</v>
      </c>
      <c r="U1096">
        <v>-0.35647579999999901</v>
      </c>
      <c r="V1096">
        <v>-3.0232060000000002E-2</v>
      </c>
      <c r="W1096">
        <v>0.18432080000000001</v>
      </c>
      <c r="X1096">
        <v>0.98240110000000003</v>
      </c>
      <c r="Y1096">
        <v>0.1156493</v>
      </c>
      <c r="Z1096">
        <v>-3.1595780000000001E-3</v>
      </c>
      <c r="AA1096">
        <v>0.99328510000000003</v>
      </c>
      <c r="AB1096">
        <v>35</v>
      </c>
      <c r="AC1096">
        <v>23.768000000000001</v>
      </c>
      <c r="AD1096">
        <v>-1.0944716503299901</v>
      </c>
      <c r="AE1096">
        <v>-2.7658999999999798</v>
      </c>
      <c r="AF1096">
        <v>2.7847228919944</v>
      </c>
      <c r="AG1096">
        <v>-1.0944716503299901</v>
      </c>
      <c r="AH1096">
        <v>23.715503496501999</v>
      </c>
      <c r="AI1096">
        <v>92.624323599823498</v>
      </c>
      <c r="AJ1096">
        <v>83.302879925617106</v>
      </c>
      <c r="AK1096">
        <v>23.903507187673799</v>
      </c>
      <c r="AL1096">
        <v>79.378464158681595</v>
      </c>
      <c r="AM1096">
        <v>91.762643543934502</v>
      </c>
      <c r="AN1096">
        <v>1.00000002802284</v>
      </c>
    </row>
    <row r="1097" spans="1:40" x14ac:dyDescent="0.25">
      <c r="A1097" t="str">
        <f>"20190304155614166"</f>
        <v>20190304155614166</v>
      </c>
      <c r="B1097" t="str">
        <f>"1551686174155604"</f>
        <v>1551686174155604</v>
      </c>
      <c r="C1097" t="s">
        <v>40</v>
      </c>
      <c r="D1097">
        <v>4.667084</v>
      </c>
      <c r="E1097">
        <v>0.54884790000000006</v>
      </c>
      <c r="F1097" t="s">
        <v>41</v>
      </c>
      <c r="G1097">
        <v>-250.47890000000001</v>
      </c>
      <c r="H1097" s="1">
        <v>-4.9827480000000002E-6</v>
      </c>
      <c r="I1097">
        <v>364.45280000000002</v>
      </c>
      <c r="J1097">
        <v>-274.90190000000001</v>
      </c>
      <c r="K1097">
        <v>1.0956950000000001</v>
      </c>
      <c r="L1097">
        <v>367.05250000000001</v>
      </c>
      <c r="M1097">
        <v>0.99996119999999999</v>
      </c>
      <c r="N1097">
        <v>-8.7453909999999999E-3</v>
      </c>
      <c r="O1097">
        <v>1.037123E-3</v>
      </c>
      <c r="P1097">
        <v>0.98388909999999996</v>
      </c>
      <c r="Q1097">
        <v>0.1760736</v>
      </c>
      <c r="R1097">
        <v>3.098598E-2</v>
      </c>
      <c r="S1097">
        <v>3.0840450000000001</v>
      </c>
      <c r="T1097">
        <v>-0.13714609999999999</v>
      </c>
      <c r="U1097">
        <v>-0.3257446</v>
      </c>
      <c r="V1097">
        <v>-2.995834E-2</v>
      </c>
      <c r="W1097">
        <v>0.1846728</v>
      </c>
      <c r="X1097">
        <v>0.98234339999999998</v>
      </c>
      <c r="Y1097">
        <v>0.10594480000000001</v>
      </c>
      <c r="Z1097">
        <v>-2.849734E-3</v>
      </c>
      <c r="AA1097">
        <v>0.99436800000000003</v>
      </c>
      <c r="AB1097">
        <v>35</v>
      </c>
      <c r="AC1097">
        <v>24.422999999999998</v>
      </c>
      <c r="AD1097">
        <v>-1.0956999827480001</v>
      </c>
      <c r="AE1097">
        <v>-2.5996999999999799</v>
      </c>
      <c r="AF1097">
        <v>2.6198153238941102</v>
      </c>
      <c r="AG1097">
        <v>-1.0956999827480001</v>
      </c>
      <c r="AH1097">
        <v>24.371786328874101</v>
      </c>
      <c r="AI1097">
        <v>92.559429598015598</v>
      </c>
      <c r="AJ1097">
        <v>83.864619233254004</v>
      </c>
      <c r="AK1097">
        <v>24.5366656178829</v>
      </c>
      <c r="AL1097">
        <v>79.357944014136507</v>
      </c>
      <c r="AM1097">
        <v>91.746797095056706</v>
      </c>
      <c r="AN1097">
        <v>1.0000000503594699</v>
      </c>
    </row>
    <row r="1098" spans="1:40" x14ac:dyDescent="0.25">
      <c r="A1098" t="str">
        <f>"20190304155614178"</f>
        <v>20190304155614178</v>
      </c>
      <c r="B1098" t="str">
        <f>"1551686174165364"</f>
        <v>1551686174165364</v>
      </c>
      <c r="C1098" t="s">
        <v>40</v>
      </c>
      <c r="D1098">
        <v>4.7758459999999996</v>
      </c>
      <c r="E1098">
        <v>0.54559559999999996</v>
      </c>
      <c r="F1098" t="s">
        <v>41</v>
      </c>
      <c r="G1098">
        <v>-250.42939999999999</v>
      </c>
      <c r="H1098" s="1">
        <v>-4.9836099999999999E-6</v>
      </c>
      <c r="I1098">
        <v>364.56760000000003</v>
      </c>
      <c r="J1098">
        <v>-274.7296</v>
      </c>
      <c r="K1098">
        <v>1.0967420000000001</v>
      </c>
      <c r="L1098">
        <v>367.05270000000002</v>
      </c>
      <c r="M1098">
        <v>0.99995900000000004</v>
      </c>
      <c r="N1098">
        <v>-9.0109579999999995E-3</v>
      </c>
      <c r="O1098">
        <v>1.0369520000000001E-3</v>
      </c>
      <c r="P1098">
        <v>0.98388050000000005</v>
      </c>
      <c r="Q1098">
        <v>0.176154799999999</v>
      </c>
      <c r="R1098">
        <v>3.0802010000000001E-2</v>
      </c>
      <c r="S1098">
        <v>3.0836790000000001</v>
      </c>
      <c r="T1098">
        <v>-0.13806470000000001</v>
      </c>
      <c r="U1098">
        <v>-0.31311040000000001</v>
      </c>
      <c r="V1098">
        <v>-2.9774180000000001E-2</v>
      </c>
      <c r="W1098">
        <v>0.18501490000000001</v>
      </c>
      <c r="X1098">
        <v>0.98228459999999995</v>
      </c>
      <c r="Y1098">
        <v>0.1019279</v>
      </c>
      <c r="Z1098">
        <v>-2.7724770000000002E-3</v>
      </c>
      <c r="AA1098">
        <v>0.99478789999999995</v>
      </c>
      <c r="AB1098">
        <v>35</v>
      </c>
      <c r="AC1098">
        <v>24.3002</v>
      </c>
      <c r="AD1098">
        <v>-1.0967469836099999</v>
      </c>
      <c r="AE1098">
        <v>-2.4850999999999801</v>
      </c>
      <c r="AF1098">
        <v>2.5052474292771101</v>
      </c>
      <c r="AG1098">
        <v>-1.0967469836099999</v>
      </c>
      <c r="AH1098">
        <v>24.248726246296702</v>
      </c>
      <c r="AI1098">
        <v>92.575976325951402</v>
      </c>
      <c r="AJ1098">
        <v>84.1014370112633</v>
      </c>
      <c r="AK1098">
        <v>24.4024556796195</v>
      </c>
      <c r="AL1098">
        <v>79.337999170761194</v>
      </c>
      <c r="AM1098">
        <v>91.736169628021898</v>
      </c>
      <c r="AN1098">
        <v>1.0000000252069201</v>
      </c>
    </row>
    <row r="1099" spans="1:40" x14ac:dyDescent="0.25">
      <c r="A1099" t="str">
        <f>"20190304155614191"</f>
        <v>20190304155614191</v>
      </c>
      <c r="B1099" t="str">
        <f>"1551686174185859"</f>
        <v>1551686174185859</v>
      </c>
      <c r="C1099" t="s">
        <v>40</v>
      </c>
      <c r="D1099">
        <v>4.4718</v>
      </c>
      <c r="E1099">
        <v>0.54338679999999995</v>
      </c>
      <c r="F1099" t="s">
        <v>41</v>
      </c>
      <c r="G1099">
        <v>-248.78440000000001</v>
      </c>
      <c r="H1099" s="1">
        <v>-1.7770549999999999E-6</v>
      </c>
      <c r="I1099">
        <v>364.6327</v>
      </c>
      <c r="J1099">
        <v>-274.51069999999999</v>
      </c>
      <c r="K1099">
        <v>1.0980110000000001</v>
      </c>
      <c r="L1099">
        <v>367.05290000000002</v>
      </c>
      <c r="M1099">
        <v>0.99995590000000001</v>
      </c>
      <c r="N1099">
        <v>-9.3453080000000001E-3</v>
      </c>
      <c r="O1099">
        <v>1.037318E-3</v>
      </c>
      <c r="P1099">
        <v>0.98391030000000002</v>
      </c>
      <c r="Q1099">
        <v>0.17603859999999999</v>
      </c>
      <c r="R1099">
        <v>3.050928E-2</v>
      </c>
      <c r="S1099">
        <v>3.0814509999999999</v>
      </c>
      <c r="T1099">
        <v>-0.1302574</v>
      </c>
      <c r="U1099">
        <v>-0.28741460000000002</v>
      </c>
      <c r="V1099">
        <v>-2.9481170000000001E-2</v>
      </c>
      <c r="W1099">
        <v>0.18522710000000001</v>
      </c>
      <c r="X1099">
        <v>0.98225340000000005</v>
      </c>
      <c r="Y1099">
        <v>9.3800090000000003E-2</v>
      </c>
      <c r="Z1099">
        <v>-2.4509179999999998E-3</v>
      </c>
      <c r="AA1099">
        <v>0.99558809999999998</v>
      </c>
      <c r="AB1099">
        <v>35</v>
      </c>
      <c r="AC1099">
        <v>25.726299999999899</v>
      </c>
      <c r="AD1099">
        <v>-1.0980127770550001</v>
      </c>
      <c r="AE1099">
        <v>-2.4202000000000199</v>
      </c>
      <c r="AF1099">
        <v>2.4424759585320701</v>
      </c>
      <c r="AG1099">
        <v>-1.0980127770550001</v>
      </c>
      <c r="AH1099">
        <v>25.677411122703901</v>
      </c>
      <c r="AI1099">
        <v>92.437590340201197</v>
      </c>
      <c r="AJ1099">
        <v>84.5662837722506</v>
      </c>
      <c r="AK1099">
        <v>25.816676060851499</v>
      </c>
      <c r="AL1099">
        <v>79.3256266761653</v>
      </c>
      <c r="AM1099">
        <v>91.719148724083794</v>
      </c>
      <c r="AN1099">
        <v>0.99999997988526901</v>
      </c>
    </row>
    <row r="1100" spans="1:40" x14ac:dyDescent="0.25">
      <c r="A1100" t="str">
        <f>"20190304155614205"</f>
        <v>20190304155614205</v>
      </c>
      <c r="B1100" t="str">
        <f>"1551686174195620"</f>
        <v>1551686174195620</v>
      </c>
      <c r="C1100" t="s">
        <v>40</v>
      </c>
      <c r="D1100">
        <v>4.6963010000000001</v>
      </c>
      <c r="E1100">
        <v>0.54297740000000005</v>
      </c>
      <c r="F1100" t="s">
        <v>41</v>
      </c>
      <c r="G1100">
        <v>-246.82919999999999</v>
      </c>
      <c r="H1100" s="1">
        <v>-2.5310800000000001E-6</v>
      </c>
      <c r="I1100">
        <v>364.6207</v>
      </c>
      <c r="J1100">
        <v>-274.2953</v>
      </c>
      <c r="K1100">
        <v>1.0991420000000001</v>
      </c>
      <c r="L1100">
        <v>367.05309999999997</v>
      </c>
      <c r="M1100">
        <v>0.99995279999999998</v>
      </c>
      <c r="N1100">
        <v>-9.6633020000000003E-3</v>
      </c>
      <c r="O1100">
        <v>1.03729E-3</v>
      </c>
      <c r="P1100">
        <v>0.98394890000000002</v>
      </c>
      <c r="Q1100">
        <v>0.17585110000000001</v>
      </c>
      <c r="R1100">
        <v>3.0347209999999999E-2</v>
      </c>
      <c r="S1100">
        <v>3.0793149999999998</v>
      </c>
      <c r="T1100">
        <v>-0.12214410000000001</v>
      </c>
      <c r="U1100">
        <v>-0.2705688</v>
      </c>
      <c r="V1100">
        <v>-2.9319350000000001E-2</v>
      </c>
      <c r="W1100">
        <v>0.1853523</v>
      </c>
      <c r="X1100">
        <v>0.98223470000000002</v>
      </c>
      <c r="Y1100">
        <v>8.8476189999999996E-2</v>
      </c>
      <c r="Z1100">
        <v>-2.2102649999999999E-3</v>
      </c>
      <c r="AA1100">
        <v>0.99607590000000001</v>
      </c>
      <c r="AB1100">
        <v>35</v>
      </c>
      <c r="AC1100">
        <v>27.466100000000001</v>
      </c>
      <c r="AD1100">
        <v>-1.0991445310799901</v>
      </c>
      <c r="AE1100">
        <v>-2.4323999999999701</v>
      </c>
      <c r="AF1100">
        <v>2.4569861906363699</v>
      </c>
      <c r="AG1100">
        <v>-1.0991445310799901</v>
      </c>
      <c r="AH1100">
        <v>27.419991745772698</v>
      </c>
      <c r="AI1100">
        <v>92.286351308422994</v>
      </c>
      <c r="AJ1100">
        <v>84.879649260014702</v>
      </c>
      <c r="AK1100">
        <v>27.551784827473998</v>
      </c>
      <c r="AL1100">
        <v>79.318327626312197</v>
      </c>
      <c r="AM1100">
        <v>91.7097505883808</v>
      </c>
      <c r="AN1100">
        <v>1.0000000526419</v>
      </c>
    </row>
    <row r="1101" spans="1:40" x14ac:dyDescent="0.25">
      <c r="A1101" t="str">
        <f>"20190304155614219"</f>
        <v>20190304155614219</v>
      </c>
      <c r="B1101" t="str">
        <f>"1551686174216117"</f>
        <v>1551686174216117</v>
      </c>
      <c r="C1101" t="s">
        <v>40</v>
      </c>
      <c r="D1101">
        <v>4.5376260000000004</v>
      </c>
      <c r="E1101">
        <v>0.5417691</v>
      </c>
      <c r="F1101" t="s">
        <v>41</v>
      </c>
      <c r="G1101">
        <v>-244.34059999999999</v>
      </c>
      <c r="H1101" s="1">
        <v>-3.572098E-6</v>
      </c>
      <c r="I1101">
        <v>364.45030000000003</v>
      </c>
      <c r="J1101">
        <v>-274.08049999999997</v>
      </c>
      <c r="K1101">
        <v>1.100187</v>
      </c>
      <c r="L1101">
        <v>367.05340000000001</v>
      </c>
      <c r="M1101">
        <v>0.99994989999999995</v>
      </c>
      <c r="N1101">
        <v>-9.9692310000000003E-3</v>
      </c>
      <c r="O1101">
        <v>1.037152E-3</v>
      </c>
      <c r="P1101">
        <v>0.98402909999999999</v>
      </c>
      <c r="Q1101">
        <v>0.17548800000000001</v>
      </c>
      <c r="R1101">
        <v>2.984858E-2</v>
      </c>
      <c r="S1101">
        <v>3.0773619999999999</v>
      </c>
      <c r="T1101">
        <v>-0.1129193</v>
      </c>
      <c r="U1101">
        <v>-0.26739499999999999</v>
      </c>
      <c r="V1101">
        <v>-2.8820869999999998E-2</v>
      </c>
      <c r="W1101">
        <v>0.18529039999999999</v>
      </c>
      <c r="X1101">
        <v>0.9822611</v>
      </c>
      <c r="Y1101">
        <v>8.7523260000000005E-2</v>
      </c>
      <c r="Z1101">
        <v>-2.0671550000000002E-3</v>
      </c>
      <c r="AA1101">
        <v>0.9961603</v>
      </c>
      <c r="AB1101">
        <v>35</v>
      </c>
      <c r="AC1101">
        <v>29.739899999999899</v>
      </c>
      <c r="AD1101">
        <v>-1.1001905720980001</v>
      </c>
      <c r="AE1101">
        <v>-2.60309999999998</v>
      </c>
      <c r="AF1101">
        <v>2.63037253007723</v>
      </c>
      <c r="AG1101">
        <v>-1.1001905720980001</v>
      </c>
      <c r="AH1101">
        <v>29.6968517893438</v>
      </c>
      <c r="AI1101">
        <v>92.113421680619993</v>
      </c>
      <c r="AJ1101">
        <v>84.938286153126697</v>
      </c>
      <c r="AK1101">
        <v>29.833408875624201</v>
      </c>
      <c r="AL1101">
        <v>79.321936418258105</v>
      </c>
      <c r="AM1101">
        <v>91.6806535218862</v>
      </c>
      <c r="AN1101">
        <v>1.00000002172646</v>
      </c>
    </row>
    <row r="1102" spans="1:40" x14ac:dyDescent="0.25">
      <c r="A1102" t="str">
        <f>"20190304155614231"</f>
        <v>20190304155614231</v>
      </c>
      <c r="B1102" t="str">
        <f>"1551686174225876"</f>
        <v>1551686174225876</v>
      </c>
      <c r="C1102" t="s">
        <v>40</v>
      </c>
      <c r="D1102">
        <v>4.558694</v>
      </c>
      <c r="E1102">
        <v>0.54173689999999997</v>
      </c>
      <c r="F1102" t="s">
        <v>41</v>
      </c>
      <c r="G1102">
        <v>-243.65610000000001</v>
      </c>
      <c r="H1102" s="1">
        <v>-3.8893549999999998E-6</v>
      </c>
      <c r="I1102">
        <v>364.48590000000002</v>
      </c>
      <c r="J1102">
        <v>-273.89089999999999</v>
      </c>
      <c r="K1102">
        <v>1.101059</v>
      </c>
      <c r="L1102">
        <v>367.05360000000002</v>
      </c>
      <c r="M1102">
        <v>0.99994720000000004</v>
      </c>
      <c r="N1102">
        <v>-1.023247E-2</v>
      </c>
      <c r="O1102">
        <v>1.0371270000000001E-3</v>
      </c>
      <c r="P1102">
        <v>0.98413830000000002</v>
      </c>
      <c r="Q1102">
        <v>0.17490620000000001</v>
      </c>
      <c r="R1102">
        <v>2.966645E-2</v>
      </c>
      <c r="S1102">
        <v>3.076416</v>
      </c>
      <c r="T1102">
        <v>-0.1112477</v>
      </c>
      <c r="U1102">
        <v>-0.25961299999999998</v>
      </c>
      <c r="V1102">
        <v>-2.8638569999999999E-2</v>
      </c>
      <c r="W1102">
        <v>0.18496850000000001</v>
      </c>
      <c r="X1102">
        <v>0.98232710000000001</v>
      </c>
      <c r="Y1102">
        <v>8.5051479999999999E-2</v>
      </c>
      <c r="Z1102">
        <v>-1.9975079999999998E-3</v>
      </c>
      <c r="AA1102">
        <v>0.99637450000000005</v>
      </c>
      <c r="AB1102">
        <v>35</v>
      </c>
      <c r="AC1102">
        <v>30.2347999999999</v>
      </c>
      <c r="AD1102">
        <v>-1.1010628893549901</v>
      </c>
      <c r="AE1102">
        <v>-2.5676999999999999</v>
      </c>
      <c r="AF1102">
        <v>2.59563988893676</v>
      </c>
      <c r="AG1102">
        <v>-1.1010628893549901</v>
      </c>
      <c r="AH1102">
        <v>30.192366078482198</v>
      </c>
      <c r="AI1102">
        <v>92.080882709310799</v>
      </c>
      <c r="AJ1102">
        <v>85.0863592698595</v>
      </c>
      <c r="AK1102">
        <v>30.323730894077599</v>
      </c>
      <c r="AL1102">
        <v>79.340704357893898</v>
      </c>
      <c r="AM1102">
        <v>91.669916819775594</v>
      </c>
      <c r="AN1102">
        <v>1.0000000225391501</v>
      </c>
    </row>
    <row r="1103" spans="1:40" x14ac:dyDescent="0.25">
      <c r="A1103" t="str">
        <f>"20190304155614242"</f>
        <v>20190304155614242</v>
      </c>
      <c r="B1103" t="str">
        <f>"1551686174235636"</f>
        <v>1551686174235636</v>
      </c>
      <c r="C1103" t="s">
        <v>40</v>
      </c>
      <c r="D1103">
        <v>4.5990199999999897</v>
      </c>
      <c r="E1103">
        <v>0.54147849999999997</v>
      </c>
      <c r="F1103" t="s">
        <v>41</v>
      </c>
      <c r="G1103">
        <v>-244.97499999999999</v>
      </c>
      <c r="H1103" s="1">
        <v>-3.2459309999999999E-6</v>
      </c>
      <c r="I1103">
        <v>364.61009999999999</v>
      </c>
      <c r="J1103">
        <v>-273.71870000000001</v>
      </c>
      <c r="K1103">
        <v>1.1017680000000001</v>
      </c>
      <c r="L1103">
        <v>367.05380000000002</v>
      </c>
      <c r="M1103">
        <v>0.99994470000000002</v>
      </c>
      <c r="N1103">
        <v>-1.0458179999999999E-2</v>
      </c>
      <c r="O1103">
        <v>1.037325E-3</v>
      </c>
      <c r="P1103">
        <v>0.98420459999999999</v>
      </c>
      <c r="Q1103">
        <v>0.17458750000000001</v>
      </c>
      <c r="R1103">
        <v>2.933943E-2</v>
      </c>
      <c r="S1103">
        <v>3.077026</v>
      </c>
      <c r="T1103">
        <v>-0.1171671</v>
      </c>
      <c r="U1103">
        <v>-0.26000980000000001</v>
      </c>
      <c r="V1103">
        <v>-2.8311670000000001E-2</v>
      </c>
      <c r="W1103">
        <v>0.18487239999999999</v>
      </c>
      <c r="X1103">
        <v>0.98235459999999997</v>
      </c>
      <c r="Y1103">
        <v>8.5155309999999998E-2</v>
      </c>
      <c r="Z1103">
        <v>-2.092689E-3</v>
      </c>
      <c r="AA1103">
        <v>0.99636550000000002</v>
      </c>
      <c r="AB1103">
        <v>35</v>
      </c>
      <c r="AC1103">
        <v>28.7437</v>
      </c>
      <c r="AD1103">
        <v>-1.1017712459310001</v>
      </c>
      <c r="AE1103">
        <v>-2.44370000000003</v>
      </c>
      <c r="AF1103">
        <v>2.46991398148884</v>
      </c>
      <c r="AG1103">
        <v>-1.1017712459310001</v>
      </c>
      <c r="AH1103">
        <v>28.699285468945099</v>
      </c>
      <c r="AI1103">
        <v>92.190427705937694</v>
      </c>
      <c r="AJ1103">
        <v>85.081138650803496</v>
      </c>
      <c r="AK1103">
        <v>28.826435114011499</v>
      </c>
      <c r="AL1103">
        <v>79.346306409518604</v>
      </c>
      <c r="AM1103">
        <v>91.650819680406698</v>
      </c>
      <c r="AN1103">
        <v>0.99999995754055304</v>
      </c>
    </row>
    <row r="1104" spans="1:40" x14ac:dyDescent="0.25">
      <c r="A1104" t="str">
        <f>"20190304155614254"</f>
        <v>20190304155614254</v>
      </c>
      <c r="B1104" t="str">
        <f>"1551686174245397"</f>
        <v>1551686174245397</v>
      </c>
      <c r="C1104" t="s">
        <v>40</v>
      </c>
      <c r="D1104">
        <v>4.54758</v>
      </c>
      <c r="E1104">
        <v>0.54103080000000003</v>
      </c>
      <c r="F1104" t="s">
        <v>41</v>
      </c>
      <c r="G1104">
        <v>-244.73859999999999</v>
      </c>
      <c r="H1104" s="1">
        <v>-3.3547100000000001E-6</v>
      </c>
      <c r="I1104">
        <v>364.61500000000001</v>
      </c>
      <c r="J1104">
        <v>-273.53899999999999</v>
      </c>
      <c r="K1104">
        <v>1.1024750000000001</v>
      </c>
      <c r="L1104">
        <v>367.05399999999997</v>
      </c>
      <c r="M1104">
        <v>0.99994240000000001</v>
      </c>
      <c r="N1104">
        <v>-1.0688049999999999E-2</v>
      </c>
      <c r="O1104">
        <v>1.037297E-3</v>
      </c>
      <c r="P1104">
        <v>0.98424670000000003</v>
      </c>
      <c r="Q1104">
        <v>0.1744388</v>
      </c>
      <c r="R1104">
        <v>2.8803079999999998E-2</v>
      </c>
      <c r="S1104">
        <v>3.07666</v>
      </c>
      <c r="T1104">
        <v>-0.1169692</v>
      </c>
      <c r="U1104">
        <v>-0.25891110000000001</v>
      </c>
      <c r="V1104">
        <v>-2.777491E-2</v>
      </c>
      <c r="W1104">
        <v>0.18494969999999999</v>
      </c>
      <c r="X1104">
        <v>0.98235539999999999</v>
      </c>
      <c r="Y1104">
        <v>8.4812109999999996E-2</v>
      </c>
      <c r="Z1104">
        <v>-2.0913289999999998E-3</v>
      </c>
      <c r="AA1104">
        <v>0.99639480000000002</v>
      </c>
      <c r="AB1104">
        <v>35</v>
      </c>
      <c r="AC1104">
        <v>28.8004</v>
      </c>
      <c r="AD1104">
        <v>-1.1024783547100001</v>
      </c>
      <c r="AE1104">
        <v>-2.43900000000002</v>
      </c>
      <c r="AF1104">
        <v>2.46528816028572</v>
      </c>
      <c r="AG1104">
        <v>-1.1024783547100001</v>
      </c>
      <c r="AH1104">
        <v>28.756016645545301</v>
      </c>
      <c r="AI1104">
        <v>92.187573809967304</v>
      </c>
      <c r="AJ1104">
        <v>85.099944814074306</v>
      </c>
      <c r="AK1104">
        <v>28.882548321689502</v>
      </c>
      <c r="AL1104">
        <v>79.341800020088101</v>
      </c>
      <c r="AM1104">
        <v>91.619537356577695</v>
      </c>
      <c r="AN1104">
        <v>0.99999998453237804</v>
      </c>
    </row>
    <row r="1105" spans="1:40" x14ac:dyDescent="0.25">
      <c r="A1105" t="str">
        <f>"20190304155614264"</f>
        <v>20190304155614264</v>
      </c>
      <c r="B1105" t="str">
        <f>"1551686174256132"</f>
        <v>1551686174256132</v>
      </c>
      <c r="C1105" t="s">
        <v>40</v>
      </c>
      <c r="D1105">
        <v>4.5294349999999897</v>
      </c>
      <c r="E1105">
        <v>0.54067030000000005</v>
      </c>
      <c r="F1105" t="s">
        <v>41</v>
      </c>
      <c r="G1105">
        <v>-244.49100000000001</v>
      </c>
      <c r="H1105" s="1">
        <v>-3.4692179999999998E-6</v>
      </c>
      <c r="I1105">
        <v>364.6293</v>
      </c>
      <c r="J1105">
        <v>-273.36380000000003</v>
      </c>
      <c r="K1105">
        <v>1.1031070000000001</v>
      </c>
      <c r="L1105">
        <v>367.05410000000001</v>
      </c>
      <c r="M1105">
        <v>0.99994019999999995</v>
      </c>
      <c r="N1105">
        <v>-1.0901360000000001E-2</v>
      </c>
      <c r="O1105">
        <v>1.037273E-3</v>
      </c>
      <c r="P1105">
        <v>0.98430010000000001</v>
      </c>
      <c r="Q1105">
        <v>0.17420089999999999</v>
      </c>
      <c r="R1105">
        <v>2.8417330000000001E-2</v>
      </c>
      <c r="S1105">
        <v>3.0762330000000002</v>
      </c>
      <c r="T1105">
        <v>-0.1167545</v>
      </c>
      <c r="U1105">
        <v>-0.25677489999999997</v>
      </c>
      <c r="V1105">
        <v>-2.738954E-2</v>
      </c>
      <c r="W1105">
        <v>0.18492210000000001</v>
      </c>
      <c r="X1105">
        <v>0.98237140000000001</v>
      </c>
      <c r="Y1105">
        <v>8.413706E-2</v>
      </c>
      <c r="Z1105">
        <v>-2.0809420000000001E-3</v>
      </c>
      <c r="AA1105">
        <v>0.996452</v>
      </c>
      <c r="AB1105">
        <v>35</v>
      </c>
      <c r="AC1105">
        <v>28.872800000000002</v>
      </c>
      <c r="AD1105">
        <v>-1.103110469218</v>
      </c>
      <c r="AE1105">
        <v>-2.4247999999999998</v>
      </c>
      <c r="AF1105">
        <v>2.4511965214368399</v>
      </c>
      <c r="AG1105">
        <v>-1.103110469218</v>
      </c>
      <c r="AH1105">
        <v>28.828483245377502</v>
      </c>
      <c r="AI1105">
        <v>92.183460315786107</v>
      </c>
      <c r="AJ1105">
        <v>85.140006963822103</v>
      </c>
      <c r="AK1105">
        <v>28.953525922122399</v>
      </c>
      <c r="AL1105">
        <v>79.343408969893801</v>
      </c>
      <c r="AM1105">
        <v>91.5970523978053</v>
      </c>
      <c r="AN1105">
        <v>0.99999996875388997</v>
      </c>
    </row>
    <row r="1106" spans="1:40" x14ac:dyDescent="0.25">
      <c r="A1106" t="str">
        <f>"20190304155614276"</f>
        <v>20190304155614276</v>
      </c>
      <c r="B1106" t="str">
        <f>"1551686174265892"</f>
        <v>1551686174265892</v>
      </c>
      <c r="C1106" t="s">
        <v>40</v>
      </c>
      <c r="D1106">
        <v>4.5173310000000004</v>
      </c>
      <c r="E1106">
        <v>0.54015299999999999</v>
      </c>
      <c r="F1106" t="s">
        <v>41</v>
      </c>
      <c r="G1106">
        <v>-244.42070000000001</v>
      </c>
      <c r="H1106" s="1">
        <v>-3.498238E-6</v>
      </c>
      <c r="I1106">
        <v>364.65320000000003</v>
      </c>
      <c r="J1106">
        <v>-273.18759999999997</v>
      </c>
      <c r="K1106">
        <v>1.103696</v>
      </c>
      <c r="L1106">
        <v>367.05439999999999</v>
      </c>
      <c r="M1106">
        <v>0.99993779999999999</v>
      </c>
      <c r="N1106">
        <v>-1.1106619999999999E-2</v>
      </c>
      <c r="O1106">
        <v>1.037509E-3</v>
      </c>
      <c r="P1106">
        <v>0.98434549999999998</v>
      </c>
      <c r="Q1106">
        <v>0.17402570000000001</v>
      </c>
      <c r="R1106">
        <v>2.7914100000000001E-2</v>
      </c>
      <c r="S1106">
        <v>3.075958</v>
      </c>
      <c r="T1106">
        <v>-0.117234</v>
      </c>
      <c r="U1106">
        <v>-0.25515749999999998</v>
      </c>
      <c r="V1106">
        <v>-2.6885829999999999E-2</v>
      </c>
      <c r="W1106">
        <v>0.18494920000000001</v>
      </c>
      <c r="X1106">
        <v>0.98238020000000004</v>
      </c>
      <c r="Y1106">
        <v>8.3623879999999998E-2</v>
      </c>
      <c r="Z1106">
        <v>-2.0836489999999999E-3</v>
      </c>
      <c r="AA1106">
        <v>0.99649520000000003</v>
      </c>
      <c r="AB1106">
        <v>35</v>
      </c>
      <c r="AC1106">
        <v>28.7668999999999</v>
      </c>
      <c r="AD1106">
        <v>-1.103699498238</v>
      </c>
      <c r="AE1106">
        <v>-2.4011999999999598</v>
      </c>
      <c r="AF1106">
        <v>2.4274978495928399</v>
      </c>
      <c r="AG1106">
        <v>-1.103699498238</v>
      </c>
      <c r="AH1106">
        <v>28.722405503684399</v>
      </c>
      <c r="AI1106">
        <v>92.1927797277541</v>
      </c>
      <c r="AJ1106">
        <v>85.169080292050893</v>
      </c>
      <c r="AK1106">
        <v>28.845926511559099</v>
      </c>
      <c r="AL1106">
        <v>79.341828862081201</v>
      </c>
      <c r="AM1106">
        <v>91.567682408080103</v>
      </c>
      <c r="AN1106">
        <v>0.99999995589373303</v>
      </c>
    </row>
    <row r="1107" spans="1:40" x14ac:dyDescent="0.25">
      <c r="A1107" t="str">
        <f>"20190304155614287"</f>
        <v>20190304155614287</v>
      </c>
      <c r="B1107" t="str">
        <f>"1551686174275652"</f>
        <v>1551686174275652</v>
      </c>
      <c r="C1107" t="s">
        <v>40</v>
      </c>
      <c r="D1107">
        <v>4.5578849999999997</v>
      </c>
      <c r="E1107">
        <v>0.5398944</v>
      </c>
      <c r="F1107" t="s">
        <v>41</v>
      </c>
      <c r="G1107">
        <v>-244.21770000000001</v>
      </c>
      <c r="H1107" s="1">
        <v>-3.5907300000000002E-6</v>
      </c>
      <c r="I1107">
        <v>364.6728</v>
      </c>
      <c r="J1107">
        <v>-273.0154</v>
      </c>
      <c r="K1107">
        <v>1.104241</v>
      </c>
      <c r="L1107">
        <v>367.05450000000002</v>
      </c>
      <c r="M1107">
        <v>0.99993569999999998</v>
      </c>
      <c r="N1107">
        <v>-1.130038E-2</v>
      </c>
      <c r="O1107">
        <v>1.037432E-3</v>
      </c>
      <c r="P1107">
        <v>0.98437859999999999</v>
      </c>
      <c r="Q1107">
        <v>0.1738847</v>
      </c>
      <c r="R1107">
        <v>2.7626250000000001E-2</v>
      </c>
      <c r="S1107">
        <v>3.0755919999999999</v>
      </c>
      <c r="T1107">
        <v>-0.1171741</v>
      </c>
      <c r="U1107">
        <v>-0.25283810000000001</v>
      </c>
      <c r="V1107">
        <v>-2.659796E-2</v>
      </c>
      <c r="W1107">
        <v>0.18499889999999999</v>
      </c>
      <c r="X1107">
        <v>0.98237870000000005</v>
      </c>
      <c r="Y1107">
        <v>8.2887600000000006E-2</v>
      </c>
      <c r="Z1107">
        <v>-2.0727979999999998E-3</v>
      </c>
      <c r="AA1107">
        <v>0.99655680000000002</v>
      </c>
      <c r="AB1107">
        <v>35</v>
      </c>
      <c r="AC1107">
        <v>28.797699999999899</v>
      </c>
      <c r="AD1107">
        <v>-1.10424459073</v>
      </c>
      <c r="AE1107">
        <v>-2.3817000000000199</v>
      </c>
      <c r="AF1107">
        <v>2.4080596888155399</v>
      </c>
      <c r="AG1107">
        <v>-1.10424459073</v>
      </c>
      <c r="AH1107">
        <v>28.753223960623799</v>
      </c>
      <c r="AI1107">
        <v>92.191652712074898</v>
      </c>
      <c r="AJ1107">
        <v>85.212695681613994</v>
      </c>
      <c r="AK1107">
        <v>28.875006419234701</v>
      </c>
      <c r="AL1107">
        <v>79.338931490321897</v>
      </c>
      <c r="AM1107">
        <v>91.550907642361494</v>
      </c>
      <c r="AN1107">
        <v>0.99999997734553003</v>
      </c>
    </row>
    <row r="1108" spans="1:40" x14ac:dyDescent="0.25">
      <c r="A1108" t="str">
        <f>"20190304155614298"</f>
        <v>20190304155614298</v>
      </c>
      <c r="B1108" t="str">
        <f>"1551686174296148"</f>
        <v>1551686174296148</v>
      </c>
      <c r="C1108" t="s">
        <v>40</v>
      </c>
      <c r="D1108">
        <v>4.5595400000000001</v>
      </c>
      <c r="E1108">
        <v>0.53948549999999995</v>
      </c>
      <c r="F1108" t="s">
        <v>41</v>
      </c>
      <c r="G1108">
        <v>-243.93440000000001</v>
      </c>
      <c r="H1108" s="1">
        <v>-3.7241629999999999E-6</v>
      </c>
      <c r="I1108">
        <v>364.67540000000002</v>
      </c>
      <c r="J1108">
        <v>-272.851</v>
      </c>
      <c r="K1108">
        <v>1.1047070000000001</v>
      </c>
      <c r="L1108">
        <v>367.05470000000003</v>
      </c>
      <c r="M1108">
        <v>0.99993370000000004</v>
      </c>
      <c r="N1108">
        <v>-1.1473809999999999E-2</v>
      </c>
      <c r="O1108">
        <v>1.0376319999999999E-3</v>
      </c>
      <c r="P1108">
        <v>0.98438199999999998</v>
      </c>
      <c r="Q1108">
        <v>0.17390839999999999</v>
      </c>
      <c r="R1108">
        <v>2.734783E-2</v>
      </c>
      <c r="S1108">
        <v>3.0752869999999999</v>
      </c>
      <c r="T1108">
        <v>-0.116773</v>
      </c>
      <c r="U1108">
        <v>-0.2515869</v>
      </c>
      <c r="V1108">
        <v>-2.6319660000000002E-2</v>
      </c>
      <c r="W1108">
        <v>0.18519289999999999</v>
      </c>
      <c r="X1108">
        <v>0.98234969999999999</v>
      </c>
      <c r="Y1108">
        <v>8.2493689999999995E-2</v>
      </c>
      <c r="Z1108">
        <v>-2.0647510000000001E-3</v>
      </c>
      <c r="AA1108">
        <v>0.99658939999999996</v>
      </c>
      <c r="AB1108">
        <v>35</v>
      </c>
      <c r="AC1108">
        <v>28.916599999999899</v>
      </c>
      <c r="AD1108">
        <v>-1.1047107241630001</v>
      </c>
      <c r="AE1108">
        <v>-2.3793000000000002</v>
      </c>
      <c r="AF1108">
        <v>2.4058178144163902</v>
      </c>
      <c r="AG1108">
        <v>-1.1047107241630001</v>
      </c>
      <c r="AH1108">
        <v>28.872259876808499</v>
      </c>
      <c r="AI1108">
        <v>92.183622616537093</v>
      </c>
      <c r="AJ1108">
        <v>85.236760035547306</v>
      </c>
      <c r="AK1108">
        <v>28.993373993624999</v>
      </c>
      <c r="AL1108">
        <v>79.327621273617794</v>
      </c>
      <c r="AM1108">
        <v>91.534733257885094</v>
      </c>
      <c r="AN1108">
        <v>1.0000000339015001</v>
      </c>
    </row>
    <row r="1109" spans="1:40" x14ac:dyDescent="0.25">
      <c r="A1109" t="str">
        <f>"20190304155614307"</f>
        <v>20190304155614307</v>
      </c>
      <c r="B1109" t="str">
        <f>"1551686174305908"</f>
        <v>1551686174305908</v>
      </c>
      <c r="C1109" t="s">
        <v>40</v>
      </c>
      <c r="D1109">
        <v>4.5634499999999996</v>
      </c>
      <c r="E1109">
        <v>0.53939269999999995</v>
      </c>
      <c r="F1109" t="s">
        <v>41</v>
      </c>
      <c r="G1109">
        <v>-243.49529999999999</v>
      </c>
      <c r="H1109" s="1">
        <v>-3.9318019999999998E-6</v>
      </c>
      <c r="I1109">
        <v>364.67500000000001</v>
      </c>
      <c r="J1109">
        <v>-272.69400000000002</v>
      </c>
      <c r="K1109">
        <v>1.1051329999999999</v>
      </c>
      <c r="L1109">
        <v>367.05489999999998</v>
      </c>
      <c r="M1109">
        <v>0.99993180000000004</v>
      </c>
      <c r="N1109">
        <v>-1.163614E-2</v>
      </c>
      <c r="O1109">
        <v>1.0377030000000001E-3</v>
      </c>
      <c r="P1109">
        <v>0.98443789999999998</v>
      </c>
      <c r="Q1109">
        <v>0.17365420000000001</v>
      </c>
      <c r="R1109">
        <v>2.6953580000000001E-2</v>
      </c>
      <c r="S1109">
        <v>3.0750120000000001</v>
      </c>
      <c r="T1109">
        <v>-0.1157185</v>
      </c>
      <c r="U1109">
        <v>-0.24926760000000001</v>
      </c>
      <c r="V1109">
        <v>-2.592525E-2</v>
      </c>
      <c r="W1109">
        <v>0.18509919999999999</v>
      </c>
      <c r="X1109">
        <v>0.98237779999999997</v>
      </c>
      <c r="Y1109">
        <v>8.1755880000000003E-2</v>
      </c>
      <c r="Z1109">
        <v>-2.0388509999999999E-3</v>
      </c>
      <c r="AA1109">
        <v>0.99665029999999999</v>
      </c>
      <c r="AB1109">
        <v>35</v>
      </c>
      <c r="AC1109">
        <v>29.198699999999999</v>
      </c>
      <c r="AD1109">
        <v>-1.1051369318019999</v>
      </c>
      <c r="AE1109">
        <v>-2.3798999999999602</v>
      </c>
      <c r="AF1109">
        <v>2.4067753120057498</v>
      </c>
      <c r="AG1109">
        <v>-1.1051369318019999</v>
      </c>
      <c r="AH1109">
        <v>29.154724956489499</v>
      </c>
      <c r="AI1109">
        <v>92.163458203627101</v>
      </c>
      <c r="AJ1109">
        <v>85.280830357828805</v>
      </c>
      <c r="AK1109">
        <v>29.274765282219899</v>
      </c>
      <c r="AL1109">
        <v>79.333083834613504</v>
      </c>
      <c r="AM1109">
        <v>91.511702234519802</v>
      </c>
      <c r="AN1109">
        <v>0.99999998718052097</v>
      </c>
    </row>
    <row r="1110" spans="1:40" x14ac:dyDescent="0.25">
      <c r="A1110" t="str">
        <f>"20190304155614319"</f>
        <v>20190304155614319</v>
      </c>
      <c r="B1110" t="str">
        <f>"1551686174315668"</f>
        <v>1551686174315668</v>
      </c>
      <c r="C1110" t="s">
        <v>40</v>
      </c>
      <c r="D1110">
        <v>4.55335</v>
      </c>
      <c r="E1110">
        <v>0.53922749999999997</v>
      </c>
      <c r="F1110" t="s">
        <v>41</v>
      </c>
      <c r="G1110">
        <v>-243.49199999999999</v>
      </c>
      <c r="H1110" s="1">
        <v>-3.9314750000000003E-6</v>
      </c>
      <c r="I1110">
        <v>364.68579999999997</v>
      </c>
      <c r="J1110">
        <v>-272.52350000000001</v>
      </c>
      <c r="K1110">
        <v>1.1055459999999999</v>
      </c>
      <c r="L1110">
        <v>367.05509999999998</v>
      </c>
      <c r="M1110">
        <v>0.99992999999999999</v>
      </c>
      <c r="N1110">
        <v>-1.1800089999999999E-2</v>
      </c>
      <c r="O1110">
        <v>1.037573E-3</v>
      </c>
      <c r="P1110">
        <v>0.98443950000000002</v>
      </c>
      <c r="Q1110">
        <v>0.1736694</v>
      </c>
      <c r="R1110">
        <v>2.6798679999999998E-2</v>
      </c>
      <c r="S1110">
        <v>3.0747680000000002</v>
      </c>
      <c r="T1110">
        <v>-0.1163632</v>
      </c>
      <c r="U1110">
        <v>-0.2494507</v>
      </c>
      <c r="V1110">
        <v>-2.5770270000000001E-2</v>
      </c>
      <c r="W1110">
        <v>0.18527489999999999</v>
      </c>
      <c r="X1110">
        <v>0.98234869999999996</v>
      </c>
      <c r="Y1110">
        <v>8.1820050000000005E-2</v>
      </c>
      <c r="Z1110">
        <v>-2.055875E-3</v>
      </c>
      <c r="AA1110">
        <v>0.996645</v>
      </c>
      <c r="AB1110">
        <v>35</v>
      </c>
      <c r="AC1110">
        <v>29.031499999999902</v>
      </c>
      <c r="AD1110">
        <v>-1.1055499314749999</v>
      </c>
      <c r="AE1110">
        <v>-2.3693</v>
      </c>
      <c r="AF1110">
        <v>2.3959715494751501</v>
      </c>
      <c r="AG1110">
        <v>-1.1055499314749999</v>
      </c>
      <c r="AH1110">
        <v>28.987267650112901</v>
      </c>
      <c r="AI1110">
        <v>92.1767381616759</v>
      </c>
      <c r="AJ1110">
        <v>85.2749012507294</v>
      </c>
      <c r="AK1110">
        <v>29.107122945014002</v>
      </c>
      <c r="AL1110">
        <v>79.322839180232705</v>
      </c>
      <c r="AM1110">
        <v>91.502713994070305</v>
      </c>
      <c r="AN1110">
        <v>0.999999931888784</v>
      </c>
    </row>
    <row r="1111" spans="1:40" x14ac:dyDescent="0.25">
      <c r="A1111" t="str">
        <f>"20190304155614330"</f>
        <v>20190304155614330</v>
      </c>
      <c r="B1111" t="str">
        <f>"1551686174325428"</f>
        <v>1551686174325428</v>
      </c>
      <c r="C1111" t="s">
        <v>40</v>
      </c>
      <c r="D1111">
        <v>4.5886800000000001</v>
      </c>
      <c r="E1111">
        <v>0.53911969999999898</v>
      </c>
      <c r="F1111" t="s">
        <v>41</v>
      </c>
      <c r="G1111">
        <v>-243.2379</v>
      </c>
      <c r="H1111" s="1">
        <v>-4.0514319999999999E-6</v>
      </c>
      <c r="I1111">
        <v>364.68669999999997</v>
      </c>
      <c r="J1111">
        <v>-272.3415</v>
      </c>
      <c r="K1111">
        <v>1.1059730000000001</v>
      </c>
      <c r="L1111">
        <v>367.05520000000001</v>
      </c>
      <c r="M1111">
        <v>0.99992780000000003</v>
      </c>
      <c r="N1111">
        <v>-1.19714E-2</v>
      </c>
      <c r="O1111">
        <v>1.0377419999999999E-3</v>
      </c>
      <c r="P1111">
        <v>0.98448009999999997</v>
      </c>
      <c r="Q1111">
        <v>0.1734831</v>
      </c>
      <c r="R1111">
        <v>2.6505330000000001E-2</v>
      </c>
      <c r="S1111">
        <v>3.0747070000000001</v>
      </c>
      <c r="T1111">
        <v>-0.1160721</v>
      </c>
      <c r="U1111">
        <v>-0.24865719999999999</v>
      </c>
      <c r="V1111">
        <v>-2.5477119999999999E-2</v>
      </c>
      <c r="W1111">
        <v>0.18525759999999999</v>
      </c>
      <c r="X1111">
        <v>0.98235969999999995</v>
      </c>
      <c r="Y1111">
        <v>8.1566600000000003E-2</v>
      </c>
      <c r="Z1111">
        <v>-2.0525119999999998E-3</v>
      </c>
      <c r="AA1111">
        <v>0.99666580000000005</v>
      </c>
      <c r="AB1111">
        <v>35</v>
      </c>
      <c r="AC1111">
        <v>29.1036</v>
      </c>
      <c r="AD1111">
        <v>-1.105977051432</v>
      </c>
      <c r="AE1111">
        <v>-2.36850000000004</v>
      </c>
      <c r="AF1111">
        <v>2.39526665847584</v>
      </c>
      <c r="AG1111">
        <v>-1.105977051432</v>
      </c>
      <c r="AH1111">
        <v>29.059437480360401</v>
      </c>
      <c r="AI1111">
        <v>92.172216271241894</v>
      </c>
      <c r="AJ1111">
        <v>85.287963647318904</v>
      </c>
      <c r="AK1111">
        <v>29.1789546467737</v>
      </c>
      <c r="AL1111">
        <v>79.323848822704505</v>
      </c>
      <c r="AM1111">
        <v>91.485610930817302</v>
      </c>
      <c r="AN1111">
        <v>1.0000000210926701</v>
      </c>
    </row>
    <row r="1112" spans="1:40" x14ac:dyDescent="0.25">
      <c r="A1112" t="str">
        <f>"20190304155614341"</f>
        <v>20190304155614341</v>
      </c>
      <c r="B1112" t="str">
        <f>"1551686174335188"</f>
        <v>1551686174335188</v>
      </c>
      <c r="C1112" t="s">
        <v>40</v>
      </c>
      <c r="D1112">
        <v>4.6026639999999999</v>
      </c>
      <c r="E1112">
        <v>0.53909240000000003</v>
      </c>
      <c r="F1112" t="s">
        <v>41</v>
      </c>
      <c r="G1112">
        <v>-243.17070000000001</v>
      </c>
      <c r="H1112" s="1">
        <v>-4.0811910000000004E-6</v>
      </c>
      <c r="I1112">
        <v>364.69799999999998</v>
      </c>
      <c r="J1112">
        <v>-272.16969999999998</v>
      </c>
      <c r="K1112">
        <v>1.106322</v>
      </c>
      <c r="L1112">
        <v>367.05540000000002</v>
      </c>
      <c r="M1112">
        <v>0.99992599999999998</v>
      </c>
      <c r="N1112">
        <v>-1.211973E-2</v>
      </c>
      <c r="O1112">
        <v>1.0376789999999999E-3</v>
      </c>
      <c r="P1112">
        <v>0.98452410000000001</v>
      </c>
      <c r="Q1112">
        <v>0.17327979999999901</v>
      </c>
      <c r="R1112">
        <v>2.6204999999999999E-2</v>
      </c>
      <c r="S1112">
        <v>3.0745239999999998</v>
      </c>
      <c r="T1112">
        <v>-0.1165669</v>
      </c>
      <c r="U1112">
        <v>-0.24844359999999999</v>
      </c>
      <c r="V1112">
        <v>-2.5176190000000001E-2</v>
      </c>
      <c r="W1112">
        <v>0.18520039999999999</v>
      </c>
      <c r="X1112">
        <v>0.98237819999999998</v>
      </c>
      <c r="Y1112">
        <v>8.1501749999999998E-2</v>
      </c>
      <c r="Z1112">
        <v>-2.0636119999999998E-3</v>
      </c>
      <c r="AA1112">
        <v>0.99667110000000003</v>
      </c>
      <c r="AB1112">
        <v>35</v>
      </c>
      <c r="AC1112">
        <v>28.998999999999899</v>
      </c>
      <c r="AD1112">
        <v>-1.1063260811910001</v>
      </c>
      <c r="AE1112">
        <v>-2.3573999999999802</v>
      </c>
      <c r="AF1112">
        <v>2.3840454920129601</v>
      </c>
      <c r="AG1112">
        <v>-1.1063260811910001</v>
      </c>
      <c r="AH1112">
        <v>28.9546722830116</v>
      </c>
      <c r="AI1112">
        <v>92.180771572242193</v>
      </c>
      <c r="AJ1112">
        <v>85.293045845908594</v>
      </c>
      <c r="AK1112">
        <v>29.073711103375</v>
      </c>
      <c r="AL1112">
        <v>79.327183390225898</v>
      </c>
      <c r="AM1112">
        <v>91.468043320047201</v>
      </c>
      <c r="AN1112">
        <v>0.99999997826915699</v>
      </c>
    </row>
    <row r="1113" spans="1:40" x14ac:dyDescent="0.25">
      <c r="A1113" t="str">
        <f>"20190304155614352"</f>
        <v>20190304155614352</v>
      </c>
      <c r="B1113" t="str">
        <f>"1551686174345924"</f>
        <v>1551686174345924</v>
      </c>
      <c r="C1113" t="s">
        <v>40</v>
      </c>
      <c r="D1113">
        <v>4.5782669999999897</v>
      </c>
      <c r="E1113">
        <v>0.53898849999999998</v>
      </c>
      <c r="F1113" t="s">
        <v>41</v>
      </c>
      <c r="G1113">
        <v>-243.0171</v>
      </c>
      <c r="H1113" s="1">
        <v>-4.1547710000000003E-6</v>
      </c>
      <c r="I1113">
        <v>364.69229999999999</v>
      </c>
      <c r="J1113">
        <v>-272.00150000000002</v>
      </c>
      <c r="K1113">
        <v>1.1066549999999999</v>
      </c>
      <c r="L1113">
        <v>367.05560000000003</v>
      </c>
      <c r="M1113">
        <v>0.99992429999999999</v>
      </c>
      <c r="N1113">
        <v>-1.2261660000000001E-2</v>
      </c>
      <c r="O1113">
        <v>1.037645E-3</v>
      </c>
      <c r="P1113">
        <v>0.98458520000000005</v>
      </c>
      <c r="Q1113">
        <v>0.17296210000000001</v>
      </c>
      <c r="R1113">
        <v>2.6009150000000002E-2</v>
      </c>
      <c r="S1113">
        <v>3.074341</v>
      </c>
      <c r="T1113">
        <v>-0.11666989999999899</v>
      </c>
      <c r="U1113">
        <v>-0.2492065</v>
      </c>
      <c r="V1113">
        <v>-2.49803E-2</v>
      </c>
      <c r="W1113">
        <v>0.1850233</v>
      </c>
      <c r="X1113">
        <v>0.98241659999999997</v>
      </c>
      <c r="Y1113">
        <v>8.1751649999999995E-2</v>
      </c>
      <c r="Z1113">
        <v>-2.0770089999999999E-3</v>
      </c>
      <c r="AA1113">
        <v>0.99665060000000005</v>
      </c>
      <c r="AB1113">
        <v>35</v>
      </c>
      <c r="AC1113">
        <v>28.984400000000001</v>
      </c>
      <c r="AD1113">
        <v>-1.1066591547710001</v>
      </c>
      <c r="AE1113">
        <v>-2.3633000000000299</v>
      </c>
      <c r="AF1113">
        <v>2.3899154874373498</v>
      </c>
      <c r="AG1113">
        <v>-1.1066591547710001</v>
      </c>
      <c r="AH1113">
        <v>28.940021695014199</v>
      </c>
      <c r="AI1113">
        <v>92.182487079064202</v>
      </c>
      <c r="AJ1113">
        <v>85.279130757482406</v>
      </c>
      <c r="AK1113">
        <v>29.059615383377398</v>
      </c>
      <c r="AL1113">
        <v>79.337509228419904</v>
      </c>
      <c r="AM1113">
        <v>91.456568850398298</v>
      </c>
      <c r="AN1113">
        <v>1.0000000064432699</v>
      </c>
    </row>
    <row r="1114" spans="1:40" x14ac:dyDescent="0.25">
      <c r="A1114" t="str">
        <f>"20190304155614363"</f>
        <v>20190304155614363</v>
      </c>
      <c r="B1114" t="str">
        <f>"1551686174355685"</f>
        <v>1551686174355685</v>
      </c>
      <c r="C1114" t="s">
        <v>40</v>
      </c>
      <c r="D1114">
        <v>4.540775</v>
      </c>
      <c r="E1114">
        <v>0.53884480000000001</v>
      </c>
      <c r="F1114" t="s">
        <v>41</v>
      </c>
      <c r="G1114">
        <v>-243.08529999999999</v>
      </c>
      <c r="H1114" s="1">
        <v>-4.1183290000000002E-6</v>
      </c>
      <c r="I1114">
        <v>364.71620000000001</v>
      </c>
      <c r="J1114">
        <v>-271.82990000000001</v>
      </c>
      <c r="K1114">
        <v>1.1069549999999999</v>
      </c>
      <c r="L1114">
        <v>367.05579999999998</v>
      </c>
      <c r="M1114">
        <v>0.99992259999999999</v>
      </c>
      <c r="N1114">
        <v>-1.2396529999999999E-2</v>
      </c>
      <c r="O1114">
        <v>1.0376439999999999E-3</v>
      </c>
      <c r="P1114">
        <v>0.98461350000000003</v>
      </c>
      <c r="Q1114">
        <v>0.17281879999999999</v>
      </c>
      <c r="R1114">
        <v>2.5881589999999999E-2</v>
      </c>
      <c r="S1114">
        <v>3.0742189999999998</v>
      </c>
      <c r="T1114">
        <v>-0.1176541</v>
      </c>
      <c r="U1114">
        <v>-0.2487183</v>
      </c>
      <c r="V1114">
        <v>-2.4852929999999999E-2</v>
      </c>
      <c r="W1114">
        <v>0.1850125</v>
      </c>
      <c r="X1114">
        <v>0.98242189999999996</v>
      </c>
      <c r="Y1114">
        <v>8.159632E-2</v>
      </c>
      <c r="Z1114">
        <v>-2.0919189999999998E-3</v>
      </c>
      <c r="AA1114">
        <v>0.99666330000000003</v>
      </c>
      <c r="AB1114">
        <v>35</v>
      </c>
      <c r="AC1114">
        <v>28.744599999999998</v>
      </c>
      <c r="AD1114">
        <v>-1.106959118329</v>
      </c>
      <c r="AE1114">
        <v>-2.3395999999999599</v>
      </c>
      <c r="AF1114">
        <v>2.3659420179464599</v>
      </c>
      <c r="AG1114">
        <v>-1.106959118329</v>
      </c>
      <c r="AH1114">
        <v>28.699873936121801</v>
      </c>
      <c r="AI1114">
        <v>92.201353213488204</v>
      </c>
      <c r="AJ1114">
        <v>85.287343175446395</v>
      </c>
      <c r="AK1114">
        <v>28.818497602602701</v>
      </c>
      <c r="AL1114">
        <v>79.338139271441307</v>
      </c>
      <c r="AM1114">
        <v>91.449137431551605</v>
      </c>
      <c r="AN1114">
        <v>1.0000000414427199</v>
      </c>
    </row>
    <row r="1115" spans="1:40" x14ac:dyDescent="0.25">
      <c r="A1115" t="str">
        <f>"20190304155614375"</f>
        <v>20190304155614375</v>
      </c>
      <c r="B1115" t="str">
        <f>"1551686174365444"</f>
        <v>1551686174365444</v>
      </c>
      <c r="C1115" t="s">
        <v>40</v>
      </c>
      <c r="D1115">
        <v>4.576937</v>
      </c>
      <c r="E1115">
        <v>0.53869820000000002</v>
      </c>
      <c r="F1115" t="s">
        <v>41</v>
      </c>
      <c r="G1115">
        <v>-243.0471</v>
      </c>
      <c r="H1115" s="1">
        <v>-4.133672E-6</v>
      </c>
      <c r="I1115">
        <v>364.73129999999998</v>
      </c>
      <c r="J1115">
        <v>-271.65069999999997</v>
      </c>
      <c r="K1115">
        <v>1.107251</v>
      </c>
      <c r="L1115">
        <v>367.05599999999998</v>
      </c>
      <c r="M1115">
        <v>0.99992099999999995</v>
      </c>
      <c r="N1115">
        <v>-1.253136E-2</v>
      </c>
      <c r="O1115">
        <v>1.037634E-3</v>
      </c>
      <c r="P1115">
        <v>0.98468460000000002</v>
      </c>
      <c r="Q1115">
        <v>0.1724755</v>
      </c>
      <c r="R1115">
        <v>2.5473599999999999E-2</v>
      </c>
      <c r="S1115">
        <v>3.0741269999999998</v>
      </c>
      <c r="T1115">
        <v>-0.11822829999999999</v>
      </c>
      <c r="U1115">
        <v>-0.2482605</v>
      </c>
      <c r="V1115">
        <v>-2.4444480000000001E-2</v>
      </c>
      <c r="W1115">
        <v>0.18480250000000001</v>
      </c>
      <c r="X1115">
        <v>0.9824716</v>
      </c>
      <c r="Y1115">
        <v>8.1450510000000004E-2</v>
      </c>
      <c r="Z1115">
        <v>-2.1014279999999998E-3</v>
      </c>
      <c r="AA1115">
        <v>0.99667519999999998</v>
      </c>
      <c r="AB1115">
        <v>35</v>
      </c>
      <c r="AC1115">
        <v>28.603599999999901</v>
      </c>
      <c r="AD1115">
        <v>-1.107255133672</v>
      </c>
      <c r="AE1115">
        <v>-2.3247</v>
      </c>
      <c r="AF1115">
        <v>2.35088148768358</v>
      </c>
      <c r="AG1115">
        <v>-1.107255133672</v>
      </c>
      <c r="AH1115">
        <v>28.558658160279801</v>
      </c>
      <c r="AI1115">
        <v>92.212840238926205</v>
      </c>
      <c r="AJ1115">
        <v>85.294156453248306</v>
      </c>
      <c r="AK1115">
        <v>28.6766388130808</v>
      </c>
      <c r="AL1115">
        <v>79.350381745785498</v>
      </c>
      <c r="AM1115">
        <v>91.425259152264104</v>
      </c>
      <c r="AN1115">
        <v>0.99999997070763902</v>
      </c>
    </row>
    <row r="1116" spans="1:40" x14ac:dyDescent="0.25">
      <c r="A1116" t="str">
        <f>"20190304155614387"</f>
        <v>20190304155614387</v>
      </c>
      <c r="B1116" t="str">
        <f>"1551686174376181"</f>
        <v>1551686174376181</v>
      </c>
      <c r="C1116" t="s">
        <v>40</v>
      </c>
      <c r="D1116">
        <v>4.6107860000000001</v>
      </c>
      <c r="E1116">
        <v>0.53854709999999995</v>
      </c>
      <c r="F1116" t="s">
        <v>41</v>
      </c>
      <c r="G1116">
        <v>-243.14670000000001</v>
      </c>
      <c r="H1116" s="1">
        <v>-4.0824120000000004E-6</v>
      </c>
      <c r="I1116">
        <v>364.75510000000003</v>
      </c>
      <c r="J1116">
        <v>-271.45800000000003</v>
      </c>
      <c r="K1116">
        <v>1.1075429999999999</v>
      </c>
      <c r="L1116">
        <v>367.05619999999999</v>
      </c>
      <c r="M1116">
        <v>0.99991920000000001</v>
      </c>
      <c r="N1116">
        <v>-1.2668749999999999E-2</v>
      </c>
      <c r="O1116">
        <v>1.0377780000000001E-3</v>
      </c>
      <c r="P1116">
        <v>0.98470150000000001</v>
      </c>
      <c r="Q1116">
        <v>0.1723635</v>
      </c>
      <c r="R1116">
        <v>2.5570260000000001E-2</v>
      </c>
      <c r="S1116">
        <v>3.0739749999999999</v>
      </c>
      <c r="T1116">
        <v>-0.1194104</v>
      </c>
      <c r="U1116">
        <v>-0.24813840000000001</v>
      </c>
      <c r="V1116">
        <v>-2.454135E-2</v>
      </c>
      <c r="W1116">
        <v>0.1848255</v>
      </c>
      <c r="X1116">
        <v>0.98246489999999997</v>
      </c>
      <c r="Y1116">
        <v>8.1413689999999997E-2</v>
      </c>
      <c r="Z1116">
        <v>-2.1220520000000001E-3</v>
      </c>
      <c r="AA1116">
        <v>0.99667810000000001</v>
      </c>
      <c r="AB1116">
        <v>35</v>
      </c>
      <c r="AC1116">
        <v>28.3112999999999</v>
      </c>
      <c r="AD1116">
        <v>-1.107547082412</v>
      </c>
      <c r="AE1116">
        <v>-2.30109999999996</v>
      </c>
      <c r="AF1116">
        <v>2.3269441807376499</v>
      </c>
      <c r="AG1116">
        <v>-1.107547082412</v>
      </c>
      <c r="AH1116">
        <v>28.265922276846101</v>
      </c>
      <c r="AI1116">
        <v>92.236322231902705</v>
      </c>
      <c r="AJ1116">
        <v>85.293834268482897</v>
      </c>
      <c r="AK1116">
        <v>28.383158596617299</v>
      </c>
      <c r="AL1116">
        <v>79.349041283570401</v>
      </c>
      <c r="AM1116">
        <v>91.430914662273693</v>
      </c>
      <c r="AN1116">
        <v>1.0000000115210399</v>
      </c>
    </row>
    <row r="1117" spans="1:40" x14ac:dyDescent="0.25">
      <c r="A1117" t="str">
        <f>"20190304155614402"</f>
        <v>20190304155614402</v>
      </c>
      <c r="B1117" t="str">
        <f>"1551686174395700"</f>
        <v>1551686174395700</v>
      </c>
      <c r="C1117" t="s">
        <v>40</v>
      </c>
      <c r="D1117">
        <v>4.5978399999999997</v>
      </c>
      <c r="E1117">
        <v>0.5382536</v>
      </c>
      <c r="F1117" t="s">
        <v>41</v>
      </c>
      <c r="G1117">
        <v>-243.07050000000001</v>
      </c>
      <c r="H1117" s="1">
        <v>-4.1146000000000004E-6</v>
      </c>
      <c r="I1117">
        <v>364.77659999999997</v>
      </c>
      <c r="J1117">
        <v>-271.23880000000003</v>
      </c>
      <c r="K1117">
        <v>1.1078330000000001</v>
      </c>
      <c r="L1117">
        <v>367.0564</v>
      </c>
      <c r="M1117">
        <v>0.99991739999999996</v>
      </c>
      <c r="N1117">
        <v>-1.281262E-2</v>
      </c>
      <c r="O1117">
        <v>1.037692E-3</v>
      </c>
      <c r="P1117">
        <v>0.98471500000000001</v>
      </c>
      <c r="Q1117">
        <v>0.17231009999999999</v>
      </c>
      <c r="R1117">
        <v>2.5412009999999999E-2</v>
      </c>
      <c r="S1117">
        <v>3.074036</v>
      </c>
      <c r="T1117">
        <v>-0.11993429999999999</v>
      </c>
      <c r="U1117">
        <v>-0.24685670000000001</v>
      </c>
      <c r="V1117">
        <v>-2.438353E-2</v>
      </c>
      <c r="W1117">
        <v>0.1849141</v>
      </c>
      <c r="X1117">
        <v>0.9824522</v>
      </c>
      <c r="Y1117">
        <v>8.0998680000000003E-2</v>
      </c>
      <c r="Z1117">
        <v>-2.1241099999999998E-3</v>
      </c>
      <c r="AA1117">
        <v>0.99671200000000004</v>
      </c>
      <c r="AB1117">
        <v>35</v>
      </c>
      <c r="AC1117">
        <v>28.168299999999999</v>
      </c>
      <c r="AD1117">
        <v>-1.1078371145999999</v>
      </c>
      <c r="AE1117">
        <v>-2.2798000000000198</v>
      </c>
      <c r="AF1117">
        <v>2.3054882987631702</v>
      </c>
      <c r="AG1117">
        <v>-1.1078371145999999</v>
      </c>
      <c r="AH1117">
        <v>28.122702163645901</v>
      </c>
      <c r="AI1117">
        <v>92.248350458078406</v>
      </c>
      <c r="AJ1117">
        <v>85.313394322438995</v>
      </c>
      <c r="AK1117">
        <v>28.2387846118305</v>
      </c>
      <c r="AL1117">
        <v>79.343876289187307</v>
      </c>
      <c r="AM1117">
        <v>91.421734925886</v>
      </c>
      <c r="AN1117">
        <v>1.0000000530994499</v>
      </c>
    </row>
    <row r="1118" spans="1:40" x14ac:dyDescent="0.25">
      <c r="A1118" t="str">
        <f>"20190304155614416"</f>
        <v>20190304155614416</v>
      </c>
      <c r="B1118" t="str">
        <f>"1551686174405460"</f>
        <v>1551686174405460</v>
      </c>
      <c r="C1118" t="s">
        <v>40</v>
      </c>
      <c r="D1118">
        <v>4.5314199999999998</v>
      </c>
      <c r="E1118">
        <v>0.53815440000000003</v>
      </c>
      <c r="F1118" t="s">
        <v>41</v>
      </c>
      <c r="G1118">
        <v>-242.83760000000001</v>
      </c>
      <c r="H1118" s="1">
        <v>-4.2216600000000003E-6</v>
      </c>
      <c r="I1118">
        <v>364.79360000000003</v>
      </c>
      <c r="J1118">
        <v>-271.02409999999998</v>
      </c>
      <c r="K1118">
        <v>1.1080920000000001</v>
      </c>
      <c r="L1118">
        <v>367.0566</v>
      </c>
      <c r="M1118">
        <v>0.99991569999999996</v>
      </c>
      <c r="N1118">
        <v>-1.294563E-2</v>
      </c>
      <c r="O1118">
        <v>1.037666E-3</v>
      </c>
      <c r="P1118">
        <v>0.98475860000000004</v>
      </c>
      <c r="Q1118">
        <v>0.17209199999999999</v>
      </c>
      <c r="R1118">
        <v>2.5207159999999999E-2</v>
      </c>
      <c r="S1118">
        <v>3.0738829999999999</v>
      </c>
      <c r="T1118">
        <v>-0.1199021</v>
      </c>
      <c r="U1118">
        <v>-0.2449036</v>
      </c>
      <c r="V1118">
        <v>-2.4178270000000002E-2</v>
      </c>
      <c r="W1118">
        <v>0.1848274</v>
      </c>
      <c r="X1118">
        <v>0.98247359999999995</v>
      </c>
      <c r="Y1118">
        <v>8.0373780000000006E-2</v>
      </c>
      <c r="Z1118">
        <v>-2.1128269999999998E-3</v>
      </c>
      <c r="AA1118">
        <v>0.99676260000000005</v>
      </c>
      <c r="AB1118">
        <v>35</v>
      </c>
      <c r="AC1118">
        <v>28.186499999999899</v>
      </c>
      <c r="AD1118">
        <v>-1.1080962216600001</v>
      </c>
      <c r="AE1118">
        <v>-2.2629999999999701</v>
      </c>
      <c r="AF1118">
        <v>2.2887347900319499</v>
      </c>
      <c r="AG1118">
        <v>-1.1080962216600001</v>
      </c>
      <c r="AH1118">
        <v>28.140922780114199</v>
      </c>
      <c r="AI1118">
        <v>92.247539260298694</v>
      </c>
      <c r="AJ1118">
        <v>85.350300161659106</v>
      </c>
      <c r="AK1118">
        <v>28.255578548171901</v>
      </c>
      <c r="AL1118">
        <v>79.348931096023506</v>
      </c>
      <c r="AM1118">
        <v>91.4097409491131</v>
      </c>
      <c r="AN1118">
        <v>1.0000000656139501</v>
      </c>
    </row>
    <row r="1119" spans="1:40" x14ac:dyDescent="0.25">
      <c r="A1119" t="str">
        <f>"20190304155614429"</f>
        <v>20190304155614429</v>
      </c>
      <c r="B1119" t="str">
        <f>"1551686174425956"</f>
        <v>1551686174425956</v>
      </c>
      <c r="C1119" t="s">
        <v>40</v>
      </c>
      <c r="D1119">
        <v>4.567151</v>
      </c>
      <c r="E1119">
        <v>0.53786509999999998</v>
      </c>
      <c r="F1119" t="s">
        <v>41</v>
      </c>
      <c r="G1119">
        <v>-243.11959999999999</v>
      </c>
      <c r="H1119" s="1">
        <v>-4.0816790000000003E-6</v>
      </c>
      <c r="I1119">
        <v>364.8313</v>
      </c>
      <c r="J1119">
        <v>-270.81209999999999</v>
      </c>
      <c r="K1119">
        <v>1.1083270000000001</v>
      </c>
      <c r="L1119">
        <v>367.05689999999998</v>
      </c>
      <c r="M1119">
        <v>0.99991419999999998</v>
      </c>
      <c r="N1119">
        <v>-1.3069509999999999E-2</v>
      </c>
      <c r="O1119">
        <v>1.03775E-3</v>
      </c>
      <c r="P1119">
        <v>0.98480769999999995</v>
      </c>
      <c r="Q1119">
        <v>0.17180319999999999</v>
      </c>
      <c r="R1119">
        <v>2.525989E-2</v>
      </c>
      <c r="S1119">
        <v>3.074036</v>
      </c>
      <c r="T1119">
        <v>-0.1220707</v>
      </c>
      <c r="U1119">
        <v>-0.2451477</v>
      </c>
      <c r="V1119">
        <v>-2.4230580000000002E-2</v>
      </c>
      <c r="W1119">
        <v>0.18466099999999999</v>
      </c>
      <c r="X1119">
        <v>0.98250349999999997</v>
      </c>
      <c r="Y1119">
        <v>8.0445740000000002E-2</v>
      </c>
      <c r="Z1119">
        <v>-2.1485150000000001E-3</v>
      </c>
      <c r="AA1119">
        <v>0.99675670000000005</v>
      </c>
      <c r="AB1119">
        <v>35</v>
      </c>
      <c r="AC1119">
        <v>27.6924999999999</v>
      </c>
      <c r="AD1119">
        <v>-1.108331081679</v>
      </c>
      <c r="AE1119">
        <v>-2.22559999999998</v>
      </c>
      <c r="AF1119">
        <v>2.2507569655507398</v>
      </c>
      <c r="AG1119">
        <v>-1.108331081679</v>
      </c>
      <c r="AH1119">
        <v>27.6461751756685</v>
      </c>
      <c r="AI1119">
        <v>92.288187439993294</v>
      </c>
      <c r="AJ1119">
        <v>85.345645985652396</v>
      </c>
      <c r="AK1119">
        <v>27.759778575275799</v>
      </c>
      <c r="AL1119">
        <v>79.358631035334199</v>
      </c>
      <c r="AM1119">
        <v>91.412746729856295</v>
      </c>
      <c r="AN1119">
        <v>0.99999996672019198</v>
      </c>
    </row>
    <row r="1120" spans="1:40" x14ac:dyDescent="0.25">
      <c r="A1120" t="str">
        <f>"20190304155614442"</f>
        <v>20190304155614442</v>
      </c>
      <c r="B1120" t="str">
        <f>"1551686174435716"</f>
        <v>1551686174435716</v>
      </c>
      <c r="C1120" t="s">
        <v>40</v>
      </c>
      <c r="D1120">
        <v>4.6020130000000004</v>
      </c>
      <c r="E1120">
        <v>0.53780469999999903</v>
      </c>
      <c r="F1120" t="s">
        <v>41</v>
      </c>
      <c r="G1120">
        <v>-243.08179999999999</v>
      </c>
      <c r="H1120" s="1">
        <v>-4.0928619999999996E-6</v>
      </c>
      <c r="I1120">
        <v>364.86900000000003</v>
      </c>
      <c r="J1120">
        <v>-270.60969999999998</v>
      </c>
      <c r="K1120">
        <v>1.1085160000000001</v>
      </c>
      <c r="L1120">
        <v>367.05709999999999</v>
      </c>
      <c r="M1120">
        <v>0.99991269999999999</v>
      </c>
      <c r="N1120">
        <v>-1.3176429999999999E-2</v>
      </c>
      <c r="O1120">
        <v>1.0378799999999999E-3</v>
      </c>
      <c r="P1120">
        <v>0.98479340000000004</v>
      </c>
      <c r="Q1120">
        <v>0.17189079999999901</v>
      </c>
      <c r="R1120">
        <v>2.5211330000000001E-2</v>
      </c>
      <c r="S1120">
        <v>3.0739139999999998</v>
      </c>
      <c r="T1120">
        <v>-0.122859</v>
      </c>
      <c r="U1120">
        <v>-0.24252319999999999</v>
      </c>
      <c r="V1120">
        <v>-2.4182370000000002E-2</v>
      </c>
      <c r="W1120">
        <v>0.18485370000000001</v>
      </c>
      <c r="X1120">
        <v>0.98246849999999997</v>
      </c>
      <c r="Y1120">
        <v>7.9603010000000002E-2</v>
      </c>
      <c r="Z1120">
        <v>-2.1410040000000002E-3</v>
      </c>
      <c r="AA1120">
        <v>0.9968243</v>
      </c>
      <c r="AB1120">
        <v>35</v>
      </c>
      <c r="AC1120">
        <v>27.527899999999899</v>
      </c>
      <c r="AD1120">
        <v>-1.108520092862</v>
      </c>
      <c r="AE1120">
        <v>-2.18809999999996</v>
      </c>
      <c r="AF1120">
        <v>2.2131057395378502</v>
      </c>
      <c r="AG1120">
        <v>-1.108520092862</v>
      </c>
      <c r="AH1120">
        <v>27.481330336311199</v>
      </c>
      <c r="AI1120">
        <v>92.3024535174508</v>
      </c>
      <c r="AJ1120">
        <v>85.395835502555798</v>
      </c>
      <c r="AK1120">
        <v>27.592574560271</v>
      </c>
      <c r="AL1120">
        <v>79.347397255562498</v>
      </c>
      <c r="AM1120">
        <v>91.409987223943702</v>
      </c>
      <c r="AN1120">
        <v>1.0000000154573701</v>
      </c>
    </row>
    <row r="1121" spans="1:40" x14ac:dyDescent="0.25">
      <c r="A1121" t="str">
        <f>"20190304155614454"</f>
        <v>20190304155614454</v>
      </c>
      <c r="B1121" t="str">
        <f>"1551686174445476"</f>
        <v>1551686174445476</v>
      </c>
      <c r="C1121" t="s">
        <v>40</v>
      </c>
      <c r="D1121">
        <v>4.6155739999999996</v>
      </c>
      <c r="E1121">
        <v>0.53769560000000005</v>
      </c>
      <c r="F1121" t="s">
        <v>41</v>
      </c>
      <c r="G1121">
        <v>-242.739</v>
      </c>
      <c r="H1121" s="1">
        <v>-4.2566430000000002E-6</v>
      </c>
      <c r="I1121">
        <v>364.85930000000002</v>
      </c>
      <c r="J1121">
        <v>-270.4348</v>
      </c>
      <c r="K1121">
        <v>1.1086720000000001</v>
      </c>
      <c r="L1121">
        <v>367.0573</v>
      </c>
      <c r="M1121">
        <v>0.99991149999999995</v>
      </c>
      <c r="N1121">
        <v>-1.3265259999999999E-2</v>
      </c>
      <c r="O1121">
        <v>1.0379460000000001E-3</v>
      </c>
      <c r="P1121">
        <v>0.98479539999999999</v>
      </c>
      <c r="Q1121">
        <v>0.17187450000000001</v>
      </c>
      <c r="R1121">
        <v>2.5243069999999999E-2</v>
      </c>
      <c r="S1121">
        <v>3.0738829999999999</v>
      </c>
      <c r="T1121">
        <v>-0.1222596</v>
      </c>
      <c r="U1121">
        <v>-0.24240110000000001</v>
      </c>
      <c r="V1121">
        <v>-2.42139E-2</v>
      </c>
      <c r="W1121">
        <v>0.1849239</v>
      </c>
      <c r="X1121">
        <v>0.98245450000000001</v>
      </c>
      <c r="Y1121">
        <v>7.9565140000000006E-2</v>
      </c>
      <c r="Z1121">
        <v>-2.1355279999999998E-3</v>
      </c>
      <c r="AA1121">
        <v>0.99682740000000003</v>
      </c>
      <c r="AB1121">
        <v>35</v>
      </c>
      <c r="AC1121">
        <v>27.695799999999899</v>
      </c>
      <c r="AD1121">
        <v>-1.108676256643</v>
      </c>
      <c r="AE1121">
        <v>-2.1979999999999702</v>
      </c>
      <c r="AF1121">
        <v>2.2232078310440202</v>
      </c>
      <c r="AG1121">
        <v>-1.108676256643</v>
      </c>
      <c r="AH1121">
        <v>27.649474173079099</v>
      </c>
      <c r="AI1121">
        <v>92.288811396303302</v>
      </c>
      <c r="AJ1121">
        <v>85.402915483841795</v>
      </c>
      <c r="AK1121">
        <v>27.760858022579701</v>
      </c>
      <c r="AL1121">
        <v>79.343304398462195</v>
      </c>
      <c r="AM1121">
        <v>91.411844991919594</v>
      </c>
      <c r="AN1121">
        <v>1.00000000315733</v>
      </c>
    </row>
    <row r="1122" spans="1:40" x14ac:dyDescent="0.25">
      <c r="A1122" t="str">
        <f>"20190304155614464"</f>
        <v>20190304155614464</v>
      </c>
      <c r="B1122" t="str">
        <f>"1551686174456212"</f>
        <v>1551686174456212</v>
      </c>
      <c r="C1122" t="s">
        <v>40</v>
      </c>
      <c r="D1122">
        <v>4.6111430000000002</v>
      </c>
      <c r="E1122">
        <v>0.53762290000000001</v>
      </c>
      <c r="F1122" t="s">
        <v>41</v>
      </c>
      <c r="G1122">
        <v>-242.49449999999999</v>
      </c>
      <c r="H1122" s="1">
        <v>-4.3720090000000003E-6</v>
      </c>
      <c r="I1122">
        <v>364.8605</v>
      </c>
      <c r="J1122">
        <v>-270.2568</v>
      </c>
      <c r="K1122">
        <v>1.1088129999999901</v>
      </c>
      <c r="L1122">
        <v>367.05739999999997</v>
      </c>
      <c r="M1122">
        <v>0.99991050000000004</v>
      </c>
      <c r="N1122">
        <v>-1.334959E-2</v>
      </c>
      <c r="O1122">
        <v>1.038038E-3</v>
      </c>
      <c r="P1122">
        <v>0.98476450000000004</v>
      </c>
      <c r="Q1122">
        <v>0.17204159999999999</v>
      </c>
      <c r="R1122">
        <v>2.531162E-2</v>
      </c>
      <c r="S1122">
        <v>3.0737610000000002</v>
      </c>
      <c r="T1122">
        <v>-0.1219674</v>
      </c>
      <c r="U1122">
        <v>-0.24166869999999999</v>
      </c>
      <c r="V1122">
        <v>-2.4282069999999999E-2</v>
      </c>
      <c r="W1122">
        <v>0.1851737</v>
      </c>
      <c r="X1122">
        <v>0.9824058</v>
      </c>
      <c r="Y1122">
        <v>7.9332719999999995E-2</v>
      </c>
      <c r="Z1122">
        <v>-2.1288520000000001E-3</v>
      </c>
      <c r="AA1122">
        <v>0.99684589999999995</v>
      </c>
      <c r="AB1122">
        <v>35</v>
      </c>
      <c r="AC1122">
        <v>27.7623</v>
      </c>
      <c r="AD1122">
        <v>-1.10881737200899</v>
      </c>
      <c r="AE1122">
        <v>-2.1968999999999701</v>
      </c>
      <c r="AF1122">
        <v>2.2221969619694302</v>
      </c>
      <c r="AG1122">
        <v>-1.10881737200899</v>
      </c>
      <c r="AH1122">
        <v>27.716067440816101</v>
      </c>
      <c r="AI1122">
        <v>92.283650023405002</v>
      </c>
      <c r="AJ1122">
        <v>85.415990060742899</v>
      </c>
      <c r="AK1122">
        <v>27.827109617891001</v>
      </c>
      <c r="AL1122">
        <v>79.328740747681294</v>
      </c>
      <c r="AM1122">
        <v>91.415888335574707</v>
      </c>
      <c r="AN1122">
        <v>1.0000000369844</v>
      </c>
    </row>
    <row r="1123" spans="1:40" x14ac:dyDescent="0.25">
      <c r="A1123" t="str">
        <f>"20190304155614475"</f>
        <v>20190304155614475</v>
      </c>
      <c r="B1123" t="str">
        <f>"1551686174465972"</f>
        <v>1551686174465972</v>
      </c>
      <c r="C1123" t="s">
        <v>40</v>
      </c>
      <c r="D1123">
        <v>4.5827429999999998</v>
      </c>
      <c r="E1123">
        <v>0.53752299999999997</v>
      </c>
      <c r="F1123" t="s">
        <v>41</v>
      </c>
      <c r="G1123">
        <v>-242.19460000000001</v>
      </c>
      <c r="H1123" s="1">
        <v>-4.5139619999999997E-6</v>
      </c>
      <c r="I1123">
        <v>364.85919999999999</v>
      </c>
      <c r="J1123">
        <v>-270.09879999999998</v>
      </c>
      <c r="K1123">
        <v>1.1089249999999999</v>
      </c>
      <c r="L1123">
        <v>367.05759999999998</v>
      </c>
      <c r="M1123">
        <v>0.99990950000000001</v>
      </c>
      <c r="N1123">
        <v>-1.3420090000000001E-2</v>
      </c>
      <c r="O1123">
        <v>1.038279E-3</v>
      </c>
      <c r="P1123">
        <v>0.98477079999999995</v>
      </c>
      <c r="Q1123">
        <v>0.17199439999999999</v>
      </c>
      <c r="R1123">
        <v>2.5392379999999999E-2</v>
      </c>
      <c r="S1123">
        <v>3.0738219999999998</v>
      </c>
      <c r="T1123">
        <v>-0.1214558</v>
      </c>
      <c r="U1123">
        <v>-0.24078369999999999</v>
      </c>
      <c r="V1123">
        <v>-2.436253E-2</v>
      </c>
      <c r="W1123">
        <v>0.18519569999999999</v>
      </c>
      <c r="X1123">
        <v>0.98239960000000004</v>
      </c>
      <c r="Y1123">
        <v>7.9046969999999994E-2</v>
      </c>
      <c r="Z1123">
        <v>-2.1172539999999998E-3</v>
      </c>
      <c r="AA1123">
        <v>0.99686870000000005</v>
      </c>
      <c r="AB1123">
        <v>35</v>
      </c>
      <c r="AC1123">
        <v>27.9041999999999</v>
      </c>
      <c r="AD1123">
        <v>-1.1089295139619999</v>
      </c>
      <c r="AE1123">
        <v>-2.1983999999999901</v>
      </c>
      <c r="AF1123">
        <v>2.2238832198546401</v>
      </c>
      <c r="AG1123">
        <v>-1.1089295139619999</v>
      </c>
      <c r="AH1123">
        <v>27.8581767641605</v>
      </c>
      <c r="AI1123">
        <v>92.272305394771294</v>
      </c>
      <c r="AJ1123">
        <v>85.435828804253205</v>
      </c>
      <c r="AK1123">
        <v>27.968793214325501</v>
      </c>
      <c r="AL1123">
        <v>79.327457408418596</v>
      </c>
      <c r="AM1123">
        <v>91.420587003326801</v>
      </c>
      <c r="AN1123">
        <v>0.999999977123325</v>
      </c>
    </row>
    <row r="1124" spans="1:40" x14ac:dyDescent="0.25">
      <c r="A1124" t="str">
        <f>"20190304155614486"</f>
        <v>20190304155614486</v>
      </c>
      <c r="B1124" t="str">
        <f>"1551686174475732"</f>
        <v>1551686174475732</v>
      </c>
      <c r="C1124" t="s">
        <v>40</v>
      </c>
      <c r="D1124">
        <v>4.5673029999999999</v>
      </c>
      <c r="E1124">
        <v>0.53742380000000001</v>
      </c>
      <c r="F1124" t="s">
        <v>41</v>
      </c>
      <c r="G1124">
        <v>-242.0797</v>
      </c>
      <c r="H1124" s="1">
        <v>-4.5659529999999998E-6</v>
      </c>
      <c r="I1124">
        <v>364.8725</v>
      </c>
      <c r="J1124">
        <v>-269.92250000000001</v>
      </c>
      <c r="K1124">
        <v>1.1090409999999999</v>
      </c>
      <c r="L1124">
        <v>367.05779999999999</v>
      </c>
      <c r="M1124">
        <v>0.99990840000000003</v>
      </c>
      <c r="N1124">
        <v>-1.3495109999999999E-2</v>
      </c>
      <c r="O1124">
        <v>1.038427E-3</v>
      </c>
      <c r="P1124">
        <v>0.98477760000000003</v>
      </c>
      <c r="Q1124">
        <v>0.17198540000000001</v>
      </c>
      <c r="R1124">
        <v>2.517635E-2</v>
      </c>
      <c r="S1124">
        <v>3.0738219999999998</v>
      </c>
      <c r="T1124">
        <v>-0.12165430000000001</v>
      </c>
      <c r="U1124">
        <v>-0.2397156</v>
      </c>
      <c r="V1124">
        <v>-2.4146279999999999E-2</v>
      </c>
      <c r="W1124">
        <v>0.1852608</v>
      </c>
      <c r="X1124">
        <v>0.98239270000000001</v>
      </c>
      <c r="Y1124">
        <v>7.8702820000000007E-2</v>
      </c>
      <c r="Z1124">
        <v>-2.1136549999999999E-3</v>
      </c>
      <c r="AA1124">
        <v>0.99689589999999995</v>
      </c>
      <c r="AB1124">
        <v>34</v>
      </c>
      <c r="AC1124">
        <v>27.8428</v>
      </c>
      <c r="AD1124">
        <v>-1.1090455659530001</v>
      </c>
      <c r="AE1124">
        <v>-2.1852999999999798</v>
      </c>
      <c r="AF1124">
        <v>2.2107280594152998</v>
      </c>
      <c r="AG1124">
        <v>-1.1090455659530001</v>
      </c>
      <c r="AH1124">
        <v>27.796682746887502</v>
      </c>
      <c r="AI1124">
        <v>92.277618599532602</v>
      </c>
      <c r="AJ1124">
        <v>85.452718948420895</v>
      </c>
      <c r="AK1124">
        <v>27.9065023310188</v>
      </c>
      <c r="AL1124">
        <v>79.323662147592799</v>
      </c>
      <c r="AM1124">
        <v>91.407992379655198</v>
      </c>
      <c r="AN1124">
        <v>1.0000000119338801</v>
      </c>
    </row>
    <row r="1125" spans="1:40" x14ac:dyDescent="0.25">
      <c r="A1125" t="str">
        <f>"20190304155614498"</f>
        <v>20190304155614498</v>
      </c>
      <c r="B1125" t="str">
        <f>"1551686174495252"</f>
        <v>1551686174495252</v>
      </c>
      <c r="C1125" t="s">
        <v>40</v>
      </c>
      <c r="D1125">
        <v>4.4982430000000004</v>
      </c>
      <c r="E1125">
        <v>0.53722209999999904</v>
      </c>
      <c r="F1125" t="s">
        <v>41</v>
      </c>
      <c r="G1125">
        <v>-241.92689999999999</v>
      </c>
      <c r="H1125" s="1">
        <v>-4.6375699999999999E-6</v>
      </c>
      <c r="I1125">
        <v>364.8759</v>
      </c>
      <c r="J1125">
        <v>-269.75420000000003</v>
      </c>
      <c r="K1125">
        <v>1.1091439999999999</v>
      </c>
      <c r="L1125">
        <v>367.05799999999999</v>
      </c>
      <c r="M1125">
        <v>0.99990760000000001</v>
      </c>
      <c r="N1125">
        <v>-1.3561200000000001E-2</v>
      </c>
      <c r="O1125">
        <v>1.038455E-3</v>
      </c>
      <c r="P1125">
        <v>0.98478750000000004</v>
      </c>
      <c r="Q1125">
        <v>0.1719185</v>
      </c>
      <c r="R1125">
        <v>2.5256489999999999E-2</v>
      </c>
      <c r="S1125">
        <v>3.0737610000000002</v>
      </c>
      <c r="T1125">
        <v>-0.121766899999999</v>
      </c>
      <c r="U1125">
        <v>-0.239563</v>
      </c>
      <c r="V1125">
        <v>-2.4226870000000001E-2</v>
      </c>
      <c r="W1125">
        <v>0.18525900000000001</v>
      </c>
      <c r="X1125">
        <v>0.98239109999999996</v>
      </c>
      <c r="Y1125">
        <v>7.8655020000000006E-2</v>
      </c>
      <c r="Z1125">
        <v>-2.1164339999999999E-3</v>
      </c>
      <c r="AA1125">
        <v>0.99689970000000006</v>
      </c>
      <c r="AB1125">
        <v>34</v>
      </c>
      <c r="AC1125">
        <v>27.827300000000001</v>
      </c>
      <c r="AD1125">
        <v>-1.1091486375699999</v>
      </c>
      <c r="AE1125">
        <v>-2.1821000000000401</v>
      </c>
      <c r="AF1125">
        <v>2.2075132702296698</v>
      </c>
      <c r="AG1125">
        <v>-1.1091486375699999</v>
      </c>
      <c r="AH1125">
        <v>27.781153047165599</v>
      </c>
      <c r="AI1125">
        <v>92.279114835975406</v>
      </c>
      <c r="AJ1125">
        <v>85.456776194552205</v>
      </c>
      <c r="AK1125">
        <v>27.890783247669798</v>
      </c>
      <c r="AL1125">
        <v>79.323767570910704</v>
      </c>
      <c r="AM1125">
        <v>91.412692057378905</v>
      </c>
      <c r="AN1125">
        <v>1.0000000558351001</v>
      </c>
    </row>
    <row r="1126" spans="1:40" x14ac:dyDescent="0.25">
      <c r="A1126" t="str">
        <f>"20190304155614508"</f>
        <v>20190304155614508</v>
      </c>
      <c r="B1126" t="str">
        <f>"1551686174505989"</f>
        <v>1551686174505989</v>
      </c>
      <c r="C1126" t="s">
        <v>40</v>
      </c>
      <c r="D1126">
        <v>4.6046310000000004</v>
      </c>
      <c r="E1126">
        <v>0.53744159999999996</v>
      </c>
      <c r="F1126" t="s">
        <v>41</v>
      </c>
      <c r="G1126">
        <v>-241.76349999999999</v>
      </c>
      <c r="H1126" s="1">
        <v>-4.7120550000000004E-6</v>
      </c>
      <c r="I1126">
        <v>364.89139999999998</v>
      </c>
      <c r="J1126">
        <v>-269.58609999999999</v>
      </c>
      <c r="K1126">
        <v>1.1092409999999999</v>
      </c>
      <c r="L1126">
        <v>367.05810000000002</v>
      </c>
      <c r="M1126">
        <v>0.99990670000000004</v>
      </c>
      <c r="N1126">
        <v>-1.362536E-2</v>
      </c>
      <c r="O1126">
        <v>1.0385539999999999E-3</v>
      </c>
      <c r="P1126">
        <v>0.98478949999999998</v>
      </c>
      <c r="Q1126">
        <v>0.17192879999999899</v>
      </c>
      <c r="R1126">
        <v>2.5106150000000001E-2</v>
      </c>
      <c r="S1126">
        <v>3.0737000000000001</v>
      </c>
      <c r="T1126">
        <v>-0.1217973</v>
      </c>
      <c r="U1126">
        <v>-0.23791499999999999</v>
      </c>
      <c r="V1126">
        <v>-2.4075679999999999E-2</v>
      </c>
      <c r="W1126">
        <v>0.18533259999999999</v>
      </c>
      <c r="X1126">
        <v>0.9823809</v>
      </c>
      <c r="Y1126">
        <v>7.8125769999999997E-2</v>
      </c>
      <c r="Z1126">
        <v>-2.105272E-3</v>
      </c>
      <c r="AA1126">
        <v>0.99694130000000003</v>
      </c>
      <c r="AB1126">
        <v>34</v>
      </c>
      <c r="AC1126">
        <v>27.822599999999898</v>
      </c>
      <c r="AD1126">
        <v>-1.1092457120550001</v>
      </c>
      <c r="AE1126">
        <v>-2.16670000000004</v>
      </c>
      <c r="AF1126">
        <v>2.19213339595639</v>
      </c>
      <c r="AG1126">
        <v>-1.1092457120550001</v>
      </c>
      <c r="AH1126">
        <v>27.776450067932402</v>
      </c>
      <c r="AI1126">
        <v>92.279796436606304</v>
      </c>
      <c r="AJ1126">
        <v>85.487537216777199</v>
      </c>
      <c r="AK1126">
        <v>27.884889335475599</v>
      </c>
      <c r="AL1126">
        <v>79.319475921371307</v>
      </c>
      <c r="AM1126">
        <v>91.403894133034299</v>
      </c>
      <c r="AN1126">
        <v>1.00000002183751</v>
      </c>
    </row>
    <row r="1127" spans="1:40" x14ac:dyDescent="0.25">
      <c r="A1127" t="str">
        <f>"20190304155614520"</f>
        <v>20190304155614520</v>
      </c>
      <c r="B1127" t="str">
        <f>"1551686174515748"</f>
        <v>1551686174515748</v>
      </c>
      <c r="C1127" t="s">
        <v>40</v>
      </c>
      <c r="D1127">
        <v>4.186515</v>
      </c>
      <c r="E1127">
        <v>0.53744159999999996</v>
      </c>
      <c r="F1127" t="s">
        <v>41</v>
      </c>
      <c r="G1127">
        <v>-241.33199999999999</v>
      </c>
      <c r="H1127" s="1">
        <v>-4.9235660000000001E-6</v>
      </c>
      <c r="I1127">
        <v>364.84879999999998</v>
      </c>
      <c r="J1127">
        <v>-269.41770000000002</v>
      </c>
      <c r="K1127">
        <v>1.1093230000000001</v>
      </c>
      <c r="L1127">
        <v>367.05829999999997</v>
      </c>
      <c r="M1127">
        <v>0.99990590000000001</v>
      </c>
      <c r="N1127">
        <v>-1.3683570000000001E-2</v>
      </c>
      <c r="O1127">
        <v>1.03881E-3</v>
      </c>
      <c r="P1127">
        <v>0.9847977</v>
      </c>
      <c r="Q1127">
        <v>0.1718961</v>
      </c>
      <c r="R1127">
        <v>2.5010899999999999E-2</v>
      </c>
      <c r="S1127">
        <v>3.0735169999999998</v>
      </c>
      <c r="T1127">
        <v>-0.12066540000000001</v>
      </c>
      <c r="U1127">
        <v>-0.24032590000000001</v>
      </c>
      <c r="V1127">
        <v>-2.3980950000000001E-2</v>
      </c>
      <c r="W1127">
        <v>0.18535689999999999</v>
      </c>
      <c r="X1127">
        <v>0.98237859999999999</v>
      </c>
      <c r="Y1127">
        <v>7.8908309999999995E-2</v>
      </c>
      <c r="Z1127">
        <v>-2.113523E-3</v>
      </c>
      <c r="AA1127">
        <v>0.99687959999999998</v>
      </c>
      <c r="AB1127">
        <v>34</v>
      </c>
      <c r="AC1127">
        <v>28.085699999999999</v>
      </c>
      <c r="AD1127">
        <v>-1.1093279235660001</v>
      </c>
      <c r="AE1127">
        <v>-2.20949999999999</v>
      </c>
      <c r="AF1127">
        <v>2.23521156346732</v>
      </c>
      <c r="AG1127">
        <v>-1.1093279235660001</v>
      </c>
      <c r="AH1127">
        <v>28.039913684985699</v>
      </c>
      <c r="AI1127">
        <v>92.258423575280503</v>
      </c>
      <c r="AJ1127">
        <v>85.442284573503599</v>
      </c>
      <c r="AK1127">
        <v>28.150728918394101</v>
      </c>
      <c r="AL1127">
        <v>79.318058741574603</v>
      </c>
      <c r="AM1127">
        <v>91.398375734790207</v>
      </c>
      <c r="AN1127">
        <v>0.99999999003923601</v>
      </c>
    </row>
    <row r="1128" spans="1:40" x14ac:dyDescent="0.25">
      <c r="A1128" t="str">
        <f>"20190304155614531"</f>
        <v>20190304155614531</v>
      </c>
      <c r="B1128" t="str">
        <f>"1551686174525508"</f>
        <v>1551686174525508</v>
      </c>
      <c r="C1128" t="s">
        <v>40</v>
      </c>
      <c r="D1128">
        <v>4.8408110000000004</v>
      </c>
      <c r="E1128">
        <v>0.5784958</v>
      </c>
      <c r="F1128" t="s">
        <v>41</v>
      </c>
      <c r="G1128">
        <v>-241.1841</v>
      </c>
      <c r="H1128" s="1">
        <v>-4.9935560000000004E-6</v>
      </c>
      <c r="I1128">
        <v>364.84859999999998</v>
      </c>
      <c r="J1128">
        <v>-269.23750000000001</v>
      </c>
      <c r="K1128">
        <v>1.109407</v>
      </c>
      <c r="L1128">
        <v>367.05840000000001</v>
      </c>
      <c r="M1128">
        <v>0.99990500000000004</v>
      </c>
      <c r="N1128">
        <v>-1.3744289999999999E-2</v>
      </c>
      <c r="O1128">
        <v>1.0389290000000001E-3</v>
      </c>
      <c r="P1128">
        <v>0.9848036</v>
      </c>
      <c r="Q1128">
        <v>0.1718692</v>
      </c>
      <c r="R1128">
        <v>2.4955450000000001E-2</v>
      </c>
      <c r="S1128">
        <v>3.0735169999999998</v>
      </c>
      <c r="T1128">
        <v>-0.1207616</v>
      </c>
      <c r="U1128">
        <v>-0.24053959999999999</v>
      </c>
      <c r="V1128">
        <v>-2.392505E-2</v>
      </c>
      <c r="W1128">
        <v>0.1853902</v>
      </c>
      <c r="X1128">
        <v>0.98237370000000002</v>
      </c>
      <c r="Y1128">
        <v>7.8977030000000004E-2</v>
      </c>
      <c r="Z1128">
        <v>-2.1189469999999999E-3</v>
      </c>
      <c r="AA1128">
        <v>0.99687420000000004</v>
      </c>
      <c r="AB1128">
        <v>34</v>
      </c>
      <c r="AC1128">
        <v>28.0534</v>
      </c>
      <c r="AD1128">
        <v>-1.1094119935560001</v>
      </c>
      <c r="AE1128">
        <v>-2.20980000000002</v>
      </c>
      <c r="AF1128">
        <v>2.23547250898373</v>
      </c>
      <c r="AG1128">
        <v>-1.1094119935560001</v>
      </c>
      <c r="AH1128">
        <v>28.0075573271839</v>
      </c>
      <c r="AI1128">
        <v>92.261182980360203</v>
      </c>
      <c r="AJ1128">
        <v>85.436510948921693</v>
      </c>
      <c r="AK1128">
        <v>28.1185241388192</v>
      </c>
      <c r="AL1128">
        <v>79.316117360197893</v>
      </c>
      <c r="AM1128">
        <v>91.395124343047598</v>
      </c>
      <c r="AN1128">
        <v>1.0000000103626101</v>
      </c>
    </row>
    <row r="1129" spans="1:40" x14ac:dyDescent="0.25">
      <c r="A1129" t="str">
        <f>"20190304155614542"</f>
        <v>20190304155614542</v>
      </c>
      <c r="B1129" t="str">
        <f>"1551686174535269"</f>
        <v>1551686174535269</v>
      </c>
      <c r="C1129" t="s">
        <v>40</v>
      </c>
      <c r="D1129">
        <v>4.2066059999999998</v>
      </c>
      <c r="E1129">
        <v>0.5784958</v>
      </c>
      <c r="F1129" t="s">
        <v>46</v>
      </c>
      <c r="G1129">
        <v>0</v>
      </c>
      <c r="H1129">
        <v>0</v>
      </c>
      <c r="I1129">
        <v>0</v>
      </c>
      <c r="J1129">
        <v>-269.0684</v>
      </c>
      <c r="K1129">
        <v>1.1094809999999999</v>
      </c>
      <c r="L1129">
        <v>367.05860000000001</v>
      </c>
      <c r="M1129">
        <v>0.99990429999999997</v>
      </c>
      <c r="N1129">
        <v>-1.3796070000000001E-2</v>
      </c>
      <c r="O1129">
        <v>1.038869E-3</v>
      </c>
      <c r="P1129">
        <v>0.98482409999999998</v>
      </c>
      <c r="Q1129">
        <v>0.17180999999999999</v>
      </c>
      <c r="R1129">
        <v>2.4560769999999999E-2</v>
      </c>
      <c r="S1129">
        <v>3.0592350000000001</v>
      </c>
      <c r="T1129">
        <v>7.8203679999999994E-3</v>
      </c>
      <c r="U1129">
        <v>-0.56484990000000002</v>
      </c>
      <c r="V1129">
        <v>-2.3530200000000001E-2</v>
      </c>
      <c r="W1129">
        <v>0.18538170000000001</v>
      </c>
      <c r="X1129">
        <v>0.98238479999999995</v>
      </c>
      <c r="Y1129">
        <v>0.18259259999999999</v>
      </c>
      <c r="Z1129">
        <v>-1.021866E-3</v>
      </c>
      <c r="AA1129">
        <v>0.98318819999999996</v>
      </c>
      <c r="AB1129">
        <v>34</v>
      </c>
      <c r="AC1129">
        <v>3.0592350000000001</v>
      </c>
      <c r="AD1129">
        <v>7.8203679999999994E-3</v>
      </c>
      <c r="AE1129">
        <v>-0.56484990000000002</v>
      </c>
      <c r="AF1129">
        <v>0.56802445247761102</v>
      </c>
      <c r="AG1129">
        <v>7.8203679999999994E-3</v>
      </c>
      <c r="AH1129">
        <v>3.0586271595260799</v>
      </c>
      <c r="AI1129">
        <v>89.855967857113498</v>
      </c>
      <c r="AJ1129">
        <v>79.479329869988106</v>
      </c>
      <c r="AK1129">
        <v>3.1109344316071299</v>
      </c>
      <c r="AL1129">
        <v>79.316612530466799</v>
      </c>
      <c r="AM1129">
        <v>91.372093115429394</v>
      </c>
      <c r="AN1129">
        <v>0.99999997013898401</v>
      </c>
    </row>
    <row r="1130" spans="1:40" x14ac:dyDescent="0.25">
      <c r="A1130" t="str">
        <f>"20190304155614553"</f>
        <v>20190304155614553</v>
      </c>
      <c r="B1130" t="str">
        <f>"1551686174546004"</f>
        <v>1551686174546004</v>
      </c>
      <c r="C1130" t="s">
        <v>40</v>
      </c>
      <c r="D1130">
        <v>4.6459080000000004</v>
      </c>
      <c r="E1130">
        <v>0.58071450000000002</v>
      </c>
      <c r="F1130" t="s">
        <v>46</v>
      </c>
      <c r="G1130">
        <v>0</v>
      </c>
      <c r="H1130">
        <v>0</v>
      </c>
      <c r="I1130">
        <v>0</v>
      </c>
      <c r="J1130">
        <v>-268.90480000000002</v>
      </c>
      <c r="K1130">
        <v>1.109548</v>
      </c>
      <c r="L1130">
        <v>367.05880000000002</v>
      </c>
      <c r="M1130">
        <v>0.9999036</v>
      </c>
      <c r="N1130">
        <v>-1.384442E-2</v>
      </c>
      <c r="O1130">
        <v>1.038712E-3</v>
      </c>
      <c r="P1130">
        <v>0.9848576</v>
      </c>
      <c r="Q1130">
        <v>0.17162430000000001</v>
      </c>
      <c r="R1130">
        <v>2.450739E-2</v>
      </c>
      <c r="S1130">
        <v>3.0589900000000001</v>
      </c>
      <c r="T1130">
        <v>7.798195E-3</v>
      </c>
      <c r="U1130">
        <v>-0.56610109999999902</v>
      </c>
      <c r="V1130">
        <v>-2.347695E-2</v>
      </c>
      <c r="W1130">
        <v>0.18524399999999999</v>
      </c>
      <c r="X1130">
        <v>0.98241210000000001</v>
      </c>
      <c r="Y1130">
        <v>0.1829953</v>
      </c>
      <c r="Z1130">
        <v>-1.0292739999999999E-3</v>
      </c>
      <c r="AA1130">
        <v>0.98311320000000002</v>
      </c>
      <c r="AB1130">
        <v>34</v>
      </c>
      <c r="AC1130">
        <v>3.0589900000000001</v>
      </c>
      <c r="AD1130">
        <v>7.798195E-3</v>
      </c>
      <c r="AE1130">
        <v>-0.56610109999999902</v>
      </c>
      <c r="AF1130">
        <v>0.56927493170246402</v>
      </c>
      <c r="AG1130">
        <v>7.798195E-3</v>
      </c>
      <c r="AH1130">
        <v>3.0583810595006198</v>
      </c>
      <c r="AI1130">
        <v>89.856375610526698</v>
      </c>
      <c r="AJ1130">
        <v>79.455858501834598</v>
      </c>
      <c r="AK1130">
        <v>3.11092099945053</v>
      </c>
      <c r="AL1130">
        <v>79.324641763494199</v>
      </c>
      <c r="AM1130">
        <v>91.3689511561996</v>
      </c>
      <c r="AN1130">
        <v>1.00000002047185</v>
      </c>
    </row>
    <row r="1131" spans="1:40" x14ac:dyDescent="0.25">
      <c r="A1131" t="str">
        <f>"20190304155614564"</f>
        <v>20190304155614564</v>
      </c>
      <c r="B1131" t="str">
        <f>"1551686174555764"</f>
        <v>1551686174555764</v>
      </c>
      <c r="C1131" t="s">
        <v>40</v>
      </c>
      <c r="D1131">
        <v>4.4143080000000001</v>
      </c>
      <c r="E1131">
        <v>0.5921556</v>
      </c>
      <c r="F1131" t="s">
        <v>45</v>
      </c>
      <c r="G1131">
        <v>-185.04939999999999</v>
      </c>
      <c r="H1131" s="1">
        <v>-1.807551E-6</v>
      </c>
      <c r="I1131">
        <v>351.05430000000001</v>
      </c>
      <c r="J1131">
        <v>-268.72640000000001</v>
      </c>
      <c r="K1131">
        <v>1.1096090000000001</v>
      </c>
      <c r="L1131">
        <v>367.05900000000003</v>
      </c>
      <c r="M1131">
        <v>0.99990299999999999</v>
      </c>
      <c r="N1131">
        <v>-1.389321E-2</v>
      </c>
      <c r="O1131">
        <v>1.0387300000000001E-3</v>
      </c>
      <c r="P1131">
        <v>0.98484669999999996</v>
      </c>
      <c r="Q1131">
        <v>0.17172229999999999</v>
      </c>
      <c r="R1131">
        <v>2.4259610000000001E-2</v>
      </c>
      <c r="S1131">
        <v>3.06778</v>
      </c>
      <c r="T1131">
        <v>-4.0591960000000003E-2</v>
      </c>
      <c r="U1131">
        <v>-0.58551030000000004</v>
      </c>
      <c r="V1131">
        <v>-2.3229429999999999E-2</v>
      </c>
      <c r="W1131">
        <v>0.18538969999999999</v>
      </c>
      <c r="X1131">
        <v>0.98239050000000006</v>
      </c>
      <c r="Y1131">
        <v>0.18846109999999999</v>
      </c>
      <c r="Z1131">
        <v>-2.5559990000000002E-3</v>
      </c>
      <c r="AA1131">
        <v>0.98207739999999999</v>
      </c>
      <c r="AB1131">
        <v>34</v>
      </c>
      <c r="AC1131">
        <v>83.677000000000007</v>
      </c>
      <c r="AD1131">
        <v>-1.1096108075510001</v>
      </c>
      <c r="AE1131">
        <v>-16.0047</v>
      </c>
      <c r="AF1131">
        <v>16.088888261114999</v>
      </c>
      <c r="AG1131">
        <v>-1.1096108075510001</v>
      </c>
      <c r="AH1131">
        <v>83.646139060790503</v>
      </c>
      <c r="AI1131">
        <v>90.746335686098604</v>
      </c>
      <c r="AJ1131">
        <v>79.112430349928204</v>
      </c>
      <c r="AK1131">
        <v>85.1866194974303</v>
      </c>
      <c r="AL1131">
        <v>79.316146627223304</v>
      </c>
      <c r="AM1131">
        <v>91.354553334191195</v>
      </c>
      <c r="AN1131">
        <v>1.0000000208872299</v>
      </c>
    </row>
    <row r="1132" spans="1:40" x14ac:dyDescent="0.25">
      <c r="A1132" t="str">
        <f>"20190304155614576"</f>
        <v>20190304155614576</v>
      </c>
      <c r="B1132" t="str">
        <f>"1551686174565525"</f>
        <v>1551686174565525</v>
      </c>
      <c r="C1132" t="s">
        <v>40</v>
      </c>
      <c r="D1132">
        <v>4.2330990000000002</v>
      </c>
      <c r="E1132">
        <v>0.59891190000000005</v>
      </c>
      <c r="F1132" t="s">
        <v>49</v>
      </c>
      <c r="G1132">
        <v>-156.4682</v>
      </c>
      <c r="H1132">
        <v>3.763039</v>
      </c>
      <c r="I1132">
        <v>342.23630000000003</v>
      </c>
      <c r="J1132">
        <v>-268.55439999999999</v>
      </c>
      <c r="K1132">
        <v>1.109667</v>
      </c>
      <c r="L1132">
        <v>367.0591</v>
      </c>
      <c r="M1132">
        <v>0.99990239999999997</v>
      </c>
      <c r="N1132">
        <v>-1.3937410000000001E-2</v>
      </c>
      <c r="O1132">
        <v>1.038719E-3</v>
      </c>
      <c r="P1132">
        <v>0.98484090000000002</v>
      </c>
      <c r="Q1132">
        <v>0.171759</v>
      </c>
      <c r="R1132">
        <v>2.4237069999999999E-2</v>
      </c>
      <c r="S1132">
        <v>3.0502319999999998</v>
      </c>
      <c r="T1132">
        <v>7.2098019999999999E-2</v>
      </c>
      <c r="U1132">
        <v>-0.67446899999999999</v>
      </c>
      <c r="V1132">
        <v>-2.3206589999999999E-2</v>
      </c>
      <c r="W1132">
        <v>0.18546940000000001</v>
      </c>
      <c r="X1132">
        <v>0.98237600000000003</v>
      </c>
      <c r="Y1132">
        <v>0.21689610000000001</v>
      </c>
      <c r="Z1132">
        <v>1.041328E-3</v>
      </c>
      <c r="AA1132">
        <v>0.97619409999999895</v>
      </c>
      <c r="AB1132">
        <v>34</v>
      </c>
      <c r="AC1132">
        <v>112.08620000000001</v>
      </c>
      <c r="AD1132">
        <v>2.6533720000000001</v>
      </c>
      <c r="AE1132">
        <v>-24.822799999999901</v>
      </c>
      <c r="AF1132">
        <v>24.9259087407146</v>
      </c>
      <c r="AG1132">
        <v>2.6533720000000001</v>
      </c>
      <c r="AH1132">
        <v>112.00052326894</v>
      </c>
      <c r="AI1132">
        <v>88.675274034692805</v>
      </c>
      <c r="AJ1132">
        <v>77.453203302646898</v>
      </c>
      <c r="AK1132">
        <v>114.771331446652</v>
      </c>
      <c r="AL1132">
        <v>79.311499604196996</v>
      </c>
      <c r="AM1132">
        <v>91.353241951061406</v>
      </c>
      <c r="AN1132">
        <v>1.00000002476589</v>
      </c>
    </row>
    <row r="1133" spans="1:40" x14ac:dyDescent="0.25">
      <c r="A1133" t="str">
        <f>"20190304155614587"</f>
        <v>20190304155614587</v>
      </c>
      <c r="B1133" t="str">
        <f>"1551686174576260"</f>
        <v>1551686174576260</v>
      </c>
      <c r="C1133" t="s">
        <v>40</v>
      </c>
      <c r="D1133">
        <v>4.6881599999999999</v>
      </c>
      <c r="E1133">
        <v>0.59737309999999999</v>
      </c>
      <c r="F1133" t="s">
        <v>49</v>
      </c>
      <c r="G1133">
        <v>-166.44099999999901</v>
      </c>
      <c r="H1133">
        <v>5.8121660000000004</v>
      </c>
      <c r="I1133">
        <v>342.64389999999997</v>
      </c>
      <c r="J1133">
        <v>-268.37369999999999</v>
      </c>
      <c r="K1133">
        <v>1.1097189999999999</v>
      </c>
      <c r="L1133">
        <v>367.05930000000001</v>
      </c>
      <c r="M1133">
        <v>0.99990179999999995</v>
      </c>
      <c r="N1133">
        <v>-1.39816E-2</v>
      </c>
      <c r="O1133">
        <v>1.0387669999999999E-3</v>
      </c>
      <c r="P1133">
        <v>0.98484249999999995</v>
      </c>
      <c r="Q1133">
        <v>0.17177200000000001</v>
      </c>
      <c r="R1133">
        <v>2.4070709999999999E-2</v>
      </c>
      <c r="S1133">
        <v>3.0396420000000002</v>
      </c>
      <c r="T1133">
        <v>0.13998099999999999</v>
      </c>
      <c r="U1133">
        <v>-0.72677609999999904</v>
      </c>
      <c r="V1133">
        <v>-2.304051E-2</v>
      </c>
      <c r="W1133">
        <v>0.1855261</v>
      </c>
      <c r="X1133">
        <v>0.98236920000000005</v>
      </c>
      <c r="Y1133">
        <v>0.23339280000000001</v>
      </c>
      <c r="Z1133">
        <v>3.7032499999999999E-3</v>
      </c>
      <c r="AA1133">
        <v>0.97237549999999995</v>
      </c>
      <c r="AB1133">
        <v>34</v>
      </c>
      <c r="AC1133">
        <v>101.9327</v>
      </c>
      <c r="AD1133">
        <v>4.7024470000000003</v>
      </c>
      <c r="AE1133">
        <v>-24.415400000000002</v>
      </c>
      <c r="AF1133">
        <v>24.4720250729832</v>
      </c>
      <c r="AG1133">
        <v>4.7024470000000003</v>
      </c>
      <c r="AH1133">
        <v>101.70257728829</v>
      </c>
      <c r="AI1133">
        <v>87.426050323499396</v>
      </c>
      <c r="AJ1133">
        <v>76.470495892974</v>
      </c>
      <c r="AK1133">
        <v>104.71106553770301</v>
      </c>
      <c r="AL1133">
        <v>79.308193526118501</v>
      </c>
      <c r="AM1133">
        <v>91.343570215585203</v>
      </c>
      <c r="AN1133">
        <v>1.0000000219954499</v>
      </c>
    </row>
    <row r="1134" spans="1:40" x14ac:dyDescent="0.25">
      <c r="A1134" t="str">
        <f>"20190304155614601"</f>
        <v>20190304155614601</v>
      </c>
      <c r="B1134" t="str">
        <f>"1551686174595780"</f>
        <v>1551686174595780</v>
      </c>
      <c r="C1134" t="s">
        <v>40</v>
      </c>
      <c r="D1134">
        <v>4.6904589999999997</v>
      </c>
      <c r="E1134">
        <v>0.59973529999999997</v>
      </c>
      <c r="F1134" t="s">
        <v>49</v>
      </c>
      <c r="G1134">
        <v>-162.62889999999999</v>
      </c>
      <c r="H1134">
        <v>4.9884199999999996</v>
      </c>
      <c r="I1134">
        <v>342.1952</v>
      </c>
      <c r="J1134">
        <v>-268.18009999999998</v>
      </c>
      <c r="K1134">
        <v>1.1097669999999999</v>
      </c>
      <c r="L1134">
        <v>367.05950000000001</v>
      </c>
      <c r="M1134">
        <v>0.99990120000000005</v>
      </c>
      <c r="N1134">
        <v>-1.4024450000000001E-2</v>
      </c>
      <c r="O1134">
        <v>1.0386449999999999E-3</v>
      </c>
      <c r="P1134">
        <v>0.98483739999999997</v>
      </c>
      <c r="Q1134">
        <v>0.17185829999999999</v>
      </c>
      <c r="R1134">
        <v>2.367228E-2</v>
      </c>
      <c r="S1134">
        <v>3.0441889999999998</v>
      </c>
      <c r="T1134">
        <v>0.1116605</v>
      </c>
      <c r="U1134">
        <v>-0.71578980000000003</v>
      </c>
      <c r="V1134">
        <v>-2.2642249999999999E-2</v>
      </c>
      <c r="W1134">
        <v>0.1856544</v>
      </c>
      <c r="X1134">
        <v>0.98235419999999996</v>
      </c>
      <c r="Y1134">
        <v>0.22981219999999999</v>
      </c>
      <c r="Z1134">
        <v>2.5750780000000002E-3</v>
      </c>
      <c r="AA1134">
        <v>0.97323159999999997</v>
      </c>
      <c r="AB1134">
        <v>34</v>
      </c>
      <c r="AC1134">
        <v>105.55119999999999</v>
      </c>
      <c r="AD1134">
        <v>3.8786529999999999</v>
      </c>
      <c r="AE1134">
        <v>-24.8643</v>
      </c>
      <c r="AF1134">
        <v>24.942018644920701</v>
      </c>
      <c r="AG1134">
        <v>3.8786529999999999</v>
      </c>
      <c r="AH1134">
        <v>105.390486684584</v>
      </c>
      <c r="AI1134">
        <v>87.948919526983403</v>
      </c>
      <c r="AJ1134">
        <v>76.685191244073906</v>
      </c>
      <c r="AK1134">
        <v>108.371135118127</v>
      </c>
      <c r="AL1134">
        <v>79.300712284392105</v>
      </c>
      <c r="AM1134">
        <v>91.320374772768005</v>
      </c>
      <c r="AN1134">
        <v>1.0000000009910299</v>
      </c>
    </row>
    <row r="1135" spans="1:40" x14ac:dyDescent="0.25">
      <c r="A1135" t="str">
        <f>"20190304155614615"</f>
        <v>20190304155614615</v>
      </c>
      <c r="B1135" t="str">
        <f>"1551686174605540"</f>
        <v>1551686174605540</v>
      </c>
      <c r="C1135" t="s">
        <v>40</v>
      </c>
      <c r="D1135">
        <v>4.6935440000000002</v>
      </c>
      <c r="E1135">
        <v>0.59860780000000002</v>
      </c>
      <c r="F1135" t="s">
        <v>49</v>
      </c>
      <c r="G1135">
        <v>-167.18960000000001</v>
      </c>
      <c r="H1135">
        <v>5.1145740000000002</v>
      </c>
      <c r="I1135">
        <v>342.64389999999997</v>
      </c>
      <c r="J1135">
        <v>-267.95940000000002</v>
      </c>
      <c r="K1135">
        <v>1.1098209999999999</v>
      </c>
      <c r="L1135">
        <v>367.05970000000002</v>
      </c>
      <c r="M1135">
        <v>0.99990049999999997</v>
      </c>
      <c r="N1135">
        <v>-1.407047E-2</v>
      </c>
      <c r="O1135">
        <v>1.038677E-3</v>
      </c>
      <c r="P1135">
        <v>0.98481580000000002</v>
      </c>
      <c r="Q1135">
        <v>0.17202579999999901</v>
      </c>
      <c r="R1135">
        <v>2.334723E-2</v>
      </c>
      <c r="S1135">
        <v>3.042786</v>
      </c>
      <c r="T1135">
        <v>0.1206627</v>
      </c>
      <c r="U1135">
        <v>-0.73562620000000001</v>
      </c>
      <c r="V1135">
        <v>-2.2317190000000001E-2</v>
      </c>
      <c r="W1135">
        <v>0.1858667</v>
      </c>
      <c r="X1135">
        <v>0.98232149999999996</v>
      </c>
      <c r="Y1135">
        <v>0.2358884</v>
      </c>
      <c r="Z1135">
        <v>2.9803910000000002E-3</v>
      </c>
      <c r="AA1135">
        <v>0.97177559999999996</v>
      </c>
      <c r="AB1135">
        <v>34</v>
      </c>
      <c r="AC1135">
        <v>100.7698</v>
      </c>
      <c r="AD1135">
        <v>4.004753</v>
      </c>
      <c r="AE1135">
        <v>-24.415800000000001</v>
      </c>
      <c r="AF1135">
        <v>24.483938917642998</v>
      </c>
      <c r="AG1135">
        <v>4.004753</v>
      </c>
      <c r="AH1135">
        <v>100.59431474259399</v>
      </c>
      <c r="AI1135">
        <v>87.784808584806996</v>
      </c>
      <c r="AJ1135">
        <v>76.320599097438503</v>
      </c>
      <c r="AK1135">
        <v>103.608481651098</v>
      </c>
      <c r="AL1135">
        <v>79.288333006900899</v>
      </c>
      <c r="AM1135">
        <v>91.301468888542999</v>
      </c>
      <c r="AN1135">
        <v>1.00000000825031</v>
      </c>
    </row>
    <row r="1136" spans="1:40" x14ac:dyDescent="0.25">
      <c r="A1136" t="str">
        <f>"20190304155614628"</f>
        <v>20190304155614628</v>
      </c>
      <c r="B1136" t="str">
        <f>"1551686174626036"</f>
        <v>1551686174626036</v>
      </c>
      <c r="C1136" t="s">
        <v>40</v>
      </c>
      <c r="D1136">
        <v>4.72654</v>
      </c>
      <c r="E1136">
        <v>0.59696899999999997</v>
      </c>
      <c r="F1136" t="s">
        <v>49</v>
      </c>
      <c r="G1136">
        <v>-163.88800000000001</v>
      </c>
      <c r="H1136">
        <v>4.3264399999999998</v>
      </c>
      <c r="I1136">
        <v>342.18990000000002</v>
      </c>
      <c r="J1136">
        <v>-267.75650000000002</v>
      </c>
      <c r="K1136">
        <v>1.1098629999999901</v>
      </c>
      <c r="L1136">
        <v>367.05990000000003</v>
      </c>
      <c r="M1136">
        <v>0.99989989999999995</v>
      </c>
      <c r="N1136">
        <v>-1.410966E-2</v>
      </c>
      <c r="O1136">
        <v>1.038698E-3</v>
      </c>
      <c r="P1136">
        <v>0.98482670000000005</v>
      </c>
      <c r="Q1136">
        <v>0.1720237</v>
      </c>
      <c r="R1136">
        <v>2.2898379999999999E-2</v>
      </c>
      <c r="S1136">
        <v>3.0470579999999998</v>
      </c>
      <c r="T1136">
        <v>9.4178079999999997E-2</v>
      </c>
      <c r="U1136">
        <v>-0.72814939999999995</v>
      </c>
      <c r="V1136">
        <v>-2.1867830000000001E-2</v>
      </c>
      <c r="W1136">
        <v>0.18590319999999999</v>
      </c>
      <c r="X1136">
        <v>0.98232470000000005</v>
      </c>
      <c r="Y1136">
        <v>0.23337749999999999</v>
      </c>
      <c r="Z1136">
        <v>1.932245E-3</v>
      </c>
      <c r="AA1136">
        <v>0.97238429999999998</v>
      </c>
      <c r="AB1136">
        <v>34</v>
      </c>
      <c r="AC1136">
        <v>103.8685</v>
      </c>
      <c r="AD1136">
        <v>3.216577</v>
      </c>
      <c r="AE1136">
        <v>-24.87</v>
      </c>
      <c r="AF1136">
        <v>24.955250797766301</v>
      </c>
      <c r="AG1136">
        <v>3.216577</v>
      </c>
      <c r="AH1136">
        <v>103.74850858340299</v>
      </c>
      <c r="AI1136">
        <v>88.273408353884605</v>
      </c>
      <c r="AJ1136">
        <v>76.475232543095601</v>
      </c>
      <c r="AK1136">
        <v>106.75609557892599</v>
      </c>
      <c r="AL1136">
        <v>79.286204624415603</v>
      </c>
      <c r="AM1136">
        <v>91.275268205300506</v>
      </c>
      <c r="AN1136">
        <v>1.0000000089946099</v>
      </c>
    </row>
    <row r="1137" spans="1:40" x14ac:dyDescent="0.25">
      <c r="A1137" t="str">
        <f>"20190304155614644"</f>
        <v>20190304155614644</v>
      </c>
      <c r="B1137" t="str">
        <f>"1551686174635798"</f>
        <v>1551686174635798</v>
      </c>
      <c r="C1137" t="s">
        <v>40</v>
      </c>
      <c r="D1137">
        <v>4.727163</v>
      </c>
      <c r="E1137">
        <v>0.5964547</v>
      </c>
      <c r="F1137" t="s">
        <v>49</v>
      </c>
      <c r="G1137">
        <v>-162.62819999999999</v>
      </c>
      <c r="H1137">
        <v>2.9522400000000002</v>
      </c>
      <c r="I1137">
        <v>342.36619999999999</v>
      </c>
      <c r="J1137">
        <v>-267.52390000000003</v>
      </c>
      <c r="K1137">
        <v>1.1099019999999999</v>
      </c>
      <c r="L1137">
        <v>367.06020000000001</v>
      </c>
      <c r="M1137">
        <v>0.99989939999999999</v>
      </c>
      <c r="N1137">
        <v>-1.414996E-2</v>
      </c>
      <c r="O1137">
        <v>1.03859E-3</v>
      </c>
      <c r="P1137">
        <v>0.98484799999999995</v>
      </c>
      <c r="Q1137">
        <v>0.17205109999999901</v>
      </c>
      <c r="R1137">
        <v>2.1749839999999999E-2</v>
      </c>
      <c r="S1137">
        <v>3.0535580000000002</v>
      </c>
      <c r="T1137">
        <v>5.351388E-2</v>
      </c>
      <c r="U1137">
        <v>-0.71725459999999996</v>
      </c>
      <c r="V1137">
        <v>-2.0719479999999998E-2</v>
      </c>
      <c r="W1137">
        <v>0.1859702</v>
      </c>
      <c r="X1137">
        <v>0.98233689999999996</v>
      </c>
      <c r="Y1137">
        <v>0.22967280000000001</v>
      </c>
      <c r="Z1137">
        <v>3.7095930000000002E-4</v>
      </c>
      <c r="AA1137">
        <v>0.97326789999999996</v>
      </c>
      <c r="AB1137">
        <v>34</v>
      </c>
      <c r="AC1137">
        <v>104.89570000000001</v>
      </c>
      <c r="AD1137">
        <v>1.842338</v>
      </c>
      <c r="AE1137">
        <v>-24.693999999999999</v>
      </c>
      <c r="AF1137">
        <v>24.795693941084298</v>
      </c>
      <c r="AG1137">
        <v>1.842338</v>
      </c>
      <c r="AH1137">
        <v>104.83935154734699</v>
      </c>
      <c r="AI1137">
        <v>89.0202705644204</v>
      </c>
      <c r="AJ1137">
        <v>76.693415737294004</v>
      </c>
      <c r="AK1137">
        <v>107.74743746463</v>
      </c>
      <c r="AL1137">
        <v>79.282297564295206</v>
      </c>
      <c r="AM1137">
        <v>91.208305177569699</v>
      </c>
      <c r="AN1137">
        <v>0.99999999862055999</v>
      </c>
    </row>
    <row r="1138" spans="1:40" x14ac:dyDescent="0.25">
      <c r="A1138" t="str">
        <f>"20190304155614657"</f>
        <v>20190304155614657</v>
      </c>
      <c r="B1138" t="str">
        <f>"1551686174645557"</f>
        <v>1551686174645557</v>
      </c>
      <c r="C1138" t="s">
        <v>40</v>
      </c>
      <c r="D1138">
        <v>4.7155820000000004</v>
      </c>
      <c r="E1138">
        <v>0.59618099999999996</v>
      </c>
      <c r="F1138" t="s">
        <v>49</v>
      </c>
      <c r="G1138">
        <v>-162.62809999999999</v>
      </c>
      <c r="H1138">
        <v>2.4012760000000002</v>
      </c>
      <c r="I1138">
        <v>342.43830000000003</v>
      </c>
      <c r="J1138">
        <v>-267.32859999999999</v>
      </c>
      <c r="K1138">
        <v>1.1099330000000001</v>
      </c>
      <c r="L1138">
        <v>367.06029999999998</v>
      </c>
      <c r="M1138">
        <v>0.99989890000000003</v>
      </c>
      <c r="N1138">
        <v>-1.418145E-2</v>
      </c>
      <c r="O1138">
        <v>1.038724E-3</v>
      </c>
      <c r="P1138">
        <v>0.98491510000000004</v>
      </c>
      <c r="Q1138">
        <v>0.17173289999999999</v>
      </c>
      <c r="R1138">
        <v>2.1216849999999999E-2</v>
      </c>
      <c r="S1138">
        <v>3.05545</v>
      </c>
      <c r="T1138">
        <v>3.7615900000000001E-2</v>
      </c>
      <c r="U1138">
        <v>-0.71719359999999999</v>
      </c>
      <c r="V1138">
        <v>-2.0186599999999999E-2</v>
      </c>
      <c r="W1138">
        <v>0.18568399999999999</v>
      </c>
      <c r="X1138">
        <v>0.98240209999999994</v>
      </c>
      <c r="Y1138">
        <v>0.22952910000000001</v>
      </c>
      <c r="Z1138">
        <v>-2.2838989999999999E-4</v>
      </c>
      <c r="AA1138">
        <v>0.97330179999999999</v>
      </c>
      <c r="AB1138">
        <v>34</v>
      </c>
      <c r="AC1138">
        <v>104.70050000000001</v>
      </c>
      <c r="AD1138">
        <v>1.2913429999999899</v>
      </c>
      <c r="AE1138">
        <v>-24.6219999999999</v>
      </c>
      <c r="AF1138">
        <v>24.727188200233801</v>
      </c>
      <c r="AG1138">
        <v>1.2913429999999899</v>
      </c>
      <c r="AH1138">
        <v>104.65977897675501</v>
      </c>
      <c r="AI1138">
        <v>89.312031399480304</v>
      </c>
      <c r="AJ1138">
        <v>76.706914156205301</v>
      </c>
      <c r="AK1138">
        <v>107.548922535266</v>
      </c>
      <c r="AL1138">
        <v>79.298985944020998</v>
      </c>
      <c r="AM1138">
        <v>91.177159779798401</v>
      </c>
      <c r="AN1138">
        <v>0.99999996637998401</v>
      </c>
    </row>
    <row r="1139" spans="1:40" x14ac:dyDescent="0.25">
      <c r="A1139" t="str">
        <f>"20190304155614669"</f>
        <v>20190304155614669</v>
      </c>
      <c r="B1139" t="str">
        <f>"1551686174666052"</f>
        <v>1551686174666052</v>
      </c>
      <c r="C1139" t="s">
        <v>40</v>
      </c>
      <c r="D1139">
        <v>4.6898429999999998</v>
      </c>
      <c r="E1139">
        <v>0.59530879999999997</v>
      </c>
      <c r="F1139" t="s">
        <v>49</v>
      </c>
      <c r="G1139">
        <v>-162.62790000000001</v>
      </c>
      <c r="H1139">
        <v>1.925478</v>
      </c>
      <c r="I1139">
        <v>342.50510000000003</v>
      </c>
      <c r="J1139">
        <v>-267.12709999999998</v>
      </c>
      <c r="K1139">
        <v>1.1099600000000001</v>
      </c>
      <c r="L1139">
        <v>367.06049999999999</v>
      </c>
      <c r="M1139">
        <v>0.99989859999999997</v>
      </c>
      <c r="N1139">
        <v>-1.421208E-2</v>
      </c>
      <c r="O1139">
        <v>1.038684E-3</v>
      </c>
      <c r="P1139">
        <v>0.98496530000000004</v>
      </c>
      <c r="Q1139">
        <v>0.1714861</v>
      </c>
      <c r="R1139">
        <v>2.0883740000000001E-2</v>
      </c>
      <c r="S1139">
        <v>3.0572509999999999</v>
      </c>
      <c r="T1139">
        <v>2.3814080000000001E-2</v>
      </c>
      <c r="U1139">
        <v>-0.7170105</v>
      </c>
      <c r="V1139">
        <v>-1.985342E-2</v>
      </c>
      <c r="W1139">
        <v>0.18546840000000001</v>
      </c>
      <c r="X1139">
        <v>0.98244969999999998</v>
      </c>
      <c r="Y1139">
        <v>0.229349</v>
      </c>
      <c r="Z1139">
        <v>-7.4782039999999998E-4</v>
      </c>
      <c r="AA1139">
        <v>0.97334399999999999</v>
      </c>
      <c r="AB1139">
        <v>34</v>
      </c>
      <c r="AC1139">
        <v>104.49919999999901</v>
      </c>
      <c r="AD1139">
        <v>0.81551799999999897</v>
      </c>
      <c r="AE1139">
        <v>-24.555399999999899</v>
      </c>
      <c r="AF1139">
        <v>24.6625159141166</v>
      </c>
      <c r="AG1139">
        <v>0.81551799999999897</v>
      </c>
      <c r="AH1139">
        <v>104.467606244791</v>
      </c>
      <c r="AI1139">
        <v>89.564699505317193</v>
      </c>
      <c r="AJ1139">
        <v>76.716924053442398</v>
      </c>
      <c r="AK1139">
        <v>107.342375208205</v>
      </c>
      <c r="AL1139">
        <v>79.311558177535105</v>
      </c>
      <c r="AM1139">
        <v>91.157680002915697</v>
      </c>
      <c r="AN1139">
        <v>1.0000000493571699</v>
      </c>
    </row>
    <row r="1140" spans="1:40" x14ac:dyDescent="0.25">
      <c r="A1140" t="str">
        <f>"20190304155614688"</f>
        <v>20190304155614688</v>
      </c>
      <c r="B1140" t="str">
        <f>"1551686174685573"</f>
        <v>1551686174685573</v>
      </c>
      <c r="C1140" t="s">
        <v>40</v>
      </c>
      <c r="D1140">
        <v>4.6841780000000002</v>
      </c>
      <c r="E1140">
        <v>0.594771099999999</v>
      </c>
      <c r="F1140" t="s">
        <v>49</v>
      </c>
      <c r="G1140">
        <v>-162.13200000000001</v>
      </c>
      <c r="H1140">
        <v>1.1931639999999999</v>
      </c>
      <c r="I1140">
        <v>342.64389999999997</v>
      </c>
      <c r="J1140">
        <v>-266.8528</v>
      </c>
      <c r="K1140">
        <v>1.1099939999999999</v>
      </c>
      <c r="L1140">
        <v>367.0609</v>
      </c>
      <c r="M1140">
        <v>0.99989799999999995</v>
      </c>
      <c r="N1140">
        <v>-1.424899E-2</v>
      </c>
      <c r="O1140">
        <v>1.038717E-3</v>
      </c>
      <c r="P1140">
        <v>0.98514570000000001</v>
      </c>
      <c r="Q1140">
        <v>0.1705795</v>
      </c>
      <c r="R1140">
        <v>1.9775520000000001E-2</v>
      </c>
      <c r="S1140">
        <v>3.060425</v>
      </c>
      <c r="T1140">
        <v>2.4254319999999999E-3</v>
      </c>
      <c r="U1140">
        <v>-0.71170040000000001</v>
      </c>
      <c r="V1140">
        <v>-1.8745310000000001E-2</v>
      </c>
      <c r="W1140">
        <v>0.1846006</v>
      </c>
      <c r="X1140">
        <v>0.98263480000000003</v>
      </c>
      <c r="Y1140">
        <v>0.2275181</v>
      </c>
      <c r="Z1140">
        <v>-1.5379860000000001E-3</v>
      </c>
      <c r="AA1140">
        <v>0.97377259999999999</v>
      </c>
      <c r="AB1140">
        <v>34</v>
      </c>
      <c r="AC1140">
        <v>104.7208</v>
      </c>
      <c r="AD1140">
        <v>8.3169999999999703E-2</v>
      </c>
      <c r="AE1140">
        <v>-24.417000000000002</v>
      </c>
      <c r="AF1140">
        <v>24.5257584655673</v>
      </c>
      <c r="AG1140">
        <v>8.3169999999999703E-2</v>
      </c>
      <c r="AH1140">
        <v>104.69531593554299</v>
      </c>
      <c r="AI1140">
        <v>89.955683945979601</v>
      </c>
      <c r="AJ1140">
        <v>76.815721610430302</v>
      </c>
      <c r="AK1140">
        <v>107.529665322661</v>
      </c>
      <c r="AL1140">
        <v>79.362152155951193</v>
      </c>
      <c r="AM1140">
        <v>91.092874882852399</v>
      </c>
      <c r="AN1140">
        <v>0.99999995916919704</v>
      </c>
    </row>
    <row r="1141" spans="1:40" x14ac:dyDescent="0.25">
      <c r="A1141" t="str">
        <f>"20190304155614701"</f>
        <v>20190304155614701</v>
      </c>
      <c r="B1141" t="str">
        <f>"1551686174696310"</f>
        <v>1551686174696310</v>
      </c>
      <c r="C1141" t="s">
        <v>40</v>
      </c>
      <c r="D1141">
        <v>4.6521629999999998</v>
      </c>
      <c r="E1141">
        <v>0.5945511</v>
      </c>
      <c r="F1141" t="s">
        <v>49</v>
      </c>
      <c r="G1141">
        <v>-161.8056</v>
      </c>
      <c r="H1141">
        <v>0.58654110000000004</v>
      </c>
      <c r="I1141">
        <v>342.64389999999997</v>
      </c>
      <c r="J1141">
        <v>-266.65800000000002</v>
      </c>
      <c r="K1141">
        <v>1.1100110000000001</v>
      </c>
      <c r="L1141">
        <v>367.06099999999998</v>
      </c>
      <c r="M1141">
        <v>0.99989760000000005</v>
      </c>
      <c r="N1141">
        <v>-1.427258E-2</v>
      </c>
      <c r="O1141">
        <v>1.038906E-3</v>
      </c>
      <c r="P1141">
        <v>0.98523070000000001</v>
      </c>
      <c r="Q1141">
        <v>0.1701106</v>
      </c>
      <c r="R1141">
        <v>1.9565249999999999E-2</v>
      </c>
      <c r="S1141">
        <v>3.0621640000000001</v>
      </c>
      <c r="T1141">
        <v>-1.525867E-2</v>
      </c>
      <c r="U1141">
        <v>-0.71176149999999905</v>
      </c>
      <c r="V1141">
        <v>-1.8534160000000001E-2</v>
      </c>
      <c r="W1141">
        <v>0.18415629999999999</v>
      </c>
      <c r="X1141">
        <v>0.98272219999999999</v>
      </c>
      <c r="Y1141">
        <v>0.22740279999999999</v>
      </c>
      <c r="Z1141">
        <v>-2.1938719999999999E-3</v>
      </c>
      <c r="AA1141">
        <v>0.97379830000000001</v>
      </c>
      <c r="AB1141">
        <v>34</v>
      </c>
      <c r="AC1141">
        <v>104.8524</v>
      </c>
      <c r="AD1141">
        <v>-0.52346990000000004</v>
      </c>
      <c r="AE1141">
        <v>-24.417100000000001</v>
      </c>
      <c r="AF1141">
        <v>24.525449864017901</v>
      </c>
      <c r="AG1141">
        <v>-0.52346990000000004</v>
      </c>
      <c r="AH1141">
        <v>104.824495444051</v>
      </c>
      <c r="AI1141">
        <v>90.278596298176794</v>
      </c>
      <c r="AJ1141">
        <v>76.831562567333606</v>
      </c>
      <c r="AK1141">
        <v>107.656614087889</v>
      </c>
      <c r="AL1141">
        <v>79.388053061569806</v>
      </c>
      <c r="AM1141">
        <v>91.080471431463806</v>
      </c>
      <c r="AN1141">
        <v>0.99999999014471697</v>
      </c>
    </row>
    <row r="1142" spans="1:40" x14ac:dyDescent="0.25">
      <c r="A1142" t="str">
        <f>"20190304155614711"</f>
        <v>20190304155614711</v>
      </c>
      <c r="B1142" t="str">
        <f>"1551686174706068"</f>
        <v>1551686174706068</v>
      </c>
      <c r="C1142" t="s">
        <v>40</v>
      </c>
      <c r="D1142">
        <v>4.6629079999999998</v>
      </c>
      <c r="E1142">
        <v>0.59448809999999996</v>
      </c>
      <c r="F1142" t="s">
        <v>49</v>
      </c>
      <c r="G1142">
        <v>-161.5275</v>
      </c>
      <c r="H1142">
        <v>0.3376709</v>
      </c>
      <c r="I1142">
        <v>342.64389999999997</v>
      </c>
      <c r="J1142">
        <v>-266.4873</v>
      </c>
      <c r="K1142">
        <v>1.110028</v>
      </c>
      <c r="L1142">
        <v>367.06119999999999</v>
      </c>
      <c r="M1142">
        <v>0.99989740000000005</v>
      </c>
      <c r="N1142">
        <v>-1.4292350000000001E-2</v>
      </c>
      <c r="O1142">
        <v>1.0385850000000001E-3</v>
      </c>
      <c r="P1142">
        <v>0.98531729999999995</v>
      </c>
      <c r="Q1142">
        <v>0.16963989999999901</v>
      </c>
      <c r="R1142">
        <v>1.9298240000000001E-2</v>
      </c>
      <c r="S1142">
        <v>3.0629879999999998</v>
      </c>
      <c r="T1142">
        <v>-2.2502060000000001E-2</v>
      </c>
      <c r="U1142">
        <v>-0.71139529999999995</v>
      </c>
      <c r="V1142">
        <v>-1.8267680000000001E-2</v>
      </c>
      <c r="W1142">
        <v>0.18370590000000001</v>
      </c>
      <c r="X1142">
        <v>0.98281149999999995</v>
      </c>
      <c r="Y1142">
        <v>0.2272274</v>
      </c>
      <c r="Z1142">
        <v>-2.4618460000000002E-3</v>
      </c>
      <c r="AA1142">
        <v>0.9738386</v>
      </c>
      <c r="AB1142">
        <v>34</v>
      </c>
      <c r="AC1142">
        <v>104.9598</v>
      </c>
      <c r="AD1142">
        <v>-0.77235710000000002</v>
      </c>
      <c r="AE1142">
        <v>-24.417300000000001</v>
      </c>
      <c r="AF1142">
        <v>24.525047803022801</v>
      </c>
      <c r="AG1142">
        <v>-0.77235710000000002</v>
      </c>
      <c r="AH1142">
        <v>104.928991258534</v>
      </c>
      <c r="AI1142">
        <v>90.410665145373102</v>
      </c>
      <c r="AJ1142">
        <v>76.844428503757598</v>
      </c>
      <c r="AK1142">
        <v>107.75976852129899</v>
      </c>
      <c r="AL1142">
        <v>79.414307156899596</v>
      </c>
      <c r="AM1142">
        <v>91.064843518872905</v>
      </c>
      <c r="AN1142">
        <v>1.0000000051798199</v>
      </c>
    </row>
    <row r="1143" spans="1:40" x14ac:dyDescent="0.25">
      <c r="A1143" t="str">
        <f>"20190304155614723"</f>
        <v>20190304155614723</v>
      </c>
      <c r="B1143" t="str">
        <f>"1551686174715828"</f>
        <v>1551686174715828</v>
      </c>
      <c r="C1143" t="s">
        <v>40</v>
      </c>
      <c r="D1143">
        <v>4.7013550000000004</v>
      </c>
      <c r="E1143">
        <v>0.59413579999999999</v>
      </c>
      <c r="F1143" t="s">
        <v>49</v>
      </c>
      <c r="G1143">
        <v>-161.40209999999999</v>
      </c>
      <c r="H1143">
        <v>0.1006428</v>
      </c>
      <c r="I1143">
        <v>342.64389999999997</v>
      </c>
      <c r="J1143">
        <v>-266.30799999999999</v>
      </c>
      <c r="K1143">
        <v>1.1100410000000001</v>
      </c>
      <c r="L1143">
        <v>367.06139999999999</v>
      </c>
      <c r="M1143">
        <v>0.99989720000000004</v>
      </c>
      <c r="N1143">
        <v>-1.4310929999999999E-2</v>
      </c>
      <c r="O1143">
        <v>1.03863E-3</v>
      </c>
      <c r="P1143">
        <v>0.98536619999999997</v>
      </c>
      <c r="Q1143">
        <v>0.1693846</v>
      </c>
      <c r="R1143">
        <v>1.9039980000000001E-2</v>
      </c>
      <c r="S1143">
        <v>3.0637509999999999</v>
      </c>
      <c r="T1143">
        <v>-2.9428360000000001E-2</v>
      </c>
      <c r="U1143">
        <v>-0.7118835</v>
      </c>
      <c r="V1143">
        <v>-1.800933E-2</v>
      </c>
      <c r="W1143">
        <v>0.18346960000000001</v>
      </c>
      <c r="X1143">
        <v>0.98286039999999997</v>
      </c>
      <c r="Y1143">
        <v>0.2273135</v>
      </c>
      <c r="Z1143">
        <v>-2.7206040000000002E-3</v>
      </c>
      <c r="AA1143">
        <v>0.97381779999999996</v>
      </c>
      <c r="AB1143">
        <v>34</v>
      </c>
      <c r="AC1143">
        <v>104.9059</v>
      </c>
      <c r="AD1143">
        <v>-1.0093981999999999</v>
      </c>
      <c r="AE1143">
        <v>-24.4175</v>
      </c>
      <c r="AF1143">
        <v>24.524302567353899</v>
      </c>
      <c r="AG1143">
        <v>-1.0093981999999999</v>
      </c>
      <c r="AH1143">
        <v>104.871269867433</v>
      </c>
      <c r="AI1143">
        <v>90.536975187827196</v>
      </c>
      <c r="AJ1143">
        <v>76.837825710207994</v>
      </c>
      <c r="AK1143">
        <v>107.705355227813</v>
      </c>
      <c r="AL1143">
        <v>79.4280801693901</v>
      </c>
      <c r="AM1143">
        <v>91.049735184325201</v>
      </c>
      <c r="AN1143">
        <v>0.99999999798968398</v>
      </c>
    </row>
    <row r="1144" spans="1:40" x14ac:dyDescent="0.25">
      <c r="A1144" t="str">
        <f>"20190304155614735"</f>
        <v>20190304155614735</v>
      </c>
      <c r="B1144" t="str">
        <f>"1551686174725589"</f>
        <v>1551686174725589</v>
      </c>
      <c r="C1144" t="s">
        <v>40</v>
      </c>
      <c r="D1144">
        <v>4.7099469999999997</v>
      </c>
      <c r="E1144">
        <v>0.59395919999999902</v>
      </c>
      <c r="F1144" t="s">
        <v>41</v>
      </c>
      <c r="G1144">
        <v>-178.89660000000001</v>
      </c>
      <c r="H1144">
        <v>7.9986039999999994E-2</v>
      </c>
      <c r="I1144">
        <v>346.79570000000001</v>
      </c>
      <c r="J1144">
        <v>-266.1386</v>
      </c>
      <c r="K1144">
        <v>1.1100540000000001</v>
      </c>
      <c r="L1144">
        <v>367.0616</v>
      </c>
      <c r="M1144">
        <v>0.99989689999999998</v>
      </c>
      <c r="N1144">
        <v>-1.432755E-2</v>
      </c>
      <c r="O1144">
        <v>1.038689E-3</v>
      </c>
      <c r="P1144">
        <v>0.98542229999999997</v>
      </c>
      <c r="Q1144">
        <v>0.1690739</v>
      </c>
      <c r="R1144">
        <v>1.8908330000000001E-2</v>
      </c>
      <c r="S1144">
        <v>3.0644840000000002</v>
      </c>
      <c r="T1144">
        <v>-3.6111829999999998E-2</v>
      </c>
      <c r="U1144">
        <v>-0.71047969999999905</v>
      </c>
      <c r="V1144">
        <v>-1.78777E-2</v>
      </c>
      <c r="W1144">
        <v>0.18317620000000001</v>
      </c>
      <c r="X1144">
        <v>0.9829175</v>
      </c>
      <c r="Y1144">
        <v>0.22683049999999999</v>
      </c>
      <c r="Z1144">
        <v>-2.9627770000000002E-3</v>
      </c>
      <c r="AA1144">
        <v>0.97392979999999996</v>
      </c>
      <c r="AB1144">
        <v>34</v>
      </c>
      <c r="AC1144">
        <v>87.241999999999905</v>
      </c>
      <c r="AD1144">
        <v>-1.03006796</v>
      </c>
      <c r="AE1144">
        <v>-20.265899999999899</v>
      </c>
      <c r="AF1144">
        <v>20.353823499211501</v>
      </c>
      <c r="AG1144">
        <v>-1.03006796</v>
      </c>
      <c r="AH1144">
        <v>87.209365762630696</v>
      </c>
      <c r="AI1144">
        <v>90.659005289939202</v>
      </c>
      <c r="AJ1144">
        <v>76.862880155111398</v>
      </c>
      <c r="AK1144">
        <v>89.558989765179803</v>
      </c>
      <c r="AL1144">
        <v>79.445180279339397</v>
      </c>
      <c r="AM1144">
        <v>91.042003856549002</v>
      </c>
      <c r="AN1144">
        <v>0.99999997210498903</v>
      </c>
    </row>
    <row r="1145" spans="1:40" x14ac:dyDescent="0.25">
      <c r="A1145" t="str">
        <f>"20190304155614746"</f>
        <v>20190304155614746</v>
      </c>
      <c r="B1145" t="str">
        <f>"1551686174736325"</f>
        <v>1551686174736325</v>
      </c>
      <c r="C1145" t="s">
        <v>40</v>
      </c>
      <c r="D1145">
        <v>4.6964680000000003</v>
      </c>
      <c r="E1145">
        <v>0.59378189999999997</v>
      </c>
      <c r="F1145" t="s">
        <v>41</v>
      </c>
      <c r="G1145">
        <v>-185.84530000000001</v>
      </c>
      <c r="H1145" s="1">
        <v>-4.5254029999999998E-6</v>
      </c>
      <c r="I1145">
        <v>348.46370000000002</v>
      </c>
      <c r="J1145">
        <v>-265.96230000000003</v>
      </c>
      <c r="K1145">
        <v>1.1100669999999999</v>
      </c>
      <c r="L1145">
        <v>367.06169999999997</v>
      </c>
      <c r="M1145">
        <v>0.99989660000000002</v>
      </c>
      <c r="N1145">
        <v>-1.4343679999999999E-2</v>
      </c>
      <c r="O1145">
        <v>1.038752E-3</v>
      </c>
      <c r="P1145">
        <v>0.98550110000000002</v>
      </c>
      <c r="Q1145">
        <v>0.1686204</v>
      </c>
      <c r="R1145">
        <v>1.884926E-2</v>
      </c>
      <c r="S1145">
        <v>3.065277</v>
      </c>
      <c r="T1145">
        <v>-4.237759E-2</v>
      </c>
      <c r="U1145">
        <v>-0.7099915</v>
      </c>
      <c r="V1145">
        <v>-1.7818239999999999E-2</v>
      </c>
      <c r="W1145">
        <v>0.1827397</v>
      </c>
      <c r="X1145">
        <v>0.98299990000000004</v>
      </c>
      <c r="Y1145">
        <v>0.22661890000000001</v>
      </c>
      <c r="Z1145">
        <v>-3.192187E-3</v>
      </c>
      <c r="AA1145">
        <v>0.97397829999999996</v>
      </c>
      <c r="AB1145">
        <v>34</v>
      </c>
      <c r="AC1145">
        <v>80.117000000000004</v>
      </c>
      <c r="AD1145">
        <v>-1.110071525403</v>
      </c>
      <c r="AE1145">
        <v>-18.5979999999999</v>
      </c>
      <c r="AF1145">
        <v>18.677817824585599</v>
      </c>
      <c r="AG1145">
        <v>-1.110071525403</v>
      </c>
      <c r="AH1145">
        <v>80.083047956345993</v>
      </c>
      <c r="AI1145">
        <v>90.773400844174802</v>
      </c>
      <c r="AJ1145">
        <v>76.871559744486504</v>
      </c>
      <c r="AK1145">
        <v>82.239818260124693</v>
      </c>
      <c r="AL1145">
        <v>79.470620061353301</v>
      </c>
      <c r="AM1145">
        <v>91.038451947226605</v>
      </c>
      <c r="AN1145">
        <v>1.00000004551639</v>
      </c>
    </row>
    <row r="1146" spans="1:40" x14ac:dyDescent="0.25">
      <c r="A1146" t="str">
        <f>"20190304155614757"</f>
        <v>20190304155614757</v>
      </c>
      <c r="B1146" t="str">
        <f>"1551686174746085"</f>
        <v>1551686174746085</v>
      </c>
      <c r="C1146" t="s">
        <v>40</v>
      </c>
      <c r="D1146">
        <v>4.6973190000000002</v>
      </c>
      <c r="E1146">
        <v>0.59351690000000001</v>
      </c>
      <c r="F1146" t="s">
        <v>45</v>
      </c>
      <c r="G1146">
        <v>-200.99430000000001</v>
      </c>
      <c r="H1146">
        <v>7.9989050000000006E-2</v>
      </c>
      <c r="I1146">
        <v>352.041</v>
      </c>
      <c r="J1146">
        <v>-265.79390000000001</v>
      </c>
      <c r="K1146">
        <v>1.1100779999999999</v>
      </c>
      <c r="L1146">
        <v>367.06200000000001</v>
      </c>
      <c r="M1146">
        <v>0.99989649999999997</v>
      </c>
      <c r="N1146">
        <v>-1.4357770000000001E-2</v>
      </c>
      <c r="O1146">
        <v>1.038651E-3</v>
      </c>
      <c r="P1146">
        <v>0.98551860000000002</v>
      </c>
      <c r="Q1146">
        <v>0.16856409999999999</v>
      </c>
      <c r="R1146">
        <v>1.844293E-2</v>
      </c>
      <c r="S1146">
        <v>3.065979</v>
      </c>
      <c r="T1146">
        <v>-4.8611639999999998E-2</v>
      </c>
      <c r="U1146">
        <v>-0.70886229999999995</v>
      </c>
      <c r="V1146">
        <v>-1.7411989999999999E-2</v>
      </c>
      <c r="W1146">
        <v>0.18269750000000001</v>
      </c>
      <c r="X1146">
        <v>0.98301499999999997</v>
      </c>
      <c r="Y1146">
        <v>0.22621959999999999</v>
      </c>
      <c r="Z1146">
        <v>-3.416877E-3</v>
      </c>
      <c r="AA1146">
        <v>0.9740704</v>
      </c>
      <c r="AB1146">
        <v>34</v>
      </c>
      <c r="AC1146">
        <v>64.799599999999998</v>
      </c>
      <c r="AD1146">
        <v>-1.0300889499999999</v>
      </c>
      <c r="AE1146">
        <v>-15.0209999999999</v>
      </c>
      <c r="AF1146">
        <v>15.084685484632599</v>
      </c>
      <c r="AG1146">
        <v>-1.0300889499999999</v>
      </c>
      <c r="AH1146">
        <v>64.768429513475894</v>
      </c>
      <c r="AI1146">
        <v>90.887419255675496</v>
      </c>
      <c r="AJ1146">
        <v>76.889426935625195</v>
      </c>
      <c r="AK1146">
        <v>66.509835972262806</v>
      </c>
      <c r="AL1146">
        <v>79.473079094844493</v>
      </c>
      <c r="AM1146">
        <v>91.0147650091304</v>
      </c>
      <c r="AN1146">
        <v>1.0000000220634999</v>
      </c>
    </row>
    <row r="1147" spans="1:40" x14ac:dyDescent="0.25">
      <c r="A1147" t="str">
        <f>"20190304155614769"</f>
        <v>20190304155614769</v>
      </c>
      <c r="B1147" t="str">
        <f>"1551686174765604"</f>
        <v>1551686174765604</v>
      </c>
      <c r="C1147" t="s">
        <v>40</v>
      </c>
      <c r="D1147">
        <v>4.7171130000000003</v>
      </c>
      <c r="E1147">
        <v>0.59338859999999904</v>
      </c>
      <c r="F1147" t="s">
        <v>44</v>
      </c>
      <c r="G1147">
        <v>-198.23330000000001</v>
      </c>
      <c r="H1147">
        <v>-0.05</v>
      </c>
      <c r="I1147">
        <v>351.45639999999997</v>
      </c>
      <c r="J1147">
        <v>-265.61180000000002</v>
      </c>
      <c r="K1147">
        <v>1.110093</v>
      </c>
      <c r="L1147">
        <v>367.06209999999999</v>
      </c>
      <c r="M1147">
        <v>0.99989620000000001</v>
      </c>
      <c r="N1147">
        <v>-1.4372370000000001E-2</v>
      </c>
      <c r="O1147">
        <v>1.038843E-3</v>
      </c>
      <c r="P1147">
        <v>0.98554299999999995</v>
      </c>
      <c r="Q1147">
        <v>0.16842499999999999</v>
      </c>
      <c r="R1147">
        <v>1.8381649999999999E-2</v>
      </c>
      <c r="S1147">
        <v>3.0663450000000001</v>
      </c>
      <c r="T1147">
        <v>-5.2651999999999997E-2</v>
      </c>
      <c r="U1147">
        <v>-0.70828250000000004</v>
      </c>
      <c r="V1147">
        <v>-1.7350049999999999E-2</v>
      </c>
      <c r="W1147">
        <v>0.18257329999999999</v>
      </c>
      <c r="X1147">
        <v>0.98303910000000005</v>
      </c>
      <c r="Y1147">
        <v>0.22601260000000001</v>
      </c>
      <c r="Z1147">
        <v>-3.5635150000000002E-3</v>
      </c>
      <c r="AA1147">
        <v>0.97411789999999998</v>
      </c>
      <c r="AB1147">
        <v>34</v>
      </c>
      <c r="AC1147">
        <v>67.378500000000003</v>
      </c>
      <c r="AD1147">
        <v>-1.160093</v>
      </c>
      <c r="AE1147">
        <v>-15.605700000000001</v>
      </c>
      <c r="AF1147">
        <v>15.6712853528116</v>
      </c>
      <c r="AG1147">
        <v>-1.160093</v>
      </c>
      <c r="AH1147">
        <v>67.343302964054601</v>
      </c>
      <c r="AI1147">
        <v>90.961232635368603</v>
      </c>
      <c r="AJ1147">
        <v>76.899993663988695</v>
      </c>
      <c r="AK1147">
        <v>69.152407438109805</v>
      </c>
      <c r="AL1147">
        <v>79.480316232812498</v>
      </c>
      <c r="AM1147">
        <v>91.011131133108194</v>
      </c>
      <c r="AN1147">
        <v>0.99999995311834999</v>
      </c>
    </row>
    <row r="1148" spans="1:40" x14ac:dyDescent="0.25">
      <c r="A1148" t="str">
        <f>"20190304155614782"</f>
        <v>20190304155614782</v>
      </c>
      <c r="B1148" t="str">
        <f>"1551686174776340"</f>
        <v>1551686174776340</v>
      </c>
      <c r="C1148" t="s">
        <v>40</v>
      </c>
      <c r="D1148">
        <v>4.6951039999999997</v>
      </c>
      <c r="E1148">
        <v>0.59345300000000001</v>
      </c>
      <c r="F1148" t="s">
        <v>41</v>
      </c>
      <c r="G1148">
        <v>-213.1129</v>
      </c>
      <c r="H1148">
        <v>7.9986130000000003E-2</v>
      </c>
      <c r="I1148">
        <v>354.95190000000002</v>
      </c>
      <c r="J1148">
        <v>-265.42430000000002</v>
      </c>
      <c r="K1148">
        <v>1.1101030000000001</v>
      </c>
      <c r="L1148">
        <v>367.06229999999999</v>
      </c>
      <c r="M1148">
        <v>0.99989609999999995</v>
      </c>
      <c r="N1148">
        <v>-1.438557E-2</v>
      </c>
      <c r="O1148">
        <v>1.0387479999999999E-3</v>
      </c>
      <c r="P1148">
        <v>0.98553650000000004</v>
      </c>
      <c r="Q1148">
        <v>0.1685055</v>
      </c>
      <c r="R1148">
        <v>1.7993140000000001E-2</v>
      </c>
      <c r="S1148">
        <v>3.0674440000000001</v>
      </c>
      <c r="T1148">
        <v>-6.0187699999999997E-2</v>
      </c>
      <c r="U1148">
        <v>-0.7075806</v>
      </c>
      <c r="V1148">
        <v>-1.6962089999999999E-2</v>
      </c>
      <c r="W1148">
        <v>0.18266660000000001</v>
      </c>
      <c r="X1148">
        <v>0.98302860000000003</v>
      </c>
      <c r="Y1148">
        <v>0.22571079999999999</v>
      </c>
      <c r="Z1148">
        <v>-3.8357320000000001E-3</v>
      </c>
      <c r="AA1148">
        <v>0.97418680000000002</v>
      </c>
      <c r="AB1148">
        <v>34</v>
      </c>
      <c r="AC1148">
        <v>52.311399999999999</v>
      </c>
      <c r="AD1148">
        <v>-1.0301168700000001</v>
      </c>
      <c r="AE1148">
        <v>-12.110399999999901</v>
      </c>
      <c r="AF1148">
        <v>12.1602618620417</v>
      </c>
      <c r="AG1148">
        <v>-1.0301168700000001</v>
      </c>
      <c r="AH1148">
        <v>52.279549339279498</v>
      </c>
      <c r="AI1148">
        <v>91.099467608840499</v>
      </c>
      <c r="AJ1148">
        <v>76.905791366578896</v>
      </c>
      <c r="AK1148">
        <v>53.6850480901102</v>
      </c>
      <c r="AL1148">
        <v>79.474879749614004</v>
      </c>
      <c r="AM1148">
        <v>90.988536584645402</v>
      </c>
      <c r="AN1148">
        <v>1.00000001383534</v>
      </c>
    </row>
    <row r="1149" spans="1:40" x14ac:dyDescent="0.25">
      <c r="A1149" t="str">
        <f>"20190304155614794"</f>
        <v>20190304155614794</v>
      </c>
      <c r="B1149" t="str">
        <f>"1551686174786101"</f>
        <v>1551686174786101</v>
      </c>
      <c r="C1149" t="s">
        <v>40</v>
      </c>
      <c r="D1149">
        <v>4.6670059999999998</v>
      </c>
      <c r="E1149">
        <v>0.59352150000000004</v>
      </c>
      <c r="F1149" t="s">
        <v>41</v>
      </c>
      <c r="G1149">
        <v>-214.2826</v>
      </c>
      <c r="H1149">
        <v>7.9985769999999998E-2</v>
      </c>
      <c r="I1149">
        <v>355.23559999999998</v>
      </c>
      <c r="J1149">
        <v>-265.23919999999998</v>
      </c>
      <c r="K1149">
        <v>1.1101110000000001</v>
      </c>
      <c r="L1149">
        <v>367.0625</v>
      </c>
      <c r="M1149">
        <v>0.9998958</v>
      </c>
      <c r="N1149">
        <v>-1.439796E-2</v>
      </c>
      <c r="O1149">
        <v>1.0388369999999999E-3</v>
      </c>
      <c r="P1149">
        <v>0.98549240000000005</v>
      </c>
      <c r="Q1149">
        <v>0.1687902</v>
      </c>
      <c r="R1149">
        <v>1.774299E-2</v>
      </c>
      <c r="S1149">
        <v>3.0675349999999999</v>
      </c>
      <c r="T1149">
        <v>-6.178749E-2</v>
      </c>
      <c r="U1149">
        <v>-0.70938109999999999</v>
      </c>
      <c r="V1149">
        <v>-1.6711790000000001E-2</v>
      </c>
      <c r="W1149">
        <v>0.18296290000000001</v>
      </c>
      <c r="X1149">
        <v>0.98297769999999995</v>
      </c>
      <c r="Y1149">
        <v>0.2262441</v>
      </c>
      <c r="Z1149">
        <v>-3.9048419999999999E-3</v>
      </c>
      <c r="AA1149">
        <v>0.97406280000000001</v>
      </c>
      <c r="AB1149">
        <v>34</v>
      </c>
      <c r="AC1149">
        <v>50.956599999999902</v>
      </c>
      <c r="AD1149">
        <v>-1.0301252299999999</v>
      </c>
      <c r="AE1149">
        <v>-11.8269</v>
      </c>
      <c r="AF1149">
        <v>11.875229655337201</v>
      </c>
      <c r="AG1149">
        <v>-1.0301252299999999</v>
      </c>
      <c r="AH1149">
        <v>50.9245371672</v>
      </c>
      <c r="AI1149">
        <v>91.128576636698995</v>
      </c>
      <c r="AJ1149">
        <v>76.873620289794601</v>
      </c>
      <c r="AK1149">
        <v>52.3009629266041</v>
      </c>
      <c r="AL1149">
        <v>79.457611138368705</v>
      </c>
      <c r="AM1149">
        <v>90.974002561383102</v>
      </c>
      <c r="AN1149">
        <v>0.99999993269934895</v>
      </c>
    </row>
    <row r="1150" spans="1:40" x14ac:dyDescent="0.25">
      <c r="A1150" t="str">
        <f>"20190304155614808"</f>
        <v>20190304155614808</v>
      </c>
      <c r="B1150" t="str">
        <f>"1551686174805620"</f>
        <v>1551686174805620</v>
      </c>
      <c r="C1150" t="s">
        <v>40</v>
      </c>
      <c r="D1150">
        <v>4.7055220000000002</v>
      </c>
      <c r="E1150">
        <v>0.59362859999999995</v>
      </c>
      <c r="F1150" t="s">
        <v>41</v>
      </c>
      <c r="G1150">
        <v>-215.03190000000001</v>
      </c>
      <c r="H1150">
        <v>7.9987009999999997E-2</v>
      </c>
      <c r="I1150">
        <v>355.4271</v>
      </c>
      <c r="J1150">
        <v>-265.02449999999999</v>
      </c>
      <c r="K1150">
        <v>1.1101209999999999</v>
      </c>
      <c r="L1150">
        <v>367.06270000000001</v>
      </c>
      <c r="M1150">
        <v>0.99989570000000005</v>
      </c>
      <c r="N1150">
        <v>-1.441106E-2</v>
      </c>
      <c r="O1150">
        <v>1.0389209999999999E-3</v>
      </c>
      <c r="P1150">
        <v>0.98546769999999995</v>
      </c>
      <c r="Q1150">
        <v>0.16896359999999999</v>
      </c>
      <c r="R1150">
        <v>1.7465080000000001E-2</v>
      </c>
      <c r="S1150">
        <v>3.0677490000000001</v>
      </c>
      <c r="T1150">
        <v>-6.2942150000000002E-2</v>
      </c>
      <c r="U1150">
        <v>-0.7109375</v>
      </c>
      <c r="V1150">
        <v>-1.6434190000000001E-2</v>
      </c>
      <c r="W1150">
        <v>0.18314900000000001</v>
      </c>
      <c r="X1150">
        <v>0.98294780000000004</v>
      </c>
      <c r="Y1150">
        <v>0.22669590000000001</v>
      </c>
      <c r="Z1150">
        <v>-3.9564129999999998E-3</v>
      </c>
      <c r="AA1150">
        <v>0.97395750000000003</v>
      </c>
      <c r="AB1150">
        <v>34</v>
      </c>
      <c r="AC1150">
        <v>49.992599999999896</v>
      </c>
      <c r="AD1150">
        <v>-1.0301339899999999</v>
      </c>
      <c r="AE1150">
        <v>-11.6356</v>
      </c>
      <c r="AF1150">
        <v>11.6828318916985</v>
      </c>
      <c r="AG1150">
        <v>-1.0301339899999999</v>
      </c>
      <c r="AH1150">
        <v>49.9603603930166</v>
      </c>
      <c r="AI1150">
        <v>91.150195478867104</v>
      </c>
      <c r="AJ1150">
        <v>76.838339767633599</v>
      </c>
      <c r="AK1150">
        <v>51.3184893352011</v>
      </c>
      <c r="AL1150">
        <v>79.446765927971995</v>
      </c>
      <c r="AM1150">
        <v>90.957855548284101</v>
      </c>
      <c r="AN1150">
        <v>1.00000000816339</v>
      </c>
    </row>
    <row r="1151" spans="1:40" x14ac:dyDescent="0.25">
      <c r="A1151" t="str">
        <f>"20190304155614823"</f>
        <v>20190304155614823</v>
      </c>
      <c r="B1151" t="str">
        <f>"1551686174815380"</f>
        <v>1551686174815380</v>
      </c>
      <c r="C1151" t="s">
        <v>40</v>
      </c>
      <c r="D1151">
        <v>4.7147050000000004</v>
      </c>
      <c r="E1151">
        <v>0.59371200000000002</v>
      </c>
      <c r="F1151" t="s">
        <v>41</v>
      </c>
      <c r="G1151">
        <v>-217.61760000000001</v>
      </c>
      <c r="H1151">
        <v>7.9986210000000002E-2</v>
      </c>
      <c r="I1151">
        <v>356.04939999999999</v>
      </c>
      <c r="J1151">
        <v>-264.80829999999997</v>
      </c>
      <c r="K1151">
        <v>1.110133</v>
      </c>
      <c r="L1151">
        <v>367.06299999999999</v>
      </c>
      <c r="M1151">
        <v>0.99989539999999999</v>
      </c>
      <c r="N1151">
        <v>-1.442268E-2</v>
      </c>
      <c r="O1151">
        <v>1.039016E-3</v>
      </c>
      <c r="P1151">
        <v>0.98537430000000004</v>
      </c>
      <c r="Q1151">
        <v>0.1695468</v>
      </c>
      <c r="R1151">
        <v>1.70703E-2</v>
      </c>
      <c r="S1151">
        <v>3.0682680000000002</v>
      </c>
      <c r="T1151">
        <v>-6.6672209999999996E-2</v>
      </c>
      <c r="U1151">
        <v>-0.71279910000000002</v>
      </c>
      <c r="V1151">
        <v>-1.6039149999999999E-2</v>
      </c>
      <c r="W1151">
        <v>0.18374199999999999</v>
      </c>
      <c r="X1151">
        <v>0.98284360000000004</v>
      </c>
      <c r="Y1151">
        <v>0.22721279999999999</v>
      </c>
      <c r="Z1151">
        <v>-4.1038350000000001E-3</v>
      </c>
      <c r="AA1151">
        <v>0.97383649999999999</v>
      </c>
      <c r="AB1151">
        <v>34</v>
      </c>
      <c r="AC1151">
        <v>47.1906999999999</v>
      </c>
      <c r="AD1151">
        <v>-1.0301467900000001</v>
      </c>
      <c r="AE1151">
        <v>-11.0136</v>
      </c>
      <c r="AF1151">
        <v>11.057633995849001</v>
      </c>
      <c r="AG1151">
        <v>-1.0301467900000001</v>
      </c>
      <c r="AH1151">
        <v>47.157918898980803</v>
      </c>
      <c r="AI1151">
        <v>91.218370185579303</v>
      </c>
      <c r="AJ1151">
        <v>76.803634604623994</v>
      </c>
      <c r="AK1151">
        <v>48.447928612872197</v>
      </c>
      <c r="AL1151">
        <v>79.412202471942507</v>
      </c>
      <c r="AM1151">
        <v>90.934934140431494</v>
      </c>
      <c r="AN1151">
        <v>0.99999995947884002</v>
      </c>
    </row>
    <row r="1152" spans="1:40" x14ac:dyDescent="0.25">
      <c r="A1152" t="str">
        <f>"20190304155614837"</f>
        <v>20190304155614837</v>
      </c>
      <c r="B1152" t="str">
        <f>"1551686174835876"</f>
        <v>1551686174835876</v>
      </c>
      <c r="C1152" t="s">
        <v>40</v>
      </c>
      <c r="D1152">
        <v>4.6923260000000004</v>
      </c>
      <c r="E1152">
        <v>0.59398479999999998</v>
      </c>
      <c r="F1152" t="s">
        <v>41</v>
      </c>
      <c r="G1152">
        <v>-216.83860000000001</v>
      </c>
      <c r="H1152">
        <v>7.9986459999999995E-2</v>
      </c>
      <c r="I1152">
        <v>355.87920000000003</v>
      </c>
      <c r="J1152">
        <v>-264.57600000000002</v>
      </c>
      <c r="K1152">
        <v>1.110141</v>
      </c>
      <c r="L1152">
        <v>367.06319999999999</v>
      </c>
      <c r="M1152">
        <v>0.99989530000000004</v>
      </c>
      <c r="N1152">
        <v>-1.443412E-2</v>
      </c>
      <c r="O1152">
        <v>1.0389329999999999E-3</v>
      </c>
      <c r="P1152">
        <v>0.98531299999999999</v>
      </c>
      <c r="Q1152">
        <v>0.16992950000000001</v>
      </c>
      <c r="R1152">
        <v>1.6803240000000001E-2</v>
      </c>
      <c r="S1152">
        <v>3.0682369999999999</v>
      </c>
      <c r="T1152">
        <v>-6.5890190000000001E-2</v>
      </c>
      <c r="U1152">
        <v>-0.71533199999999997</v>
      </c>
      <c r="V1152">
        <v>-1.5772230000000002E-2</v>
      </c>
      <c r="W1152">
        <v>0.18413470000000001</v>
      </c>
      <c r="X1152">
        <v>0.98277440000000005</v>
      </c>
      <c r="Y1152">
        <v>0.22797880000000001</v>
      </c>
      <c r="Z1152">
        <v>-4.0899760000000004E-3</v>
      </c>
      <c r="AA1152">
        <v>0.97365749999999995</v>
      </c>
      <c r="AB1152">
        <v>34</v>
      </c>
      <c r="AC1152">
        <v>47.737399999999901</v>
      </c>
      <c r="AD1152">
        <v>-1.0301545400000001</v>
      </c>
      <c r="AE1152">
        <v>-11.1839999999999</v>
      </c>
      <c r="AF1152">
        <v>11.2286382140384</v>
      </c>
      <c r="AG1152">
        <v>-1.0301545400000001</v>
      </c>
      <c r="AH1152">
        <v>47.704694385998202</v>
      </c>
      <c r="AI1152">
        <v>91.2041783584435</v>
      </c>
      <c r="AJ1152">
        <v>76.754923162939505</v>
      </c>
      <c r="AK1152">
        <v>49.019194209814799</v>
      </c>
      <c r="AL1152">
        <v>79.389311602979006</v>
      </c>
      <c r="AM1152">
        <v>90.9194425906351</v>
      </c>
      <c r="AN1152">
        <v>0.99999993613930904</v>
      </c>
    </row>
    <row r="1153" spans="1:40" x14ac:dyDescent="0.25">
      <c r="A1153" t="str">
        <f>"20190304155614851"</f>
        <v>20190304155614851</v>
      </c>
      <c r="B1153" t="str">
        <f>"1551686174845637"</f>
        <v>1551686174845637</v>
      </c>
      <c r="C1153" t="s">
        <v>40</v>
      </c>
      <c r="D1153">
        <v>4.6822710000000001</v>
      </c>
      <c r="E1153">
        <v>0.59412290000000001</v>
      </c>
      <c r="F1153" t="s">
        <v>41</v>
      </c>
      <c r="G1153">
        <v>-217.65389999999999</v>
      </c>
      <c r="H1153">
        <v>7.9986199999999993E-2</v>
      </c>
      <c r="I1153">
        <v>356.0718</v>
      </c>
      <c r="J1153">
        <v>-264.37729999999999</v>
      </c>
      <c r="K1153">
        <v>1.1101510000000001</v>
      </c>
      <c r="L1153">
        <v>367.0634</v>
      </c>
      <c r="M1153">
        <v>0.99989519999999998</v>
      </c>
      <c r="N1153">
        <v>-1.444315E-2</v>
      </c>
      <c r="O1153">
        <v>1.0389869999999999E-3</v>
      </c>
      <c r="P1153">
        <v>0.98532180000000003</v>
      </c>
      <c r="Q1153">
        <v>0.16991809999999999</v>
      </c>
      <c r="R1153">
        <v>1.6395380000000001E-2</v>
      </c>
      <c r="S1153">
        <v>3.0686040000000001</v>
      </c>
      <c r="T1153">
        <v>-6.7369819999999997E-2</v>
      </c>
      <c r="U1153">
        <v>-0.71881099999999998</v>
      </c>
      <c r="V1153">
        <v>-1.5364539999999999E-2</v>
      </c>
      <c r="W1153">
        <v>0.18413289999999999</v>
      </c>
      <c r="X1153">
        <v>0.98278129999999997</v>
      </c>
      <c r="Y1153">
        <v>0.22899630000000001</v>
      </c>
      <c r="Z1153">
        <v>-4.1638029999999998E-3</v>
      </c>
      <c r="AA1153">
        <v>0.97341840000000002</v>
      </c>
      <c r="AB1153">
        <v>34</v>
      </c>
      <c r="AC1153">
        <v>46.723399999999998</v>
      </c>
      <c r="AD1153">
        <v>-1.0301648000000001</v>
      </c>
      <c r="AE1153">
        <v>-10.9916</v>
      </c>
      <c r="AF1153">
        <v>11.0350610623737</v>
      </c>
      <c r="AG1153">
        <v>-1.0301648000000001</v>
      </c>
      <c r="AH1153">
        <v>46.690446475191699</v>
      </c>
      <c r="AI1153">
        <v>91.230075052527795</v>
      </c>
      <c r="AJ1153">
        <v>76.702432255117102</v>
      </c>
      <c r="AK1153">
        <v>47.987827667213899</v>
      </c>
      <c r="AL1153">
        <v>79.389417631324307</v>
      </c>
      <c r="AM1153">
        <v>90.8956739263175</v>
      </c>
      <c r="AN1153">
        <v>1.0000000387907499</v>
      </c>
    </row>
    <row r="1154" spans="1:40" x14ac:dyDescent="0.25">
      <c r="A1154" t="str">
        <f>"20190304155614864"</f>
        <v>20190304155614864</v>
      </c>
      <c r="B1154" t="str">
        <f>"1551686174855396"</f>
        <v>1551686174855396</v>
      </c>
      <c r="C1154" t="s">
        <v>40</v>
      </c>
      <c r="D1154">
        <v>4.6940400000000002</v>
      </c>
      <c r="E1154">
        <v>0.59435300000000002</v>
      </c>
      <c r="F1154" t="s">
        <v>41</v>
      </c>
      <c r="G1154">
        <v>-218.02330000000001</v>
      </c>
      <c r="H1154">
        <v>7.9986089999999996E-2</v>
      </c>
      <c r="I1154">
        <v>356.15940000000001</v>
      </c>
      <c r="J1154">
        <v>-264.1884</v>
      </c>
      <c r="K1154">
        <v>1.110158</v>
      </c>
      <c r="L1154">
        <v>367.06360000000001</v>
      </c>
      <c r="M1154">
        <v>0.99989519999999998</v>
      </c>
      <c r="N1154">
        <v>-1.4450609999999999E-2</v>
      </c>
      <c r="O1154">
        <v>1.0389329999999999E-3</v>
      </c>
      <c r="P1154">
        <v>0.98532790000000003</v>
      </c>
      <c r="Q1154">
        <v>0.16991120000000001</v>
      </c>
      <c r="R1154">
        <v>1.6105600000000001E-2</v>
      </c>
      <c r="S1154">
        <v>3.068451</v>
      </c>
      <c r="T1154">
        <v>-6.8192719999999998E-2</v>
      </c>
      <c r="U1154">
        <v>-0.72180180000000005</v>
      </c>
      <c r="V1154">
        <v>-1.507446E-2</v>
      </c>
      <c r="W1154">
        <v>0.18413289999999999</v>
      </c>
      <c r="X1154">
        <v>0.98278580000000004</v>
      </c>
      <c r="Y1154">
        <v>0.229904</v>
      </c>
      <c r="Z1154">
        <v>-4.211851E-3</v>
      </c>
      <c r="AA1154">
        <v>0.97320419999999996</v>
      </c>
      <c r="AB1154">
        <v>34</v>
      </c>
      <c r="AC1154">
        <v>46.165100000000002</v>
      </c>
      <c r="AD1154">
        <v>-1.03017191</v>
      </c>
      <c r="AE1154">
        <v>-10.904199999999999</v>
      </c>
      <c r="AF1154">
        <v>10.9469984771253</v>
      </c>
      <c r="AG1154">
        <v>-1.03017191</v>
      </c>
      <c r="AH1154">
        <v>46.1319873008038</v>
      </c>
      <c r="AI1154">
        <v>91.244704162322506</v>
      </c>
      <c r="AJ1154">
        <v>76.650772917872203</v>
      </c>
      <c r="AK1154">
        <v>47.424237285842203</v>
      </c>
      <c r="AL1154">
        <v>79.389417713472696</v>
      </c>
      <c r="AM1154">
        <v>90.878762403420495</v>
      </c>
      <c r="AN1154">
        <v>1.0000000464441601</v>
      </c>
    </row>
    <row r="1155" spans="1:40" x14ac:dyDescent="0.25">
      <c r="A1155" t="str">
        <f>"20190304155614877"</f>
        <v>20190304155614877</v>
      </c>
      <c r="B1155" t="str">
        <f>"1551686174866132"</f>
        <v>1551686174866132</v>
      </c>
      <c r="C1155" t="s">
        <v>40</v>
      </c>
      <c r="D1155">
        <v>4.6956009999999999</v>
      </c>
      <c r="E1155">
        <v>0.59461750000000002</v>
      </c>
      <c r="F1155" t="s">
        <v>41</v>
      </c>
      <c r="G1155">
        <v>-218.4264</v>
      </c>
      <c r="H1155">
        <v>7.9985970000000003E-2</v>
      </c>
      <c r="I1155">
        <v>356.2568</v>
      </c>
      <c r="J1155">
        <v>-263.98719999999997</v>
      </c>
      <c r="K1155">
        <v>1.110163</v>
      </c>
      <c r="L1155">
        <v>367.06380000000001</v>
      </c>
      <c r="M1155">
        <v>0.99989510000000004</v>
      </c>
      <c r="N1155">
        <v>-1.4457879999999999E-2</v>
      </c>
      <c r="O1155">
        <v>1.038761E-3</v>
      </c>
      <c r="P1155">
        <v>0.98541089999999998</v>
      </c>
      <c r="Q1155">
        <v>0.16948250000000001</v>
      </c>
      <c r="R1155">
        <v>1.5532209999999999E-2</v>
      </c>
      <c r="S1155">
        <v>3.0684200000000001</v>
      </c>
      <c r="T1155">
        <v>-6.9074629999999998E-2</v>
      </c>
      <c r="U1155">
        <v>-0.72460939999999996</v>
      </c>
      <c r="V1155">
        <v>-1.450107E-2</v>
      </c>
      <c r="W1155">
        <v>0.18371290000000001</v>
      </c>
      <c r="X1155">
        <v>0.982873</v>
      </c>
      <c r="Y1155">
        <v>0.23074729999999999</v>
      </c>
      <c r="Z1155">
        <v>-4.2610460000000001E-3</v>
      </c>
      <c r="AA1155">
        <v>0.97300439999999999</v>
      </c>
      <c r="AB1155">
        <v>34</v>
      </c>
      <c r="AC1155">
        <v>45.560799999999901</v>
      </c>
      <c r="AD1155">
        <v>-1.0301770299999999</v>
      </c>
      <c r="AE1155">
        <v>-10.807</v>
      </c>
      <c r="AF1155">
        <v>10.849074655409201</v>
      </c>
      <c r="AG1155">
        <v>-1.0301770299999999</v>
      </c>
      <c r="AH1155">
        <v>45.527511851411198</v>
      </c>
      <c r="AI1155">
        <v>91.260947571475995</v>
      </c>
      <c r="AJ1155">
        <v>76.596556666109393</v>
      </c>
      <c r="AK1155">
        <v>46.813652078984099</v>
      </c>
      <c r="AL1155">
        <v>79.413899326606</v>
      </c>
      <c r="AM1155">
        <v>90.845266715689604</v>
      </c>
      <c r="AN1155">
        <v>1.0000000223932699</v>
      </c>
    </row>
    <row r="1156" spans="1:40" x14ac:dyDescent="0.25">
      <c r="A1156" t="str">
        <f>"20190304155614888"</f>
        <v>20190304155614888</v>
      </c>
      <c r="B1156" t="str">
        <f>"1551686174885653"</f>
        <v>1551686174885653</v>
      </c>
      <c r="C1156" t="s">
        <v>40</v>
      </c>
      <c r="D1156">
        <v>4.7308009999999996</v>
      </c>
      <c r="E1156">
        <v>0.59464159999999999</v>
      </c>
      <c r="F1156" t="s">
        <v>41</v>
      </c>
      <c r="G1156">
        <v>-219.274</v>
      </c>
      <c r="H1156">
        <v>7.9985719999999996E-2</v>
      </c>
      <c r="I1156">
        <v>356.44209999999998</v>
      </c>
      <c r="J1156">
        <v>-263.81450000000001</v>
      </c>
      <c r="K1156">
        <v>1.1101639999999999</v>
      </c>
      <c r="L1156">
        <v>367.06389999999999</v>
      </c>
      <c r="M1156">
        <v>0.99989479999999997</v>
      </c>
      <c r="N1156">
        <v>-1.446366E-2</v>
      </c>
      <c r="O1156">
        <v>1.0390169999999999E-3</v>
      </c>
      <c r="P1156">
        <v>0.98545890000000003</v>
      </c>
      <c r="Q1156">
        <v>0.1692535</v>
      </c>
      <c r="R1156">
        <v>1.497297E-2</v>
      </c>
      <c r="S1156">
        <v>3.068085</v>
      </c>
      <c r="T1156">
        <v>-7.0687529999999998E-2</v>
      </c>
      <c r="U1156">
        <v>-0.72882080000000005</v>
      </c>
      <c r="V1156">
        <v>-1.39416E-2</v>
      </c>
      <c r="W1156">
        <v>0.1834903</v>
      </c>
      <c r="X1156">
        <v>0.98292270000000004</v>
      </c>
      <c r="Y1156">
        <v>0.23203170000000001</v>
      </c>
      <c r="Z1156">
        <v>-4.346216E-3</v>
      </c>
      <c r="AA1156">
        <v>0.97269850000000002</v>
      </c>
      <c r="AB1156">
        <v>34</v>
      </c>
      <c r="AC1156">
        <v>44.540500000000002</v>
      </c>
      <c r="AD1156">
        <v>-1.0301782799999999</v>
      </c>
      <c r="AE1156">
        <v>-10.6218</v>
      </c>
      <c r="AF1156">
        <v>10.66268036093</v>
      </c>
      <c r="AG1156">
        <v>-1.0301782799999999</v>
      </c>
      <c r="AH1156">
        <v>44.506910686751397</v>
      </c>
      <c r="AI1156">
        <v>91.289482665752601</v>
      </c>
      <c r="AJ1156">
        <v>76.527369850765794</v>
      </c>
      <c r="AK1156">
        <v>45.7779326602504</v>
      </c>
      <c r="AL1156">
        <v>79.426874181025298</v>
      </c>
      <c r="AM1156">
        <v>90.812618610530293</v>
      </c>
      <c r="AN1156">
        <v>1.0000000462899601</v>
      </c>
    </row>
    <row r="1157" spans="1:40" x14ac:dyDescent="0.25">
      <c r="A1157" t="str">
        <f>"20190304155614900"</f>
        <v>20190304155614900</v>
      </c>
      <c r="B1157" t="str">
        <f>"1551686174895414"</f>
        <v>1551686174895414</v>
      </c>
      <c r="C1157" t="s">
        <v>40</v>
      </c>
      <c r="D1157">
        <v>4.6947640000000002</v>
      </c>
      <c r="E1157">
        <v>0.59469569999999905</v>
      </c>
      <c r="F1157" t="s">
        <v>41</v>
      </c>
      <c r="G1157">
        <v>-220.9511</v>
      </c>
      <c r="H1157">
        <v>7.9986680000000004E-2</v>
      </c>
      <c r="I1157">
        <v>356.84530000000001</v>
      </c>
      <c r="J1157">
        <v>-263.64080000000001</v>
      </c>
      <c r="K1157">
        <v>1.1101669999999999</v>
      </c>
      <c r="L1157">
        <v>367.0641</v>
      </c>
      <c r="M1157">
        <v>0.99989490000000003</v>
      </c>
      <c r="N1157">
        <v>-1.4468679999999999E-2</v>
      </c>
      <c r="O1157">
        <v>1.0388019999999999E-3</v>
      </c>
      <c r="P1157">
        <v>0.98549779999999998</v>
      </c>
      <c r="Q1157">
        <v>0.1690364</v>
      </c>
      <c r="R1157">
        <v>1.486429E-2</v>
      </c>
      <c r="S1157">
        <v>3.0680239999999999</v>
      </c>
      <c r="T1157">
        <v>-7.3736670000000004E-2</v>
      </c>
      <c r="U1157">
        <v>-0.73141480000000003</v>
      </c>
      <c r="V1157">
        <v>-1.3833420000000001E-2</v>
      </c>
      <c r="W1157">
        <v>0.18327840000000001</v>
      </c>
      <c r="X1157">
        <v>0.9829637</v>
      </c>
      <c r="Y1157">
        <v>0.23280699999999999</v>
      </c>
      <c r="Z1157">
        <v>-4.4763349999999997E-3</v>
      </c>
      <c r="AA1157">
        <v>0.97251270000000001</v>
      </c>
      <c r="AB1157">
        <v>34</v>
      </c>
      <c r="AC1157">
        <v>42.689700000000002</v>
      </c>
      <c r="AD1157">
        <v>-1.0301803199999999</v>
      </c>
      <c r="AE1157">
        <v>-10.2187999999999</v>
      </c>
      <c r="AF1157">
        <v>10.257495593452401</v>
      </c>
      <c r="AG1157">
        <v>-1.0301803199999999</v>
      </c>
      <c r="AH1157">
        <v>42.655566494975197</v>
      </c>
      <c r="AI1157">
        <v>91.345157150020697</v>
      </c>
      <c r="AJ1157">
        <v>76.478665448066494</v>
      </c>
      <c r="AK1157">
        <v>43.883651173855903</v>
      </c>
      <c r="AL1157">
        <v>79.439223953647996</v>
      </c>
      <c r="AM1157">
        <v>90.806280295744202</v>
      </c>
      <c r="AN1157">
        <v>0.99999998546657298</v>
      </c>
    </row>
    <row r="1158" spans="1:40" x14ac:dyDescent="0.25">
      <c r="A1158" t="str">
        <f>"20190304155614912"</f>
        <v>20190304155614912</v>
      </c>
      <c r="B1158" t="str">
        <f>"1551686174906148"</f>
        <v>1551686174906148</v>
      </c>
      <c r="C1158" t="s">
        <v>40</v>
      </c>
      <c r="D1158">
        <v>4.6591779999999998</v>
      </c>
      <c r="E1158">
        <v>0.5948563</v>
      </c>
      <c r="F1158" t="s">
        <v>41</v>
      </c>
      <c r="G1158">
        <v>-221.6635</v>
      </c>
      <c r="H1158">
        <v>7.9986450000000001E-2</v>
      </c>
      <c r="I1158">
        <v>357.03989999999999</v>
      </c>
      <c r="J1158">
        <v>-263.45740000000001</v>
      </c>
      <c r="K1158">
        <v>1.1101700000000001</v>
      </c>
      <c r="L1158">
        <v>367.0643</v>
      </c>
      <c r="M1158">
        <v>0.99989479999999997</v>
      </c>
      <c r="N1158">
        <v>-1.4473710000000001E-2</v>
      </c>
      <c r="O1158">
        <v>1.0387650000000001E-3</v>
      </c>
      <c r="P1158">
        <v>0.98551699999999998</v>
      </c>
      <c r="Q1158">
        <v>0.1689426</v>
      </c>
      <c r="R1158">
        <v>1.4657709999999999E-2</v>
      </c>
      <c r="S1158">
        <v>3.0681150000000001</v>
      </c>
      <c r="T1158">
        <v>-7.5295689999999998E-2</v>
      </c>
      <c r="U1158">
        <v>-0.73266600000000004</v>
      </c>
      <c r="V1158">
        <v>-1.3626940000000001E-2</v>
      </c>
      <c r="W1158">
        <v>0.18318980000000001</v>
      </c>
      <c r="X1158">
        <v>0.9829831</v>
      </c>
      <c r="Y1158">
        <v>0.23317189999999999</v>
      </c>
      <c r="Z1158">
        <v>-4.5427189999999998E-3</v>
      </c>
      <c r="AA1158">
        <v>0.97242490000000004</v>
      </c>
      <c r="AB1158">
        <v>34</v>
      </c>
      <c r="AC1158">
        <v>41.793900000000001</v>
      </c>
      <c r="AD1158">
        <v>-1.0301835500000001</v>
      </c>
      <c r="AE1158">
        <v>-10.0244</v>
      </c>
      <c r="AF1158">
        <v>10.0620322598377</v>
      </c>
      <c r="AG1158">
        <v>-1.0301835500000001</v>
      </c>
      <c r="AH1158">
        <v>41.759471391280698</v>
      </c>
      <c r="AI1158">
        <v>91.373865710831495</v>
      </c>
      <c r="AJ1158">
        <v>76.452697674570999</v>
      </c>
      <c r="AK1158">
        <v>42.966955002931002</v>
      </c>
      <c r="AL1158">
        <v>79.444387788506205</v>
      </c>
      <c r="AM1158">
        <v>90.794231497957398</v>
      </c>
      <c r="AN1158">
        <v>0.999999985601706</v>
      </c>
    </row>
    <row r="1159" spans="1:40" x14ac:dyDescent="0.25">
      <c r="A1159" t="str">
        <f>"20190304155614923"</f>
        <v>20190304155614923</v>
      </c>
      <c r="B1159" t="str">
        <f>"1551686174915909"</f>
        <v>1551686174915909</v>
      </c>
      <c r="C1159" t="s">
        <v>40</v>
      </c>
      <c r="D1159">
        <v>4.7936610000000002</v>
      </c>
      <c r="E1159">
        <v>0.59483390000000003</v>
      </c>
      <c r="F1159" t="s">
        <v>41</v>
      </c>
      <c r="G1159">
        <v>-222.7029</v>
      </c>
      <c r="H1159">
        <v>7.9986139999999997E-2</v>
      </c>
      <c r="I1159">
        <v>357.3032</v>
      </c>
      <c r="J1159">
        <v>-263.28769999999997</v>
      </c>
      <c r="K1159">
        <v>1.110171</v>
      </c>
      <c r="L1159">
        <v>367.06450000000001</v>
      </c>
      <c r="M1159">
        <v>0.99989470000000003</v>
      </c>
      <c r="N1159">
        <v>-1.4477749999999999E-2</v>
      </c>
      <c r="O1159">
        <v>1.0389150000000001E-3</v>
      </c>
      <c r="P1159">
        <v>0.98552200000000001</v>
      </c>
      <c r="Q1159">
        <v>0.16892599999999999</v>
      </c>
      <c r="R1159">
        <v>1.451645E-2</v>
      </c>
      <c r="S1159">
        <v>3.0683289999999999</v>
      </c>
      <c r="T1159">
        <v>-7.7560420000000005E-2</v>
      </c>
      <c r="U1159">
        <v>-0.73489380000000004</v>
      </c>
      <c r="V1159">
        <v>-1.348543E-2</v>
      </c>
      <c r="W1159">
        <v>0.18317710000000001</v>
      </c>
      <c r="X1159">
        <v>0.98298739999999996</v>
      </c>
      <c r="Y1159">
        <v>0.233819</v>
      </c>
      <c r="Z1159">
        <v>-4.6413050000000001E-3</v>
      </c>
      <c r="AA1159">
        <v>0.9722691</v>
      </c>
      <c r="AB1159">
        <v>34</v>
      </c>
      <c r="AC1159">
        <v>40.584799999999902</v>
      </c>
      <c r="AD1159">
        <v>-1.0301848600000001</v>
      </c>
      <c r="AE1159">
        <v>-9.7613000000000003</v>
      </c>
      <c r="AF1159">
        <v>9.7974957664339009</v>
      </c>
      <c r="AG1159">
        <v>-1.0301848600000001</v>
      </c>
      <c r="AH1159">
        <v>40.549937378651698</v>
      </c>
      <c r="AI1159">
        <v>91.414617189262998</v>
      </c>
      <c r="AJ1159">
        <v>76.416775524317998</v>
      </c>
      <c r="AK1159">
        <v>41.7294814915263</v>
      </c>
      <c r="AL1159">
        <v>79.445127778301796</v>
      </c>
      <c r="AM1159">
        <v>90.785981342583895</v>
      </c>
      <c r="AN1159">
        <v>0.99999996767272603</v>
      </c>
    </row>
    <row r="1160" spans="1:40" x14ac:dyDescent="0.25">
      <c r="A1160" t="str">
        <f>"20190304155614935"</f>
        <v>20190304155614935</v>
      </c>
      <c r="B1160" t="str">
        <f>"1551686174925669"</f>
        <v>1551686174925669</v>
      </c>
      <c r="C1160" t="s">
        <v>40</v>
      </c>
      <c r="D1160">
        <v>4.7511419999999998</v>
      </c>
      <c r="E1160">
        <v>0.59476269999999998</v>
      </c>
      <c r="F1160" t="s">
        <v>41</v>
      </c>
      <c r="G1160">
        <v>-223.36429999999999</v>
      </c>
      <c r="H1160">
        <v>7.9985940000000005E-2</v>
      </c>
      <c r="I1160">
        <v>357.49610000000001</v>
      </c>
      <c r="J1160">
        <v>-263.12209999999999</v>
      </c>
      <c r="K1160">
        <v>1.110171</v>
      </c>
      <c r="L1160">
        <v>367.06459999999998</v>
      </c>
      <c r="M1160">
        <v>0.99989459999999997</v>
      </c>
      <c r="N1160">
        <v>-1.448139E-2</v>
      </c>
      <c r="O1160">
        <v>1.0390670000000001E-3</v>
      </c>
      <c r="P1160">
        <v>0.98554489999999995</v>
      </c>
      <c r="Q1160">
        <v>0.16880999999999999</v>
      </c>
      <c r="R1160">
        <v>1.4309769999999999E-2</v>
      </c>
      <c r="S1160">
        <v>3.0684809999999998</v>
      </c>
      <c r="T1160">
        <v>-7.9179050000000001E-2</v>
      </c>
      <c r="U1160">
        <v>-0.73541259999999997</v>
      </c>
      <c r="V1160">
        <v>-1.327853E-2</v>
      </c>
      <c r="W1160">
        <v>0.18306510000000001</v>
      </c>
      <c r="X1160">
        <v>0.98301110000000003</v>
      </c>
      <c r="Y1160">
        <v>0.23395969999999999</v>
      </c>
      <c r="Z1160">
        <v>-4.7057239999999997E-3</v>
      </c>
      <c r="AA1160">
        <v>0.97223490000000001</v>
      </c>
      <c r="AB1160">
        <v>34</v>
      </c>
      <c r="AC1160">
        <v>39.757800000000003</v>
      </c>
      <c r="AD1160">
        <v>-1.03018506</v>
      </c>
      <c r="AE1160">
        <v>-9.56849999999997</v>
      </c>
      <c r="AF1160">
        <v>9.6037152154573509</v>
      </c>
      <c r="AG1160">
        <v>-1.03018506</v>
      </c>
      <c r="AH1160">
        <v>39.722625335479698</v>
      </c>
      <c r="AI1160">
        <v>91.444016963992198</v>
      </c>
      <c r="AJ1160">
        <v>76.408447643295602</v>
      </c>
      <c r="AK1160">
        <v>40.880063487479497</v>
      </c>
      <c r="AL1160">
        <v>79.451655484012605</v>
      </c>
      <c r="AM1160">
        <v>90.773905257499905</v>
      </c>
      <c r="AN1160">
        <v>0.99999998646009003</v>
      </c>
    </row>
    <row r="1161" spans="1:40" x14ac:dyDescent="0.25">
      <c r="A1161" t="str">
        <f>"20190304155614947"</f>
        <v>20190304155614947</v>
      </c>
      <c r="B1161" t="str">
        <f>"1551686174935429"</f>
        <v>1551686174935429</v>
      </c>
      <c r="C1161" t="s">
        <v>40</v>
      </c>
      <c r="D1161">
        <v>4.7864870000000002</v>
      </c>
      <c r="E1161">
        <v>0.59476070000000003</v>
      </c>
      <c r="F1161" t="s">
        <v>41</v>
      </c>
      <c r="G1161">
        <v>-224.1369</v>
      </c>
      <c r="H1161">
        <v>7.9985710000000002E-2</v>
      </c>
      <c r="I1161">
        <v>357.71600000000001</v>
      </c>
      <c r="J1161">
        <v>-262.9298</v>
      </c>
      <c r="K1161">
        <v>1.1101730000000001</v>
      </c>
      <c r="L1161">
        <v>367.06490000000002</v>
      </c>
      <c r="M1161">
        <v>0.99989459999999997</v>
      </c>
      <c r="N1161">
        <v>-1.44852E-2</v>
      </c>
      <c r="O1161">
        <v>1.0390389999999901E-3</v>
      </c>
      <c r="P1161">
        <v>0.9855931</v>
      </c>
      <c r="Q1161">
        <v>0.16855789999999901</v>
      </c>
      <c r="R1161">
        <v>1.395648E-2</v>
      </c>
      <c r="S1161">
        <v>3.0685730000000002</v>
      </c>
      <c r="T1161">
        <v>-8.1086989999999998E-2</v>
      </c>
      <c r="U1161">
        <v>-0.73583980000000004</v>
      </c>
      <c r="V1161">
        <v>-1.2925239999999999E-2</v>
      </c>
      <c r="W1161">
        <v>0.1828176</v>
      </c>
      <c r="X1161">
        <v>0.98306190000000004</v>
      </c>
      <c r="Y1161">
        <v>0.23407639999999999</v>
      </c>
      <c r="Z1161">
        <v>-4.7807759999999996E-3</v>
      </c>
      <c r="AA1161">
        <v>0.97220649999999997</v>
      </c>
      <c r="AB1161">
        <v>34</v>
      </c>
      <c r="AC1161">
        <v>38.792900000000003</v>
      </c>
      <c r="AD1161">
        <v>-1.03018728999999</v>
      </c>
      <c r="AE1161">
        <v>-9.3489000000000093</v>
      </c>
      <c r="AF1161">
        <v>9.3829526368039904</v>
      </c>
      <c r="AG1161">
        <v>-1.03018728999999</v>
      </c>
      <c r="AH1161">
        <v>38.757331821670299</v>
      </c>
      <c r="AI1161">
        <v>91.479859127252894</v>
      </c>
      <c r="AJ1161">
        <v>76.390828623953894</v>
      </c>
      <c r="AK1161">
        <v>39.890247629866103</v>
      </c>
      <c r="AL1161">
        <v>79.466079949430394</v>
      </c>
      <c r="AM1161">
        <v>90.753278132731197</v>
      </c>
      <c r="AN1161">
        <v>1.00000001796521</v>
      </c>
    </row>
    <row r="1162" spans="1:40" x14ac:dyDescent="0.25">
      <c r="A1162" t="str">
        <f>"20190304155614958"</f>
        <v>20190304155614958</v>
      </c>
      <c r="B1162" t="str">
        <f>"1551686174955925"</f>
        <v>1551686174955925</v>
      </c>
      <c r="C1162" t="s">
        <v>40</v>
      </c>
      <c r="D1162">
        <v>4.7874919999999896</v>
      </c>
      <c r="E1162">
        <v>0.594661</v>
      </c>
      <c r="F1162" t="s">
        <v>41</v>
      </c>
      <c r="G1162">
        <v>-224.96449999999999</v>
      </c>
      <c r="H1162">
        <v>7.9986920000000003E-2</v>
      </c>
      <c r="I1162">
        <v>357.94450000000001</v>
      </c>
      <c r="J1162">
        <v>-262.77030000000002</v>
      </c>
      <c r="K1162">
        <v>1.1101749999999999</v>
      </c>
      <c r="L1162">
        <v>367.065</v>
      </c>
      <c r="M1162">
        <v>0.99989459999999997</v>
      </c>
      <c r="N1162">
        <v>-1.448791E-2</v>
      </c>
      <c r="O1162">
        <v>1.038841E-3</v>
      </c>
      <c r="P1162">
        <v>0.9856026</v>
      </c>
      <c r="Q1162">
        <v>0.16852300000000001</v>
      </c>
      <c r="R1162">
        <v>1.3706680000000001E-2</v>
      </c>
      <c r="S1162">
        <v>3.0685419999999999</v>
      </c>
      <c r="T1162">
        <v>-8.3264469999999993E-2</v>
      </c>
      <c r="U1162">
        <v>-0.73715209999999998</v>
      </c>
      <c r="V1162">
        <v>-1.267593E-2</v>
      </c>
      <c r="W1162">
        <v>0.1827857</v>
      </c>
      <c r="X1162">
        <v>0.98307109999999998</v>
      </c>
      <c r="Y1162">
        <v>0.2344659</v>
      </c>
      <c r="Z1162">
        <v>-4.8717150000000004E-3</v>
      </c>
      <c r="AA1162">
        <v>0.97211210000000003</v>
      </c>
      <c r="AB1162">
        <v>34</v>
      </c>
      <c r="AC1162">
        <v>37.805799999999998</v>
      </c>
      <c r="AD1162">
        <v>-1.0301880799999901</v>
      </c>
      <c r="AE1162">
        <v>-9.1204999999999892</v>
      </c>
      <c r="AF1162">
        <v>9.1533505484694508</v>
      </c>
      <c r="AG1162">
        <v>-1.0301880799999901</v>
      </c>
      <c r="AH1162">
        <v>37.769800961606499</v>
      </c>
      <c r="AI1162">
        <v>91.5184477595554</v>
      </c>
      <c r="AJ1162">
        <v>76.377253145045799</v>
      </c>
      <c r="AK1162">
        <v>38.876766563369301</v>
      </c>
      <c r="AL1162">
        <v>79.467939239578499</v>
      </c>
      <c r="AM1162">
        <v>90.738743152903595</v>
      </c>
      <c r="AN1162">
        <v>1.00000003949053</v>
      </c>
    </row>
    <row r="1163" spans="1:40" x14ac:dyDescent="0.25">
      <c r="A1163" t="str">
        <f>"20190304155614968"</f>
        <v>20190304155614968</v>
      </c>
      <c r="B1163" t="str">
        <f>"1551686174965684"</f>
        <v>1551686174965684</v>
      </c>
      <c r="C1163" t="s">
        <v>40</v>
      </c>
      <c r="D1163">
        <v>4.8438249999999998</v>
      </c>
      <c r="E1163">
        <v>0.59465170000000001</v>
      </c>
      <c r="F1163" t="s">
        <v>41</v>
      </c>
      <c r="G1163">
        <v>-226.1908</v>
      </c>
      <c r="H1163">
        <v>7.9986539999999995E-2</v>
      </c>
      <c r="I1163">
        <v>358.2799</v>
      </c>
      <c r="J1163">
        <v>-262.61</v>
      </c>
      <c r="K1163">
        <v>1.1101799999999999</v>
      </c>
      <c r="L1163">
        <v>367.0652</v>
      </c>
      <c r="M1163">
        <v>0.99989450000000002</v>
      </c>
      <c r="N1163">
        <v>-1.449051E-2</v>
      </c>
      <c r="O1163">
        <v>1.0390009999999999E-3</v>
      </c>
      <c r="P1163">
        <v>0.98560270000000005</v>
      </c>
      <c r="Q1163">
        <v>0.168545899999999</v>
      </c>
      <c r="R1163">
        <v>1.341238E-2</v>
      </c>
      <c r="S1163">
        <v>3.068848</v>
      </c>
      <c r="T1163">
        <v>-8.642793E-2</v>
      </c>
      <c r="U1163">
        <v>-0.73702999999999996</v>
      </c>
      <c r="V1163">
        <v>-1.238102E-2</v>
      </c>
      <c r="W1163">
        <v>0.18281049999999999</v>
      </c>
      <c r="X1163">
        <v>0.98307020000000001</v>
      </c>
      <c r="Y1163">
        <v>0.23439950000000001</v>
      </c>
      <c r="Z1163">
        <v>-4.9904850000000002E-3</v>
      </c>
      <c r="AA1163">
        <v>0.97212759999999998</v>
      </c>
      <c r="AB1163">
        <v>34</v>
      </c>
      <c r="AC1163">
        <v>36.419199999999996</v>
      </c>
      <c r="AD1163">
        <v>-1.03019346</v>
      </c>
      <c r="AE1163">
        <v>-8.7852999999999994</v>
      </c>
      <c r="AF1163">
        <v>8.8164721630280507</v>
      </c>
      <c r="AG1163">
        <v>-1.03019346</v>
      </c>
      <c r="AH1163">
        <v>36.382540473469099</v>
      </c>
      <c r="AI1163">
        <v>91.576332241345995</v>
      </c>
      <c r="AJ1163">
        <v>76.378267160880597</v>
      </c>
      <c r="AK1163">
        <v>37.449709361623803</v>
      </c>
      <c r="AL1163">
        <v>79.466493460290806</v>
      </c>
      <c r="AM1163">
        <v>90.721558531184698</v>
      </c>
      <c r="AN1163">
        <v>0.99999999334726497</v>
      </c>
    </row>
    <row r="1164" spans="1:40" x14ac:dyDescent="0.25">
      <c r="A1164" t="str">
        <f>"20190304155614979"</f>
        <v>20190304155614979</v>
      </c>
      <c r="B1164" t="str">
        <f>"1551686174975445"</f>
        <v>1551686174975445</v>
      </c>
      <c r="C1164" t="s">
        <v>40</v>
      </c>
      <c r="D1164">
        <v>4.8372320000000002</v>
      </c>
      <c r="E1164">
        <v>0.59460349999999995</v>
      </c>
      <c r="F1164" t="s">
        <v>41</v>
      </c>
      <c r="G1164">
        <v>-226.62950000000001</v>
      </c>
      <c r="H1164">
        <v>7.9986399999999902E-2</v>
      </c>
      <c r="I1164">
        <v>358.41430000000003</v>
      </c>
      <c r="J1164">
        <v>-262.459</v>
      </c>
      <c r="K1164">
        <v>1.1101829999999999</v>
      </c>
      <c r="L1164">
        <v>367.06540000000001</v>
      </c>
      <c r="M1164">
        <v>0.99989439999999996</v>
      </c>
      <c r="N1164">
        <v>-1.449246E-2</v>
      </c>
      <c r="O1164">
        <v>1.038986E-3</v>
      </c>
      <c r="P1164">
        <v>0.98565130000000001</v>
      </c>
      <c r="Q1164">
        <v>0.16828489999999999</v>
      </c>
      <c r="R1164">
        <v>1.310644E-2</v>
      </c>
      <c r="S1164">
        <v>3.0688780000000002</v>
      </c>
      <c r="T1164">
        <v>-8.7867860000000006E-2</v>
      </c>
      <c r="U1164">
        <v>-0.73785400000000001</v>
      </c>
      <c r="V1164">
        <v>-1.2075499999999999E-2</v>
      </c>
      <c r="W1164">
        <v>0.1825522</v>
      </c>
      <c r="X1164">
        <v>0.98312200000000005</v>
      </c>
      <c r="Y1164">
        <v>0.23464019999999999</v>
      </c>
      <c r="Z1164">
        <v>-5.0504790000000001E-3</v>
      </c>
      <c r="AA1164">
        <v>0.97206919999999997</v>
      </c>
      <c r="AB1164">
        <v>34</v>
      </c>
      <c r="AC1164">
        <v>35.829500000000003</v>
      </c>
      <c r="AD1164">
        <v>-1.0301966</v>
      </c>
      <c r="AE1164">
        <v>-8.65109999999998</v>
      </c>
      <c r="AF1164">
        <v>8.6815437536935498</v>
      </c>
      <c r="AG1164">
        <v>-1.0301966</v>
      </c>
      <c r="AH1164">
        <v>35.792530981500597</v>
      </c>
      <c r="AI1164">
        <v>91.602225745401597</v>
      </c>
      <c r="AJ1164">
        <v>76.366101089777899</v>
      </c>
      <c r="AK1164">
        <v>36.844752422069902</v>
      </c>
      <c r="AL1164">
        <v>79.481546285509296</v>
      </c>
      <c r="AM1164">
        <v>90.703717742920205</v>
      </c>
      <c r="AN1164">
        <v>0.99999999515454496</v>
      </c>
    </row>
    <row r="1165" spans="1:40" x14ac:dyDescent="0.25">
      <c r="A1165" t="str">
        <f>"20190304155614991"</f>
        <v>20190304155614991</v>
      </c>
      <c r="B1165" t="str">
        <f>"1551686174986181"</f>
        <v>1551686174986181</v>
      </c>
      <c r="C1165" t="s">
        <v>40</v>
      </c>
      <c r="D1165">
        <v>4.7793159999999997</v>
      </c>
      <c r="E1165">
        <v>0.59453489999999998</v>
      </c>
      <c r="F1165" t="s">
        <v>41</v>
      </c>
      <c r="G1165">
        <v>-227.4624</v>
      </c>
      <c r="H1165">
        <v>7.9986150000000006E-2</v>
      </c>
      <c r="I1165">
        <v>358.64210000000003</v>
      </c>
      <c r="J1165">
        <v>-262.28160000000003</v>
      </c>
      <c r="K1165">
        <v>1.1101829999999999</v>
      </c>
      <c r="L1165">
        <v>367.06549999999999</v>
      </c>
      <c r="M1165">
        <v>0.99989439999999996</v>
      </c>
      <c r="N1165">
        <v>-1.4494669999999999E-2</v>
      </c>
      <c r="O1165">
        <v>1.038792E-3</v>
      </c>
      <c r="P1165">
        <v>0.9856374</v>
      </c>
      <c r="Q1165">
        <v>0.16838710000000001</v>
      </c>
      <c r="R1165">
        <v>1.2835920000000001E-2</v>
      </c>
      <c r="S1165">
        <v>3.0689090000000001</v>
      </c>
      <c r="T1165">
        <v>-9.0339420000000004E-2</v>
      </c>
      <c r="U1165">
        <v>-0.73864750000000001</v>
      </c>
      <c r="V1165">
        <v>-1.1804780000000001E-2</v>
      </c>
      <c r="W1165">
        <v>0.18265680000000001</v>
      </c>
      <c r="X1165">
        <v>0.98310589999999998</v>
      </c>
      <c r="Y1165">
        <v>0.23486860000000001</v>
      </c>
      <c r="Z1165">
        <v>-5.1495949999999999E-3</v>
      </c>
      <c r="AA1165">
        <v>0.97201349999999997</v>
      </c>
      <c r="AB1165">
        <v>33</v>
      </c>
      <c r="AC1165">
        <v>34.819200000000002</v>
      </c>
      <c r="AD1165">
        <v>-1.0301968499999901</v>
      </c>
      <c r="AE1165">
        <v>-8.4233999999999494</v>
      </c>
      <c r="AF1165">
        <v>8.4525789353007106</v>
      </c>
      <c r="AG1165">
        <v>-1.0301968499999901</v>
      </c>
      <c r="AH1165">
        <v>34.781665926465003</v>
      </c>
      <c r="AI1165">
        <v>91.648590344580995</v>
      </c>
      <c r="AJ1165">
        <v>76.340865544144904</v>
      </c>
      <c r="AK1165">
        <v>35.808821271126199</v>
      </c>
      <c r="AL1165">
        <v>79.475451082107597</v>
      </c>
      <c r="AM1165">
        <v>90.687953930572306</v>
      </c>
      <c r="AN1165">
        <v>1.0000000350159399</v>
      </c>
    </row>
    <row r="1166" spans="1:40" x14ac:dyDescent="0.25">
      <c r="A1166" t="str">
        <f>"20190304155615004"</f>
        <v>20190304155615004</v>
      </c>
      <c r="B1166" t="str">
        <f>"1551686174995940"</f>
        <v>1551686174995940</v>
      </c>
      <c r="C1166" t="s">
        <v>40</v>
      </c>
      <c r="D1166">
        <v>4.8439370000000004</v>
      </c>
      <c r="E1166">
        <v>0.59454739999999995</v>
      </c>
      <c r="F1166" t="s">
        <v>41</v>
      </c>
      <c r="G1166">
        <v>-227.72540000000001</v>
      </c>
      <c r="H1166">
        <v>7.9986070000000006E-2</v>
      </c>
      <c r="I1166">
        <v>358.7432</v>
      </c>
      <c r="J1166">
        <v>-262.08229999999998</v>
      </c>
      <c r="K1166">
        <v>1.1101890000000001</v>
      </c>
      <c r="L1166">
        <v>367.06580000000002</v>
      </c>
      <c r="M1166">
        <v>0.99989450000000002</v>
      </c>
      <c r="N1166">
        <v>-1.4496729999999999E-2</v>
      </c>
      <c r="O1166">
        <v>1.0387759999999999E-3</v>
      </c>
      <c r="P1166">
        <v>0.98563880000000004</v>
      </c>
      <c r="Q1166">
        <v>0.16839089999999901</v>
      </c>
      <c r="R1166">
        <v>1.2695400000000001E-2</v>
      </c>
      <c r="S1166">
        <v>3.0689389999999999</v>
      </c>
      <c r="T1166">
        <v>-9.1491699999999995E-2</v>
      </c>
      <c r="U1166">
        <v>-0.73910520000000002</v>
      </c>
      <c r="V1166">
        <v>-1.1664600000000001E-2</v>
      </c>
      <c r="W1166">
        <v>0.1826624</v>
      </c>
      <c r="X1166">
        <v>0.98310649999999999</v>
      </c>
      <c r="Y1166">
        <v>0.2350003</v>
      </c>
      <c r="Z1166">
        <v>-5.1965149999999996E-3</v>
      </c>
      <c r="AA1166">
        <v>0.9719814</v>
      </c>
      <c r="AB1166">
        <v>33</v>
      </c>
      <c r="AC1166">
        <v>34.356899999999897</v>
      </c>
      <c r="AD1166">
        <v>-1.03020293</v>
      </c>
      <c r="AE1166">
        <v>-8.3226000000000209</v>
      </c>
      <c r="AF1166">
        <v>8.3511958417732508</v>
      </c>
      <c r="AG1166">
        <v>-1.03020293</v>
      </c>
      <c r="AH1166">
        <v>34.319088584208899</v>
      </c>
      <c r="AI1166">
        <v>91.670685336418302</v>
      </c>
      <c r="AJ1166">
        <v>76.323476528485799</v>
      </c>
      <c r="AK1166">
        <v>35.335585905930699</v>
      </c>
      <c r="AL1166">
        <v>79.475124392480595</v>
      </c>
      <c r="AM1166">
        <v>90.679784936749599</v>
      </c>
      <c r="AN1166">
        <v>1.0000000028045799</v>
      </c>
    </row>
    <row r="1167" spans="1:40" x14ac:dyDescent="0.25">
      <c r="A1167" t="str">
        <f>"20190304155615018"</f>
        <v>20190304155615018</v>
      </c>
      <c r="B1167" t="str">
        <f>"1551686175005700"</f>
        <v>1551686175005700</v>
      </c>
      <c r="C1167" t="s">
        <v>40</v>
      </c>
      <c r="D1167">
        <v>4.8626800000000001</v>
      </c>
      <c r="E1167">
        <v>0.59443769999999996</v>
      </c>
      <c r="F1167" t="s">
        <v>41</v>
      </c>
      <c r="G1167">
        <v>-228.0984</v>
      </c>
      <c r="H1167">
        <v>7.998595E-2</v>
      </c>
      <c r="I1167">
        <v>358.87630000000001</v>
      </c>
      <c r="J1167">
        <v>-261.88400000000001</v>
      </c>
      <c r="K1167">
        <v>1.1101909999999999</v>
      </c>
      <c r="L1167">
        <v>367.0659</v>
      </c>
      <c r="M1167">
        <v>0.99989430000000001</v>
      </c>
      <c r="N1167">
        <v>-1.4498459999999999E-2</v>
      </c>
      <c r="O1167">
        <v>1.039122E-3</v>
      </c>
      <c r="P1167">
        <v>0.98557490000000003</v>
      </c>
      <c r="Q1167">
        <v>0.16878309999999999</v>
      </c>
      <c r="R1167">
        <v>1.2421959999999999E-2</v>
      </c>
      <c r="S1167">
        <v>3.0691220000000001</v>
      </c>
      <c r="T1167">
        <v>-9.3038560000000006E-2</v>
      </c>
      <c r="U1167">
        <v>-0.73959350000000001</v>
      </c>
      <c r="V1167">
        <v>-1.139046E-2</v>
      </c>
      <c r="W1167">
        <v>0.1830552</v>
      </c>
      <c r="X1167">
        <v>0.98303660000000004</v>
      </c>
      <c r="Y1167">
        <v>0.23512930000000001</v>
      </c>
      <c r="Z1167">
        <v>-5.2582430000000001E-3</v>
      </c>
      <c r="AA1167">
        <v>0.97194990000000003</v>
      </c>
      <c r="AB1167">
        <v>33</v>
      </c>
      <c r="AC1167">
        <v>33.785600000000002</v>
      </c>
      <c r="AD1167">
        <v>-1.03020505</v>
      </c>
      <c r="AE1167">
        <v>-8.1895999999999791</v>
      </c>
      <c r="AF1167">
        <v>8.2174901264970597</v>
      </c>
      <c r="AG1167">
        <v>-1.03020505</v>
      </c>
      <c r="AH1167">
        <v>33.747434265484998</v>
      </c>
      <c r="AI1167">
        <v>91.698910003643803</v>
      </c>
      <c r="AJ1167">
        <v>76.314820615048106</v>
      </c>
      <c r="AK1167">
        <v>34.748781071101703</v>
      </c>
      <c r="AL1167">
        <v>79.452232103957996</v>
      </c>
      <c r="AM1167">
        <v>90.663857358050507</v>
      </c>
      <c r="AN1167">
        <v>0.99999995288280397</v>
      </c>
    </row>
    <row r="1168" spans="1:40" x14ac:dyDescent="0.25">
      <c r="A1168" t="str">
        <f>"20190304155615033"</f>
        <v>20190304155615033</v>
      </c>
      <c r="B1168" t="str">
        <f>"1551686175026196"</f>
        <v>1551686175026196</v>
      </c>
      <c r="C1168" t="s">
        <v>40</v>
      </c>
      <c r="D1168">
        <v>4.8403169999999998</v>
      </c>
      <c r="E1168">
        <v>0.59428689999999995</v>
      </c>
      <c r="F1168" t="s">
        <v>41</v>
      </c>
      <c r="G1168">
        <v>-228.0147</v>
      </c>
      <c r="H1168">
        <v>7.9985979999999998E-2</v>
      </c>
      <c r="I1168">
        <v>358.90129999999999</v>
      </c>
      <c r="J1168">
        <v>-261.6626</v>
      </c>
      <c r="K1168">
        <v>1.110193</v>
      </c>
      <c r="L1168">
        <v>367.06619999999998</v>
      </c>
      <c r="M1168">
        <v>0.99989439999999996</v>
      </c>
      <c r="N1168">
        <v>-1.450004E-2</v>
      </c>
      <c r="O1168">
        <v>1.0389310000000001E-3</v>
      </c>
      <c r="P1168">
        <v>0.98552569999999995</v>
      </c>
      <c r="Q1168">
        <v>0.1690767</v>
      </c>
      <c r="R1168">
        <v>1.234332E-2</v>
      </c>
      <c r="S1168">
        <v>3.0692140000000001</v>
      </c>
      <c r="T1168">
        <v>-9.3356129999999996E-2</v>
      </c>
      <c r="U1168">
        <v>-0.73986819999999998</v>
      </c>
      <c r="V1168">
        <v>-1.1312010000000001E-2</v>
      </c>
      <c r="W1168">
        <v>0.18335009999999999</v>
      </c>
      <c r="X1168">
        <v>0.98298260000000004</v>
      </c>
      <c r="Y1168">
        <v>0.23520379999999999</v>
      </c>
      <c r="Z1168">
        <v>-5.2720619999999897E-3</v>
      </c>
      <c r="AA1168">
        <v>0.97193180000000001</v>
      </c>
      <c r="AB1168">
        <v>33</v>
      </c>
      <c r="AC1168">
        <v>33.6478999999999</v>
      </c>
      <c r="AD1168">
        <v>-1.03020702</v>
      </c>
      <c r="AE1168">
        <v>-8.1648999999999798</v>
      </c>
      <c r="AF1168">
        <v>8.1926042851381098</v>
      </c>
      <c r="AG1168">
        <v>-1.03020702</v>
      </c>
      <c r="AH1168">
        <v>33.609643911521196</v>
      </c>
      <c r="AI1168">
        <v>91.705773130165895</v>
      </c>
      <c r="AJ1168">
        <v>76.300874945951307</v>
      </c>
      <c r="AK1168">
        <v>34.6090776435341</v>
      </c>
      <c r="AL1168">
        <v>79.435045254573794</v>
      </c>
      <c r="AM1168">
        <v>90.659321764540906</v>
      </c>
      <c r="AN1168">
        <v>1.0000000063215</v>
      </c>
    </row>
    <row r="1169" spans="1:40" x14ac:dyDescent="0.25">
      <c r="A1169" t="str">
        <f>"20190304155615044"</f>
        <v>20190304155615044</v>
      </c>
      <c r="B1169" t="str">
        <f>"1551686175035958"</f>
        <v>1551686175035958</v>
      </c>
      <c r="C1169" t="s">
        <v>40</v>
      </c>
      <c r="D1169">
        <v>4.8569250000000004</v>
      </c>
      <c r="E1169">
        <v>0.59421309999999905</v>
      </c>
      <c r="F1169" t="s">
        <v>41</v>
      </c>
      <c r="G1169">
        <v>-228.64750000000001</v>
      </c>
      <c r="H1169">
        <v>7.9985769999999998E-2</v>
      </c>
      <c r="I1169">
        <v>359.11790000000002</v>
      </c>
      <c r="J1169">
        <v>-261.47379999999998</v>
      </c>
      <c r="K1169">
        <v>1.110198</v>
      </c>
      <c r="L1169">
        <v>367.06639999999999</v>
      </c>
      <c r="M1169">
        <v>0.99989439999999996</v>
      </c>
      <c r="N1169">
        <v>-1.450102E-2</v>
      </c>
      <c r="O1169">
        <v>1.039103E-3</v>
      </c>
      <c r="P1169">
        <v>0.98547709999999999</v>
      </c>
      <c r="Q1169">
        <v>0.1693924</v>
      </c>
      <c r="R1169">
        <v>1.1885679999999999E-2</v>
      </c>
      <c r="S1169">
        <v>3.0697939999999999</v>
      </c>
      <c r="T1169">
        <v>-9.5790029999999998E-2</v>
      </c>
      <c r="U1169">
        <v>-0.73904419999999904</v>
      </c>
      <c r="V1169">
        <v>-1.085436E-2</v>
      </c>
      <c r="W1169">
        <v>0.18366560000000001</v>
      </c>
      <c r="X1169">
        <v>0.98292889999999999</v>
      </c>
      <c r="Y1169">
        <v>0.23490900000000001</v>
      </c>
      <c r="Z1169">
        <v>-5.3575769999999997E-3</v>
      </c>
      <c r="AA1169">
        <v>0.97200260000000005</v>
      </c>
      <c r="AB1169">
        <v>33</v>
      </c>
      <c r="AC1169">
        <v>32.826299999999897</v>
      </c>
      <c r="AD1169">
        <v>-1.0302122300000001</v>
      </c>
      <c r="AE1169">
        <v>-7.9484999999999602</v>
      </c>
      <c r="AF1169">
        <v>7.9751891635504002</v>
      </c>
      <c r="AG1169">
        <v>-1.0302122300000001</v>
      </c>
      <c r="AH1169">
        <v>32.787516922901098</v>
      </c>
      <c r="AI1169">
        <v>91.748735432133699</v>
      </c>
      <c r="AJ1169">
        <v>76.328944952712902</v>
      </c>
      <c r="AK1169">
        <v>33.759239407942502</v>
      </c>
      <c r="AL1169">
        <v>79.416656582906</v>
      </c>
      <c r="AM1169">
        <v>90.632684357521995</v>
      </c>
      <c r="AN1169">
        <v>1.00000004610478</v>
      </c>
    </row>
    <row r="1170" spans="1:40" x14ac:dyDescent="0.25">
      <c r="A1170" t="str">
        <f>"20190304155615057"</f>
        <v>20190304155615057</v>
      </c>
      <c r="B1170" t="str">
        <f>"1551686175045718"</f>
        <v>1551686175045718</v>
      </c>
      <c r="C1170" t="s">
        <v>40</v>
      </c>
      <c r="D1170">
        <v>4.8427889999999998</v>
      </c>
      <c r="E1170">
        <v>0.59415969999999996</v>
      </c>
      <c r="F1170" t="s">
        <v>41</v>
      </c>
      <c r="G1170">
        <v>-228.59739999999999</v>
      </c>
      <c r="H1170">
        <v>7.9985780000000006E-2</v>
      </c>
      <c r="I1170">
        <v>359.14389999999997</v>
      </c>
      <c r="J1170">
        <v>-261.29750000000001</v>
      </c>
      <c r="K1170">
        <v>1.1102019999999999</v>
      </c>
      <c r="L1170">
        <v>367.06659999999999</v>
      </c>
      <c r="M1170">
        <v>0.99989439999999996</v>
      </c>
      <c r="N1170">
        <v>-1.4501709999999999E-2</v>
      </c>
      <c r="O1170">
        <v>1.039098E-3</v>
      </c>
      <c r="P1170">
        <v>0.98542229999999997</v>
      </c>
      <c r="Q1170">
        <v>0.169734</v>
      </c>
      <c r="R1170">
        <v>1.155316E-2</v>
      </c>
      <c r="S1170">
        <v>3.0696720000000002</v>
      </c>
      <c r="T1170">
        <v>-9.6190570000000003E-2</v>
      </c>
      <c r="U1170">
        <v>-0.73971560000000003</v>
      </c>
      <c r="V1170">
        <v>-1.0521829999999999E-2</v>
      </c>
      <c r="W1170">
        <v>0.1840068</v>
      </c>
      <c r="X1170">
        <v>0.98286870000000004</v>
      </c>
      <c r="Y1170">
        <v>0.23511750000000001</v>
      </c>
      <c r="Z1170">
        <v>-5.3777399999999998E-3</v>
      </c>
      <c r="AA1170">
        <v>0.97195209999999999</v>
      </c>
      <c r="AB1170">
        <v>33</v>
      </c>
      <c r="AC1170">
        <v>32.700099999999999</v>
      </c>
      <c r="AD1170">
        <v>-1.03021622</v>
      </c>
      <c r="AE1170">
        <v>-7.9227000000000096</v>
      </c>
      <c r="AF1170">
        <v>7.9492252642242196</v>
      </c>
      <c r="AG1170">
        <v>-1.03021622</v>
      </c>
      <c r="AH1170">
        <v>32.6612281379753</v>
      </c>
      <c r="AI1170">
        <v>91.755441047907198</v>
      </c>
      <c r="AJ1170">
        <v>76.321070720420295</v>
      </c>
      <c r="AK1170">
        <v>33.630452736206301</v>
      </c>
      <c r="AL1170">
        <v>79.396768308830701</v>
      </c>
      <c r="AM1170">
        <v>90.613340748213204</v>
      </c>
      <c r="AN1170">
        <v>1.00000004639623</v>
      </c>
    </row>
    <row r="1171" spans="1:40" x14ac:dyDescent="0.25">
      <c r="A1171" t="str">
        <f>"20190304155615068"</f>
        <v>20190304155615068</v>
      </c>
      <c r="B1171" t="str">
        <f>"1551686175066212"</f>
        <v>1551686175066212</v>
      </c>
      <c r="C1171" t="s">
        <v>40</v>
      </c>
      <c r="D1171">
        <v>4.824198</v>
      </c>
      <c r="E1171">
        <v>0.59412589999999998</v>
      </c>
      <c r="F1171" t="s">
        <v>41</v>
      </c>
      <c r="G1171">
        <v>-228.5866</v>
      </c>
      <c r="H1171">
        <v>7.9985780000000006E-2</v>
      </c>
      <c r="I1171">
        <v>359.17880000000002</v>
      </c>
      <c r="J1171">
        <v>-261.12310000000002</v>
      </c>
      <c r="K1171">
        <v>1.1102080000000001</v>
      </c>
      <c r="L1171">
        <v>367.06670000000003</v>
      </c>
      <c r="M1171">
        <v>0.99989439999999996</v>
      </c>
      <c r="N1171">
        <v>-1.4502259999999999E-2</v>
      </c>
      <c r="O1171">
        <v>1.039094E-3</v>
      </c>
      <c r="P1171">
        <v>0.98537470000000005</v>
      </c>
      <c r="Q1171">
        <v>0.170022799999999</v>
      </c>
      <c r="R1171">
        <v>1.135509E-2</v>
      </c>
      <c r="S1171">
        <v>3.0697019999999999</v>
      </c>
      <c r="T1171">
        <v>-9.6678500000000001E-2</v>
      </c>
      <c r="U1171">
        <v>-0.74020390000000003</v>
      </c>
      <c r="V1171">
        <v>-1.032395E-2</v>
      </c>
      <c r="W1171">
        <v>0.1842955</v>
      </c>
      <c r="X1171">
        <v>0.98281660000000004</v>
      </c>
      <c r="Y1171">
        <v>0.23525989999999999</v>
      </c>
      <c r="Z1171">
        <v>-5.3995680000000004E-3</v>
      </c>
      <c r="AA1171">
        <v>0.97191749999999999</v>
      </c>
      <c r="AB1171">
        <v>33</v>
      </c>
      <c r="AC1171">
        <v>32.536499999999997</v>
      </c>
      <c r="AD1171">
        <v>-1.03022222</v>
      </c>
      <c r="AE1171">
        <v>-7.8879000000000001</v>
      </c>
      <c r="AF1171">
        <v>7.9142135817698396</v>
      </c>
      <c r="AG1171">
        <v>-1.03022222</v>
      </c>
      <c r="AH1171">
        <v>32.497512484560097</v>
      </c>
      <c r="AI1171">
        <v>91.764229005577604</v>
      </c>
      <c r="AJ1171">
        <v>76.313024688052593</v>
      </c>
      <c r="AK1171">
        <v>33.463180544063498</v>
      </c>
      <c r="AL1171">
        <v>79.379938086739799</v>
      </c>
      <c r="AM1171">
        <v>90.601838641706905</v>
      </c>
      <c r="AN1171">
        <v>0.99999994224970401</v>
      </c>
    </row>
    <row r="1172" spans="1:40" x14ac:dyDescent="0.25">
      <c r="A1172" t="str">
        <f>"20190304155615079"</f>
        <v>20190304155615079</v>
      </c>
      <c r="B1172" t="str">
        <f>"1551686175075973"</f>
        <v>1551686175075973</v>
      </c>
      <c r="C1172" t="s">
        <v>40</v>
      </c>
      <c r="D1172">
        <v>4.8245680000000002</v>
      </c>
      <c r="E1172">
        <v>0.5941111</v>
      </c>
      <c r="F1172" t="s">
        <v>41</v>
      </c>
      <c r="G1172">
        <v>-228.65459999999999</v>
      </c>
      <c r="H1172">
        <v>7.9985760000000003E-2</v>
      </c>
      <c r="I1172">
        <v>359.23239999999998</v>
      </c>
      <c r="J1172">
        <v>-260.96690000000001</v>
      </c>
      <c r="K1172">
        <v>1.1102110000000001</v>
      </c>
      <c r="L1172">
        <v>367.0668</v>
      </c>
      <c r="M1172">
        <v>0.99989439999999996</v>
      </c>
      <c r="N1172">
        <v>-1.4502579999999999E-2</v>
      </c>
      <c r="O1172">
        <v>1.039091E-3</v>
      </c>
      <c r="P1172">
        <v>0.9853208</v>
      </c>
      <c r="Q1172">
        <v>0.17035629999999999</v>
      </c>
      <c r="R1172">
        <v>1.1045620000000001E-2</v>
      </c>
      <c r="S1172">
        <v>3.069855</v>
      </c>
      <c r="T1172">
        <v>-9.7405790000000006E-2</v>
      </c>
      <c r="U1172">
        <v>-0.74072269999999996</v>
      </c>
      <c r="V1172">
        <v>-1.0014479999999999E-2</v>
      </c>
      <c r="W1172">
        <v>0.18462870000000001</v>
      </c>
      <c r="X1172">
        <v>0.98275729999999994</v>
      </c>
      <c r="Y1172">
        <v>0.235402</v>
      </c>
      <c r="Z1172">
        <v>-5.4303590000000001E-3</v>
      </c>
      <c r="AA1172">
        <v>0.97188289999999999</v>
      </c>
      <c r="AB1172">
        <v>33</v>
      </c>
      <c r="AC1172">
        <v>32.3123</v>
      </c>
      <c r="AD1172">
        <v>-1.03022524</v>
      </c>
      <c r="AE1172">
        <v>-7.8344000000000102</v>
      </c>
      <c r="AF1172">
        <v>7.8604278536448202</v>
      </c>
      <c r="AG1172">
        <v>-1.03022524</v>
      </c>
      <c r="AH1172">
        <v>32.273155310298399</v>
      </c>
      <c r="AI1172">
        <v>91.776480197613594</v>
      </c>
      <c r="AJ1172">
        <v>76.311595745465794</v>
      </c>
      <c r="AK1172">
        <v>33.2325780488082</v>
      </c>
      <c r="AL1172">
        <v>79.360514196042899</v>
      </c>
      <c r="AM1172">
        <v>90.583834461040595</v>
      </c>
      <c r="AN1172">
        <v>0.99999997868832402</v>
      </c>
    </row>
    <row r="1173" spans="1:40" x14ac:dyDescent="0.25">
      <c r="A1173" t="str">
        <f>"20190304155615091"</f>
        <v>20190304155615091</v>
      </c>
      <c r="B1173" t="str">
        <f>"1551686175085733"</f>
        <v>1551686175085733</v>
      </c>
      <c r="C1173" t="s">
        <v>40</v>
      </c>
      <c r="D1173">
        <v>4.8349219999999997</v>
      </c>
      <c r="E1173">
        <v>0.59408369999999999</v>
      </c>
      <c r="F1173" t="s">
        <v>41</v>
      </c>
      <c r="G1173">
        <v>-228.37139999999999</v>
      </c>
      <c r="H1173">
        <v>7.9985860000000006E-2</v>
      </c>
      <c r="I1173">
        <v>359.1891</v>
      </c>
      <c r="J1173">
        <v>-260.79259999999999</v>
      </c>
      <c r="K1173">
        <v>1.1102129999999999</v>
      </c>
      <c r="L1173">
        <v>367.06700000000001</v>
      </c>
      <c r="M1173">
        <v>0.99989439999999996</v>
      </c>
      <c r="N1173">
        <v>-1.4502889999999999E-2</v>
      </c>
      <c r="O1173">
        <v>1.039089E-3</v>
      </c>
      <c r="P1173">
        <v>0.98527070000000005</v>
      </c>
      <c r="Q1173">
        <v>0.17065930000000001</v>
      </c>
      <c r="R1173">
        <v>1.082315E-2</v>
      </c>
      <c r="S1173">
        <v>3.0698240000000001</v>
      </c>
      <c r="T1173">
        <v>-9.7025749999999994E-2</v>
      </c>
      <c r="U1173">
        <v>-0.74191280000000004</v>
      </c>
      <c r="V1173">
        <v>-9.7917920000000006E-3</v>
      </c>
      <c r="W1173">
        <v>0.18493100000000001</v>
      </c>
      <c r="X1173">
        <v>0.98270270000000004</v>
      </c>
      <c r="Y1173">
        <v>0.235761</v>
      </c>
      <c r="Z1173">
        <v>-5.4240909999999998E-3</v>
      </c>
      <c r="AA1173">
        <v>0.97179590000000005</v>
      </c>
      <c r="AB1173">
        <v>33</v>
      </c>
      <c r="AC1173">
        <v>32.421199999999999</v>
      </c>
      <c r="AD1173">
        <v>-1.03022713999999</v>
      </c>
      <c r="AE1173">
        <v>-7.8778999999999497</v>
      </c>
      <c r="AF1173">
        <v>7.9040517390224103</v>
      </c>
      <c r="AG1173">
        <v>-1.03022713999999</v>
      </c>
      <c r="AH1173">
        <v>32.382121302382103</v>
      </c>
      <c r="AI1173">
        <v>91.770294585338902</v>
      </c>
      <c r="AJ1173">
        <v>76.283063780362994</v>
      </c>
      <c r="AK1173">
        <v>33.348720843464498</v>
      </c>
      <c r="AL1173">
        <v>79.342890158191494</v>
      </c>
      <c r="AM1173">
        <v>90.570884550836695</v>
      </c>
      <c r="AN1173">
        <v>0.99999997526942996</v>
      </c>
    </row>
    <row r="1174" spans="1:40" x14ac:dyDescent="0.25">
      <c r="A1174" t="str">
        <f>"20190304155615102"</f>
        <v>20190304155615102</v>
      </c>
      <c r="B1174" t="str">
        <f>"1551686175095492"</f>
        <v>1551686175095492</v>
      </c>
      <c r="C1174" t="s">
        <v>40</v>
      </c>
      <c r="D1174">
        <v>4.8515829999999998</v>
      </c>
      <c r="E1174">
        <v>0.5939314</v>
      </c>
      <c r="F1174" t="s">
        <v>41</v>
      </c>
      <c r="G1174">
        <v>-228.31190000000001</v>
      </c>
      <c r="H1174">
        <v>7.9985870000000001E-2</v>
      </c>
      <c r="I1174">
        <v>359.21359999999999</v>
      </c>
      <c r="J1174">
        <v>-260.62700000000001</v>
      </c>
      <c r="K1174">
        <v>1.1102160000000001</v>
      </c>
      <c r="L1174">
        <v>367.06720000000001</v>
      </c>
      <c r="M1174">
        <v>0.99989430000000001</v>
      </c>
      <c r="N1174">
        <v>-1.4502879999999999E-2</v>
      </c>
      <c r="O1174">
        <v>1.0392680000000001E-3</v>
      </c>
      <c r="P1174">
        <v>0.98523660000000002</v>
      </c>
      <c r="Q1174">
        <v>0.17087639999999901</v>
      </c>
      <c r="R1174">
        <v>1.0503169999999999E-2</v>
      </c>
      <c r="S1174">
        <v>3.069855</v>
      </c>
      <c r="T1174">
        <v>-9.7369789999999998E-2</v>
      </c>
      <c r="U1174">
        <v>-0.74224849999999998</v>
      </c>
      <c r="V1174">
        <v>-9.4718200000000006E-3</v>
      </c>
      <c r="W1174">
        <v>0.18514739999999999</v>
      </c>
      <c r="X1174">
        <v>0.98266509999999996</v>
      </c>
      <c r="Y1174">
        <v>0.2358584</v>
      </c>
      <c r="Z1174">
        <v>-5.4393999999999996E-3</v>
      </c>
      <c r="AA1174">
        <v>0.97177219999999997</v>
      </c>
      <c r="AB1174">
        <v>33</v>
      </c>
      <c r="AC1174">
        <v>32.315100000000001</v>
      </c>
      <c r="AD1174">
        <v>-1.0302301300000001</v>
      </c>
      <c r="AE1174">
        <v>-7.8536000000000197</v>
      </c>
      <c r="AF1174">
        <v>7.8796212740574099</v>
      </c>
      <c r="AG1174">
        <v>-1.0302301300000001</v>
      </c>
      <c r="AH1174">
        <v>32.2759444974064</v>
      </c>
      <c r="AI1174">
        <v>91.776100850123797</v>
      </c>
      <c r="AJ1174">
        <v>76.280574370981</v>
      </c>
      <c r="AK1174">
        <v>33.239831508944199</v>
      </c>
      <c r="AL1174">
        <v>79.330273601304995</v>
      </c>
      <c r="AM1174">
        <v>90.552251732790793</v>
      </c>
      <c r="AN1174">
        <v>0.99999998692944103</v>
      </c>
    </row>
    <row r="1175" spans="1:40" x14ac:dyDescent="0.25">
      <c r="A1175" t="str">
        <f>"20190304155615113"</f>
        <v>20190304155615113</v>
      </c>
      <c r="B1175" t="str">
        <f>"1551686175106229"</f>
        <v>1551686175106229</v>
      </c>
      <c r="C1175" t="s">
        <v>40</v>
      </c>
      <c r="D1175">
        <v>4.8889959999999997</v>
      </c>
      <c r="E1175">
        <v>0.5939314</v>
      </c>
      <c r="F1175" t="s">
        <v>41</v>
      </c>
      <c r="G1175">
        <v>-228.37889999999999</v>
      </c>
      <c r="H1175">
        <v>7.9985840000000002E-2</v>
      </c>
      <c r="I1175">
        <v>359.27100000000002</v>
      </c>
      <c r="J1175">
        <v>-260.47140000000002</v>
      </c>
      <c r="K1175">
        <v>1.11022</v>
      </c>
      <c r="L1175">
        <v>367.06740000000002</v>
      </c>
      <c r="M1175">
        <v>0.99989430000000001</v>
      </c>
      <c r="N1175">
        <v>-1.450279E-2</v>
      </c>
      <c r="O1175">
        <v>1.039269E-3</v>
      </c>
      <c r="P1175">
        <v>0.98524959999999995</v>
      </c>
      <c r="Q1175">
        <v>0.17082429999999901</v>
      </c>
      <c r="R1175">
        <v>1.0115559999999999E-2</v>
      </c>
      <c r="S1175">
        <v>3.0698850000000002</v>
      </c>
      <c r="T1175">
        <v>-9.8073480000000005E-2</v>
      </c>
      <c r="U1175">
        <v>-0.74215699999999996</v>
      </c>
      <c r="V1175">
        <v>-9.0844020000000001E-3</v>
      </c>
      <c r="W1175">
        <v>0.18509590000000001</v>
      </c>
      <c r="X1175">
        <v>0.98267850000000001</v>
      </c>
      <c r="Y1175">
        <v>0.2358267</v>
      </c>
      <c r="Z1175">
        <v>-5.4655009999999898E-3</v>
      </c>
      <c r="AA1175">
        <v>0.97177979999999997</v>
      </c>
      <c r="AB1175">
        <v>33</v>
      </c>
      <c r="AC1175">
        <v>32.092500000000001</v>
      </c>
      <c r="AD1175">
        <v>-1.03023416</v>
      </c>
      <c r="AE1175">
        <v>-7.7964000000000597</v>
      </c>
      <c r="AF1175">
        <v>7.82214023920094</v>
      </c>
      <c r="AG1175">
        <v>-1.03023416</v>
      </c>
      <c r="AH1175">
        <v>32.053187999752097</v>
      </c>
      <c r="AI1175">
        <v>91.788482829542602</v>
      </c>
      <c r="AJ1175">
        <v>76.285802151253094</v>
      </c>
      <c r="AK1175">
        <v>33.009909440857498</v>
      </c>
      <c r="AL1175">
        <v>79.333276659229</v>
      </c>
      <c r="AM1175">
        <v>90.529657530184195</v>
      </c>
      <c r="AN1175">
        <v>1.00000002645937</v>
      </c>
    </row>
    <row r="1176" spans="1:40" x14ac:dyDescent="0.25">
      <c r="A1176" t="str">
        <f>"20190304155615123"</f>
        <v>20190304155615123</v>
      </c>
      <c r="B1176" t="str">
        <f>"1551686175115990"</f>
        <v>1551686175115990</v>
      </c>
      <c r="C1176" t="s">
        <v>40</v>
      </c>
      <c r="D1176">
        <v>4.4535049999999998</v>
      </c>
      <c r="E1176">
        <v>0.59401610000000005</v>
      </c>
      <c r="F1176" t="s">
        <v>41</v>
      </c>
      <c r="G1176">
        <v>-228.31880000000001</v>
      </c>
      <c r="H1176">
        <v>7.9985860000000006E-2</v>
      </c>
      <c r="I1176">
        <v>359.28489999999999</v>
      </c>
      <c r="J1176">
        <v>-260.30309999999997</v>
      </c>
      <c r="K1176">
        <v>1.1102179999999999</v>
      </c>
      <c r="L1176">
        <v>367.0675</v>
      </c>
      <c r="M1176">
        <v>0.99989439999999996</v>
      </c>
      <c r="N1176">
        <v>-1.450245E-2</v>
      </c>
      <c r="O1176">
        <v>1.039271E-3</v>
      </c>
      <c r="P1176">
        <v>0.98519219999999996</v>
      </c>
      <c r="Q1176">
        <v>0.17118649999999999</v>
      </c>
      <c r="R1176">
        <v>9.5965189999999995E-3</v>
      </c>
      <c r="S1176">
        <v>3.0695800000000002</v>
      </c>
      <c r="T1176">
        <v>-9.8355289999999998E-2</v>
      </c>
      <c r="U1176">
        <v>-0.742981</v>
      </c>
      <c r="V1176">
        <v>-8.5650929999999993E-3</v>
      </c>
      <c r="W1176">
        <v>0.18545629999999999</v>
      </c>
      <c r="X1176">
        <v>0.98261520000000002</v>
      </c>
      <c r="Y1176">
        <v>0.2360942</v>
      </c>
      <c r="Z1176">
        <v>-5.4827139999999996E-3</v>
      </c>
      <c r="AA1176">
        <v>0.97171470000000004</v>
      </c>
      <c r="AB1176">
        <v>33</v>
      </c>
      <c r="AC1176">
        <v>31.984299999999902</v>
      </c>
      <c r="AD1176">
        <v>-1.0302321400000001</v>
      </c>
      <c r="AE1176">
        <v>-7.7826000000000004</v>
      </c>
      <c r="AF1176">
        <v>7.8081913261039499</v>
      </c>
      <c r="AG1176">
        <v>-1.0302321400000001</v>
      </c>
      <c r="AH1176">
        <v>31.944902814241601</v>
      </c>
      <c r="AI1176">
        <v>91.794376433160807</v>
      </c>
      <c r="AJ1176">
        <v>76.264684032810806</v>
      </c>
      <c r="AK1176">
        <v>32.901459631126997</v>
      </c>
      <c r="AL1176">
        <v>79.312263331716593</v>
      </c>
      <c r="AM1176">
        <v>90.4994134547903</v>
      </c>
      <c r="AN1176">
        <v>1.00000001564941</v>
      </c>
    </row>
    <row r="1177" spans="1:40" x14ac:dyDescent="0.25">
      <c r="A1177" t="str">
        <f>"20190304155615135"</f>
        <v>20190304155615135</v>
      </c>
      <c r="B1177" t="str">
        <f>"1551686175125748"</f>
        <v>1551686175125748</v>
      </c>
      <c r="C1177" t="s">
        <v>40</v>
      </c>
      <c r="D1177">
        <v>4.510275</v>
      </c>
      <c r="E1177">
        <v>0.59393669999999898</v>
      </c>
      <c r="F1177" t="s">
        <v>41</v>
      </c>
      <c r="G1177">
        <v>-226.9896</v>
      </c>
      <c r="H1177">
        <v>7.9986280000000007E-2</v>
      </c>
      <c r="I1177">
        <v>358.98059999999998</v>
      </c>
      <c r="J1177">
        <v>-260.13339999999999</v>
      </c>
      <c r="K1177">
        <v>1.1102160000000001</v>
      </c>
      <c r="L1177">
        <v>367.0677</v>
      </c>
      <c r="M1177">
        <v>0.99989439999999996</v>
      </c>
      <c r="N1177">
        <v>-1.4501999999999999E-2</v>
      </c>
      <c r="O1177">
        <v>1.039096E-3</v>
      </c>
      <c r="P1177">
        <v>0.98519100000000004</v>
      </c>
      <c r="Q1177">
        <v>0.171209</v>
      </c>
      <c r="R1177">
        <v>9.2847889999999999E-3</v>
      </c>
      <c r="S1177">
        <v>3.068848</v>
      </c>
      <c r="T1177">
        <v>-9.4905020000000007E-2</v>
      </c>
      <c r="U1177">
        <v>-0.74496459999999998</v>
      </c>
      <c r="V1177">
        <v>-8.2539390000000001E-3</v>
      </c>
      <c r="W1177">
        <v>0.18547920000000001</v>
      </c>
      <c r="X1177">
        <v>0.98261350000000003</v>
      </c>
      <c r="Y1177">
        <v>0.2367496</v>
      </c>
      <c r="Z1177">
        <v>-5.3662830000000003E-3</v>
      </c>
      <c r="AA1177">
        <v>0.97155590000000003</v>
      </c>
      <c r="AB1177">
        <v>33</v>
      </c>
      <c r="AC1177">
        <v>33.143799999999999</v>
      </c>
      <c r="AD1177">
        <v>-1.0302297199999999</v>
      </c>
      <c r="AE1177">
        <v>-8.0871000000000102</v>
      </c>
      <c r="AF1177">
        <v>8.11413954875351</v>
      </c>
      <c r="AG1177">
        <v>-1.0302297199999999</v>
      </c>
      <c r="AH1177">
        <v>33.105189287444098</v>
      </c>
      <c r="AI1177">
        <v>91.731251501624797</v>
      </c>
      <c r="AJ1177">
        <v>76.228200175905599</v>
      </c>
      <c r="AK1177">
        <v>34.100647965253103</v>
      </c>
      <c r="AL1177">
        <v>79.310927661079205</v>
      </c>
      <c r="AM1177">
        <v>90.4812723889778</v>
      </c>
      <c r="AN1177">
        <v>0.99999997576195199</v>
      </c>
    </row>
    <row r="1178" spans="1:40" x14ac:dyDescent="0.25">
      <c r="A1178" t="str">
        <f>"20190304155615147"</f>
        <v>20190304155615147</v>
      </c>
      <c r="B1178" t="str">
        <f>"1551686175135509"</f>
        <v>1551686175135509</v>
      </c>
      <c r="C1178" t="s">
        <v>40</v>
      </c>
      <c r="D1178">
        <v>4.5199259999999999</v>
      </c>
      <c r="E1178">
        <v>0.59396769999999999</v>
      </c>
      <c r="F1178" t="s">
        <v>41</v>
      </c>
      <c r="G1178">
        <v>-226.0385</v>
      </c>
      <c r="H1178">
        <v>7.9986559999999998E-2</v>
      </c>
      <c r="I1178">
        <v>358.7851</v>
      </c>
      <c r="J1178">
        <v>-259.95119999999997</v>
      </c>
      <c r="K1178">
        <v>1.110217</v>
      </c>
      <c r="L1178">
        <v>367.06790000000001</v>
      </c>
      <c r="M1178">
        <v>0.99989439999999996</v>
      </c>
      <c r="N1178">
        <v>-1.4501399999999999E-2</v>
      </c>
      <c r="O1178">
        <v>1.0392789999999999E-3</v>
      </c>
      <c r="P1178">
        <v>0.98513289999999998</v>
      </c>
      <c r="Q1178">
        <v>0.1715681</v>
      </c>
      <c r="R1178">
        <v>8.8047009999999998E-3</v>
      </c>
      <c r="S1178">
        <v>3.0682680000000002</v>
      </c>
      <c r="T1178">
        <v>-9.27124E-2</v>
      </c>
      <c r="U1178">
        <v>-0.7453613</v>
      </c>
      <c r="V1178">
        <v>-7.7731459999999999E-3</v>
      </c>
      <c r="W1178">
        <v>0.18583630000000001</v>
      </c>
      <c r="X1178">
        <v>0.98255000000000003</v>
      </c>
      <c r="Y1178">
        <v>0.2369165</v>
      </c>
      <c r="Z1178">
        <v>-5.2864979999999997E-3</v>
      </c>
      <c r="AA1178">
        <v>0.97151569999999998</v>
      </c>
      <c r="AB1178">
        <v>33</v>
      </c>
      <c r="AC1178">
        <v>33.912699999999901</v>
      </c>
      <c r="AD1178">
        <v>-1.03023044</v>
      </c>
      <c r="AE1178">
        <v>-8.2827999999999999</v>
      </c>
      <c r="AF1178">
        <v>8.3108059017606806</v>
      </c>
      <c r="AG1178">
        <v>-1.03023044</v>
      </c>
      <c r="AH1178">
        <v>33.874570444350802</v>
      </c>
      <c r="AI1178">
        <v>91.691861093223096</v>
      </c>
      <c r="AJ1178">
        <v>76.215293325574905</v>
      </c>
      <c r="AK1178">
        <v>34.894374794306401</v>
      </c>
      <c r="AL1178">
        <v>79.290105889364597</v>
      </c>
      <c r="AM1178">
        <v>90.453268707199101</v>
      </c>
      <c r="AN1178">
        <v>1.0000000273482099</v>
      </c>
    </row>
    <row r="1179" spans="1:40" x14ac:dyDescent="0.25">
      <c r="A1179" t="str">
        <f>"20190304155615158"</f>
        <v>20190304155615158</v>
      </c>
      <c r="B1179" t="str">
        <f>"1551686175156007"</f>
        <v>1551686175156007</v>
      </c>
      <c r="C1179" t="s">
        <v>40</v>
      </c>
      <c r="D1179">
        <v>4.5706030000000002</v>
      </c>
      <c r="E1179">
        <v>0.59401110000000001</v>
      </c>
      <c r="F1179" t="s">
        <v>41</v>
      </c>
      <c r="G1179">
        <v>-224.54759999999999</v>
      </c>
      <c r="H1179">
        <v>7.9985550000000002E-2</v>
      </c>
      <c r="I1179">
        <v>358.44580000000002</v>
      </c>
      <c r="J1179">
        <v>-259.7833</v>
      </c>
      <c r="K1179">
        <v>1.11022</v>
      </c>
      <c r="L1179">
        <v>367.06810000000002</v>
      </c>
      <c r="M1179">
        <v>0.99989439999999996</v>
      </c>
      <c r="N1179">
        <v>-1.450072E-2</v>
      </c>
      <c r="O1179">
        <v>1.039105E-3</v>
      </c>
      <c r="P1179">
        <v>0.98515109999999995</v>
      </c>
      <c r="Q1179">
        <v>0.17148260000000001</v>
      </c>
      <c r="R1179">
        <v>8.4276330000000003E-3</v>
      </c>
      <c r="S1179">
        <v>3.0674739999999998</v>
      </c>
      <c r="T1179">
        <v>-8.9262129999999995E-2</v>
      </c>
      <c r="U1179">
        <v>-0.74703980000000003</v>
      </c>
      <c r="V1179">
        <v>-7.3965790000000003E-3</v>
      </c>
      <c r="W1179">
        <v>0.18575050000000001</v>
      </c>
      <c r="X1179">
        <v>0.98256909999999997</v>
      </c>
      <c r="Y1179">
        <v>0.2374848</v>
      </c>
      <c r="Z1179">
        <v>-5.1671069999999998E-3</v>
      </c>
      <c r="AA1179">
        <v>0.97137759999999995</v>
      </c>
      <c r="AB1179">
        <v>33</v>
      </c>
      <c r="AC1179">
        <v>35.235700000000001</v>
      </c>
      <c r="AD1179">
        <v>-1.03023445</v>
      </c>
      <c r="AE1179">
        <v>-8.6222999999999903</v>
      </c>
      <c r="AF1179">
        <v>8.6519342697474197</v>
      </c>
      <c r="AG1179">
        <v>-1.03023445</v>
      </c>
      <c r="AH1179">
        <v>35.198330140122799</v>
      </c>
      <c r="AI1179">
        <v>91.628098692479597</v>
      </c>
      <c r="AJ1179">
        <v>76.190182681868805</v>
      </c>
      <c r="AK1179">
        <v>36.260719715458997</v>
      </c>
      <c r="AL1179">
        <v>79.295108647486799</v>
      </c>
      <c r="AM1179">
        <v>90.431302749788003</v>
      </c>
      <c r="AN1179">
        <v>0.99999999695298103</v>
      </c>
    </row>
    <row r="1180" spans="1:40" x14ac:dyDescent="0.25">
      <c r="A1180" t="str">
        <f>"20190304155615179"</f>
        <v>20190304155615179</v>
      </c>
      <c r="B1180" t="str">
        <f>"1551686175175525"</f>
        <v>1551686175175525</v>
      </c>
      <c r="C1180" t="s">
        <v>40</v>
      </c>
      <c r="D1180">
        <v>4.4936170000000004</v>
      </c>
      <c r="E1180">
        <v>0.59343269999999904</v>
      </c>
      <c r="F1180" t="s">
        <v>41</v>
      </c>
      <c r="G1180">
        <v>-222.3476</v>
      </c>
      <c r="H1180">
        <v>7.9986210000000002E-2</v>
      </c>
      <c r="I1180">
        <v>357.93119999999999</v>
      </c>
      <c r="J1180">
        <v>-259.48480000000001</v>
      </c>
      <c r="K1180">
        <v>1.11022</v>
      </c>
      <c r="L1180">
        <v>367.0684</v>
      </c>
      <c r="M1180">
        <v>0.99989439999999996</v>
      </c>
      <c r="N1180">
        <v>-1.4499339999999999E-2</v>
      </c>
      <c r="O1180">
        <v>1.0392940000000001E-3</v>
      </c>
      <c r="P1180">
        <v>0.98510960000000003</v>
      </c>
      <c r="Q1180">
        <v>0.17176340000000001</v>
      </c>
      <c r="R1180">
        <v>7.5262549999999999E-3</v>
      </c>
      <c r="S1180">
        <v>3.0663149999999999</v>
      </c>
      <c r="T1180">
        <v>-8.4385039999999994E-2</v>
      </c>
      <c r="U1180">
        <v>-0.74838260000000001</v>
      </c>
      <c r="V1180">
        <v>-6.4952539999999998E-3</v>
      </c>
      <c r="W1180">
        <v>0.18602930000000001</v>
      </c>
      <c r="X1180">
        <v>0.98252269999999997</v>
      </c>
      <c r="Y1180">
        <v>0.23798330000000001</v>
      </c>
      <c r="Z1180">
        <v>-4.9908649999999997E-3</v>
      </c>
      <c r="AA1180">
        <v>0.97125640000000002</v>
      </c>
      <c r="AB1180">
        <v>33</v>
      </c>
      <c r="AC1180">
        <v>37.1372</v>
      </c>
      <c r="AD1180">
        <v>-1.03023379</v>
      </c>
      <c r="AE1180">
        <v>-9.1372</v>
      </c>
      <c r="AF1180">
        <v>9.1691419858561307</v>
      </c>
      <c r="AG1180">
        <v>-1.03023379</v>
      </c>
      <c r="AH1180">
        <v>37.100760476647601</v>
      </c>
      <c r="AI1180">
        <v>91.544175248488699</v>
      </c>
      <c r="AJ1180">
        <v>76.117999384726303</v>
      </c>
      <c r="AK1180">
        <v>38.230890316136097</v>
      </c>
      <c r="AL1180">
        <v>79.278850960274596</v>
      </c>
      <c r="AM1180">
        <v>90.378765009595199</v>
      </c>
      <c r="AN1180">
        <v>0.99999997239915095</v>
      </c>
    </row>
    <row r="1181" spans="1:40" x14ac:dyDescent="0.25">
      <c r="A1181" t="str">
        <f>"20190304155615191"</f>
        <v>20190304155615191</v>
      </c>
      <c r="B1181" t="str">
        <f>"1551686175186261"</f>
        <v>1551686175186261</v>
      </c>
      <c r="C1181" t="s">
        <v>40</v>
      </c>
      <c r="D1181">
        <v>4.472289</v>
      </c>
      <c r="E1181">
        <v>0.593481699999999</v>
      </c>
      <c r="F1181" t="s">
        <v>41</v>
      </c>
      <c r="G1181">
        <v>-221.51060000000001</v>
      </c>
      <c r="H1181">
        <v>7.9986459999999995E-2</v>
      </c>
      <c r="I1181">
        <v>357.82389999999998</v>
      </c>
      <c r="J1181">
        <v>-259.31549999999999</v>
      </c>
      <c r="K1181">
        <v>1.110222</v>
      </c>
      <c r="L1181">
        <v>367.0686</v>
      </c>
      <c r="M1181">
        <v>0.99989439999999996</v>
      </c>
      <c r="N1181">
        <v>-1.4498469999999999E-2</v>
      </c>
      <c r="O1181">
        <v>1.0392999999999999E-3</v>
      </c>
      <c r="P1181">
        <v>0.98507500000000003</v>
      </c>
      <c r="Q1181">
        <v>0.17199049999999999</v>
      </c>
      <c r="R1181">
        <v>6.8433590000000002E-3</v>
      </c>
      <c r="S1181">
        <v>3.0655519999999998</v>
      </c>
      <c r="T1181">
        <v>-8.3167669999999999E-2</v>
      </c>
      <c r="U1181">
        <v>-0.74627690000000002</v>
      </c>
      <c r="V1181">
        <v>-5.8123899999999997E-3</v>
      </c>
      <c r="W1181">
        <v>0.18625459999999999</v>
      </c>
      <c r="X1181">
        <v>0.98248429999999998</v>
      </c>
      <c r="Y1181">
        <v>0.2374126</v>
      </c>
      <c r="Z1181">
        <v>-4.9328890000000002E-3</v>
      </c>
      <c r="AA1181">
        <v>0.97139640000000005</v>
      </c>
      <c r="AB1181">
        <v>33</v>
      </c>
      <c r="AC1181">
        <v>37.804899999999897</v>
      </c>
      <c r="AD1181">
        <v>-1.0302355400000001</v>
      </c>
      <c r="AE1181">
        <v>-9.2447000000000195</v>
      </c>
      <c r="AF1181">
        <v>9.27748870889139</v>
      </c>
      <c r="AG1181">
        <v>-1.0302355400000001</v>
      </c>
      <c r="AH1181">
        <v>37.768804640684401</v>
      </c>
      <c r="AI1181">
        <v>91.517407076998296</v>
      </c>
      <c r="AJ1181">
        <v>76.199169462634998</v>
      </c>
      <c r="AK1181">
        <v>38.905215408704102</v>
      </c>
      <c r="AL1181">
        <v>79.265712680442505</v>
      </c>
      <c r="AM1181">
        <v>90.3389586284042</v>
      </c>
      <c r="AN1181">
        <v>0.99999997982258004</v>
      </c>
    </row>
    <row r="1182" spans="1:40" x14ac:dyDescent="0.25">
      <c r="A1182" t="str">
        <f>"20190304155615204"</f>
        <v>20190304155615204</v>
      </c>
      <c r="B1182" t="str">
        <f>"1551686175196021"</f>
        <v>1551686175196021</v>
      </c>
      <c r="C1182" t="s">
        <v>40</v>
      </c>
      <c r="D1182">
        <v>4.5259819999999999</v>
      </c>
      <c r="E1182">
        <v>0.593553199999999</v>
      </c>
      <c r="F1182" t="s">
        <v>41</v>
      </c>
      <c r="G1182">
        <v>-220.1876</v>
      </c>
      <c r="H1182">
        <v>7.9986860000000007E-2</v>
      </c>
      <c r="I1182">
        <v>357.50959999999998</v>
      </c>
      <c r="J1182">
        <v>-259.1078</v>
      </c>
      <c r="K1182">
        <v>1.1102259999999999</v>
      </c>
      <c r="L1182">
        <v>367.06880000000001</v>
      </c>
      <c r="M1182">
        <v>0.99989439999999996</v>
      </c>
      <c r="N1182">
        <v>-1.449726E-2</v>
      </c>
      <c r="O1182">
        <v>1.039309E-3</v>
      </c>
      <c r="P1182">
        <v>0.98503879999999999</v>
      </c>
      <c r="Q1182">
        <v>0.17221610000000001</v>
      </c>
      <c r="R1182">
        <v>6.3628840000000001E-3</v>
      </c>
      <c r="S1182">
        <v>3.0647579999999999</v>
      </c>
      <c r="T1182">
        <v>-8.0694790000000002E-2</v>
      </c>
      <c r="U1182">
        <v>-0.74871829999999995</v>
      </c>
      <c r="V1182">
        <v>-5.3319619999999896E-3</v>
      </c>
      <c r="W1182">
        <v>0.18647859999999999</v>
      </c>
      <c r="X1182">
        <v>0.9824446</v>
      </c>
      <c r="Y1182">
        <v>0.23820640000000001</v>
      </c>
      <c r="Z1182">
        <v>-4.8543689999999999E-3</v>
      </c>
      <c r="AA1182">
        <v>0.97120240000000002</v>
      </c>
      <c r="AB1182">
        <v>33</v>
      </c>
      <c r="AC1182">
        <v>38.920200000000001</v>
      </c>
      <c r="AD1182">
        <v>-1.0302391399999999</v>
      </c>
      <c r="AE1182">
        <v>-9.5592000000000308</v>
      </c>
      <c r="AF1182">
        <v>9.5933096906702104</v>
      </c>
      <c r="AG1182">
        <v>-1.0302391399999999</v>
      </c>
      <c r="AH1182">
        <v>38.884547044080598</v>
      </c>
      <c r="AI1182">
        <v>91.473524539195395</v>
      </c>
      <c r="AJ1182">
        <v>76.141164920592004</v>
      </c>
      <c r="AK1182">
        <v>40.0637115396217</v>
      </c>
      <c r="AL1182">
        <v>79.252650272920903</v>
      </c>
      <c r="AM1182">
        <v>90.310954856583606</v>
      </c>
      <c r="AN1182">
        <v>1.00000004507294</v>
      </c>
    </row>
    <row r="1183" spans="1:40" x14ac:dyDescent="0.25">
      <c r="A1183" t="str">
        <f>"20190304155615217"</f>
        <v>20190304155615217</v>
      </c>
      <c r="B1183" t="str">
        <f>"1551686175205782"</f>
        <v>1551686175205782</v>
      </c>
      <c r="C1183" t="s">
        <v>40</v>
      </c>
      <c r="D1183">
        <v>4.5055860000000001</v>
      </c>
      <c r="E1183">
        <v>0.59359839999999997</v>
      </c>
      <c r="F1183" t="s">
        <v>41</v>
      </c>
      <c r="G1183">
        <v>-218.5949</v>
      </c>
      <c r="H1183">
        <v>7.9985870000000001E-2</v>
      </c>
      <c r="I1183">
        <v>357.14319999999998</v>
      </c>
      <c r="J1183">
        <v>-258.9196</v>
      </c>
      <c r="K1183">
        <v>1.1102270000000001</v>
      </c>
      <c r="L1183">
        <v>367.06900000000002</v>
      </c>
      <c r="M1183">
        <v>0.99989439999999996</v>
      </c>
      <c r="N1183">
        <v>-1.449608E-2</v>
      </c>
      <c r="O1183">
        <v>1.039318E-3</v>
      </c>
      <c r="P1183">
        <v>0.98503510000000005</v>
      </c>
      <c r="Q1183">
        <v>0.1722514</v>
      </c>
      <c r="R1183">
        <v>5.953453E-3</v>
      </c>
      <c r="S1183">
        <v>3.0640260000000001</v>
      </c>
      <c r="T1183">
        <v>-7.7917700000000006E-2</v>
      </c>
      <c r="U1183">
        <v>-0.75067139999999999</v>
      </c>
      <c r="V1183">
        <v>-4.9224899999999999E-3</v>
      </c>
      <c r="W1183">
        <v>0.18651280000000001</v>
      </c>
      <c r="X1183">
        <v>0.98244019999999999</v>
      </c>
      <c r="Y1183">
        <v>0.2388506</v>
      </c>
      <c r="Z1183">
        <v>-4.7603879999999999E-3</v>
      </c>
      <c r="AA1183">
        <v>0.97104469999999998</v>
      </c>
      <c r="AB1183">
        <v>33</v>
      </c>
      <c r="AC1183">
        <v>40.3247</v>
      </c>
      <c r="AD1183">
        <v>-1.0302411300000001</v>
      </c>
      <c r="AE1183">
        <v>-9.9258000000000308</v>
      </c>
      <c r="AF1183">
        <v>9.9615784329722299</v>
      </c>
      <c r="AG1183">
        <v>-1.0302411300000001</v>
      </c>
      <c r="AH1183">
        <v>40.289565092791797</v>
      </c>
      <c r="AI1183">
        <v>91.421984875590894</v>
      </c>
      <c r="AJ1183">
        <v>76.112169338096095</v>
      </c>
      <c r="AK1183">
        <v>41.515581376496598</v>
      </c>
      <c r="AL1183">
        <v>79.250655286132201</v>
      </c>
      <c r="AM1183">
        <v>90.287076548332294</v>
      </c>
      <c r="AN1183">
        <v>1.0000000010238399</v>
      </c>
    </row>
    <row r="1184" spans="1:40" x14ac:dyDescent="0.25">
      <c r="A1184" t="str">
        <f>"20190304155615232"</f>
        <v>20190304155615232</v>
      </c>
      <c r="B1184" t="str">
        <f>"1551686175226277"</f>
        <v>1551686175226277</v>
      </c>
      <c r="C1184" t="s">
        <v>40</v>
      </c>
      <c r="D1184">
        <v>4.5221739999999997</v>
      </c>
      <c r="E1184">
        <v>0.59371850000000004</v>
      </c>
      <c r="F1184" t="s">
        <v>41</v>
      </c>
      <c r="G1184">
        <v>-217.3657</v>
      </c>
      <c r="H1184">
        <v>7.9986269999999998E-2</v>
      </c>
      <c r="I1184">
        <v>356.8698</v>
      </c>
      <c r="J1184">
        <v>-258.71319999999997</v>
      </c>
      <c r="K1184">
        <v>1.1102270000000001</v>
      </c>
      <c r="L1184">
        <v>367.06920000000002</v>
      </c>
      <c r="M1184">
        <v>0.99989450000000002</v>
      </c>
      <c r="N1184">
        <v>-1.4494760000000001E-2</v>
      </c>
      <c r="O1184">
        <v>1.0391489999999901E-3</v>
      </c>
      <c r="P1184">
        <v>0.98501879999999997</v>
      </c>
      <c r="Q1184">
        <v>0.17236470000000001</v>
      </c>
      <c r="R1184">
        <v>5.3607409999999996E-3</v>
      </c>
      <c r="S1184">
        <v>3.0634000000000001</v>
      </c>
      <c r="T1184">
        <v>-7.5950260000000006E-2</v>
      </c>
      <c r="U1184">
        <v>-0.75189209999999995</v>
      </c>
      <c r="V1184">
        <v>-4.3297880000000002E-3</v>
      </c>
      <c r="W1184">
        <v>0.1866247</v>
      </c>
      <c r="X1184">
        <v>0.98242180000000001</v>
      </c>
      <c r="Y1184">
        <v>0.2392657</v>
      </c>
      <c r="Z1184">
        <v>-4.6926800000000003E-3</v>
      </c>
      <c r="AA1184">
        <v>0.97094279999999999</v>
      </c>
      <c r="AB1184">
        <v>33</v>
      </c>
      <c r="AC1184">
        <v>41.347499999999897</v>
      </c>
      <c r="AD1184">
        <v>-1.03024073</v>
      </c>
      <c r="AE1184">
        <v>-10.199400000000001</v>
      </c>
      <c r="AF1184">
        <v>10.2363745968741</v>
      </c>
      <c r="AG1184">
        <v>-1.03024073</v>
      </c>
      <c r="AH1184">
        <v>41.312700490570698</v>
      </c>
      <c r="AI1184">
        <v>91.386611101858804</v>
      </c>
      <c r="AJ1184">
        <v>76.083646204019203</v>
      </c>
      <c r="AK1184">
        <v>42.574452229862899</v>
      </c>
      <c r="AL1184">
        <v>79.244129940148198</v>
      </c>
      <c r="AM1184">
        <v>90.252515744646601</v>
      </c>
      <c r="AN1184">
        <v>1.00000005941472</v>
      </c>
    </row>
    <row r="1185" spans="1:40" x14ac:dyDescent="0.25">
      <c r="A1185" t="str">
        <f>"20190304155615245"</f>
        <v>20190304155615245</v>
      </c>
      <c r="B1185" t="str">
        <f>"1551686175236037"</f>
        <v>1551686175236037</v>
      </c>
      <c r="C1185" t="s">
        <v>40</v>
      </c>
      <c r="D1185">
        <v>4.4296449999999998</v>
      </c>
      <c r="E1185">
        <v>0.59379150000000003</v>
      </c>
      <c r="F1185" t="s">
        <v>41</v>
      </c>
      <c r="G1185">
        <v>-214.8099</v>
      </c>
      <c r="H1185">
        <v>7.9985570000000006E-2</v>
      </c>
      <c r="I1185">
        <v>356.25099999999998</v>
      </c>
      <c r="J1185">
        <v>-258.49369999999999</v>
      </c>
      <c r="K1185">
        <v>1.110228</v>
      </c>
      <c r="L1185">
        <v>367.06939999999997</v>
      </c>
      <c r="M1185">
        <v>0.99989450000000002</v>
      </c>
      <c r="N1185">
        <v>-1.449341E-2</v>
      </c>
      <c r="O1185">
        <v>1.039337E-3</v>
      </c>
      <c r="P1185">
        <v>0.98503940000000001</v>
      </c>
      <c r="Q1185">
        <v>0.172267899999999</v>
      </c>
      <c r="R1185">
        <v>4.6042009999999996E-3</v>
      </c>
      <c r="S1185">
        <v>3.0623170000000002</v>
      </c>
      <c r="T1185">
        <v>-7.1860670000000001E-2</v>
      </c>
      <c r="U1185">
        <v>-0.75457759999999996</v>
      </c>
      <c r="V1185">
        <v>-3.5728309999999998E-3</v>
      </c>
      <c r="W1185">
        <v>0.18652679999999999</v>
      </c>
      <c r="X1185">
        <v>0.98244339999999997</v>
      </c>
      <c r="Y1185">
        <v>0.24015739999999999</v>
      </c>
      <c r="Z1185">
        <v>-4.5515410000000001E-3</v>
      </c>
      <c r="AA1185">
        <v>0.97072329999999996</v>
      </c>
      <c r="AB1185">
        <v>33</v>
      </c>
      <c r="AC1185">
        <v>43.683799999999898</v>
      </c>
      <c r="AD1185">
        <v>-1.0302424299999999</v>
      </c>
      <c r="AE1185">
        <v>-10.818399999999899</v>
      </c>
      <c r="AF1185">
        <v>10.858110732615399</v>
      </c>
      <c r="AG1185">
        <v>-1.0302424299999999</v>
      </c>
      <c r="AH1185">
        <v>43.649655908809301</v>
      </c>
      <c r="AI1185">
        <v>91.312102280635401</v>
      </c>
      <c r="AJ1185">
        <v>76.030863187792505</v>
      </c>
      <c r="AK1185">
        <v>44.991692889951999</v>
      </c>
      <c r="AL1185">
        <v>79.249839058640404</v>
      </c>
      <c r="AM1185">
        <v>90.208365423157602</v>
      </c>
      <c r="AN1185">
        <v>1.00000002322157</v>
      </c>
    </row>
    <row r="1186" spans="1:40" x14ac:dyDescent="0.25">
      <c r="A1186" t="str">
        <f>"20190304155615257"</f>
        <v>20190304155615257</v>
      </c>
      <c r="B1186" t="str">
        <f>"1551686175245797"</f>
        <v>1551686175245797</v>
      </c>
      <c r="C1186" t="s">
        <v>40</v>
      </c>
      <c r="D1186">
        <v>4.5108969999999999</v>
      </c>
      <c r="E1186">
        <v>0.59385909999999997</v>
      </c>
      <c r="F1186" t="s">
        <v>41</v>
      </c>
      <c r="G1186">
        <v>-214.26089999999999</v>
      </c>
      <c r="H1186">
        <v>7.9985730000000005E-2</v>
      </c>
      <c r="I1186">
        <v>356.12520000000001</v>
      </c>
      <c r="J1186">
        <v>-258.33100000000002</v>
      </c>
      <c r="K1186">
        <v>1.110228</v>
      </c>
      <c r="L1186">
        <v>367.06950000000001</v>
      </c>
      <c r="M1186">
        <v>0.99989459999999997</v>
      </c>
      <c r="N1186">
        <v>-1.4492369999999999E-2</v>
      </c>
      <c r="O1186">
        <v>1.039166E-3</v>
      </c>
      <c r="P1186">
        <v>0.9850276</v>
      </c>
      <c r="Q1186">
        <v>0.17235210000000001</v>
      </c>
      <c r="R1186">
        <v>4.0017159999999998E-3</v>
      </c>
      <c r="S1186">
        <v>3.0615999999999999</v>
      </c>
      <c r="T1186">
        <v>-7.1308849999999993E-2</v>
      </c>
      <c r="U1186">
        <v>-0.75750729999999999</v>
      </c>
      <c r="V1186">
        <v>-2.9708040000000001E-3</v>
      </c>
      <c r="W1186">
        <v>0.18660930000000001</v>
      </c>
      <c r="X1186">
        <v>0.98242969999999996</v>
      </c>
      <c r="Y1186">
        <v>0.2410862</v>
      </c>
      <c r="Z1186">
        <v>-4.5479279999999997E-3</v>
      </c>
      <c r="AA1186">
        <v>0.97049300000000005</v>
      </c>
      <c r="AB1186">
        <v>33</v>
      </c>
      <c r="AC1186">
        <v>44.070099999999897</v>
      </c>
      <c r="AD1186">
        <v>-1.03024227</v>
      </c>
      <c r="AE1186">
        <v>-10.944299999999901</v>
      </c>
      <c r="AF1186">
        <v>10.984440749547799</v>
      </c>
      <c r="AG1186">
        <v>-1.03024227</v>
      </c>
      <c r="AH1186">
        <v>44.036034308349599</v>
      </c>
      <c r="AI1186">
        <v>91.300384253920498</v>
      </c>
      <c r="AJ1186">
        <v>75.993845633708204</v>
      </c>
      <c r="AK1186">
        <v>45.397044565933598</v>
      </c>
      <c r="AL1186">
        <v>79.245027273655694</v>
      </c>
      <c r="AM1186">
        <v>90.173258210881599</v>
      </c>
      <c r="AN1186">
        <v>0.99999998598249296</v>
      </c>
    </row>
    <row r="1187" spans="1:40" x14ac:dyDescent="0.25">
      <c r="A1187" t="str">
        <f>"20190304155615268"</f>
        <v>20190304155615268</v>
      </c>
      <c r="B1187" t="str">
        <f>"1551686175266294"</f>
        <v>1551686175266294</v>
      </c>
      <c r="C1187" t="s">
        <v>40</v>
      </c>
      <c r="D1187">
        <v>4.5286660000000003</v>
      </c>
      <c r="E1187">
        <v>0.59396409999999999</v>
      </c>
      <c r="F1187" t="s">
        <v>41</v>
      </c>
      <c r="G1187">
        <v>-212.9374</v>
      </c>
      <c r="H1187">
        <v>7.9986139999999997E-2</v>
      </c>
      <c r="I1187">
        <v>355.80579999999998</v>
      </c>
      <c r="J1187">
        <v>-258.16109999999998</v>
      </c>
      <c r="K1187">
        <v>1.110231</v>
      </c>
      <c r="L1187">
        <v>367.06970000000001</v>
      </c>
      <c r="M1187">
        <v>0.99989450000000002</v>
      </c>
      <c r="N1187">
        <v>-1.4491260000000001E-2</v>
      </c>
      <c r="O1187">
        <v>1.039353E-3</v>
      </c>
      <c r="P1187">
        <v>0.98504570000000002</v>
      </c>
      <c r="Q1187">
        <v>0.17225550000000001</v>
      </c>
      <c r="R1187">
        <v>3.6130440000000002E-3</v>
      </c>
      <c r="S1187">
        <v>3.0608059999999999</v>
      </c>
      <c r="T1187">
        <v>-6.9467189999999998E-2</v>
      </c>
      <c r="U1187">
        <v>-0.75949100000000003</v>
      </c>
      <c r="V1187">
        <v>-2.5820309999999998E-3</v>
      </c>
      <c r="W1187">
        <v>0.18651229999999999</v>
      </c>
      <c r="X1187">
        <v>0.98244920000000002</v>
      </c>
      <c r="Y1187">
        <v>0.2417415</v>
      </c>
      <c r="Z1187">
        <v>-4.488522E-3</v>
      </c>
      <c r="AA1187">
        <v>0.97033029999999998</v>
      </c>
      <c r="AB1187">
        <v>33</v>
      </c>
      <c r="AC1187">
        <v>45.223699999999901</v>
      </c>
      <c r="AD1187">
        <v>-1.03024486</v>
      </c>
      <c r="AE1187">
        <v>-11.2639</v>
      </c>
      <c r="AF1187">
        <v>11.3053777179886</v>
      </c>
      <c r="AG1187">
        <v>-1.03024486</v>
      </c>
      <c r="AH1187">
        <v>45.189884549579901</v>
      </c>
      <c r="AI1187">
        <v>91.266976932414494</v>
      </c>
      <c r="AJ1187">
        <v>75.954321936647304</v>
      </c>
      <c r="AK1187">
        <v>46.593976385604897</v>
      </c>
      <c r="AL1187">
        <v>79.250684083856896</v>
      </c>
      <c r="AM1187">
        <v>90.150581972336994</v>
      </c>
      <c r="AN1187">
        <v>0.99999996775800704</v>
      </c>
    </row>
    <row r="1188" spans="1:40" x14ac:dyDescent="0.25">
      <c r="A1188" t="str">
        <f>"20190304155615279"</f>
        <v>20190304155615279</v>
      </c>
      <c r="B1188" t="str">
        <f>"1551686175276053"</f>
        <v>1551686175276053</v>
      </c>
      <c r="C1188" t="s">
        <v>40</v>
      </c>
      <c r="D1188">
        <v>4.5540589999999996</v>
      </c>
      <c r="E1188">
        <v>0.59402469999999996</v>
      </c>
      <c r="F1188" t="s">
        <v>41</v>
      </c>
      <c r="G1188">
        <v>-211.15199999999999</v>
      </c>
      <c r="H1188">
        <v>7.9986680000000004E-2</v>
      </c>
      <c r="I1188">
        <v>355.36849999999998</v>
      </c>
      <c r="J1188">
        <v>-258.0093</v>
      </c>
      <c r="K1188">
        <v>1.1102320000000001</v>
      </c>
      <c r="L1188">
        <v>367.06990000000002</v>
      </c>
      <c r="M1188">
        <v>0.99989439999999996</v>
      </c>
      <c r="N1188">
        <v>-1.449026E-2</v>
      </c>
      <c r="O1188">
        <v>1.03936E-3</v>
      </c>
      <c r="P1188">
        <v>0.9850158</v>
      </c>
      <c r="Q1188">
        <v>0.17243549999999999</v>
      </c>
      <c r="R1188">
        <v>3.1166620000000001E-3</v>
      </c>
      <c r="S1188">
        <v>3.0600589999999999</v>
      </c>
      <c r="T1188">
        <v>-6.7063810000000001E-2</v>
      </c>
      <c r="U1188">
        <v>-0.76168819999999904</v>
      </c>
      <c r="V1188">
        <v>-2.0853830000000001E-3</v>
      </c>
      <c r="W1188">
        <v>0.1866903</v>
      </c>
      <c r="X1188">
        <v>0.98241659999999997</v>
      </c>
      <c r="Y1188">
        <v>0.24245810000000001</v>
      </c>
      <c r="Z1188">
        <v>-4.4076840000000003E-3</v>
      </c>
      <c r="AA1188">
        <v>0.97015180000000001</v>
      </c>
      <c r="AB1188">
        <v>33</v>
      </c>
      <c r="AC1188">
        <v>46.857299999999903</v>
      </c>
      <c r="AD1188">
        <v>-1.0302453199999999</v>
      </c>
      <c r="AE1188">
        <v>-11.7014</v>
      </c>
      <c r="AF1188">
        <v>11.744756008238699</v>
      </c>
      <c r="AG1188">
        <v>-1.0302453199999999</v>
      </c>
      <c r="AH1188">
        <v>46.823804510106903</v>
      </c>
      <c r="AI1188">
        <v>91.222591532449599</v>
      </c>
      <c r="AJ1188">
        <v>75.919074945890202</v>
      </c>
      <c r="AK1188">
        <v>48.285291424129802</v>
      </c>
      <c r="AL1188">
        <v>79.240303412657298</v>
      </c>
      <c r="AM1188">
        <v>90.121621993265194</v>
      </c>
      <c r="AN1188">
        <v>0.99999999644595305</v>
      </c>
    </row>
    <row r="1189" spans="1:40" x14ac:dyDescent="0.25">
      <c r="A1189" t="str">
        <f>"20190304155615291"</f>
        <v>20190304155615291</v>
      </c>
      <c r="B1189" t="str">
        <f>"1551686175285812"</f>
        <v>1551686175285812</v>
      </c>
      <c r="C1189" t="s">
        <v>40</v>
      </c>
      <c r="D1189">
        <v>4.5588920000000002</v>
      </c>
      <c r="E1189">
        <v>0.59409719999999999</v>
      </c>
      <c r="F1189" t="s">
        <v>45</v>
      </c>
      <c r="G1189">
        <v>-209.5258</v>
      </c>
      <c r="H1189">
        <v>7.9987379999999997E-2</v>
      </c>
      <c r="I1189">
        <v>354.97219999999999</v>
      </c>
      <c r="J1189">
        <v>-257.8295</v>
      </c>
      <c r="K1189">
        <v>1.1102339999999999</v>
      </c>
      <c r="L1189">
        <v>367.07010000000002</v>
      </c>
      <c r="M1189">
        <v>0.99989450000000002</v>
      </c>
      <c r="N1189">
        <v>-1.448904E-2</v>
      </c>
      <c r="O1189">
        <v>1.0393689999999901E-3</v>
      </c>
      <c r="P1189">
        <v>0.98503759999999996</v>
      </c>
      <c r="Q1189">
        <v>0.1723171</v>
      </c>
      <c r="R1189">
        <v>2.806691E-3</v>
      </c>
      <c r="S1189">
        <v>3.0594329999999998</v>
      </c>
      <c r="T1189">
        <v>-6.5011020000000003E-2</v>
      </c>
      <c r="U1189">
        <v>-0.7633972</v>
      </c>
      <c r="V1189">
        <v>-1.7753090000000001E-3</v>
      </c>
      <c r="W1189">
        <v>0.1865713</v>
      </c>
      <c r="X1189">
        <v>0.98243979999999997</v>
      </c>
      <c r="Y1189">
        <v>0.24301900000000001</v>
      </c>
      <c r="Z1189">
        <v>-4.3372159999999996E-3</v>
      </c>
      <c r="AA1189">
        <v>0.97001179999999998</v>
      </c>
      <c r="AB1189">
        <v>33</v>
      </c>
      <c r="AC1189">
        <v>48.3036999999999</v>
      </c>
      <c r="AD1189">
        <v>-1.03024662</v>
      </c>
      <c r="AE1189">
        <v>-12.097899999999999</v>
      </c>
      <c r="AF1189">
        <v>12.1429062703124</v>
      </c>
      <c r="AG1189">
        <v>-1.03024662</v>
      </c>
      <c r="AH1189">
        <v>48.270435998239002</v>
      </c>
      <c r="AI1189">
        <v>91.185758620524794</v>
      </c>
      <c r="AJ1189">
        <v>75.879668919400601</v>
      </c>
      <c r="AK1189">
        <v>49.785003487472999</v>
      </c>
      <c r="AL1189">
        <v>79.247243381506607</v>
      </c>
      <c r="AM1189">
        <v>90.103535710091904</v>
      </c>
      <c r="AN1189">
        <v>0.99999998116488698</v>
      </c>
    </row>
    <row r="1190" spans="1:40" x14ac:dyDescent="0.25">
      <c r="A1190" t="str">
        <f>"20190304155615303"</f>
        <v>20190304155615303</v>
      </c>
      <c r="B1190" t="str">
        <f>"1551686175295573"</f>
        <v>1551686175295573</v>
      </c>
      <c r="C1190" t="s">
        <v>40</v>
      </c>
      <c r="D1190">
        <v>4.937576</v>
      </c>
      <c r="E1190">
        <v>0.593553199999999</v>
      </c>
      <c r="F1190" t="s">
        <v>45</v>
      </c>
      <c r="G1190">
        <v>-208.5393</v>
      </c>
      <c r="H1190">
        <v>7.9987530000000001E-2</v>
      </c>
      <c r="I1190">
        <v>354.74489999999997</v>
      </c>
      <c r="J1190">
        <v>-257.66140000000001</v>
      </c>
      <c r="K1190">
        <v>1.110239</v>
      </c>
      <c r="L1190">
        <v>367.07029999999997</v>
      </c>
      <c r="M1190">
        <v>0.99989459999999997</v>
      </c>
      <c r="N1190">
        <v>-1.4487710000000001E-2</v>
      </c>
      <c r="O1190">
        <v>1.0393780000000001E-3</v>
      </c>
      <c r="P1190">
        <v>0.98501989999999995</v>
      </c>
      <c r="Q1190">
        <v>0.17242669999999999</v>
      </c>
      <c r="R1190">
        <v>2.2711799999999998E-3</v>
      </c>
      <c r="S1190">
        <v>3.058929</v>
      </c>
      <c r="T1190">
        <v>-6.3936709999999994E-2</v>
      </c>
      <c r="U1190">
        <v>-0.76489259999999903</v>
      </c>
      <c r="V1190">
        <v>-1.2402960000000001E-3</v>
      </c>
      <c r="W1190">
        <v>0.1866795</v>
      </c>
      <c r="X1190">
        <v>0.98242010000000002</v>
      </c>
      <c r="Y1190">
        <v>0.243505</v>
      </c>
      <c r="Z1190">
        <v>-4.303617E-3</v>
      </c>
      <c r="AA1190">
        <v>0.96989009999999998</v>
      </c>
      <c r="AB1190">
        <v>33</v>
      </c>
      <c r="AC1190">
        <v>49.122100000000003</v>
      </c>
      <c r="AD1190">
        <v>-1.0302514700000001</v>
      </c>
      <c r="AE1190">
        <v>-12.3254</v>
      </c>
      <c r="AF1190">
        <v>12.371335557806599</v>
      </c>
      <c r="AG1190">
        <v>-1.0302514700000001</v>
      </c>
      <c r="AH1190">
        <v>49.088947135791202</v>
      </c>
      <c r="AI1190">
        <v>91.165871584131096</v>
      </c>
      <c r="AJ1190">
        <v>75.854945859853103</v>
      </c>
      <c r="AK1190">
        <v>50.634337089328902</v>
      </c>
      <c r="AL1190">
        <v>79.240933465587403</v>
      </c>
      <c r="AM1190">
        <v>90.072335336371097</v>
      </c>
      <c r="AN1190">
        <v>1.00000001346921</v>
      </c>
    </row>
    <row r="1191" spans="1:40" x14ac:dyDescent="0.25">
      <c r="A1191" t="str">
        <f>"20190304155615314"</f>
        <v>20190304155615314</v>
      </c>
      <c r="B1191" t="str">
        <f>"1551686175306309"</f>
        <v>1551686175306309</v>
      </c>
      <c r="C1191" t="s">
        <v>40</v>
      </c>
      <c r="D1191">
        <v>4.5483349999999998</v>
      </c>
      <c r="E1191">
        <v>0.59364309999999998</v>
      </c>
      <c r="F1191" t="s">
        <v>45</v>
      </c>
      <c r="G1191">
        <v>-209.72810000000001</v>
      </c>
      <c r="H1191">
        <v>7.9987329999999995E-2</v>
      </c>
      <c r="I1191">
        <v>355.12970000000001</v>
      </c>
      <c r="J1191">
        <v>-257.49869999999999</v>
      </c>
      <c r="K1191">
        <v>1.1102399999999999</v>
      </c>
      <c r="L1191">
        <v>367.07040000000001</v>
      </c>
      <c r="M1191">
        <v>0.99989459999999997</v>
      </c>
      <c r="N1191">
        <v>-1.4486479999999999E-2</v>
      </c>
      <c r="O1191">
        <v>1.039208E-3</v>
      </c>
      <c r="P1191">
        <v>0.98500069999999995</v>
      </c>
      <c r="Q1191">
        <v>0.1725362</v>
      </c>
      <c r="R1191">
        <v>2.2577069999999999E-3</v>
      </c>
      <c r="S1191">
        <v>3.0588989999999998</v>
      </c>
      <c r="T1191">
        <v>-6.5746310000000002E-2</v>
      </c>
      <c r="U1191">
        <v>-0.76199340000000004</v>
      </c>
      <c r="V1191">
        <v>-1.2266849999999999E-3</v>
      </c>
      <c r="W1191">
        <v>0.18678729999999999</v>
      </c>
      <c r="X1191">
        <v>0.98239960000000004</v>
      </c>
      <c r="Y1191">
        <v>0.24263799999999999</v>
      </c>
      <c r="Z1191">
        <v>-4.3595659999999996E-3</v>
      </c>
      <c r="AA1191">
        <v>0.9701071</v>
      </c>
      <c r="AB1191">
        <v>33</v>
      </c>
      <c r="AC1191">
        <v>47.770599999999902</v>
      </c>
      <c r="AD1191">
        <v>-1.0302526700000001</v>
      </c>
      <c r="AE1191">
        <v>-11.9406999999999</v>
      </c>
      <c r="AF1191">
        <v>11.9850956373798</v>
      </c>
      <c r="AG1191">
        <v>-1.0302526700000001</v>
      </c>
      <c r="AH1191">
        <v>47.737266107772001</v>
      </c>
      <c r="AI1191">
        <v>91.199145960672396</v>
      </c>
      <c r="AJ1191">
        <v>75.906409306886303</v>
      </c>
      <c r="AK1191">
        <v>49.229569502946298</v>
      </c>
      <c r="AL1191">
        <v>79.234646108160405</v>
      </c>
      <c r="AM1191">
        <v>90.071543022578695</v>
      </c>
      <c r="AN1191">
        <v>0.99999998713876903</v>
      </c>
    </row>
    <row r="1192" spans="1:40" x14ac:dyDescent="0.25">
      <c r="A1192" t="str">
        <f>"20190304155615325"</f>
        <v>20190304155615325</v>
      </c>
      <c r="B1192" t="str">
        <f>"1551686175316069"</f>
        <v>1551686175316069</v>
      </c>
      <c r="C1192" t="s">
        <v>40</v>
      </c>
      <c r="D1192">
        <v>4.5430910000000004</v>
      </c>
      <c r="E1192">
        <v>0.59372499999999995</v>
      </c>
      <c r="F1192" t="s">
        <v>45</v>
      </c>
      <c r="G1192">
        <v>-208.19909999999999</v>
      </c>
      <c r="H1192">
        <v>7.9987559999999999E-2</v>
      </c>
      <c r="I1192">
        <v>354.77719999999999</v>
      </c>
      <c r="J1192">
        <v>-257.33069999999998</v>
      </c>
      <c r="K1192">
        <v>1.1102430000000001</v>
      </c>
      <c r="L1192">
        <v>367.07060000000001</v>
      </c>
      <c r="M1192">
        <v>0.99989470000000003</v>
      </c>
      <c r="N1192">
        <v>-1.448528E-2</v>
      </c>
      <c r="O1192">
        <v>1.039217E-3</v>
      </c>
      <c r="P1192">
        <v>0.98498699999999995</v>
      </c>
      <c r="Q1192">
        <v>0.17261969999999999</v>
      </c>
      <c r="R1192">
        <v>1.913348E-3</v>
      </c>
      <c r="S1192">
        <v>3.058624</v>
      </c>
      <c r="T1192">
        <v>-6.3918589999999997E-2</v>
      </c>
      <c r="U1192">
        <v>-0.76269529999999996</v>
      </c>
      <c r="V1192">
        <v>-8.8236480000000001E-4</v>
      </c>
      <c r="W1192">
        <v>0.18686920000000001</v>
      </c>
      <c r="X1192">
        <v>0.98238440000000005</v>
      </c>
      <c r="Y1192">
        <v>0.2428719</v>
      </c>
      <c r="Z1192">
        <v>-4.2917490000000001E-3</v>
      </c>
      <c r="AA1192">
        <v>0.97004880000000004</v>
      </c>
      <c r="AB1192">
        <v>33</v>
      </c>
      <c r="AC1192">
        <v>49.131599999999899</v>
      </c>
      <c r="AD1192">
        <v>-1.0302554399999999</v>
      </c>
      <c r="AE1192">
        <v>-12.2934</v>
      </c>
      <c r="AF1192">
        <v>12.3393510226814</v>
      </c>
      <c r="AG1192">
        <v>-1.0302554399999999</v>
      </c>
      <c r="AH1192">
        <v>49.098479435299701</v>
      </c>
      <c r="AI1192">
        <v>91.165842969128406</v>
      </c>
      <c r="AJ1192">
        <v>75.892683614725598</v>
      </c>
      <c r="AK1192">
        <v>50.635774831547202</v>
      </c>
      <c r="AL1192">
        <v>79.229869542715207</v>
      </c>
      <c r="AM1192">
        <v>90.051462304812404</v>
      </c>
      <c r="AN1192">
        <v>0.99999999291982</v>
      </c>
    </row>
    <row r="1193" spans="1:40" x14ac:dyDescent="0.25">
      <c r="A1193" t="str">
        <f>"20190304155615337"</f>
        <v>20190304155615337</v>
      </c>
      <c r="B1193" t="str">
        <f>"1551686175325830"</f>
        <v>1551686175325830</v>
      </c>
      <c r="C1193" t="s">
        <v>40</v>
      </c>
      <c r="D1193">
        <v>4.4760160000000004</v>
      </c>
      <c r="E1193">
        <v>0.59380959999999905</v>
      </c>
      <c r="F1193" t="s">
        <v>44</v>
      </c>
      <c r="G1193">
        <v>-200.68440000000001</v>
      </c>
      <c r="H1193">
        <v>-0.05</v>
      </c>
      <c r="I1193">
        <v>352.91829999999999</v>
      </c>
      <c r="J1193">
        <v>-257.1617</v>
      </c>
      <c r="K1193">
        <v>1.1102449999999999</v>
      </c>
      <c r="L1193">
        <v>367.07069999999999</v>
      </c>
      <c r="M1193">
        <v>0.99989459999999997</v>
      </c>
      <c r="N1193">
        <v>-1.448398E-2</v>
      </c>
      <c r="O1193">
        <v>1.0392260000000001E-3</v>
      </c>
      <c r="P1193">
        <v>0.98501989999999995</v>
      </c>
      <c r="Q1193">
        <v>0.17243129999999901</v>
      </c>
      <c r="R1193">
        <v>1.7849669999999999E-3</v>
      </c>
      <c r="S1193">
        <v>3.0581510000000001</v>
      </c>
      <c r="T1193">
        <v>-6.2637810000000002E-2</v>
      </c>
      <c r="U1193">
        <v>-0.76403809999999905</v>
      </c>
      <c r="V1193">
        <v>-7.5404070000000001E-4</v>
      </c>
      <c r="W1193">
        <v>0.1866805</v>
      </c>
      <c r="X1193">
        <v>0.98242039999999997</v>
      </c>
      <c r="Y1193">
        <v>0.24331059999999999</v>
      </c>
      <c r="Z1193">
        <v>-4.2490740000000003E-3</v>
      </c>
      <c r="AA1193">
        <v>0.96993910000000005</v>
      </c>
      <c r="AB1193">
        <v>33</v>
      </c>
      <c r="AC1193">
        <v>56.4772999999999</v>
      </c>
      <c r="AD1193">
        <v>-1.160245</v>
      </c>
      <c r="AE1193">
        <v>-14.1524</v>
      </c>
      <c r="AF1193">
        <v>14.205450167691501</v>
      </c>
      <c r="AG1193">
        <v>-1.160245</v>
      </c>
      <c r="AH1193">
        <v>56.440147878223698</v>
      </c>
      <c r="AI1193">
        <v>91.142060048581399</v>
      </c>
      <c r="AJ1193">
        <v>75.872630822530496</v>
      </c>
      <c r="AK1193">
        <v>58.211951311071402</v>
      </c>
      <c r="AL1193">
        <v>79.240875106765799</v>
      </c>
      <c r="AM1193">
        <v>90.043976429242804</v>
      </c>
      <c r="AN1193">
        <v>1.00000000999689</v>
      </c>
    </row>
    <row r="1194" spans="1:40" x14ac:dyDescent="0.25">
      <c r="A1194" t="str">
        <f>"20190304155615349"</f>
        <v>20190304155615349</v>
      </c>
      <c r="B1194" t="str">
        <f>"1551686175346325"</f>
        <v>1551686175346325</v>
      </c>
      <c r="C1194" t="s">
        <v>40</v>
      </c>
      <c r="D1194">
        <v>4.561858</v>
      </c>
      <c r="E1194">
        <v>0.59342119999999998</v>
      </c>
      <c r="F1194" t="s">
        <v>44</v>
      </c>
      <c r="G1194">
        <v>-200.2099</v>
      </c>
      <c r="H1194">
        <v>-0.05</v>
      </c>
      <c r="I1194">
        <v>352.81990000000002</v>
      </c>
      <c r="J1194">
        <v>-256.9796</v>
      </c>
      <c r="K1194">
        <v>1.1102459999999901</v>
      </c>
      <c r="L1194">
        <v>367.07089999999999</v>
      </c>
      <c r="M1194">
        <v>0.99989470000000003</v>
      </c>
      <c r="N1194">
        <v>-1.448253E-2</v>
      </c>
      <c r="O1194">
        <v>1.0392369999999999E-3</v>
      </c>
      <c r="P1194">
        <v>0.98500569999999998</v>
      </c>
      <c r="Q1194">
        <v>0.17251610000000001</v>
      </c>
      <c r="R1194">
        <v>1.5442940000000001E-3</v>
      </c>
      <c r="S1194">
        <v>3.0579070000000002</v>
      </c>
      <c r="T1194">
        <v>-6.2296869999999997E-2</v>
      </c>
      <c r="U1194">
        <v>-0.76516719999999905</v>
      </c>
      <c r="V1194">
        <v>-5.1324719999999995E-4</v>
      </c>
      <c r="W1194">
        <v>0.1867634</v>
      </c>
      <c r="X1194">
        <v>0.98240479999999997</v>
      </c>
      <c r="Y1194">
        <v>0.24366650000000001</v>
      </c>
      <c r="Z1194">
        <v>-4.2417770000000004E-3</v>
      </c>
      <c r="AA1194">
        <v>0.96984979999999998</v>
      </c>
      <c r="AB1194">
        <v>33</v>
      </c>
      <c r="AC1194">
        <v>56.7697</v>
      </c>
      <c r="AD1194">
        <v>-1.1602460000000001</v>
      </c>
      <c r="AE1194">
        <v>-14.2509999999999</v>
      </c>
      <c r="AF1194">
        <v>14.3043748887925</v>
      </c>
      <c r="AG1194">
        <v>-1.1602460000000001</v>
      </c>
      <c r="AH1194">
        <v>56.732565098308399</v>
      </c>
      <c r="AI1194">
        <v>91.136055934452401</v>
      </c>
      <c r="AJ1194">
        <v>75.848579620348303</v>
      </c>
      <c r="AK1194">
        <v>58.519614270545503</v>
      </c>
      <c r="AL1194">
        <v>79.236040266481496</v>
      </c>
      <c r="AM1194">
        <v>90.029933583113007</v>
      </c>
      <c r="AN1194">
        <v>1.0000000110326399</v>
      </c>
    </row>
    <row r="1195" spans="1:40" x14ac:dyDescent="0.25">
      <c r="A1195" t="str">
        <f>"20190304155615360"</f>
        <v>20190304155615360</v>
      </c>
      <c r="B1195" t="str">
        <f>"1551686175356085"</f>
        <v>1551686175356085</v>
      </c>
      <c r="C1195" t="s">
        <v>40</v>
      </c>
      <c r="D1195">
        <v>4.5568530000000003</v>
      </c>
      <c r="E1195">
        <v>0.59350369999999997</v>
      </c>
      <c r="F1195" t="s">
        <v>45</v>
      </c>
      <c r="G1195">
        <v>-207.04509999999999</v>
      </c>
      <c r="H1195">
        <v>7.9987699999999995E-2</v>
      </c>
      <c r="I1195">
        <v>354.61559999999997</v>
      </c>
      <c r="J1195">
        <v>-256.82819999999998</v>
      </c>
      <c r="K1195">
        <v>1.1102459999999901</v>
      </c>
      <c r="L1195">
        <v>367.0711</v>
      </c>
      <c r="M1195">
        <v>0.99989470000000003</v>
      </c>
      <c r="N1195">
        <v>-1.4481279999999999E-2</v>
      </c>
      <c r="O1195">
        <v>1.039246E-3</v>
      </c>
      <c r="P1195">
        <v>0.98500790000000005</v>
      </c>
      <c r="Q1195">
        <v>0.17250550000000001</v>
      </c>
      <c r="R1195">
        <v>1.3716710000000001E-3</v>
      </c>
      <c r="S1195">
        <v>3.0579529999999999</v>
      </c>
      <c r="T1195">
        <v>-6.3092229999999999E-2</v>
      </c>
      <c r="U1195">
        <v>-0.76275630000000005</v>
      </c>
      <c r="V1195">
        <v>-3.4085849999999999E-4</v>
      </c>
      <c r="W1195">
        <v>0.18675169999999999</v>
      </c>
      <c r="X1195">
        <v>0.98240709999999998</v>
      </c>
      <c r="Y1195">
        <v>0.24294189999999999</v>
      </c>
      <c r="Z1195">
        <v>-4.2604380000000001E-3</v>
      </c>
      <c r="AA1195">
        <v>0.97003150000000005</v>
      </c>
      <c r="AB1195">
        <v>33</v>
      </c>
      <c r="AC1195">
        <v>49.783099999999898</v>
      </c>
      <c r="AD1195">
        <v>-1.0302582999999901</v>
      </c>
      <c r="AE1195">
        <v>-12.455500000000001</v>
      </c>
      <c r="AF1195">
        <v>12.502196563557201</v>
      </c>
      <c r="AG1195">
        <v>-1.0302582999999901</v>
      </c>
      <c r="AH1195">
        <v>49.750075631698799</v>
      </c>
      <c r="AI1195">
        <v>91.150585780470294</v>
      </c>
      <c r="AJ1195">
        <v>75.893672162115394</v>
      </c>
      <c r="AK1195">
        <v>51.307274108436999</v>
      </c>
      <c r="AL1195">
        <v>79.236722641891802</v>
      </c>
      <c r="AM1195">
        <v>90.019879490567007</v>
      </c>
      <c r="AN1195">
        <v>1.0000000118839001</v>
      </c>
    </row>
    <row r="1196" spans="1:40" x14ac:dyDescent="0.25">
      <c r="A1196" t="str">
        <f>"20190304155615372"</f>
        <v>20190304155615372</v>
      </c>
      <c r="B1196" t="str">
        <f>"1551686175365845"</f>
        <v>1551686175365845</v>
      </c>
      <c r="C1196" t="s">
        <v>40</v>
      </c>
      <c r="D1196">
        <v>4.5538689999999997</v>
      </c>
      <c r="E1196">
        <v>0.59358489999999997</v>
      </c>
      <c r="F1196" t="s">
        <v>44</v>
      </c>
      <c r="G1196">
        <v>-199.47819999999999</v>
      </c>
      <c r="H1196">
        <v>-0.05</v>
      </c>
      <c r="I1196">
        <v>352.74470000000002</v>
      </c>
      <c r="J1196">
        <v>-256.6506</v>
      </c>
      <c r="K1196">
        <v>1.110242</v>
      </c>
      <c r="L1196">
        <v>367.07130000000001</v>
      </c>
      <c r="M1196">
        <v>0.99989459999999997</v>
      </c>
      <c r="N1196">
        <v>-1.4479799999999999E-2</v>
      </c>
      <c r="O1196">
        <v>1.0394359999999999E-3</v>
      </c>
      <c r="P1196">
        <v>0.98499099999999995</v>
      </c>
      <c r="Q1196">
        <v>0.17260229999999999</v>
      </c>
      <c r="R1196">
        <v>1.100384E-3</v>
      </c>
      <c r="S1196">
        <v>3.0575559999999999</v>
      </c>
      <c r="T1196">
        <v>-6.1857219999999997E-2</v>
      </c>
      <c r="U1196">
        <v>-0.76379390000000003</v>
      </c>
      <c r="V1196" s="1">
        <v>-6.9154429999999999E-5</v>
      </c>
      <c r="W1196">
        <v>0.18684680000000001</v>
      </c>
      <c r="X1196">
        <v>0.98238910000000002</v>
      </c>
      <c r="Y1196">
        <v>0.243284</v>
      </c>
      <c r="Z1196">
        <v>-4.2177400000000002E-3</v>
      </c>
      <c r="AA1196">
        <v>0.96994599999999997</v>
      </c>
      <c r="AB1196">
        <v>33</v>
      </c>
      <c r="AC1196">
        <v>57.172400000000003</v>
      </c>
      <c r="AD1196">
        <v>-1.160242</v>
      </c>
      <c r="AE1196">
        <v>-14.3265999999999</v>
      </c>
      <c r="AF1196">
        <v>14.3804530675983</v>
      </c>
      <c r="AG1196">
        <v>-1.160242</v>
      </c>
      <c r="AH1196">
        <v>57.135335826541997</v>
      </c>
      <c r="AI1196">
        <v>91.128164711709502</v>
      </c>
      <c r="AJ1196">
        <v>75.872601885755699</v>
      </c>
      <c r="AK1196">
        <v>58.928687342750898</v>
      </c>
      <c r="AL1196">
        <v>79.2311764657059</v>
      </c>
      <c r="AM1196">
        <v>90.004033286777201</v>
      </c>
      <c r="AN1196">
        <v>1.0000000376256899</v>
      </c>
    </row>
    <row r="1197" spans="1:40" x14ac:dyDescent="0.25">
      <c r="A1197" t="str">
        <f>"20190304155615383"</f>
        <v>20190304155615383</v>
      </c>
      <c r="B1197" t="str">
        <f>"1551686175375605"</f>
        <v>1551686175375605</v>
      </c>
      <c r="C1197" t="s">
        <v>40</v>
      </c>
      <c r="D1197">
        <v>4.8151710000000003</v>
      </c>
      <c r="E1197">
        <v>0.59315689999999999</v>
      </c>
      <c r="F1197" t="s">
        <v>45</v>
      </c>
      <c r="G1197">
        <v>-204.3646</v>
      </c>
      <c r="H1197">
        <v>7.9988190000000001E-2</v>
      </c>
      <c r="I1197">
        <v>353.98149999999998</v>
      </c>
      <c r="J1197">
        <v>-256.47410000000002</v>
      </c>
      <c r="K1197">
        <v>1.110244</v>
      </c>
      <c r="L1197">
        <v>367.07139999999998</v>
      </c>
      <c r="M1197">
        <v>0.99989470000000003</v>
      </c>
      <c r="N1197">
        <v>-1.44783E-2</v>
      </c>
      <c r="O1197">
        <v>1.0394460000000001E-3</v>
      </c>
      <c r="P1197">
        <v>0.98500180000000004</v>
      </c>
      <c r="Q1197">
        <v>0.1725418</v>
      </c>
      <c r="R1197">
        <v>9.9721740000000003E-4</v>
      </c>
      <c r="S1197">
        <v>3.0571290000000002</v>
      </c>
      <c r="T1197">
        <v>-6.0238359999999998E-2</v>
      </c>
      <c r="U1197">
        <v>-0.76535030000000004</v>
      </c>
      <c r="V1197" s="1">
        <v>3.4044259999999999E-5</v>
      </c>
      <c r="W1197">
        <v>0.18678439999999999</v>
      </c>
      <c r="X1197">
        <v>0.98240090000000002</v>
      </c>
      <c r="Y1197">
        <v>0.24378379999999999</v>
      </c>
      <c r="Z1197">
        <v>-4.1624030000000003E-3</v>
      </c>
      <c r="AA1197">
        <v>0.96982069999999998</v>
      </c>
      <c r="AB1197">
        <v>33</v>
      </c>
      <c r="AC1197">
        <v>52.109499999999997</v>
      </c>
      <c r="AD1197">
        <v>-1.0302558100000001</v>
      </c>
      <c r="AE1197">
        <v>-13.0899</v>
      </c>
      <c r="AF1197">
        <v>13.139232450761201</v>
      </c>
      <c r="AG1197">
        <v>-1.0302558100000001</v>
      </c>
      <c r="AH1197">
        <v>52.076716093191898</v>
      </c>
      <c r="AI1197">
        <v>91.098929559057893</v>
      </c>
      <c r="AJ1197">
        <v>75.839508798179097</v>
      </c>
      <c r="AK1197">
        <v>53.718574213023302</v>
      </c>
      <c r="AL1197">
        <v>79.2348150643884</v>
      </c>
      <c r="AM1197">
        <v>89.998014463938404</v>
      </c>
      <c r="AN1197">
        <v>0.99999997078158998</v>
      </c>
    </row>
    <row r="1198" spans="1:40" x14ac:dyDescent="0.25">
      <c r="A1198" t="str">
        <f>"20190304155615395"</f>
        <v>20190304155615395</v>
      </c>
      <c r="B1198" t="str">
        <f>"1551686175386342"</f>
        <v>1551686175386342</v>
      </c>
      <c r="C1198" t="s">
        <v>40</v>
      </c>
      <c r="D1198">
        <v>4.9102069999999998</v>
      </c>
      <c r="E1198">
        <v>0.59272389999999997</v>
      </c>
      <c r="F1198" t="s">
        <v>44</v>
      </c>
      <c r="G1198">
        <v>-200.1223</v>
      </c>
      <c r="H1198">
        <v>-0.05</v>
      </c>
      <c r="I1198">
        <v>353.02499999999998</v>
      </c>
      <c r="J1198">
        <v>-256.3186</v>
      </c>
      <c r="K1198">
        <v>1.1102449999999999</v>
      </c>
      <c r="L1198">
        <v>367.07159999999999</v>
      </c>
      <c r="M1198">
        <v>0.99989470000000003</v>
      </c>
      <c r="N1198">
        <v>-1.4476960000000001E-2</v>
      </c>
      <c r="O1198">
        <v>1.039456E-3</v>
      </c>
      <c r="P1198">
        <v>0.98501719999999904</v>
      </c>
      <c r="Q1198">
        <v>0.17245529999999901</v>
      </c>
      <c r="R1198">
        <v>5.7182649999999995E-4</v>
      </c>
      <c r="S1198">
        <v>3.05748</v>
      </c>
      <c r="T1198">
        <v>-6.295133E-2</v>
      </c>
      <c r="U1198">
        <v>-0.76211549999999995</v>
      </c>
      <c r="V1198">
        <v>4.5952779999999999E-4</v>
      </c>
      <c r="W1198">
        <v>0.18669730000000001</v>
      </c>
      <c r="X1198">
        <v>0.98241730000000005</v>
      </c>
      <c r="Y1198">
        <v>0.24278630000000001</v>
      </c>
      <c r="Z1198">
        <v>-4.2520290000000001E-3</v>
      </c>
      <c r="AA1198">
        <v>0.97007049999999995</v>
      </c>
      <c r="AB1198">
        <v>33</v>
      </c>
      <c r="AC1198">
        <v>56.196300000000001</v>
      </c>
      <c r="AD1198">
        <v>-1.160245</v>
      </c>
      <c r="AE1198">
        <v>-14.0466</v>
      </c>
      <c r="AF1198">
        <v>14.099355409378299</v>
      </c>
      <c r="AG1198">
        <v>-1.160245</v>
      </c>
      <c r="AH1198">
        <v>56.1591360756521</v>
      </c>
      <c r="AI1198">
        <v>91.147944086429902</v>
      </c>
      <c r="AJ1198">
        <v>75.9065688510575</v>
      </c>
      <c r="AK1198">
        <v>57.913612874553102</v>
      </c>
      <c r="AL1198">
        <v>79.239894355652197</v>
      </c>
      <c r="AM1198">
        <v>89.973199778150502</v>
      </c>
      <c r="AN1198">
        <v>0.99999992216618605</v>
      </c>
    </row>
    <row r="1199" spans="1:40" x14ac:dyDescent="0.25">
      <c r="A1199" t="str">
        <f>"20190304155615407"</f>
        <v>20190304155615407</v>
      </c>
      <c r="B1199" t="str">
        <f>"1551686175396101"</f>
        <v>1551686175396101</v>
      </c>
      <c r="C1199" t="s">
        <v>40</v>
      </c>
      <c r="D1199">
        <v>4.8425209999999996</v>
      </c>
      <c r="E1199">
        <v>0.59228749999999997</v>
      </c>
      <c r="F1199" t="s">
        <v>45</v>
      </c>
      <c r="G1199">
        <v>-208.0163</v>
      </c>
      <c r="H1199">
        <v>7.9987520000000006E-2</v>
      </c>
      <c r="I1199">
        <v>355.06009999999998</v>
      </c>
      <c r="J1199">
        <v>-256.13029999999998</v>
      </c>
      <c r="K1199">
        <v>1.110242</v>
      </c>
      <c r="L1199">
        <v>367.0718</v>
      </c>
      <c r="M1199">
        <v>0.99989470000000003</v>
      </c>
      <c r="N1199">
        <v>-1.447531E-2</v>
      </c>
      <c r="O1199">
        <v>1.039468E-3</v>
      </c>
      <c r="P1199">
        <v>0.98502529999999999</v>
      </c>
      <c r="Q1199">
        <v>0.1724089</v>
      </c>
      <c r="R1199">
        <v>5.480754E-4</v>
      </c>
      <c r="S1199">
        <v>3.0574949999999999</v>
      </c>
      <c r="T1199">
        <v>-6.5214400000000006E-2</v>
      </c>
      <c r="U1199">
        <v>-0.76031490000000002</v>
      </c>
      <c r="V1199">
        <v>4.83253E-4</v>
      </c>
      <c r="W1199">
        <v>0.1866495</v>
      </c>
      <c r="X1199">
        <v>0.98242649999999998</v>
      </c>
      <c r="Y1199">
        <v>0.2422426</v>
      </c>
      <c r="Z1199">
        <v>-4.3314130000000001E-3</v>
      </c>
      <c r="AA1199">
        <v>0.97020600000000001</v>
      </c>
      <c r="AB1199">
        <v>33</v>
      </c>
      <c r="AC1199">
        <v>48.113999999999898</v>
      </c>
      <c r="AD1199">
        <v>-1.03025448</v>
      </c>
      <c r="AE1199">
        <v>-12.011699999999999</v>
      </c>
      <c r="AF1199">
        <v>12.056508039397</v>
      </c>
      <c r="AG1199">
        <v>-1.03025448</v>
      </c>
      <c r="AH1199">
        <v>48.080734933679999</v>
      </c>
      <c r="AI1199">
        <v>91.190670928326099</v>
      </c>
      <c r="AJ1199">
        <v>75.9230238831056</v>
      </c>
      <c r="AK1199">
        <v>49.580014947157899</v>
      </c>
      <c r="AL1199">
        <v>79.242683473738396</v>
      </c>
      <c r="AM1199">
        <v>89.971816359693193</v>
      </c>
      <c r="AN1199">
        <v>1.0000000486429701</v>
      </c>
    </row>
    <row r="1200" spans="1:40" x14ac:dyDescent="0.25">
      <c r="A1200" t="str">
        <f>"20190304155615421"</f>
        <v>20190304155615421</v>
      </c>
      <c r="B1200" t="str">
        <f>"1551686175415621"</f>
        <v>1551686175415621</v>
      </c>
      <c r="C1200" t="s">
        <v>40</v>
      </c>
      <c r="D1200">
        <v>4.8570599999999997</v>
      </c>
      <c r="E1200">
        <v>0.59156529999999996</v>
      </c>
      <c r="F1200" t="s">
        <v>45</v>
      </c>
      <c r="G1200">
        <v>-209.0446</v>
      </c>
      <c r="H1200">
        <v>7.9987340000000004E-2</v>
      </c>
      <c r="I1200">
        <v>355.4169</v>
      </c>
      <c r="J1200">
        <v>-255.9316</v>
      </c>
      <c r="K1200">
        <v>1.110242</v>
      </c>
      <c r="L1200">
        <v>367.072</v>
      </c>
      <c r="M1200">
        <v>0.99989479999999997</v>
      </c>
      <c r="N1200">
        <v>-1.447351E-2</v>
      </c>
      <c r="O1200">
        <v>1.0393030000000001E-3</v>
      </c>
      <c r="P1200">
        <v>0.98504250000000004</v>
      </c>
      <c r="Q1200">
        <v>0.17231279999999999</v>
      </c>
      <c r="R1200">
        <v>1.5566540000000001E-4</v>
      </c>
      <c r="S1200">
        <v>3.0577390000000002</v>
      </c>
      <c r="T1200">
        <v>-6.6904539999999998E-2</v>
      </c>
      <c r="U1200">
        <v>-0.7568665</v>
      </c>
      <c r="V1200">
        <v>8.7541500000000005E-4</v>
      </c>
      <c r="W1200">
        <v>0.18655169999999999</v>
      </c>
      <c r="X1200">
        <v>0.98244480000000001</v>
      </c>
      <c r="Y1200">
        <v>0.24119009999999999</v>
      </c>
      <c r="Z1200">
        <v>-4.3785359999999997E-3</v>
      </c>
      <c r="AA1200">
        <v>0.970468</v>
      </c>
      <c r="AB1200">
        <v>33</v>
      </c>
      <c r="AC1200">
        <v>46.887</v>
      </c>
      <c r="AD1200">
        <v>-1.03025466</v>
      </c>
      <c r="AE1200">
        <v>-11.6550999999999</v>
      </c>
      <c r="AF1200">
        <v>11.698509045170599</v>
      </c>
      <c r="AG1200">
        <v>-1.03025466</v>
      </c>
      <c r="AH1200">
        <v>46.853554922550202</v>
      </c>
      <c r="AI1200">
        <v>91.222156333095</v>
      </c>
      <c r="AJ1200">
        <v>75.980883375902295</v>
      </c>
      <c r="AK1200">
        <v>48.3029206924883</v>
      </c>
      <c r="AL1200">
        <v>79.248387131841994</v>
      </c>
      <c r="AM1200">
        <v>89.948946168224694</v>
      </c>
      <c r="AN1200">
        <v>1.00000004408567</v>
      </c>
    </row>
    <row r="1201" spans="1:40" x14ac:dyDescent="0.25">
      <c r="A1201" t="str">
        <f>"20190304155615437"</f>
        <v>20190304155615437</v>
      </c>
      <c r="B1201" t="str">
        <f>"1551686175426357"</f>
        <v>1551686175426357</v>
      </c>
      <c r="C1201" t="s">
        <v>40</v>
      </c>
      <c r="D1201">
        <v>4.856439</v>
      </c>
      <c r="E1201">
        <v>0.59126449999999997</v>
      </c>
      <c r="F1201" t="s">
        <v>41</v>
      </c>
      <c r="G1201">
        <v>-211.24119999999999</v>
      </c>
      <c r="H1201">
        <v>7.9986619999999994E-2</v>
      </c>
      <c r="I1201">
        <v>356.07740000000001</v>
      </c>
      <c r="J1201">
        <v>-255.70259999999999</v>
      </c>
      <c r="K1201">
        <v>1.110242</v>
      </c>
      <c r="L1201">
        <v>367.07229999999998</v>
      </c>
      <c r="M1201">
        <v>0.99989490000000003</v>
      </c>
      <c r="N1201">
        <v>-1.447143E-2</v>
      </c>
      <c r="O1201">
        <v>1.039318E-3</v>
      </c>
      <c r="P1201">
        <v>0.98504250000000004</v>
      </c>
      <c r="Q1201">
        <v>0.17231250000000001</v>
      </c>
      <c r="R1201">
        <v>-4.544137E-4</v>
      </c>
      <c r="S1201">
        <v>3.058014</v>
      </c>
      <c r="T1201">
        <v>-7.0496799999999998E-2</v>
      </c>
      <c r="U1201">
        <v>-0.75231930000000002</v>
      </c>
      <c r="V1201">
        <v>1.4854200000000001E-3</v>
      </c>
      <c r="W1201">
        <v>0.1865493</v>
      </c>
      <c r="X1201">
        <v>0.98244450000000005</v>
      </c>
      <c r="Y1201">
        <v>0.23980180000000001</v>
      </c>
      <c r="Z1201">
        <v>-4.4930090000000001E-3</v>
      </c>
      <c r="AA1201">
        <v>0.97081150000000005</v>
      </c>
      <c r="AB1201">
        <v>33</v>
      </c>
      <c r="AC1201">
        <v>44.461399999999998</v>
      </c>
      <c r="AD1201">
        <v>-1.0302553800000001</v>
      </c>
      <c r="AE1201">
        <v>-10.9948999999999</v>
      </c>
      <c r="AF1201">
        <v>11.0355245139039</v>
      </c>
      <c r="AG1201">
        <v>-1.0302553800000001</v>
      </c>
      <c r="AH1201">
        <v>44.427467545621703</v>
      </c>
      <c r="AI1201">
        <v>91.289263880273694</v>
      </c>
      <c r="AJ1201">
        <v>76.050383572414205</v>
      </c>
      <c r="AK1201">
        <v>45.789126438077602</v>
      </c>
      <c r="AL1201">
        <v>79.248526855138806</v>
      </c>
      <c r="AM1201">
        <v>89.913370951793198</v>
      </c>
      <c r="AN1201">
        <v>1.00000002169165</v>
      </c>
    </row>
    <row r="1202" spans="1:40" x14ac:dyDescent="0.25">
      <c r="A1202" t="str">
        <f>"20190304155615450"</f>
        <v>20190304155615450</v>
      </c>
      <c r="B1202" t="str">
        <f>"1551686175445877"</f>
        <v>1551686175445877</v>
      </c>
      <c r="C1202" t="s">
        <v>40</v>
      </c>
      <c r="D1202">
        <v>4.8137239999999997</v>
      </c>
      <c r="E1202">
        <v>0.59055679999999999</v>
      </c>
      <c r="F1202" t="s">
        <v>41</v>
      </c>
      <c r="G1202">
        <v>-212.11879999999999</v>
      </c>
      <c r="H1202">
        <v>7.9986360000000006E-2</v>
      </c>
      <c r="I1202">
        <v>356.35629999999998</v>
      </c>
      <c r="J1202">
        <v>-255.5104</v>
      </c>
      <c r="K1202">
        <v>1.1102430000000001</v>
      </c>
      <c r="L1202">
        <v>367.07240000000002</v>
      </c>
      <c r="M1202">
        <v>0.99989470000000003</v>
      </c>
      <c r="N1202">
        <v>-1.44697E-2</v>
      </c>
      <c r="O1202">
        <v>1.0395090000000001E-3</v>
      </c>
      <c r="P1202">
        <v>0.98507</v>
      </c>
      <c r="Q1202">
        <v>0.17215220000000001</v>
      </c>
      <c r="R1202">
        <v>-7.7679330000000001E-4</v>
      </c>
      <c r="S1202">
        <v>3.0578310000000002</v>
      </c>
      <c r="T1202">
        <v>-7.2282429999999995E-2</v>
      </c>
      <c r="U1202">
        <v>-0.75183109999999997</v>
      </c>
      <c r="V1202">
        <v>1.808128E-3</v>
      </c>
      <c r="W1202">
        <v>0.1863881</v>
      </c>
      <c r="X1202">
        <v>0.98247450000000003</v>
      </c>
      <c r="Y1202">
        <v>0.2396653</v>
      </c>
      <c r="Z1202">
        <v>-4.5599680000000002E-3</v>
      </c>
      <c r="AA1202">
        <v>0.97084490000000001</v>
      </c>
      <c r="AB1202">
        <v>33</v>
      </c>
      <c r="AC1202">
        <v>43.391599999999997</v>
      </c>
      <c r="AD1202">
        <v>-1.0302566399999999</v>
      </c>
      <c r="AE1202">
        <v>-10.716100000000001</v>
      </c>
      <c r="AF1202">
        <v>10.755490130458099</v>
      </c>
      <c r="AG1202">
        <v>-1.0302566399999999</v>
      </c>
      <c r="AH1202">
        <v>43.357398619594299</v>
      </c>
      <c r="AI1202">
        <v>91.3211750227442</v>
      </c>
      <c r="AJ1202">
        <v>76.068103559314693</v>
      </c>
      <c r="AK1202">
        <v>44.683397495591699</v>
      </c>
      <c r="AL1202">
        <v>79.257927237036995</v>
      </c>
      <c r="AM1202">
        <v>89.894554020224106</v>
      </c>
      <c r="AN1202">
        <v>0.99999996814936098</v>
      </c>
    </row>
    <row r="1203" spans="1:40" x14ac:dyDescent="0.25">
      <c r="A1203" t="str">
        <f>"20190304155615462"</f>
        <v>20190304155615462</v>
      </c>
      <c r="B1203" t="str">
        <f>"1551686175455637"</f>
        <v>1551686175455637</v>
      </c>
      <c r="C1203" t="s">
        <v>40</v>
      </c>
      <c r="D1203">
        <v>4.8864150000000004</v>
      </c>
      <c r="E1203">
        <v>0.59025590000000006</v>
      </c>
      <c r="F1203" t="s">
        <v>41</v>
      </c>
      <c r="G1203">
        <v>-213.59469999999999</v>
      </c>
      <c r="H1203">
        <v>7.9985890000000004E-2</v>
      </c>
      <c r="I1203">
        <v>356.83569999999997</v>
      </c>
      <c r="J1203">
        <v>-255.3289</v>
      </c>
      <c r="K1203">
        <v>1.110241</v>
      </c>
      <c r="L1203">
        <v>367.0727</v>
      </c>
      <c r="M1203">
        <v>0.99989490000000003</v>
      </c>
      <c r="N1203">
        <v>-1.446791E-2</v>
      </c>
      <c r="O1203">
        <v>1.039344E-3</v>
      </c>
      <c r="P1203">
        <v>0.98504480000000005</v>
      </c>
      <c r="Q1203">
        <v>0.172294899999999</v>
      </c>
      <c r="R1203">
        <v>-1.2100639999999901E-3</v>
      </c>
      <c r="S1203">
        <v>3.0579990000000001</v>
      </c>
      <c r="T1203">
        <v>-7.5163129999999995E-2</v>
      </c>
      <c r="U1203">
        <v>-0.7468262</v>
      </c>
      <c r="V1203">
        <v>2.2413429999999998E-3</v>
      </c>
      <c r="W1203">
        <v>0.18652820000000001</v>
      </c>
      <c r="X1203">
        <v>0.98244699999999996</v>
      </c>
      <c r="Y1203">
        <v>0.23814750000000001</v>
      </c>
      <c r="Z1203">
        <v>-4.6424769999999999E-3</v>
      </c>
      <c r="AA1203">
        <v>0.97121789999999997</v>
      </c>
      <c r="AB1203">
        <v>33</v>
      </c>
      <c r="AC1203">
        <v>41.734200000000001</v>
      </c>
      <c r="AD1203">
        <v>-1.0302551099999999</v>
      </c>
      <c r="AE1203">
        <v>-10.237</v>
      </c>
      <c r="AF1203">
        <v>10.274469238356501</v>
      </c>
      <c r="AG1203">
        <v>-1.0302551099999999</v>
      </c>
      <c r="AH1203">
        <v>41.6995668839239</v>
      </c>
      <c r="AI1203">
        <v>91.374214020176595</v>
      </c>
      <c r="AJ1203">
        <v>76.158445796715398</v>
      </c>
      <c r="AK1203">
        <v>42.959050525220697</v>
      </c>
      <c r="AL1203">
        <v>79.249756619580694</v>
      </c>
      <c r="AM1203">
        <v>89.869286311072699</v>
      </c>
      <c r="AN1203">
        <v>0.99999995041134004</v>
      </c>
    </row>
    <row r="1204" spans="1:40" x14ac:dyDescent="0.25">
      <c r="A1204" t="str">
        <f>"20190304155615473"</f>
        <v>20190304155615473</v>
      </c>
      <c r="B1204" t="str">
        <f>"1551686175465397"</f>
        <v>1551686175465397</v>
      </c>
      <c r="C1204" t="s">
        <v>40</v>
      </c>
      <c r="D1204">
        <v>4.8615360000000001</v>
      </c>
      <c r="E1204">
        <v>0.58991470000000001</v>
      </c>
      <c r="F1204" t="s">
        <v>41</v>
      </c>
      <c r="G1204">
        <v>-214.1919</v>
      </c>
      <c r="H1204">
        <v>7.9985719999999996E-2</v>
      </c>
      <c r="I1204">
        <v>357.03739999999999</v>
      </c>
      <c r="J1204">
        <v>-255.1746</v>
      </c>
      <c r="K1204">
        <v>1.1102369999999999</v>
      </c>
      <c r="L1204">
        <v>367.07279999999997</v>
      </c>
      <c r="M1204">
        <v>0.99989490000000003</v>
      </c>
      <c r="N1204">
        <v>-1.4466379999999999E-2</v>
      </c>
      <c r="O1204">
        <v>1.0391759999999999E-3</v>
      </c>
      <c r="P1204">
        <v>0.98507719999999999</v>
      </c>
      <c r="Q1204">
        <v>0.1721058</v>
      </c>
      <c r="R1204">
        <v>-1.6674770000000001E-3</v>
      </c>
      <c r="S1204">
        <v>3.0580440000000002</v>
      </c>
      <c r="T1204">
        <v>-7.6587080000000002E-2</v>
      </c>
      <c r="U1204">
        <v>-0.74600219999999995</v>
      </c>
      <c r="V1204">
        <v>2.6986620000000001E-3</v>
      </c>
      <c r="W1204">
        <v>0.18633849999999999</v>
      </c>
      <c r="X1204">
        <v>0.98248190000000002</v>
      </c>
      <c r="Y1204">
        <v>0.23789370000000001</v>
      </c>
      <c r="Z1204">
        <v>-4.6924009999999997E-3</v>
      </c>
      <c r="AA1204">
        <v>0.97127989999999997</v>
      </c>
      <c r="AB1204">
        <v>33</v>
      </c>
      <c r="AC1204">
        <v>40.982700000000001</v>
      </c>
      <c r="AD1204">
        <v>-1.0302512800000001</v>
      </c>
      <c r="AE1204">
        <v>-10.0353999999999</v>
      </c>
      <c r="AF1204">
        <v>10.071982309627099</v>
      </c>
      <c r="AG1204">
        <v>-1.0302512800000001</v>
      </c>
      <c r="AH1204">
        <v>40.947834941093703</v>
      </c>
      <c r="AI1204">
        <v>91.399564003445704</v>
      </c>
      <c r="AJ1204">
        <v>76.181224078538904</v>
      </c>
      <c r="AK1204">
        <v>42.1809368282455</v>
      </c>
      <c r="AL1204">
        <v>79.260820146013003</v>
      </c>
      <c r="AM1204">
        <v>89.8426214731588</v>
      </c>
      <c r="AN1204">
        <v>1.00000000159322</v>
      </c>
    </row>
    <row r="1205" spans="1:40" x14ac:dyDescent="0.25">
      <c r="A1205" t="str">
        <f>"20190304155615484"</f>
        <v>20190304155615484</v>
      </c>
      <c r="B1205" t="str">
        <f>"1551686175476133"</f>
        <v>1551686175476133</v>
      </c>
      <c r="C1205" t="s">
        <v>40</v>
      </c>
      <c r="D1205">
        <v>4.871766</v>
      </c>
      <c r="E1205">
        <v>0.58962869999999901</v>
      </c>
      <c r="F1205" t="s">
        <v>41</v>
      </c>
      <c r="G1205">
        <v>-215.01429999999999</v>
      </c>
      <c r="H1205">
        <v>7.9986940000000006E-2</v>
      </c>
      <c r="I1205">
        <v>357.2921</v>
      </c>
      <c r="J1205">
        <v>-255.0119</v>
      </c>
      <c r="K1205">
        <v>1.1102379999999901</v>
      </c>
      <c r="L1205">
        <v>367.07299999999998</v>
      </c>
      <c r="M1205">
        <v>0.99989490000000003</v>
      </c>
      <c r="N1205">
        <v>-1.446477E-2</v>
      </c>
      <c r="O1205">
        <v>1.0393659999999999E-3</v>
      </c>
      <c r="P1205">
        <v>0.98507900000000004</v>
      </c>
      <c r="Q1205">
        <v>0.1720912</v>
      </c>
      <c r="R1205">
        <v>-1.9961739999999999E-3</v>
      </c>
      <c r="S1205">
        <v>3.0578919999999998</v>
      </c>
      <c r="T1205">
        <v>-7.8445319999999999E-2</v>
      </c>
      <c r="U1205">
        <v>-0.74472050000000001</v>
      </c>
      <c r="V1205">
        <v>3.0275570000000002E-3</v>
      </c>
      <c r="W1205">
        <v>0.18632209999999999</v>
      </c>
      <c r="X1205">
        <v>0.98248400000000002</v>
      </c>
      <c r="Y1205">
        <v>0.23751639999999999</v>
      </c>
      <c r="Z1205">
        <v>-4.756728E-3</v>
      </c>
      <c r="AA1205">
        <v>0.97137189999999995</v>
      </c>
      <c r="AB1205">
        <v>33</v>
      </c>
      <c r="AC1205">
        <v>39.997599999999998</v>
      </c>
      <c r="AD1205">
        <v>-1.0302510600000001</v>
      </c>
      <c r="AE1205">
        <v>-9.7809000000000292</v>
      </c>
      <c r="AF1205">
        <v>9.8163258960968403</v>
      </c>
      <c r="AG1205">
        <v>-1.0302510600000001</v>
      </c>
      <c r="AH1205">
        <v>39.962393744021199</v>
      </c>
      <c r="AI1205">
        <v>91.434171917053803</v>
      </c>
      <c r="AJ1205">
        <v>76.199160930628196</v>
      </c>
      <c r="AK1205">
        <v>41.163267424940798</v>
      </c>
      <c r="AL1205">
        <v>79.261775992572396</v>
      </c>
      <c r="AM1205">
        <v>89.823441715825496</v>
      </c>
      <c r="AN1205">
        <v>0.99999995065289704</v>
      </c>
    </row>
    <row r="1206" spans="1:40" x14ac:dyDescent="0.25">
      <c r="A1206" t="str">
        <f>"20190304155615496"</f>
        <v>20190304155615496</v>
      </c>
      <c r="B1206" t="str">
        <f>"1551686175485893"</f>
        <v>1551686175485893</v>
      </c>
      <c r="C1206" t="s">
        <v>40</v>
      </c>
      <c r="D1206">
        <v>4.8477319999999997</v>
      </c>
      <c r="E1206">
        <v>0.58925550000000004</v>
      </c>
      <c r="F1206" t="s">
        <v>41</v>
      </c>
      <c r="G1206">
        <v>-215.7252</v>
      </c>
      <c r="H1206">
        <v>7.9986710000000003E-2</v>
      </c>
      <c r="I1206">
        <v>357.52260000000001</v>
      </c>
      <c r="J1206">
        <v>-254.84360000000001</v>
      </c>
      <c r="K1206">
        <v>1.1102369999999999</v>
      </c>
      <c r="L1206">
        <v>367.07310000000001</v>
      </c>
      <c r="M1206">
        <v>0.99989479999999997</v>
      </c>
      <c r="N1206">
        <v>-1.446309E-2</v>
      </c>
      <c r="O1206">
        <v>1.039379E-3</v>
      </c>
      <c r="P1206">
        <v>0.98502730000000005</v>
      </c>
      <c r="Q1206">
        <v>0.17238299999999901</v>
      </c>
      <c r="R1206">
        <v>-2.2703889999999998E-3</v>
      </c>
      <c r="S1206">
        <v>3.0579679999999998</v>
      </c>
      <c r="T1206">
        <v>-8.0191609999999997E-2</v>
      </c>
      <c r="U1206">
        <v>-0.74337769999999903</v>
      </c>
      <c r="V1206">
        <v>3.3017519999999998E-3</v>
      </c>
      <c r="W1206">
        <v>0.18661159999999999</v>
      </c>
      <c r="X1206">
        <v>0.98242819999999997</v>
      </c>
      <c r="Y1206">
        <v>0.23710410000000001</v>
      </c>
      <c r="Z1206">
        <v>-4.815578E-3</v>
      </c>
      <c r="AA1206">
        <v>0.97147229999999996</v>
      </c>
      <c r="AB1206">
        <v>33</v>
      </c>
      <c r="AC1206">
        <v>39.118400000000001</v>
      </c>
      <c r="AD1206">
        <v>-1.0302502899999999</v>
      </c>
      <c r="AE1206">
        <v>-9.5504999999999995</v>
      </c>
      <c r="AF1206">
        <v>9.5848836325639102</v>
      </c>
      <c r="AG1206">
        <v>-1.0302502899999999</v>
      </c>
      <c r="AH1206">
        <v>39.082867420960199</v>
      </c>
      <c r="AI1206">
        <v>91.466565368702206</v>
      </c>
      <c r="AJ1206">
        <v>76.220449447569095</v>
      </c>
      <c r="AK1206">
        <v>40.254216372377499</v>
      </c>
      <c r="AL1206">
        <v>79.244893066436106</v>
      </c>
      <c r="AM1206">
        <v>89.807440643140396</v>
      </c>
      <c r="AN1206">
        <v>0.99999997948803399</v>
      </c>
    </row>
    <row r="1207" spans="1:40" x14ac:dyDescent="0.25">
      <c r="A1207" t="str">
        <f>"20190304155615507"</f>
        <v>20190304155615507</v>
      </c>
      <c r="B1207" t="str">
        <f>"1551686175495653"</f>
        <v>1551686175495653</v>
      </c>
      <c r="C1207" t="s">
        <v>40</v>
      </c>
      <c r="D1207">
        <v>4.8660480000000002</v>
      </c>
      <c r="E1207">
        <v>0.58899599999999996</v>
      </c>
      <c r="F1207" t="s">
        <v>41</v>
      </c>
      <c r="G1207">
        <v>-215.691</v>
      </c>
      <c r="H1207">
        <v>7.9986719999999997E-2</v>
      </c>
      <c r="I1207">
        <v>357.58260000000001</v>
      </c>
      <c r="J1207">
        <v>-254.67250000000001</v>
      </c>
      <c r="K1207">
        <v>1.1102430000000001</v>
      </c>
      <c r="L1207">
        <v>367.07330000000002</v>
      </c>
      <c r="M1207">
        <v>0.99989490000000003</v>
      </c>
      <c r="N1207">
        <v>-1.4461379999999999E-2</v>
      </c>
      <c r="O1207">
        <v>1.039391E-3</v>
      </c>
      <c r="P1207">
        <v>0.98500969999999999</v>
      </c>
      <c r="Q1207">
        <v>0.17247509999999999</v>
      </c>
      <c r="R1207">
        <v>-2.8781420000000002E-3</v>
      </c>
      <c r="S1207">
        <v>3.0579529999999999</v>
      </c>
      <c r="T1207">
        <v>-8.0466029999999994E-2</v>
      </c>
      <c r="U1207">
        <v>-0.7412415</v>
      </c>
      <c r="V1207">
        <v>3.9093899999999996E-3</v>
      </c>
      <c r="W1207">
        <v>0.1867016</v>
      </c>
      <c r="X1207">
        <v>0.98240890000000003</v>
      </c>
      <c r="Y1207">
        <v>0.2364639</v>
      </c>
      <c r="Z1207">
        <v>-4.8130819999999998E-3</v>
      </c>
      <c r="AA1207">
        <v>0.97162839999999995</v>
      </c>
      <c r="AB1207">
        <v>32</v>
      </c>
      <c r="AC1207">
        <v>38.981499999999997</v>
      </c>
      <c r="AD1207">
        <v>-1.0302562799999999</v>
      </c>
      <c r="AE1207">
        <v>-9.4907000000000004</v>
      </c>
      <c r="AF1207">
        <v>9.5249351653724705</v>
      </c>
      <c r="AG1207">
        <v>-1.0302562799999999</v>
      </c>
      <c r="AH1207">
        <v>38.945931504803802</v>
      </c>
      <c r="AI1207">
        <v>91.471958295017899</v>
      </c>
      <c r="AJ1207">
        <v>76.257042680428199</v>
      </c>
      <c r="AK1207">
        <v>40.106999372726698</v>
      </c>
      <c r="AL1207">
        <v>79.239644517486298</v>
      </c>
      <c r="AM1207">
        <v>89.771998843721704</v>
      </c>
      <c r="AN1207">
        <v>1.00000000878597</v>
      </c>
    </row>
    <row r="1208" spans="1:40" x14ac:dyDescent="0.25">
      <c r="A1208" t="str">
        <f>"20190304155615519"</f>
        <v>20190304155615519</v>
      </c>
      <c r="B1208" t="str">
        <f>"1551686175516149"</f>
        <v>1551686175516149</v>
      </c>
      <c r="C1208" t="s">
        <v>40</v>
      </c>
      <c r="D1208">
        <v>4.7963279999999999</v>
      </c>
      <c r="E1208">
        <v>0.58837530000000005</v>
      </c>
      <c r="F1208" t="s">
        <v>41</v>
      </c>
      <c r="G1208">
        <v>-216.36799999999999</v>
      </c>
      <c r="H1208">
        <v>7.9986509999999997E-2</v>
      </c>
      <c r="I1208">
        <v>357.79239999999999</v>
      </c>
      <c r="J1208">
        <v>-254.51140000000001</v>
      </c>
      <c r="K1208">
        <v>1.1102459999999901</v>
      </c>
      <c r="L1208">
        <v>367.07350000000002</v>
      </c>
      <c r="M1208">
        <v>0.99989510000000004</v>
      </c>
      <c r="N1208">
        <v>-1.445975E-2</v>
      </c>
      <c r="O1208">
        <v>1.0392239999999901E-3</v>
      </c>
      <c r="P1208">
        <v>0.98499020000000004</v>
      </c>
      <c r="Q1208">
        <v>0.172576799999999</v>
      </c>
      <c r="R1208">
        <v>-3.4675740000000002E-3</v>
      </c>
      <c r="S1208">
        <v>3.0578919999999998</v>
      </c>
      <c r="T1208">
        <v>-8.2246420000000001E-2</v>
      </c>
      <c r="U1208">
        <v>-0.74090579999999995</v>
      </c>
      <c r="V1208">
        <v>4.4986569999999997E-3</v>
      </c>
      <c r="W1208">
        <v>0.1868013</v>
      </c>
      <c r="X1208">
        <v>0.98238740000000002</v>
      </c>
      <c r="Y1208">
        <v>0.23636309999999999</v>
      </c>
      <c r="Z1208">
        <v>-4.8793220000000002E-3</v>
      </c>
      <c r="AA1208">
        <v>0.97165259999999998</v>
      </c>
      <c r="AB1208">
        <v>32</v>
      </c>
      <c r="AC1208">
        <v>38.1434</v>
      </c>
      <c r="AD1208">
        <v>-1.0302594899999999</v>
      </c>
      <c r="AE1208">
        <v>-9.2811000000000305</v>
      </c>
      <c r="AF1208">
        <v>9.3143232332356707</v>
      </c>
      <c r="AG1208">
        <v>-1.0302594899999999</v>
      </c>
      <c r="AH1208">
        <v>38.107485950720303</v>
      </c>
      <c r="AI1208">
        <v>91.504385031555699</v>
      </c>
      <c r="AJ1208">
        <v>76.264923454104604</v>
      </c>
      <c r="AK1208">
        <v>39.242815105370298</v>
      </c>
      <c r="AL1208">
        <v>79.233829557698499</v>
      </c>
      <c r="AM1208">
        <v>89.737626665517595</v>
      </c>
      <c r="AN1208">
        <v>0.99999998363762599</v>
      </c>
    </row>
    <row r="1209" spans="1:40" x14ac:dyDescent="0.25">
      <c r="A1209" t="str">
        <f>"20190304155615531"</f>
        <v>20190304155615531</v>
      </c>
      <c r="B1209" t="str">
        <f>"1551686175525909"</f>
        <v>1551686175525909</v>
      </c>
      <c r="C1209" t="s">
        <v>40</v>
      </c>
      <c r="D1209">
        <v>4.842257</v>
      </c>
      <c r="E1209">
        <v>0.58808559999999999</v>
      </c>
      <c r="F1209" t="s">
        <v>41</v>
      </c>
      <c r="G1209">
        <v>-217.6669</v>
      </c>
      <c r="H1209">
        <v>7.9986109999999999E-2</v>
      </c>
      <c r="I1209">
        <v>358.18799999999999</v>
      </c>
      <c r="J1209">
        <v>-254.33260000000001</v>
      </c>
      <c r="K1209">
        <v>1.110247</v>
      </c>
      <c r="L1209">
        <v>367.07369999999997</v>
      </c>
      <c r="M1209">
        <v>0.99989499999999998</v>
      </c>
      <c r="N1209">
        <v>-1.4457930000000001E-2</v>
      </c>
      <c r="O1209">
        <v>1.039416E-3</v>
      </c>
      <c r="P1209">
        <v>0.98500189999999999</v>
      </c>
      <c r="Q1209">
        <v>0.1724937</v>
      </c>
      <c r="R1209">
        <v>-4.1727680000000003E-3</v>
      </c>
      <c r="S1209">
        <v>3.05809</v>
      </c>
      <c r="T1209">
        <v>-8.5511329999999997E-2</v>
      </c>
      <c r="U1209">
        <v>-0.73748780000000003</v>
      </c>
      <c r="V1209">
        <v>5.2040899999999998E-3</v>
      </c>
      <c r="W1209">
        <v>0.18671660000000001</v>
      </c>
      <c r="X1209">
        <v>0.9824001</v>
      </c>
      <c r="Y1209">
        <v>0.23531479999999999</v>
      </c>
      <c r="Z1209">
        <v>-4.9824099999999996E-3</v>
      </c>
      <c r="AA1209">
        <v>0.97190639999999995</v>
      </c>
      <c r="AB1209">
        <v>32</v>
      </c>
      <c r="AC1209">
        <v>36.665700000000001</v>
      </c>
      <c r="AD1209">
        <v>-1.0302608900000001</v>
      </c>
      <c r="AE1209">
        <v>-8.88569999999992</v>
      </c>
      <c r="AF1209">
        <v>8.9171601878089106</v>
      </c>
      <c r="AG1209">
        <v>-1.0302608900000001</v>
      </c>
      <c r="AH1209">
        <v>36.629127378100499</v>
      </c>
      <c r="AI1209">
        <v>91.565427040169297</v>
      </c>
      <c r="AJ1209">
        <v>76.317805494935897</v>
      </c>
      <c r="AK1209">
        <v>37.712997173356797</v>
      </c>
      <c r="AL1209">
        <v>79.238770297189106</v>
      </c>
      <c r="AM1209">
        <v>89.696488625982397</v>
      </c>
      <c r="AN1209">
        <v>1.00000006387414</v>
      </c>
    </row>
    <row r="1210" spans="1:40" x14ac:dyDescent="0.25">
      <c r="A1210" t="str">
        <f>"20190304155615543"</f>
        <v>20190304155615543</v>
      </c>
      <c r="B1210" t="str">
        <f>"1551686175535669"</f>
        <v>1551686175535669</v>
      </c>
      <c r="C1210" t="s">
        <v>40</v>
      </c>
      <c r="D1210">
        <v>5.0190039999999998</v>
      </c>
      <c r="E1210">
        <v>0.58789519999999995</v>
      </c>
      <c r="F1210" t="s">
        <v>41</v>
      </c>
      <c r="G1210">
        <v>-218.2884</v>
      </c>
      <c r="H1210">
        <v>7.9985920000000002E-2</v>
      </c>
      <c r="I1210">
        <v>358.38310000000001</v>
      </c>
      <c r="J1210">
        <v>-254.16159999999999</v>
      </c>
      <c r="K1210">
        <v>1.11025</v>
      </c>
      <c r="L1210">
        <v>367.07389999999998</v>
      </c>
      <c r="M1210">
        <v>0.99989499999999998</v>
      </c>
      <c r="N1210">
        <v>-1.4456180000000001E-2</v>
      </c>
      <c r="O1210">
        <v>1.0394289999999999E-3</v>
      </c>
      <c r="P1210">
        <v>0.98500160000000003</v>
      </c>
      <c r="Q1210">
        <v>0.17248169999999999</v>
      </c>
      <c r="R1210">
        <v>-4.6880719999999997E-3</v>
      </c>
      <c r="S1210">
        <v>3.0578609999999999</v>
      </c>
      <c r="T1210">
        <v>-8.7403540000000002E-2</v>
      </c>
      <c r="U1210">
        <v>-0.73727419999999899</v>
      </c>
      <c r="V1210">
        <v>5.7193399999999998E-3</v>
      </c>
      <c r="W1210">
        <v>0.18670300000000001</v>
      </c>
      <c r="X1210">
        <v>0.98239980000000005</v>
      </c>
      <c r="Y1210">
        <v>0.23526230000000001</v>
      </c>
      <c r="Z1210">
        <v>-5.0537220000000001E-3</v>
      </c>
      <c r="AA1210">
        <v>0.97191879999999997</v>
      </c>
      <c r="AB1210">
        <v>32</v>
      </c>
      <c r="AC1210">
        <v>35.873199999999997</v>
      </c>
      <c r="AD1210">
        <v>-1.03026408</v>
      </c>
      <c r="AE1210">
        <v>-8.6907999999999603</v>
      </c>
      <c r="AF1210">
        <v>8.7212921788294508</v>
      </c>
      <c r="AG1210">
        <v>-1.03026408</v>
      </c>
      <c r="AH1210">
        <v>35.836226583820299</v>
      </c>
      <c r="AI1210">
        <v>91.600079445643402</v>
      </c>
      <c r="AJ1210">
        <v>76.322093177553498</v>
      </c>
      <c r="AK1210">
        <v>36.896578664016502</v>
      </c>
      <c r="AL1210">
        <v>79.239563251686207</v>
      </c>
      <c r="AM1210">
        <v>89.666438916770403</v>
      </c>
      <c r="AN1210">
        <v>1.00000004404953</v>
      </c>
    </row>
    <row r="1211" spans="1:40" x14ac:dyDescent="0.25">
      <c r="A1211" t="str">
        <f>"20190304155615555"</f>
        <v>20190304155615555</v>
      </c>
      <c r="B1211" t="str">
        <f>"1551686175545429"</f>
        <v>1551686175545429</v>
      </c>
      <c r="C1211" t="s">
        <v>40</v>
      </c>
      <c r="D1211">
        <v>4.8069470000000001</v>
      </c>
      <c r="E1211">
        <v>0.58764559999999999</v>
      </c>
      <c r="F1211" t="s">
        <v>41</v>
      </c>
      <c r="G1211">
        <v>-218.7543</v>
      </c>
      <c r="H1211">
        <v>7.9985769999999998E-2</v>
      </c>
      <c r="I1211">
        <v>358.53519999999997</v>
      </c>
      <c r="J1211">
        <v>-253.9958</v>
      </c>
      <c r="K1211">
        <v>1.110249</v>
      </c>
      <c r="L1211">
        <v>367.07400000000001</v>
      </c>
      <c r="M1211">
        <v>0.99989499999999998</v>
      </c>
      <c r="N1211">
        <v>-1.4454470000000001E-2</v>
      </c>
      <c r="O1211">
        <v>1.039262E-3</v>
      </c>
      <c r="P1211">
        <v>0.98503399999999997</v>
      </c>
      <c r="Q1211">
        <v>0.17228399999999999</v>
      </c>
      <c r="R1211">
        <v>-5.1293099999999998E-3</v>
      </c>
      <c r="S1211">
        <v>3.0577700000000001</v>
      </c>
      <c r="T1211">
        <v>-8.8973280000000002E-2</v>
      </c>
      <c r="U1211">
        <v>-0.73739619999999995</v>
      </c>
      <c r="V1211">
        <v>6.1604609999999999E-3</v>
      </c>
      <c r="W1211">
        <v>0.1865039</v>
      </c>
      <c r="X1211">
        <v>0.9824349</v>
      </c>
      <c r="Y1211">
        <v>0.23530129999999999</v>
      </c>
      <c r="Z1211">
        <v>-5.1144909999999997E-3</v>
      </c>
      <c r="AA1211">
        <v>0.97190900000000002</v>
      </c>
      <c r="AB1211">
        <v>32</v>
      </c>
      <c r="AC1211">
        <v>35.241500000000002</v>
      </c>
      <c r="AD1211">
        <v>-1.0302632300000001</v>
      </c>
      <c r="AE1211">
        <v>-8.5388000000000304</v>
      </c>
      <c r="AF1211">
        <v>8.5685073734754393</v>
      </c>
      <c r="AG1211">
        <v>-1.0302632300000001</v>
      </c>
      <c r="AH1211">
        <v>35.204187140772099</v>
      </c>
      <c r="AI1211">
        <v>91.628778878318002</v>
      </c>
      <c r="AJ1211">
        <v>76.320508062798197</v>
      </c>
      <c r="AK1211">
        <v>36.246593676853301</v>
      </c>
      <c r="AL1211">
        <v>79.251174253556002</v>
      </c>
      <c r="AM1211">
        <v>89.640725518843297</v>
      </c>
      <c r="AN1211">
        <v>0.99999999436647602</v>
      </c>
    </row>
    <row r="1212" spans="1:40" x14ac:dyDescent="0.25">
      <c r="A1212" t="str">
        <f>"20190304155615565"</f>
        <v>20190304155615565</v>
      </c>
      <c r="B1212" t="str">
        <f>"1551686175556165"</f>
        <v>1551686175556165</v>
      </c>
      <c r="C1212" t="s">
        <v>40</v>
      </c>
      <c r="D1212">
        <v>4.8749120000000001</v>
      </c>
      <c r="E1212">
        <v>0.58742939999999999</v>
      </c>
      <c r="F1212" t="s">
        <v>41</v>
      </c>
      <c r="G1212">
        <v>-219.22120000000001</v>
      </c>
      <c r="H1212">
        <v>7.9985630000000002E-2</v>
      </c>
      <c r="I1212">
        <v>358.69400000000002</v>
      </c>
      <c r="J1212">
        <v>-253.82660000000001</v>
      </c>
      <c r="K1212">
        <v>1.110247</v>
      </c>
      <c r="L1212">
        <v>367.07420000000002</v>
      </c>
      <c r="M1212">
        <v>0.99989499999999998</v>
      </c>
      <c r="N1212">
        <v>-1.4452710000000001E-2</v>
      </c>
      <c r="O1212">
        <v>1.039454E-3</v>
      </c>
      <c r="P1212">
        <v>0.98505670000000001</v>
      </c>
      <c r="Q1212">
        <v>0.17214109999999999</v>
      </c>
      <c r="R1212">
        <v>-5.5576840000000002E-3</v>
      </c>
      <c r="S1212">
        <v>3.0575709999999998</v>
      </c>
      <c r="T1212">
        <v>-9.0586189999999997E-2</v>
      </c>
      <c r="U1212">
        <v>-0.73681640000000004</v>
      </c>
      <c r="V1212">
        <v>6.5889379999999999E-3</v>
      </c>
      <c r="W1212">
        <v>0.18635959999999999</v>
      </c>
      <c r="X1212">
        <v>0.98245950000000004</v>
      </c>
      <c r="Y1212">
        <v>0.2351374</v>
      </c>
      <c r="Z1212">
        <v>-5.1726519999999998E-3</v>
      </c>
      <c r="AA1212">
        <v>0.97194840000000005</v>
      </c>
      <c r="AB1212">
        <v>32</v>
      </c>
      <c r="AC1212">
        <v>34.605400000000003</v>
      </c>
      <c r="AD1212">
        <v>-1.0302613700000001</v>
      </c>
      <c r="AE1212">
        <v>-8.3802000000000003</v>
      </c>
      <c r="AF1212">
        <v>8.4091293730266194</v>
      </c>
      <c r="AG1212">
        <v>-1.0302613700000001</v>
      </c>
      <c r="AH1212">
        <v>34.567727586793097</v>
      </c>
      <c r="AI1212">
        <v>91.658797509303497</v>
      </c>
      <c r="AJ1212">
        <v>76.327498535262393</v>
      </c>
      <c r="AK1212">
        <v>35.590766861892</v>
      </c>
      <c r="AL1212">
        <v>79.259589545650002</v>
      </c>
      <c r="AM1212">
        <v>89.615747337166098</v>
      </c>
      <c r="AN1212">
        <v>0.999999991878189</v>
      </c>
    </row>
    <row r="1213" spans="1:40" x14ac:dyDescent="0.25">
      <c r="A1213" t="str">
        <f>"20190304155615577"</f>
        <v>20190304155615577</v>
      </c>
      <c r="B1213" t="str">
        <f>"1551686175565926"</f>
        <v>1551686175565926</v>
      </c>
      <c r="C1213" t="s">
        <v>40</v>
      </c>
      <c r="D1213">
        <v>4.8491949999999999</v>
      </c>
      <c r="E1213">
        <v>0.58716579999999996</v>
      </c>
      <c r="F1213" t="s">
        <v>41</v>
      </c>
      <c r="G1213">
        <v>-219.5865</v>
      </c>
      <c r="H1213">
        <v>7.9985509999999996E-2</v>
      </c>
      <c r="I1213">
        <v>358.82670000000002</v>
      </c>
      <c r="J1213">
        <v>-253.66460000000001</v>
      </c>
      <c r="K1213">
        <v>1.11025</v>
      </c>
      <c r="L1213">
        <v>367.07429999999999</v>
      </c>
      <c r="M1213">
        <v>0.99989519999999998</v>
      </c>
      <c r="N1213">
        <v>-1.445102E-2</v>
      </c>
      <c r="O1213">
        <v>1.0392870000000001E-3</v>
      </c>
      <c r="P1213">
        <v>0.98508169999999995</v>
      </c>
      <c r="Q1213">
        <v>0.17198089999999999</v>
      </c>
      <c r="R1213">
        <v>-6.079821E-3</v>
      </c>
      <c r="S1213">
        <v>3.0574490000000001</v>
      </c>
      <c r="T1213">
        <v>-9.1996430000000004E-2</v>
      </c>
      <c r="U1213">
        <v>-0.73645019999999894</v>
      </c>
      <c r="V1213">
        <v>7.1108999999999999E-3</v>
      </c>
      <c r="W1213">
        <v>0.1861979</v>
      </c>
      <c r="X1213">
        <v>0.98248650000000004</v>
      </c>
      <c r="Y1213">
        <v>0.2350323</v>
      </c>
      <c r="Z1213">
        <v>-5.2241969999999999E-3</v>
      </c>
      <c r="AA1213">
        <v>0.97197350000000005</v>
      </c>
      <c r="AB1213">
        <v>32</v>
      </c>
      <c r="AC1213">
        <v>34.078099999999999</v>
      </c>
      <c r="AD1213">
        <v>-1.03026449</v>
      </c>
      <c r="AE1213">
        <v>-8.2475999999999701</v>
      </c>
      <c r="AF1213">
        <v>8.2758705558149508</v>
      </c>
      <c r="AG1213">
        <v>-1.03026449</v>
      </c>
      <c r="AH1213">
        <v>34.040117925071499</v>
      </c>
      <c r="AI1213">
        <v>91.684554431503699</v>
      </c>
      <c r="AJ1213">
        <v>76.335300975727307</v>
      </c>
      <c r="AK1213">
        <v>35.046841608463602</v>
      </c>
      <c r="AL1213">
        <v>79.269019115846206</v>
      </c>
      <c r="AM1213">
        <v>89.585320058208097</v>
      </c>
      <c r="AN1213">
        <v>0.999999972772734</v>
      </c>
    </row>
    <row r="1214" spans="1:40" x14ac:dyDescent="0.25">
      <c r="A1214" t="str">
        <f>"20190304155615590"</f>
        <v>20190304155615590</v>
      </c>
      <c r="B1214" t="str">
        <f>"1551686175585445"</f>
        <v>1551686175585445</v>
      </c>
      <c r="C1214" t="s">
        <v>40</v>
      </c>
      <c r="D1214">
        <v>4.8547669999999998</v>
      </c>
      <c r="E1214">
        <v>0.58663279999999995</v>
      </c>
      <c r="F1214" t="s">
        <v>41</v>
      </c>
      <c r="G1214">
        <v>-219.9633</v>
      </c>
      <c r="H1214">
        <v>7.9986860000000007E-2</v>
      </c>
      <c r="I1214">
        <v>358.96030000000002</v>
      </c>
      <c r="J1214">
        <v>-253.49010000000001</v>
      </c>
      <c r="K1214">
        <v>1.11025</v>
      </c>
      <c r="L1214">
        <v>367.0745</v>
      </c>
      <c r="M1214">
        <v>0.99989499999999998</v>
      </c>
      <c r="N1214">
        <v>-1.4449200000000001E-2</v>
      </c>
      <c r="O1214">
        <v>1.0394789999999901E-3</v>
      </c>
      <c r="P1214">
        <v>0.9851105</v>
      </c>
      <c r="Q1214">
        <v>0.17179369999999999</v>
      </c>
      <c r="R1214">
        <v>-6.6475140000000002E-3</v>
      </c>
      <c r="S1214">
        <v>3.0572050000000002</v>
      </c>
      <c r="T1214">
        <v>-9.3460080000000001E-2</v>
      </c>
      <c r="U1214">
        <v>-0.73605350000000003</v>
      </c>
      <c r="V1214">
        <v>7.679005E-3</v>
      </c>
      <c r="W1214">
        <v>0.1860096</v>
      </c>
      <c r="X1214">
        <v>0.98251790000000006</v>
      </c>
      <c r="Y1214">
        <v>0.234927</v>
      </c>
      <c r="Z1214">
        <v>-5.277866E-3</v>
      </c>
      <c r="AA1214">
        <v>0.97199869999999999</v>
      </c>
      <c r="AB1214">
        <v>32</v>
      </c>
      <c r="AC1214">
        <v>33.526800000000001</v>
      </c>
      <c r="AD1214">
        <v>-1.03026314</v>
      </c>
      <c r="AE1214">
        <v>-8.1141999999999808</v>
      </c>
      <c r="AF1214">
        <v>8.1417867536054391</v>
      </c>
      <c r="AG1214">
        <v>-1.03026314</v>
      </c>
      <c r="AH1214">
        <v>33.488472961264101</v>
      </c>
      <c r="AI1214">
        <v>91.712284549227107</v>
      </c>
      <c r="AJ1214">
        <v>76.335248115128294</v>
      </c>
      <c r="AK1214">
        <v>34.479384492130102</v>
      </c>
      <c r="AL1214">
        <v>79.279999832397394</v>
      </c>
      <c r="AM1214">
        <v>89.552206001347699</v>
      </c>
      <c r="AN1214">
        <v>0.99999998111517896</v>
      </c>
    </row>
    <row r="1215" spans="1:40" x14ac:dyDescent="0.25">
      <c r="A1215" t="str">
        <f>"20190304155615603"</f>
        <v>20190304155615603</v>
      </c>
      <c r="B1215" t="str">
        <f>"1551686175596181"</f>
        <v>1551686175596181</v>
      </c>
      <c r="C1215" t="s">
        <v>40</v>
      </c>
      <c r="D1215">
        <v>4.8333159999999999</v>
      </c>
      <c r="E1215">
        <v>0.5863834</v>
      </c>
      <c r="F1215" t="s">
        <v>41</v>
      </c>
      <c r="G1215">
        <v>-220.7474</v>
      </c>
      <c r="H1215">
        <v>7.998661E-2</v>
      </c>
      <c r="I1215">
        <v>359.21539999999999</v>
      </c>
      <c r="J1215">
        <v>-253.2927</v>
      </c>
      <c r="K1215">
        <v>1.1102540000000001</v>
      </c>
      <c r="L1215">
        <v>367.07470000000001</v>
      </c>
      <c r="M1215">
        <v>0.99989510000000004</v>
      </c>
      <c r="N1215">
        <v>-1.4447130000000001E-2</v>
      </c>
      <c r="O1215">
        <v>1.039494E-3</v>
      </c>
      <c r="P1215">
        <v>0.98519279999999998</v>
      </c>
      <c r="Q1215">
        <v>0.17127239999999999</v>
      </c>
      <c r="R1215">
        <v>-7.8056710000000001E-3</v>
      </c>
      <c r="S1215">
        <v>3.057159</v>
      </c>
      <c r="T1215">
        <v>-9.6194740000000001E-2</v>
      </c>
      <c r="U1215">
        <v>-0.73379519999999998</v>
      </c>
      <c r="V1215">
        <v>8.8371109999999999E-3</v>
      </c>
      <c r="W1215">
        <v>0.18548719999999999</v>
      </c>
      <c r="X1215">
        <v>0.98260689999999995</v>
      </c>
      <c r="Y1215">
        <v>0.23424420000000001</v>
      </c>
      <c r="Z1215">
        <v>-5.3667180000000004E-3</v>
      </c>
      <c r="AA1215">
        <v>0.972163</v>
      </c>
      <c r="AB1215">
        <v>32</v>
      </c>
      <c r="AC1215">
        <v>32.545299999999997</v>
      </c>
      <c r="AD1215">
        <v>-1.0302673899999999</v>
      </c>
      <c r="AE1215">
        <v>-7.8593000000000099</v>
      </c>
      <c r="AF1215">
        <v>7.8856629304284196</v>
      </c>
      <c r="AG1215">
        <v>-1.0302673899999999</v>
      </c>
      <c r="AH1215">
        <v>32.506331359052901</v>
      </c>
      <c r="AI1215">
        <v>91.764210047251495</v>
      </c>
      <c r="AJ1215">
        <v>76.364115328928705</v>
      </c>
      <c r="AK1215">
        <v>33.465007234001597</v>
      </c>
      <c r="AL1215">
        <v>79.3104610074828</v>
      </c>
      <c r="AM1215">
        <v>89.484722209061701</v>
      </c>
      <c r="AN1215">
        <v>0.99999995791113705</v>
      </c>
    </row>
    <row r="1216" spans="1:40" x14ac:dyDescent="0.25">
      <c r="A1216" t="str">
        <f>"20190304155615617"</f>
        <v>20190304155615617</v>
      </c>
      <c r="B1216" t="str">
        <f>"1551686175605941"</f>
        <v>1551686175605941</v>
      </c>
      <c r="C1216" t="s">
        <v>40</v>
      </c>
      <c r="D1216">
        <v>4.8659280000000003</v>
      </c>
      <c r="E1216">
        <v>0.58614060000000001</v>
      </c>
      <c r="F1216" t="s">
        <v>41</v>
      </c>
      <c r="G1216">
        <v>-221.4145</v>
      </c>
      <c r="H1216">
        <v>7.9986409999999994E-2</v>
      </c>
      <c r="I1216">
        <v>359.40769999999998</v>
      </c>
      <c r="J1216">
        <v>-253.09729999999999</v>
      </c>
      <c r="K1216">
        <v>1.110255</v>
      </c>
      <c r="L1216">
        <v>367.07499999999999</v>
      </c>
      <c r="M1216">
        <v>0.99989530000000004</v>
      </c>
      <c r="N1216">
        <v>-1.4445080000000001E-2</v>
      </c>
      <c r="O1216">
        <v>1.0391510000000001E-3</v>
      </c>
      <c r="P1216">
        <v>0.98519449999999997</v>
      </c>
      <c r="Q1216">
        <v>0.17124120000000001</v>
      </c>
      <c r="R1216">
        <v>-8.30123199999999E-3</v>
      </c>
      <c r="S1216">
        <v>3.0564580000000001</v>
      </c>
      <c r="T1216">
        <v>-9.8780870000000007E-2</v>
      </c>
      <c r="U1216">
        <v>-0.73510739999999997</v>
      </c>
      <c r="V1216">
        <v>9.3321849999999998E-3</v>
      </c>
      <c r="W1216">
        <v>0.1854539</v>
      </c>
      <c r="X1216">
        <v>0.9826087</v>
      </c>
      <c r="Y1216">
        <v>0.23468140000000001</v>
      </c>
      <c r="Z1216">
        <v>-5.4758949999999997E-3</v>
      </c>
      <c r="AA1216">
        <v>0.9720569</v>
      </c>
      <c r="AB1216">
        <v>32</v>
      </c>
      <c r="AC1216">
        <v>31.682799999999901</v>
      </c>
      <c r="AD1216">
        <v>-1.0302685899999999</v>
      </c>
      <c r="AE1216">
        <v>-7.6673000000000098</v>
      </c>
      <c r="AF1216">
        <v>7.6925381732715596</v>
      </c>
      <c r="AG1216">
        <v>-1.0302685899999999</v>
      </c>
      <c r="AH1216">
        <v>31.643205140726899</v>
      </c>
      <c r="AI1216">
        <v>91.812089143280105</v>
      </c>
      <c r="AJ1216">
        <v>76.336313653459698</v>
      </c>
      <c r="AK1216">
        <v>32.581114598688998</v>
      </c>
      <c r="AL1216">
        <v>79.312403619028501</v>
      </c>
      <c r="AM1216">
        <v>89.455857923348205</v>
      </c>
      <c r="AN1216">
        <v>1.00000004800888</v>
      </c>
    </row>
    <row r="1217" spans="1:40" x14ac:dyDescent="0.25">
      <c r="A1217" t="str">
        <f>"20190304155615633"</f>
        <v>20190304155615633</v>
      </c>
      <c r="B1217" t="str">
        <f>"1551686175625461"</f>
        <v>1551686175625461</v>
      </c>
      <c r="C1217" t="s">
        <v>40</v>
      </c>
      <c r="D1217">
        <v>4.9063610000000004</v>
      </c>
      <c r="E1217">
        <v>0.58562550000000002</v>
      </c>
      <c r="F1217" t="s">
        <v>41</v>
      </c>
      <c r="G1217">
        <v>-221.7542</v>
      </c>
      <c r="H1217">
        <v>7.9986299999999996E-2</v>
      </c>
      <c r="I1217">
        <v>359.54390000000001</v>
      </c>
      <c r="J1217">
        <v>-252.87610000000001</v>
      </c>
      <c r="K1217">
        <v>1.1102540000000001</v>
      </c>
      <c r="L1217">
        <v>367.0752</v>
      </c>
      <c r="M1217">
        <v>0.99989519999999998</v>
      </c>
      <c r="N1217">
        <v>-1.4442750000000001E-2</v>
      </c>
      <c r="O1217">
        <v>1.0393469999999999E-3</v>
      </c>
      <c r="P1217">
        <v>0.98516119999999996</v>
      </c>
      <c r="Q1217">
        <v>0.1714029</v>
      </c>
      <c r="R1217">
        <v>-8.8679959999999995E-3</v>
      </c>
      <c r="S1217">
        <v>3.0563660000000001</v>
      </c>
      <c r="T1217">
        <v>-0.1004646</v>
      </c>
      <c r="U1217">
        <v>-0.734375</v>
      </c>
      <c r="V1217">
        <v>9.8992379999999994E-3</v>
      </c>
      <c r="W1217">
        <v>0.18561269999999999</v>
      </c>
      <c r="X1217">
        <v>0.98257309999999998</v>
      </c>
      <c r="Y1217">
        <v>0.23446320000000001</v>
      </c>
      <c r="Z1217">
        <v>-5.5349259999999999E-3</v>
      </c>
      <c r="AA1217">
        <v>0.97210929999999995</v>
      </c>
      <c r="AB1217">
        <v>32</v>
      </c>
      <c r="AC1217">
        <v>31.1219</v>
      </c>
      <c r="AD1217">
        <v>-1.0302677</v>
      </c>
      <c r="AE1217">
        <v>-7.5312999999999803</v>
      </c>
      <c r="AF1217">
        <v>7.5558234673894198</v>
      </c>
      <c r="AG1217">
        <v>-1.0302677</v>
      </c>
      <c r="AH1217">
        <v>31.081876714139302</v>
      </c>
      <c r="AI1217">
        <v>91.844794333368199</v>
      </c>
      <c r="AJ1217">
        <v>76.336756503186606</v>
      </c>
      <c r="AK1217">
        <v>32.003671349971299</v>
      </c>
      <c r="AL1217">
        <v>79.3031435862557</v>
      </c>
      <c r="AM1217">
        <v>89.422775395665099</v>
      </c>
      <c r="AN1217">
        <v>0.99999998307894</v>
      </c>
    </row>
    <row r="1218" spans="1:40" x14ac:dyDescent="0.25">
      <c r="A1218" t="str">
        <f>"20190304155615646"</f>
        <v>20190304155615646</v>
      </c>
      <c r="B1218" t="str">
        <f>"1551686175636197"</f>
        <v>1551686175636197</v>
      </c>
      <c r="C1218" t="s">
        <v>40</v>
      </c>
      <c r="D1218">
        <v>4.8796900000000001</v>
      </c>
      <c r="E1218">
        <v>0.58536149999999998</v>
      </c>
      <c r="F1218" t="s">
        <v>41</v>
      </c>
      <c r="G1218">
        <v>-221.67250000000001</v>
      </c>
      <c r="H1218">
        <v>6.6288899999999901E-2</v>
      </c>
      <c r="I1218">
        <v>359.6001</v>
      </c>
      <c r="J1218">
        <v>-252.6711</v>
      </c>
      <c r="K1218">
        <v>1.1102559999999999</v>
      </c>
      <c r="L1218">
        <v>367.0754</v>
      </c>
      <c r="M1218">
        <v>0.99989530000000004</v>
      </c>
      <c r="N1218">
        <v>-1.444058E-2</v>
      </c>
      <c r="O1218">
        <v>1.039363E-3</v>
      </c>
      <c r="P1218">
        <v>0.98516000000000004</v>
      </c>
      <c r="Q1218">
        <v>0.17137729999999901</v>
      </c>
      <c r="R1218">
        <v>-9.48244E-3</v>
      </c>
      <c r="S1218">
        <v>3.056381</v>
      </c>
      <c r="T1218">
        <v>-0.1022559</v>
      </c>
      <c r="U1218">
        <v>-0.73217769999999904</v>
      </c>
      <c r="V1218">
        <v>1.051377E-2</v>
      </c>
      <c r="W1218">
        <v>0.1855851</v>
      </c>
      <c r="X1218">
        <v>0.982572</v>
      </c>
      <c r="Y1218">
        <v>0.23379649999999999</v>
      </c>
      <c r="Z1218">
        <v>-5.5872689999999997E-3</v>
      </c>
      <c r="AA1218">
        <v>0.97226950000000001</v>
      </c>
      <c r="AB1218">
        <v>32</v>
      </c>
      <c r="AC1218">
        <v>30.9985999999999</v>
      </c>
      <c r="AD1218">
        <v>-1.0439670999999999</v>
      </c>
      <c r="AE1218">
        <v>-7.4752999999999998</v>
      </c>
      <c r="AF1218">
        <v>7.4994796700327502</v>
      </c>
      <c r="AG1218">
        <v>-1.0439670999999999</v>
      </c>
      <c r="AH1218">
        <v>30.9576304276322</v>
      </c>
      <c r="AI1218">
        <v>91.877167090528502</v>
      </c>
      <c r="AJ1218">
        <v>76.382445737357003</v>
      </c>
      <c r="AK1218">
        <v>31.8701575823053</v>
      </c>
      <c r="AL1218">
        <v>79.304753656056704</v>
      </c>
      <c r="AM1218">
        <v>89.386944001181405</v>
      </c>
      <c r="AN1218">
        <v>1.0000000519428101</v>
      </c>
    </row>
    <row r="1219" spans="1:40" x14ac:dyDescent="0.25">
      <c r="A1219" t="str">
        <f>"20190304155615661"</f>
        <v>20190304155615661</v>
      </c>
      <c r="B1219" t="str">
        <f>"1551686175656227"</f>
        <v>1551686175656227</v>
      </c>
      <c r="C1219" t="s">
        <v>40</v>
      </c>
      <c r="D1219">
        <v>4.8729209999999998</v>
      </c>
      <c r="E1219">
        <v>0.58484919999999996</v>
      </c>
      <c r="F1219" t="s">
        <v>41</v>
      </c>
      <c r="G1219">
        <v>-221.4965</v>
      </c>
      <c r="H1219">
        <v>5.5087749999999998E-2</v>
      </c>
      <c r="I1219">
        <v>359.61130000000003</v>
      </c>
      <c r="J1219">
        <v>-252.47229999999999</v>
      </c>
      <c r="K1219">
        <v>1.11026</v>
      </c>
      <c r="L1219">
        <v>367.07560000000001</v>
      </c>
      <c r="M1219">
        <v>0.99989530000000004</v>
      </c>
      <c r="N1219">
        <v>-1.443848E-2</v>
      </c>
      <c r="O1219">
        <v>1.0393780000000001E-3</v>
      </c>
      <c r="P1219">
        <v>0.98512920000000004</v>
      </c>
      <c r="Q1219">
        <v>0.17149049999999999</v>
      </c>
      <c r="R1219">
        <v>-1.056756E-2</v>
      </c>
      <c r="S1219">
        <v>3.0561219999999998</v>
      </c>
      <c r="T1219">
        <v>-0.10344059999999999</v>
      </c>
      <c r="U1219">
        <v>-0.73172000000000004</v>
      </c>
      <c r="V1219">
        <v>1.1598789999999999E-2</v>
      </c>
      <c r="W1219">
        <v>0.18569569999999999</v>
      </c>
      <c r="X1219">
        <v>0.98253880000000005</v>
      </c>
      <c r="Y1219">
        <v>0.23367399999999999</v>
      </c>
      <c r="Z1219">
        <v>-5.6295030000000001E-3</v>
      </c>
      <c r="AA1219">
        <v>0.97229869999999996</v>
      </c>
      <c r="AB1219">
        <v>32</v>
      </c>
      <c r="AC1219">
        <v>30.9757999999999</v>
      </c>
      <c r="AD1219">
        <v>-1.05517225</v>
      </c>
      <c r="AE1219">
        <v>-7.4642999999999802</v>
      </c>
      <c r="AF1219">
        <v>7.4882824784212199</v>
      </c>
      <c r="AG1219">
        <v>-1.05517225</v>
      </c>
      <c r="AH1219">
        <v>30.934098766781499</v>
      </c>
      <c r="AI1219">
        <v>91.898819875999195</v>
      </c>
      <c r="AJ1219">
        <v>76.392062619223594</v>
      </c>
      <c r="AK1219">
        <v>31.845034612428801</v>
      </c>
      <c r="AL1219">
        <v>79.298303640822695</v>
      </c>
      <c r="AM1219">
        <v>89.323659435333397</v>
      </c>
      <c r="AN1219">
        <v>0.99999995921669604</v>
      </c>
    </row>
    <row r="1220" spans="1:40" x14ac:dyDescent="0.25">
      <c r="A1220" t="str">
        <f>"20190304155615675"</f>
        <v>20190304155615675</v>
      </c>
      <c r="B1220" t="str">
        <f>"1551686175665986"</f>
        <v>1551686175665986</v>
      </c>
      <c r="C1220" t="s">
        <v>40</v>
      </c>
      <c r="D1220">
        <v>4.9172359999999999</v>
      </c>
      <c r="E1220">
        <v>0.58463849999999995</v>
      </c>
      <c r="F1220" t="s">
        <v>41</v>
      </c>
      <c r="G1220">
        <v>-221.27330000000001</v>
      </c>
      <c r="H1220">
        <v>3.974888E-2</v>
      </c>
      <c r="I1220">
        <v>359.6164</v>
      </c>
      <c r="J1220">
        <v>-252.26410000000001</v>
      </c>
      <c r="K1220">
        <v>1.110258</v>
      </c>
      <c r="L1220">
        <v>367.07580000000002</v>
      </c>
      <c r="M1220">
        <v>0.99989530000000004</v>
      </c>
      <c r="N1220">
        <v>-1.4436289999999999E-2</v>
      </c>
      <c r="O1220">
        <v>1.0385539999999999E-3</v>
      </c>
      <c r="P1220">
        <v>0.98509570000000002</v>
      </c>
      <c r="Q1220">
        <v>0.17166329999999999</v>
      </c>
      <c r="R1220">
        <v>-1.088416E-2</v>
      </c>
      <c r="S1220">
        <v>3.0556950000000001</v>
      </c>
      <c r="T1220">
        <v>-0.10484789999999999</v>
      </c>
      <c r="U1220">
        <v>-0.73056030000000005</v>
      </c>
      <c r="V1220">
        <v>1.19148E-2</v>
      </c>
      <c r="W1220">
        <v>0.1858658</v>
      </c>
      <c r="X1220">
        <v>0.98250289999999996</v>
      </c>
      <c r="Y1220">
        <v>0.2333509</v>
      </c>
      <c r="Z1220">
        <v>-5.6755419999999996E-3</v>
      </c>
      <c r="AA1220">
        <v>0.97237600000000002</v>
      </c>
      <c r="AB1220">
        <v>32</v>
      </c>
      <c r="AC1220">
        <v>30.9908</v>
      </c>
      <c r="AD1220">
        <v>-1.0705091200000001</v>
      </c>
      <c r="AE1220">
        <v>-7.4594000000000102</v>
      </c>
      <c r="AF1220">
        <v>7.4831449906158198</v>
      </c>
      <c r="AG1220">
        <v>-1.0705091200000001</v>
      </c>
      <c r="AH1220">
        <v>30.948130254198102</v>
      </c>
      <c r="AI1220">
        <v>91.925646994499004</v>
      </c>
      <c r="AJ1220">
        <v>76.406988599865898</v>
      </c>
      <c r="AK1220">
        <v>31.857969410453599</v>
      </c>
      <c r="AL1220">
        <v>79.288385433798297</v>
      </c>
      <c r="AM1220">
        <v>89.305208878820196</v>
      </c>
      <c r="AN1220">
        <v>1.0000000032885401</v>
      </c>
    </row>
    <row r="1221" spans="1:40" x14ac:dyDescent="0.25">
      <c r="A1221" t="str">
        <f>"20190304155615689"</f>
        <v>20190304155615689</v>
      </c>
      <c r="B1221" t="str">
        <f>"1551686175685507"</f>
        <v>1551686175685507</v>
      </c>
      <c r="C1221" t="s">
        <v>40</v>
      </c>
      <c r="D1221">
        <v>4.8270910000000002</v>
      </c>
      <c r="E1221">
        <v>0.58440190000000003</v>
      </c>
      <c r="F1221" t="s">
        <v>41</v>
      </c>
      <c r="G1221">
        <v>-221.04320000000001</v>
      </c>
      <c r="H1221">
        <v>3.2200739999999999E-2</v>
      </c>
      <c r="I1221">
        <v>359.6164</v>
      </c>
      <c r="J1221">
        <v>-252.05590000000001</v>
      </c>
      <c r="K1221">
        <v>1.110258</v>
      </c>
      <c r="L1221">
        <v>367.07600000000002</v>
      </c>
      <c r="M1221">
        <v>0.99989530000000004</v>
      </c>
      <c r="N1221">
        <v>-1.443415E-2</v>
      </c>
      <c r="O1221">
        <v>1.0365260000000001E-3</v>
      </c>
      <c r="P1221">
        <v>0.98501780000000005</v>
      </c>
      <c r="Q1221">
        <v>0.1720795</v>
      </c>
      <c r="R1221">
        <v>-1.1350789999999999E-2</v>
      </c>
      <c r="S1221">
        <v>3.0557099999999999</v>
      </c>
      <c r="T1221">
        <v>-0.1055135</v>
      </c>
      <c r="U1221">
        <v>-0.73007200000000005</v>
      </c>
      <c r="V1221">
        <v>1.237969E-2</v>
      </c>
      <c r="W1221">
        <v>0.18627850000000001</v>
      </c>
      <c r="X1221">
        <v>0.98241900000000004</v>
      </c>
      <c r="Y1221">
        <v>0.23319899999999999</v>
      </c>
      <c r="Z1221">
        <v>-5.696843E-3</v>
      </c>
      <c r="AA1221">
        <v>0.97241230000000001</v>
      </c>
      <c r="AB1221">
        <v>32</v>
      </c>
      <c r="AC1221">
        <v>31.012699999999899</v>
      </c>
      <c r="AD1221">
        <v>-1.07805726</v>
      </c>
      <c r="AE1221">
        <v>-7.45959999999996</v>
      </c>
      <c r="AF1221">
        <v>7.4831968024684903</v>
      </c>
      <c r="AG1221">
        <v>-1.07805726</v>
      </c>
      <c r="AH1221">
        <v>30.969574114654201</v>
      </c>
      <c r="AI1221">
        <v>91.937945943553004</v>
      </c>
      <c r="AJ1221">
        <v>76.415961200162698</v>
      </c>
      <c r="AK1221">
        <v>31.8790677825336</v>
      </c>
      <c r="AL1221">
        <v>79.264319289863494</v>
      </c>
      <c r="AM1221">
        <v>89.278040786520407</v>
      </c>
      <c r="AN1221">
        <v>1.0000000139238701</v>
      </c>
    </row>
    <row r="1222" spans="1:40" x14ac:dyDescent="0.25">
      <c r="A1222" t="str">
        <f>"20190304155615705"</f>
        <v>20190304155615705</v>
      </c>
      <c r="B1222" t="str">
        <f>"1551686175696243"</f>
        <v>1551686175696243</v>
      </c>
      <c r="C1222" t="s">
        <v>40</v>
      </c>
      <c r="D1222">
        <v>4.8854170000000003</v>
      </c>
      <c r="E1222">
        <v>0.5841385</v>
      </c>
      <c r="F1222" t="s">
        <v>41</v>
      </c>
      <c r="G1222">
        <v>-220.81530000000001</v>
      </c>
      <c r="H1222">
        <v>3.8905219999999997E-2</v>
      </c>
      <c r="I1222">
        <v>359.6164</v>
      </c>
      <c r="J1222">
        <v>-251.84030000000001</v>
      </c>
      <c r="K1222">
        <v>1.1102559999999999</v>
      </c>
      <c r="L1222">
        <v>367.07619999999997</v>
      </c>
      <c r="M1222">
        <v>0.99989530000000004</v>
      </c>
      <c r="N1222">
        <v>-1.4431859999999999E-2</v>
      </c>
      <c r="O1222">
        <v>1.0304170000000001E-3</v>
      </c>
      <c r="P1222">
        <v>0.98499890000000001</v>
      </c>
      <c r="Q1222">
        <v>0.17212049999999901</v>
      </c>
      <c r="R1222">
        <v>-1.2323519999999999E-2</v>
      </c>
      <c r="S1222">
        <v>3.0555110000000001</v>
      </c>
      <c r="T1222">
        <v>-0.10478410000000001</v>
      </c>
      <c r="U1222">
        <v>-0.72958369999999995</v>
      </c>
      <c r="V1222">
        <v>1.3347670000000001E-2</v>
      </c>
      <c r="W1222">
        <v>0.18631739999999999</v>
      </c>
      <c r="X1222">
        <v>0.98239889999999996</v>
      </c>
      <c r="Y1222">
        <v>0.23306260000000001</v>
      </c>
      <c r="Z1222">
        <v>-5.6657749999999996E-3</v>
      </c>
      <c r="AA1222">
        <v>0.97244520000000001</v>
      </c>
      <c r="AB1222">
        <v>32</v>
      </c>
      <c r="AC1222">
        <v>31.024999999999999</v>
      </c>
      <c r="AD1222">
        <v>-1.0713507799999999</v>
      </c>
      <c r="AE1222">
        <v>-7.4597999999999702</v>
      </c>
      <c r="AF1222">
        <v>7.4833322691643396</v>
      </c>
      <c r="AG1222">
        <v>-1.0713507799999999</v>
      </c>
      <c r="AH1222">
        <v>30.982370309832</v>
      </c>
      <c r="AI1222">
        <v>91.925146367992696</v>
      </c>
      <c r="AJ1222">
        <v>76.421127140744204</v>
      </c>
      <c r="AK1222">
        <v>31.891304839408502</v>
      </c>
      <c r="AL1222">
        <v>79.262050252077898</v>
      </c>
      <c r="AM1222">
        <v>89.221580863315793</v>
      </c>
      <c r="AN1222">
        <v>0.99999996627919796</v>
      </c>
    </row>
    <row r="1223" spans="1:40" x14ac:dyDescent="0.25">
      <c r="A1223" t="str">
        <f>"20190304155615717"</f>
        <v>20190304155615717</v>
      </c>
      <c r="B1223" t="str">
        <f>"1551686175706003"</f>
        <v>1551686175706003</v>
      </c>
      <c r="C1223" t="s">
        <v>40</v>
      </c>
      <c r="D1223">
        <v>4.8759649999999999</v>
      </c>
      <c r="E1223">
        <v>0.58392630000000001</v>
      </c>
      <c r="F1223" t="s">
        <v>41</v>
      </c>
      <c r="G1223">
        <v>-220.62200000000001</v>
      </c>
      <c r="H1223">
        <v>3.1295400000000001E-2</v>
      </c>
      <c r="I1223">
        <v>359.6164</v>
      </c>
      <c r="J1223">
        <v>-251.65199999999999</v>
      </c>
      <c r="K1223">
        <v>1.1102540000000001</v>
      </c>
      <c r="L1223">
        <v>367.07639999999998</v>
      </c>
      <c r="M1223">
        <v>0.99989539999999999</v>
      </c>
      <c r="N1223">
        <v>-1.4429849999999999E-2</v>
      </c>
      <c r="O1223">
        <v>1.0201089999999999E-3</v>
      </c>
      <c r="P1223">
        <v>0.98497330000000005</v>
      </c>
      <c r="Q1223">
        <v>0.17223810000000001</v>
      </c>
      <c r="R1223">
        <v>-1.2719050000000001E-2</v>
      </c>
      <c r="S1223">
        <v>3.0550079999999999</v>
      </c>
      <c r="T1223">
        <v>-0.1055865</v>
      </c>
      <c r="U1223">
        <v>-0.73001099999999997</v>
      </c>
      <c r="V1223">
        <v>1.3734970000000001E-2</v>
      </c>
      <c r="W1223">
        <v>0.18643270000000001</v>
      </c>
      <c r="X1223">
        <v>0.98237169999999896</v>
      </c>
      <c r="Y1223">
        <v>0.2332148</v>
      </c>
      <c r="Z1223">
        <v>-5.7000829999999999E-3</v>
      </c>
      <c r="AA1223">
        <v>0.97240850000000001</v>
      </c>
      <c r="AB1223">
        <v>32</v>
      </c>
      <c r="AC1223">
        <v>31.03</v>
      </c>
      <c r="AD1223">
        <v>-1.0789586</v>
      </c>
      <c r="AE1223">
        <v>-7.4599999999999698</v>
      </c>
      <c r="AF1223">
        <v>7.4831002709172703</v>
      </c>
      <c r="AG1223">
        <v>-1.0789586</v>
      </c>
      <c r="AH1223">
        <v>30.986955203564101</v>
      </c>
      <c r="AI1223">
        <v>91.938539176064893</v>
      </c>
      <c r="AJ1223">
        <v>76.423467255157604</v>
      </c>
      <c r="AK1223">
        <v>31.895961094044601</v>
      </c>
      <c r="AL1223">
        <v>79.255326373008799</v>
      </c>
      <c r="AM1223">
        <v>89.198974745969807</v>
      </c>
      <c r="AN1223">
        <v>0.99999997899554005</v>
      </c>
    </row>
    <row r="1224" spans="1:40" x14ac:dyDescent="0.25">
      <c r="A1224" t="str">
        <f>"20190304155615729"</f>
        <v>20190304155615729</v>
      </c>
      <c r="B1224" t="str">
        <f>"1551686175725522"</f>
        <v>1551686175725522</v>
      </c>
      <c r="C1224" t="s">
        <v>40</v>
      </c>
      <c r="D1224">
        <v>4.8976689999999996</v>
      </c>
      <c r="E1224">
        <v>0.58341580000000004</v>
      </c>
      <c r="F1224" t="s">
        <v>41</v>
      </c>
      <c r="G1224">
        <v>-220.41309999999999</v>
      </c>
      <c r="H1224">
        <v>2.3507549999999999E-2</v>
      </c>
      <c r="I1224">
        <v>359.6164</v>
      </c>
      <c r="J1224">
        <v>-251.4777</v>
      </c>
      <c r="K1224">
        <v>1.110249</v>
      </c>
      <c r="L1224">
        <v>367.07659999999998</v>
      </c>
      <c r="M1224">
        <v>0.99989539999999999</v>
      </c>
      <c r="N1224">
        <v>-1.442798E-2</v>
      </c>
      <c r="O1224">
        <v>1.0074000000000001E-3</v>
      </c>
      <c r="P1224">
        <v>0.98490630000000001</v>
      </c>
      <c r="Q1224">
        <v>0.17258799999999999</v>
      </c>
      <c r="R1224">
        <v>-1.3156589999999999E-2</v>
      </c>
      <c r="S1224">
        <v>3.054916</v>
      </c>
      <c r="T1224">
        <v>-0.1062747</v>
      </c>
      <c r="U1224">
        <v>-0.72952269999999997</v>
      </c>
      <c r="V1224">
        <v>1.4162060000000001E-2</v>
      </c>
      <c r="W1224">
        <v>0.18677879999999999</v>
      </c>
      <c r="X1224">
        <v>0.9822999</v>
      </c>
      <c r="Y1224">
        <v>0.23305999999999999</v>
      </c>
      <c r="Z1224">
        <v>-5.7220980000000001E-3</v>
      </c>
      <c r="AA1224">
        <v>0.97244549999999996</v>
      </c>
      <c r="AB1224">
        <v>32</v>
      </c>
      <c r="AC1224">
        <v>31.064599999999999</v>
      </c>
      <c r="AD1224">
        <v>-1.0867414500000001</v>
      </c>
      <c r="AE1224">
        <v>-7.46019999999998</v>
      </c>
      <c r="AF1224">
        <v>7.4828355846350698</v>
      </c>
      <c r="AG1224">
        <v>-1.0867414500000001</v>
      </c>
      <c r="AH1224">
        <v>31.021173545780002</v>
      </c>
      <c r="AI1224">
        <v>91.950481766719506</v>
      </c>
      <c r="AJ1224">
        <v>76.438351597814602</v>
      </c>
      <c r="AK1224">
        <v>31.929407190288298</v>
      </c>
      <c r="AL1224">
        <v>79.235141864869206</v>
      </c>
      <c r="AM1224">
        <v>89.174009837514106</v>
      </c>
      <c r="AN1224">
        <v>0.99999998880644603</v>
      </c>
    </row>
    <row r="1225" spans="1:40" x14ac:dyDescent="0.25">
      <c r="A1225" t="str">
        <f>"20190304155615741"</f>
        <v>20190304155615741</v>
      </c>
      <c r="B1225" t="str">
        <f>"1551686175736258"</f>
        <v>1551686175736258</v>
      </c>
      <c r="C1225" t="s">
        <v>40</v>
      </c>
      <c r="D1225">
        <v>4.9132759999999998</v>
      </c>
      <c r="E1225">
        <v>0.58322159999999901</v>
      </c>
      <c r="F1225" t="s">
        <v>41</v>
      </c>
      <c r="G1225">
        <v>-220.13980000000001</v>
      </c>
      <c r="H1225">
        <v>1.843361E-2</v>
      </c>
      <c r="I1225">
        <v>359.6164</v>
      </c>
      <c r="J1225">
        <v>-251.31270000000001</v>
      </c>
      <c r="K1225">
        <v>1.110241</v>
      </c>
      <c r="L1225">
        <v>367.07679999999999</v>
      </c>
      <c r="M1225">
        <v>0.99989550000000005</v>
      </c>
      <c r="N1225">
        <v>-1.442623E-2</v>
      </c>
      <c r="O1225">
        <v>9.8552610000000006E-4</v>
      </c>
      <c r="P1225">
        <v>0.98490219999999995</v>
      </c>
      <c r="Q1225">
        <v>0.1725843</v>
      </c>
      <c r="R1225">
        <v>-1.3510080000000001E-2</v>
      </c>
      <c r="S1225">
        <v>3.054916</v>
      </c>
      <c r="T1225">
        <v>-0.10643329999999999</v>
      </c>
      <c r="U1225">
        <v>-0.72723389999999999</v>
      </c>
      <c r="V1225">
        <v>1.449745E-2</v>
      </c>
      <c r="W1225">
        <v>0.1867732</v>
      </c>
      <c r="X1225">
        <v>0.98229610000000001</v>
      </c>
      <c r="Y1225">
        <v>0.23234940000000001</v>
      </c>
      <c r="Z1225">
        <v>-5.7102639999999996E-3</v>
      </c>
      <c r="AA1225">
        <v>0.97261560000000002</v>
      </c>
      <c r="AB1225">
        <v>32</v>
      </c>
      <c r="AC1225">
        <v>31.172899999999998</v>
      </c>
      <c r="AD1225">
        <v>-1.09180739</v>
      </c>
      <c r="AE1225">
        <v>-7.4603999999999902</v>
      </c>
      <c r="AF1225">
        <v>7.4824398208006997</v>
      </c>
      <c r="AG1225">
        <v>-1.09180739</v>
      </c>
      <c r="AH1225">
        <v>31.129413950785601</v>
      </c>
      <c r="AI1225">
        <v>91.953136850600501</v>
      </c>
      <c r="AJ1225">
        <v>76.484462647146202</v>
      </c>
      <c r="AK1225">
        <v>32.034658761537102</v>
      </c>
      <c r="AL1225">
        <v>79.235468766873396</v>
      </c>
      <c r="AM1225">
        <v>89.154448036294198</v>
      </c>
      <c r="AN1225">
        <v>1.00000001618497</v>
      </c>
    </row>
    <row r="1226" spans="1:40" x14ac:dyDescent="0.25">
      <c r="A1226" t="str">
        <f>"20190304155615754"</f>
        <v>20190304155615754</v>
      </c>
      <c r="B1226" t="str">
        <f>"1551686175746019"</f>
        <v>1551686175746019</v>
      </c>
      <c r="C1226" t="s">
        <v>40</v>
      </c>
      <c r="D1226">
        <v>4.8592180000000003</v>
      </c>
      <c r="E1226">
        <v>0.58301800000000004</v>
      </c>
      <c r="F1226" t="s">
        <v>41</v>
      </c>
      <c r="G1226">
        <v>-219.96600000000001</v>
      </c>
      <c r="H1226">
        <v>1.056265E-2</v>
      </c>
      <c r="I1226">
        <v>359.6164</v>
      </c>
      <c r="J1226">
        <v>-251.1317</v>
      </c>
      <c r="K1226">
        <v>1.1102299999999901</v>
      </c>
      <c r="L1226">
        <v>367.07690000000002</v>
      </c>
      <c r="M1226">
        <v>0.99989550000000005</v>
      </c>
      <c r="N1226">
        <v>-1.4424350000000001E-2</v>
      </c>
      <c r="O1226">
        <v>9.5688399999999997E-4</v>
      </c>
      <c r="P1226">
        <v>0.98482369999999997</v>
      </c>
      <c r="Q1226">
        <v>0.17299709999999999</v>
      </c>
      <c r="R1226">
        <v>-1.394892E-2</v>
      </c>
      <c r="S1226">
        <v>3.0547939999999998</v>
      </c>
      <c r="T1226">
        <v>-0.1071656</v>
      </c>
      <c r="U1226">
        <v>-0.72702029999999995</v>
      </c>
      <c r="V1226">
        <v>1.491235E-2</v>
      </c>
      <c r="W1226">
        <v>0.18718309999999999</v>
      </c>
      <c r="X1226">
        <v>0.98221179999999997</v>
      </c>
      <c r="Y1226">
        <v>0.23226369999999999</v>
      </c>
      <c r="Z1226">
        <v>-5.7352130000000003E-3</v>
      </c>
      <c r="AA1226">
        <v>0.9726359</v>
      </c>
      <c r="AB1226">
        <v>32</v>
      </c>
      <c r="AC1226">
        <v>31.165700000000001</v>
      </c>
      <c r="AD1226">
        <v>-1.0996673499999901</v>
      </c>
      <c r="AE1226">
        <v>-7.4605000000000201</v>
      </c>
      <c r="AF1226">
        <v>7.4815119987322101</v>
      </c>
      <c r="AG1226">
        <v>-1.0996673499999901</v>
      </c>
      <c r="AH1226">
        <v>31.121899420116701</v>
      </c>
      <c r="AI1226">
        <v>91.967648546354994</v>
      </c>
      <c r="AJ1226">
        <v>76.482933818867096</v>
      </c>
      <c r="AK1226">
        <v>32.027408786595402</v>
      </c>
      <c r="AL1226">
        <v>79.211560940404894</v>
      </c>
      <c r="AM1226">
        <v>89.130178361211307</v>
      </c>
      <c r="AN1226">
        <v>0.99999995558368504</v>
      </c>
    </row>
    <row r="1227" spans="1:40" x14ac:dyDescent="0.25">
      <c r="A1227" t="str">
        <f>"20190304155615767"</f>
        <v>20190304155615767</v>
      </c>
      <c r="B1227" t="str">
        <f>"1551686175755778"</f>
        <v>1551686175755778</v>
      </c>
      <c r="C1227" t="s">
        <v>40</v>
      </c>
      <c r="D1227">
        <v>4.89682</v>
      </c>
      <c r="E1227">
        <v>0.58279389999999998</v>
      </c>
      <c r="F1227" t="s">
        <v>41</v>
      </c>
      <c r="G1227">
        <v>-219.78129999999999</v>
      </c>
      <c r="H1227">
        <v>1.369109E-2</v>
      </c>
      <c r="I1227">
        <v>359.61649999999997</v>
      </c>
      <c r="J1227">
        <v>-250.94</v>
      </c>
      <c r="K1227">
        <v>1.1102190000000001</v>
      </c>
      <c r="L1227">
        <v>367.07709999999997</v>
      </c>
      <c r="M1227">
        <v>0.99989570000000005</v>
      </c>
      <c r="N1227">
        <v>-1.442247E-2</v>
      </c>
      <c r="O1227">
        <v>9.1674360000000002E-4</v>
      </c>
      <c r="P1227">
        <v>0.98470769999999996</v>
      </c>
      <c r="Q1227">
        <v>0.1736277</v>
      </c>
      <c r="R1227">
        <v>-1.4297310000000001E-2</v>
      </c>
      <c r="S1227">
        <v>3.0547179999999998</v>
      </c>
      <c r="T1227">
        <v>-0.1068442</v>
      </c>
      <c r="U1227">
        <v>-0.72692869999999998</v>
      </c>
      <c r="V1227">
        <v>1.522681E-2</v>
      </c>
      <c r="W1227">
        <v>0.18780930000000001</v>
      </c>
      <c r="X1227">
        <v>0.9820875</v>
      </c>
      <c r="Y1227">
        <v>0.23220360000000001</v>
      </c>
      <c r="Z1227">
        <v>-5.7206679999999999E-3</v>
      </c>
      <c r="AA1227">
        <v>0.97265029999999997</v>
      </c>
      <c r="AB1227">
        <v>32</v>
      </c>
      <c r="AC1227">
        <v>31.1587</v>
      </c>
      <c r="AD1227">
        <v>-1.0965279100000001</v>
      </c>
      <c r="AE1227">
        <v>-7.4605999999999897</v>
      </c>
      <c r="AF1227">
        <v>7.4804025419781599</v>
      </c>
      <c r="AG1227">
        <v>-1.0965279100000001</v>
      </c>
      <c r="AH1227">
        <v>31.115401128581201</v>
      </c>
      <c r="AI1227">
        <v>91.962438460860795</v>
      </c>
      <c r="AJ1227">
        <v>76.482145776097596</v>
      </c>
      <c r="AK1227">
        <v>32.0207273971088</v>
      </c>
      <c r="AL1227">
        <v>79.175035278860904</v>
      </c>
      <c r="AM1227">
        <v>89.111726755120003</v>
      </c>
      <c r="AN1227">
        <v>1.00000002328275</v>
      </c>
    </row>
    <row r="1228" spans="1:40" x14ac:dyDescent="0.25">
      <c r="A1228" t="str">
        <f>"20190304155615779"</f>
        <v>20190304155615779</v>
      </c>
      <c r="B1228" t="str">
        <f>"1551686175776274"</f>
        <v>1551686175776274</v>
      </c>
      <c r="C1228" t="s">
        <v>40</v>
      </c>
      <c r="D1228">
        <v>4.8952999999999998</v>
      </c>
      <c r="E1228">
        <v>0.58238319999999999</v>
      </c>
      <c r="F1228" t="s">
        <v>41</v>
      </c>
      <c r="G1228">
        <v>-219.5711</v>
      </c>
      <c r="H1228">
        <v>2.6398990000000001E-2</v>
      </c>
      <c r="I1228">
        <v>359.61649999999997</v>
      </c>
      <c r="J1228">
        <v>-250.77449999999999</v>
      </c>
      <c r="K1228">
        <v>1.1102069999999999</v>
      </c>
      <c r="L1228">
        <v>367.07709999999997</v>
      </c>
      <c r="M1228">
        <v>0.99989570000000005</v>
      </c>
      <c r="N1228">
        <v>-1.442075E-2</v>
      </c>
      <c r="O1228">
        <v>8.7023210000000001E-4</v>
      </c>
      <c r="P1228">
        <v>0.98462459999999996</v>
      </c>
      <c r="Q1228">
        <v>0.17405670000000001</v>
      </c>
      <c r="R1228">
        <v>-1.479945E-2</v>
      </c>
      <c r="S1228">
        <v>3.0546570000000002</v>
      </c>
      <c r="T1228">
        <v>-0.1055406</v>
      </c>
      <c r="U1228">
        <v>-0.72650150000000002</v>
      </c>
      <c r="V1228">
        <v>1.5688540000000001E-2</v>
      </c>
      <c r="W1228">
        <v>0.18823500000000001</v>
      </c>
      <c r="X1228">
        <v>0.9819987</v>
      </c>
      <c r="Y1228">
        <v>0.2320381</v>
      </c>
      <c r="Z1228">
        <v>-5.6664109999999997E-3</v>
      </c>
      <c r="AA1228">
        <v>0.97269019999999995</v>
      </c>
      <c r="AB1228">
        <v>32</v>
      </c>
      <c r="AC1228">
        <v>31.203399999999899</v>
      </c>
      <c r="AD1228">
        <v>-1.08380801</v>
      </c>
      <c r="AE1228">
        <v>-7.4605999999999897</v>
      </c>
      <c r="AF1228">
        <v>7.4792189985309996</v>
      </c>
      <c r="AG1228">
        <v>-1.08380801</v>
      </c>
      <c r="AH1228">
        <v>31.161334099053299</v>
      </c>
      <c r="AI1228">
        <v>91.937006812625</v>
      </c>
      <c r="AJ1228">
        <v>76.503399512025595</v>
      </c>
      <c r="AK1228">
        <v>32.064654987436697</v>
      </c>
      <c r="AL1228">
        <v>79.150201253225802</v>
      </c>
      <c r="AM1228">
        <v>89.084712979677093</v>
      </c>
      <c r="AN1228">
        <v>0.99999999615700996</v>
      </c>
    </row>
    <row r="1229" spans="1:40" x14ac:dyDescent="0.25">
      <c r="A1229" t="str">
        <f>"20190304155615790"</f>
        <v>20190304155615790</v>
      </c>
      <c r="B1229" t="str">
        <f>"1551686175786034"</f>
        <v>1551686175786034</v>
      </c>
      <c r="C1229" t="s">
        <v>40</v>
      </c>
      <c r="D1229">
        <v>4.9246480000000004</v>
      </c>
      <c r="E1229">
        <v>0.58219500000000002</v>
      </c>
      <c r="F1229" t="s">
        <v>41</v>
      </c>
      <c r="G1229">
        <v>-219.30529999999999</v>
      </c>
      <c r="H1229">
        <v>1.732916E-2</v>
      </c>
      <c r="I1229">
        <v>359.61649999999997</v>
      </c>
      <c r="J1229">
        <v>-250.60489999999999</v>
      </c>
      <c r="K1229">
        <v>1.1101970000000001</v>
      </c>
      <c r="L1229">
        <v>367.0772</v>
      </c>
      <c r="M1229">
        <v>0.9998958</v>
      </c>
      <c r="N1229">
        <v>-1.441897E-2</v>
      </c>
      <c r="O1229">
        <v>8.1780609999999995E-4</v>
      </c>
      <c r="P1229">
        <v>0.98454520000000001</v>
      </c>
      <c r="Q1229">
        <v>0.17444699999999999</v>
      </c>
      <c r="R1229">
        <v>-1.5464469999999999E-2</v>
      </c>
      <c r="S1229">
        <v>3.0547330000000001</v>
      </c>
      <c r="T1229">
        <v>-0.1060861</v>
      </c>
      <c r="U1229">
        <v>-0.72421259999999998</v>
      </c>
      <c r="V1229">
        <v>1.6307930000000002E-2</v>
      </c>
      <c r="W1229">
        <v>0.18862129999999999</v>
      </c>
      <c r="X1229">
        <v>0.98191450000000002</v>
      </c>
      <c r="Y1229">
        <v>0.23129060000000001</v>
      </c>
      <c r="Z1229">
        <v>-5.6675650000000003E-3</v>
      </c>
      <c r="AA1229">
        <v>0.97286819999999896</v>
      </c>
      <c r="AB1229">
        <v>32</v>
      </c>
      <c r="AC1229">
        <v>31.299600000000002</v>
      </c>
      <c r="AD1229">
        <v>-1.09286783999999</v>
      </c>
      <c r="AE1229">
        <v>-7.4607000000000303</v>
      </c>
      <c r="AF1229">
        <v>7.47767087649191</v>
      </c>
      <c r="AG1229">
        <v>-1.09286783999999</v>
      </c>
      <c r="AH1229">
        <v>31.257428713796301</v>
      </c>
      <c r="AI1229">
        <v>91.947533426313399</v>
      </c>
      <c r="AJ1229">
        <v>76.546064901622003</v>
      </c>
      <c r="AK1229">
        <v>32.1579970093117</v>
      </c>
      <c r="AL1229">
        <v>79.127664386613901</v>
      </c>
      <c r="AM1229">
        <v>89.048502018801202</v>
      </c>
      <c r="AN1229">
        <v>1.0000000143524099</v>
      </c>
    </row>
    <row r="1230" spans="1:40" x14ac:dyDescent="0.25">
      <c r="A1230" t="str">
        <f>"20190304155615804"</f>
        <v>20190304155615804</v>
      </c>
      <c r="B1230" t="str">
        <f>"1551686175795795"</f>
        <v>1551686175795795</v>
      </c>
      <c r="C1230" t="s">
        <v>40</v>
      </c>
      <c r="D1230">
        <v>4.9293849999999999</v>
      </c>
      <c r="E1230">
        <v>0.58204679999999998</v>
      </c>
      <c r="F1230" t="s">
        <v>41</v>
      </c>
      <c r="G1230">
        <v>-219.1711</v>
      </c>
      <c r="H1230">
        <v>2.0102700000000001E-2</v>
      </c>
      <c r="I1230">
        <v>359.61649999999997</v>
      </c>
      <c r="J1230">
        <v>-250.4041</v>
      </c>
      <c r="K1230">
        <v>1.11019</v>
      </c>
      <c r="L1230">
        <v>367.07729999999998</v>
      </c>
      <c r="M1230">
        <v>0.9998958</v>
      </c>
      <c r="N1230">
        <v>-1.4416760000000001E-2</v>
      </c>
      <c r="O1230">
        <v>7.3711489999999996E-4</v>
      </c>
      <c r="P1230">
        <v>0.98442010000000002</v>
      </c>
      <c r="Q1230">
        <v>0.17507619999999999</v>
      </c>
      <c r="R1230">
        <v>-1.62857E-2</v>
      </c>
      <c r="S1230">
        <v>3.0544739999999999</v>
      </c>
      <c r="T1230">
        <v>-0.10592600000000001</v>
      </c>
      <c r="U1230">
        <v>-0.72497559999999905</v>
      </c>
      <c r="V1230">
        <v>1.7057719999999998E-2</v>
      </c>
      <c r="W1230">
        <v>0.189246</v>
      </c>
      <c r="X1230">
        <v>0.98178149999999997</v>
      </c>
      <c r="Y1230">
        <v>0.231461</v>
      </c>
      <c r="Z1230">
        <v>-5.664105E-3</v>
      </c>
      <c r="AA1230">
        <v>0.97282769999999996</v>
      </c>
      <c r="AB1230">
        <v>32</v>
      </c>
      <c r="AC1230">
        <v>31.233000000000001</v>
      </c>
      <c r="AD1230">
        <v>-1.0900873</v>
      </c>
      <c r="AE1230">
        <v>-7.4607999999999999</v>
      </c>
      <c r="AF1230">
        <v>7.4752084109250001</v>
      </c>
      <c r="AG1230">
        <v>-1.0900873</v>
      </c>
      <c r="AH1230">
        <v>31.191547027764202</v>
      </c>
      <c r="AI1230">
        <v>91.946494299337601</v>
      </c>
      <c r="AJ1230">
        <v>76.522961767606105</v>
      </c>
      <c r="AK1230">
        <v>32.093295827845601</v>
      </c>
      <c r="AL1230">
        <v>79.091214703317704</v>
      </c>
      <c r="AM1230">
        <v>89.004628788665698</v>
      </c>
      <c r="AN1230">
        <v>0.99999996403492297</v>
      </c>
    </row>
    <row r="1231" spans="1:40" x14ac:dyDescent="0.25">
      <c r="A1231" t="str">
        <f>"20190304155615819"</f>
        <v>20190304155615819</v>
      </c>
      <c r="B1231" t="str">
        <f>"1551686175816290"</f>
        <v>1551686175816290</v>
      </c>
      <c r="C1231" t="s">
        <v>40</v>
      </c>
      <c r="D1231">
        <v>4.876201</v>
      </c>
      <c r="E1231">
        <v>0.5816656</v>
      </c>
      <c r="F1231" t="s">
        <v>41</v>
      </c>
      <c r="G1231">
        <v>-219.0341</v>
      </c>
      <c r="H1231">
        <v>3.1515179999999997E-2</v>
      </c>
      <c r="I1231">
        <v>359.61649999999997</v>
      </c>
      <c r="J1231">
        <v>-250.20359999999999</v>
      </c>
      <c r="K1231">
        <v>1.110177</v>
      </c>
      <c r="L1231">
        <v>367.07740000000001</v>
      </c>
      <c r="M1231">
        <v>0.99989600000000001</v>
      </c>
      <c r="N1231">
        <v>-1.441456E-2</v>
      </c>
      <c r="O1231">
        <v>6.4294839999999999E-4</v>
      </c>
      <c r="P1231">
        <v>0.98437669999999999</v>
      </c>
      <c r="Q1231">
        <v>0.17527200000000001</v>
      </c>
      <c r="R1231">
        <v>-1.6814280000000001E-2</v>
      </c>
      <c r="S1231">
        <v>3.0541529999999999</v>
      </c>
      <c r="T1231">
        <v>-0.1050185</v>
      </c>
      <c r="U1231">
        <v>-0.72637940000000001</v>
      </c>
      <c r="V1231">
        <v>1.7501539999999999E-2</v>
      </c>
      <c r="W1231">
        <v>0.189438</v>
      </c>
      <c r="X1231">
        <v>0.98173670000000002</v>
      </c>
      <c r="Y1231">
        <v>0.2318181</v>
      </c>
      <c r="Z1231">
        <v>-5.6368319999999996E-3</v>
      </c>
      <c r="AA1231">
        <v>0.97274289999999997</v>
      </c>
      <c r="AB1231">
        <v>32</v>
      </c>
      <c r="AC1231">
        <v>31.169499999999999</v>
      </c>
      <c r="AD1231">
        <v>-1.07866182</v>
      </c>
      <c r="AE1231">
        <v>-7.4609000000000298</v>
      </c>
      <c r="AF1231">
        <v>7.47247685251644</v>
      </c>
      <c r="AG1231">
        <v>-1.07866182</v>
      </c>
      <c r="AH1231">
        <v>31.129435810268401</v>
      </c>
      <c r="AI1231">
        <v>91.929777467799497</v>
      </c>
      <c r="AJ1231">
        <v>76.501808958881398</v>
      </c>
      <c r="AK1231">
        <v>32.031909020521098</v>
      </c>
      <c r="AL1231">
        <v>79.080011697402597</v>
      </c>
      <c r="AM1231">
        <v>88.978689327843</v>
      </c>
      <c r="AN1231">
        <v>1.0000000039366299</v>
      </c>
    </row>
    <row r="1232" spans="1:40" x14ac:dyDescent="0.25">
      <c r="A1232" t="str">
        <f>"20190304155615834"</f>
        <v>20190304155615834</v>
      </c>
      <c r="B1232" t="str">
        <f>"1551686175826050"</f>
        <v>1551686175826050</v>
      </c>
      <c r="C1232" t="s">
        <v>40</v>
      </c>
      <c r="D1232">
        <v>4.8859820000000003</v>
      </c>
      <c r="E1232">
        <v>0.58152009999999998</v>
      </c>
      <c r="F1232" t="s">
        <v>41</v>
      </c>
      <c r="G1232">
        <v>-218.7818</v>
      </c>
      <c r="H1232">
        <v>1.532764E-2</v>
      </c>
      <c r="I1232">
        <v>359.61649999999997</v>
      </c>
      <c r="J1232">
        <v>-249.98670000000001</v>
      </c>
      <c r="K1232">
        <v>1.1101589999999999</v>
      </c>
      <c r="L1232">
        <v>367.07740000000001</v>
      </c>
      <c r="M1232">
        <v>0.99989620000000001</v>
      </c>
      <c r="N1232">
        <v>-1.441218E-2</v>
      </c>
      <c r="O1232">
        <v>5.2735919999999999E-4</v>
      </c>
      <c r="P1232">
        <v>0.98427529999999996</v>
      </c>
      <c r="Q1232">
        <v>0.17580129999999999</v>
      </c>
      <c r="R1232">
        <v>-1.7208149999999998E-2</v>
      </c>
      <c r="S1232">
        <v>3.0541689999999999</v>
      </c>
      <c r="T1232">
        <v>-0.1064181</v>
      </c>
      <c r="U1232">
        <v>-0.72518919999999998</v>
      </c>
      <c r="V1232">
        <v>1.7790569999999999E-2</v>
      </c>
      <c r="W1232">
        <v>0.1899623</v>
      </c>
      <c r="X1232">
        <v>0.98163020000000001</v>
      </c>
      <c r="Y1232">
        <v>0.23134179999999999</v>
      </c>
      <c r="Z1232">
        <v>-5.6752969999999897E-3</v>
      </c>
      <c r="AA1232">
        <v>0.97285600000000005</v>
      </c>
      <c r="AB1232">
        <v>32</v>
      </c>
      <c r="AC1232">
        <v>31.204899999999999</v>
      </c>
      <c r="AD1232">
        <v>-1.0948313599999999</v>
      </c>
      <c r="AE1232">
        <v>-7.4609000000000298</v>
      </c>
      <c r="AF1232">
        <v>7.4686602806428004</v>
      </c>
      <c r="AG1232">
        <v>-1.0948313599999999</v>
      </c>
      <c r="AH1232">
        <v>31.164672238057101</v>
      </c>
      <c r="AI1232">
        <v>91.956644956278595</v>
      </c>
      <c r="AJ1232">
        <v>76.523148590425905</v>
      </c>
      <c r="AK1232">
        <v>32.065812601585797</v>
      </c>
      <c r="AL1232">
        <v>79.049416083868394</v>
      </c>
      <c r="AM1232">
        <v>88.961713896630798</v>
      </c>
      <c r="AN1232">
        <v>1.00000001467712</v>
      </c>
    </row>
    <row r="1233" spans="1:40" x14ac:dyDescent="0.25">
      <c r="A1233" t="str">
        <f>"20190304155615850"</f>
        <v>20190304155615850</v>
      </c>
      <c r="B1233" t="str">
        <f>"1551686175845570"</f>
        <v>1551686175845570</v>
      </c>
      <c r="C1233" t="s">
        <v>40</v>
      </c>
      <c r="D1233">
        <v>4.9012140000000004</v>
      </c>
      <c r="E1233">
        <v>0.58121599999999995</v>
      </c>
      <c r="F1233" t="s">
        <v>41</v>
      </c>
      <c r="G1233">
        <v>-218.56200000000001</v>
      </c>
      <c r="H1233">
        <v>2.1078090000000001E-2</v>
      </c>
      <c r="I1233">
        <v>359.61649999999997</v>
      </c>
      <c r="J1233">
        <v>-249.76220000000001</v>
      </c>
      <c r="K1233">
        <v>1.1101529999999999</v>
      </c>
      <c r="L1233">
        <v>367.07729999999998</v>
      </c>
      <c r="M1233">
        <v>0.99989620000000001</v>
      </c>
      <c r="N1233">
        <v>-1.4409760000000001E-2</v>
      </c>
      <c r="O1233">
        <v>3.9203460000000002E-4</v>
      </c>
      <c r="P1233">
        <v>0.98413720000000005</v>
      </c>
      <c r="Q1233">
        <v>0.1764134</v>
      </c>
      <c r="R1233">
        <v>-1.8770990000000001E-2</v>
      </c>
      <c r="S1233">
        <v>3.0541689999999999</v>
      </c>
      <c r="T1233">
        <v>-0.1058477</v>
      </c>
      <c r="U1233">
        <v>-0.725128199999999</v>
      </c>
      <c r="V1233">
        <v>1.9229220000000002E-2</v>
      </c>
      <c r="W1233">
        <v>0.19056909999999999</v>
      </c>
      <c r="X1233">
        <v>0.98148539999999995</v>
      </c>
      <c r="Y1233">
        <v>0.2311937</v>
      </c>
      <c r="Z1233">
        <v>-5.6473119999999998E-3</v>
      </c>
      <c r="AA1233">
        <v>0.97289130000000001</v>
      </c>
      <c r="AB1233">
        <v>32</v>
      </c>
      <c r="AC1233">
        <v>31.200199999999899</v>
      </c>
      <c r="AD1233">
        <v>-1.0890749099999999</v>
      </c>
      <c r="AE1233">
        <v>-7.4607999999999999</v>
      </c>
      <c r="AF1233">
        <v>7.4644292958115903</v>
      </c>
      <c r="AG1233">
        <v>-1.0890749099999999</v>
      </c>
      <c r="AH1233">
        <v>31.161358095216901</v>
      </c>
      <c r="AI1233">
        <v>91.946620613822006</v>
      </c>
      <c r="AJ1233">
        <v>76.529124605637506</v>
      </c>
      <c r="AK1233">
        <v>32.061410249864302</v>
      </c>
      <c r="AL1233">
        <v>79.014001560579601</v>
      </c>
      <c r="AM1233">
        <v>88.877607130596402</v>
      </c>
      <c r="AN1233">
        <v>0.99999996759488796</v>
      </c>
    </row>
    <row r="1234" spans="1:40" x14ac:dyDescent="0.25">
      <c r="A1234" t="str">
        <f>"20190304155615863"</f>
        <v>20190304155615863</v>
      </c>
      <c r="B1234" t="str">
        <f>"1551686175856306"</f>
        <v>1551686175856306</v>
      </c>
      <c r="C1234" t="s">
        <v>40</v>
      </c>
      <c r="D1234">
        <v>4.8553879999999996</v>
      </c>
      <c r="E1234">
        <v>0.58105249999999997</v>
      </c>
      <c r="F1234" t="s">
        <v>41</v>
      </c>
      <c r="G1234">
        <v>-218.44929999999999</v>
      </c>
      <c r="H1234">
        <v>2.3499740000000002E-2</v>
      </c>
      <c r="I1234">
        <v>359.61649999999997</v>
      </c>
      <c r="J1234">
        <v>-249.5737</v>
      </c>
      <c r="K1234">
        <v>1.1101430000000001</v>
      </c>
      <c r="L1234">
        <v>367.07729999999998</v>
      </c>
      <c r="M1234">
        <v>0.99989620000000001</v>
      </c>
      <c r="N1234">
        <v>-1.4407730000000001E-2</v>
      </c>
      <c r="O1234">
        <v>2.6214739999999998E-4</v>
      </c>
      <c r="P1234">
        <v>0.98404210000000003</v>
      </c>
      <c r="Q1234">
        <v>0.17684620000000001</v>
      </c>
      <c r="R1234">
        <v>-1.9667819999999999E-2</v>
      </c>
      <c r="S1234">
        <v>3.0534669999999999</v>
      </c>
      <c r="T1234">
        <v>-0.10596419999999999</v>
      </c>
      <c r="U1234">
        <v>-0.72753909999999999</v>
      </c>
      <c r="V1234">
        <v>2.0005129999999999E-2</v>
      </c>
      <c r="W1234">
        <v>0.19099730000000001</v>
      </c>
      <c r="X1234">
        <v>0.98138669999999995</v>
      </c>
      <c r="Y1234">
        <v>0.23184370000000001</v>
      </c>
      <c r="Z1234">
        <v>-5.6653930000000003E-3</v>
      </c>
      <c r="AA1234">
        <v>0.9727365</v>
      </c>
      <c r="AB1234">
        <v>32</v>
      </c>
      <c r="AC1234">
        <v>31.124400000000001</v>
      </c>
      <c r="AD1234">
        <v>-1.08664326</v>
      </c>
      <c r="AE1234">
        <v>-7.4607999999999999</v>
      </c>
      <c r="AF1234">
        <v>7.4603603799813403</v>
      </c>
      <c r="AG1234">
        <v>-1.08664326</v>
      </c>
      <c r="AH1234">
        <v>31.086610056557902</v>
      </c>
      <c r="AI1234">
        <v>91.946747916684203</v>
      </c>
      <c r="AJ1234">
        <v>76.505009179133594</v>
      </c>
      <c r="AK1234">
        <v>31.9877335143049</v>
      </c>
      <c r="AL1234">
        <v>78.989008959649794</v>
      </c>
      <c r="AM1234">
        <v>88.832212831407304</v>
      </c>
      <c r="AN1234">
        <v>1.0000000143852401</v>
      </c>
    </row>
    <row r="1235" spans="1:40" x14ac:dyDescent="0.25">
      <c r="A1235" t="str">
        <f>"20190304155615874"</f>
        <v>20190304155615874</v>
      </c>
      <c r="B1235" t="str">
        <f>"1551686175866067"</f>
        <v>1551686175866067</v>
      </c>
      <c r="C1235" t="s">
        <v>40</v>
      </c>
      <c r="D1235">
        <v>4.9284929999999996</v>
      </c>
      <c r="E1235">
        <v>0.58092749999999904</v>
      </c>
      <c r="F1235" t="s">
        <v>41</v>
      </c>
      <c r="G1235">
        <v>-218.30199999999999</v>
      </c>
      <c r="H1235">
        <v>2.424809E-2</v>
      </c>
      <c r="I1235">
        <v>359.61649999999997</v>
      </c>
      <c r="J1235">
        <v>-249.4111</v>
      </c>
      <c r="K1235">
        <v>1.1101369999999999</v>
      </c>
      <c r="L1235">
        <v>367.07729999999998</v>
      </c>
      <c r="M1235">
        <v>0.99989629999999996</v>
      </c>
      <c r="N1235">
        <v>-1.4405980000000001E-2</v>
      </c>
      <c r="O1235">
        <v>1.4530129999999999E-4</v>
      </c>
      <c r="P1235">
        <v>0.98395900000000003</v>
      </c>
      <c r="Q1235">
        <v>0.17722189999999999</v>
      </c>
      <c r="R1235">
        <v>-2.0424149999999999E-2</v>
      </c>
      <c r="S1235">
        <v>3.0531459999999999</v>
      </c>
      <c r="T1235">
        <v>-0.106019</v>
      </c>
      <c r="U1235">
        <v>-0.72842410000000002</v>
      </c>
      <c r="V1235">
        <v>2.0652259999999999E-2</v>
      </c>
      <c r="W1235">
        <v>0.19136900000000001</v>
      </c>
      <c r="X1235">
        <v>0.98130090000000003</v>
      </c>
      <c r="Y1235">
        <v>0.23201949999999999</v>
      </c>
      <c r="Z1235">
        <v>-5.6695309999999898E-3</v>
      </c>
      <c r="AA1235">
        <v>0.97269459999999996</v>
      </c>
      <c r="AB1235">
        <v>32</v>
      </c>
      <c r="AC1235">
        <v>31.109099999999899</v>
      </c>
      <c r="AD1235">
        <v>-1.08588891</v>
      </c>
      <c r="AE1235">
        <v>-7.4607999999999999</v>
      </c>
      <c r="AF1235">
        <v>7.45672932110429</v>
      </c>
      <c r="AG1235">
        <v>-1.08588891</v>
      </c>
      <c r="AH1235">
        <v>31.072215680009201</v>
      </c>
      <c r="AI1235">
        <v>91.946300550536193</v>
      </c>
      <c r="AJ1235">
        <v>76.505317098591306</v>
      </c>
      <c r="AK1235">
        <v>31.972872159974699</v>
      </c>
      <c r="AL1235">
        <v>78.9673121128167</v>
      </c>
      <c r="AM1235">
        <v>88.794342612879603</v>
      </c>
      <c r="AN1235">
        <v>1.0000000331724499</v>
      </c>
    </row>
    <row r="1236" spans="1:40" x14ac:dyDescent="0.25">
      <c r="A1236" t="str">
        <f>"20190304155615888"</f>
        <v>20190304155615888</v>
      </c>
      <c r="B1236" t="str">
        <f>"1551686175885587"</f>
        <v>1551686175885587</v>
      </c>
      <c r="C1236" t="s">
        <v>40</v>
      </c>
      <c r="D1236">
        <v>4.9010980000000002</v>
      </c>
      <c r="E1236">
        <v>0.58065089999999997</v>
      </c>
      <c r="F1236" t="s">
        <v>41</v>
      </c>
      <c r="G1236">
        <v>-218.19220000000001</v>
      </c>
      <c r="H1236">
        <v>2.6220759999999999E-2</v>
      </c>
      <c r="I1236">
        <v>359.61649999999997</v>
      </c>
      <c r="J1236">
        <v>-249.2226</v>
      </c>
      <c r="K1236">
        <v>1.110131</v>
      </c>
      <c r="L1236">
        <v>367.07709999999997</v>
      </c>
      <c r="M1236">
        <v>0.99989629999999996</v>
      </c>
      <c r="N1236">
        <v>-1.440395E-2</v>
      </c>
      <c r="O1236" s="1">
        <v>2.6953170000000001E-6</v>
      </c>
      <c r="P1236">
        <v>0.98383940000000003</v>
      </c>
      <c r="Q1236">
        <v>0.17774719999999999</v>
      </c>
      <c r="R1236">
        <v>-2.1584550000000001E-2</v>
      </c>
      <c r="S1236">
        <v>3.0528719999999998</v>
      </c>
      <c r="T1236">
        <v>-0.1059952</v>
      </c>
      <c r="U1236">
        <v>-0.72958369999999995</v>
      </c>
      <c r="V1236">
        <v>2.1678639999999999E-2</v>
      </c>
      <c r="W1236">
        <v>0.1918898</v>
      </c>
      <c r="X1236">
        <v>0.98117699999999997</v>
      </c>
      <c r="Y1236">
        <v>0.23225000000000001</v>
      </c>
      <c r="Z1236">
        <v>-5.6714230000000001E-3</v>
      </c>
      <c r="AA1236">
        <v>0.97263960000000005</v>
      </c>
      <c r="AB1236">
        <v>32</v>
      </c>
      <c r="AC1236">
        <v>31.030399999999901</v>
      </c>
      <c r="AD1236">
        <v>-1.08391024</v>
      </c>
      <c r="AE1236">
        <v>-7.4605999999999897</v>
      </c>
      <c r="AF1236">
        <v>7.4520878941134097</v>
      </c>
      <c r="AG1236">
        <v>-1.08391024</v>
      </c>
      <c r="AH1236">
        <v>30.994628550383101</v>
      </c>
      <c r="AI1236">
        <v>91.947416933254203</v>
      </c>
      <c r="AJ1236">
        <v>76.480887376964404</v>
      </c>
      <c r="AK1236">
        <v>31.896323837806001</v>
      </c>
      <c r="AL1236">
        <v>78.936908449178006</v>
      </c>
      <c r="AM1236">
        <v>88.7342828869794</v>
      </c>
      <c r="AN1236">
        <v>0.99999998205264395</v>
      </c>
    </row>
    <row r="1237" spans="1:40" x14ac:dyDescent="0.25">
      <c r="A1237" t="str">
        <f>"20190304155615901"</f>
        <v>20190304155615901</v>
      </c>
      <c r="B1237" t="str">
        <f>"1551686175896323"</f>
        <v>1551686175896323</v>
      </c>
      <c r="C1237" t="s">
        <v>40</v>
      </c>
      <c r="D1237">
        <v>4.6093989999999998</v>
      </c>
      <c r="E1237">
        <v>0.58079859999999905</v>
      </c>
      <c r="F1237" t="s">
        <v>41</v>
      </c>
      <c r="G1237">
        <v>-218.0489</v>
      </c>
      <c r="H1237">
        <v>2.4365999999999999E-2</v>
      </c>
      <c r="I1237">
        <v>359.61649999999997</v>
      </c>
      <c r="J1237">
        <v>-249.0334</v>
      </c>
      <c r="K1237">
        <v>1.110123</v>
      </c>
      <c r="L1237">
        <v>367.07709999999997</v>
      </c>
      <c r="M1237">
        <v>0.99989629999999996</v>
      </c>
      <c r="N1237">
        <v>-1.440192E-2</v>
      </c>
      <c r="O1237">
        <v>-1.4911030000000001E-4</v>
      </c>
      <c r="P1237">
        <v>0.98363509999999998</v>
      </c>
      <c r="Q1237">
        <v>0.17879149999999999</v>
      </c>
      <c r="R1237">
        <v>-2.226361E-2</v>
      </c>
      <c r="S1237">
        <v>3.05246</v>
      </c>
      <c r="T1237">
        <v>-0.1063154</v>
      </c>
      <c r="U1237">
        <v>-0.73052980000000001</v>
      </c>
      <c r="V1237">
        <v>2.2213879999999998E-2</v>
      </c>
      <c r="W1237">
        <v>0.19292819999999999</v>
      </c>
      <c r="X1237">
        <v>0.98096139999999998</v>
      </c>
      <c r="Y1237">
        <v>0.23241600000000001</v>
      </c>
      <c r="Z1237">
        <v>-5.684639E-3</v>
      </c>
      <c r="AA1237">
        <v>0.97259989999999996</v>
      </c>
      <c r="AB1237">
        <v>32</v>
      </c>
      <c r="AC1237">
        <v>30.984500000000001</v>
      </c>
      <c r="AD1237">
        <v>-1.0857569999999901</v>
      </c>
      <c r="AE1237">
        <v>-7.4605999999999897</v>
      </c>
      <c r="AF1237">
        <v>7.4473356069160399</v>
      </c>
      <c r="AG1237">
        <v>-1.0857569999999901</v>
      </c>
      <c r="AH1237">
        <v>30.9496905775536</v>
      </c>
      <c r="AI1237">
        <v>91.953475785897496</v>
      </c>
      <c r="AJ1237">
        <v>76.470295931787305</v>
      </c>
      <c r="AK1237">
        <v>31.851609421682301</v>
      </c>
      <c r="AL1237">
        <v>78.876279934776605</v>
      </c>
      <c r="AM1237">
        <v>88.702758251595696</v>
      </c>
      <c r="AN1237">
        <v>1.00000000755492</v>
      </c>
    </row>
    <row r="1238" spans="1:40" x14ac:dyDescent="0.25">
      <c r="A1238" t="str">
        <f>"20190304155615913"</f>
        <v>20190304155615913</v>
      </c>
      <c r="B1238" t="str">
        <f>"1551686175906083"</f>
        <v>1551686175906083</v>
      </c>
      <c r="C1238" t="s">
        <v>40</v>
      </c>
      <c r="D1238">
        <v>4.9173479999999996</v>
      </c>
      <c r="E1238">
        <v>0.58064839999999995</v>
      </c>
      <c r="F1238" t="s">
        <v>41</v>
      </c>
      <c r="G1238">
        <v>-217.922</v>
      </c>
      <c r="H1238">
        <v>6.9326299999999993E-2</v>
      </c>
      <c r="I1238">
        <v>359.59710000000001</v>
      </c>
      <c r="J1238">
        <v>-248.8561</v>
      </c>
      <c r="K1238">
        <v>1.110115</v>
      </c>
      <c r="L1238">
        <v>367.07679999999999</v>
      </c>
      <c r="M1238">
        <v>0.99989629999999996</v>
      </c>
      <c r="N1238">
        <v>-1.440001E-2</v>
      </c>
      <c r="O1238">
        <v>-2.946855E-4</v>
      </c>
      <c r="P1238">
        <v>0.9835083</v>
      </c>
      <c r="Q1238">
        <v>0.17938809999999999</v>
      </c>
      <c r="R1238">
        <v>-2.3054939999999999E-2</v>
      </c>
      <c r="S1238">
        <v>3.0518489999999998</v>
      </c>
      <c r="T1238">
        <v>-0.1020958</v>
      </c>
      <c r="U1238">
        <v>-0.73373409999999994</v>
      </c>
      <c r="V1238">
        <v>2.2866399999999999E-2</v>
      </c>
      <c r="W1238">
        <v>0.19352050000000001</v>
      </c>
      <c r="X1238">
        <v>0.98082970000000003</v>
      </c>
      <c r="Y1238">
        <v>0.233296</v>
      </c>
      <c r="Z1238">
        <v>-5.544996E-3</v>
      </c>
      <c r="AA1238">
        <v>0.97238999999999998</v>
      </c>
      <c r="AB1238">
        <v>32</v>
      </c>
      <c r="AC1238">
        <v>30.934100000000001</v>
      </c>
      <c r="AD1238">
        <v>-1.04078869999999</v>
      </c>
      <c r="AE1238">
        <v>-7.4796999999999798</v>
      </c>
      <c r="AF1238">
        <v>7.4626017751493103</v>
      </c>
      <c r="AG1238">
        <v>-1.04078869999999</v>
      </c>
      <c r="AH1238">
        <v>30.903252546993901</v>
      </c>
      <c r="AI1238">
        <v>91.875075136190603</v>
      </c>
      <c r="AJ1238">
        <v>76.423966500746403</v>
      </c>
      <c r="AK1238">
        <v>31.808563066504501</v>
      </c>
      <c r="AL1238">
        <v>78.841691486592197</v>
      </c>
      <c r="AM1238">
        <v>88.664486882867394</v>
      </c>
      <c r="AN1238">
        <v>0.99999997828564902</v>
      </c>
    </row>
    <row r="1239" spans="1:40" x14ac:dyDescent="0.25">
      <c r="A1239" t="str">
        <f>"20190304155615927"</f>
        <v>20190304155615927</v>
      </c>
      <c r="B1239" t="str">
        <f>"1551686175915843"</f>
        <v>1551686175915843</v>
      </c>
      <c r="C1239" t="s">
        <v>40</v>
      </c>
      <c r="D1239">
        <v>4.9933139999999998</v>
      </c>
      <c r="E1239">
        <v>0.58041180000000003</v>
      </c>
      <c r="F1239" t="s">
        <v>41</v>
      </c>
      <c r="G1239">
        <v>-217.76820000000001</v>
      </c>
      <c r="H1239">
        <v>7.7966250000000001E-2</v>
      </c>
      <c r="I1239">
        <v>359.58850000000001</v>
      </c>
      <c r="J1239">
        <v>-248.66409999999999</v>
      </c>
      <c r="K1239">
        <v>1.110114</v>
      </c>
      <c r="L1239">
        <v>367.07670000000002</v>
      </c>
      <c r="M1239">
        <v>0.99989629999999996</v>
      </c>
      <c r="N1239">
        <v>-1.439793E-2</v>
      </c>
      <c r="O1239">
        <v>-4.568083E-4</v>
      </c>
      <c r="P1239">
        <v>0.9833577</v>
      </c>
      <c r="Q1239">
        <v>0.1800678</v>
      </c>
      <c r="R1239">
        <v>-2.415641E-2</v>
      </c>
      <c r="S1239">
        <v>3.0515590000000001</v>
      </c>
      <c r="T1239">
        <v>-0.1013144</v>
      </c>
      <c r="U1239">
        <v>-0.73504639999999999</v>
      </c>
      <c r="V1239">
        <v>2.381258E-2</v>
      </c>
      <c r="W1239">
        <v>0.19419500000000001</v>
      </c>
      <c r="X1239">
        <v>0.98067380000000004</v>
      </c>
      <c r="Y1239">
        <v>0.23355670000000001</v>
      </c>
      <c r="Z1239">
        <v>-5.5188040000000004E-3</v>
      </c>
      <c r="AA1239">
        <v>0.97232750000000001</v>
      </c>
      <c r="AB1239">
        <v>32</v>
      </c>
      <c r="AC1239">
        <v>30.895899999999902</v>
      </c>
      <c r="AD1239">
        <v>-1.03214775</v>
      </c>
      <c r="AE1239">
        <v>-7.4882</v>
      </c>
      <c r="AF1239">
        <v>7.4662139383534702</v>
      </c>
      <c r="AG1239">
        <v>-1.03214775</v>
      </c>
      <c r="AH1239">
        <v>30.8667803918446</v>
      </c>
      <c r="AI1239">
        <v>91.861543395797696</v>
      </c>
      <c r="AJ1239">
        <v>76.402185237069006</v>
      </c>
      <c r="AK1239">
        <v>31.7736968467545</v>
      </c>
      <c r="AL1239">
        <v>78.802297509894998</v>
      </c>
      <c r="AM1239">
        <v>88.609025465986207</v>
      </c>
      <c r="AN1239">
        <v>0.99999991949884504</v>
      </c>
    </row>
    <row r="1240" spans="1:40" x14ac:dyDescent="0.25">
      <c r="A1240" t="str">
        <f>"20190304155615939"</f>
        <v>20190304155615939</v>
      </c>
      <c r="B1240" t="str">
        <f>"1551686175936339"</f>
        <v>1551686175936339</v>
      </c>
      <c r="C1240" t="s">
        <v>40</v>
      </c>
      <c r="D1240">
        <v>4.6223640000000001</v>
      </c>
      <c r="E1240">
        <v>0.58039370000000001</v>
      </c>
      <c r="F1240" t="s">
        <v>41</v>
      </c>
      <c r="G1240">
        <v>-217.40539999999999</v>
      </c>
      <c r="H1240">
        <v>7.9986130000000003E-2</v>
      </c>
      <c r="I1240">
        <v>359.5335</v>
      </c>
      <c r="J1240">
        <v>-248.4967</v>
      </c>
      <c r="K1240">
        <v>1.110117</v>
      </c>
      <c r="L1240">
        <v>367.07639999999998</v>
      </c>
      <c r="M1240">
        <v>0.99989620000000001</v>
      </c>
      <c r="N1240">
        <v>-1.439618E-2</v>
      </c>
      <c r="O1240">
        <v>-6.0088570000000003E-4</v>
      </c>
      <c r="P1240">
        <v>0.98325770000000001</v>
      </c>
      <c r="Q1240">
        <v>0.18053749999999999</v>
      </c>
      <c r="R1240">
        <v>-2.4711540000000001E-2</v>
      </c>
      <c r="S1240">
        <v>3.0511020000000002</v>
      </c>
      <c r="T1240">
        <v>-0.1005486</v>
      </c>
      <c r="U1240">
        <v>-0.73626709999999995</v>
      </c>
      <c r="V1240">
        <v>2.4228800000000002E-2</v>
      </c>
      <c r="W1240">
        <v>0.1946609</v>
      </c>
      <c r="X1240">
        <v>0.98057130000000003</v>
      </c>
      <c r="Y1240">
        <v>0.23381950000000001</v>
      </c>
      <c r="Z1240">
        <v>-5.493843E-3</v>
      </c>
      <c r="AA1240">
        <v>0.97226449999999998</v>
      </c>
      <c r="AB1240">
        <v>32</v>
      </c>
      <c r="AC1240">
        <v>31.0913</v>
      </c>
      <c r="AD1240">
        <v>-1.03013087</v>
      </c>
      <c r="AE1240">
        <v>-7.5428999999999702</v>
      </c>
      <c r="AF1240">
        <v>7.5164218122896003</v>
      </c>
      <c r="AG1240">
        <v>-1.03013087</v>
      </c>
      <c r="AH1240">
        <v>31.063622389127801</v>
      </c>
      <c r="AI1240">
        <v>91.846108254885394</v>
      </c>
      <c r="AJ1240">
        <v>76.397663970887095</v>
      </c>
      <c r="AK1240">
        <v>31.976654021393699</v>
      </c>
      <c r="AL1240">
        <v>78.775084858437097</v>
      </c>
      <c r="AM1240">
        <v>88.584574550656697</v>
      </c>
      <c r="AN1240">
        <v>0.99999998756096997</v>
      </c>
    </row>
    <row r="1241" spans="1:40" x14ac:dyDescent="0.25">
      <c r="A1241" t="str">
        <f>"20190304155615951"</f>
        <v>20190304155615951</v>
      </c>
      <c r="B1241" t="str">
        <f>"1551686175946099"</f>
        <v>1551686175946099</v>
      </c>
      <c r="C1241" t="s">
        <v>40</v>
      </c>
      <c r="D1241">
        <v>4.9676549999999997</v>
      </c>
      <c r="E1241">
        <v>0.5153721</v>
      </c>
      <c r="F1241" t="s">
        <v>41</v>
      </c>
      <c r="G1241">
        <v>-216.74100000000001</v>
      </c>
      <c r="H1241">
        <v>7.9986329999999994E-2</v>
      </c>
      <c r="I1241">
        <v>359.40480000000002</v>
      </c>
      <c r="J1241">
        <v>-248.32570000000001</v>
      </c>
      <c r="K1241">
        <v>1.1101160000000001</v>
      </c>
      <c r="L1241">
        <v>367.07619999999997</v>
      </c>
      <c r="M1241">
        <v>0.99989620000000001</v>
      </c>
      <c r="N1241">
        <v>-1.439441E-2</v>
      </c>
      <c r="O1241">
        <v>-7.4936399999999998E-4</v>
      </c>
      <c r="P1241">
        <v>0.98313989999999996</v>
      </c>
      <c r="Q1241">
        <v>0.18113689999999999</v>
      </c>
      <c r="R1241">
        <v>-2.5009650000000001E-2</v>
      </c>
      <c r="S1241">
        <v>3.050735</v>
      </c>
      <c r="T1241">
        <v>-9.8963019999999999E-2</v>
      </c>
      <c r="U1241">
        <v>-0.73699950000000003</v>
      </c>
      <c r="V1241">
        <v>2.4383350000000002E-2</v>
      </c>
      <c r="W1241">
        <v>0.19525670000000001</v>
      </c>
      <c r="X1241">
        <v>0.98044900000000001</v>
      </c>
      <c r="Y1241">
        <v>0.23392679999999999</v>
      </c>
      <c r="Z1241">
        <v>-5.4343150000000003E-3</v>
      </c>
      <c r="AA1241">
        <v>0.97223899999999996</v>
      </c>
      <c r="AB1241">
        <v>32</v>
      </c>
      <c r="AC1241">
        <v>31.584700000000002</v>
      </c>
      <c r="AD1241">
        <v>-1.03012967</v>
      </c>
      <c r="AE1241">
        <v>-7.6713999999999398</v>
      </c>
      <c r="AF1241">
        <v>7.64005274577955</v>
      </c>
      <c r="AG1241">
        <v>-1.03012967</v>
      </c>
      <c r="AH1241">
        <v>31.5587405527464</v>
      </c>
      <c r="AI1241">
        <v>91.817112165291604</v>
      </c>
      <c r="AJ1241">
        <v>76.391098924427794</v>
      </c>
      <c r="AK1241">
        <v>32.486700022791901</v>
      </c>
      <c r="AL1241">
        <v>78.740280140881396</v>
      </c>
      <c r="AM1241">
        <v>88.575371971035295</v>
      </c>
      <c r="AN1241">
        <v>0.999999984126556</v>
      </c>
    </row>
    <row r="1242" spans="1:40" x14ac:dyDescent="0.25">
      <c r="A1242" t="str">
        <f>"20190304155615963"</f>
        <v>20190304155615963</v>
      </c>
      <c r="B1242" t="str">
        <f>"1551686175955858"</f>
        <v>1551686175955858</v>
      </c>
      <c r="C1242" t="s">
        <v>40</v>
      </c>
      <c r="D1242">
        <v>3.8923540000000001</v>
      </c>
      <c r="E1242">
        <v>0.5153721</v>
      </c>
      <c r="F1242" t="s">
        <v>45</v>
      </c>
      <c r="G1242">
        <v>-203.96870000000001</v>
      </c>
      <c r="H1242" s="1">
        <v>-3.7027409999999998E-6</v>
      </c>
      <c r="I1242">
        <v>363.90300000000002</v>
      </c>
      <c r="J1242">
        <v>-248.1464</v>
      </c>
      <c r="K1242">
        <v>1.110115</v>
      </c>
      <c r="L1242">
        <v>367.07589999999999</v>
      </c>
      <c r="M1242">
        <v>0.99989600000000001</v>
      </c>
      <c r="N1242">
        <v>-1.4392530000000001E-2</v>
      </c>
      <c r="O1242">
        <v>-9.0616229999999996E-4</v>
      </c>
      <c r="P1242">
        <v>0.98298189999999996</v>
      </c>
      <c r="Q1242">
        <v>0.1819894</v>
      </c>
      <c r="R1242">
        <v>-2.5026610000000001E-2</v>
      </c>
      <c r="S1242">
        <v>3.0599820000000002</v>
      </c>
      <c r="T1242">
        <v>-7.6582070000000002E-2</v>
      </c>
      <c r="U1242">
        <v>-0.2189026</v>
      </c>
      <c r="V1242">
        <v>2.424859E-2</v>
      </c>
      <c r="W1242">
        <v>0.196105</v>
      </c>
      <c r="X1242">
        <v>0.98028300000000002</v>
      </c>
      <c r="Y1242">
        <v>7.0416320000000004E-2</v>
      </c>
      <c r="Z1242">
        <v>-1.3778029999999999E-3</v>
      </c>
      <c r="AA1242">
        <v>0.99751679999999998</v>
      </c>
      <c r="AB1242">
        <v>32</v>
      </c>
      <c r="AC1242">
        <v>44.177699999999902</v>
      </c>
      <c r="AD1242">
        <v>-1.110118702741</v>
      </c>
      <c r="AE1242">
        <v>-3.1728999999999701</v>
      </c>
      <c r="AF1242">
        <v>3.1308955537933998</v>
      </c>
      <c r="AG1242">
        <v>-1.110118702741</v>
      </c>
      <c r="AH1242">
        <v>44.152820501443301</v>
      </c>
      <c r="AI1242">
        <v>91.436658101401207</v>
      </c>
      <c r="AJ1242">
        <v>85.943920839424806</v>
      </c>
      <c r="AK1242">
        <v>44.277606402510202</v>
      </c>
      <c r="AL1242">
        <v>78.690717728112602</v>
      </c>
      <c r="AM1242">
        <v>88.583002462045201</v>
      </c>
      <c r="AN1242">
        <v>0.99999996261549295</v>
      </c>
    </row>
    <row r="1243" spans="1:40" x14ac:dyDescent="0.25">
      <c r="A1243" t="str">
        <f>"20190304155615976"</f>
        <v>20190304155615976</v>
      </c>
      <c r="B1243" t="str">
        <f>"1551686175965620"</f>
        <v>1551686175965620</v>
      </c>
      <c r="C1243" t="s">
        <v>40</v>
      </c>
      <c r="D1243">
        <v>4.5917620000000001</v>
      </c>
      <c r="E1243">
        <v>0.44526139999999997</v>
      </c>
      <c r="F1243" t="s">
        <v>45</v>
      </c>
      <c r="G1243">
        <v>-202.2106</v>
      </c>
      <c r="H1243" s="1">
        <v>-2.842288E-6</v>
      </c>
      <c r="I1243">
        <v>363.79349999999999</v>
      </c>
      <c r="J1243">
        <v>-247.97880000000001</v>
      </c>
      <c r="K1243">
        <v>1.110112</v>
      </c>
      <c r="L1243">
        <v>367.07560000000001</v>
      </c>
      <c r="M1243">
        <v>0.99989600000000001</v>
      </c>
      <c r="N1243">
        <v>-1.4390760000000001E-2</v>
      </c>
      <c r="O1243">
        <v>-1.053053E-3</v>
      </c>
      <c r="P1243">
        <v>0.98287429999999998</v>
      </c>
      <c r="Q1243">
        <v>0.18259929999999999</v>
      </c>
      <c r="R1243">
        <v>-2.4815440000000001E-2</v>
      </c>
      <c r="S1243">
        <v>3.0600429999999998</v>
      </c>
      <c r="T1243">
        <v>-7.3951240000000001E-2</v>
      </c>
      <c r="U1243">
        <v>-0.2186584</v>
      </c>
      <c r="V1243">
        <v>2.389465E-2</v>
      </c>
      <c r="W1243">
        <v>0.19671089999999999</v>
      </c>
      <c r="X1243">
        <v>0.98017030000000005</v>
      </c>
      <c r="Y1243">
        <v>7.0191199999999995E-2</v>
      </c>
      <c r="Z1243">
        <v>-1.342504E-3</v>
      </c>
      <c r="AA1243">
        <v>0.99753270000000005</v>
      </c>
      <c r="AB1243">
        <v>32</v>
      </c>
      <c r="AC1243">
        <v>45.7682</v>
      </c>
      <c r="AD1243">
        <v>-1.1101148422880001</v>
      </c>
      <c r="AE1243">
        <v>-3.28210000000001</v>
      </c>
      <c r="AF1243">
        <v>3.2320051520459798</v>
      </c>
      <c r="AG1243">
        <v>-1.1101148422880001</v>
      </c>
      <c r="AH1243">
        <v>45.744856614000803</v>
      </c>
      <c r="AI1243">
        <v>91.386698983043999</v>
      </c>
      <c r="AJ1243">
        <v>85.958604779211996</v>
      </c>
      <c r="AK1243">
        <v>45.872324106169003</v>
      </c>
      <c r="AL1243">
        <v>78.655312741130899</v>
      </c>
      <c r="AM1243">
        <v>88.603516666476196</v>
      </c>
      <c r="AN1243">
        <v>0.99999997473976099</v>
      </c>
    </row>
    <row r="1244" spans="1:40" x14ac:dyDescent="0.25">
      <c r="A1244" t="str">
        <f>"20190304155615988"</f>
        <v>20190304155615988</v>
      </c>
      <c r="B1244" t="str">
        <f>"1551686175975379"</f>
        <v>1551686175975379</v>
      </c>
      <c r="C1244" t="s">
        <v>40</v>
      </c>
      <c r="D1244">
        <v>4.6191360000000001</v>
      </c>
      <c r="E1244">
        <v>0.4381506</v>
      </c>
      <c r="F1244" t="s">
        <v>41</v>
      </c>
      <c r="G1244">
        <v>-221.21969999999999</v>
      </c>
      <c r="H1244" s="1">
        <v>-3.8567169999999997E-6</v>
      </c>
      <c r="I1244">
        <v>370.02109999999999</v>
      </c>
      <c r="J1244">
        <v>-247.81200000000001</v>
      </c>
      <c r="K1244">
        <v>1.110112</v>
      </c>
      <c r="L1244">
        <v>367.07530000000003</v>
      </c>
      <c r="M1244">
        <v>0.99989589999999995</v>
      </c>
      <c r="N1244">
        <v>-1.4388980000000001E-2</v>
      </c>
      <c r="O1244">
        <v>-1.1994569999999999E-3</v>
      </c>
      <c r="P1244">
        <v>0.9827323</v>
      </c>
      <c r="Q1244">
        <v>0.18346019999999999</v>
      </c>
      <c r="R1244">
        <v>-2.408368E-2</v>
      </c>
      <c r="S1244">
        <v>3.0846100000000001</v>
      </c>
      <c r="T1244">
        <v>-0.12796640000000001</v>
      </c>
      <c r="U1244">
        <v>0.33953860000000002</v>
      </c>
      <c r="V1244">
        <v>2.3020410000000002E-2</v>
      </c>
      <c r="W1244">
        <v>0.19756879999999999</v>
      </c>
      <c r="X1244">
        <v>0.98001870000000002</v>
      </c>
      <c r="Y1244">
        <v>-0.1104792</v>
      </c>
      <c r="Z1244">
        <v>3.1138860000000002E-3</v>
      </c>
      <c r="AA1244">
        <v>0.99387349999999997</v>
      </c>
      <c r="AB1244">
        <v>32</v>
      </c>
      <c r="AC1244">
        <v>26.592300000000002</v>
      </c>
      <c r="AD1244">
        <v>-1.110115856717</v>
      </c>
      <c r="AE1244">
        <v>2.9457999999999598</v>
      </c>
      <c r="AF1244">
        <v>-2.9725799571045699</v>
      </c>
      <c r="AG1244">
        <v>-1.110115856717</v>
      </c>
      <c r="AH1244">
        <v>26.543051089372501</v>
      </c>
      <c r="AI1244">
        <v>92.380036866878399</v>
      </c>
      <c r="AJ1244">
        <v>96.389979906141804</v>
      </c>
      <c r="AK1244">
        <v>26.732043504935302</v>
      </c>
      <c r="AL1244">
        <v>78.605175170438898</v>
      </c>
      <c r="AM1244">
        <v>88.654382996422399</v>
      </c>
      <c r="AN1244">
        <v>1.0000000111798399</v>
      </c>
    </row>
    <row r="1245" spans="1:40" x14ac:dyDescent="0.25">
      <c r="A1245" t="str">
        <f>"20190304155615999"</f>
        <v>20190304155615999</v>
      </c>
      <c r="B1245" t="str">
        <f>"1551686175995875"</f>
        <v>1551686175995875</v>
      </c>
      <c r="C1245" t="s">
        <v>40</v>
      </c>
      <c r="D1245">
        <v>4.5586469999999997</v>
      </c>
      <c r="E1245">
        <v>0.4334153</v>
      </c>
      <c r="F1245" t="s">
        <v>41</v>
      </c>
      <c r="G1245">
        <v>-216.81399999999999</v>
      </c>
      <c r="H1245" s="1">
        <v>-1.741433E-6</v>
      </c>
      <c r="I1245">
        <v>371.09100000000001</v>
      </c>
      <c r="J1245">
        <v>-247.65289999999999</v>
      </c>
      <c r="K1245">
        <v>1.110115</v>
      </c>
      <c r="L1245">
        <v>367.07499999999999</v>
      </c>
      <c r="M1245">
        <v>0.99989570000000005</v>
      </c>
      <c r="N1245">
        <v>-1.4387270000000001E-2</v>
      </c>
      <c r="O1245">
        <v>-1.338697E-3</v>
      </c>
      <c r="P1245">
        <v>0.98259620000000003</v>
      </c>
      <c r="Q1245">
        <v>0.18423149999999999</v>
      </c>
      <c r="R1245">
        <v>-2.374476E-2</v>
      </c>
      <c r="S1245">
        <v>3.0831149999999998</v>
      </c>
      <c r="T1245">
        <v>-0.1104139</v>
      </c>
      <c r="U1245">
        <v>0.39941409999999999</v>
      </c>
      <c r="V1245">
        <v>2.254596E-2</v>
      </c>
      <c r="W1245">
        <v>0.1983367</v>
      </c>
      <c r="X1245">
        <v>0.97987460000000004</v>
      </c>
      <c r="Y1245">
        <v>-0.12968750000000001</v>
      </c>
      <c r="Z1245">
        <v>3.2776400000000001E-3</v>
      </c>
      <c r="AA1245">
        <v>0.99154949999999997</v>
      </c>
      <c r="AB1245">
        <v>32</v>
      </c>
      <c r="AC1245">
        <v>30.838899999999899</v>
      </c>
      <c r="AD1245">
        <v>-1.110116741433</v>
      </c>
      <c r="AE1245">
        <v>4.0160000000000204</v>
      </c>
      <c r="AF1245">
        <v>-4.0521214155721497</v>
      </c>
      <c r="AG1245">
        <v>-1.110116741433</v>
      </c>
      <c r="AH1245">
        <v>30.7942576740456</v>
      </c>
      <c r="AI1245">
        <v>92.046958177073407</v>
      </c>
      <c r="AJ1245">
        <v>97.496306470597602</v>
      </c>
      <c r="AK1245">
        <v>31.079548787613799</v>
      </c>
      <c r="AL1245">
        <v>78.56028938611</v>
      </c>
      <c r="AM1245">
        <v>88.681912500542495</v>
      </c>
      <c r="AN1245">
        <v>0.99999999930218497</v>
      </c>
    </row>
    <row r="1246" spans="1:40" x14ac:dyDescent="0.25">
      <c r="A1246" t="str">
        <f>"20190304155616011"</f>
        <v>20190304155616011</v>
      </c>
      <c r="B1246" t="str">
        <f>"1551686176005635"</f>
        <v>1551686176005635</v>
      </c>
      <c r="C1246" t="s">
        <v>40</v>
      </c>
      <c r="D1246">
        <v>4.5464419999999999</v>
      </c>
      <c r="E1246">
        <v>0.43376530000000002</v>
      </c>
      <c r="F1246" t="s">
        <v>41</v>
      </c>
      <c r="G1246">
        <v>-211.84209999999999</v>
      </c>
      <c r="H1246" s="1">
        <v>-4.1023749999999998E-6</v>
      </c>
      <c r="I1246">
        <v>372.17140000000001</v>
      </c>
      <c r="J1246">
        <v>-247.4794</v>
      </c>
      <c r="K1246">
        <v>1.1101190000000001</v>
      </c>
      <c r="L1246">
        <v>367.07459999999998</v>
      </c>
      <c r="M1246">
        <v>0.99989539999999999</v>
      </c>
      <c r="N1246">
        <v>-1.438541E-2</v>
      </c>
      <c r="O1246">
        <v>-1.4900929999999901E-3</v>
      </c>
      <c r="P1246">
        <v>0.98243860000000005</v>
      </c>
      <c r="Q1246">
        <v>0.18515690000000001</v>
      </c>
      <c r="R1246">
        <v>-2.3054970000000001E-2</v>
      </c>
      <c r="S1246">
        <v>3.0816349999999999</v>
      </c>
      <c r="T1246">
        <v>-9.5529080000000002E-2</v>
      </c>
      <c r="U1246">
        <v>0.43856810000000002</v>
      </c>
      <c r="V1246">
        <v>2.1708749999999999E-2</v>
      </c>
      <c r="W1246">
        <v>0.1992583</v>
      </c>
      <c r="X1246">
        <v>0.97970650000000004</v>
      </c>
      <c r="Y1246">
        <v>-0.14227339999999999</v>
      </c>
      <c r="Z1246">
        <v>3.2471209999999999E-3</v>
      </c>
      <c r="AA1246">
        <v>0.98982210000000004</v>
      </c>
      <c r="AB1246">
        <v>32</v>
      </c>
      <c r="AC1246">
        <v>35.637300000000003</v>
      </c>
      <c r="AD1246">
        <v>-1.110123102375</v>
      </c>
      <c r="AE1246">
        <v>5.0968000000000302</v>
      </c>
      <c r="AF1246">
        <v>-5.14501028948846</v>
      </c>
      <c r="AG1246">
        <v>-1.110123102375</v>
      </c>
      <c r="AH1246">
        <v>35.595816540992203</v>
      </c>
      <c r="AI1246">
        <v>91.767938304698205</v>
      </c>
      <c r="AJ1246">
        <v>98.224557968292302</v>
      </c>
      <c r="AK1246">
        <v>35.982852296633503</v>
      </c>
      <c r="AL1246">
        <v>78.506410007125893</v>
      </c>
      <c r="AM1246">
        <v>88.730623667986094</v>
      </c>
      <c r="AN1246">
        <v>0.99999998304385096</v>
      </c>
    </row>
    <row r="1247" spans="1:40" x14ac:dyDescent="0.25">
      <c r="A1247" t="str">
        <f>"20190304155616027"</f>
        <v>20190304155616027</v>
      </c>
      <c r="B1247" t="str">
        <f>"1551686176015394"</f>
        <v>1551686176015394</v>
      </c>
      <c r="C1247" t="s">
        <v>40</v>
      </c>
      <c r="D1247">
        <v>4.493404</v>
      </c>
      <c r="E1247">
        <v>0.43370399999999998</v>
      </c>
      <c r="F1247" t="s">
        <v>41</v>
      </c>
      <c r="G1247">
        <v>-215.16560000000001</v>
      </c>
      <c r="H1247" s="1">
        <v>-2.6004589999999998E-6</v>
      </c>
      <c r="I1247">
        <v>371.6617</v>
      </c>
      <c r="J1247">
        <v>-247.25899999999999</v>
      </c>
      <c r="K1247">
        <v>1.110123</v>
      </c>
      <c r="L1247">
        <v>367.07409999999999</v>
      </c>
      <c r="M1247">
        <v>0.99989530000000004</v>
      </c>
      <c r="N1247">
        <v>-1.4383079999999999E-2</v>
      </c>
      <c r="O1247">
        <v>-1.6821290000000001E-3</v>
      </c>
      <c r="P1247">
        <v>0.98231369999999896</v>
      </c>
      <c r="Q1247">
        <v>0.18593190000000001</v>
      </c>
      <c r="R1247">
        <v>-2.2125220000000001E-2</v>
      </c>
      <c r="S1247">
        <v>3.0838779999999999</v>
      </c>
      <c r="T1247">
        <v>-0.1059446</v>
      </c>
      <c r="U1247">
        <v>0.43777470000000002</v>
      </c>
      <c r="V1247">
        <v>2.059134E-2</v>
      </c>
      <c r="W1247">
        <v>0.2000297</v>
      </c>
      <c r="X1247">
        <v>0.97957340000000004</v>
      </c>
      <c r="Y1247">
        <v>-0.14209479999999999</v>
      </c>
      <c r="Z1247">
        <v>3.488774E-3</v>
      </c>
      <c r="AA1247">
        <v>0.98984689999999997</v>
      </c>
      <c r="AB1247">
        <v>32</v>
      </c>
      <c r="AC1247">
        <v>32.093400000000003</v>
      </c>
      <c r="AD1247">
        <v>-1.1101256004590001</v>
      </c>
      <c r="AE1247">
        <v>4.5876000000000001</v>
      </c>
      <c r="AF1247">
        <v>-4.6361482484113399</v>
      </c>
      <c r="AG1247">
        <v>-1.1101256004590001</v>
      </c>
      <c r="AH1247">
        <v>32.048059181779699</v>
      </c>
      <c r="AI1247">
        <v>91.963475896677906</v>
      </c>
      <c r="AJ1247">
        <v>98.2314399889556</v>
      </c>
      <c r="AK1247">
        <v>32.400684356181401</v>
      </c>
      <c r="AL1247">
        <v>78.461303778674903</v>
      </c>
      <c r="AM1247">
        <v>88.795778703260794</v>
      </c>
      <c r="AN1247">
        <v>0.99999996507632205</v>
      </c>
    </row>
    <row r="1248" spans="1:40" x14ac:dyDescent="0.25">
      <c r="A1248" t="str">
        <f>"20190304155616041"</f>
        <v>20190304155616041</v>
      </c>
      <c r="B1248" t="str">
        <f>"1551686176035890"</f>
        <v>1551686176035890</v>
      </c>
      <c r="C1248" t="s">
        <v>40</v>
      </c>
      <c r="D1248">
        <v>4.5086320000000004</v>
      </c>
      <c r="E1248">
        <v>0.43295470000000003</v>
      </c>
      <c r="F1248" t="s">
        <v>41</v>
      </c>
      <c r="G1248">
        <v>-216.20740000000001</v>
      </c>
      <c r="H1248" s="1">
        <v>-2.1150309999999999E-6</v>
      </c>
      <c r="I1248">
        <v>371.51690000000002</v>
      </c>
      <c r="J1248">
        <v>-247.05879999999999</v>
      </c>
      <c r="K1248">
        <v>1.110131</v>
      </c>
      <c r="L1248">
        <v>367.07350000000002</v>
      </c>
      <c r="M1248">
        <v>0.99989490000000003</v>
      </c>
      <c r="N1248">
        <v>-1.438097E-2</v>
      </c>
      <c r="O1248">
        <v>-1.8558019999999999E-3</v>
      </c>
      <c r="P1248">
        <v>0.98213320000000004</v>
      </c>
      <c r="Q1248">
        <v>0.1870783</v>
      </c>
      <c r="R1248">
        <v>-2.0403850000000001E-2</v>
      </c>
      <c r="S1248">
        <v>3.0848080000000002</v>
      </c>
      <c r="T1248">
        <v>-0.1102846</v>
      </c>
      <c r="U1248">
        <v>0.44137569999999998</v>
      </c>
      <c r="V1248">
        <v>1.870084E-2</v>
      </c>
      <c r="W1248">
        <v>0.2011723</v>
      </c>
      <c r="X1248">
        <v>0.97937730000000001</v>
      </c>
      <c r="Y1248">
        <v>-0.14334810000000001</v>
      </c>
      <c r="Z1248">
        <v>3.624543E-3</v>
      </c>
      <c r="AA1248">
        <v>0.98966569999999998</v>
      </c>
      <c r="AB1248">
        <v>32</v>
      </c>
      <c r="AC1248">
        <v>30.851399999999899</v>
      </c>
      <c r="AD1248">
        <v>-1.1101331150310001</v>
      </c>
      <c r="AE1248">
        <v>4.4433999999999898</v>
      </c>
      <c r="AF1248">
        <v>-4.4949505994054499</v>
      </c>
      <c r="AG1248">
        <v>-1.1101331150310001</v>
      </c>
      <c r="AH1248">
        <v>30.804025637115799</v>
      </c>
      <c r="AI1248">
        <v>92.042354189992395</v>
      </c>
      <c r="AJ1248">
        <v>98.302056635326693</v>
      </c>
      <c r="AK1248">
        <v>31.150039676961399</v>
      </c>
      <c r="AL1248">
        <v>78.394479164535497</v>
      </c>
      <c r="AM1248">
        <v>88.906091644413195</v>
      </c>
      <c r="AN1248">
        <v>0.99999995572964095</v>
      </c>
    </row>
    <row r="1249" spans="1:40" x14ac:dyDescent="0.25">
      <c r="A1249" t="str">
        <f>"20190304155616055"</f>
        <v>20190304155616055</v>
      </c>
      <c r="B1249" t="str">
        <f>"1551686176045651"</f>
        <v>1551686176045651</v>
      </c>
      <c r="C1249" t="s">
        <v>40</v>
      </c>
      <c r="D1249">
        <v>4.5844779999999998</v>
      </c>
      <c r="E1249">
        <v>0.43236720000000001</v>
      </c>
      <c r="F1249" t="s">
        <v>41</v>
      </c>
      <c r="G1249">
        <v>-216.08369999999999</v>
      </c>
      <c r="H1249" s="1">
        <v>-2.1959250000000001E-6</v>
      </c>
      <c r="I1249">
        <v>371.6216</v>
      </c>
      <c r="J1249">
        <v>-246.86250000000001</v>
      </c>
      <c r="K1249">
        <v>1.110134</v>
      </c>
      <c r="L1249">
        <v>367.07299999999998</v>
      </c>
      <c r="M1249">
        <v>0.99989459999999997</v>
      </c>
      <c r="N1249">
        <v>-1.4378899999999899E-2</v>
      </c>
      <c r="O1249">
        <v>-2.0257769999999999E-3</v>
      </c>
      <c r="P1249">
        <v>0.98209080000000004</v>
      </c>
      <c r="Q1249">
        <v>0.18741650000000001</v>
      </c>
      <c r="R1249">
        <v>-1.9313799999999999E-2</v>
      </c>
      <c r="S1249">
        <v>3.0850369999999998</v>
      </c>
      <c r="T1249">
        <v>-0.110566</v>
      </c>
      <c r="U1249">
        <v>0.4529724</v>
      </c>
      <c r="V1249">
        <v>1.7443839999999999E-2</v>
      </c>
      <c r="W1249">
        <v>0.20150860000000001</v>
      </c>
      <c r="X1249">
        <v>0.97933139999999996</v>
      </c>
      <c r="Y1249">
        <v>-0.14714469999999999</v>
      </c>
      <c r="Z1249">
        <v>3.7291859999999998E-3</v>
      </c>
      <c r="AA1249">
        <v>0.98910799999999999</v>
      </c>
      <c r="AB1249">
        <v>31</v>
      </c>
      <c r="AC1249">
        <v>30.7788</v>
      </c>
      <c r="AD1249">
        <v>-1.110136195925</v>
      </c>
      <c r="AE1249">
        <v>4.5485999999999596</v>
      </c>
      <c r="AF1249">
        <v>-4.6050853097251796</v>
      </c>
      <c r="AG1249">
        <v>-1.110136195925</v>
      </c>
      <c r="AH1249">
        <v>30.730398222622</v>
      </c>
      <c r="AI1249">
        <v>92.046084907683493</v>
      </c>
      <c r="AJ1249">
        <v>98.522606599208501</v>
      </c>
      <c r="AK1249">
        <v>31.093352794516601</v>
      </c>
      <c r="AL1249">
        <v>78.374808237465402</v>
      </c>
      <c r="AM1249">
        <v>88.979556121406205</v>
      </c>
      <c r="AN1249">
        <v>0.999999997226932</v>
      </c>
    </row>
    <row r="1250" spans="1:40" x14ac:dyDescent="0.25">
      <c r="A1250" t="str">
        <f>"20190304155616070"</f>
        <v>20190304155616070</v>
      </c>
      <c r="B1250" t="str">
        <f>"1551686176066146"</f>
        <v>1551686176066146</v>
      </c>
      <c r="C1250" t="s">
        <v>40</v>
      </c>
      <c r="D1250">
        <v>4.5720179999999999</v>
      </c>
      <c r="E1250">
        <v>0.43152069999999998</v>
      </c>
      <c r="F1250" t="s">
        <v>41</v>
      </c>
      <c r="G1250">
        <v>-215.14080000000001</v>
      </c>
      <c r="H1250" s="1">
        <v>-2.6521870000000001E-6</v>
      </c>
      <c r="I1250">
        <v>371.81610000000001</v>
      </c>
      <c r="J1250">
        <v>-246.65969999999999</v>
      </c>
      <c r="K1250">
        <v>1.1101379999999901</v>
      </c>
      <c r="L1250">
        <v>367.07240000000002</v>
      </c>
      <c r="M1250">
        <v>0.99989430000000001</v>
      </c>
      <c r="N1250">
        <v>-1.4376760000000001E-2</v>
      </c>
      <c r="O1250">
        <v>-2.2011119999999999E-3</v>
      </c>
      <c r="P1250">
        <v>0.98205889999999996</v>
      </c>
      <c r="Q1250">
        <v>0.18771750000000001</v>
      </c>
      <c r="R1250">
        <v>-1.7966960000000001E-2</v>
      </c>
      <c r="S1250">
        <v>3.084381</v>
      </c>
      <c r="T1250">
        <v>-0.10794090000000001</v>
      </c>
      <c r="U1250">
        <v>0.46118160000000002</v>
      </c>
      <c r="V1250">
        <v>1.5925410000000001E-2</v>
      </c>
      <c r="W1250">
        <v>0.20180799999999999</v>
      </c>
      <c r="X1250">
        <v>0.97929560000000004</v>
      </c>
      <c r="Y1250">
        <v>-0.14992659999999999</v>
      </c>
      <c r="Z1250">
        <v>3.7374489999999999E-3</v>
      </c>
      <c r="AA1250">
        <v>0.98869010000000002</v>
      </c>
      <c r="AB1250">
        <v>31</v>
      </c>
      <c r="AC1250">
        <v>31.518899999999899</v>
      </c>
      <c r="AD1250">
        <v>-1.1101406521870001</v>
      </c>
      <c r="AE1250">
        <v>4.7436999999999898</v>
      </c>
      <c r="AF1250">
        <v>-4.8072407749100901</v>
      </c>
      <c r="AG1250">
        <v>-1.1101406521870001</v>
      </c>
      <c r="AH1250">
        <v>31.470205532624899</v>
      </c>
      <c r="AI1250">
        <v>91.997176168669796</v>
      </c>
      <c r="AJ1250">
        <v>98.685096226137205</v>
      </c>
      <c r="AK1250">
        <v>31.8546042574892</v>
      </c>
      <c r="AL1250">
        <v>78.357293863760205</v>
      </c>
      <c r="AM1250">
        <v>89.068332015715995</v>
      </c>
      <c r="AN1250">
        <v>0.99999997986351397</v>
      </c>
    </row>
    <row r="1251" spans="1:40" x14ac:dyDescent="0.25">
      <c r="A1251" t="str">
        <f>"20190304155616084"</f>
        <v>20190304155616084</v>
      </c>
      <c r="B1251" t="str">
        <f>"1551686176075907"</f>
        <v>1551686176075907</v>
      </c>
      <c r="C1251" t="s">
        <v>40</v>
      </c>
      <c r="D1251">
        <v>4.4725890000000001</v>
      </c>
      <c r="E1251">
        <v>0.43175010000000003</v>
      </c>
      <c r="F1251" t="s">
        <v>41</v>
      </c>
      <c r="G1251">
        <v>-213.7878</v>
      </c>
      <c r="H1251" s="1">
        <v>-3.309789E-6</v>
      </c>
      <c r="I1251">
        <v>372.10629999999998</v>
      </c>
      <c r="J1251">
        <v>-246.45939999999999</v>
      </c>
      <c r="K1251">
        <v>1.110142</v>
      </c>
      <c r="L1251">
        <v>367.0718</v>
      </c>
      <c r="M1251">
        <v>0.99989399999999995</v>
      </c>
      <c r="N1251">
        <v>-1.4374649999999999E-2</v>
      </c>
      <c r="O1251">
        <v>-2.3739400000000002E-3</v>
      </c>
      <c r="P1251">
        <v>0.98199789999999998</v>
      </c>
      <c r="Q1251">
        <v>0.1882944</v>
      </c>
      <c r="R1251">
        <v>-1.50209E-2</v>
      </c>
      <c r="S1251">
        <v>3.0833590000000002</v>
      </c>
      <c r="T1251">
        <v>-0.1041301</v>
      </c>
      <c r="U1251">
        <v>0.47216799999999998</v>
      </c>
      <c r="V1251">
        <v>1.2810179999999999E-2</v>
      </c>
      <c r="W1251">
        <v>0.2023838</v>
      </c>
      <c r="X1251">
        <v>0.9792225</v>
      </c>
      <c r="Y1251">
        <v>-0.15359300000000001</v>
      </c>
      <c r="Z1251">
        <v>3.7343789999999999E-3</v>
      </c>
      <c r="AA1251">
        <v>0.98812719999999998</v>
      </c>
      <c r="AB1251">
        <v>31</v>
      </c>
      <c r="AC1251">
        <v>32.671599999999899</v>
      </c>
      <c r="AD1251">
        <v>-1.1101453097889999</v>
      </c>
      <c r="AE1251">
        <v>5.03449999999998</v>
      </c>
      <c r="AF1251">
        <v>-5.1062954193077097</v>
      </c>
      <c r="AG1251">
        <v>-1.1101453097889999</v>
      </c>
      <c r="AH1251">
        <v>32.622763557862299</v>
      </c>
      <c r="AI1251">
        <v>91.9255824871057</v>
      </c>
      <c r="AJ1251">
        <v>98.896069084998899</v>
      </c>
      <c r="AK1251">
        <v>33.038634621761801</v>
      </c>
      <c r="AL1251">
        <v>78.323608151116503</v>
      </c>
      <c r="AM1251">
        <v>89.250499878248306</v>
      </c>
      <c r="AN1251">
        <v>1.00000000386016</v>
      </c>
    </row>
    <row r="1252" spans="1:40" x14ac:dyDescent="0.25">
      <c r="A1252" t="str">
        <f>"20190304155616095"</f>
        <v>20190304155616095</v>
      </c>
      <c r="B1252" t="str">
        <f>"1551686176085667"</f>
        <v>1551686176085667</v>
      </c>
      <c r="C1252" t="s">
        <v>40</v>
      </c>
      <c r="D1252">
        <v>4.5517810000000001</v>
      </c>
      <c r="E1252">
        <v>0.43181750000000002</v>
      </c>
      <c r="F1252" t="s">
        <v>41</v>
      </c>
      <c r="G1252">
        <v>-214.08799999999999</v>
      </c>
      <c r="H1252" s="1">
        <v>-3.1827020000000001E-6</v>
      </c>
      <c r="I1252">
        <v>372.11250000000001</v>
      </c>
      <c r="J1252">
        <v>-246.29519999999999</v>
      </c>
      <c r="K1252">
        <v>1.1101449999999999</v>
      </c>
      <c r="L1252">
        <v>367.07130000000001</v>
      </c>
      <c r="M1252">
        <v>0.99989349999999999</v>
      </c>
      <c r="N1252">
        <v>-1.4372920000000001E-2</v>
      </c>
      <c r="O1252">
        <v>-2.5154190000000001E-3</v>
      </c>
      <c r="P1252">
        <v>0.98197950000000001</v>
      </c>
      <c r="Q1252">
        <v>0.18852160000000001</v>
      </c>
      <c r="R1252">
        <v>-1.326718E-2</v>
      </c>
      <c r="S1252">
        <v>3.082611</v>
      </c>
      <c r="T1252">
        <v>-0.1057149</v>
      </c>
      <c r="U1252">
        <v>0.48001100000000002</v>
      </c>
      <c r="V1252">
        <v>1.091783E-2</v>
      </c>
      <c r="W1252">
        <v>0.20261029999999999</v>
      </c>
      <c r="X1252">
        <v>0.97919860000000003</v>
      </c>
      <c r="Y1252">
        <v>-0.1562182</v>
      </c>
      <c r="Z1252">
        <v>3.8415509999999999E-3</v>
      </c>
      <c r="AA1252">
        <v>0.98771509999999996</v>
      </c>
      <c r="AB1252">
        <v>31</v>
      </c>
      <c r="AC1252">
        <v>32.2072</v>
      </c>
      <c r="AD1252">
        <v>-1.1101481827019899</v>
      </c>
      <c r="AE1252">
        <v>5.0411999999999999</v>
      </c>
      <c r="AF1252">
        <v>-5.11627370205417</v>
      </c>
      <c r="AG1252">
        <v>-1.1101481827019899</v>
      </c>
      <c r="AH1252">
        <v>32.157123562572103</v>
      </c>
      <c r="AI1252">
        <v>91.952674490237797</v>
      </c>
      <c r="AJ1252">
        <v>99.040121743808399</v>
      </c>
      <c r="AK1252">
        <v>32.580504621635598</v>
      </c>
      <c r="AL1252">
        <v>78.310356250424903</v>
      </c>
      <c r="AM1252">
        <v>89.361192243986494</v>
      </c>
      <c r="AN1252">
        <v>1.00000001545997</v>
      </c>
    </row>
    <row r="1253" spans="1:40" x14ac:dyDescent="0.25">
      <c r="A1253" t="str">
        <f>"20190304155616107"</f>
        <v>20190304155616107</v>
      </c>
      <c r="B1253" t="str">
        <f>"1551686176095427"</f>
        <v>1551686176095427</v>
      </c>
      <c r="C1253" t="s">
        <v>40</v>
      </c>
      <c r="D1253">
        <v>4.6337529999999996</v>
      </c>
      <c r="E1253">
        <v>0.43168909999999999</v>
      </c>
      <c r="F1253" t="s">
        <v>41</v>
      </c>
      <c r="G1253">
        <v>-214.08</v>
      </c>
      <c r="H1253" s="1">
        <v>-3.1937980000000002E-6</v>
      </c>
      <c r="I1253">
        <v>372.1413</v>
      </c>
      <c r="J1253">
        <v>-246.13149999999999</v>
      </c>
      <c r="K1253">
        <v>1.11015</v>
      </c>
      <c r="L1253">
        <v>367.07069999999999</v>
      </c>
      <c r="M1253">
        <v>0.99989329999999998</v>
      </c>
      <c r="N1253">
        <v>-1.4371180000000001E-2</v>
      </c>
      <c r="O1253">
        <v>-2.65642E-3</v>
      </c>
      <c r="P1253">
        <v>0.98197069999999997</v>
      </c>
      <c r="Q1253">
        <v>0.1886758</v>
      </c>
      <c r="R1253">
        <v>-1.1622520000000001E-2</v>
      </c>
      <c r="S1253">
        <v>3.0820159999999999</v>
      </c>
      <c r="T1253">
        <v>-0.1062071</v>
      </c>
      <c r="U1253">
        <v>0.48504639999999999</v>
      </c>
      <c r="V1253">
        <v>9.1345560000000003E-3</v>
      </c>
      <c r="W1253">
        <v>0.20276340000000001</v>
      </c>
      <c r="X1253">
        <v>0.97918519999999998</v>
      </c>
      <c r="Y1253">
        <v>-0.15795890000000001</v>
      </c>
      <c r="Z1253">
        <v>3.899741E-3</v>
      </c>
      <c r="AA1253">
        <v>0.98743800000000004</v>
      </c>
      <c r="AB1253">
        <v>31</v>
      </c>
      <c r="AC1253">
        <v>32.051499999999898</v>
      </c>
      <c r="AD1253">
        <v>-1.110153193798</v>
      </c>
      <c r="AE1253">
        <v>5.0706000000000104</v>
      </c>
      <c r="AF1253">
        <v>-5.1497059322806402</v>
      </c>
      <c r="AG1253">
        <v>-1.110153193798</v>
      </c>
      <c r="AH1253">
        <v>32.000462587062401</v>
      </c>
      <c r="AI1253">
        <v>91.9616775835228</v>
      </c>
      <c r="AJ1253">
        <v>99.142000108316594</v>
      </c>
      <c r="AK1253">
        <v>32.431181247198602</v>
      </c>
      <c r="AL1253">
        <v>78.301398697295696</v>
      </c>
      <c r="AM1253">
        <v>89.465518550379898</v>
      </c>
      <c r="AN1253">
        <v>1.00000004619595</v>
      </c>
    </row>
    <row r="1254" spans="1:40" x14ac:dyDescent="0.25">
      <c r="A1254" t="str">
        <f>"20190304155616118"</f>
        <v>20190304155616118</v>
      </c>
      <c r="B1254" t="str">
        <f>"1551686176115922"</f>
        <v>1551686176115922</v>
      </c>
      <c r="C1254" t="s">
        <v>40</v>
      </c>
      <c r="D1254">
        <v>4.6090849999999897</v>
      </c>
      <c r="E1254">
        <v>0.4317724</v>
      </c>
      <c r="F1254" t="s">
        <v>41</v>
      </c>
      <c r="G1254">
        <v>-213.6414</v>
      </c>
      <c r="H1254" s="1">
        <v>-3.4123360000000001E-6</v>
      </c>
      <c r="I1254">
        <v>372.25560000000002</v>
      </c>
      <c r="J1254">
        <v>-245.97980000000001</v>
      </c>
      <c r="K1254">
        <v>1.110152</v>
      </c>
      <c r="L1254">
        <v>367.0702</v>
      </c>
      <c r="M1254">
        <v>0.99989300000000003</v>
      </c>
      <c r="N1254">
        <v>-1.436958E-2</v>
      </c>
      <c r="O1254">
        <v>-2.787051E-3</v>
      </c>
      <c r="P1254">
        <v>0.9819466</v>
      </c>
      <c r="Q1254">
        <v>0.18889259999999999</v>
      </c>
      <c r="R1254">
        <v>-1.003092E-2</v>
      </c>
      <c r="S1254">
        <v>3.0811459999999999</v>
      </c>
      <c r="T1254">
        <v>-0.1052796</v>
      </c>
      <c r="U1254">
        <v>0.4916992</v>
      </c>
      <c r="V1254">
        <v>7.414683E-3</v>
      </c>
      <c r="W1254">
        <v>0.20297950000000001</v>
      </c>
      <c r="X1254">
        <v>0.97915490000000005</v>
      </c>
      <c r="Y1254">
        <v>-0.1602102</v>
      </c>
      <c r="Z1254">
        <v>3.9327829999999996E-3</v>
      </c>
      <c r="AA1254">
        <v>0.98707509999999998</v>
      </c>
      <c r="AB1254">
        <v>31</v>
      </c>
      <c r="AC1254">
        <v>32.3384</v>
      </c>
      <c r="AD1254">
        <v>-1.110155412336</v>
      </c>
      <c r="AE1254">
        <v>5.1854000000000102</v>
      </c>
      <c r="AF1254">
        <v>-5.26946351339146</v>
      </c>
      <c r="AG1254">
        <v>-1.110155412336</v>
      </c>
      <c r="AH1254">
        <v>32.286724725762902</v>
      </c>
      <c r="AI1254">
        <v>91.943602029416994</v>
      </c>
      <c r="AJ1254">
        <v>99.269423898279896</v>
      </c>
      <c r="AK1254">
        <v>32.732740250026303</v>
      </c>
      <c r="AL1254">
        <v>78.288753432967098</v>
      </c>
      <c r="AM1254">
        <v>89.566134099694494</v>
      </c>
      <c r="AN1254">
        <v>0.99999998656912503</v>
      </c>
    </row>
    <row r="1255" spans="1:40" x14ac:dyDescent="0.25">
      <c r="A1255" t="str">
        <f>"20190304155616130"</f>
        <v>20190304155616130</v>
      </c>
      <c r="B1255" t="str">
        <f>"1551686176125683"</f>
        <v>1551686176125683</v>
      </c>
      <c r="C1255" t="s">
        <v>40</v>
      </c>
      <c r="D1255">
        <v>4.5604879999999897</v>
      </c>
      <c r="E1255">
        <v>0.4318244</v>
      </c>
      <c r="F1255" t="s">
        <v>41</v>
      </c>
      <c r="G1255">
        <v>-213.77209999999999</v>
      </c>
      <c r="H1255" s="1">
        <v>-3.357178E-6</v>
      </c>
      <c r="I1255">
        <v>372.25900000000001</v>
      </c>
      <c r="J1255">
        <v>-245.81469999999999</v>
      </c>
      <c r="K1255">
        <v>1.110155</v>
      </c>
      <c r="L1255">
        <v>367.06959999999998</v>
      </c>
      <c r="M1255">
        <v>0.99989240000000001</v>
      </c>
      <c r="N1255">
        <v>-1.436783E-2</v>
      </c>
      <c r="O1255">
        <v>-2.9292430000000002E-3</v>
      </c>
      <c r="P1255">
        <v>0.98191919999999999</v>
      </c>
      <c r="Q1255">
        <v>0.18910930000000001</v>
      </c>
      <c r="R1255">
        <v>-8.5072759999999994E-3</v>
      </c>
      <c r="S1255">
        <v>3.080673</v>
      </c>
      <c r="T1255">
        <v>-0.1061863</v>
      </c>
      <c r="U1255">
        <v>0.49630740000000001</v>
      </c>
      <c r="V1255">
        <v>5.7514699999999998E-3</v>
      </c>
      <c r="W1255">
        <v>0.20319480000000001</v>
      </c>
      <c r="X1255">
        <v>0.97912140000000003</v>
      </c>
      <c r="Y1255">
        <v>-0.16181010000000001</v>
      </c>
      <c r="Z1255">
        <v>3.998911E-3</v>
      </c>
      <c r="AA1255">
        <v>0.98681379999999996</v>
      </c>
      <c r="AB1255">
        <v>31</v>
      </c>
      <c r="AC1255">
        <v>32.042599999999901</v>
      </c>
      <c r="AD1255">
        <v>-1.110158357178</v>
      </c>
      <c r="AE1255">
        <v>5.1894000000000302</v>
      </c>
      <c r="AF1255">
        <v>-5.2770754574164496</v>
      </c>
      <c r="AG1255">
        <v>-1.110158357178</v>
      </c>
      <c r="AH1255">
        <v>31.989841772013399</v>
      </c>
      <c r="AI1255">
        <v>91.961082052032097</v>
      </c>
      <c r="AJ1255">
        <v>99.367208321161897</v>
      </c>
      <c r="AK1255">
        <v>32.441176821436898</v>
      </c>
      <c r="AL1255">
        <v>78.276154807315706</v>
      </c>
      <c r="AM1255">
        <v>89.663441972721003</v>
      </c>
      <c r="AN1255">
        <v>0.99999996104607902</v>
      </c>
    </row>
    <row r="1256" spans="1:40" x14ac:dyDescent="0.25">
      <c r="A1256" t="str">
        <f>"20190304155616142"</f>
        <v>20190304155616142</v>
      </c>
      <c r="B1256" t="str">
        <f>"1551686176135443"</f>
        <v>1551686176135443</v>
      </c>
      <c r="C1256" t="s">
        <v>40</v>
      </c>
      <c r="D1256">
        <v>4.6541319999999997</v>
      </c>
      <c r="E1256">
        <v>0.43216139999999997</v>
      </c>
      <c r="F1256" t="s">
        <v>41</v>
      </c>
      <c r="G1256">
        <v>-213.6061</v>
      </c>
      <c r="H1256" s="1">
        <v>-3.4416300000000002E-6</v>
      </c>
      <c r="I1256">
        <v>372.30869999999999</v>
      </c>
      <c r="J1256">
        <v>-245.6456</v>
      </c>
      <c r="K1256">
        <v>1.1101589999999999</v>
      </c>
      <c r="L1256">
        <v>367.06889999999999</v>
      </c>
      <c r="M1256">
        <v>0.99989220000000001</v>
      </c>
      <c r="N1256">
        <v>-1.436604E-2</v>
      </c>
      <c r="O1256">
        <v>-3.0751289999999998E-3</v>
      </c>
      <c r="P1256">
        <v>0.98192979999999996</v>
      </c>
      <c r="Q1256">
        <v>0.1891169</v>
      </c>
      <c r="R1256">
        <v>-7.0113769999999897E-3</v>
      </c>
      <c r="S1256">
        <v>3.0800480000000001</v>
      </c>
      <c r="T1256">
        <v>-0.1061622</v>
      </c>
      <c r="U1256">
        <v>0.50100710000000004</v>
      </c>
      <c r="V1256">
        <v>4.1121680000000002E-3</v>
      </c>
      <c r="W1256">
        <v>0.20320179999999999</v>
      </c>
      <c r="X1256">
        <v>0.9791282</v>
      </c>
      <c r="Y1256">
        <v>-0.16345119999999999</v>
      </c>
      <c r="Z1256">
        <v>4.0413699999999999E-3</v>
      </c>
      <c r="AA1256">
        <v>0.98654310000000001</v>
      </c>
      <c r="AB1256">
        <v>31</v>
      </c>
      <c r="AC1256">
        <v>32.039499999999997</v>
      </c>
      <c r="AD1256">
        <v>-1.11016244163</v>
      </c>
      <c r="AE1256">
        <v>5.2397999999999998</v>
      </c>
      <c r="AF1256">
        <v>-5.3320759936331497</v>
      </c>
      <c r="AG1256">
        <v>-1.11016244163</v>
      </c>
      <c r="AH1256">
        <v>31.9858316343071</v>
      </c>
      <c r="AI1256">
        <v>91.960784588350293</v>
      </c>
      <c r="AJ1256">
        <v>99.464246424265298</v>
      </c>
      <c r="AK1256">
        <v>32.446215809966603</v>
      </c>
      <c r="AL1256">
        <v>78.275745140093804</v>
      </c>
      <c r="AM1256">
        <v>89.759369114491605</v>
      </c>
      <c r="AN1256">
        <v>0.99999995674206898</v>
      </c>
    </row>
    <row r="1257" spans="1:40" x14ac:dyDescent="0.25">
      <c r="A1257" t="str">
        <f>"20190304155616154"</f>
        <v>20190304155616154</v>
      </c>
      <c r="B1257" t="str">
        <f>"1551686176146179"</f>
        <v>1551686176146179</v>
      </c>
      <c r="C1257" t="s">
        <v>40</v>
      </c>
      <c r="D1257">
        <v>4.5804669999999996</v>
      </c>
      <c r="E1257">
        <v>0.43210549999999998</v>
      </c>
      <c r="F1257" t="s">
        <v>41</v>
      </c>
      <c r="G1257">
        <v>-214.14840000000001</v>
      </c>
      <c r="H1257" s="1">
        <v>-3.1846500000000001E-6</v>
      </c>
      <c r="I1257">
        <v>372.21730000000002</v>
      </c>
      <c r="J1257">
        <v>-245.4803</v>
      </c>
      <c r="K1257">
        <v>1.110161</v>
      </c>
      <c r="L1257">
        <v>367.06830000000002</v>
      </c>
      <c r="M1257">
        <v>0.9998918</v>
      </c>
      <c r="N1257">
        <v>-1.436429E-2</v>
      </c>
      <c r="O1257">
        <v>-3.2174399999999998E-3</v>
      </c>
      <c r="P1257">
        <v>0.98183759999999998</v>
      </c>
      <c r="Q1257">
        <v>0.18964010000000001</v>
      </c>
      <c r="R1257">
        <v>-5.6765069999999999E-3</v>
      </c>
      <c r="S1257">
        <v>3.0796969999999999</v>
      </c>
      <c r="T1257">
        <v>-0.1085478</v>
      </c>
      <c r="U1257">
        <v>0.50338749999999999</v>
      </c>
      <c r="V1257">
        <v>2.637931E-3</v>
      </c>
      <c r="W1257">
        <v>0.20372280000000001</v>
      </c>
      <c r="X1257">
        <v>0.97902509999999998</v>
      </c>
      <c r="Y1257">
        <v>-0.16434609999999999</v>
      </c>
      <c r="Z1257">
        <v>4.1317589999999996E-3</v>
      </c>
      <c r="AA1257">
        <v>0.98639410000000005</v>
      </c>
      <c r="AB1257">
        <v>31</v>
      </c>
      <c r="AC1257">
        <v>31.331899999999901</v>
      </c>
      <c r="AD1257">
        <v>-1.1101641846500001</v>
      </c>
      <c r="AE1257">
        <v>5.149</v>
      </c>
      <c r="AF1257">
        <v>-5.2433825163096897</v>
      </c>
      <c r="AG1257">
        <v>-1.1101641846500001</v>
      </c>
      <c r="AH1257">
        <v>31.2769353014498</v>
      </c>
      <c r="AI1257">
        <v>92.004886233146195</v>
      </c>
      <c r="AJ1257">
        <v>99.516782899099994</v>
      </c>
      <c r="AK1257">
        <v>31.732825379727899</v>
      </c>
      <c r="AL1257">
        <v>78.245257313959399</v>
      </c>
      <c r="AM1257">
        <v>89.845619946636901</v>
      </c>
      <c r="AN1257">
        <v>1.0000000421749</v>
      </c>
    </row>
    <row r="1258" spans="1:40" x14ac:dyDescent="0.25">
      <c r="A1258" t="str">
        <f>"20190304155616165"</f>
        <v>20190304155616165</v>
      </c>
      <c r="B1258" t="str">
        <f>"1551686176155654"</f>
        <v>1551686176155654</v>
      </c>
      <c r="C1258" t="s">
        <v>40</v>
      </c>
      <c r="D1258">
        <v>4.6318130000000002</v>
      </c>
      <c r="E1258">
        <v>0.43208380000000002</v>
      </c>
      <c r="F1258" t="s">
        <v>41</v>
      </c>
      <c r="G1258">
        <v>-213.35669999999999</v>
      </c>
      <c r="H1258" s="1">
        <v>-3.5655710000000001E-6</v>
      </c>
      <c r="I1258">
        <v>372.3725</v>
      </c>
      <c r="J1258">
        <v>-245.30680000000001</v>
      </c>
      <c r="K1258">
        <v>1.1101639999999999</v>
      </c>
      <c r="L1258">
        <v>367.06760000000003</v>
      </c>
      <c r="M1258">
        <v>0.99989119999999998</v>
      </c>
      <c r="N1258">
        <v>-1.4362450000000001E-2</v>
      </c>
      <c r="O1258">
        <v>-3.3666640000000001E-3</v>
      </c>
      <c r="P1258">
        <v>0.98178109999999996</v>
      </c>
      <c r="Q1258">
        <v>0.18996640000000001</v>
      </c>
      <c r="R1258">
        <v>-4.3268389999999999E-3</v>
      </c>
      <c r="S1258">
        <v>3.0789789999999999</v>
      </c>
      <c r="T1258">
        <v>-0.1064069</v>
      </c>
      <c r="U1258">
        <v>0.50839230000000002</v>
      </c>
      <c r="V1258">
        <v>1.1421459999999999E-3</v>
      </c>
      <c r="W1258">
        <v>0.2040468</v>
      </c>
      <c r="X1258">
        <v>0.97896050000000001</v>
      </c>
      <c r="Y1258">
        <v>-0.1660942</v>
      </c>
      <c r="Z1258">
        <v>4.1187619999999998E-3</v>
      </c>
      <c r="AA1258">
        <v>0.98610129999999996</v>
      </c>
      <c r="AB1258">
        <v>31</v>
      </c>
      <c r="AC1258">
        <v>31.950099999999999</v>
      </c>
      <c r="AD1258">
        <v>-1.1101675655709999</v>
      </c>
      <c r="AE1258">
        <v>5.3048999999999698</v>
      </c>
      <c r="AF1258">
        <v>-5.4060943480103303</v>
      </c>
      <c r="AG1258">
        <v>-1.1101675655709999</v>
      </c>
      <c r="AH1258">
        <v>31.8945824769933</v>
      </c>
      <c r="AI1258">
        <v>91.965500547888794</v>
      </c>
      <c r="AJ1258">
        <v>99.620134519506095</v>
      </c>
      <c r="AK1258">
        <v>32.368545217617701</v>
      </c>
      <c r="AL1258">
        <v>78.226295044799201</v>
      </c>
      <c r="AM1258">
        <v>89.9331534666659</v>
      </c>
      <c r="AN1258">
        <v>1.00000003082398</v>
      </c>
    </row>
    <row r="1259" spans="1:40" x14ac:dyDescent="0.25">
      <c r="A1259" t="str">
        <f>"20190304155616177"</f>
        <v>20190304155616177</v>
      </c>
      <c r="B1259" t="str">
        <f>"1551686176165414"</f>
        <v>1551686176165414</v>
      </c>
      <c r="C1259" t="s">
        <v>40</v>
      </c>
      <c r="D1259">
        <v>4.6001240000000001</v>
      </c>
      <c r="E1259">
        <v>0.43208629999999998</v>
      </c>
      <c r="F1259" t="s">
        <v>41</v>
      </c>
      <c r="G1259">
        <v>-212.79159999999999</v>
      </c>
      <c r="H1259" s="1">
        <v>-3.8350539999999999E-6</v>
      </c>
      <c r="I1259">
        <v>372.48599999999999</v>
      </c>
      <c r="J1259">
        <v>-245.15889999999999</v>
      </c>
      <c r="K1259">
        <v>1.1101639999999999</v>
      </c>
      <c r="L1259">
        <v>367.06700000000001</v>
      </c>
      <c r="M1259">
        <v>0.99989079999999997</v>
      </c>
      <c r="N1259">
        <v>-1.4360879999999999E-2</v>
      </c>
      <c r="O1259">
        <v>-3.494315E-3</v>
      </c>
      <c r="P1259">
        <v>0.98173750000000004</v>
      </c>
      <c r="Q1259">
        <v>0.1902141</v>
      </c>
      <c r="R1259">
        <v>-3.1685179999999999E-3</v>
      </c>
      <c r="S1259">
        <v>3.0782780000000001</v>
      </c>
      <c r="T1259">
        <v>-0.10510129999999999</v>
      </c>
      <c r="U1259">
        <v>0.51297000000000004</v>
      </c>
      <c r="V1259">
        <v>-1.4126349999999999E-4</v>
      </c>
      <c r="W1259">
        <v>0.20429369999999999</v>
      </c>
      <c r="X1259">
        <v>0.97890960000000005</v>
      </c>
      <c r="Y1259">
        <v>-0.16768459999999999</v>
      </c>
      <c r="Z1259">
        <v>4.1236880000000004E-3</v>
      </c>
      <c r="AA1259">
        <v>0.98583200000000004</v>
      </c>
      <c r="AB1259">
        <v>31</v>
      </c>
      <c r="AC1259">
        <v>32.3673</v>
      </c>
      <c r="AD1259">
        <v>-1.1101678350540001</v>
      </c>
      <c r="AE1259">
        <v>5.4190000000000396</v>
      </c>
      <c r="AF1259">
        <v>-5.5257567186279397</v>
      </c>
      <c r="AG1259">
        <v>-1.1101678350540001</v>
      </c>
      <c r="AH1259">
        <v>32.3111894306331</v>
      </c>
      <c r="AI1259">
        <v>91.939691293949295</v>
      </c>
      <c r="AJ1259">
        <v>99.704658618306794</v>
      </c>
      <c r="AK1259">
        <v>32.799076547331403</v>
      </c>
      <c r="AL1259">
        <v>78.211843595830203</v>
      </c>
      <c r="AM1259">
        <v>90.008268181549198</v>
      </c>
      <c r="AN1259">
        <v>0.99999997039361199</v>
      </c>
    </row>
    <row r="1260" spans="1:40" x14ac:dyDescent="0.25">
      <c r="A1260" t="str">
        <f>"20190304155616187"</f>
        <v>20190304155616187</v>
      </c>
      <c r="B1260" t="str">
        <f>"1551686176176150"</f>
        <v>1551686176176150</v>
      </c>
      <c r="C1260" t="s">
        <v>40</v>
      </c>
      <c r="D1260">
        <v>4.6168230000000001</v>
      </c>
      <c r="E1260">
        <v>0.43211820000000001</v>
      </c>
      <c r="F1260" t="s">
        <v>41</v>
      </c>
      <c r="G1260">
        <v>-212.37459999999999</v>
      </c>
      <c r="H1260" s="1">
        <v>-3.992527E-6</v>
      </c>
      <c r="I1260">
        <v>372.57389999999998</v>
      </c>
      <c r="J1260">
        <v>-245.00399999999999</v>
      </c>
      <c r="K1260">
        <v>1.1101639999999999</v>
      </c>
      <c r="L1260">
        <v>367.06630000000001</v>
      </c>
      <c r="M1260">
        <v>0.99989050000000002</v>
      </c>
      <c r="N1260">
        <v>-1.4359230000000001E-2</v>
      </c>
      <c r="O1260">
        <v>-3.6278059999999999E-3</v>
      </c>
      <c r="P1260">
        <v>0.98163699999999998</v>
      </c>
      <c r="Q1260">
        <v>0.19075030000000001</v>
      </c>
      <c r="R1260">
        <v>-1.869166E-3</v>
      </c>
      <c r="S1260">
        <v>3.0776669999999999</v>
      </c>
      <c r="T1260">
        <v>-0.1042182</v>
      </c>
      <c r="U1260">
        <v>0.51696779999999998</v>
      </c>
      <c r="V1260">
        <v>-1.571299E-3</v>
      </c>
      <c r="W1260">
        <v>0.20482729999999999</v>
      </c>
      <c r="X1260">
        <v>0.97879689999999997</v>
      </c>
      <c r="Y1260">
        <v>-0.1690942</v>
      </c>
      <c r="Z1260">
        <v>4.1355569999999998E-3</v>
      </c>
      <c r="AA1260">
        <v>0.9855912</v>
      </c>
      <c r="AB1260">
        <v>31</v>
      </c>
      <c r="AC1260">
        <v>32.629399999999997</v>
      </c>
      <c r="AD1260">
        <v>-1.1101679925269901</v>
      </c>
      <c r="AE1260">
        <v>5.5075999999999601</v>
      </c>
      <c r="AF1260">
        <v>-5.6196239869361797</v>
      </c>
      <c r="AG1260">
        <v>-1.1101679925269901</v>
      </c>
      <c r="AH1260">
        <v>32.572541162115698</v>
      </c>
      <c r="AI1260">
        <v>91.923655626569698</v>
      </c>
      <c r="AJ1260">
        <v>99.788673790046104</v>
      </c>
      <c r="AK1260">
        <v>33.072391574905801</v>
      </c>
      <c r="AL1260">
        <v>78.180610834796298</v>
      </c>
      <c r="AM1260">
        <v>90.091978962862697</v>
      </c>
      <c r="AN1260">
        <v>1.00000003162772</v>
      </c>
    </row>
    <row r="1261" spans="1:40" x14ac:dyDescent="0.25">
      <c r="A1261" t="str">
        <f>"20190304155616199"</f>
        <v>20190304155616199</v>
      </c>
      <c r="B1261" t="str">
        <f>"1551686176195669"</f>
        <v>1551686176195669</v>
      </c>
      <c r="C1261" t="s">
        <v>40</v>
      </c>
      <c r="D1261">
        <v>4.5902710000000004</v>
      </c>
      <c r="E1261">
        <v>0.43234620000000001</v>
      </c>
      <c r="F1261" t="s">
        <v>41</v>
      </c>
      <c r="G1261">
        <v>-211.7406</v>
      </c>
      <c r="H1261" s="1">
        <v>-4.2297749999999997E-6</v>
      </c>
      <c r="I1261">
        <v>372.69499999999999</v>
      </c>
      <c r="J1261">
        <v>-244.84989999999999</v>
      </c>
      <c r="K1261">
        <v>1.110166</v>
      </c>
      <c r="L1261">
        <v>367.06560000000002</v>
      </c>
      <c r="M1261">
        <v>0.99988999999999995</v>
      </c>
      <c r="N1261">
        <v>-1.435759E-2</v>
      </c>
      <c r="O1261">
        <v>-3.760701E-3</v>
      </c>
      <c r="P1261">
        <v>0.98160519999999996</v>
      </c>
      <c r="Q1261">
        <v>0.19092190000000001</v>
      </c>
      <c r="R1261">
        <v>-7.6574039999999905E-4</v>
      </c>
      <c r="S1261">
        <v>3.0770719999999998</v>
      </c>
      <c r="T1261">
        <v>-0.10269730000000001</v>
      </c>
      <c r="U1261">
        <v>0.52069089999999996</v>
      </c>
      <c r="V1261">
        <v>-2.8052210000000001E-3</v>
      </c>
      <c r="W1261">
        <v>0.2049976</v>
      </c>
      <c r="X1261">
        <v>0.97875849999999998</v>
      </c>
      <c r="Y1261">
        <v>-0.17041809999999999</v>
      </c>
      <c r="Z1261">
        <v>4.1265820000000002E-3</v>
      </c>
      <c r="AA1261">
        <v>0.98536319999999999</v>
      </c>
      <c r="AB1261">
        <v>31</v>
      </c>
      <c r="AC1261">
        <v>33.109299999999898</v>
      </c>
      <c r="AD1261">
        <v>-1.110170229775</v>
      </c>
      <c r="AE1261">
        <v>5.6293999999999702</v>
      </c>
      <c r="AF1261">
        <v>-5.7476067471067802</v>
      </c>
      <c r="AG1261">
        <v>-1.110170229775</v>
      </c>
      <c r="AH1261">
        <v>33.0517773496979</v>
      </c>
      <c r="AI1261">
        <v>91.895351189861998</v>
      </c>
      <c r="AJ1261">
        <v>99.864917768078996</v>
      </c>
      <c r="AK1261">
        <v>33.566165214877799</v>
      </c>
      <c r="AL1261">
        <v>78.170641964536401</v>
      </c>
      <c r="AM1261">
        <v>90.164215057956994</v>
      </c>
      <c r="AN1261">
        <v>1.00000004329643</v>
      </c>
    </row>
    <row r="1262" spans="1:40" x14ac:dyDescent="0.25">
      <c r="A1262" t="str">
        <f>"20190304155616212"</f>
        <v>20190304155616212</v>
      </c>
      <c r="B1262" t="str">
        <f>"1551686176205430"</f>
        <v>1551686176205430</v>
      </c>
      <c r="C1262" t="s">
        <v>40</v>
      </c>
      <c r="D1262">
        <v>4.5518080000000003</v>
      </c>
      <c r="E1262">
        <v>0.43245820000000001</v>
      </c>
      <c r="F1262" t="s">
        <v>41</v>
      </c>
      <c r="G1262">
        <v>-212.1747</v>
      </c>
      <c r="H1262" s="1">
        <v>-4.0678390000000003E-6</v>
      </c>
      <c r="I1262">
        <v>372.6148</v>
      </c>
      <c r="J1262">
        <v>-244.679</v>
      </c>
      <c r="K1262">
        <v>1.1101589999999999</v>
      </c>
      <c r="L1262">
        <v>367.06479999999999</v>
      </c>
      <c r="M1262">
        <v>0.99988940000000004</v>
      </c>
      <c r="N1262">
        <v>-1.435578E-2</v>
      </c>
      <c r="O1262">
        <v>-3.9077790000000001E-3</v>
      </c>
      <c r="P1262">
        <v>0.98159739999999995</v>
      </c>
      <c r="Q1262">
        <v>0.19096270000000001</v>
      </c>
      <c r="R1262">
        <v>3.6703840000000001E-4</v>
      </c>
      <c r="S1262">
        <v>3.0769500000000001</v>
      </c>
      <c r="T1262">
        <v>-0.10454189999999999</v>
      </c>
      <c r="U1262">
        <v>0.52255249999999998</v>
      </c>
      <c r="V1262">
        <v>-4.0825640000000003E-3</v>
      </c>
      <c r="W1262">
        <v>0.20503730000000001</v>
      </c>
      <c r="X1262">
        <v>0.97874559999999999</v>
      </c>
      <c r="Y1262">
        <v>-0.1711442</v>
      </c>
      <c r="Z1262">
        <v>4.1997550000000003E-3</v>
      </c>
      <c r="AA1262">
        <v>0.98523709999999998</v>
      </c>
      <c r="AB1262">
        <v>31</v>
      </c>
      <c r="AC1262">
        <v>32.504300000000001</v>
      </c>
      <c r="AD1262">
        <v>-1.110163067839</v>
      </c>
      <c r="AE1262">
        <v>5.5500000000000096</v>
      </c>
      <c r="AF1262">
        <v>-5.6705628827351697</v>
      </c>
      <c r="AG1262">
        <v>-1.110163067839</v>
      </c>
      <c r="AH1262">
        <v>32.445585147644401</v>
      </c>
      <c r="AI1262">
        <v>91.930438291750207</v>
      </c>
      <c r="AJ1262">
        <v>99.913540756655493</v>
      </c>
      <c r="AK1262">
        <v>32.9560880721193</v>
      </c>
      <c r="AL1262">
        <v>78.168316903985399</v>
      </c>
      <c r="AM1262">
        <v>90.238991960912301</v>
      </c>
      <c r="AN1262">
        <v>0.99999995561973098</v>
      </c>
    </row>
    <row r="1263" spans="1:40" x14ac:dyDescent="0.25">
      <c r="A1263" t="str">
        <f>"20190304155616224"</f>
        <v>20190304155616224</v>
      </c>
      <c r="B1263" t="str">
        <f>"1551686176216167"</f>
        <v>1551686176216167</v>
      </c>
      <c r="C1263" t="s">
        <v>40</v>
      </c>
      <c r="D1263">
        <v>4.472143</v>
      </c>
      <c r="E1263">
        <v>0.43265330000000002</v>
      </c>
      <c r="F1263" t="s">
        <v>41</v>
      </c>
      <c r="G1263">
        <v>-212.2423</v>
      </c>
      <c r="H1263" s="1">
        <v>-4.0421790000000001E-6</v>
      </c>
      <c r="I1263">
        <v>372.6</v>
      </c>
      <c r="J1263">
        <v>-244.48679999999999</v>
      </c>
      <c r="K1263">
        <v>1.110161</v>
      </c>
      <c r="L1263">
        <v>367.06389999999999</v>
      </c>
      <c r="M1263">
        <v>0.99988880000000002</v>
      </c>
      <c r="N1263">
        <v>-1.435374E-2</v>
      </c>
      <c r="O1263">
        <v>-4.0736890000000001E-3</v>
      </c>
      <c r="P1263">
        <v>0.98154589999999997</v>
      </c>
      <c r="Q1263">
        <v>0.1912237</v>
      </c>
      <c r="R1263">
        <v>1.2132689999999999E-3</v>
      </c>
      <c r="S1263">
        <v>3.0765229999999999</v>
      </c>
      <c r="T1263">
        <v>-0.1052954</v>
      </c>
      <c r="U1263">
        <v>0.52499390000000001</v>
      </c>
      <c r="V1263">
        <v>-5.0908239999999999E-3</v>
      </c>
      <c r="W1263">
        <v>0.2052958</v>
      </c>
      <c r="X1263">
        <v>0.97868670000000002</v>
      </c>
      <c r="Y1263">
        <v>-0.1720875</v>
      </c>
      <c r="Z1263">
        <v>4.2477499999999998E-3</v>
      </c>
      <c r="AA1263">
        <v>0.98507250000000002</v>
      </c>
      <c r="AB1263">
        <v>31</v>
      </c>
      <c r="AC1263">
        <v>32.244499999999903</v>
      </c>
      <c r="AD1263">
        <v>-1.1101650421789999</v>
      </c>
      <c r="AE1263">
        <v>5.5361000000000304</v>
      </c>
      <c r="AF1263">
        <v>-5.66090336509387</v>
      </c>
      <c r="AG1263">
        <v>-1.1101650421789999</v>
      </c>
      <c r="AH1263">
        <v>32.184618602204999</v>
      </c>
      <c r="AI1263">
        <v>91.945713136086695</v>
      </c>
      <c r="AJ1263">
        <v>99.975631038850807</v>
      </c>
      <c r="AK1263">
        <v>32.697522351077403</v>
      </c>
      <c r="AL1263">
        <v>78.153184188892595</v>
      </c>
      <c r="AM1263">
        <v>90.298032147309897</v>
      </c>
      <c r="AN1263">
        <v>0.99999996937176305</v>
      </c>
    </row>
    <row r="1264" spans="1:40" x14ac:dyDescent="0.25">
      <c r="A1264" t="str">
        <f>"20190304155616238"</f>
        <v>20190304155616238</v>
      </c>
      <c r="B1264" t="str">
        <f>"1551686176235685"</f>
        <v>1551686176235685</v>
      </c>
      <c r="C1264" t="s">
        <v>40</v>
      </c>
      <c r="D1264">
        <v>4.5656720000000002</v>
      </c>
      <c r="E1264">
        <v>0.43248490000000001</v>
      </c>
      <c r="F1264" t="s">
        <v>41</v>
      </c>
      <c r="G1264">
        <v>-212.27539999999999</v>
      </c>
      <c r="H1264" s="1">
        <v>-4.0264759999999997E-6</v>
      </c>
      <c r="I1264">
        <v>372.57490000000001</v>
      </c>
      <c r="J1264">
        <v>-244.30439999999999</v>
      </c>
      <c r="K1264">
        <v>1.110163</v>
      </c>
      <c r="L1264">
        <v>367.06299999999999</v>
      </c>
      <c r="M1264">
        <v>0.9998882</v>
      </c>
      <c r="N1264">
        <v>-1.4351829999999999E-2</v>
      </c>
      <c r="O1264">
        <v>-4.2308980000000003E-3</v>
      </c>
      <c r="P1264">
        <v>0.98151679999999997</v>
      </c>
      <c r="Q1264">
        <v>0.19136610000000001</v>
      </c>
      <c r="R1264">
        <v>1.96977E-3</v>
      </c>
      <c r="S1264">
        <v>3.0764010000000002</v>
      </c>
      <c r="T1264">
        <v>-0.106028</v>
      </c>
      <c r="U1264">
        <v>0.52633669999999899</v>
      </c>
      <c r="V1264">
        <v>-6.0020550000000001E-3</v>
      </c>
      <c r="W1264">
        <v>0.20543629999999999</v>
      </c>
      <c r="X1264">
        <v>0.97865210000000002</v>
      </c>
      <c r="Y1264">
        <v>-0.1726644</v>
      </c>
      <c r="Z1264">
        <v>4.2861169999999999E-3</v>
      </c>
      <c r="AA1264">
        <v>0.98497140000000005</v>
      </c>
      <c r="AB1264">
        <v>31</v>
      </c>
      <c r="AC1264">
        <v>32.029000000000003</v>
      </c>
      <c r="AD1264">
        <v>-1.110167026476</v>
      </c>
      <c r="AE1264">
        <v>5.5118999999999598</v>
      </c>
      <c r="AF1264">
        <v>-5.6407940687073603</v>
      </c>
      <c r="AG1264">
        <v>-1.110167026476</v>
      </c>
      <c r="AH1264">
        <v>31.968088633091199</v>
      </c>
      <c r="AI1264">
        <v>91.958697279314805</v>
      </c>
      <c r="AJ1264">
        <v>100.006878962043</v>
      </c>
      <c r="AK1264">
        <v>32.4809131553504</v>
      </c>
      <c r="AL1264">
        <v>78.144959363490699</v>
      </c>
      <c r="AM1264">
        <v>90.351389537039196</v>
      </c>
      <c r="AN1264">
        <v>1.0000000154281601</v>
      </c>
    </row>
    <row r="1265" spans="1:40" x14ac:dyDescent="0.25">
      <c r="A1265" t="str">
        <f>"20190304155616252"</f>
        <v>20190304155616252</v>
      </c>
      <c r="B1265" t="str">
        <f>"1551686176245446"</f>
        <v>1551686176245446</v>
      </c>
      <c r="C1265" t="s">
        <v>40</v>
      </c>
      <c r="D1265">
        <v>4.5458619999999996</v>
      </c>
      <c r="E1265">
        <v>0.43247750000000001</v>
      </c>
      <c r="F1265" t="s">
        <v>41</v>
      </c>
      <c r="G1265">
        <v>-211.27099999999999</v>
      </c>
      <c r="H1265" s="1">
        <v>-4.4017569999999998E-6</v>
      </c>
      <c r="I1265">
        <v>372.76369999999997</v>
      </c>
      <c r="J1265">
        <v>-244.11490000000001</v>
      </c>
      <c r="K1265">
        <v>1.1101620000000001</v>
      </c>
      <c r="L1265">
        <v>367.06200000000001</v>
      </c>
      <c r="M1265">
        <v>0.99988739999999998</v>
      </c>
      <c r="N1265">
        <v>-1.4349860000000001E-2</v>
      </c>
      <c r="O1265">
        <v>-4.3940669999999998E-3</v>
      </c>
      <c r="P1265">
        <v>0.98154229999999998</v>
      </c>
      <c r="Q1265">
        <v>0.19122259999999999</v>
      </c>
      <c r="R1265">
        <v>2.9259780000000001E-3</v>
      </c>
      <c r="S1265">
        <v>3.075577</v>
      </c>
      <c r="T1265">
        <v>-0.1033622</v>
      </c>
      <c r="U1265">
        <v>0.530761699999999</v>
      </c>
      <c r="V1265">
        <v>-7.1185170000000004E-3</v>
      </c>
      <c r="W1265">
        <v>0.20529210000000001</v>
      </c>
      <c r="X1265">
        <v>0.97867490000000001</v>
      </c>
      <c r="Y1265">
        <v>-0.17424999999999999</v>
      </c>
      <c r="Z1265">
        <v>4.2497100000000003E-3</v>
      </c>
      <c r="AA1265">
        <v>0.98469229999999996</v>
      </c>
      <c r="AB1265">
        <v>31</v>
      </c>
      <c r="AC1265">
        <v>32.843899999999998</v>
      </c>
      <c r="AD1265">
        <v>-1.1101664017569901</v>
      </c>
      <c r="AE1265">
        <v>5.7017000000000104</v>
      </c>
      <c r="AF1265">
        <v>-5.8395014934928904</v>
      </c>
      <c r="AG1265">
        <v>-1.1101664017569901</v>
      </c>
      <c r="AH1265">
        <v>32.782167839816097</v>
      </c>
      <c r="AI1265">
        <v>91.909541409860495</v>
      </c>
      <c r="AJ1265">
        <v>100.100182980493</v>
      </c>
      <c r="AK1265">
        <v>33.316704149870098</v>
      </c>
      <c r="AL1265">
        <v>78.153401642768003</v>
      </c>
      <c r="AM1265">
        <v>90.416740827829599</v>
      </c>
      <c r="AN1265">
        <v>1.00000003974834</v>
      </c>
    </row>
    <row r="1266" spans="1:40" x14ac:dyDescent="0.25">
      <c r="A1266" t="str">
        <f>"20190304155616264"</f>
        <v>20190304155616264</v>
      </c>
      <c r="B1266" t="str">
        <f>"1551686176256182"</f>
        <v>1551686176256182</v>
      </c>
      <c r="C1266" t="s">
        <v>40</v>
      </c>
      <c r="D1266">
        <v>4.5508160000000002</v>
      </c>
      <c r="E1266">
        <v>0.43239270000000002</v>
      </c>
      <c r="F1266" t="s">
        <v>41</v>
      </c>
      <c r="G1266">
        <v>-211.01589999999999</v>
      </c>
      <c r="H1266" s="1">
        <v>-4.4976470000000002E-6</v>
      </c>
      <c r="I1266">
        <v>372.81470000000002</v>
      </c>
      <c r="J1266">
        <v>-243.92179999999999</v>
      </c>
      <c r="K1266">
        <v>1.110163</v>
      </c>
      <c r="L1266">
        <v>367.06099999999998</v>
      </c>
      <c r="M1266">
        <v>0.99988679999999996</v>
      </c>
      <c r="N1266">
        <v>-1.4347810000000001E-2</v>
      </c>
      <c r="O1266">
        <v>-4.5608109999999997E-3</v>
      </c>
      <c r="P1266">
        <v>0.98158840000000003</v>
      </c>
      <c r="Q1266">
        <v>0.19098029999999999</v>
      </c>
      <c r="R1266">
        <v>3.2958570000000001E-3</v>
      </c>
      <c r="S1266">
        <v>3.0749209999999998</v>
      </c>
      <c r="T1266">
        <v>-0.1031349</v>
      </c>
      <c r="U1266">
        <v>0.5344238</v>
      </c>
      <c r="V1266">
        <v>-7.6527840000000001E-3</v>
      </c>
      <c r="W1266">
        <v>0.20504849999999999</v>
      </c>
      <c r="X1266">
        <v>0.97872190000000003</v>
      </c>
      <c r="Y1266">
        <v>-0.175587299999999</v>
      </c>
      <c r="Z1266">
        <v>4.2783939999999996E-3</v>
      </c>
      <c r="AA1266">
        <v>0.98445459999999996</v>
      </c>
      <c r="AB1266">
        <v>31</v>
      </c>
      <c r="AC1266">
        <v>32.905900000000003</v>
      </c>
      <c r="AD1266">
        <v>-1.110167497647</v>
      </c>
      <c r="AE1266">
        <v>5.7537000000000296</v>
      </c>
      <c r="AF1266">
        <v>-5.8972199156945901</v>
      </c>
      <c r="AG1266">
        <v>-1.110167497647</v>
      </c>
      <c r="AH1266">
        <v>32.843039592383299</v>
      </c>
      <c r="AI1266">
        <v>91.905535698118598</v>
      </c>
      <c r="AJ1266">
        <v>100.179423975771</v>
      </c>
      <c r="AK1266">
        <v>33.386747734299497</v>
      </c>
      <c r="AL1266">
        <v>78.167661853468204</v>
      </c>
      <c r="AM1266">
        <v>90.447995788277296</v>
      </c>
      <c r="AN1266">
        <v>1.0000000049974</v>
      </c>
    </row>
    <row r="1267" spans="1:40" x14ac:dyDescent="0.25">
      <c r="A1267" t="str">
        <f>"20190304155616277"</f>
        <v>20190304155616277</v>
      </c>
      <c r="B1267" t="str">
        <f>"1551686176265942"</f>
        <v>1551686176265942</v>
      </c>
      <c r="C1267" t="s">
        <v>40</v>
      </c>
      <c r="D1267">
        <v>4.347874</v>
      </c>
      <c r="E1267">
        <v>0.43263360000000001</v>
      </c>
      <c r="F1267" t="s">
        <v>41</v>
      </c>
      <c r="G1267">
        <v>-210.80359999999999</v>
      </c>
      <c r="H1267" s="1">
        <v>-4.57373299999999E-6</v>
      </c>
      <c r="I1267">
        <v>372.8365</v>
      </c>
      <c r="J1267">
        <v>-243.76519999999999</v>
      </c>
      <c r="K1267">
        <v>1.1101700000000001</v>
      </c>
      <c r="L1267">
        <v>367.06020000000001</v>
      </c>
      <c r="M1267">
        <v>0.99988619999999995</v>
      </c>
      <c r="N1267">
        <v>-1.434614E-2</v>
      </c>
      <c r="O1267">
        <v>-4.6962089999999998E-3</v>
      </c>
      <c r="P1267">
        <v>0.98159580000000002</v>
      </c>
      <c r="Q1267">
        <v>0.1909371</v>
      </c>
      <c r="R1267">
        <v>3.6124339999999999E-3</v>
      </c>
      <c r="S1267">
        <v>3.0745390000000001</v>
      </c>
      <c r="T1267">
        <v>-0.1030625</v>
      </c>
      <c r="U1267">
        <v>0.53616330000000001</v>
      </c>
      <c r="V1267">
        <v>-8.1022850000000007E-3</v>
      </c>
      <c r="W1267">
        <v>0.20500370000000001</v>
      </c>
      <c r="X1267">
        <v>0.97872760000000003</v>
      </c>
      <c r="Y1267">
        <v>-0.176281299999999</v>
      </c>
      <c r="Z1267">
        <v>4.2955279999999998E-3</v>
      </c>
      <c r="AA1267">
        <v>0.9843305</v>
      </c>
      <c r="AB1267">
        <v>31</v>
      </c>
      <c r="AC1267">
        <v>32.961599999999997</v>
      </c>
      <c r="AD1267">
        <v>-1.110174573733</v>
      </c>
      <c r="AE1267">
        <v>5.7762999999999902</v>
      </c>
      <c r="AF1267">
        <v>-5.9245262309316198</v>
      </c>
      <c r="AG1267">
        <v>-1.110174573733</v>
      </c>
      <c r="AH1267">
        <v>32.897899529964498</v>
      </c>
      <c r="AI1267">
        <v>91.902196822970893</v>
      </c>
      <c r="AJ1267">
        <v>100.208873129417</v>
      </c>
      <c r="AK1267">
        <v>33.445542186198701</v>
      </c>
      <c r="AL1267">
        <v>78.170283630994405</v>
      </c>
      <c r="AM1267">
        <v>90.474305752287506</v>
      </c>
      <c r="AN1267">
        <v>0.99999993951883304</v>
      </c>
    </row>
    <row r="1268" spans="1:40" x14ac:dyDescent="0.25">
      <c r="A1268" t="str">
        <f>"20190304155616289"</f>
        <v>20190304155616289</v>
      </c>
      <c r="B1268" t="str">
        <f>"1551686176285464"</f>
        <v>1551686176285464</v>
      </c>
      <c r="C1268" t="s">
        <v>40</v>
      </c>
      <c r="D1268">
        <v>4.7427289999999998</v>
      </c>
      <c r="E1268">
        <v>0.43273010000000001</v>
      </c>
      <c r="F1268" t="s">
        <v>41</v>
      </c>
      <c r="G1268">
        <v>-211.3921</v>
      </c>
      <c r="H1268" s="1">
        <v>-4.3483740000000003E-6</v>
      </c>
      <c r="I1268">
        <v>372.69499999999999</v>
      </c>
      <c r="J1268">
        <v>-243.59119999999999</v>
      </c>
      <c r="K1268">
        <v>1.1101700000000001</v>
      </c>
      <c r="L1268">
        <v>367.05919999999998</v>
      </c>
      <c r="M1268">
        <v>0.99988549999999998</v>
      </c>
      <c r="N1268">
        <v>-1.4344279999999999E-2</v>
      </c>
      <c r="O1268">
        <v>-4.8463859999999899E-3</v>
      </c>
      <c r="P1268">
        <v>0.98159209999999997</v>
      </c>
      <c r="Q1268">
        <v>0.19095090000000001</v>
      </c>
      <c r="R1268">
        <v>3.8768159999999999E-3</v>
      </c>
      <c r="S1268">
        <v>3.0747680000000002</v>
      </c>
      <c r="T1268">
        <v>-0.1054432</v>
      </c>
      <c r="U1268">
        <v>0.53518679999999996</v>
      </c>
      <c r="V1268">
        <v>-8.5138850000000005E-3</v>
      </c>
      <c r="W1268">
        <v>0.20501630000000001</v>
      </c>
      <c r="X1268">
        <v>0.97872159999999997</v>
      </c>
      <c r="Y1268">
        <v>-0.17610789999999901</v>
      </c>
      <c r="Z1268">
        <v>4.3652669999999999E-3</v>
      </c>
      <c r="AA1268">
        <v>0.98436120000000005</v>
      </c>
      <c r="AB1268">
        <v>31</v>
      </c>
      <c r="AC1268">
        <v>32.199099999999902</v>
      </c>
      <c r="AD1268">
        <v>-1.1101743483740001</v>
      </c>
      <c r="AE1268">
        <v>5.6358000000000104</v>
      </c>
      <c r="AF1268">
        <v>-5.7851263876885497</v>
      </c>
      <c r="AG1268">
        <v>-1.1101743483740001</v>
      </c>
      <c r="AH1268">
        <v>32.134341119130497</v>
      </c>
      <c r="AI1268">
        <v>91.947380958429605</v>
      </c>
      <c r="AJ1268">
        <v>100.205605753082</v>
      </c>
      <c r="AK1268">
        <v>32.6698033903781</v>
      </c>
      <c r="AL1268">
        <v>78.169547602382195</v>
      </c>
      <c r="AM1268">
        <v>90.498402583278406</v>
      </c>
      <c r="AN1268">
        <v>1.00000006990501</v>
      </c>
    </row>
    <row r="1269" spans="1:40" x14ac:dyDescent="0.25">
      <c r="A1269" t="str">
        <f>"20190304155616302"</f>
        <v>20190304155616302</v>
      </c>
      <c r="B1269" t="str">
        <f>"1551686176296198"</f>
        <v>1551686176296198</v>
      </c>
      <c r="C1269" t="s">
        <v>40</v>
      </c>
      <c r="D1269">
        <v>4.5053080000000003</v>
      </c>
      <c r="E1269">
        <v>0.43265569999999998</v>
      </c>
      <c r="F1269" t="s">
        <v>41</v>
      </c>
      <c r="G1269">
        <v>-211.02549999999999</v>
      </c>
      <c r="H1269" s="1">
        <v>-4.4792579999999997E-6</v>
      </c>
      <c r="I1269">
        <v>372.7296</v>
      </c>
      <c r="J1269">
        <v>-243.42060000000001</v>
      </c>
      <c r="K1269">
        <v>1.110171</v>
      </c>
      <c r="L1269">
        <v>367.0582</v>
      </c>
      <c r="M1269">
        <v>0.99988469999999996</v>
      </c>
      <c r="N1269">
        <v>-1.434247E-2</v>
      </c>
      <c r="O1269">
        <v>-4.9935830000000002E-3</v>
      </c>
      <c r="P1269">
        <v>0.98163959999999995</v>
      </c>
      <c r="Q1269">
        <v>0.19071279999999999</v>
      </c>
      <c r="R1269">
        <v>3.5524689999999999E-3</v>
      </c>
      <c r="S1269">
        <v>3.0745390000000001</v>
      </c>
      <c r="T1269">
        <v>-0.1048119</v>
      </c>
      <c r="U1269">
        <v>0.53533940000000002</v>
      </c>
      <c r="V1269">
        <v>-8.3351009999999993E-3</v>
      </c>
      <c r="W1269">
        <v>0.20477690000000001</v>
      </c>
      <c r="X1269">
        <v>0.97877320000000001</v>
      </c>
      <c r="Y1269">
        <v>-0.1763139</v>
      </c>
      <c r="Z1269">
        <v>4.3542759999999998E-3</v>
      </c>
      <c r="AA1269">
        <v>0.98432430000000004</v>
      </c>
      <c r="AB1269">
        <v>31</v>
      </c>
      <c r="AC1269">
        <v>32.395099999999999</v>
      </c>
      <c r="AD1269">
        <v>-1.1101754792579901</v>
      </c>
      <c r="AE1269">
        <v>5.6714000000000002</v>
      </c>
      <c r="AF1269">
        <v>-5.8264742742128899</v>
      </c>
      <c r="AG1269">
        <v>-1.1101754792579901</v>
      </c>
      <c r="AH1269">
        <v>32.329533049201103</v>
      </c>
      <c r="AI1269">
        <v>91.935569652610994</v>
      </c>
      <c r="AJ1269">
        <v>100.216261400986</v>
      </c>
      <c r="AK1269">
        <v>32.869119234354201</v>
      </c>
      <c r="AL1269">
        <v>78.183560876099193</v>
      </c>
      <c r="AM1269">
        <v>90.487911362160403</v>
      </c>
      <c r="AN1269">
        <v>1.0000000148602599</v>
      </c>
    </row>
    <row r="1270" spans="1:40" x14ac:dyDescent="0.25">
      <c r="A1270" t="str">
        <f>"20190304155616314"</f>
        <v>20190304155616314</v>
      </c>
      <c r="B1270" t="str">
        <f>"1551686176305957"</f>
        <v>1551686176305957</v>
      </c>
      <c r="C1270" t="s">
        <v>40</v>
      </c>
      <c r="D1270">
        <v>4.4439289999999998</v>
      </c>
      <c r="E1270">
        <v>0.43261359999999899</v>
      </c>
      <c r="F1270" t="s">
        <v>41</v>
      </c>
      <c r="G1270">
        <v>-210.87520000000001</v>
      </c>
      <c r="H1270" s="1">
        <v>-4.5280609999999999E-6</v>
      </c>
      <c r="I1270">
        <v>372.71629999999999</v>
      </c>
      <c r="J1270">
        <v>-243.25069999999999</v>
      </c>
      <c r="K1270">
        <v>1.1101719999999999</v>
      </c>
      <c r="L1270">
        <v>367.05720000000002</v>
      </c>
      <c r="M1270">
        <v>0.99988410000000005</v>
      </c>
      <c r="N1270">
        <v>-1.434066E-2</v>
      </c>
      <c r="O1270">
        <v>-5.1405409999999898E-3</v>
      </c>
      <c r="P1270">
        <v>0.9816549</v>
      </c>
      <c r="Q1270">
        <v>0.19063930000000001</v>
      </c>
      <c r="R1270">
        <v>3.24033E-3</v>
      </c>
      <c r="S1270">
        <v>3.07457</v>
      </c>
      <c r="T1270">
        <v>-0.1048782</v>
      </c>
      <c r="U1270">
        <v>0.53451539999999997</v>
      </c>
      <c r="V1270">
        <v>-8.1676809999999996E-3</v>
      </c>
      <c r="W1270">
        <v>0.20470169999999999</v>
      </c>
      <c r="X1270">
        <v>0.9787903</v>
      </c>
      <c r="Y1270">
        <v>-0.17620079999999999</v>
      </c>
      <c r="Z1270">
        <v>4.3562790000000002E-3</v>
      </c>
      <c r="AA1270">
        <v>0.98434460000000001</v>
      </c>
      <c r="AB1270">
        <v>31</v>
      </c>
      <c r="AC1270">
        <v>32.375499999999903</v>
      </c>
      <c r="AD1270">
        <v>-1.1101765280610001</v>
      </c>
      <c r="AE1270">
        <v>5.6590999999999596</v>
      </c>
      <c r="AF1270">
        <v>-5.8188306816275102</v>
      </c>
      <c r="AG1270">
        <v>-1.1101765280610001</v>
      </c>
      <c r="AH1270">
        <v>32.309114055836197</v>
      </c>
      <c r="AI1270">
        <v>91.936835237554803</v>
      </c>
      <c r="AJ1270">
        <v>100.20945337940501</v>
      </c>
      <c r="AK1270">
        <v>32.847680793290998</v>
      </c>
      <c r="AL1270">
        <v>78.187962278526697</v>
      </c>
      <c r="AM1270">
        <v>90.478103213679901</v>
      </c>
      <c r="AN1270">
        <v>0.99999997418494802</v>
      </c>
    </row>
    <row r="1271" spans="1:40" x14ac:dyDescent="0.25">
      <c r="A1271" t="str">
        <f>"20190304155616325"</f>
        <v>20190304155616325</v>
      </c>
      <c r="B1271" t="str">
        <f>"1551686176315718"</f>
        <v>1551686176315718</v>
      </c>
      <c r="C1271" t="s">
        <v>40</v>
      </c>
      <c r="D1271">
        <v>4.4346430000000003</v>
      </c>
      <c r="E1271">
        <v>0.4325522</v>
      </c>
      <c r="F1271" t="s">
        <v>41</v>
      </c>
      <c r="G1271">
        <v>-210.6618</v>
      </c>
      <c r="H1271" s="1">
        <v>-4.6007169999999997E-6</v>
      </c>
      <c r="I1271">
        <v>372.7165</v>
      </c>
      <c r="J1271">
        <v>-243.0823</v>
      </c>
      <c r="K1271">
        <v>1.1101749999999999</v>
      </c>
      <c r="L1271">
        <v>367.05619999999999</v>
      </c>
      <c r="M1271">
        <v>0.99988339999999998</v>
      </c>
      <c r="N1271">
        <v>-1.433887E-2</v>
      </c>
      <c r="O1271">
        <v>-5.2858310000000004E-3</v>
      </c>
      <c r="P1271">
        <v>0.98172610000000005</v>
      </c>
      <c r="Q1271">
        <v>0.1902798</v>
      </c>
      <c r="R1271">
        <v>2.7898089999999999E-3</v>
      </c>
      <c r="S1271">
        <v>3.0746609999999999</v>
      </c>
      <c r="T1271">
        <v>-0.1047413</v>
      </c>
      <c r="U1271">
        <v>0.53393550000000001</v>
      </c>
      <c r="V1271">
        <v>-7.8607150000000008E-3</v>
      </c>
      <c r="W1271">
        <v>0.20434140000000001</v>
      </c>
      <c r="X1271">
        <v>0.97886810000000002</v>
      </c>
      <c r="Y1271">
        <v>-0.17615899999999901</v>
      </c>
      <c r="Z1271">
        <v>4.3537860000000001E-3</v>
      </c>
      <c r="AA1271">
        <v>0.98435209999999995</v>
      </c>
      <c r="AB1271">
        <v>31</v>
      </c>
      <c r="AC1271">
        <v>32.420499999999997</v>
      </c>
      <c r="AD1271">
        <v>-1.1101796007169999</v>
      </c>
      <c r="AE1271">
        <v>5.6603000000000003</v>
      </c>
      <c r="AF1271">
        <v>-5.8249794968426496</v>
      </c>
      <c r="AG1271">
        <v>-1.1101796007169999</v>
      </c>
      <c r="AH1271">
        <v>32.353309471244799</v>
      </c>
      <c r="AI1271">
        <v>91.934215699744001</v>
      </c>
      <c r="AJ1271">
        <v>100.206347409036</v>
      </c>
      <c r="AK1271">
        <v>32.892241009493802</v>
      </c>
      <c r="AL1271">
        <v>78.209051780616207</v>
      </c>
      <c r="AM1271">
        <v>90.460098875841496</v>
      </c>
      <c r="AN1271">
        <v>0.99999997789593997</v>
      </c>
    </row>
    <row r="1272" spans="1:40" x14ac:dyDescent="0.25">
      <c r="A1272" t="str">
        <f>"20190304155616341"</f>
        <v>20190304155616341</v>
      </c>
      <c r="B1272" t="str">
        <f>"1551686176336217"</f>
        <v>1551686176336217</v>
      </c>
      <c r="C1272" t="s">
        <v>40</v>
      </c>
      <c r="D1272">
        <v>4.4012500000000001</v>
      </c>
      <c r="E1272">
        <v>0.43240719999999999</v>
      </c>
      <c r="F1272" t="s">
        <v>41</v>
      </c>
      <c r="G1272">
        <v>-210.60990000000001</v>
      </c>
      <c r="H1272" s="1">
        <v>-4.6121840000000001E-6</v>
      </c>
      <c r="I1272">
        <v>372.6816</v>
      </c>
      <c r="J1272">
        <v>-242.88409999999999</v>
      </c>
      <c r="K1272">
        <v>1.1101700000000001</v>
      </c>
      <c r="L1272">
        <v>367.05489999999998</v>
      </c>
      <c r="M1272">
        <v>0.99988250000000001</v>
      </c>
      <c r="N1272">
        <v>-1.433676E-2</v>
      </c>
      <c r="O1272">
        <v>-5.4572240000000001E-3</v>
      </c>
      <c r="P1272">
        <v>0.98181960000000001</v>
      </c>
      <c r="Q1272">
        <v>0.1898125</v>
      </c>
      <c r="R1272">
        <v>1.394609E-3</v>
      </c>
      <c r="S1272">
        <v>3.0747070000000001</v>
      </c>
      <c r="T1272">
        <v>-0.10511909999999999</v>
      </c>
      <c r="U1272">
        <v>0.53265379999999996</v>
      </c>
      <c r="V1272">
        <v>-6.6342579999999996E-3</v>
      </c>
      <c r="W1272">
        <v>0.20387269999999999</v>
      </c>
      <c r="X1272">
        <v>0.97897489999999998</v>
      </c>
      <c r="Y1272">
        <v>-0.1759262</v>
      </c>
      <c r="Z1272">
        <v>4.3627529999999996E-3</v>
      </c>
      <c r="AA1272">
        <v>0.98439370000000004</v>
      </c>
      <c r="AB1272">
        <v>31</v>
      </c>
      <c r="AC1272">
        <v>32.274199999999901</v>
      </c>
      <c r="AD1272">
        <v>-1.1101746121839999</v>
      </c>
      <c r="AE1272">
        <v>5.62670000000002</v>
      </c>
      <c r="AF1272">
        <v>-5.79610594708039</v>
      </c>
      <c r="AG1272">
        <v>-1.1101746121839999</v>
      </c>
      <c r="AH1272">
        <v>32.206026741436297</v>
      </c>
      <c r="AI1272">
        <v>91.943070421566006</v>
      </c>
      <c r="AJ1272">
        <v>100.20228692325399</v>
      </c>
      <c r="AK1272">
        <v>32.742258478752298</v>
      </c>
      <c r="AL1272">
        <v>78.236483738081304</v>
      </c>
      <c r="AM1272">
        <v>90.388272635933404</v>
      </c>
      <c r="AN1272">
        <v>0.99999997300725496</v>
      </c>
    </row>
    <row r="1273" spans="1:40" x14ac:dyDescent="0.25">
      <c r="A1273" t="str">
        <f>"20190304155616352"</f>
        <v>20190304155616352</v>
      </c>
      <c r="B1273" t="str">
        <f>"1551686176345974"</f>
        <v>1551686176345974</v>
      </c>
      <c r="C1273" t="s">
        <v>40</v>
      </c>
      <c r="D1273">
        <v>4.5156460000000003</v>
      </c>
      <c r="E1273">
        <v>0.432473</v>
      </c>
      <c r="F1273" t="s">
        <v>41</v>
      </c>
      <c r="G1273">
        <v>-210.321</v>
      </c>
      <c r="H1273" s="1">
        <v>-4.7068630000000002E-6</v>
      </c>
      <c r="I1273">
        <v>372.66120000000001</v>
      </c>
      <c r="J1273">
        <v>-242.72290000000001</v>
      </c>
      <c r="K1273">
        <v>1.1101700000000001</v>
      </c>
      <c r="L1273">
        <v>367.05399999999997</v>
      </c>
      <c r="M1273">
        <v>0.99988160000000004</v>
      </c>
      <c r="N1273">
        <v>-1.433504E-2</v>
      </c>
      <c r="O1273">
        <v>-5.5963159999999996E-3</v>
      </c>
      <c r="P1273">
        <v>0.98181839999999998</v>
      </c>
      <c r="Q1273">
        <v>0.1898223</v>
      </c>
      <c r="R1273">
        <v>6.300826E-4</v>
      </c>
      <c r="S1273">
        <v>3.0750579999999998</v>
      </c>
      <c r="T1273">
        <v>-0.104838</v>
      </c>
      <c r="U1273">
        <v>0.52941890000000003</v>
      </c>
      <c r="V1273">
        <v>-6.0063850000000004E-3</v>
      </c>
      <c r="W1273">
        <v>0.2038807</v>
      </c>
      <c r="X1273">
        <v>0.97897730000000005</v>
      </c>
      <c r="Y1273">
        <v>-0.1750399</v>
      </c>
      <c r="Z1273">
        <v>4.3352759999999999E-3</v>
      </c>
      <c r="AA1273">
        <v>0.98455179999999998</v>
      </c>
      <c r="AB1273">
        <v>31</v>
      </c>
      <c r="AC1273">
        <v>32.401899999999998</v>
      </c>
      <c r="AD1273">
        <v>-1.1101747068629999</v>
      </c>
      <c r="AE1273">
        <v>5.6071999999999704</v>
      </c>
      <c r="AF1273">
        <v>-5.7818719282391902</v>
      </c>
      <c r="AG1273">
        <v>-1.1101747068629999</v>
      </c>
      <c r="AH1273">
        <v>32.333156428847303</v>
      </c>
      <c r="AI1273">
        <v>91.935822373814801</v>
      </c>
      <c r="AJ1273">
        <v>100.138570738575</v>
      </c>
      <c r="AK1273">
        <v>32.864806944916502</v>
      </c>
      <c r="AL1273">
        <v>78.236015683563295</v>
      </c>
      <c r="AM1273">
        <v>90.351526222925699</v>
      </c>
      <c r="AN1273">
        <v>0.99999998520427402</v>
      </c>
    </row>
    <row r="1274" spans="1:40" x14ac:dyDescent="0.25">
      <c r="A1274" t="str">
        <f>"20190304155616362"</f>
        <v>20190304155616362</v>
      </c>
      <c r="B1274" t="str">
        <f>"1551686176355738"</f>
        <v>1551686176355738</v>
      </c>
      <c r="C1274" t="s">
        <v>40</v>
      </c>
      <c r="D1274">
        <v>4.6594290000000003</v>
      </c>
      <c r="E1274">
        <v>0.432473</v>
      </c>
      <c r="F1274" t="s">
        <v>41</v>
      </c>
      <c r="G1274">
        <v>-210.17359999999999</v>
      </c>
      <c r="H1274" s="1">
        <v>-4.7510209999999999E-6</v>
      </c>
      <c r="I1274">
        <v>372.62729999999999</v>
      </c>
      <c r="J1274">
        <v>-242.57419999999999</v>
      </c>
      <c r="K1274">
        <v>1.1101700000000001</v>
      </c>
      <c r="L1274">
        <v>367.053</v>
      </c>
      <c r="M1274">
        <v>0.99988100000000002</v>
      </c>
      <c r="N1274">
        <v>-1.4333439999999999E-2</v>
      </c>
      <c r="O1274">
        <v>-5.7248000000000004E-3</v>
      </c>
      <c r="P1274">
        <v>0.981854</v>
      </c>
      <c r="Q1274">
        <v>0.1896391</v>
      </c>
      <c r="R1274">
        <v>-3.3914250000000002E-4</v>
      </c>
      <c r="S1274">
        <v>3.075485</v>
      </c>
      <c r="T1274">
        <v>-0.1048969</v>
      </c>
      <c r="U1274">
        <v>0.5266113</v>
      </c>
      <c r="V1274">
        <v>-5.1639880000000004E-3</v>
      </c>
      <c r="W1274">
        <v>0.2036963</v>
      </c>
      <c r="X1274">
        <v>0.97902049999999996</v>
      </c>
      <c r="Y1274">
        <v>-0.17427089999999901</v>
      </c>
      <c r="Z1274">
        <v>4.320572E-3</v>
      </c>
      <c r="AA1274">
        <v>0.98468829999999996</v>
      </c>
      <c r="AB1274">
        <v>31</v>
      </c>
      <c r="AC1274">
        <v>32.400599999999997</v>
      </c>
      <c r="AD1274">
        <v>-1.1101747510210001</v>
      </c>
      <c r="AE1274">
        <v>5.5742999999999299</v>
      </c>
      <c r="AF1274">
        <v>-5.7531544639989303</v>
      </c>
      <c r="AG1274">
        <v>-1.1101747510210001</v>
      </c>
      <c r="AH1274">
        <v>32.331287452284897</v>
      </c>
      <c r="AI1274">
        <v>91.936227886564197</v>
      </c>
      <c r="AJ1274">
        <v>100.089822646944</v>
      </c>
      <c r="AK1274">
        <v>32.857927849861603</v>
      </c>
      <c r="AL1274">
        <v>78.246807602045706</v>
      </c>
      <c r="AM1274">
        <v>90.302212235565193</v>
      </c>
      <c r="AN1274">
        <v>0.99999999441300202</v>
      </c>
    </row>
    <row r="1275" spans="1:40" x14ac:dyDescent="0.25">
      <c r="A1275" t="str">
        <f>"20190304155616374"</f>
        <v>20190304155616374</v>
      </c>
      <c r="B1275" t="str">
        <f>"1551686176365498"</f>
        <v>1551686176365498</v>
      </c>
      <c r="C1275" t="s">
        <v>40</v>
      </c>
      <c r="D1275">
        <v>4.5282960000000001</v>
      </c>
      <c r="E1275">
        <v>0.4897994</v>
      </c>
      <c r="F1275" t="s">
        <v>41</v>
      </c>
      <c r="G1275">
        <v>-210.2131</v>
      </c>
      <c r="H1275" s="1">
        <v>-4.7257889999999996E-6</v>
      </c>
      <c r="I1275">
        <v>372.56079999999997</v>
      </c>
      <c r="J1275">
        <v>-242.4247</v>
      </c>
      <c r="K1275">
        <v>1.1101639999999999</v>
      </c>
      <c r="L1275">
        <v>367.05200000000002</v>
      </c>
      <c r="M1275">
        <v>0.99988030000000006</v>
      </c>
      <c r="N1275">
        <v>-1.433181E-2</v>
      </c>
      <c r="O1275">
        <v>-5.8541189999999996E-3</v>
      </c>
      <c r="P1275">
        <v>0.9819213</v>
      </c>
      <c r="Q1275">
        <v>0.1892847</v>
      </c>
      <c r="R1275">
        <v>-1.515162E-3</v>
      </c>
      <c r="S1275">
        <v>3.0760190000000001</v>
      </c>
      <c r="T1275">
        <v>-0.1055251</v>
      </c>
      <c r="U1275">
        <v>0.52352909999999997</v>
      </c>
      <c r="V1275">
        <v>-4.1157870000000001E-3</v>
      </c>
      <c r="W1275">
        <v>0.20334050000000001</v>
      </c>
      <c r="X1275">
        <v>0.97909950000000001</v>
      </c>
      <c r="Y1275">
        <v>-0.17341029999999999</v>
      </c>
      <c r="Z1275">
        <v>4.3205680000000003E-3</v>
      </c>
      <c r="AA1275">
        <v>0.98484020000000005</v>
      </c>
      <c r="AB1275">
        <v>31</v>
      </c>
      <c r="AC1275">
        <v>32.211599999999997</v>
      </c>
      <c r="AD1275">
        <v>-1.1101687257889901</v>
      </c>
      <c r="AE1275">
        <v>5.5087999999999999</v>
      </c>
      <c r="AF1275">
        <v>-5.6907279470176704</v>
      </c>
      <c r="AG1275">
        <v>-1.1101687257889901</v>
      </c>
      <c r="AH1275">
        <v>32.141701553846502</v>
      </c>
      <c r="AI1275">
        <v>91.947928229730095</v>
      </c>
      <c r="AJ1275">
        <v>100.04024043058401</v>
      </c>
      <c r="AK1275">
        <v>32.660462916854499</v>
      </c>
      <c r="AL1275">
        <v>78.267630050828799</v>
      </c>
      <c r="AM1275">
        <v>90.240849714943394</v>
      </c>
      <c r="AN1275">
        <v>1.0000000647715599</v>
      </c>
    </row>
    <row r="1276" spans="1:40" x14ac:dyDescent="0.25">
      <c r="A1276" t="str">
        <f>"20190304155616385"</f>
        <v>20190304155616385</v>
      </c>
      <c r="B1276" t="str">
        <f>"1551686176376234"</f>
        <v>1551686176376234</v>
      </c>
      <c r="C1276" t="s">
        <v>40</v>
      </c>
      <c r="D1276">
        <v>4.4224189999999997</v>
      </c>
      <c r="E1276">
        <v>0.4897994</v>
      </c>
      <c r="F1276" t="s">
        <v>45</v>
      </c>
      <c r="G1276">
        <v>-177.51339999999999</v>
      </c>
      <c r="H1276">
        <v>7.9987989999999995E-2</v>
      </c>
      <c r="I1276">
        <v>368.4074</v>
      </c>
      <c r="J1276">
        <v>-242.26410000000001</v>
      </c>
      <c r="K1276">
        <v>1.1101620000000001</v>
      </c>
      <c r="L1276">
        <v>367.05090000000001</v>
      </c>
      <c r="M1276">
        <v>0.99987939999999997</v>
      </c>
      <c r="N1276">
        <v>-1.433004E-2</v>
      </c>
      <c r="O1276">
        <v>-5.9928539999999997E-3</v>
      </c>
      <c r="P1276">
        <v>0.98192869999999999</v>
      </c>
      <c r="Q1276">
        <v>0.18923599999999999</v>
      </c>
      <c r="R1276">
        <v>-2.4336190000000001E-3</v>
      </c>
      <c r="S1276">
        <v>3.0646969999999998</v>
      </c>
      <c r="T1276">
        <v>-4.8638340000000002E-2</v>
      </c>
      <c r="U1276">
        <v>6.3995360000000001E-2</v>
      </c>
      <c r="V1276">
        <v>-3.333347E-3</v>
      </c>
      <c r="W1276">
        <v>0.20328959999999999</v>
      </c>
      <c r="X1276">
        <v>0.97911300000000001</v>
      </c>
      <c r="Y1276">
        <v>-2.6862259999999999E-2</v>
      </c>
      <c r="Z1276">
        <v>4.1486790000000001E-4</v>
      </c>
      <c r="AA1276">
        <v>0.99963900000000006</v>
      </c>
      <c r="AB1276">
        <v>31</v>
      </c>
      <c r="AC1276">
        <v>64.750699999999995</v>
      </c>
      <c r="AD1276">
        <v>-1.0301740100000001</v>
      </c>
      <c r="AE1276">
        <v>1.3564999999999801</v>
      </c>
      <c r="AF1276">
        <v>-1.74411567763579</v>
      </c>
      <c r="AG1276">
        <v>-1.0301740100000001</v>
      </c>
      <c r="AH1276">
        <v>64.725030641352703</v>
      </c>
      <c r="AI1276">
        <v>90.9115210407859</v>
      </c>
      <c r="AJ1276">
        <v>91.543549532757297</v>
      </c>
      <c r="AK1276">
        <v>64.756720033614201</v>
      </c>
      <c r="AL1276">
        <v>78.270608082103095</v>
      </c>
      <c r="AM1276">
        <v>90.195060199274195</v>
      </c>
      <c r="AN1276">
        <v>1.0000000197196901</v>
      </c>
    </row>
    <row r="1277" spans="1:40" x14ac:dyDescent="0.25">
      <c r="A1277" t="str">
        <f>"20190304155616397"</f>
        <v>20190304155616397</v>
      </c>
      <c r="B1277" t="str">
        <f>"1551686176385994"</f>
        <v>1551686176385994</v>
      </c>
      <c r="C1277" t="s">
        <v>40</v>
      </c>
      <c r="D1277">
        <v>4.519768</v>
      </c>
      <c r="E1277">
        <v>0.55477299999999996</v>
      </c>
      <c r="F1277" t="s">
        <v>45</v>
      </c>
      <c r="G1277">
        <v>-177.5692</v>
      </c>
      <c r="H1277">
        <v>7.9987989999999995E-2</v>
      </c>
      <c r="I1277">
        <v>368.33800000000002</v>
      </c>
      <c r="J1277">
        <v>-242.10159999999999</v>
      </c>
      <c r="K1277">
        <v>1.1101620000000001</v>
      </c>
      <c r="L1277">
        <v>367.0498</v>
      </c>
      <c r="M1277">
        <v>0.99987859999999995</v>
      </c>
      <c r="N1277">
        <v>-1.4328250000000001E-2</v>
      </c>
      <c r="O1277">
        <v>-6.1333759999999899E-3</v>
      </c>
      <c r="P1277">
        <v>0.98191669999999998</v>
      </c>
      <c r="Q1277">
        <v>0.1892847</v>
      </c>
      <c r="R1277">
        <v>-3.309322E-3</v>
      </c>
      <c r="S1277">
        <v>3.0647579999999999</v>
      </c>
      <c r="T1277">
        <v>-4.8801900000000002E-2</v>
      </c>
      <c r="U1277">
        <v>6.097412E-2</v>
      </c>
      <c r="V1277">
        <v>-2.5961199999999999E-3</v>
      </c>
      <c r="W1277">
        <v>0.2033363</v>
      </c>
      <c r="X1277">
        <v>0.97910549999999996</v>
      </c>
      <c r="Y1277">
        <v>-2.6017450000000001E-2</v>
      </c>
      <c r="Z1277">
        <v>4.0333010000000001E-4</v>
      </c>
      <c r="AA1277">
        <v>0.99966140000000003</v>
      </c>
      <c r="AB1277">
        <v>31</v>
      </c>
      <c r="AC1277">
        <v>64.532399999999996</v>
      </c>
      <c r="AD1277">
        <v>-1.0301740100000001</v>
      </c>
      <c r="AE1277">
        <v>1.28820000000001</v>
      </c>
      <c r="AF1277">
        <v>-1.6835889742886101</v>
      </c>
      <c r="AG1277">
        <v>-1.0301740100000001</v>
      </c>
      <c r="AH1277">
        <v>64.5068518138565</v>
      </c>
      <c r="AI1277">
        <v>90.9146240501329</v>
      </c>
      <c r="AJ1277">
        <v>91.495045040714999</v>
      </c>
      <c r="AK1277">
        <v>64.537041001738402</v>
      </c>
      <c r="AL1277">
        <v>78.267874883694503</v>
      </c>
      <c r="AM1277">
        <v>90.151920677107299</v>
      </c>
      <c r="AN1277">
        <v>0.999999985433497</v>
      </c>
    </row>
    <row r="1278" spans="1:40" x14ac:dyDescent="0.25">
      <c r="A1278" t="str">
        <f>"20190304155616409"</f>
        <v>20190304155616409</v>
      </c>
      <c r="B1278" t="str">
        <f>"1551686176405513"</f>
        <v>1551686176405513</v>
      </c>
      <c r="C1278" t="s">
        <v>40</v>
      </c>
      <c r="D1278">
        <v>4.6140619999999997</v>
      </c>
      <c r="E1278">
        <v>0.55825729999999996</v>
      </c>
      <c r="F1278" t="s">
        <v>43</v>
      </c>
      <c r="G1278">
        <v>-169.2955</v>
      </c>
      <c r="H1278">
        <v>0.17822839999999901</v>
      </c>
      <c r="I1278">
        <v>356.10610000000003</v>
      </c>
      <c r="J1278">
        <v>-241.94030000000001</v>
      </c>
      <c r="K1278">
        <v>1.1101650000000001</v>
      </c>
      <c r="L1278">
        <v>367.0487</v>
      </c>
      <c r="M1278">
        <v>0.99987780000000004</v>
      </c>
      <c r="N1278">
        <v>-1.4326490000000001E-2</v>
      </c>
      <c r="O1278">
        <v>-6.2729450000000003E-3</v>
      </c>
      <c r="P1278">
        <v>0.98193620000000004</v>
      </c>
      <c r="Q1278">
        <v>0.18916179999999999</v>
      </c>
      <c r="R1278">
        <v>-4.4364299999999999E-3</v>
      </c>
      <c r="S1278">
        <v>3.0612490000000001</v>
      </c>
      <c r="T1278">
        <v>-3.918087E-2</v>
      </c>
      <c r="U1278">
        <v>-0.460144</v>
      </c>
      <c r="V1278">
        <v>-1.6063900000000001E-3</v>
      </c>
      <c r="W1278">
        <v>0.20321120000000001</v>
      </c>
      <c r="X1278">
        <v>0.97913360000000005</v>
      </c>
      <c r="Y1278">
        <v>0.14241139999999999</v>
      </c>
      <c r="Z1278">
        <v>-1.941758E-3</v>
      </c>
      <c r="AA1278">
        <v>0.98980559999999995</v>
      </c>
      <c r="AB1278">
        <v>31</v>
      </c>
      <c r="AC1278">
        <v>72.644800000000004</v>
      </c>
      <c r="AD1278">
        <v>-0.9319366</v>
      </c>
      <c r="AE1278">
        <v>-10.942599999999899</v>
      </c>
      <c r="AF1278">
        <v>10.4849538234511</v>
      </c>
      <c r="AG1278">
        <v>-0.9319366</v>
      </c>
      <c r="AH1278">
        <v>72.700320581593999</v>
      </c>
      <c r="AI1278">
        <v>90.726907369709593</v>
      </c>
      <c r="AJ1278">
        <v>81.793300349645605</v>
      </c>
      <c r="AK1278">
        <v>73.458419362064006</v>
      </c>
      <c r="AL1278">
        <v>78.275195472499803</v>
      </c>
      <c r="AM1278">
        <v>90.094000741750605</v>
      </c>
      <c r="AN1278">
        <v>0.99999998947161595</v>
      </c>
    </row>
    <row r="1279" spans="1:40" x14ac:dyDescent="0.25">
      <c r="A1279" t="str">
        <f>"20190304155616421"</f>
        <v>20190304155616421</v>
      </c>
      <c r="B1279" t="str">
        <f>"1551686176416250"</f>
        <v>1551686176416250</v>
      </c>
      <c r="C1279" t="s">
        <v>40</v>
      </c>
      <c r="D1279">
        <v>4.7557879999999999</v>
      </c>
      <c r="E1279">
        <v>0.55978739999999905</v>
      </c>
      <c r="F1279" t="s">
        <v>44</v>
      </c>
      <c r="G1279">
        <v>-165.15479999999999</v>
      </c>
      <c r="H1279">
        <v>-0.05</v>
      </c>
      <c r="I1279">
        <v>354.72710000000001</v>
      </c>
      <c r="J1279">
        <v>-241.79159999999999</v>
      </c>
      <c r="K1279">
        <v>1.110166</v>
      </c>
      <c r="L1279">
        <v>367.04759999999999</v>
      </c>
      <c r="M1279">
        <v>0.99987689999999996</v>
      </c>
      <c r="N1279">
        <v>-1.432489E-2</v>
      </c>
      <c r="O1279">
        <v>-6.4017839999999998E-3</v>
      </c>
      <c r="P1279">
        <v>0.98191740000000005</v>
      </c>
      <c r="Q1279">
        <v>0.18923300000000001</v>
      </c>
      <c r="R1279">
        <v>-5.3911940000000002E-3</v>
      </c>
      <c r="S1279">
        <v>3.06189</v>
      </c>
      <c r="T1279">
        <v>-4.6262619999999997E-2</v>
      </c>
      <c r="U1279">
        <v>-0.49133300000000002</v>
      </c>
      <c r="V1279">
        <v>-7.7811929999999996E-4</v>
      </c>
      <c r="W1279">
        <v>0.2032803</v>
      </c>
      <c r="X1279">
        <v>0.97912030000000005</v>
      </c>
      <c r="Y1279">
        <v>0.1520821</v>
      </c>
      <c r="Z1279">
        <v>-2.2329759999999998E-3</v>
      </c>
      <c r="AA1279">
        <v>0.98836539999999995</v>
      </c>
      <c r="AB1279">
        <v>31</v>
      </c>
      <c r="AC1279">
        <v>76.636799999999994</v>
      </c>
      <c r="AD1279">
        <v>-1.160166</v>
      </c>
      <c r="AE1279">
        <v>-12.3204999999999</v>
      </c>
      <c r="AF1279">
        <v>11.826942753952601</v>
      </c>
      <c r="AG1279">
        <v>-1.160166</v>
      </c>
      <c r="AH1279">
        <v>76.696976414336206</v>
      </c>
      <c r="AI1279">
        <v>90.856503459889396</v>
      </c>
      <c r="AJ1279">
        <v>81.233837380677798</v>
      </c>
      <c r="AK1279">
        <v>77.612168834236797</v>
      </c>
      <c r="AL1279">
        <v>78.271152345430295</v>
      </c>
      <c r="AM1279">
        <v>90.045533671870501</v>
      </c>
      <c r="AN1279">
        <v>1.00000002385491</v>
      </c>
    </row>
    <row r="1280" spans="1:40" x14ac:dyDescent="0.25">
      <c r="A1280" t="str">
        <f>"20190304155616434"</f>
        <v>20190304155616434</v>
      </c>
      <c r="B1280" t="str">
        <f>"1551686176426010"</f>
        <v>1551686176426010</v>
      </c>
      <c r="C1280" t="s">
        <v>40</v>
      </c>
      <c r="D1280">
        <v>4.6734400000000003</v>
      </c>
      <c r="E1280">
        <v>0.55859669999999995</v>
      </c>
      <c r="F1280" t="s">
        <v>45</v>
      </c>
      <c r="G1280">
        <v>-201.8511</v>
      </c>
      <c r="H1280" s="1">
        <v>-3.4034880000000002E-6</v>
      </c>
      <c r="I1280">
        <v>360.44650000000001</v>
      </c>
      <c r="J1280">
        <v>-241.5958</v>
      </c>
      <c r="K1280">
        <v>1.110166</v>
      </c>
      <c r="L1280">
        <v>367.04610000000002</v>
      </c>
      <c r="M1280">
        <v>0.99987579999999998</v>
      </c>
      <c r="N1280">
        <v>-1.432278E-2</v>
      </c>
      <c r="O1280">
        <v>-6.5711479999999997E-3</v>
      </c>
      <c r="P1280">
        <v>0.98192760000000001</v>
      </c>
      <c r="Q1280">
        <v>0.18913859999999999</v>
      </c>
      <c r="R1280">
        <v>-6.7047879999999997E-3</v>
      </c>
      <c r="S1280">
        <v>3.0688930000000001</v>
      </c>
      <c r="T1280">
        <v>-8.5301520000000006E-2</v>
      </c>
      <c r="U1280">
        <v>-0.50720209999999999</v>
      </c>
      <c r="V1280">
        <v>3.6875450000000001E-4</v>
      </c>
      <c r="W1280">
        <v>0.20318359999999999</v>
      </c>
      <c r="X1280">
        <v>0.97914060000000003</v>
      </c>
      <c r="Y1280">
        <v>0.15648339999999999</v>
      </c>
      <c r="Z1280">
        <v>-3.200413E-3</v>
      </c>
      <c r="AA1280">
        <v>0.98767539999999998</v>
      </c>
      <c r="AB1280">
        <v>31</v>
      </c>
      <c r="AC1280">
        <v>39.744700000000002</v>
      </c>
      <c r="AD1280">
        <v>-1.1101694034880001</v>
      </c>
      <c r="AE1280">
        <v>-6.5995999999999997</v>
      </c>
      <c r="AF1280">
        <v>6.3334534507265401</v>
      </c>
      <c r="AG1280">
        <v>-1.1101694034880001</v>
      </c>
      <c r="AH1280">
        <v>39.757026020676399</v>
      </c>
      <c r="AI1280">
        <v>91.579595904663705</v>
      </c>
      <c r="AJ1280">
        <v>80.948609517300596</v>
      </c>
      <c r="AK1280">
        <v>40.273641835891802</v>
      </c>
      <c r="AL1280">
        <v>78.276810808583605</v>
      </c>
      <c r="AM1280">
        <v>89.978421816511798</v>
      </c>
      <c r="AN1280">
        <v>1.0000000129286</v>
      </c>
    </row>
    <row r="1281" spans="1:40" x14ac:dyDescent="0.25">
      <c r="A1281" t="str">
        <f>"20190304155616448"</f>
        <v>20190304155616448</v>
      </c>
      <c r="B1281" t="str">
        <f>"1551686176435770"</f>
        <v>1551686176435770</v>
      </c>
      <c r="C1281" t="s">
        <v>40</v>
      </c>
      <c r="D1281">
        <v>4.6671529999999999</v>
      </c>
      <c r="E1281">
        <v>0.55761819999999995</v>
      </c>
      <c r="F1281" t="s">
        <v>45</v>
      </c>
      <c r="G1281">
        <v>-208.3852</v>
      </c>
      <c r="H1281" s="1">
        <v>-5.9930890000000002E-6</v>
      </c>
      <c r="I1281">
        <v>361.6225</v>
      </c>
      <c r="J1281">
        <v>-241.40549999999999</v>
      </c>
      <c r="K1281">
        <v>1.110166</v>
      </c>
      <c r="L1281">
        <v>367.04480000000001</v>
      </c>
      <c r="M1281">
        <v>0.99987479999999995</v>
      </c>
      <c r="N1281">
        <v>-1.432074E-2</v>
      </c>
      <c r="O1281">
        <v>-6.7358649999999997E-3</v>
      </c>
      <c r="P1281">
        <v>0.98195160000000004</v>
      </c>
      <c r="Q1281">
        <v>0.18895819999999999</v>
      </c>
      <c r="R1281">
        <v>-8.1164970000000003E-3</v>
      </c>
      <c r="S1281">
        <v>3.071564</v>
      </c>
      <c r="T1281">
        <v>-0.10267709999999999</v>
      </c>
      <c r="U1281">
        <v>-0.50161739999999999</v>
      </c>
      <c r="V1281">
        <v>1.618345E-3</v>
      </c>
      <c r="W1281">
        <v>0.20300109999999999</v>
      </c>
      <c r="X1281">
        <v>0.97917719999999997</v>
      </c>
      <c r="Y1281">
        <v>0.15440319999999999</v>
      </c>
      <c r="Z1281">
        <v>-3.5486210000000001E-3</v>
      </c>
      <c r="AA1281">
        <v>0.98800149999999998</v>
      </c>
      <c r="AB1281">
        <v>31</v>
      </c>
      <c r="AC1281">
        <v>33.020299999999899</v>
      </c>
      <c r="AD1281">
        <v>-1.1101719930889999</v>
      </c>
      <c r="AE1281">
        <v>-5.4222999999999999</v>
      </c>
      <c r="AF1281">
        <v>5.1940169049388301</v>
      </c>
      <c r="AG1281">
        <v>-1.1101719930889999</v>
      </c>
      <c r="AH1281">
        <v>33.019734066437998</v>
      </c>
      <c r="AI1281">
        <v>91.902269942593193</v>
      </c>
      <c r="AJ1281">
        <v>81.060601898902107</v>
      </c>
      <c r="AK1281">
        <v>33.444179333350597</v>
      </c>
      <c r="AL1281">
        <v>78.287490014677104</v>
      </c>
      <c r="AM1281">
        <v>89.905303908355705</v>
      </c>
      <c r="AN1281">
        <v>1.0000000273207901</v>
      </c>
    </row>
    <row r="1282" spans="1:40" x14ac:dyDescent="0.25">
      <c r="A1282" t="str">
        <f>"20190304155616464"</f>
        <v>20190304155616464</v>
      </c>
      <c r="B1282" t="str">
        <f>"1551686176456265"</f>
        <v>1551686176456265</v>
      </c>
      <c r="C1282" t="s">
        <v>40</v>
      </c>
      <c r="D1282">
        <v>4.6455380000000002</v>
      </c>
      <c r="E1282">
        <v>0.55739569999999905</v>
      </c>
      <c r="F1282" t="s">
        <v>41</v>
      </c>
      <c r="G1282">
        <v>-212.53280000000001</v>
      </c>
      <c r="H1282" s="1">
        <v>-4.4729750000000001E-6</v>
      </c>
      <c r="I1282">
        <v>362.3596</v>
      </c>
      <c r="J1282">
        <v>-241.1891</v>
      </c>
      <c r="K1282">
        <v>1.110158</v>
      </c>
      <c r="L1282">
        <v>367.04309999999998</v>
      </c>
      <c r="M1282">
        <v>0.99987349999999997</v>
      </c>
      <c r="N1282">
        <v>-1.431842E-2</v>
      </c>
      <c r="O1282">
        <v>-6.9229909999999999E-3</v>
      </c>
      <c r="P1282">
        <v>0.98199060000000005</v>
      </c>
      <c r="Q1282">
        <v>0.18863540000000001</v>
      </c>
      <c r="R1282">
        <v>-1.05431E-2</v>
      </c>
      <c r="S1282">
        <v>3.0737459999999999</v>
      </c>
      <c r="T1282">
        <v>-0.118187</v>
      </c>
      <c r="U1282">
        <v>-0.49877929999999998</v>
      </c>
      <c r="V1282">
        <v>3.860385E-3</v>
      </c>
      <c r="W1282">
        <v>0.20267470000000001</v>
      </c>
      <c r="X1282">
        <v>0.97923850000000001</v>
      </c>
      <c r="Y1282">
        <v>0.1531872</v>
      </c>
      <c r="Z1282">
        <v>-3.8634429999999998E-3</v>
      </c>
      <c r="AA1282">
        <v>0.9881896</v>
      </c>
      <c r="AB1282">
        <v>31</v>
      </c>
      <c r="AC1282">
        <v>28.656299999999899</v>
      </c>
      <c r="AD1282">
        <v>-1.1101624729749999</v>
      </c>
      <c r="AE1282">
        <v>-4.68349999999998</v>
      </c>
      <c r="AF1282">
        <v>4.4784335703023697</v>
      </c>
      <c r="AG1282">
        <v>-1.1101624729749999</v>
      </c>
      <c r="AH1282">
        <v>28.646165669022398</v>
      </c>
      <c r="AI1282">
        <v>92.192739785807404</v>
      </c>
      <c r="AJ1282">
        <v>81.114517993602902</v>
      </c>
      <c r="AK1282">
        <v>29.015368953316599</v>
      </c>
      <c r="AL1282">
        <v>78.306587903456304</v>
      </c>
      <c r="AM1282">
        <v>89.774127935138694</v>
      </c>
      <c r="AN1282">
        <v>0.99999998823734404</v>
      </c>
    </row>
    <row r="1283" spans="1:40" x14ac:dyDescent="0.25">
      <c r="A1283" t="str">
        <f>"20190304155616476"</f>
        <v>20190304155616476</v>
      </c>
      <c r="B1283" t="str">
        <f>"1551686176466026"</f>
        <v>1551686176466026</v>
      </c>
      <c r="C1283" t="s">
        <v>40</v>
      </c>
      <c r="D1283">
        <v>4.5198239999999998</v>
      </c>
      <c r="E1283">
        <v>0.55755699999999997</v>
      </c>
      <c r="F1283" t="s">
        <v>41</v>
      </c>
      <c r="G1283">
        <v>-215.7911</v>
      </c>
      <c r="H1283" s="1">
        <v>-3.2131580000000001E-6</v>
      </c>
      <c r="I1283">
        <v>362.87110000000001</v>
      </c>
      <c r="J1283">
        <v>-241.0164</v>
      </c>
      <c r="K1283">
        <v>1.11016</v>
      </c>
      <c r="L1283">
        <v>367.04169999999999</v>
      </c>
      <c r="M1283">
        <v>0.9998726</v>
      </c>
      <c r="N1283">
        <v>-1.431664E-2</v>
      </c>
      <c r="O1283">
        <v>-7.0724530000000002E-3</v>
      </c>
      <c r="P1283">
        <v>0.98198180000000002</v>
      </c>
      <c r="Q1283">
        <v>0.18859690000000001</v>
      </c>
      <c r="R1283">
        <v>-1.197908E-2</v>
      </c>
      <c r="S1283">
        <v>3.0754389999999998</v>
      </c>
      <c r="T1283">
        <v>-0.13442860000000001</v>
      </c>
      <c r="U1283">
        <v>-0.50518799999999997</v>
      </c>
      <c r="V1283">
        <v>5.1493820000000001E-3</v>
      </c>
      <c r="W1283">
        <v>0.20263410000000001</v>
      </c>
      <c r="X1283">
        <v>0.97924100000000003</v>
      </c>
      <c r="Y1283">
        <v>0.15492</v>
      </c>
      <c r="Z1283">
        <v>-4.2724659999999999E-3</v>
      </c>
      <c r="AA1283">
        <v>0.98791779999999996</v>
      </c>
      <c r="AB1283">
        <v>31</v>
      </c>
      <c r="AC1283">
        <v>25.225300000000001</v>
      </c>
      <c r="AD1283">
        <v>-1.1101632131579999</v>
      </c>
      <c r="AE1283">
        <v>-4.1705999999999701</v>
      </c>
      <c r="AF1283">
        <v>3.9845604193833402</v>
      </c>
      <c r="AG1283">
        <v>-1.1101632131579999</v>
      </c>
      <c r="AH1283">
        <v>25.206645380328201</v>
      </c>
      <c r="AI1283">
        <v>92.4909286967697</v>
      </c>
      <c r="AJ1283">
        <v>81.017252332588896</v>
      </c>
      <c r="AK1283">
        <v>25.543769405183401</v>
      </c>
      <c r="AL1283">
        <v>78.308963724423805</v>
      </c>
      <c r="AM1283">
        <v>89.698710392788499</v>
      </c>
      <c r="AN1283">
        <v>1.00000001534939</v>
      </c>
    </row>
    <row r="1284" spans="1:40" x14ac:dyDescent="0.25">
      <c r="A1284" t="str">
        <f>"20190304155616488"</f>
        <v>20190304155616488</v>
      </c>
      <c r="B1284" t="str">
        <f>"1551686176485546"</f>
        <v>1551686176485546</v>
      </c>
      <c r="C1284" t="s">
        <v>40</v>
      </c>
      <c r="D1284">
        <v>4.6349390000000001</v>
      </c>
      <c r="E1284">
        <v>0.55816100000000002</v>
      </c>
      <c r="F1284" t="s">
        <v>41</v>
      </c>
      <c r="G1284">
        <v>-216.7852</v>
      </c>
      <c r="H1284" s="1">
        <v>-2.8363400000000001E-6</v>
      </c>
      <c r="I1284">
        <v>363.01580000000001</v>
      </c>
      <c r="J1284">
        <v>-240.8535</v>
      </c>
      <c r="K1284">
        <v>1.1101559999999999</v>
      </c>
      <c r="L1284">
        <v>367.04039999999998</v>
      </c>
      <c r="M1284">
        <v>0.99987159999999997</v>
      </c>
      <c r="N1284">
        <v>-1.4315019999999999E-2</v>
      </c>
      <c r="O1284">
        <v>-7.2133350000000004E-3</v>
      </c>
      <c r="P1284">
        <v>0.98196059999999996</v>
      </c>
      <c r="Q1284">
        <v>0.1885928</v>
      </c>
      <c r="R1284">
        <v>-1.365394E-2</v>
      </c>
      <c r="S1284">
        <v>3.0759120000000002</v>
      </c>
      <c r="T1284">
        <v>-0.14092399999999999</v>
      </c>
      <c r="U1284">
        <v>-0.51104740000000004</v>
      </c>
      <c r="V1284">
        <v>6.6859450000000004E-3</v>
      </c>
      <c r="W1284">
        <v>0.20262749999999999</v>
      </c>
      <c r="X1284">
        <v>0.97923309999999997</v>
      </c>
      <c r="Y1284">
        <v>0.15656999999999999</v>
      </c>
      <c r="Z1284">
        <v>-4.4640330000000001E-3</v>
      </c>
      <c r="AA1284">
        <v>0.9876568</v>
      </c>
      <c r="AB1284">
        <v>31</v>
      </c>
      <c r="AC1284">
        <v>24.068299999999901</v>
      </c>
      <c r="AD1284">
        <v>-1.1101588363399999</v>
      </c>
      <c r="AE1284">
        <v>-4.0245999999999604</v>
      </c>
      <c r="AF1284">
        <v>3.8429111980097801</v>
      </c>
      <c r="AG1284">
        <v>-1.1101588363399999</v>
      </c>
      <c r="AH1284">
        <v>24.046938049716999</v>
      </c>
      <c r="AI1284">
        <v>92.610185209868703</v>
      </c>
      <c r="AJ1284">
        <v>80.920407495570302</v>
      </c>
      <c r="AK1284">
        <v>24.377359346012501</v>
      </c>
      <c r="AL1284">
        <v>78.309350118937203</v>
      </c>
      <c r="AM1284">
        <v>89.608805627614501</v>
      </c>
      <c r="AN1284">
        <v>1.0000000348761999</v>
      </c>
    </row>
    <row r="1285" spans="1:40" x14ac:dyDescent="0.25">
      <c r="A1285" t="str">
        <f>"20190304155616500"</f>
        <v>20190304155616500</v>
      </c>
      <c r="B1285" t="str">
        <f>"1551686176496282"</f>
        <v>1551686176496282</v>
      </c>
      <c r="C1285" t="s">
        <v>40</v>
      </c>
      <c r="D1285">
        <v>4.5409670000000002</v>
      </c>
      <c r="E1285">
        <v>0.55847959999999996</v>
      </c>
      <c r="F1285" t="s">
        <v>41</v>
      </c>
      <c r="G1285">
        <v>-217.24799999999999</v>
      </c>
      <c r="H1285" s="1">
        <v>-2.6716099999999998E-6</v>
      </c>
      <c r="I1285">
        <v>363.04300000000001</v>
      </c>
      <c r="J1285">
        <v>-240.69630000000001</v>
      </c>
      <c r="K1285">
        <v>1.110155</v>
      </c>
      <c r="L1285">
        <v>367.03910000000002</v>
      </c>
      <c r="M1285">
        <v>0.9998707</v>
      </c>
      <c r="N1285">
        <v>-1.4313370000000001E-2</v>
      </c>
      <c r="O1285">
        <v>-7.3490930000000001E-3</v>
      </c>
      <c r="P1285">
        <v>0.98193810000000004</v>
      </c>
      <c r="Q1285">
        <v>0.18857009999999999</v>
      </c>
      <c r="R1285">
        <v>-1.546087E-2</v>
      </c>
      <c r="S1285">
        <v>3.0756679999999998</v>
      </c>
      <c r="T1285">
        <v>-0.14464739999999901</v>
      </c>
      <c r="U1285">
        <v>-0.52084350000000001</v>
      </c>
      <c r="V1285">
        <v>8.3596859999999999E-3</v>
      </c>
      <c r="W1285">
        <v>0.2026018</v>
      </c>
      <c r="X1285">
        <v>0.97922549999999997</v>
      </c>
      <c r="Y1285">
        <v>0.15949389999999999</v>
      </c>
      <c r="Z1285">
        <v>-4.6338120000000002E-3</v>
      </c>
      <c r="AA1285">
        <v>0.98718799999999995</v>
      </c>
      <c r="AB1285">
        <v>31</v>
      </c>
      <c r="AC1285">
        <v>23.4483</v>
      </c>
      <c r="AD1285">
        <v>-1.1101576716099999</v>
      </c>
      <c r="AE1285">
        <v>-3.99610000000001</v>
      </c>
      <c r="AF1285">
        <v>3.8153398348888001</v>
      </c>
      <c r="AG1285">
        <v>-1.1101576716099999</v>
      </c>
      <c r="AH1285">
        <v>23.426009059436002</v>
      </c>
      <c r="AI1285">
        <v>92.677981822543501</v>
      </c>
      <c r="AJ1285">
        <v>80.749590206651604</v>
      </c>
      <c r="AK1285">
        <v>23.760622225949799</v>
      </c>
      <c r="AL1285">
        <v>78.310853120480004</v>
      </c>
      <c r="AM1285">
        <v>89.510875594736504</v>
      </c>
      <c r="AN1285">
        <v>0.99999997678175401</v>
      </c>
    </row>
    <row r="1286" spans="1:40" x14ac:dyDescent="0.25">
      <c r="A1286" t="str">
        <f>"20190304155616512"</f>
        <v>20190304155616512</v>
      </c>
      <c r="B1286" t="str">
        <f>"1551686176506042"</f>
        <v>1551686176506042</v>
      </c>
      <c r="C1286" t="s">
        <v>40</v>
      </c>
      <c r="D1286">
        <v>4.51546</v>
      </c>
      <c r="E1286">
        <v>0.55889060000000002</v>
      </c>
      <c r="F1286" t="s">
        <v>41</v>
      </c>
      <c r="G1286">
        <v>-217.20689999999999</v>
      </c>
      <c r="H1286" s="1">
        <v>-2.6967689999999999E-6</v>
      </c>
      <c r="I1286">
        <v>363.00099999999998</v>
      </c>
      <c r="J1286">
        <v>-240.5292</v>
      </c>
      <c r="K1286">
        <v>1.110155</v>
      </c>
      <c r="L1286">
        <v>367.0378</v>
      </c>
      <c r="M1286">
        <v>0.99986960000000003</v>
      </c>
      <c r="N1286">
        <v>-1.4311580000000001E-2</v>
      </c>
      <c r="O1286">
        <v>-7.4935519999999997E-3</v>
      </c>
      <c r="P1286">
        <v>0.98189559999999998</v>
      </c>
      <c r="Q1286">
        <v>0.1886418</v>
      </c>
      <c r="R1286">
        <v>-1.7187359999999999E-2</v>
      </c>
      <c r="S1286">
        <v>3.0747680000000002</v>
      </c>
      <c r="T1286">
        <v>-0.1453198</v>
      </c>
      <c r="U1286">
        <v>-0.52859500000000004</v>
      </c>
      <c r="V1286">
        <v>9.944484E-3</v>
      </c>
      <c r="W1286">
        <v>0.20267089999999999</v>
      </c>
      <c r="X1286">
        <v>0.97919639999999997</v>
      </c>
      <c r="Y1286">
        <v>0.1618117</v>
      </c>
      <c r="Z1286">
        <v>-4.7161820000000002E-3</v>
      </c>
      <c r="AA1286">
        <v>0.98681039999999998</v>
      </c>
      <c r="AB1286">
        <v>31</v>
      </c>
      <c r="AC1286">
        <v>23.322299999999998</v>
      </c>
      <c r="AD1286">
        <v>-1.1101576967689999</v>
      </c>
      <c r="AE1286">
        <v>-4.0368000000000199</v>
      </c>
      <c r="AF1286">
        <v>3.8534246645738701</v>
      </c>
      <c r="AG1286">
        <v>-1.1101576967689999</v>
      </c>
      <c r="AH1286">
        <v>23.3006386121981</v>
      </c>
      <c r="AI1286">
        <v>92.691291204346996</v>
      </c>
      <c r="AJ1286">
        <v>80.609504496632994</v>
      </c>
      <c r="AK1286">
        <v>23.643203917690599</v>
      </c>
      <c r="AL1286">
        <v>78.306810240334102</v>
      </c>
      <c r="AM1286">
        <v>89.418137796445706</v>
      </c>
      <c r="AN1286">
        <v>0.99999998812089796</v>
      </c>
    </row>
    <row r="1287" spans="1:40" x14ac:dyDescent="0.25">
      <c r="A1287" t="str">
        <f>"20190304155616524"</f>
        <v>20190304155616524</v>
      </c>
      <c r="B1287" t="str">
        <f>"1551686176515802"</f>
        <v>1551686176515802</v>
      </c>
      <c r="C1287" t="s">
        <v>40</v>
      </c>
      <c r="D1287">
        <v>4.5928050000000002</v>
      </c>
      <c r="E1287">
        <v>0.55885039999999997</v>
      </c>
      <c r="F1287" t="s">
        <v>41</v>
      </c>
      <c r="G1287">
        <v>-216.80940000000001</v>
      </c>
      <c r="H1287" s="1">
        <v>-2.8610549999999998E-6</v>
      </c>
      <c r="I1287">
        <v>362.892</v>
      </c>
      <c r="J1287">
        <v>-240.3526</v>
      </c>
      <c r="K1287">
        <v>1.1101570000000001</v>
      </c>
      <c r="L1287">
        <v>367.03629999999998</v>
      </c>
      <c r="M1287">
        <v>0.99986850000000005</v>
      </c>
      <c r="N1287">
        <v>-1.430963E-2</v>
      </c>
      <c r="O1287">
        <v>-7.6465909999999899E-3</v>
      </c>
      <c r="P1287">
        <v>0.98181030000000002</v>
      </c>
      <c r="Q1287">
        <v>0.1889197</v>
      </c>
      <c r="R1287">
        <v>-1.8926269999999999E-2</v>
      </c>
      <c r="S1287">
        <v>3.073547</v>
      </c>
      <c r="T1287">
        <v>-0.143850799999999</v>
      </c>
      <c r="U1287">
        <v>-0.53720089999999998</v>
      </c>
      <c r="V1287">
        <v>1.1533699999999999E-2</v>
      </c>
      <c r="W1287">
        <v>0.20294509999999999</v>
      </c>
      <c r="X1287">
        <v>0.97912220000000005</v>
      </c>
      <c r="Y1287">
        <v>0.16440829999999901</v>
      </c>
      <c r="Z1287">
        <v>-4.7560900000000001E-3</v>
      </c>
      <c r="AA1287">
        <v>0.9863809</v>
      </c>
      <c r="AB1287">
        <v>31</v>
      </c>
      <c r="AC1287">
        <v>23.543199999999899</v>
      </c>
      <c r="AD1287">
        <v>-1.1101598610550001</v>
      </c>
      <c r="AE1287">
        <v>-4.1442999999999799</v>
      </c>
      <c r="AF1287">
        <v>3.9556041813770801</v>
      </c>
      <c r="AG1287">
        <v>-1.1101598610550001</v>
      </c>
      <c r="AH1287">
        <v>23.523471802564199</v>
      </c>
      <c r="AI1287">
        <v>92.664640050459695</v>
      </c>
      <c r="AJ1287">
        <v>80.454692376778596</v>
      </c>
      <c r="AK1287">
        <v>23.8795516080779</v>
      </c>
      <c r="AL1287">
        <v>78.290766594953993</v>
      </c>
      <c r="AM1287">
        <v>89.3251079701066</v>
      </c>
      <c r="AN1287">
        <v>1.0000000111912699</v>
      </c>
    </row>
    <row r="1288" spans="1:40" x14ac:dyDescent="0.25">
      <c r="A1288" t="str">
        <f>"20190304155616537"</f>
        <v>20190304155616537</v>
      </c>
      <c r="B1288" t="str">
        <f>"1551686176525561"</f>
        <v>1551686176525561</v>
      </c>
      <c r="C1288" t="s">
        <v>40</v>
      </c>
      <c r="D1288">
        <v>4.4741049999999998</v>
      </c>
      <c r="E1288">
        <v>0.55824750000000001</v>
      </c>
      <c r="F1288" t="s">
        <v>41</v>
      </c>
      <c r="G1288">
        <v>-217.43969999999999</v>
      </c>
      <c r="H1288" s="1">
        <v>-2.6196400000000001E-6</v>
      </c>
      <c r="I1288">
        <v>362.9932</v>
      </c>
      <c r="J1288">
        <v>-240.18960000000001</v>
      </c>
      <c r="K1288">
        <v>1.1101559999999999</v>
      </c>
      <c r="L1288">
        <v>367.03489999999999</v>
      </c>
      <c r="M1288">
        <v>0.99986730000000001</v>
      </c>
      <c r="N1288">
        <v>-1.4307780000000001E-2</v>
      </c>
      <c r="O1288">
        <v>-7.7879489999999997E-3</v>
      </c>
      <c r="P1288">
        <v>0.98175979999999996</v>
      </c>
      <c r="Q1288">
        <v>0.18900739999999999</v>
      </c>
      <c r="R1288">
        <v>-2.0588160000000001E-2</v>
      </c>
      <c r="S1288">
        <v>3.0737920000000001</v>
      </c>
      <c r="T1288">
        <v>-0.14892859999999999</v>
      </c>
      <c r="U1288">
        <v>-0.54238889999999995</v>
      </c>
      <c r="V1288">
        <v>1.3057249999999999E-2</v>
      </c>
      <c r="W1288">
        <v>0.2030296</v>
      </c>
      <c r="X1288">
        <v>0.9790856</v>
      </c>
      <c r="Y1288">
        <v>0.16585440000000001</v>
      </c>
      <c r="Z1288">
        <v>-4.9177680000000003E-3</v>
      </c>
      <c r="AA1288">
        <v>0.98613799999999996</v>
      </c>
      <c r="AB1288">
        <v>31</v>
      </c>
      <c r="AC1288">
        <v>22.7499</v>
      </c>
      <c r="AD1288">
        <v>-1.11015861964</v>
      </c>
      <c r="AE1288">
        <v>-4.0416999999999899</v>
      </c>
      <c r="AF1288">
        <v>3.8554841112323999</v>
      </c>
      <c r="AG1288">
        <v>-1.11015861964</v>
      </c>
      <c r="AH1288">
        <v>22.7282233295747</v>
      </c>
      <c r="AI1288">
        <v>92.757061355429201</v>
      </c>
      <c r="AJ1288">
        <v>80.372325697688197</v>
      </c>
      <c r="AK1288">
        <v>23.079630534559001</v>
      </c>
      <c r="AL1288">
        <v>78.285822759339595</v>
      </c>
      <c r="AM1288">
        <v>89.235939156315695</v>
      </c>
      <c r="AN1288">
        <v>1.00000006119053</v>
      </c>
    </row>
    <row r="1289" spans="1:40" x14ac:dyDescent="0.25">
      <c r="A1289" t="str">
        <f>"20190304155616548"</f>
        <v>20190304155616548</v>
      </c>
      <c r="B1289" t="str">
        <f>"1551686176546058"</f>
        <v>1551686176546058</v>
      </c>
      <c r="C1289" t="s">
        <v>40</v>
      </c>
      <c r="D1289">
        <v>4.6047520000000004</v>
      </c>
      <c r="E1289">
        <v>0.55706919999999904</v>
      </c>
      <c r="F1289" t="s">
        <v>41</v>
      </c>
      <c r="G1289">
        <v>-217.46549999999999</v>
      </c>
      <c r="H1289" s="1">
        <v>-2.60302E-6</v>
      </c>
      <c r="I1289">
        <v>363.02260000000001</v>
      </c>
      <c r="J1289">
        <v>-240.03190000000001</v>
      </c>
      <c r="K1289">
        <v>1.110158</v>
      </c>
      <c r="L1289">
        <v>367.0335</v>
      </c>
      <c r="M1289">
        <v>0.99986629999999999</v>
      </c>
      <c r="N1289">
        <v>-1.4305969999999999E-2</v>
      </c>
      <c r="O1289">
        <v>-7.9247789999999999E-3</v>
      </c>
      <c r="P1289">
        <v>0.98168339999999998</v>
      </c>
      <c r="Q1289">
        <v>0.18924650000000001</v>
      </c>
      <c r="R1289">
        <v>-2.1996539999999998E-2</v>
      </c>
      <c r="S1289">
        <v>3.0732879999999998</v>
      </c>
      <c r="T1289">
        <v>-0.15014140000000001</v>
      </c>
      <c r="U1289">
        <v>-0.54263309999999998</v>
      </c>
      <c r="V1289">
        <v>1.433166E-2</v>
      </c>
      <c r="W1289">
        <v>0.2032649</v>
      </c>
      <c r="X1289">
        <v>0.97901890000000003</v>
      </c>
      <c r="Y1289">
        <v>0.16581969999999999</v>
      </c>
      <c r="Z1289">
        <v>-4.9417790000000003E-3</v>
      </c>
      <c r="AA1289">
        <v>0.98614369999999996</v>
      </c>
      <c r="AB1289">
        <v>31</v>
      </c>
      <c r="AC1289">
        <v>22.566400000000002</v>
      </c>
      <c r="AD1289">
        <v>-1.11016060302</v>
      </c>
      <c r="AE1289">
        <v>-4.0108999999999897</v>
      </c>
      <c r="AF1289">
        <v>3.8229531088877402</v>
      </c>
      <c r="AG1289">
        <v>-1.11016060302</v>
      </c>
      <c r="AH1289">
        <v>22.544588960003299</v>
      </c>
      <c r="AI1289">
        <v>92.779516578733606</v>
      </c>
      <c r="AJ1289">
        <v>80.375735643701105</v>
      </c>
      <c r="AK1289">
        <v>22.893359701292301</v>
      </c>
      <c r="AL1289">
        <v>78.2720533655732</v>
      </c>
      <c r="AM1289">
        <v>89.161318557322502</v>
      </c>
      <c r="AN1289">
        <v>1.0000000113037799</v>
      </c>
    </row>
    <row r="1290" spans="1:40" x14ac:dyDescent="0.25">
      <c r="A1290" t="str">
        <f>"20190304155616560"</f>
        <v>20190304155616560</v>
      </c>
      <c r="B1290" t="str">
        <f>"1551686176555818"</f>
        <v>1551686176555818</v>
      </c>
      <c r="C1290" t="s">
        <v>40</v>
      </c>
      <c r="D1290">
        <v>4.572241</v>
      </c>
      <c r="E1290">
        <v>0.55679109999999998</v>
      </c>
      <c r="F1290" t="s">
        <v>41</v>
      </c>
      <c r="G1290">
        <v>-218.12799999999999</v>
      </c>
      <c r="H1290" s="1">
        <v>-2.3296009999999999E-6</v>
      </c>
      <c r="I1290">
        <v>363.2029</v>
      </c>
      <c r="J1290">
        <v>-239.87020000000001</v>
      </c>
      <c r="K1290">
        <v>1.1101589999999999</v>
      </c>
      <c r="L1290">
        <v>367.03199999999998</v>
      </c>
      <c r="M1290">
        <v>0.99986529999999996</v>
      </c>
      <c r="N1290">
        <v>-1.430412E-2</v>
      </c>
      <c r="O1290">
        <v>-8.0666230000000002E-3</v>
      </c>
      <c r="P1290">
        <v>0.98167369999999998</v>
      </c>
      <c r="Q1290">
        <v>0.18911919999999999</v>
      </c>
      <c r="R1290">
        <v>-2.3471329999999999E-2</v>
      </c>
      <c r="S1290">
        <v>3.0739589999999999</v>
      </c>
      <c r="T1290">
        <v>-0.1557972</v>
      </c>
      <c r="U1290">
        <v>-0.53756709999999996</v>
      </c>
      <c r="V1290">
        <v>1.5667420000000001E-2</v>
      </c>
      <c r="W1290">
        <v>0.2031355</v>
      </c>
      <c r="X1290">
        <v>0.97902529999999999</v>
      </c>
      <c r="Y1290">
        <v>0.164052799999999</v>
      </c>
      <c r="Z1290">
        <v>-5.0156569999999998E-3</v>
      </c>
      <c r="AA1290">
        <v>0.98643879999999995</v>
      </c>
      <c r="AB1290">
        <v>31</v>
      </c>
      <c r="AC1290">
        <v>21.7422</v>
      </c>
      <c r="AD1290">
        <v>-1.110161329601</v>
      </c>
      <c r="AE1290">
        <v>-3.82909999999998</v>
      </c>
      <c r="AF1290">
        <v>3.6443558066787798</v>
      </c>
      <c r="AG1290">
        <v>-1.110161329601</v>
      </c>
      <c r="AH1290">
        <v>21.717466247915599</v>
      </c>
      <c r="AI1290">
        <v>92.886036581258097</v>
      </c>
      <c r="AJ1290">
        <v>80.474085905280006</v>
      </c>
      <c r="AK1290">
        <v>22.0490845082685</v>
      </c>
      <c r="AL1290">
        <v>78.279625501606006</v>
      </c>
      <c r="AM1290">
        <v>89.083169329367706</v>
      </c>
      <c r="AN1290">
        <v>1.0000000187248901</v>
      </c>
    </row>
    <row r="1291" spans="1:40" x14ac:dyDescent="0.25">
      <c r="A1291" t="str">
        <f>"20190304155616572"</f>
        <v>20190304155616572</v>
      </c>
      <c r="B1291" t="str">
        <f>"1551686176565578"</f>
        <v>1551686176565578</v>
      </c>
      <c r="C1291" t="s">
        <v>40</v>
      </c>
      <c r="D1291">
        <v>4.5670989999999998</v>
      </c>
      <c r="E1291">
        <v>0.55692439999999999</v>
      </c>
      <c r="F1291" t="s">
        <v>41</v>
      </c>
      <c r="G1291">
        <v>-218.2449</v>
      </c>
      <c r="H1291" s="1">
        <v>-2.2822209999999999E-6</v>
      </c>
      <c r="I1291">
        <v>363.23140000000001</v>
      </c>
      <c r="J1291">
        <v>-239.7038</v>
      </c>
      <c r="K1291">
        <v>1.1101559999999999</v>
      </c>
      <c r="L1291">
        <v>367.03050000000002</v>
      </c>
      <c r="M1291">
        <v>0.99986399999999998</v>
      </c>
      <c r="N1291">
        <v>-1.4302219999999999E-2</v>
      </c>
      <c r="O1291">
        <v>-8.2136009999999992E-3</v>
      </c>
      <c r="P1291">
        <v>0.98168270000000002</v>
      </c>
      <c r="Q1291">
        <v>0.18892909999999999</v>
      </c>
      <c r="R1291">
        <v>-2.4594700000000001E-2</v>
      </c>
      <c r="S1291">
        <v>3.0734859999999999</v>
      </c>
      <c r="T1291">
        <v>-0.1577809</v>
      </c>
      <c r="U1291">
        <v>-0.54016109999999995</v>
      </c>
      <c r="V1291">
        <v>1.6646770000000002E-2</v>
      </c>
      <c r="W1291">
        <v>0.20294319999999999</v>
      </c>
      <c r="X1291">
        <v>0.97904899999999995</v>
      </c>
      <c r="Y1291">
        <v>0.1647344</v>
      </c>
      <c r="Z1291">
        <v>-5.080032E-3</v>
      </c>
      <c r="AA1291">
        <v>0.98632489999999995</v>
      </c>
      <c r="AB1291">
        <v>31</v>
      </c>
      <c r="AC1291">
        <v>21.4589</v>
      </c>
      <c r="AD1291">
        <v>-1.1101582822210001</v>
      </c>
      <c r="AE1291">
        <v>-3.7991000000000001</v>
      </c>
      <c r="AF1291">
        <v>3.6133220749653798</v>
      </c>
      <c r="AG1291">
        <v>-1.1101582822210001</v>
      </c>
      <c r="AH1291">
        <v>21.433761047368101</v>
      </c>
      <c r="AI1291">
        <v>92.923794160511406</v>
      </c>
      <c r="AJ1291">
        <v>80.430999492775001</v>
      </c>
      <c r="AK1291">
        <v>21.764527572742999</v>
      </c>
      <c r="AL1291">
        <v>78.290877648126695</v>
      </c>
      <c r="AM1291">
        <v>89.025893734330296</v>
      </c>
      <c r="AN1291">
        <v>1.0000000008893299</v>
      </c>
    </row>
    <row r="1292" spans="1:40" x14ac:dyDescent="0.25">
      <c r="A1292" t="str">
        <f>"20190304155616586"</f>
        <v>20190304155616586</v>
      </c>
      <c r="B1292" t="str">
        <f>"1551686176576314"</f>
        <v>1551686176576314</v>
      </c>
      <c r="C1292" t="s">
        <v>40</v>
      </c>
      <c r="D1292">
        <v>4.5729749999999996</v>
      </c>
      <c r="E1292">
        <v>0.55692299999999995</v>
      </c>
      <c r="F1292" t="s">
        <v>41</v>
      </c>
      <c r="G1292">
        <v>-218.1437</v>
      </c>
      <c r="H1292" s="1">
        <v>-2.3231050000000002E-6</v>
      </c>
      <c r="I1292">
        <v>363.20729999999998</v>
      </c>
      <c r="J1292">
        <v>-239.51089999999999</v>
      </c>
      <c r="K1292">
        <v>1.1101540000000001</v>
      </c>
      <c r="L1292">
        <v>367.02879999999999</v>
      </c>
      <c r="M1292">
        <v>0.99986260000000005</v>
      </c>
      <c r="N1292">
        <v>-1.430002E-2</v>
      </c>
      <c r="O1292">
        <v>-8.3873060000000006E-3</v>
      </c>
      <c r="P1292">
        <v>0.98189020000000005</v>
      </c>
      <c r="Q1292">
        <v>0.1874943</v>
      </c>
      <c r="R1292">
        <v>-2.716023E-2</v>
      </c>
      <c r="S1292">
        <v>3.0727690000000001</v>
      </c>
      <c r="T1292">
        <v>-0.15822039999999901</v>
      </c>
      <c r="U1292">
        <v>-0.54489140000000003</v>
      </c>
      <c r="V1292">
        <v>1.9040020000000001E-2</v>
      </c>
      <c r="W1292">
        <v>0.2015081</v>
      </c>
      <c r="X1292">
        <v>0.9793018</v>
      </c>
      <c r="Y1292">
        <v>0.1660711</v>
      </c>
      <c r="Z1292">
        <v>-5.1282180000000004E-3</v>
      </c>
      <c r="AA1292">
        <v>0.98610039999999999</v>
      </c>
      <c r="AB1292">
        <v>30</v>
      </c>
      <c r="AC1292">
        <v>21.3672</v>
      </c>
      <c r="AD1292">
        <v>-1.110156323105</v>
      </c>
      <c r="AE1292">
        <v>-3.8215000000000101</v>
      </c>
      <c r="AF1292">
        <v>3.63263187454604</v>
      </c>
      <c r="AG1292">
        <v>-1.110156323105</v>
      </c>
      <c r="AH1292">
        <v>21.342676200237701</v>
      </c>
      <c r="AI1292">
        <v>92.935461336840106</v>
      </c>
      <c r="AJ1292">
        <v>80.340534988307297</v>
      </c>
      <c r="AK1292">
        <v>21.6780600789345</v>
      </c>
      <c r="AL1292">
        <v>78.374837825721301</v>
      </c>
      <c r="AM1292">
        <v>88.8861703706974</v>
      </c>
      <c r="AN1292">
        <v>1.00000002610522</v>
      </c>
    </row>
    <row r="1293" spans="1:40" x14ac:dyDescent="0.25">
      <c r="A1293" t="str">
        <f>"20190304155616598"</f>
        <v>20190304155616598</v>
      </c>
      <c r="B1293" t="str">
        <f>"1551686176595834"</f>
        <v>1551686176595834</v>
      </c>
      <c r="C1293" t="s">
        <v>40</v>
      </c>
      <c r="D1293">
        <v>4.5218429999999996</v>
      </c>
      <c r="E1293">
        <v>0.55695550000000005</v>
      </c>
      <c r="F1293" t="s">
        <v>41</v>
      </c>
      <c r="G1293">
        <v>-218.67699999999999</v>
      </c>
      <c r="H1293" s="1">
        <v>-2.1226030000000001E-6</v>
      </c>
      <c r="I1293">
        <v>363.27870000000001</v>
      </c>
      <c r="J1293">
        <v>-239.35130000000001</v>
      </c>
      <c r="K1293">
        <v>1.11015</v>
      </c>
      <c r="L1293">
        <v>367.02730000000003</v>
      </c>
      <c r="M1293">
        <v>0.99986149999999996</v>
      </c>
      <c r="N1293">
        <v>-1.429821E-2</v>
      </c>
      <c r="O1293">
        <v>-8.5349209999999991E-3</v>
      </c>
      <c r="P1293">
        <v>0.98200790000000004</v>
      </c>
      <c r="Q1293">
        <v>0.1867017</v>
      </c>
      <c r="R1293">
        <v>-2.8346199999999998E-2</v>
      </c>
      <c r="S1293">
        <v>3.0712890000000002</v>
      </c>
      <c r="T1293">
        <v>-0.1636561</v>
      </c>
      <c r="U1293">
        <v>-0.55282589999999998</v>
      </c>
      <c r="V1293">
        <v>2.0080959999999998E-2</v>
      </c>
      <c r="W1293">
        <v>0.200715</v>
      </c>
      <c r="X1293">
        <v>0.97944379999999998</v>
      </c>
      <c r="Y1293">
        <v>0.16845489999999999</v>
      </c>
      <c r="Z1293">
        <v>-5.334559E-3</v>
      </c>
      <c r="AA1293">
        <v>0.98569490000000004</v>
      </c>
      <c r="AB1293">
        <v>30</v>
      </c>
      <c r="AC1293">
        <v>20.674299999999899</v>
      </c>
      <c r="AD1293">
        <v>-1.110152122603</v>
      </c>
      <c r="AE1293">
        <v>-3.7486000000000002</v>
      </c>
      <c r="AF1293">
        <v>3.5620480457551</v>
      </c>
      <c r="AG1293">
        <v>-1.110152122603</v>
      </c>
      <c r="AH1293">
        <v>20.647903135261402</v>
      </c>
      <c r="AI1293">
        <v>93.032878810616495</v>
      </c>
      <c r="AJ1293">
        <v>80.212029004812393</v>
      </c>
      <c r="AK1293">
        <v>20.982290816274698</v>
      </c>
      <c r="AL1293">
        <v>78.421226100486194</v>
      </c>
      <c r="AM1293">
        <v>88.825462894534198</v>
      </c>
      <c r="AN1293">
        <v>0.99999995676897901</v>
      </c>
    </row>
    <row r="1294" spans="1:40" x14ac:dyDescent="0.25">
      <c r="A1294" t="str">
        <f>"20190304155616609"</f>
        <v>20190304155616609</v>
      </c>
      <c r="B1294" t="str">
        <f>"1551686176605594"</f>
        <v>1551686176605594</v>
      </c>
      <c r="C1294" t="s">
        <v>40</v>
      </c>
      <c r="D1294">
        <v>4.5202650000000002</v>
      </c>
      <c r="E1294">
        <v>0.55667299999999997</v>
      </c>
      <c r="F1294" t="s">
        <v>41</v>
      </c>
      <c r="G1294">
        <v>-218.9753</v>
      </c>
      <c r="H1294" s="1">
        <v>-2.0064340000000001E-6</v>
      </c>
      <c r="I1294">
        <v>363.33390000000003</v>
      </c>
      <c r="J1294">
        <v>-239.20089999999999</v>
      </c>
      <c r="K1294">
        <v>1.1101490000000001</v>
      </c>
      <c r="L1294">
        <v>367.0258</v>
      </c>
      <c r="M1294">
        <v>0.99986030000000004</v>
      </c>
      <c r="N1294">
        <v>-1.429651E-2</v>
      </c>
      <c r="O1294">
        <v>-8.6749119999999999E-3</v>
      </c>
      <c r="P1294">
        <v>0.98210260000000005</v>
      </c>
      <c r="Q1294">
        <v>0.18604480000000001</v>
      </c>
      <c r="R1294">
        <v>-2.936443E-2</v>
      </c>
      <c r="S1294">
        <v>3.0707399999999998</v>
      </c>
      <c r="T1294">
        <v>-0.16730320000000001</v>
      </c>
      <c r="U1294">
        <v>-0.5566101</v>
      </c>
      <c r="V1294">
        <v>2.0962069999999999E-2</v>
      </c>
      <c r="W1294">
        <v>0.2000567</v>
      </c>
      <c r="X1294">
        <v>0.97956010000000004</v>
      </c>
      <c r="Y1294">
        <v>0.16951050000000001</v>
      </c>
      <c r="Z1294">
        <v>-5.4543609999999996E-3</v>
      </c>
      <c r="AA1294">
        <v>0.98551330000000004</v>
      </c>
      <c r="AB1294">
        <v>30</v>
      </c>
      <c r="AC1294">
        <v>20.225599999999901</v>
      </c>
      <c r="AD1294">
        <v>-1.1101510064339899</v>
      </c>
      <c r="AE1294">
        <v>-3.6918999999999702</v>
      </c>
      <c r="AF1294">
        <v>3.5060655875236102</v>
      </c>
      <c r="AG1294">
        <v>-1.1101510064339899</v>
      </c>
      <c r="AH1294">
        <v>20.197979914633802</v>
      </c>
      <c r="AI1294">
        <v>93.099747852860503</v>
      </c>
      <c r="AJ1294">
        <v>80.152439860434697</v>
      </c>
      <c r="AK1294">
        <v>20.530059030432799</v>
      </c>
      <c r="AL1294">
        <v>78.459725761375296</v>
      </c>
      <c r="AM1294">
        <v>88.7740876156887</v>
      </c>
      <c r="AN1294">
        <v>1.00000004055279</v>
      </c>
    </row>
    <row r="1295" spans="1:40" x14ac:dyDescent="0.25">
      <c r="A1295" t="str">
        <f>"20190304155616622"</f>
        <v>20190304155616622</v>
      </c>
      <c r="B1295" t="str">
        <f>"1551686176616330"</f>
        <v>1551686176616330</v>
      </c>
      <c r="C1295" t="s">
        <v>40</v>
      </c>
      <c r="D1295">
        <v>4.5460539999999998</v>
      </c>
      <c r="E1295">
        <v>0.55634479999999997</v>
      </c>
      <c r="F1295" t="s">
        <v>41</v>
      </c>
      <c r="G1295">
        <v>-219.16489999999999</v>
      </c>
      <c r="H1295" s="1">
        <v>-1.9276949999999998E-6</v>
      </c>
      <c r="I1295">
        <v>363.38720000000001</v>
      </c>
      <c r="J1295">
        <v>-239.03630000000001</v>
      </c>
      <c r="K1295">
        <v>1.110139</v>
      </c>
      <c r="L1295">
        <v>367.02429999999998</v>
      </c>
      <c r="M1295">
        <v>0.99985880000000005</v>
      </c>
      <c r="N1295">
        <v>-1.4294670000000001E-2</v>
      </c>
      <c r="O1295">
        <v>-8.836399E-3</v>
      </c>
      <c r="P1295">
        <v>0.98213629999999996</v>
      </c>
      <c r="Q1295">
        <v>0.18573329999999999</v>
      </c>
      <c r="R1295">
        <v>-3.0193379999999999E-2</v>
      </c>
      <c r="S1295">
        <v>3.0702210000000001</v>
      </c>
      <c r="T1295">
        <v>-0.1701136</v>
      </c>
      <c r="U1295">
        <v>-0.55755619999999995</v>
      </c>
      <c r="V1295">
        <v>2.163441E-2</v>
      </c>
      <c r="W1295">
        <v>0.1997437</v>
      </c>
      <c r="X1295">
        <v>0.97960930000000002</v>
      </c>
      <c r="Y1295">
        <v>0.16966529999999999</v>
      </c>
      <c r="Z1295">
        <v>-5.5225400000000003E-3</v>
      </c>
      <c r="AA1295">
        <v>0.98548630000000004</v>
      </c>
      <c r="AB1295">
        <v>30</v>
      </c>
      <c r="AC1295">
        <v>19.871400000000001</v>
      </c>
      <c r="AD1295">
        <v>-1.1101409276950001</v>
      </c>
      <c r="AE1295">
        <v>-3.63709999999997</v>
      </c>
      <c r="AF1295">
        <v>3.4509270560035801</v>
      </c>
      <c r="AG1295">
        <v>-1.1101409276950001</v>
      </c>
      <c r="AH1295">
        <v>19.842843331169401</v>
      </c>
      <c r="AI1295">
        <v>93.154911626169707</v>
      </c>
      <c r="AJ1295">
        <v>80.134199276076103</v>
      </c>
      <c r="AK1295">
        <v>20.171260295046899</v>
      </c>
      <c r="AL1295">
        <v>78.478028137347806</v>
      </c>
      <c r="AM1295">
        <v>88.734843658214601</v>
      </c>
      <c r="AN1295">
        <v>0.99999998701611303</v>
      </c>
    </row>
    <row r="1296" spans="1:40" x14ac:dyDescent="0.25">
      <c r="A1296" t="str">
        <f>"20190304155616638"</f>
        <v>20190304155616638</v>
      </c>
      <c r="B1296" t="str">
        <f>"1551686176635850"</f>
        <v>1551686176635850</v>
      </c>
      <c r="C1296" t="s">
        <v>40</v>
      </c>
      <c r="D1296">
        <v>4.5413480000000002</v>
      </c>
      <c r="E1296">
        <v>0.55584789999999995</v>
      </c>
      <c r="F1296" t="s">
        <v>41</v>
      </c>
      <c r="G1296">
        <v>-219.27590000000001</v>
      </c>
      <c r="H1296" s="1">
        <v>-1.8767E-6</v>
      </c>
      <c r="I1296">
        <v>363.43689999999998</v>
      </c>
      <c r="J1296">
        <v>-238.81360000000001</v>
      </c>
      <c r="K1296">
        <v>1.110128</v>
      </c>
      <c r="L1296">
        <v>367.02199999999999</v>
      </c>
      <c r="M1296">
        <v>0.99985690000000005</v>
      </c>
      <c r="N1296">
        <v>-1.42922E-2</v>
      </c>
      <c r="O1296">
        <v>-9.0625589999999995E-3</v>
      </c>
      <c r="P1296">
        <v>0.98214190000000001</v>
      </c>
      <c r="Q1296">
        <v>0.18551809999999999</v>
      </c>
      <c r="R1296">
        <v>-3.131809E-2</v>
      </c>
      <c r="S1296">
        <v>3.0700530000000001</v>
      </c>
      <c r="T1296">
        <v>-0.1724753</v>
      </c>
      <c r="U1296">
        <v>-0.55734249999999996</v>
      </c>
      <c r="V1296">
        <v>2.2541249999999999E-2</v>
      </c>
      <c r="W1296">
        <v>0.1995256</v>
      </c>
      <c r="X1296">
        <v>0.97963330000000004</v>
      </c>
      <c r="Y1296">
        <v>0.16937859999999999</v>
      </c>
      <c r="Z1296">
        <v>-5.5610030000000001E-3</v>
      </c>
      <c r="AA1296">
        <v>0.98553539999999995</v>
      </c>
      <c r="AB1296">
        <v>30</v>
      </c>
      <c r="AC1296">
        <v>19.537700000000001</v>
      </c>
      <c r="AD1296">
        <v>-1.1101298767000001</v>
      </c>
      <c r="AE1296">
        <v>-3.5851000000000099</v>
      </c>
      <c r="AF1296">
        <v>3.3972623344986399</v>
      </c>
      <c r="AG1296">
        <v>-1.1101298767000001</v>
      </c>
      <c r="AH1296">
        <v>19.508459570725801</v>
      </c>
      <c r="AI1296">
        <v>93.208719838739</v>
      </c>
      <c r="AJ1296">
        <v>80.1214029403219</v>
      </c>
      <c r="AK1296">
        <v>19.833148376775402</v>
      </c>
      <c r="AL1296">
        <v>78.490781066637098</v>
      </c>
      <c r="AM1296">
        <v>88.681863276019996</v>
      </c>
      <c r="AN1296">
        <v>0.99999998773790599</v>
      </c>
    </row>
    <row r="1297" spans="1:40" x14ac:dyDescent="0.25">
      <c r="A1297" t="str">
        <f>"20190304155616656"</f>
        <v>20190304155616656</v>
      </c>
      <c r="B1297" t="str">
        <f>"1551686176645610"</f>
        <v>1551686176645610</v>
      </c>
      <c r="C1297" t="s">
        <v>40</v>
      </c>
      <c r="D1297">
        <v>4.4662660000000001</v>
      </c>
      <c r="E1297">
        <v>0.55606230000000001</v>
      </c>
      <c r="F1297" t="s">
        <v>41</v>
      </c>
      <c r="G1297">
        <v>-219.36689999999999</v>
      </c>
      <c r="H1297" s="1">
        <v>-1.8307239999999999E-6</v>
      </c>
      <c r="I1297">
        <v>363.49329999999998</v>
      </c>
      <c r="J1297">
        <v>-238.57980000000001</v>
      </c>
      <c r="K1297">
        <v>1.110114</v>
      </c>
      <c r="L1297">
        <v>367.0197</v>
      </c>
      <c r="M1297">
        <v>0.99985460000000004</v>
      </c>
      <c r="N1297">
        <v>-1.4289670000000001E-2</v>
      </c>
      <c r="O1297">
        <v>-9.3133360000000002E-3</v>
      </c>
      <c r="P1297">
        <v>0.9821105</v>
      </c>
      <c r="Q1297">
        <v>0.18542919999999999</v>
      </c>
      <c r="R1297">
        <v>-3.2790529999999998E-2</v>
      </c>
      <c r="S1297">
        <v>3.0698850000000002</v>
      </c>
      <c r="T1297">
        <v>-0.17524579999999901</v>
      </c>
      <c r="U1297">
        <v>-0.55703740000000002</v>
      </c>
      <c r="V1297">
        <v>2.3773679999999998E-2</v>
      </c>
      <c r="W1297">
        <v>0.1994321</v>
      </c>
      <c r="X1297">
        <v>0.97962320000000003</v>
      </c>
      <c r="Y1297">
        <v>0.16903779999999999</v>
      </c>
      <c r="Z1297">
        <v>-5.6058619999999997E-3</v>
      </c>
      <c r="AA1297">
        <v>0.98559359999999996</v>
      </c>
      <c r="AB1297">
        <v>30</v>
      </c>
      <c r="AC1297">
        <v>19.212900000000001</v>
      </c>
      <c r="AD1297">
        <v>-1.110115830724</v>
      </c>
      <c r="AE1297">
        <v>-3.5264000000000202</v>
      </c>
      <c r="AF1297">
        <v>3.3365166539139102</v>
      </c>
      <c r="AG1297">
        <v>-1.110115830724</v>
      </c>
      <c r="AH1297">
        <v>19.182957406668798</v>
      </c>
      <c r="AI1297">
        <v>93.263124944349698</v>
      </c>
      <c r="AJ1297">
        <v>80.133177937684493</v>
      </c>
      <c r="AK1297">
        <v>19.502578173296399</v>
      </c>
      <c r="AL1297">
        <v>78.496248032889994</v>
      </c>
      <c r="AM1297">
        <v>88.609808123041901</v>
      </c>
      <c r="AN1297">
        <v>0.99999998217469599</v>
      </c>
    </row>
    <row r="1298" spans="1:40" x14ac:dyDescent="0.25">
      <c r="A1298" t="str">
        <f>"20190304155616677"</f>
        <v>20190304155616677</v>
      </c>
      <c r="B1298" t="str">
        <f>"1551686176666106"</f>
        <v>1551686176666106</v>
      </c>
      <c r="C1298" t="s">
        <v>40</v>
      </c>
      <c r="D1298">
        <v>4.5286589999999904</v>
      </c>
      <c r="E1298">
        <v>0.55620219999999998</v>
      </c>
      <c r="F1298" t="s">
        <v>41</v>
      </c>
      <c r="G1298">
        <v>-219.18989999999999</v>
      </c>
      <c r="H1298" s="1">
        <v>-1.8997710000000001E-6</v>
      </c>
      <c r="I1298">
        <v>363.46019999999999</v>
      </c>
      <c r="J1298">
        <v>-238.2801</v>
      </c>
      <c r="K1298">
        <v>1.1100859999999999</v>
      </c>
      <c r="L1298">
        <v>367.01639999999998</v>
      </c>
      <c r="M1298">
        <v>0.9998513</v>
      </c>
      <c r="N1298">
        <v>-1.428655E-2</v>
      </c>
      <c r="O1298">
        <v>-9.6593559999999992E-3</v>
      </c>
      <c r="P1298">
        <v>0.98202719999999999</v>
      </c>
      <c r="Q1298">
        <v>0.18563979999999999</v>
      </c>
      <c r="R1298">
        <v>-3.4068910000000001E-2</v>
      </c>
      <c r="S1298">
        <v>3.069016</v>
      </c>
      <c r="T1298">
        <v>-0.1757078</v>
      </c>
      <c r="U1298">
        <v>-0.56338500000000002</v>
      </c>
      <c r="V1298">
        <v>2.4722290000000001E-2</v>
      </c>
      <c r="W1298">
        <v>0.19963719999999999</v>
      </c>
      <c r="X1298">
        <v>0.97955800000000004</v>
      </c>
      <c r="Y1298">
        <v>0.1707137</v>
      </c>
      <c r="Z1298">
        <v>-5.6622850000000004E-3</v>
      </c>
      <c r="AA1298">
        <v>0.98530439999999997</v>
      </c>
      <c r="AB1298">
        <v>30</v>
      </c>
      <c r="AC1298">
        <v>19.090199999999999</v>
      </c>
      <c r="AD1298">
        <v>-1.110087899771</v>
      </c>
      <c r="AE1298">
        <v>-3.5561999999999898</v>
      </c>
      <c r="AF1298">
        <v>3.3606337397526902</v>
      </c>
      <c r="AG1298">
        <v>-1.110087899771</v>
      </c>
      <c r="AH1298">
        <v>19.061371250638</v>
      </c>
      <c r="AI1298">
        <v>93.282489702145497</v>
      </c>
      <c r="AJ1298">
        <v>80.0011669699783</v>
      </c>
      <c r="AK1298">
        <v>19.387161427930302</v>
      </c>
      <c r="AL1298">
        <v>78.484256174745596</v>
      </c>
      <c r="AM1298">
        <v>88.554264024452806</v>
      </c>
      <c r="AN1298">
        <v>1.0000000393053401</v>
      </c>
    </row>
    <row r="1299" spans="1:40" x14ac:dyDescent="0.25">
      <c r="A1299" t="str">
        <f>"20190304155616698"</f>
        <v>20190304155616698</v>
      </c>
      <c r="B1299" t="str">
        <f>"1551686176695387"</f>
        <v>1551686176695387</v>
      </c>
      <c r="C1299" t="s">
        <v>40</v>
      </c>
      <c r="D1299">
        <v>4.5169189999999997</v>
      </c>
      <c r="E1299">
        <v>0.5563496</v>
      </c>
      <c r="F1299" t="s">
        <v>41</v>
      </c>
      <c r="G1299">
        <v>-218.8355</v>
      </c>
      <c r="H1299" s="1">
        <v>-2.0320070000000002E-6</v>
      </c>
      <c r="I1299">
        <v>363.41649999999998</v>
      </c>
      <c r="J1299">
        <v>-237.99590000000001</v>
      </c>
      <c r="K1299">
        <v>1.1100669999999999</v>
      </c>
      <c r="L1299">
        <v>367.01330000000002</v>
      </c>
      <c r="M1299">
        <v>0.99984790000000001</v>
      </c>
      <c r="N1299">
        <v>-1.4283499999999999E-2</v>
      </c>
      <c r="O1299">
        <v>-1.0015059999999999E-2</v>
      </c>
      <c r="P1299">
        <v>0.9819833</v>
      </c>
      <c r="Q1299">
        <v>0.18567549999999999</v>
      </c>
      <c r="R1299">
        <v>-3.5120489999999997E-2</v>
      </c>
      <c r="S1299">
        <v>3.068298</v>
      </c>
      <c r="T1299">
        <v>-0.17516770000000001</v>
      </c>
      <c r="U1299">
        <v>-0.56805419999999995</v>
      </c>
      <c r="V1299">
        <v>2.5435059999999999E-2</v>
      </c>
      <c r="W1299">
        <v>0.1996676</v>
      </c>
      <c r="X1299">
        <v>0.97953349999999995</v>
      </c>
      <c r="Y1299">
        <v>0.1718539</v>
      </c>
      <c r="Z1299">
        <v>-5.6747509999999996E-3</v>
      </c>
      <c r="AA1299">
        <v>0.98510609999999998</v>
      </c>
      <c r="AB1299">
        <v>30</v>
      </c>
      <c r="AC1299">
        <v>19.160399999999999</v>
      </c>
      <c r="AD1299">
        <v>-1.1100690320069999</v>
      </c>
      <c r="AE1299">
        <v>-3.59680000000002</v>
      </c>
      <c r="AF1299">
        <v>3.39370412563026</v>
      </c>
      <c r="AG1299">
        <v>-1.1100690320069999</v>
      </c>
      <c r="AH1299">
        <v>19.1334288226514</v>
      </c>
      <c r="AI1299">
        <v>93.269503557037794</v>
      </c>
      <c r="AJ1299">
        <v>79.942028949441493</v>
      </c>
      <c r="AK1299">
        <v>19.463750395532902</v>
      </c>
      <c r="AL1299">
        <v>78.482477962967394</v>
      </c>
      <c r="AM1299">
        <v>88.512563189967494</v>
      </c>
      <c r="AN1299">
        <v>0.99999998519460598</v>
      </c>
    </row>
    <row r="1300" spans="1:40" x14ac:dyDescent="0.25">
      <c r="A1300" t="str">
        <f>"20190304155616711"</f>
        <v>20190304155616711</v>
      </c>
      <c r="B1300" t="str">
        <f>"1551686176706122"</f>
        <v>1551686176706122</v>
      </c>
      <c r="C1300" t="s">
        <v>40</v>
      </c>
      <c r="D1300">
        <v>4.5044510000000004</v>
      </c>
      <c r="E1300">
        <v>0.55634879999999998</v>
      </c>
      <c r="F1300" t="s">
        <v>41</v>
      </c>
      <c r="G1300">
        <v>-218.28059999999999</v>
      </c>
      <c r="H1300" s="1">
        <v>-2.2416989999999998E-6</v>
      </c>
      <c r="I1300">
        <v>363.3381</v>
      </c>
      <c r="J1300">
        <v>-237.82329999999999</v>
      </c>
      <c r="K1300">
        <v>1.110052</v>
      </c>
      <c r="L1300">
        <v>367.01139999999998</v>
      </c>
      <c r="M1300">
        <v>0.9998456</v>
      </c>
      <c r="N1300">
        <v>-1.428165E-2</v>
      </c>
      <c r="O1300">
        <v>-1.024214E-2</v>
      </c>
      <c r="P1300">
        <v>0.9819234</v>
      </c>
      <c r="Q1300">
        <v>0.1858187</v>
      </c>
      <c r="R1300">
        <v>-3.6031010000000002E-2</v>
      </c>
      <c r="S1300">
        <v>3.0672450000000002</v>
      </c>
      <c r="T1300">
        <v>-0.17270089999999999</v>
      </c>
      <c r="U1300">
        <v>-0.57177730000000004</v>
      </c>
      <c r="V1300">
        <v>2.6129400000000001E-2</v>
      </c>
      <c r="W1300">
        <v>0.19980729999999999</v>
      </c>
      <c r="X1300">
        <v>0.97948679999999999</v>
      </c>
      <c r="Y1300">
        <v>0.1728529</v>
      </c>
      <c r="Z1300">
        <v>-5.6408750000000001E-3</v>
      </c>
      <c r="AA1300">
        <v>0.98493149999999996</v>
      </c>
      <c r="AB1300">
        <v>30</v>
      </c>
      <c r="AC1300">
        <v>19.5427</v>
      </c>
      <c r="AD1300">
        <v>-1.110054241699</v>
      </c>
      <c r="AE1300">
        <v>-3.6732999999999798</v>
      </c>
      <c r="AF1300">
        <v>3.4621387192609498</v>
      </c>
      <c r="AG1300">
        <v>-1.110054241699</v>
      </c>
      <c r="AH1300">
        <v>19.518475429364599</v>
      </c>
      <c r="AI1300">
        <v>93.205094412303495</v>
      </c>
      <c r="AJ1300">
        <v>79.941634165580794</v>
      </c>
      <c r="AK1300">
        <v>19.854206305406102</v>
      </c>
      <c r="AL1300">
        <v>78.474309858530702</v>
      </c>
      <c r="AM1300">
        <v>88.471904513102601</v>
      </c>
      <c r="AN1300">
        <v>1.00000004702594</v>
      </c>
    </row>
    <row r="1301" spans="1:40" x14ac:dyDescent="0.25">
      <c r="A1301" t="str">
        <f>"20190304155616723"</f>
        <v>20190304155616723</v>
      </c>
      <c r="B1301" t="str">
        <f>"1551686176715882"</f>
        <v>1551686176715882</v>
      </c>
      <c r="C1301" t="s">
        <v>40</v>
      </c>
      <c r="D1301">
        <v>4.1501479999999997</v>
      </c>
      <c r="E1301">
        <v>0.55740979999999996</v>
      </c>
      <c r="F1301" t="s">
        <v>41</v>
      </c>
      <c r="G1301">
        <v>-218.0016</v>
      </c>
      <c r="H1301" s="1">
        <v>-2.347456E-6</v>
      </c>
      <c r="I1301">
        <v>363.29750000000001</v>
      </c>
      <c r="J1301">
        <v>-237.6567</v>
      </c>
      <c r="K1301">
        <v>1.110039</v>
      </c>
      <c r="L1301">
        <v>367.00940000000003</v>
      </c>
      <c r="M1301">
        <v>0.99984320000000004</v>
      </c>
      <c r="N1301">
        <v>-1.427991E-2</v>
      </c>
      <c r="O1301">
        <v>-1.047876E-2</v>
      </c>
      <c r="P1301">
        <v>0.98187800000000003</v>
      </c>
      <c r="Q1301">
        <v>0.18599579999999999</v>
      </c>
      <c r="R1301">
        <v>-3.634681E-2</v>
      </c>
      <c r="S1301">
        <v>3.0666500000000001</v>
      </c>
      <c r="T1301">
        <v>-0.1717378</v>
      </c>
      <c r="U1301">
        <v>-0.57458500000000001</v>
      </c>
      <c r="V1301">
        <v>2.6220489999999999E-2</v>
      </c>
      <c r="W1301">
        <v>0.19998109999999999</v>
      </c>
      <c r="X1301">
        <v>0.97944889999999996</v>
      </c>
      <c r="Y1301">
        <v>0.1735275</v>
      </c>
      <c r="Z1301">
        <v>-5.6313839999999997E-3</v>
      </c>
      <c r="AA1301">
        <v>0.98481289999999999</v>
      </c>
      <c r="AB1301">
        <v>30</v>
      </c>
      <c r="AC1301">
        <v>19.655100000000001</v>
      </c>
      <c r="AD1301">
        <v>-1.110041347456</v>
      </c>
      <c r="AE1301">
        <v>-3.7119000000000102</v>
      </c>
      <c r="AF1301">
        <v>3.4949506961279901</v>
      </c>
      <c r="AG1301">
        <v>-1.110041347456</v>
      </c>
      <c r="AH1301">
        <v>19.632458619419399</v>
      </c>
      <c r="AI1301">
        <v>93.186136256326094</v>
      </c>
      <c r="AJ1301">
        <v>79.906004856478802</v>
      </c>
      <c r="AK1301">
        <v>19.971987973274999</v>
      </c>
      <c r="AL1301">
        <v>78.464146782594099</v>
      </c>
      <c r="AM1301">
        <v>88.466520633239</v>
      </c>
      <c r="AN1301">
        <v>1.0000000510821201</v>
      </c>
    </row>
    <row r="1302" spans="1:40" x14ac:dyDescent="0.25">
      <c r="A1302" t="str">
        <f>"20190304155616736"</f>
        <v>20190304155616736</v>
      </c>
      <c r="B1302" t="str">
        <f>"1551686176725642"</f>
        <v>1551686176725642</v>
      </c>
      <c r="C1302" t="s">
        <v>40</v>
      </c>
      <c r="D1302">
        <v>4.5139870000000002</v>
      </c>
      <c r="E1302">
        <v>0.55715729999999997</v>
      </c>
      <c r="F1302" t="s">
        <v>41</v>
      </c>
      <c r="G1302">
        <v>-217.05250000000001</v>
      </c>
      <c r="H1302" s="1">
        <v>-2.7266240000000001E-6</v>
      </c>
      <c r="I1302">
        <v>363.08629999999999</v>
      </c>
      <c r="J1302">
        <v>-237.4913</v>
      </c>
      <c r="K1302">
        <v>1.110025</v>
      </c>
      <c r="L1302">
        <v>367.00740000000002</v>
      </c>
      <c r="M1302">
        <v>0.99984070000000003</v>
      </c>
      <c r="N1302">
        <v>-1.42782E-2</v>
      </c>
      <c r="O1302">
        <v>-1.072303E-2</v>
      </c>
      <c r="P1302">
        <v>0.98184159999999998</v>
      </c>
      <c r="Q1302">
        <v>0.18611369999999999</v>
      </c>
      <c r="R1302">
        <v>-3.6730279999999997E-2</v>
      </c>
      <c r="S1302">
        <v>3.065048</v>
      </c>
      <c r="T1302">
        <v>-0.1651273</v>
      </c>
      <c r="U1302">
        <v>-0.58358759999999998</v>
      </c>
      <c r="V1302">
        <v>2.6371579999999999E-2</v>
      </c>
      <c r="W1302">
        <v>0.20009550000000001</v>
      </c>
      <c r="X1302">
        <v>0.9794214</v>
      </c>
      <c r="Y1302">
        <v>0.17618929999999999</v>
      </c>
      <c r="Z1302">
        <v>-5.5503999999999996E-3</v>
      </c>
      <c r="AA1302">
        <v>0.98434069999999996</v>
      </c>
      <c r="AB1302">
        <v>30</v>
      </c>
      <c r="AC1302">
        <v>20.438799999999901</v>
      </c>
      <c r="AD1302">
        <v>-1.110027726624</v>
      </c>
      <c r="AE1302">
        <v>-3.92110000000002</v>
      </c>
      <c r="AF1302">
        <v>3.69118545746666</v>
      </c>
      <c r="AG1302">
        <v>-1.110027726624</v>
      </c>
      <c r="AH1302">
        <v>20.421578628244902</v>
      </c>
      <c r="AI1302">
        <v>93.061770516120404</v>
      </c>
      <c r="AJ1302">
        <v>79.754448912221605</v>
      </c>
      <c r="AK1302">
        <v>20.782153047864799</v>
      </c>
      <c r="AL1302">
        <v>78.457456029807801</v>
      </c>
      <c r="AM1302">
        <v>88.457645256273295</v>
      </c>
      <c r="AN1302">
        <v>0.999999974064952</v>
      </c>
    </row>
    <row r="1303" spans="1:40" x14ac:dyDescent="0.25">
      <c r="A1303" t="str">
        <f>"20190304155616748"</f>
        <v>20190304155616748</v>
      </c>
      <c r="B1303" t="str">
        <f>"1551686176746138"</f>
        <v>1551686176746138</v>
      </c>
      <c r="C1303" t="s">
        <v>40</v>
      </c>
      <c r="D1303">
        <v>4.5558709999999998</v>
      </c>
      <c r="E1303">
        <v>0.55696689999999904</v>
      </c>
      <c r="F1303" t="s">
        <v>41</v>
      </c>
      <c r="G1303">
        <v>-216.93379999999999</v>
      </c>
      <c r="H1303" s="1">
        <v>-2.7637450000000001E-6</v>
      </c>
      <c r="I1303">
        <v>363.09859999999998</v>
      </c>
      <c r="J1303">
        <v>-237.32380000000001</v>
      </c>
      <c r="K1303">
        <v>1.110007</v>
      </c>
      <c r="L1303">
        <v>367.00540000000001</v>
      </c>
      <c r="M1303">
        <v>0.9998378</v>
      </c>
      <c r="N1303">
        <v>-1.4276499999999999E-2</v>
      </c>
      <c r="O1303">
        <v>-1.0981029999999999E-2</v>
      </c>
      <c r="P1303">
        <v>0.98180769999999995</v>
      </c>
      <c r="Q1303">
        <v>0.18620220000000001</v>
      </c>
      <c r="R1303">
        <v>-3.718341E-2</v>
      </c>
      <c r="S1303">
        <v>3.065048</v>
      </c>
      <c r="T1303">
        <v>-0.16550039999999999</v>
      </c>
      <c r="U1303">
        <v>-0.58279419999999904</v>
      </c>
      <c r="V1303">
        <v>2.6579720000000001E-2</v>
      </c>
      <c r="W1303">
        <v>0.200181</v>
      </c>
      <c r="X1303">
        <v>0.97939830000000005</v>
      </c>
      <c r="Y1303">
        <v>0.17568929999999999</v>
      </c>
      <c r="Z1303">
        <v>-5.5325089999999997E-3</v>
      </c>
      <c r="AA1303">
        <v>0.98443009999999997</v>
      </c>
      <c r="AB1303">
        <v>30</v>
      </c>
      <c r="AC1303">
        <v>20.39</v>
      </c>
      <c r="AD1303">
        <v>-1.1100097637449999</v>
      </c>
      <c r="AE1303">
        <v>-3.9068000000000298</v>
      </c>
      <c r="AF1303">
        <v>3.67214101126484</v>
      </c>
      <c r="AG1303">
        <v>-1.1100097637449999</v>
      </c>
      <c r="AH1303">
        <v>20.373434903457898</v>
      </c>
      <c r="AI1303">
        <v>93.069214111553094</v>
      </c>
      <c r="AJ1303">
        <v>79.782617229389302</v>
      </c>
      <c r="AK1303">
        <v>20.7314637941382</v>
      </c>
      <c r="AL1303">
        <v>78.452456057567005</v>
      </c>
      <c r="AM1303">
        <v>88.445441389526593</v>
      </c>
      <c r="AN1303">
        <v>0.99999997215958303</v>
      </c>
    </row>
    <row r="1304" spans="1:40" x14ac:dyDescent="0.25">
      <c r="A1304" t="str">
        <f>"20190304155616761"</f>
        <v>20190304155616761</v>
      </c>
      <c r="B1304" t="str">
        <f>"1551686176755899"</f>
        <v>1551686176755899</v>
      </c>
      <c r="C1304" t="s">
        <v>40</v>
      </c>
      <c r="D1304">
        <v>4.5771059999999997</v>
      </c>
      <c r="E1304">
        <v>0.55697280000000005</v>
      </c>
      <c r="F1304" t="s">
        <v>41</v>
      </c>
      <c r="G1304">
        <v>-216.80170000000001</v>
      </c>
      <c r="H1304" s="1">
        <v>-2.8066599999999999E-6</v>
      </c>
      <c r="I1304">
        <v>363.1062</v>
      </c>
      <c r="J1304">
        <v>-237.1524</v>
      </c>
      <c r="K1304">
        <v>1.109988</v>
      </c>
      <c r="L1304">
        <v>367.00319999999999</v>
      </c>
      <c r="M1304">
        <v>0.99983469999999997</v>
      </c>
      <c r="N1304">
        <v>-1.4274800000000001E-2</v>
      </c>
      <c r="O1304">
        <v>-1.126458E-2</v>
      </c>
      <c r="P1304">
        <v>0.98178469999999995</v>
      </c>
      <c r="Q1304">
        <v>0.18621399999999999</v>
      </c>
      <c r="R1304">
        <v>-3.77259E-2</v>
      </c>
      <c r="S1304">
        <v>3.064972</v>
      </c>
      <c r="T1304">
        <v>-0.1657795</v>
      </c>
      <c r="U1304">
        <v>-0.58233639999999998</v>
      </c>
      <c r="V1304">
        <v>2.6852750000000002E-2</v>
      </c>
      <c r="W1304">
        <v>0.2001899</v>
      </c>
      <c r="X1304">
        <v>0.97938910000000001</v>
      </c>
      <c r="Y1304">
        <v>0.1752727</v>
      </c>
      <c r="Z1304">
        <v>-5.5140789999999999E-3</v>
      </c>
      <c r="AA1304">
        <v>0.9845045</v>
      </c>
      <c r="AB1304">
        <v>30</v>
      </c>
      <c r="AC1304">
        <v>20.3506999999999</v>
      </c>
      <c r="AD1304">
        <v>-1.1099908066599999</v>
      </c>
      <c r="AE1304">
        <v>-3.89699999999999</v>
      </c>
      <c r="AF1304">
        <v>3.6569927043996899</v>
      </c>
      <c r="AG1304">
        <v>-1.1099908066599999</v>
      </c>
      <c r="AH1304">
        <v>20.334955407011499</v>
      </c>
      <c r="AI1304">
        <v>93.075174544343696</v>
      </c>
      <c r="AJ1304">
        <v>79.805030815586505</v>
      </c>
      <c r="AK1304">
        <v>20.6909663050339</v>
      </c>
      <c r="AL1304">
        <v>78.451936357355805</v>
      </c>
      <c r="AM1304">
        <v>88.429465992597798</v>
      </c>
      <c r="AN1304">
        <v>1.00000003772169</v>
      </c>
    </row>
    <row r="1305" spans="1:40" x14ac:dyDescent="0.25">
      <c r="A1305" t="str">
        <f>"20190304155616773"</f>
        <v>20190304155616773</v>
      </c>
      <c r="B1305" t="str">
        <f>"1551686176765657"</f>
        <v>1551686176765657</v>
      </c>
      <c r="C1305" t="s">
        <v>40</v>
      </c>
      <c r="D1305">
        <v>4.5881100000000004</v>
      </c>
      <c r="E1305">
        <v>0.55682799999999999</v>
      </c>
      <c r="F1305" t="s">
        <v>41</v>
      </c>
      <c r="G1305">
        <v>-216.67140000000001</v>
      </c>
      <c r="H1305" s="1">
        <v>-2.8523819999999999E-6</v>
      </c>
      <c r="I1305">
        <v>363.10109999999997</v>
      </c>
      <c r="J1305">
        <v>-236.9847</v>
      </c>
      <c r="K1305">
        <v>1.109969</v>
      </c>
      <c r="L1305">
        <v>367.00099999999998</v>
      </c>
      <c r="M1305">
        <v>0.99983140000000004</v>
      </c>
      <c r="N1305">
        <v>-1.427315E-2</v>
      </c>
      <c r="O1305">
        <v>-1.15516E-2</v>
      </c>
      <c r="P1305">
        <v>0.98177080000000005</v>
      </c>
      <c r="Q1305">
        <v>0.18626100000000001</v>
      </c>
      <c r="R1305">
        <v>-3.7853369999999997E-2</v>
      </c>
      <c r="S1305">
        <v>3.0647280000000001</v>
      </c>
      <c r="T1305">
        <v>-0.1660953</v>
      </c>
      <c r="U1305">
        <v>-0.58389279999999999</v>
      </c>
      <c r="V1305">
        <v>2.6707459999999999E-2</v>
      </c>
      <c r="W1305">
        <v>0.20023379999999999</v>
      </c>
      <c r="X1305">
        <v>0.97938409999999998</v>
      </c>
      <c r="Y1305">
        <v>0.1754858</v>
      </c>
      <c r="Z1305">
        <v>-5.5177990000000003E-3</v>
      </c>
      <c r="AA1305">
        <v>0.98446650000000002</v>
      </c>
      <c r="AB1305">
        <v>30</v>
      </c>
      <c r="AC1305">
        <v>20.313300000000002</v>
      </c>
      <c r="AD1305">
        <v>-1.1099718523819999</v>
      </c>
      <c r="AE1305">
        <v>-3.8999000000000001</v>
      </c>
      <c r="AF1305">
        <v>3.65444111958017</v>
      </c>
      <c r="AG1305">
        <v>-1.1099718523819999</v>
      </c>
      <c r="AH1305">
        <v>20.298545880253801</v>
      </c>
      <c r="AI1305">
        <v>93.080521867033497</v>
      </c>
      <c r="AJ1305">
        <v>79.794104617977197</v>
      </c>
      <c r="AK1305">
        <v>20.654731716057899</v>
      </c>
      <c r="AL1305">
        <v>78.449369109766394</v>
      </c>
      <c r="AM1305">
        <v>88.437951361718802</v>
      </c>
      <c r="AN1305">
        <v>1.00000003920745</v>
      </c>
    </row>
    <row r="1306" spans="1:40" x14ac:dyDescent="0.25">
      <c r="A1306" t="str">
        <f>"20190304155616787"</f>
        <v>20190304155616787</v>
      </c>
      <c r="B1306" t="str">
        <f>"1551686176775418"</f>
        <v>1551686176775418</v>
      </c>
      <c r="C1306" t="s">
        <v>40</v>
      </c>
      <c r="D1306">
        <v>4.6288609999999997</v>
      </c>
      <c r="E1306">
        <v>0.5567645</v>
      </c>
      <c r="F1306" t="s">
        <v>41</v>
      </c>
      <c r="G1306">
        <v>-216.57839999999999</v>
      </c>
      <c r="H1306" s="1">
        <v>-2.8799449999999999E-6</v>
      </c>
      <c r="I1306">
        <v>363.1164</v>
      </c>
      <c r="J1306">
        <v>-236.79480000000001</v>
      </c>
      <c r="K1306">
        <v>1.1099509999999999</v>
      </c>
      <c r="L1306">
        <v>366.99849999999998</v>
      </c>
      <c r="M1306">
        <v>0.99982749999999998</v>
      </c>
      <c r="N1306">
        <v>-1.4271300000000001E-2</v>
      </c>
      <c r="O1306">
        <v>-1.189602E-2</v>
      </c>
      <c r="P1306">
        <v>0.98186200000000001</v>
      </c>
      <c r="Q1306">
        <v>0.18565909999999999</v>
      </c>
      <c r="R1306">
        <v>-3.845051E-2</v>
      </c>
      <c r="S1306">
        <v>3.0648650000000002</v>
      </c>
      <c r="T1306">
        <v>-0.1667082</v>
      </c>
      <c r="U1306">
        <v>-0.58343509999999998</v>
      </c>
      <c r="V1306">
        <v>2.697519E-2</v>
      </c>
      <c r="W1306">
        <v>0.19963020000000001</v>
      </c>
      <c r="X1306">
        <v>0.97949989999999998</v>
      </c>
      <c r="Y1306">
        <v>0.17499579999999901</v>
      </c>
      <c r="Z1306">
        <v>-5.5021540000000004E-3</v>
      </c>
      <c r="AA1306">
        <v>0.98455380000000003</v>
      </c>
      <c r="AB1306">
        <v>30</v>
      </c>
      <c r="AC1306">
        <v>20.2164</v>
      </c>
      <c r="AD1306">
        <v>-1.1099538799449999</v>
      </c>
      <c r="AE1306">
        <v>-3.8820999999999799</v>
      </c>
      <c r="AF1306">
        <v>3.6307507327003901</v>
      </c>
      <c r="AG1306">
        <v>-1.1099538799449999</v>
      </c>
      <c r="AH1306">
        <v>20.202422794663999</v>
      </c>
      <c r="AI1306">
        <v>93.095270646874695</v>
      </c>
      <c r="AJ1306">
        <v>79.811645206848794</v>
      </c>
      <c r="AK1306">
        <v>20.556075385952699</v>
      </c>
      <c r="AL1306">
        <v>78.484664627065797</v>
      </c>
      <c r="AM1306">
        <v>88.422486844713404</v>
      </c>
      <c r="AN1306">
        <v>0.99999996586379203</v>
      </c>
    </row>
    <row r="1307" spans="1:40" x14ac:dyDescent="0.25">
      <c r="A1307" t="str">
        <f>"20190304155616800"</f>
        <v>20190304155616800</v>
      </c>
      <c r="B1307" t="str">
        <f>"1551686176795916"</f>
        <v>1551686176795916</v>
      </c>
      <c r="C1307" t="s">
        <v>40</v>
      </c>
      <c r="D1307">
        <v>4.5805239999999996</v>
      </c>
      <c r="E1307">
        <v>0.55664190000000002</v>
      </c>
      <c r="F1307" t="s">
        <v>41</v>
      </c>
      <c r="G1307">
        <v>-216.72970000000001</v>
      </c>
      <c r="H1307" s="1">
        <v>-2.8148140000000001E-6</v>
      </c>
      <c r="I1307">
        <v>363.16770000000002</v>
      </c>
      <c r="J1307">
        <v>-236.62960000000001</v>
      </c>
      <c r="K1307">
        <v>1.1099319999999999</v>
      </c>
      <c r="L1307">
        <v>366.99619999999999</v>
      </c>
      <c r="M1307">
        <v>0.99982360000000003</v>
      </c>
      <c r="N1307">
        <v>-1.426973E-2</v>
      </c>
      <c r="O1307">
        <v>-1.2213099999999999E-2</v>
      </c>
      <c r="P1307">
        <v>0.98191810000000002</v>
      </c>
      <c r="Q1307">
        <v>0.18531020000000001</v>
      </c>
      <c r="R1307">
        <v>-3.8690240000000001E-2</v>
      </c>
      <c r="S1307">
        <v>3.0645600000000002</v>
      </c>
      <c r="T1307">
        <v>-0.169523799999999</v>
      </c>
      <c r="U1307">
        <v>-0.58508300000000002</v>
      </c>
      <c r="V1307">
        <v>2.6912180000000001E-2</v>
      </c>
      <c r="W1307">
        <v>0.19927929999999999</v>
      </c>
      <c r="X1307">
        <v>0.97957309999999997</v>
      </c>
      <c r="Y1307">
        <v>0.1752031</v>
      </c>
      <c r="Z1307">
        <v>-5.565268E-3</v>
      </c>
      <c r="AA1307">
        <v>0.98451659999999996</v>
      </c>
      <c r="AB1307">
        <v>30</v>
      </c>
      <c r="AC1307">
        <v>19.899899999999999</v>
      </c>
      <c r="AD1307">
        <v>-1.109934814814</v>
      </c>
      <c r="AE1307">
        <v>-3.82849999999996</v>
      </c>
      <c r="AF1307">
        <v>3.5744272100832002</v>
      </c>
      <c r="AG1307">
        <v>-1.109934814814</v>
      </c>
      <c r="AH1307">
        <v>19.885523249187798</v>
      </c>
      <c r="AI1307">
        <v>93.144428071841006</v>
      </c>
      <c r="AJ1307">
        <v>79.809888998942995</v>
      </c>
      <c r="AK1307">
        <v>20.234686062978799</v>
      </c>
      <c r="AL1307">
        <v>78.505182153830205</v>
      </c>
      <c r="AM1307">
        <v>88.4262873711194</v>
      </c>
      <c r="AN1307">
        <v>0.99999998154222602</v>
      </c>
    </row>
    <row r="1308" spans="1:40" x14ac:dyDescent="0.25">
      <c r="A1308" t="str">
        <f>"20190304155616812"</f>
        <v>20190304155616812</v>
      </c>
      <c r="B1308" t="str">
        <f>"1551686176805674"</f>
        <v>1551686176805674</v>
      </c>
      <c r="C1308" t="s">
        <v>40</v>
      </c>
      <c r="D1308">
        <v>4.6177950000000001</v>
      </c>
      <c r="E1308">
        <v>0.55666930000000003</v>
      </c>
      <c r="F1308" t="s">
        <v>41</v>
      </c>
      <c r="G1308">
        <v>-216.80449999999999</v>
      </c>
      <c r="H1308" s="1">
        <v>-2.7771469999999999E-6</v>
      </c>
      <c r="I1308">
        <v>363.21359999999999</v>
      </c>
      <c r="J1308">
        <v>-236.4581</v>
      </c>
      <c r="K1308">
        <v>1.109912</v>
      </c>
      <c r="L1308">
        <v>366.99369999999999</v>
      </c>
      <c r="M1308">
        <v>0.99981949999999997</v>
      </c>
      <c r="N1308">
        <v>-1.4268100000000001E-2</v>
      </c>
      <c r="O1308">
        <v>-1.2552260000000001E-2</v>
      </c>
      <c r="P1308">
        <v>0.98195299999999996</v>
      </c>
      <c r="Q1308">
        <v>0.18504309999999999</v>
      </c>
      <c r="R1308">
        <v>-3.9082510000000001E-2</v>
      </c>
      <c r="S1308">
        <v>3.0645899999999999</v>
      </c>
      <c r="T1308">
        <v>-0.17157459999999999</v>
      </c>
      <c r="U1308">
        <v>-0.58471680000000004</v>
      </c>
      <c r="V1308">
        <v>2.6980520000000001E-2</v>
      </c>
      <c r="W1308">
        <v>0.1990101</v>
      </c>
      <c r="X1308">
        <v>0.97962590000000005</v>
      </c>
      <c r="Y1308">
        <v>0.17474819999999999</v>
      </c>
      <c r="Z1308">
        <v>-5.585123E-3</v>
      </c>
      <c r="AA1308">
        <v>0.98459730000000001</v>
      </c>
      <c r="AB1308">
        <v>30</v>
      </c>
      <c r="AC1308">
        <v>19.653600000000001</v>
      </c>
      <c r="AD1308">
        <v>-1.1099147771469999</v>
      </c>
      <c r="AE1308">
        <v>-3.7801</v>
      </c>
      <c r="AF1308">
        <v>3.5222471861207398</v>
      </c>
      <c r="AG1308">
        <v>-1.1099147771469999</v>
      </c>
      <c r="AH1308">
        <v>19.6391044089902</v>
      </c>
      <c r="AI1308">
        <v>93.183966232219205</v>
      </c>
      <c r="AJ1308">
        <v>79.832177863555899</v>
      </c>
      <c r="AK1308">
        <v>19.983306984578</v>
      </c>
      <c r="AL1308">
        <v>78.520920906232902</v>
      </c>
      <c r="AM1308">
        <v>88.422378141140101</v>
      </c>
      <c r="AN1308">
        <v>0.99999993615614302</v>
      </c>
    </row>
    <row r="1309" spans="1:40" x14ac:dyDescent="0.25">
      <c r="A1309" t="str">
        <f>"20190304155616826"</f>
        <v>20190304155616826</v>
      </c>
      <c r="B1309" t="str">
        <f>"1551686176815434"</f>
        <v>1551686176815434</v>
      </c>
      <c r="C1309" t="s">
        <v>40</v>
      </c>
      <c r="D1309">
        <v>4.6322850000000004</v>
      </c>
      <c r="E1309">
        <v>0.55675790000000003</v>
      </c>
      <c r="F1309" t="s">
        <v>41</v>
      </c>
      <c r="G1309">
        <v>-216.76830000000001</v>
      </c>
      <c r="H1309" s="1">
        <v>-2.785952E-6</v>
      </c>
      <c r="I1309">
        <v>363.2269</v>
      </c>
      <c r="J1309">
        <v>-236.2681</v>
      </c>
      <c r="K1309">
        <v>1.10989</v>
      </c>
      <c r="L1309">
        <v>366.99099999999999</v>
      </c>
      <c r="M1309">
        <v>0.99981450000000005</v>
      </c>
      <c r="N1309">
        <v>-1.42662999999999E-2</v>
      </c>
      <c r="O1309">
        <v>-1.2948909999999999E-2</v>
      </c>
      <c r="P1309">
        <v>0.98193819999999998</v>
      </c>
      <c r="Q1309">
        <v>0.1850485</v>
      </c>
      <c r="R1309">
        <v>-3.9430569999999998E-2</v>
      </c>
      <c r="S1309">
        <v>3.064362</v>
      </c>
      <c r="T1309">
        <v>-0.17273759999999999</v>
      </c>
      <c r="U1309">
        <v>-0.58624270000000001</v>
      </c>
      <c r="V1309">
        <v>2.6950169999999999E-2</v>
      </c>
      <c r="W1309">
        <v>0.19901199999999999</v>
      </c>
      <c r="X1309">
        <v>0.97962640000000001</v>
      </c>
      <c r="Y1309">
        <v>0.17484050000000001</v>
      </c>
      <c r="Z1309">
        <v>-5.5999179999999997E-3</v>
      </c>
      <c r="AA1309">
        <v>0.98458089999999998</v>
      </c>
      <c r="AB1309">
        <v>30</v>
      </c>
      <c r="AC1309">
        <v>19.4998</v>
      </c>
      <c r="AD1309">
        <v>-1.109892785952</v>
      </c>
      <c r="AE1309">
        <v>-3.76409999999998</v>
      </c>
      <c r="AF1309">
        <v>3.5003249684378801</v>
      </c>
      <c r="AG1309">
        <v>-1.109892785952</v>
      </c>
      <c r="AH1309">
        <v>19.486049997596801</v>
      </c>
      <c r="AI1309">
        <v>93.208701432237206</v>
      </c>
      <c r="AJ1309">
        <v>79.816431255246599</v>
      </c>
      <c r="AK1309">
        <v>19.8290262340293</v>
      </c>
      <c r="AL1309">
        <v>78.520810398623098</v>
      </c>
      <c r="AM1309">
        <v>88.424152693920703</v>
      </c>
      <c r="AN1309">
        <v>0.999999985691994</v>
      </c>
    </row>
    <row r="1310" spans="1:40" x14ac:dyDescent="0.25">
      <c r="A1310" t="str">
        <f>"20190304155616844"</f>
        <v>20190304155616844</v>
      </c>
      <c r="B1310" t="str">
        <f>"1551686176835931"</f>
        <v>1551686176835931</v>
      </c>
      <c r="C1310" t="s">
        <v>40</v>
      </c>
      <c r="D1310">
        <v>4.2216500000000003</v>
      </c>
      <c r="E1310">
        <v>0.55845359999999999</v>
      </c>
      <c r="F1310" t="s">
        <v>41</v>
      </c>
      <c r="G1310">
        <v>-216.56229999999999</v>
      </c>
      <c r="H1310" s="1">
        <v>-2.861344E-6</v>
      </c>
      <c r="I1310">
        <v>363.20699999999999</v>
      </c>
      <c r="J1310">
        <v>-236.03960000000001</v>
      </c>
      <c r="K1310">
        <v>1.109856</v>
      </c>
      <c r="L1310">
        <v>366.98750000000001</v>
      </c>
      <c r="M1310">
        <v>0.99980780000000002</v>
      </c>
      <c r="N1310">
        <v>-1.4264199999999999E-2</v>
      </c>
      <c r="O1310">
        <v>-1.344969E-2</v>
      </c>
      <c r="P1310">
        <v>0.98201400000000005</v>
      </c>
      <c r="Q1310">
        <v>0.1845253</v>
      </c>
      <c r="R1310">
        <v>-3.9988009999999997E-2</v>
      </c>
      <c r="S1310">
        <v>3.0640869999999998</v>
      </c>
      <c r="T1310">
        <v>-0.17257800000000001</v>
      </c>
      <c r="U1310">
        <v>-0.58837890000000004</v>
      </c>
      <c r="V1310">
        <v>2.7026809999999998E-2</v>
      </c>
      <c r="W1310">
        <v>0.1984862</v>
      </c>
      <c r="X1310">
        <v>0.97973100000000002</v>
      </c>
      <c r="Y1310">
        <v>0.1750263</v>
      </c>
      <c r="Z1310">
        <v>-5.5817269999999999E-3</v>
      </c>
      <c r="AA1310">
        <v>0.98454790000000003</v>
      </c>
      <c r="AB1310">
        <v>30</v>
      </c>
      <c r="AC1310">
        <v>19.4773</v>
      </c>
      <c r="AD1310">
        <v>-1.1098588613439999</v>
      </c>
      <c r="AE1310">
        <v>-3.7805000000000102</v>
      </c>
      <c r="AF1310">
        <v>3.5071933784946299</v>
      </c>
      <c r="AG1310">
        <v>-1.1098588613439999</v>
      </c>
      <c r="AH1310">
        <v>19.4654805179783</v>
      </c>
      <c r="AI1310">
        <v>93.211683947108199</v>
      </c>
      <c r="AJ1310">
        <v>79.786313270008904</v>
      </c>
      <c r="AK1310">
        <v>19.8100258425387</v>
      </c>
      <c r="AL1310">
        <v>78.551550228220805</v>
      </c>
      <c r="AM1310">
        <v>88.419842257269295</v>
      </c>
      <c r="AN1310">
        <v>1.0000000262051001</v>
      </c>
    </row>
    <row r="1311" spans="1:40" x14ac:dyDescent="0.25">
      <c r="A1311" t="str">
        <f>"20190304155616859"</f>
        <v>20190304155616859</v>
      </c>
      <c r="B1311" t="str">
        <f>"1551686176855450"</f>
        <v>1551686176855450</v>
      </c>
      <c r="C1311" t="s">
        <v>40</v>
      </c>
      <c r="D1311">
        <v>4.6922930000000003</v>
      </c>
      <c r="E1311">
        <v>0.55827649999999995</v>
      </c>
      <c r="F1311" t="s">
        <v>41</v>
      </c>
      <c r="G1311">
        <v>-215.39789999999999</v>
      </c>
      <c r="H1311" s="1">
        <v>-3.333946E-6</v>
      </c>
      <c r="I1311">
        <v>362.92</v>
      </c>
      <c r="J1311">
        <v>-235.83629999999999</v>
      </c>
      <c r="K1311">
        <v>1.109834</v>
      </c>
      <c r="L1311">
        <v>366.98430000000002</v>
      </c>
      <c r="M1311">
        <v>0.99980150000000001</v>
      </c>
      <c r="N1311">
        <v>-1.426231E-2</v>
      </c>
      <c r="O1311">
        <v>-1.391595E-2</v>
      </c>
      <c r="P1311">
        <v>0.98200489999999996</v>
      </c>
      <c r="Q1311">
        <v>0.18441660000000001</v>
      </c>
      <c r="R1311">
        <v>-4.0707269999999997E-2</v>
      </c>
      <c r="S1311">
        <v>3.0612949999999999</v>
      </c>
      <c r="T1311">
        <v>-0.1645991</v>
      </c>
      <c r="U1311">
        <v>-0.60324100000000003</v>
      </c>
      <c r="V1311">
        <v>2.7298610000000001E-2</v>
      </c>
      <c r="W1311">
        <v>0.1983741</v>
      </c>
      <c r="X1311">
        <v>0.97974620000000001</v>
      </c>
      <c r="Y1311">
        <v>0.17935570000000001</v>
      </c>
      <c r="Z1311">
        <v>-5.521153E-3</v>
      </c>
      <c r="AA1311">
        <v>0.9837688</v>
      </c>
      <c r="AB1311">
        <v>30</v>
      </c>
      <c r="AC1311">
        <v>20.438400000000001</v>
      </c>
      <c r="AD1311">
        <v>-1.1098373339459999</v>
      </c>
      <c r="AE1311">
        <v>-4.0643000000000002</v>
      </c>
      <c r="AF1311">
        <v>3.7687676059916</v>
      </c>
      <c r="AG1311">
        <v>-1.1098373339459999</v>
      </c>
      <c r="AH1311">
        <v>20.435021016171099</v>
      </c>
      <c r="AI1311">
        <v>93.057252910201697</v>
      </c>
      <c r="AJ1311">
        <v>79.550534612159794</v>
      </c>
      <c r="AK1311">
        <v>20.809263132248201</v>
      </c>
      <c r="AL1311">
        <v>78.558103751970805</v>
      </c>
      <c r="AM1311">
        <v>88.403984042326798</v>
      </c>
      <c r="AN1311">
        <v>1.0000000570365799</v>
      </c>
    </row>
    <row r="1312" spans="1:40" x14ac:dyDescent="0.25">
      <c r="A1312" t="str">
        <f>"20190304155616873"</f>
        <v>20190304155616873</v>
      </c>
      <c r="B1312" t="str">
        <f>"1551686176866186"</f>
        <v>1551686176866186</v>
      </c>
      <c r="C1312" t="s">
        <v>40</v>
      </c>
      <c r="D1312">
        <v>4.710674</v>
      </c>
      <c r="E1312">
        <v>0.55821200000000004</v>
      </c>
      <c r="F1312" t="s">
        <v>41</v>
      </c>
      <c r="G1312">
        <v>-215.4359</v>
      </c>
      <c r="H1312" s="1">
        <v>-3.3112639999999998E-6</v>
      </c>
      <c r="I1312">
        <v>362.95670000000001</v>
      </c>
      <c r="J1312">
        <v>-235.6422</v>
      </c>
      <c r="K1312">
        <v>1.109818</v>
      </c>
      <c r="L1312">
        <v>366.9812</v>
      </c>
      <c r="M1312">
        <v>0.99979510000000005</v>
      </c>
      <c r="N1312">
        <v>-1.4260480000000001E-2</v>
      </c>
      <c r="O1312">
        <v>-1.4377640000000001E-2</v>
      </c>
      <c r="P1312">
        <v>0.98196629999999996</v>
      </c>
      <c r="Q1312">
        <v>0.1845213</v>
      </c>
      <c r="R1312">
        <v>-4.116185E-2</v>
      </c>
      <c r="S1312">
        <v>3.0612180000000002</v>
      </c>
      <c r="T1312">
        <v>-0.16653760000000001</v>
      </c>
      <c r="U1312">
        <v>-0.60437010000000002</v>
      </c>
      <c r="V1312">
        <v>2.7310149999999998E-2</v>
      </c>
      <c r="W1312">
        <v>0.1984755</v>
      </c>
      <c r="X1312">
        <v>0.97972530000000002</v>
      </c>
      <c r="Y1312">
        <v>0.17924949999999901</v>
      </c>
      <c r="Z1312">
        <v>-5.5464609999999999E-3</v>
      </c>
      <c r="AA1312">
        <v>0.983788</v>
      </c>
      <c r="AB1312">
        <v>30</v>
      </c>
      <c r="AC1312">
        <v>20.206299999999999</v>
      </c>
      <c r="AD1312">
        <v>-1.1098213112639901</v>
      </c>
      <c r="AE1312">
        <v>-4.0244999999999802</v>
      </c>
      <c r="AF1312">
        <v>3.7227336412360899</v>
      </c>
      <c r="AG1312">
        <v>-1.1098213112639901</v>
      </c>
      <c r="AH1312">
        <v>20.203457325163502</v>
      </c>
      <c r="AI1312">
        <v>93.092272326453099</v>
      </c>
      <c r="AJ1312">
        <v>79.559660757456797</v>
      </c>
      <c r="AK1312">
        <v>20.573530008149501</v>
      </c>
      <c r="AL1312">
        <v>78.552175618445702</v>
      </c>
      <c r="AM1312">
        <v>88.403275660474804</v>
      </c>
      <c r="AN1312">
        <v>1.00000001592668</v>
      </c>
    </row>
    <row r="1313" spans="1:40" x14ac:dyDescent="0.25">
      <c r="A1313" t="str">
        <f>"20190304155616884"</f>
        <v>20190304155616884</v>
      </c>
      <c r="B1313" t="str">
        <f>"1551686176875946"</f>
        <v>1551686176875946</v>
      </c>
      <c r="C1313" t="s">
        <v>40</v>
      </c>
      <c r="D1313">
        <v>4.739814</v>
      </c>
      <c r="E1313">
        <v>0.55821569999999898</v>
      </c>
      <c r="F1313" t="s">
        <v>41</v>
      </c>
      <c r="G1313">
        <v>-215.31370000000001</v>
      </c>
      <c r="H1313" s="1">
        <v>-3.35156E-6</v>
      </c>
      <c r="I1313">
        <v>362.9615</v>
      </c>
      <c r="J1313">
        <v>-235.48070000000001</v>
      </c>
      <c r="K1313">
        <v>1.109802</v>
      </c>
      <c r="L1313">
        <v>366.9785</v>
      </c>
      <c r="M1313">
        <v>0.99978920000000004</v>
      </c>
      <c r="N1313">
        <v>-1.4258969999999999E-2</v>
      </c>
      <c r="O1313">
        <v>-1.477561E-2</v>
      </c>
      <c r="P1313">
        <v>0.98195049999999995</v>
      </c>
      <c r="Q1313">
        <v>0.1844539</v>
      </c>
      <c r="R1313">
        <v>-4.1836360000000003E-2</v>
      </c>
      <c r="S1313">
        <v>3.0611269999999999</v>
      </c>
      <c r="T1313">
        <v>-0.16711970000000001</v>
      </c>
      <c r="U1313">
        <v>-0.60528559999999998</v>
      </c>
      <c r="V1313">
        <v>2.7601790000000001E-2</v>
      </c>
      <c r="W1313">
        <v>0.19840540000000001</v>
      </c>
      <c r="X1313">
        <v>0.97973129999999997</v>
      </c>
      <c r="Y1313">
        <v>0.17914530000000001</v>
      </c>
      <c r="Z1313">
        <v>-5.5410549999999996E-3</v>
      </c>
      <c r="AA1313">
        <v>0.98380699999999999</v>
      </c>
      <c r="AB1313">
        <v>30</v>
      </c>
      <c r="AC1313">
        <v>20.167000000000002</v>
      </c>
      <c r="AD1313">
        <v>-1.1098053515599999</v>
      </c>
      <c r="AE1313">
        <v>-4.0169999999999897</v>
      </c>
      <c r="AF1313">
        <v>3.7077513791068002</v>
      </c>
      <c r="AG1313">
        <v>-1.1098053515599999</v>
      </c>
      <c r="AH1313">
        <v>20.1654194872532</v>
      </c>
      <c r="AI1313">
        <v>93.098267098114803</v>
      </c>
      <c r="AJ1313">
        <v>79.5815729012959</v>
      </c>
      <c r="AK1313">
        <v>20.5334661298211</v>
      </c>
      <c r="AL1313">
        <v>78.556273257773498</v>
      </c>
      <c r="AM1313">
        <v>88.386243385360004</v>
      </c>
      <c r="AN1313">
        <v>0.999999990880027</v>
      </c>
    </row>
    <row r="1314" spans="1:40" x14ac:dyDescent="0.25">
      <c r="A1314" t="str">
        <f>"20190304155616899"</f>
        <v>20190304155616899</v>
      </c>
      <c r="B1314" t="str">
        <f>"1551686176895465"</f>
        <v>1551686176895465</v>
      </c>
      <c r="C1314" t="s">
        <v>40</v>
      </c>
      <c r="D1314">
        <v>4.7529050000000002</v>
      </c>
      <c r="E1314">
        <v>0.55811789999999994</v>
      </c>
      <c r="F1314" t="s">
        <v>41</v>
      </c>
      <c r="G1314">
        <v>-215.46279999999999</v>
      </c>
      <c r="H1314" s="1">
        <v>-3.2886460000000002E-6</v>
      </c>
      <c r="I1314">
        <v>363.00729999999999</v>
      </c>
      <c r="J1314">
        <v>-235.29409999999999</v>
      </c>
      <c r="K1314">
        <v>1.1097840000000001</v>
      </c>
      <c r="L1314">
        <v>366.97519999999997</v>
      </c>
      <c r="M1314">
        <v>0.99978230000000001</v>
      </c>
      <c r="N1314">
        <v>-1.4257260000000001E-2</v>
      </c>
      <c r="O1314">
        <v>-1.5247739999999999E-2</v>
      </c>
      <c r="P1314">
        <v>0.98192480000000004</v>
      </c>
      <c r="Q1314">
        <v>0.18446979999999999</v>
      </c>
      <c r="R1314">
        <v>-4.236823E-2</v>
      </c>
      <c r="S1314">
        <v>3.0611269999999999</v>
      </c>
      <c r="T1314">
        <v>-0.16971</v>
      </c>
      <c r="U1314">
        <v>-0.60726930000000001</v>
      </c>
      <c r="V1314">
        <v>2.7678390000000001E-2</v>
      </c>
      <c r="W1314">
        <v>0.19841809999999999</v>
      </c>
      <c r="X1314">
        <v>0.9797266</v>
      </c>
      <c r="Y1314">
        <v>0.17928569999999999</v>
      </c>
      <c r="Z1314">
        <v>-5.5889190000000004E-3</v>
      </c>
      <c r="AA1314">
        <v>0.98378120000000002</v>
      </c>
      <c r="AB1314">
        <v>30</v>
      </c>
      <c r="AC1314">
        <v>19.831299999999999</v>
      </c>
      <c r="AD1314">
        <v>-1.1097872886460001</v>
      </c>
      <c r="AE1314">
        <v>-3.9678999999999802</v>
      </c>
      <c r="AF1314">
        <v>3.6540226934544999</v>
      </c>
      <c r="AG1314">
        <v>-1.1097872886460001</v>
      </c>
      <c r="AH1314">
        <v>19.829791574527199</v>
      </c>
      <c r="AI1314">
        <v>93.150325360778893</v>
      </c>
      <c r="AJ1314">
        <v>79.559265257593495</v>
      </c>
      <c r="AK1314">
        <v>20.194161125422099</v>
      </c>
      <c r="AL1314">
        <v>78.555531216249605</v>
      </c>
      <c r="AM1314">
        <v>88.381759535523003</v>
      </c>
      <c r="AN1314">
        <v>1.00000002321408</v>
      </c>
    </row>
    <row r="1315" spans="1:40" x14ac:dyDescent="0.25">
      <c r="A1315" t="str">
        <f>"20190304155616912"</f>
        <v>20190304155616912</v>
      </c>
      <c r="B1315" t="str">
        <f>"1551686176906202"</f>
        <v>1551686176906202</v>
      </c>
      <c r="C1315" t="s">
        <v>40</v>
      </c>
      <c r="D1315">
        <v>4.7809160000000004</v>
      </c>
      <c r="E1315">
        <v>0.55802249999999998</v>
      </c>
      <c r="F1315" t="s">
        <v>41</v>
      </c>
      <c r="G1315">
        <v>-215.65799999999999</v>
      </c>
      <c r="H1315" s="1">
        <v>-3.2041789999999998E-6</v>
      </c>
      <c r="I1315">
        <v>363.07510000000002</v>
      </c>
      <c r="J1315">
        <v>-235.13040000000001</v>
      </c>
      <c r="K1315">
        <v>1.109769</v>
      </c>
      <c r="L1315">
        <v>366.97230000000002</v>
      </c>
      <c r="M1315">
        <v>0.99977570000000004</v>
      </c>
      <c r="N1315">
        <v>-1.4255759999999999E-2</v>
      </c>
      <c r="O1315">
        <v>-1.5669039999999999E-2</v>
      </c>
      <c r="P1315">
        <v>0.98192239999999997</v>
      </c>
      <c r="Q1315">
        <v>0.1843322</v>
      </c>
      <c r="R1315">
        <v>-4.3013959999999997E-2</v>
      </c>
      <c r="S1315">
        <v>3.0614620000000001</v>
      </c>
      <c r="T1315">
        <v>-0.17302600000000001</v>
      </c>
      <c r="U1315">
        <v>-0.60806269999999996</v>
      </c>
      <c r="V1315">
        <v>2.791712E-2</v>
      </c>
      <c r="W1315">
        <v>0.19827829999999999</v>
      </c>
      <c r="X1315">
        <v>0.97974810000000001</v>
      </c>
      <c r="Y1315">
        <v>0.17908560000000001</v>
      </c>
      <c r="Z1315">
        <v>-5.6432740000000002E-3</v>
      </c>
      <c r="AA1315">
        <v>0.98381730000000001</v>
      </c>
      <c r="AB1315">
        <v>30</v>
      </c>
      <c r="AC1315">
        <v>19.4724</v>
      </c>
      <c r="AD1315">
        <v>-1.1097722041789999</v>
      </c>
      <c r="AE1315">
        <v>-3.89719999999999</v>
      </c>
      <c r="AF1315">
        <v>3.58039508717102</v>
      </c>
      <c r="AG1315">
        <v>-1.1097722041789999</v>
      </c>
      <c r="AH1315">
        <v>19.470274853675001</v>
      </c>
      <c r="AI1315">
        <v>93.208547931811694</v>
      </c>
      <c r="AJ1315">
        <v>79.580269963782698</v>
      </c>
      <c r="AK1315">
        <v>19.827819501979</v>
      </c>
      <c r="AL1315">
        <v>78.563703205701202</v>
      </c>
      <c r="AM1315">
        <v>88.367845300091204</v>
      </c>
      <c r="AN1315">
        <v>0.99999999464679701</v>
      </c>
    </row>
    <row r="1316" spans="1:40" x14ac:dyDescent="0.25">
      <c r="A1316" t="str">
        <f>"20190304155616922"</f>
        <v>20190304155616922</v>
      </c>
      <c r="B1316" t="str">
        <f>"1551686176915962"</f>
        <v>1551686176915962</v>
      </c>
      <c r="C1316" t="s">
        <v>40</v>
      </c>
      <c r="D1316">
        <v>4.7618929999999997</v>
      </c>
      <c r="E1316">
        <v>0.55789180000000005</v>
      </c>
      <c r="F1316" t="s">
        <v>41</v>
      </c>
      <c r="G1316">
        <v>-215.6446</v>
      </c>
      <c r="H1316" s="1">
        <v>-3.2040900000000001E-6</v>
      </c>
      <c r="I1316">
        <v>363.09249999999997</v>
      </c>
      <c r="J1316">
        <v>-234.98050000000001</v>
      </c>
      <c r="K1316">
        <v>1.1097539999999999</v>
      </c>
      <c r="L1316">
        <v>366.96949999999998</v>
      </c>
      <c r="M1316">
        <v>0.99976929999999997</v>
      </c>
      <c r="N1316">
        <v>-1.4254340000000001E-2</v>
      </c>
      <c r="O1316">
        <v>-1.6066339999999998E-2</v>
      </c>
      <c r="P1316">
        <v>0.98190409999999995</v>
      </c>
      <c r="Q1316">
        <v>0.18427279999999999</v>
      </c>
      <c r="R1316">
        <v>-4.3674930000000001E-2</v>
      </c>
      <c r="S1316">
        <v>3.0612789999999999</v>
      </c>
      <c r="T1316">
        <v>-0.174348</v>
      </c>
      <c r="U1316">
        <v>-0.60952759999999995</v>
      </c>
      <c r="V1316">
        <v>2.8193849999999999E-2</v>
      </c>
      <c r="W1316">
        <v>0.19821610000000001</v>
      </c>
      <c r="X1316">
        <v>0.97975279999999998</v>
      </c>
      <c r="Y1316">
        <v>0.17915449999999999</v>
      </c>
      <c r="Z1316">
        <v>-5.6604410000000004E-3</v>
      </c>
      <c r="AA1316">
        <v>0.98380460000000003</v>
      </c>
      <c r="AB1316">
        <v>30</v>
      </c>
      <c r="AC1316">
        <v>19.335899999999999</v>
      </c>
      <c r="AD1316">
        <v>-1.1097572040899999</v>
      </c>
      <c r="AE1316">
        <v>-3.8769999999999998</v>
      </c>
      <c r="AF1316">
        <v>3.5545545131818401</v>
      </c>
      <c r="AG1316">
        <v>-1.1097572040899999</v>
      </c>
      <c r="AH1316">
        <v>19.334472548250101</v>
      </c>
      <c r="AI1316">
        <v>93.231018847438193</v>
      </c>
      <c r="AJ1316">
        <v>79.582757632698502</v>
      </c>
      <c r="AK1316">
        <v>19.689800597219101</v>
      </c>
      <c r="AL1316">
        <v>78.567339605819697</v>
      </c>
      <c r="AM1316">
        <v>88.351683260549606</v>
      </c>
      <c r="AN1316">
        <v>1.0000000322924301</v>
      </c>
    </row>
    <row r="1317" spans="1:40" x14ac:dyDescent="0.25">
      <c r="A1317" t="str">
        <f>"20190304155616934"</f>
        <v>20190304155616934</v>
      </c>
      <c r="B1317" t="str">
        <f>"1551686176925724"</f>
        <v>1551686176925724</v>
      </c>
      <c r="C1317" t="s">
        <v>40</v>
      </c>
      <c r="D1317">
        <v>4.8437669999999997</v>
      </c>
      <c r="E1317">
        <v>0.55793289999999995</v>
      </c>
      <c r="F1317" t="s">
        <v>41</v>
      </c>
      <c r="G1317">
        <v>-215.64080000000001</v>
      </c>
      <c r="H1317" s="1">
        <v>-3.1995820000000002E-6</v>
      </c>
      <c r="I1317">
        <v>363.11430000000001</v>
      </c>
      <c r="J1317">
        <v>-234.8297</v>
      </c>
      <c r="K1317">
        <v>1.1097440000000001</v>
      </c>
      <c r="L1317">
        <v>366.9667</v>
      </c>
      <c r="M1317">
        <v>0.99976279999999995</v>
      </c>
      <c r="N1317">
        <v>-1.4252910000000001E-2</v>
      </c>
      <c r="O1317">
        <v>-1.6470530000000001E-2</v>
      </c>
      <c r="P1317">
        <v>0.98189409999999999</v>
      </c>
      <c r="Q1317">
        <v>0.18420500000000001</v>
      </c>
      <c r="R1317">
        <v>-4.4189239999999998E-2</v>
      </c>
      <c r="S1317">
        <v>3.061096</v>
      </c>
      <c r="T1317">
        <v>-0.175652</v>
      </c>
      <c r="U1317">
        <v>-0.61019899999999905</v>
      </c>
      <c r="V1317">
        <v>2.8316500000000001E-2</v>
      </c>
      <c r="W1317">
        <v>0.19814599999999999</v>
      </c>
      <c r="X1317">
        <v>0.97976339999999995</v>
      </c>
      <c r="Y1317">
        <v>0.17897189999999999</v>
      </c>
      <c r="Z1317">
        <v>-5.667699E-3</v>
      </c>
      <c r="AA1317">
        <v>0.98383779999999998</v>
      </c>
      <c r="AB1317">
        <v>30</v>
      </c>
      <c r="AC1317">
        <v>19.188899999999901</v>
      </c>
      <c r="AD1317">
        <v>-1.1097471995819901</v>
      </c>
      <c r="AE1317">
        <v>-3.8523999999999798</v>
      </c>
      <c r="AF1317">
        <v>3.5244625668426299</v>
      </c>
      <c r="AG1317">
        <v>-1.1097471995819901</v>
      </c>
      <c r="AH1317">
        <v>19.188063543149401</v>
      </c>
      <c r="AI1317">
        <v>93.255685654693494</v>
      </c>
      <c r="AJ1317">
        <v>79.591929451652206</v>
      </c>
      <c r="AK1317">
        <v>19.540602799504299</v>
      </c>
      <c r="AL1317">
        <v>78.571436834794198</v>
      </c>
      <c r="AM1317">
        <v>88.344534570126598</v>
      </c>
      <c r="AN1317">
        <v>0.999999990733904</v>
      </c>
    </row>
    <row r="1318" spans="1:40" x14ac:dyDescent="0.25">
      <c r="A1318" t="str">
        <f>"20190304155616946"</f>
        <v>20190304155616946</v>
      </c>
      <c r="B1318" t="str">
        <f>"1551686176936458"</f>
        <v>1551686176936458</v>
      </c>
      <c r="C1318" t="s">
        <v>40</v>
      </c>
      <c r="D1318">
        <v>4.8232989999999996</v>
      </c>
      <c r="E1318">
        <v>0.55785099999999999</v>
      </c>
      <c r="F1318" t="s">
        <v>41</v>
      </c>
      <c r="G1318">
        <v>-215.70939999999999</v>
      </c>
      <c r="H1318" s="1">
        <v>-3.16886E-6</v>
      </c>
      <c r="I1318">
        <v>363.14210000000003</v>
      </c>
      <c r="J1318">
        <v>-234.66419999999999</v>
      </c>
      <c r="K1318">
        <v>1.1097330000000001</v>
      </c>
      <c r="L1318">
        <v>366.96350000000001</v>
      </c>
      <c r="M1318">
        <v>0.99975530000000001</v>
      </c>
      <c r="N1318">
        <v>-1.4251349999999999E-2</v>
      </c>
      <c r="O1318">
        <v>-1.692217E-2</v>
      </c>
      <c r="P1318">
        <v>0.98186269999999998</v>
      </c>
      <c r="Q1318">
        <v>0.1842423</v>
      </c>
      <c r="R1318">
        <v>-4.4727690000000001E-2</v>
      </c>
      <c r="S1318">
        <v>3.061096</v>
      </c>
      <c r="T1318">
        <v>-0.17766560000000001</v>
      </c>
      <c r="U1318">
        <v>-0.61230469999999904</v>
      </c>
      <c r="V1318">
        <v>2.841722E-2</v>
      </c>
      <c r="W1318">
        <v>0.198181</v>
      </c>
      <c r="X1318">
        <v>0.9797534</v>
      </c>
      <c r="Y1318">
        <v>0.17917149999999901</v>
      </c>
      <c r="Z1318">
        <v>-5.7024290000000002E-3</v>
      </c>
      <c r="AA1318">
        <v>0.98380140000000005</v>
      </c>
      <c r="AB1318">
        <v>30</v>
      </c>
      <c r="AC1318">
        <v>18.954799999999999</v>
      </c>
      <c r="AD1318">
        <v>-1.10973616886</v>
      </c>
      <c r="AE1318">
        <v>-3.8213999999999801</v>
      </c>
      <c r="AF1318">
        <v>3.4885731000057398</v>
      </c>
      <c r="AG1318">
        <v>-1.10973616886</v>
      </c>
      <c r="AH1318">
        <v>18.954326310736601</v>
      </c>
      <c r="AI1318">
        <v>93.295495502727903</v>
      </c>
      <c r="AJ1318">
        <v>79.5713347325336</v>
      </c>
      <c r="AK1318">
        <v>19.304614539856601</v>
      </c>
      <c r="AL1318">
        <v>78.569390854665102</v>
      </c>
      <c r="AM1318">
        <v>88.338632531071795</v>
      </c>
      <c r="AN1318">
        <v>0.99999998598254403</v>
      </c>
    </row>
    <row r="1319" spans="1:40" x14ac:dyDescent="0.25">
      <c r="A1319" t="str">
        <f>"20190304155616958"</f>
        <v>20190304155616958</v>
      </c>
      <c r="B1319" t="str">
        <f>"1551686176955978"</f>
        <v>1551686176955978</v>
      </c>
      <c r="C1319" t="s">
        <v>40</v>
      </c>
      <c r="D1319">
        <v>4.8162029999999998</v>
      </c>
      <c r="E1319">
        <v>0.55758640000000004</v>
      </c>
      <c r="F1319" t="s">
        <v>41</v>
      </c>
      <c r="G1319">
        <v>-215.6267</v>
      </c>
      <c r="H1319" s="1">
        <v>-3.1956069999999999E-6</v>
      </c>
      <c r="I1319">
        <v>363.14729999999997</v>
      </c>
      <c r="J1319">
        <v>-234.5025</v>
      </c>
      <c r="K1319">
        <v>1.1097220000000001</v>
      </c>
      <c r="L1319">
        <v>366.96030000000002</v>
      </c>
      <c r="M1319">
        <v>0.99974750000000001</v>
      </c>
      <c r="N1319">
        <v>-1.424982E-2</v>
      </c>
      <c r="O1319">
        <v>-1.7370090000000001E-2</v>
      </c>
      <c r="P1319">
        <v>0.98182639999999999</v>
      </c>
      <c r="Q1319">
        <v>0.1842982</v>
      </c>
      <c r="R1319">
        <v>-4.5286340000000001E-2</v>
      </c>
      <c r="S1319">
        <v>3.0609440000000001</v>
      </c>
      <c r="T1319">
        <v>-0.178427799999999</v>
      </c>
      <c r="U1319">
        <v>-0.61358639999999998</v>
      </c>
      <c r="V1319">
        <v>2.8541540000000001E-2</v>
      </c>
      <c r="W1319">
        <v>0.1982343</v>
      </c>
      <c r="X1319">
        <v>0.97973900000000003</v>
      </c>
      <c r="Y1319">
        <v>0.17913409999999999</v>
      </c>
      <c r="Z1319">
        <v>-5.699394E-3</v>
      </c>
      <c r="AA1319">
        <v>0.98380820000000002</v>
      </c>
      <c r="AB1319">
        <v>30</v>
      </c>
      <c r="AC1319">
        <v>18.875800000000002</v>
      </c>
      <c r="AD1319">
        <v>-1.10972519560699</v>
      </c>
      <c r="AE1319">
        <v>-3.8130000000000401</v>
      </c>
      <c r="AF1319">
        <v>3.4729836573282098</v>
      </c>
      <c r="AG1319">
        <v>-1.10972519560699</v>
      </c>
      <c r="AH1319">
        <v>18.876504280467401</v>
      </c>
      <c r="AI1319">
        <v>93.309058460384904</v>
      </c>
      <c r="AJ1319">
        <v>79.575052077180899</v>
      </c>
      <c r="AK1319">
        <v>19.225387365261</v>
      </c>
      <c r="AL1319">
        <v>78.566275136158595</v>
      </c>
      <c r="AM1319">
        <v>88.331343949165898</v>
      </c>
      <c r="AN1319">
        <v>0.99999998266153001</v>
      </c>
    </row>
    <row r="1320" spans="1:40" x14ac:dyDescent="0.25">
      <c r="A1320" t="str">
        <f>"20190304155616971"</f>
        <v>20190304155616971</v>
      </c>
      <c r="B1320" t="str">
        <f>"1551686176965739"</f>
        <v>1551686176965739</v>
      </c>
      <c r="C1320" t="s">
        <v>40</v>
      </c>
      <c r="D1320">
        <v>4.8106460000000002</v>
      </c>
      <c r="E1320">
        <v>0.55746739999999995</v>
      </c>
      <c r="F1320" t="s">
        <v>41</v>
      </c>
      <c r="G1320">
        <v>-215.62389999999999</v>
      </c>
      <c r="H1320" s="1">
        <v>-3.1882560000000001E-6</v>
      </c>
      <c r="I1320">
        <v>363.17849999999999</v>
      </c>
      <c r="J1320">
        <v>-234.3295</v>
      </c>
      <c r="K1320">
        <v>1.10971</v>
      </c>
      <c r="L1320">
        <v>366.95679999999999</v>
      </c>
      <c r="M1320">
        <v>0.99973920000000005</v>
      </c>
      <c r="N1320">
        <v>-1.4248179999999999E-2</v>
      </c>
      <c r="O1320">
        <v>-1.7853520000000001E-2</v>
      </c>
      <c r="P1320">
        <v>0.98183240000000005</v>
      </c>
      <c r="Q1320">
        <v>0.18412729999999999</v>
      </c>
      <c r="R1320">
        <v>-4.5852160000000003E-2</v>
      </c>
      <c r="S1320">
        <v>3.0610200000000001</v>
      </c>
      <c r="T1320">
        <v>-0.1799325</v>
      </c>
      <c r="U1320">
        <v>-0.61318969999999995</v>
      </c>
      <c r="V1320">
        <v>2.8636789999999999E-2</v>
      </c>
      <c r="W1320">
        <v>0.19806090000000001</v>
      </c>
      <c r="X1320">
        <v>0.97977130000000001</v>
      </c>
      <c r="Y1320">
        <v>0.17852760000000001</v>
      </c>
      <c r="Z1320">
        <v>-5.6909630000000003E-3</v>
      </c>
      <c r="AA1320">
        <v>0.98391839999999997</v>
      </c>
      <c r="AB1320">
        <v>30</v>
      </c>
      <c r="AC1320">
        <v>18.7056</v>
      </c>
      <c r="AD1320">
        <v>-1.1097131882560001</v>
      </c>
      <c r="AE1320">
        <v>-3.7783000000000002</v>
      </c>
      <c r="AF1320">
        <v>3.4320973078610599</v>
      </c>
      <c r="AG1320">
        <v>-1.1097131882560001</v>
      </c>
      <c r="AH1320">
        <v>18.706823357983801</v>
      </c>
      <c r="AI1320">
        <v>93.339275744242798</v>
      </c>
      <c r="AJ1320">
        <v>79.603695688303702</v>
      </c>
      <c r="AK1320">
        <v>19.051404027987601</v>
      </c>
      <c r="AL1320">
        <v>78.576411321026995</v>
      </c>
      <c r="AM1320">
        <v>88.325833568157293</v>
      </c>
      <c r="AN1320">
        <v>0.99999999307700205</v>
      </c>
    </row>
    <row r="1321" spans="1:40" x14ac:dyDescent="0.25">
      <c r="A1321" t="str">
        <f>"20190304155616983"</f>
        <v>20190304155616983</v>
      </c>
      <c r="B1321" t="str">
        <f>"1551686176975498"</f>
        <v>1551686176975498</v>
      </c>
      <c r="C1321" t="s">
        <v>40</v>
      </c>
      <c r="D1321">
        <v>4.8353460000000004</v>
      </c>
      <c r="E1321">
        <v>0.55735749999999995</v>
      </c>
      <c r="F1321" t="s">
        <v>41</v>
      </c>
      <c r="G1321">
        <v>-215.59630000000001</v>
      </c>
      <c r="H1321" s="1">
        <v>-3.1919170000000001E-6</v>
      </c>
      <c r="I1321">
        <v>363.2</v>
      </c>
      <c r="J1321">
        <v>-234.1661</v>
      </c>
      <c r="K1321">
        <v>1.109702</v>
      </c>
      <c r="L1321">
        <v>366.95350000000002</v>
      </c>
      <c r="M1321">
        <v>0.99973080000000003</v>
      </c>
      <c r="N1321">
        <v>-1.424655E-2</v>
      </c>
      <c r="O1321">
        <v>-1.831677E-2</v>
      </c>
      <c r="P1321">
        <v>0.98178889999999996</v>
      </c>
      <c r="Q1321">
        <v>0.1841787</v>
      </c>
      <c r="R1321">
        <v>-4.657008E-2</v>
      </c>
      <c r="S1321">
        <v>3.0608520000000001</v>
      </c>
      <c r="T1321">
        <v>-0.18131739999999999</v>
      </c>
      <c r="U1321">
        <v>-0.6138306</v>
      </c>
      <c r="V1321">
        <v>2.8903910000000001E-2</v>
      </c>
      <c r="W1321">
        <v>0.19810949999999999</v>
      </c>
      <c r="X1321">
        <v>0.9797536</v>
      </c>
      <c r="Y1321">
        <v>0.1782763</v>
      </c>
      <c r="Z1321">
        <v>-5.6931229999999996E-3</v>
      </c>
      <c r="AA1321">
        <v>0.98396399999999995</v>
      </c>
      <c r="AB1321">
        <v>30</v>
      </c>
      <c r="AC1321">
        <v>18.569799999999901</v>
      </c>
      <c r="AD1321">
        <v>-1.109705191917</v>
      </c>
      <c r="AE1321">
        <v>-3.75350000000003</v>
      </c>
      <c r="AF1321">
        <v>3.40102826641363</v>
      </c>
      <c r="AG1321">
        <v>-1.109705191917</v>
      </c>
      <c r="AH1321">
        <v>18.571724933843399</v>
      </c>
      <c r="AI1321">
        <v>93.363688603067502</v>
      </c>
      <c r="AJ1321">
        <v>79.6224488781655</v>
      </c>
      <c r="AK1321">
        <v>18.913154308582499</v>
      </c>
      <c r="AL1321">
        <v>78.5735701096323</v>
      </c>
      <c r="AM1321">
        <v>88.310195678727197</v>
      </c>
      <c r="AN1321">
        <v>0.99999996335824803</v>
      </c>
    </row>
    <row r="1322" spans="1:40" x14ac:dyDescent="0.25">
      <c r="A1322" t="str">
        <f>"20190304155616995"</f>
        <v>20190304155616995</v>
      </c>
      <c r="B1322" t="str">
        <f>"1551686176986235"</f>
        <v>1551686176986235</v>
      </c>
      <c r="C1322" t="s">
        <v>40</v>
      </c>
      <c r="D1322">
        <v>4.8510859999999996</v>
      </c>
      <c r="E1322">
        <v>0.55724419999999897</v>
      </c>
      <c r="F1322" t="s">
        <v>41</v>
      </c>
      <c r="G1322">
        <v>-215.49619999999999</v>
      </c>
      <c r="H1322" s="1">
        <v>-3.2267910000000001E-6</v>
      </c>
      <c r="I1322">
        <v>363.19690000000003</v>
      </c>
      <c r="J1322">
        <v>-234.0215</v>
      </c>
      <c r="K1322">
        <v>1.109699</v>
      </c>
      <c r="L1322">
        <v>366.9504</v>
      </c>
      <c r="M1322">
        <v>0.99972320000000003</v>
      </c>
      <c r="N1322">
        <v>-1.424514E-2</v>
      </c>
      <c r="O1322">
        <v>-1.8728959999999999E-2</v>
      </c>
      <c r="P1322">
        <v>0.98177230000000004</v>
      </c>
      <c r="Q1322">
        <v>0.18418619999999999</v>
      </c>
      <c r="R1322">
        <v>-4.6890929999999997E-2</v>
      </c>
      <c r="S1322">
        <v>3.0605769999999999</v>
      </c>
      <c r="T1322">
        <v>-0.18191460000000001</v>
      </c>
      <c r="U1322">
        <v>-0.61581419999999998</v>
      </c>
      <c r="V1322">
        <v>2.882295E-2</v>
      </c>
      <c r="W1322">
        <v>0.19811509999999999</v>
      </c>
      <c r="X1322">
        <v>0.97975489999999998</v>
      </c>
      <c r="Y1322">
        <v>0.17849849999999901</v>
      </c>
      <c r="Z1322">
        <v>-5.6965310000000003E-3</v>
      </c>
      <c r="AA1322">
        <v>0.98392369999999996</v>
      </c>
      <c r="AB1322">
        <v>30</v>
      </c>
      <c r="AC1322">
        <v>18.525300000000001</v>
      </c>
      <c r="AD1322">
        <v>-1.1097022267909999</v>
      </c>
      <c r="AE1322">
        <v>-3.7534999999999701</v>
      </c>
      <c r="AF1322">
        <v>3.3941479362730602</v>
      </c>
      <c r="AG1322">
        <v>-1.1097022267909999</v>
      </c>
      <c r="AH1322">
        <v>18.528493170773601</v>
      </c>
      <c r="AI1322">
        <v>93.371476534669597</v>
      </c>
      <c r="AJ1322">
        <v>79.619347210710103</v>
      </c>
      <c r="AK1322">
        <v>18.869465769460898</v>
      </c>
      <c r="AL1322">
        <v>78.573243301554697</v>
      </c>
      <c r="AM1322">
        <v>88.3149283312016</v>
      </c>
      <c r="AN1322">
        <v>1.00000000968436</v>
      </c>
    </row>
    <row r="1323" spans="1:40" x14ac:dyDescent="0.25">
      <c r="A1323" t="str">
        <f>"20190304155617005"</f>
        <v>20190304155617005</v>
      </c>
      <c r="B1323" t="str">
        <f>"1551686176995995"</f>
        <v>1551686176995995</v>
      </c>
      <c r="C1323" t="s">
        <v>40</v>
      </c>
      <c r="D1323">
        <v>4.8645300000000002</v>
      </c>
      <c r="E1323">
        <v>0.55711379999999999</v>
      </c>
      <c r="F1323" t="s">
        <v>41</v>
      </c>
      <c r="G1323">
        <v>-215.43559999999999</v>
      </c>
      <c r="H1323" s="1">
        <v>-3.2439E-6</v>
      </c>
      <c r="I1323">
        <v>363.21019999999999</v>
      </c>
      <c r="J1323">
        <v>-233.86369999999999</v>
      </c>
      <c r="K1323">
        <v>1.109696</v>
      </c>
      <c r="L1323">
        <v>366.94709999999998</v>
      </c>
      <c r="M1323">
        <v>0.99971460000000001</v>
      </c>
      <c r="N1323">
        <v>-1.424364E-2</v>
      </c>
      <c r="O1323">
        <v>-1.918191E-2</v>
      </c>
      <c r="P1323">
        <v>0.98171260000000005</v>
      </c>
      <c r="Q1323">
        <v>0.18439349999999999</v>
      </c>
      <c r="R1323">
        <v>-4.7325770000000003E-2</v>
      </c>
      <c r="S1323">
        <v>3.060562</v>
      </c>
      <c r="T1323">
        <v>-0.18273500000000001</v>
      </c>
      <c r="U1323">
        <v>-0.61590579999999995</v>
      </c>
      <c r="V1323">
        <v>2.8816669999999999E-2</v>
      </c>
      <c r="W1323">
        <v>0.1983203</v>
      </c>
      <c r="X1323">
        <v>0.97971359999999996</v>
      </c>
      <c r="Y1323">
        <v>0.1780805</v>
      </c>
      <c r="Z1323">
        <v>-5.6793690000000001E-3</v>
      </c>
      <c r="AA1323">
        <v>0.98399959999999997</v>
      </c>
      <c r="AB1323">
        <v>30</v>
      </c>
      <c r="AC1323">
        <v>18.428100000000001</v>
      </c>
      <c r="AD1323">
        <v>-1.1096992439</v>
      </c>
      <c r="AE1323">
        <v>-3.7368999999999901</v>
      </c>
      <c r="AF1323">
        <v>3.3709494317019599</v>
      </c>
      <c r="AG1323">
        <v>-1.1096992439</v>
      </c>
      <c r="AH1323">
        <v>18.4321982930643</v>
      </c>
      <c r="AI1323">
        <v>93.389220608788406</v>
      </c>
      <c r="AJ1323">
        <v>79.636066095331003</v>
      </c>
      <c r="AK1323">
        <v>18.770739633744999</v>
      </c>
      <c r="AL1323">
        <v>78.561248551945496</v>
      </c>
      <c r="AM1323">
        <v>88.315224288170796</v>
      </c>
      <c r="AN1323">
        <v>1.0000000399434601</v>
      </c>
    </row>
    <row r="1324" spans="1:40" x14ac:dyDescent="0.25">
      <c r="A1324" t="str">
        <f>"20190304155617017"</f>
        <v>20190304155617017</v>
      </c>
      <c r="B1324" t="str">
        <f>"1551686177005754"</f>
        <v>1551686177005754</v>
      </c>
      <c r="C1324" t="s">
        <v>40</v>
      </c>
      <c r="D1324">
        <v>4.8588329999999997</v>
      </c>
      <c r="E1324">
        <v>0.55705099999999996</v>
      </c>
      <c r="F1324" t="s">
        <v>41</v>
      </c>
      <c r="G1324">
        <v>-215.30619999999999</v>
      </c>
      <c r="H1324" s="1">
        <v>-3.28792E-6</v>
      </c>
      <c r="I1324">
        <v>363.21019999999999</v>
      </c>
      <c r="J1324">
        <v>-233.72749999999999</v>
      </c>
      <c r="K1324">
        <v>1.109693</v>
      </c>
      <c r="L1324">
        <v>366.94400000000002</v>
      </c>
      <c r="M1324">
        <v>0.99970700000000001</v>
      </c>
      <c r="N1324">
        <v>-1.424227E-2</v>
      </c>
      <c r="O1324">
        <v>-1.9575100000000002E-2</v>
      </c>
      <c r="P1324">
        <v>0.98166889999999996</v>
      </c>
      <c r="Q1324">
        <v>0.18446100000000001</v>
      </c>
      <c r="R1324">
        <v>-4.7965389999999997E-2</v>
      </c>
      <c r="S1324">
        <v>3.0605159999999998</v>
      </c>
      <c r="T1324">
        <v>-0.18301139999999999</v>
      </c>
      <c r="U1324">
        <v>-0.61627200000000004</v>
      </c>
      <c r="V1324">
        <v>2.9072400000000002E-2</v>
      </c>
      <c r="W1324">
        <v>0.1983858</v>
      </c>
      <c r="X1324">
        <v>0.97969280000000003</v>
      </c>
      <c r="Y1324">
        <v>0.17780950000000001</v>
      </c>
      <c r="Z1324">
        <v>-5.6578310000000003E-3</v>
      </c>
      <c r="AA1324">
        <v>0.9840487</v>
      </c>
      <c r="AB1324">
        <v>30</v>
      </c>
      <c r="AC1324">
        <v>18.421299999999999</v>
      </c>
      <c r="AD1324">
        <v>-1.1096962879200001</v>
      </c>
      <c r="AE1324">
        <v>-3.7338000000000302</v>
      </c>
      <c r="AF1324">
        <v>3.3607347643601502</v>
      </c>
      <c r="AG1324">
        <v>-1.1096962879200001</v>
      </c>
      <c r="AH1324">
        <v>18.4266378811222</v>
      </c>
      <c r="AI1324">
        <v>93.390530345747806</v>
      </c>
      <c r="AJ1324">
        <v>79.6637424492245</v>
      </c>
      <c r="AK1324">
        <v>18.7634471142647</v>
      </c>
      <c r="AL1324">
        <v>78.557419788554597</v>
      </c>
      <c r="AM1324">
        <v>88.300245619057407</v>
      </c>
      <c r="AN1324">
        <v>1.0000000562276099</v>
      </c>
    </row>
    <row r="1325" spans="1:40" x14ac:dyDescent="0.25">
      <c r="A1325" t="str">
        <f>"20190304155617030"</f>
        <v>20190304155617030</v>
      </c>
      <c r="B1325" t="str">
        <f>"1551686177026251"</f>
        <v>1551686177026251</v>
      </c>
      <c r="C1325" t="s">
        <v>40</v>
      </c>
      <c r="D1325">
        <v>4.8614100000000002</v>
      </c>
      <c r="E1325">
        <v>0.5569248</v>
      </c>
      <c r="F1325" t="s">
        <v>41</v>
      </c>
      <c r="G1325">
        <v>-215.21109999999999</v>
      </c>
      <c r="H1325" s="1">
        <v>-3.3219380000000001E-6</v>
      </c>
      <c r="I1325">
        <v>363.20409999999998</v>
      </c>
      <c r="J1325">
        <v>-233.5557</v>
      </c>
      <c r="K1325">
        <v>1.109691</v>
      </c>
      <c r="L1325">
        <v>366.9402</v>
      </c>
      <c r="M1325">
        <v>0.99969719999999995</v>
      </c>
      <c r="N1325">
        <v>-1.424052E-2</v>
      </c>
      <c r="O1325">
        <v>-2.007188E-2</v>
      </c>
      <c r="P1325">
        <v>0.98166600000000004</v>
      </c>
      <c r="Q1325">
        <v>0.1843533</v>
      </c>
      <c r="R1325">
        <v>-4.8436800000000002E-2</v>
      </c>
      <c r="S1325">
        <v>3.0602719999999999</v>
      </c>
      <c r="T1325">
        <v>-0.1834027</v>
      </c>
      <c r="U1325">
        <v>-0.61810299999999996</v>
      </c>
      <c r="V1325">
        <v>2.9057159999999999E-2</v>
      </c>
      <c r="W1325">
        <v>0.1982759</v>
      </c>
      <c r="X1325">
        <v>0.97971549999999996</v>
      </c>
      <c r="Y1325">
        <v>0.17790039999999999</v>
      </c>
      <c r="Z1325">
        <v>-5.6474799999999999E-3</v>
      </c>
      <c r="AA1325">
        <v>0.98403229999999997</v>
      </c>
      <c r="AB1325">
        <v>30</v>
      </c>
      <c r="AC1325">
        <v>18.3446</v>
      </c>
      <c r="AD1325">
        <v>-1.109694321938</v>
      </c>
      <c r="AE1325">
        <v>-3.73610000000002</v>
      </c>
      <c r="AF1325">
        <v>3.3553103656989198</v>
      </c>
      <c r="AG1325">
        <v>-1.109694321938</v>
      </c>
      <c r="AH1325">
        <v>18.351423950301701</v>
      </c>
      <c r="AI1325">
        <v>93.404116679721</v>
      </c>
      <c r="AJ1325">
        <v>79.638684659718393</v>
      </c>
      <c r="AK1325">
        <v>18.6886139170891</v>
      </c>
      <c r="AL1325">
        <v>78.563844212156496</v>
      </c>
      <c r="AM1325">
        <v>88.301175462108802</v>
      </c>
      <c r="AN1325">
        <v>1.00000005600416</v>
      </c>
    </row>
    <row r="1326" spans="1:40" x14ac:dyDescent="0.25">
      <c r="A1326" t="str">
        <f>"20190304155617043"</f>
        <v>20190304155617043</v>
      </c>
      <c r="B1326" t="str">
        <f>"1551686177036010"</f>
        <v>1551686177036010</v>
      </c>
      <c r="C1326" t="s">
        <v>40</v>
      </c>
      <c r="D1326">
        <v>4.8194019999999904</v>
      </c>
      <c r="E1326">
        <v>0.55691420000000003</v>
      </c>
      <c r="F1326" t="s">
        <v>41</v>
      </c>
      <c r="G1326">
        <v>-215.19560000000001</v>
      </c>
      <c r="H1326" s="1">
        <v>-3.3209880000000001E-6</v>
      </c>
      <c r="I1326">
        <v>363.22739999999999</v>
      </c>
      <c r="J1326">
        <v>-233.37739999999999</v>
      </c>
      <c r="K1326">
        <v>1.1096839999999999</v>
      </c>
      <c r="L1326">
        <v>366.93599999999998</v>
      </c>
      <c r="M1326">
        <v>0.99968670000000004</v>
      </c>
      <c r="N1326">
        <v>-1.4238779999999999E-2</v>
      </c>
      <c r="O1326">
        <v>-2.0589260000000002E-2</v>
      </c>
      <c r="P1326">
        <v>0.98158299999999998</v>
      </c>
      <c r="Q1326">
        <v>0.18458060000000001</v>
      </c>
      <c r="R1326">
        <v>-4.9243410000000001E-2</v>
      </c>
      <c r="S1326">
        <v>3.0602260000000001</v>
      </c>
      <c r="T1326">
        <v>-0.18496109999999999</v>
      </c>
      <c r="U1326">
        <v>-0.61883540000000004</v>
      </c>
      <c r="V1326">
        <v>2.9358700000000001E-2</v>
      </c>
      <c r="W1326">
        <v>0.19850029999999999</v>
      </c>
      <c r="X1326">
        <v>0.979661</v>
      </c>
      <c r="Y1326">
        <v>0.1776161</v>
      </c>
      <c r="Z1326">
        <v>-5.6477919999999996E-3</v>
      </c>
      <c r="AA1326">
        <v>0.98408370000000001</v>
      </c>
      <c r="AB1326">
        <v>30</v>
      </c>
      <c r="AC1326">
        <v>18.1817999999999</v>
      </c>
      <c r="AD1326">
        <v>-1.109687320988</v>
      </c>
      <c r="AE1326">
        <v>-3.7085999999999899</v>
      </c>
      <c r="AF1326">
        <v>3.3215473658564298</v>
      </c>
      <c r="AG1326">
        <v>-1.109687320988</v>
      </c>
      <c r="AH1326">
        <v>18.1892612555271</v>
      </c>
      <c r="AI1326">
        <v>93.434508472810407</v>
      </c>
      <c r="AJ1326">
        <v>79.651224178337898</v>
      </c>
      <c r="AK1326">
        <v>18.5233179499734</v>
      </c>
      <c r="AL1326">
        <v>78.550725520733593</v>
      </c>
      <c r="AM1326">
        <v>88.283461010738094</v>
      </c>
      <c r="AN1326">
        <v>0.99999998864338902</v>
      </c>
    </row>
    <row r="1327" spans="1:40" x14ac:dyDescent="0.25">
      <c r="A1327" t="str">
        <f>"20190304155617056"</f>
        <v>20190304155617056</v>
      </c>
      <c r="B1327" t="str">
        <f>"1551686177045771"</f>
        <v>1551686177045771</v>
      </c>
      <c r="C1327" t="s">
        <v>40</v>
      </c>
      <c r="D1327">
        <v>4.863359</v>
      </c>
      <c r="E1327">
        <v>0.55685180000000001</v>
      </c>
      <c r="F1327" t="s">
        <v>41</v>
      </c>
      <c r="G1327">
        <v>-215.0487</v>
      </c>
      <c r="H1327" s="1">
        <v>-3.3745730000000002E-6</v>
      </c>
      <c r="I1327">
        <v>363.21390000000002</v>
      </c>
      <c r="J1327">
        <v>-233.20230000000001</v>
      </c>
      <c r="K1327">
        <v>1.1096839999999999</v>
      </c>
      <c r="L1327">
        <v>366.93189999999998</v>
      </c>
      <c r="M1327">
        <v>0.99967620000000001</v>
      </c>
      <c r="N1327">
        <v>-1.423702E-2</v>
      </c>
      <c r="O1327">
        <v>-2.10978E-2</v>
      </c>
      <c r="P1327">
        <v>0.98157689999999997</v>
      </c>
      <c r="Q1327">
        <v>0.18432999999999999</v>
      </c>
      <c r="R1327">
        <v>-5.0295380000000001E-2</v>
      </c>
      <c r="S1327">
        <v>3.059952</v>
      </c>
      <c r="T1327">
        <v>-0.1852598</v>
      </c>
      <c r="U1327">
        <v>-0.62139889999999998</v>
      </c>
      <c r="V1327">
        <v>2.9910869999999999E-2</v>
      </c>
      <c r="W1327">
        <v>0.19824749999999999</v>
      </c>
      <c r="X1327">
        <v>0.97969550000000005</v>
      </c>
      <c r="Y1327">
        <v>0.17792339999999901</v>
      </c>
      <c r="Z1327">
        <v>-5.6424530000000004E-3</v>
      </c>
      <c r="AA1327">
        <v>0.98402820000000002</v>
      </c>
      <c r="AB1327">
        <v>30</v>
      </c>
      <c r="AC1327">
        <v>18.153600000000001</v>
      </c>
      <c r="AD1327">
        <v>-1.109687374573</v>
      </c>
      <c r="AE1327">
        <v>-3.71799999999996</v>
      </c>
      <c r="AF1327">
        <v>3.3222184556691698</v>
      </c>
      <c r="AG1327">
        <v>-1.109687374573</v>
      </c>
      <c r="AH1327">
        <v>18.1628729658064</v>
      </c>
      <c r="AI1327">
        <v>93.439303148302002</v>
      </c>
      <c r="AJ1327">
        <v>79.634465856588506</v>
      </c>
      <c r="AK1327">
        <v>18.497526751122599</v>
      </c>
      <c r="AL1327">
        <v>78.565503742606595</v>
      </c>
      <c r="AM1327">
        <v>88.251258246557001</v>
      </c>
      <c r="AN1327">
        <v>1.0000000020603199</v>
      </c>
    </row>
    <row r="1328" spans="1:40" x14ac:dyDescent="0.25">
      <c r="A1328" t="str">
        <f>"20190304155617072"</f>
        <v>20190304155617072</v>
      </c>
      <c r="B1328" t="str">
        <f>"1551686177066266"</f>
        <v>1551686177066266</v>
      </c>
      <c r="C1328" t="s">
        <v>40</v>
      </c>
      <c r="D1328">
        <v>4.841723</v>
      </c>
      <c r="E1328">
        <v>0.55673619999999902</v>
      </c>
      <c r="F1328" t="s">
        <v>41</v>
      </c>
      <c r="G1328">
        <v>-215.06219999999999</v>
      </c>
      <c r="H1328" s="1">
        <v>-3.3638069999999999E-6</v>
      </c>
      <c r="I1328">
        <v>363.2371</v>
      </c>
      <c r="J1328">
        <v>-233.00890000000001</v>
      </c>
      <c r="K1328">
        <v>1.1096779999999999</v>
      </c>
      <c r="L1328">
        <v>366.92720000000003</v>
      </c>
      <c r="M1328">
        <v>0.99966410000000006</v>
      </c>
      <c r="N1328">
        <v>-1.4235009999999999E-2</v>
      </c>
      <c r="O1328">
        <v>-2.1660200000000001E-2</v>
      </c>
      <c r="P1328">
        <v>0.9816068</v>
      </c>
      <c r="Q1328">
        <v>0.18396480000000001</v>
      </c>
      <c r="R1328">
        <v>-5.1040879999999997E-2</v>
      </c>
      <c r="S1328">
        <v>3.0595400000000001</v>
      </c>
      <c r="T1328">
        <v>-0.18716169999999999</v>
      </c>
      <c r="U1328">
        <v>-0.62316890000000003</v>
      </c>
      <c r="V1328">
        <v>3.0102739999999999E-2</v>
      </c>
      <c r="W1328">
        <v>0.19788049999999999</v>
      </c>
      <c r="X1328">
        <v>0.97976379999999996</v>
      </c>
      <c r="Y1328">
        <v>0.17793619999999999</v>
      </c>
      <c r="Z1328">
        <v>-5.658695E-3</v>
      </c>
      <c r="AA1328">
        <v>0.98402579999999995</v>
      </c>
      <c r="AB1328">
        <v>30</v>
      </c>
      <c r="AC1328">
        <v>17.9467</v>
      </c>
      <c r="AD1328">
        <v>-1.109681363807</v>
      </c>
      <c r="AE1328">
        <v>-3.6901000000000201</v>
      </c>
      <c r="AF1328">
        <v>3.2884033370083499</v>
      </c>
      <c r="AG1328">
        <v>-1.109681363807</v>
      </c>
      <c r="AH1328">
        <v>17.956558179947098</v>
      </c>
      <c r="AI1328">
        <v>93.478570053093705</v>
      </c>
      <c r="AJ1328">
        <v>79.622355735435804</v>
      </c>
      <c r="AK1328">
        <v>18.288875605292201</v>
      </c>
      <c r="AL1328">
        <v>78.586956096841703</v>
      </c>
      <c r="AM1328">
        <v>88.240170192143694</v>
      </c>
      <c r="AN1328">
        <v>0.99999998551309799</v>
      </c>
    </row>
    <row r="1329" spans="1:40" x14ac:dyDescent="0.25">
      <c r="A1329" t="str">
        <f>"20190304155617083"</f>
        <v>20190304155617083</v>
      </c>
      <c r="B1329" t="str">
        <f>"1551686177076026"</f>
        <v>1551686177076026</v>
      </c>
      <c r="C1329" t="s">
        <v>40</v>
      </c>
      <c r="D1329">
        <v>4.807912</v>
      </c>
      <c r="E1329">
        <v>0.55671139999999997</v>
      </c>
      <c r="F1329" t="s">
        <v>41</v>
      </c>
      <c r="G1329">
        <v>-215.0659</v>
      </c>
      <c r="H1329" s="1">
        <v>-3.3558909999999999E-6</v>
      </c>
      <c r="I1329">
        <v>363.26209999999998</v>
      </c>
      <c r="J1329">
        <v>-232.83670000000001</v>
      </c>
      <c r="K1329">
        <v>1.109677</v>
      </c>
      <c r="L1329">
        <v>366.92290000000003</v>
      </c>
      <c r="M1329">
        <v>0.99965309999999996</v>
      </c>
      <c r="N1329">
        <v>-1.4233310000000001E-2</v>
      </c>
      <c r="O1329">
        <v>-2.2160840000000001E-2</v>
      </c>
      <c r="P1329">
        <v>0.98159689999999999</v>
      </c>
      <c r="Q1329">
        <v>0.18381929999999999</v>
      </c>
      <c r="R1329">
        <v>-5.1747580000000001E-2</v>
      </c>
      <c r="S1329">
        <v>3.059158</v>
      </c>
      <c r="T1329">
        <v>-0.1891929</v>
      </c>
      <c r="U1329">
        <v>-0.62487789999999999</v>
      </c>
      <c r="V1329">
        <v>3.031739E-2</v>
      </c>
      <c r="W1329">
        <v>0.1977333</v>
      </c>
      <c r="X1329">
        <v>0.97978690000000002</v>
      </c>
      <c r="Y1329">
        <v>0.17798849999999999</v>
      </c>
      <c r="Z1329">
        <v>-5.681434E-3</v>
      </c>
      <c r="AA1329">
        <v>0.98401620000000001</v>
      </c>
      <c r="AB1329">
        <v>30</v>
      </c>
      <c r="AC1329">
        <v>17.770800000000001</v>
      </c>
      <c r="AD1329">
        <v>-1.109680355891</v>
      </c>
      <c r="AE1329">
        <v>-3.6608000000000498</v>
      </c>
      <c r="AF1329">
        <v>3.2538738534168701</v>
      </c>
      <c r="AG1329">
        <v>-1.109680355891</v>
      </c>
      <c r="AH1329">
        <v>17.781059101707001</v>
      </c>
      <c r="AI1329">
        <v>93.512898237180195</v>
      </c>
      <c r="AJ1329">
        <v>79.629807773792606</v>
      </c>
      <c r="AK1329">
        <v>18.110360248338399</v>
      </c>
      <c r="AL1329">
        <v>78.595560043605602</v>
      </c>
      <c r="AM1329">
        <v>88.227671319691893</v>
      </c>
      <c r="AN1329">
        <v>0.99999998573845605</v>
      </c>
    </row>
    <row r="1330" spans="1:40" x14ac:dyDescent="0.25">
      <c r="A1330" t="str">
        <f>"20190304155617094"</f>
        <v>20190304155617094</v>
      </c>
      <c r="B1330" t="str">
        <f>"1551686177085786"</f>
        <v>1551686177085786</v>
      </c>
      <c r="C1330" t="s">
        <v>40</v>
      </c>
      <c r="D1330">
        <v>4.839207</v>
      </c>
      <c r="E1330">
        <v>0.55672449999999996</v>
      </c>
      <c r="F1330" t="s">
        <v>41</v>
      </c>
      <c r="G1330">
        <v>-214.96510000000001</v>
      </c>
      <c r="H1330" s="1">
        <v>-3.391139E-6</v>
      </c>
      <c r="I1330">
        <v>363.25850000000003</v>
      </c>
      <c r="J1330">
        <v>-232.6996</v>
      </c>
      <c r="K1330">
        <v>1.109675</v>
      </c>
      <c r="L1330">
        <v>366.91950000000003</v>
      </c>
      <c r="M1330">
        <v>0.99964419999999998</v>
      </c>
      <c r="N1330">
        <v>-1.423194E-2</v>
      </c>
      <c r="O1330">
        <v>-2.2559679999999999E-2</v>
      </c>
      <c r="P1330">
        <v>0.9815334</v>
      </c>
      <c r="Q1330">
        <v>0.18398900000000001</v>
      </c>
      <c r="R1330">
        <v>-5.2349390000000003E-2</v>
      </c>
      <c r="S1330">
        <v>3.0587460000000002</v>
      </c>
      <c r="T1330">
        <v>-0.18992229999999999</v>
      </c>
      <c r="U1330">
        <v>-0.62716669999999997</v>
      </c>
      <c r="V1330">
        <v>3.0528630000000001E-2</v>
      </c>
      <c r="W1330">
        <v>0.1979011</v>
      </c>
      <c r="X1330">
        <v>0.97974649999999996</v>
      </c>
      <c r="Y1330">
        <v>0.1783257</v>
      </c>
      <c r="Z1330">
        <v>-5.6912789999999996E-3</v>
      </c>
      <c r="AA1330">
        <v>0.98395509999999997</v>
      </c>
      <c r="AB1330">
        <v>30</v>
      </c>
      <c r="AC1330">
        <v>17.734499999999901</v>
      </c>
      <c r="AD1330">
        <v>-1.109678391139</v>
      </c>
      <c r="AE1330">
        <v>-3.661</v>
      </c>
      <c r="AF1330">
        <v>3.2477469915235599</v>
      </c>
      <c r="AG1330">
        <v>-1.109678391139</v>
      </c>
      <c r="AH1330">
        <v>17.745945497935502</v>
      </c>
      <c r="AI1330">
        <v>93.519815007085796</v>
      </c>
      <c r="AJ1330">
        <v>79.628874281369605</v>
      </c>
      <c r="AK1330">
        <v>18.074784321490799</v>
      </c>
      <c r="AL1330">
        <v>78.585752430266993</v>
      </c>
      <c r="AM1330">
        <v>88.215256824780496</v>
      </c>
      <c r="AN1330">
        <v>1.00000002344656</v>
      </c>
    </row>
    <row r="1331" spans="1:40" x14ac:dyDescent="0.25">
      <c r="A1331" t="str">
        <f>"20190304155617108"</f>
        <v>20190304155617108</v>
      </c>
      <c r="B1331" t="str">
        <f>"1551686177095547"</f>
        <v>1551686177095547</v>
      </c>
      <c r="C1331" t="s">
        <v>40</v>
      </c>
      <c r="D1331">
        <v>4.8774879999999996</v>
      </c>
      <c r="E1331">
        <v>0.55674250000000003</v>
      </c>
      <c r="F1331" t="s">
        <v>41</v>
      </c>
      <c r="G1331">
        <v>-214.851</v>
      </c>
      <c r="H1331" s="1">
        <v>-3.4330590000000001E-6</v>
      </c>
      <c r="I1331">
        <v>363.24689999999998</v>
      </c>
      <c r="J1331">
        <v>-232.52209999999999</v>
      </c>
      <c r="K1331">
        <v>1.1096820000000001</v>
      </c>
      <c r="L1331">
        <v>366.91500000000002</v>
      </c>
      <c r="M1331">
        <v>0.99963250000000003</v>
      </c>
      <c r="N1331">
        <v>-1.4230110000000001E-2</v>
      </c>
      <c r="O1331">
        <v>-2.3075450000000001E-2</v>
      </c>
      <c r="P1331">
        <v>0.98147180000000001</v>
      </c>
      <c r="Q1331">
        <v>0.1841209</v>
      </c>
      <c r="R1331">
        <v>-5.3037840000000003E-2</v>
      </c>
      <c r="S1331">
        <v>3.0585330000000002</v>
      </c>
      <c r="T1331">
        <v>-0.19015399999999999</v>
      </c>
      <c r="U1331">
        <v>-0.62933349999999999</v>
      </c>
      <c r="V1331">
        <v>3.0711370000000002E-2</v>
      </c>
      <c r="W1331">
        <v>0.1980306</v>
      </c>
      <c r="X1331">
        <v>0.97971459999999999</v>
      </c>
      <c r="Y1331">
        <v>0.17849970000000001</v>
      </c>
      <c r="Z1331">
        <v>-5.6783249999999997E-3</v>
      </c>
      <c r="AA1331">
        <v>0.98392360000000001</v>
      </c>
      <c r="AB1331">
        <v>30</v>
      </c>
      <c r="AC1331">
        <v>17.6710999999999</v>
      </c>
      <c r="AD1331">
        <v>-1.109685433059</v>
      </c>
      <c r="AE1331">
        <v>-3.6681000000000301</v>
      </c>
      <c r="AF1331">
        <v>3.24703773366253</v>
      </c>
      <c r="AG1331">
        <v>-1.109685433059</v>
      </c>
      <c r="AH1331">
        <v>17.684189865818102</v>
      </c>
      <c r="AI1331">
        <v>93.531723718710595</v>
      </c>
      <c r="AJ1331">
        <v>79.595669821183805</v>
      </c>
      <c r="AK1331">
        <v>18.014028617010499</v>
      </c>
      <c r="AL1331">
        <v>78.578182569252903</v>
      </c>
      <c r="AM1331">
        <v>88.2045221580412</v>
      </c>
      <c r="AN1331">
        <v>1.0000000021183899</v>
      </c>
    </row>
    <row r="1332" spans="1:40" x14ac:dyDescent="0.25">
      <c r="A1332" t="str">
        <f>"20190304155617121"</f>
        <v>20190304155617121</v>
      </c>
      <c r="B1332" t="str">
        <f>"1551686177116042"</f>
        <v>1551686177116042</v>
      </c>
      <c r="C1332" t="s">
        <v>40</v>
      </c>
      <c r="D1332">
        <v>4.994148</v>
      </c>
      <c r="E1332">
        <v>0.55671630000000005</v>
      </c>
      <c r="F1332" t="s">
        <v>41</v>
      </c>
      <c r="G1332">
        <v>-214.65960000000001</v>
      </c>
      <c r="H1332" s="1">
        <v>-3.5044970000000002E-6</v>
      </c>
      <c r="I1332">
        <v>363.22320000000002</v>
      </c>
      <c r="J1332">
        <v>-232.3442</v>
      </c>
      <c r="K1332">
        <v>1.109683</v>
      </c>
      <c r="L1332">
        <v>366.91030000000001</v>
      </c>
      <c r="M1332">
        <v>0.99962059999999997</v>
      </c>
      <c r="N1332">
        <v>-1.4228350000000001E-2</v>
      </c>
      <c r="O1332">
        <v>-2.3591339999999999E-2</v>
      </c>
      <c r="P1332">
        <v>0.98137490000000005</v>
      </c>
      <c r="Q1332">
        <v>0.18441489999999999</v>
      </c>
      <c r="R1332">
        <v>-5.3806039999999999E-2</v>
      </c>
      <c r="S1332">
        <v>3.0581360000000002</v>
      </c>
      <c r="T1332">
        <v>-0.18998300000000001</v>
      </c>
      <c r="U1332">
        <v>-0.63204959999999999</v>
      </c>
      <c r="V1332">
        <v>3.0974700000000001E-2</v>
      </c>
      <c r="W1332">
        <v>0.19832130000000001</v>
      </c>
      <c r="X1332">
        <v>0.9796475</v>
      </c>
      <c r="Y1332">
        <v>0.17885570000000001</v>
      </c>
      <c r="Z1332">
        <v>-5.6638440000000003E-3</v>
      </c>
      <c r="AA1332">
        <v>0.98385900000000004</v>
      </c>
      <c r="AB1332">
        <v>30</v>
      </c>
      <c r="AC1332">
        <v>17.6845999999999</v>
      </c>
      <c r="AD1332">
        <v>-1.1096865044969999</v>
      </c>
      <c r="AE1332">
        <v>-3.6870999999999801</v>
      </c>
      <c r="AF1332">
        <v>3.2565398786942299</v>
      </c>
      <c r="AG1332">
        <v>-1.1096865044969999</v>
      </c>
      <c r="AH1332">
        <v>17.699881162793801</v>
      </c>
      <c r="AI1332">
        <v>93.528370010111402</v>
      </c>
      <c r="AJ1332">
        <v>79.574937468857897</v>
      </c>
      <c r="AK1332">
        <v>18.031146643982702</v>
      </c>
      <c r="AL1332">
        <v>78.561189599107394</v>
      </c>
      <c r="AM1332">
        <v>88.189013360586799</v>
      </c>
      <c r="AN1332">
        <v>0.99999999716501498</v>
      </c>
    </row>
    <row r="1333" spans="1:40" x14ac:dyDescent="0.25">
      <c r="A1333" t="str">
        <f>"20190304155617133"</f>
        <v>20190304155617133</v>
      </c>
      <c r="B1333" t="str">
        <f>"1551686177125802"</f>
        <v>1551686177125802</v>
      </c>
      <c r="C1333" t="s">
        <v>40</v>
      </c>
      <c r="D1333">
        <v>4.8578239999999999</v>
      </c>
      <c r="E1333">
        <v>0.55674619999999997</v>
      </c>
      <c r="F1333" t="s">
        <v>41</v>
      </c>
      <c r="G1333">
        <v>-214.42080000000001</v>
      </c>
      <c r="H1333" s="1">
        <v>-3.5942700000000001E-6</v>
      </c>
      <c r="I1333">
        <v>363.19130000000001</v>
      </c>
      <c r="J1333">
        <v>-232.185</v>
      </c>
      <c r="K1333">
        <v>1.109686</v>
      </c>
      <c r="L1333">
        <v>366.90609999999998</v>
      </c>
      <c r="M1333">
        <v>0.99960959999999999</v>
      </c>
      <c r="N1333">
        <v>-1.422676E-2</v>
      </c>
      <c r="O1333">
        <v>-2.405299E-2</v>
      </c>
      <c r="P1333">
        <v>0.98132549999999996</v>
      </c>
      <c r="Q1333">
        <v>0.18434500000000001</v>
      </c>
      <c r="R1333">
        <v>-5.4933179999999998E-2</v>
      </c>
      <c r="S1333">
        <v>3.0577390000000002</v>
      </c>
      <c r="T1333">
        <v>-0.18931220000000001</v>
      </c>
      <c r="U1333">
        <v>-0.63446040000000004</v>
      </c>
      <c r="V1333">
        <v>3.1648870000000003E-2</v>
      </c>
      <c r="W1333">
        <v>0.1982488</v>
      </c>
      <c r="X1333">
        <v>0.97964059999999997</v>
      </c>
      <c r="Y1333">
        <v>0.17917259999999999</v>
      </c>
      <c r="Z1333">
        <v>-5.639944E-3</v>
      </c>
      <c r="AA1333">
        <v>0.9838015</v>
      </c>
      <c r="AB1333">
        <v>30</v>
      </c>
      <c r="AC1333">
        <v>17.764199999999899</v>
      </c>
      <c r="AD1333">
        <v>-1.10968959427</v>
      </c>
      <c r="AE1333">
        <v>-3.7147999999999599</v>
      </c>
      <c r="AF1333">
        <v>3.2741585474961301</v>
      </c>
      <c r="AG1333">
        <v>-1.10968959427</v>
      </c>
      <c r="AH1333">
        <v>17.781938805597701</v>
      </c>
      <c r="AI1333">
        <v>93.512049951761398</v>
      </c>
      <c r="AJ1333">
        <v>79.567080116699302</v>
      </c>
      <c r="AK1333">
        <v>18.114879874727102</v>
      </c>
      <c r="AL1333">
        <v>78.565427394703306</v>
      </c>
      <c r="AM1333">
        <v>88.149610991628904</v>
      </c>
      <c r="AN1333">
        <v>0.99999997142103803</v>
      </c>
    </row>
    <row r="1334" spans="1:40" x14ac:dyDescent="0.25">
      <c r="A1334" t="str">
        <f>"20190304155617145"</f>
        <v>20190304155617145</v>
      </c>
      <c r="B1334" t="str">
        <f>"1551686177135562"</f>
        <v>1551686177135562</v>
      </c>
      <c r="C1334" t="s">
        <v>40</v>
      </c>
      <c r="D1334">
        <v>4.8622420000000002</v>
      </c>
      <c r="E1334">
        <v>0.55674279999999998</v>
      </c>
      <c r="F1334" t="s">
        <v>41</v>
      </c>
      <c r="G1334">
        <v>-214.30410000000001</v>
      </c>
      <c r="H1334" s="1">
        <v>-3.6397469999999999E-6</v>
      </c>
      <c r="I1334">
        <v>363.1696</v>
      </c>
      <c r="J1334">
        <v>-232.03059999999999</v>
      </c>
      <c r="K1334">
        <v>1.109685</v>
      </c>
      <c r="L1334">
        <v>366.90190000000001</v>
      </c>
      <c r="M1334">
        <v>0.99959869999999995</v>
      </c>
      <c r="N1334">
        <v>-1.422521E-2</v>
      </c>
      <c r="O1334">
        <v>-2.4500810000000001E-2</v>
      </c>
      <c r="P1334">
        <v>0.98122259999999994</v>
      </c>
      <c r="Q1334">
        <v>0.184669</v>
      </c>
      <c r="R1334">
        <v>-5.567648E-2</v>
      </c>
      <c r="S1334">
        <v>3.0569760000000001</v>
      </c>
      <c r="T1334">
        <v>-0.18971499999999999</v>
      </c>
      <c r="U1334">
        <v>-0.63879390000000003</v>
      </c>
      <c r="V1334">
        <v>3.1954539999999997E-2</v>
      </c>
      <c r="W1334">
        <v>0.19856950000000001</v>
      </c>
      <c r="X1334">
        <v>0.97956569999999998</v>
      </c>
      <c r="Y1334">
        <v>0.1801142</v>
      </c>
      <c r="Z1334">
        <v>-5.6633760000000003E-3</v>
      </c>
      <c r="AA1334">
        <v>0.98362939999999999</v>
      </c>
      <c r="AB1334">
        <v>29</v>
      </c>
      <c r="AC1334">
        <v>17.726499999999898</v>
      </c>
      <c r="AD1334">
        <v>-1.109688639747</v>
      </c>
      <c r="AE1334">
        <v>-3.7323</v>
      </c>
      <c r="AF1334">
        <v>3.2844968597053499</v>
      </c>
      <c r="AG1334">
        <v>-1.109688639747</v>
      </c>
      <c r="AH1334">
        <v>17.746039604188098</v>
      </c>
      <c r="AI1334">
        <v>93.518535322398805</v>
      </c>
      <c r="AJ1334">
        <v>79.514163107392505</v>
      </c>
      <c r="AK1334">
        <v>18.081516809493898</v>
      </c>
      <c r="AL1334">
        <v>78.546679673287201</v>
      </c>
      <c r="AM1334">
        <v>88.131609484476598</v>
      </c>
      <c r="AN1334">
        <v>0.99999994978667395</v>
      </c>
    </row>
    <row r="1335" spans="1:40" x14ac:dyDescent="0.25">
      <c r="A1335" t="str">
        <f>"20190304155617156"</f>
        <v>20190304155617156</v>
      </c>
      <c r="B1335" t="str">
        <f>"1551686177146299"</f>
        <v>1551686177146299</v>
      </c>
      <c r="C1335" t="s">
        <v>40</v>
      </c>
      <c r="D1335">
        <v>4.8530350000000002</v>
      </c>
      <c r="E1335">
        <v>0.55677940000000004</v>
      </c>
      <c r="F1335" t="s">
        <v>41</v>
      </c>
      <c r="G1335">
        <v>-214.07660000000001</v>
      </c>
      <c r="H1335" s="1">
        <v>-3.7257109999999998E-6</v>
      </c>
      <c r="I1335">
        <v>363.13749999999999</v>
      </c>
      <c r="J1335">
        <v>-231.88229999999999</v>
      </c>
      <c r="K1335">
        <v>1.1096839999999999</v>
      </c>
      <c r="L1335">
        <v>366.89780000000002</v>
      </c>
      <c r="M1335">
        <v>0.99958809999999998</v>
      </c>
      <c r="N1335">
        <v>-1.422374E-2</v>
      </c>
      <c r="O1335">
        <v>-2.4930270000000001E-2</v>
      </c>
      <c r="P1335">
        <v>0.98118939999999999</v>
      </c>
      <c r="Q1335">
        <v>0.18465429999999999</v>
      </c>
      <c r="R1335">
        <v>-5.6305239999999999E-2</v>
      </c>
      <c r="S1335">
        <v>3.0565950000000002</v>
      </c>
      <c r="T1335">
        <v>-0.18891949999999999</v>
      </c>
      <c r="U1335">
        <v>-0.64086909999999997</v>
      </c>
      <c r="V1335">
        <v>3.2161410000000001E-2</v>
      </c>
      <c r="W1335">
        <v>0.19855310000000001</v>
      </c>
      <c r="X1335">
        <v>0.9795623</v>
      </c>
      <c r="Y1335">
        <v>0.18035870000000001</v>
      </c>
      <c r="Z1335">
        <v>-5.6357269999999897E-3</v>
      </c>
      <c r="AA1335">
        <v>0.98358480000000004</v>
      </c>
      <c r="AB1335">
        <v>29</v>
      </c>
      <c r="AC1335">
        <v>17.805699999999899</v>
      </c>
      <c r="AD1335">
        <v>-1.1096877257110001</v>
      </c>
      <c r="AE1335">
        <v>-3.76030000000002</v>
      </c>
      <c r="AF1335">
        <v>3.3029043718887201</v>
      </c>
      <c r="AG1335">
        <v>-1.1096877257110001</v>
      </c>
      <c r="AH1335">
        <v>17.827632644139701</v>
      </c>
      <c r="AI1335">
        <v>93.502353089983998</v>
      </c>
      <c r="AJ1335">
        <v>79.503890302760198</v>
      </c>
      <c r="AK1335">
        <v>18.164940677933199</v>
      </c>
      <c r="AL1335">
        <v>78.547638935407207</v>
      </c>
      <c r="AM1335">
        <v>88.119515874296397</v>
      </c>
      <c r="AN1335">
        <v>0.99999999469704404</v>
      </c>
    </row>
    <row r="1336" spans="1:40" x14ac:dyDescent="0.25">
      <c r="A1336" t="str">
        <f>"20190304155617167"</f>
        <v>20190304155617167</v>
      </c>
      <c r="B1336" t="str">
        <f>"1551686177165818"</f>
        <v>1551686177165818</v>
      </c>
      <c r="C1336" t="s">
        <v>40</v>
      </c>
      <c r="D1336">
        <v>4.8399289999999997</v>
      </c>
      <c r="E1336">
        <v>0.55685200000000001</v>
      </c>
      <c r="F1336" t="s">
        <v>41</v>
      </c>
      <c r="G1336">
        <v>-213.94929999999999</v>
      </c>
      <c r="H1336" s="1">
        <v>-3.7726429999999998E-6</v>
      </c>
      <c r="I1336">
        <v>363.12389999999999</v>
      </c>
      <c r="J1336">
        <v>-231.72630000000001</v>
      </c>
      <c r="K1336">
        <v>1.109686</v>
      </c>
      <c r="L1336">
        <v>366.89350000000002</v>
      </c>
      <c r="M1336">
        <v>0.99957669999999998</v>
      </c>
      <c r="N1336">
        <v>-1.4222210000000001E-2</v>
      </c>
      <c r="O1336">
        <v>-2.5381790000000001E-2</v>
      </c>
      <c r="P1336">
        <v>0.98121550000000002</v>
      </c>
      <c r="Q1336">
        <v>0.18429680000000001</v>
      </c>
      <c r="R1336">
        <v>-5.70197E-2</v>
      </c>
      <c r="S1336">
        <v>3.0561829999999999</v>
      </c>
      <c r="T1336">
        <v>-0.18911559999999999</v>
      </c>
      <c r="U1336">
        <v>-0.64315800000000001</v>
      </c>
      <c r="V1336">
        <v>3.2430189999999998E-2</v>
      </c>
      <c r="W1336">
        <v>0.1981946</v>
      </c>
      <c r="X1336">
        <v>0.97962610000000006</v>
      </c>
      <c r="Y1336">
        <v>0.18064569999999999</v>
      </c>
      <c r="Z1336">
        <v>-5.6296109999999996E-3</v>
      </c>
      <c r="AA1336">
        <v>0.98353210000000002</v>
      </c>
      <c r="AB1336">
        <v>29</v>
      </c>
      <c r="AC1336">
        <v>17.777000000000001</v>
      </c>
      <c r="AD1336">
        <v>-1.1096897726429999</v>
      </c>
      <c r="AE1336">
        <v>-3.76960000000002</v>
      </c>
      <c r="AF1336">
        <v>3.3048042102894302</v>
      </c>
      <c r="AG1336">
        <v>-1.1096897726429999</v>
      </c>
      <c r="AH1336">
        <v>17.800583329922201</v>
      </c>
      <c r="AI1336">
        <v>93.507424791196897</v>
      </c>
      <c r="AJ1336">
        <v>79.482384439960498</v>
      </c>
      <c r="AK1336">
        <v>18.138740561167999</v>
      </c>
      <c r="AL1336">
        <v>78.568596676693403</v>
      </c>
      <c r="AM1336">
        <v>88.103935081357804</v>
      </c>
      <c r="AN1336">
        <v>1.0000000562469</v>
      </c>
    </row>
    <row r="1337" spans="1:40" x14ac:dyDescent="0.25">
      <c r="A1337" t="str">
        <f>"20190304155617180"</f>
        <v>20190304155617180</v>
      </c>
      <c r="B1337" t="str">
        <f>"1551686177175578"</f>
        <v>1551686177175578</v>
      </c>
      <c r="C1337" t="s">
        <v>40</v>
      </c>
      <c r="D1337">
        <v>4.8532270000000004</v>
      </c>
      <c r="E1337">
        <v>0.55686440000000004</v>
      </c>
      <c r="F1337" t="s">
        <v>41</v>
      </c>
      <c r="G1337">
        <v>-213.9297</v>
      </c>
      <c r="H1337" s="1">
        <v>-3.7776329999999999E-6</v>
      </c>
      <c r="I1337">
        <v>363.1302</v>
      </c>
      <c r="J1337">
        <v>-231.57419999999999</v>
      </c>
      <c r="K1337">
        <v>1.109686</v>
      </c>
      <c r="L1337">
        <v>366.88909999999998</v>
      </c>
      <c r="M1337">
        <v>0.99956540000000005</v>
      </c>
      <c r="N1337">
        <v>-1.4220709999999999E-2</v>
      </c>
      <c r="O1337">
        <v>-2.5821859999999999E-2</v>
      </c>
      <c r="P1337">
        <v>0.98118450000000001</v>
      </c>
      <c r="Q1337">
        <v>0.1842647</v>
      </c>
      <c r="R1337">
        <v>-5.7650550000000002E-2</v>
      </c>
      <c r="S1337">
        <v>3.055679</v>
      </c>
      <c r="T1337">
        <v>-0.1905336</v>
      </c>
      <c r="U1337">
        <v>-0.64614869999999902</v>
      </c>
      <c r="V1337">
        <v>3.2628789999999998E-2</v>
      </c>
      <c r="W1337">
        <v>0.19816049999999999</v>
      </c>
      <c r="X1337">
        <v>0.97962640000000001</v>
      </c>
      <c r="Y1337">
        <v>0.18116119999999999</v>
      </c>
      <c r="Z1337">
        <v>-5.658242E-3</v>
      </c>
      <c r="AA1337">
        <v>0.98343709999999995</v>
      </c>
      <c r="AB1337">
        <v>29</v>
      </c>
      <c r="AC1337">
        <v>17.644499999999901</v>
      </c>
      <c r="AD1337">
        <v>-1.1096897776329999</v>
      </c>
      <c r="AE1337">
        <v>-3.7588999999999801</v>
      </c>
      <c r="AF1337">
        <v>3.2895400904049801</v>
      </c>
      <c r="AG1337">
        <v>-1.1096897776329999</v>
      </c>
      <c r="AH1337">
        <v>17.668834711980701</v>
      </c>
      <c r="AI1337">
        <v>93.533182453702906</v>
      </c>
      <c r="AJ1337">
        <v>79.453560516120305</v>
      </c>
      <c r="AK1337">
        <v>18.0066711384492</v>
      </c>
      <c r="AL1337">
        <v>78.570589956103305</v>
      </c>
      <c r="AM1337">
        <v>88.092332862065902</v>
      </c>
      <c r="AN1337">
        <v>1.0000000526370301</v>
      </c>
    </row>
    <row r="1338" spans="1:40" x14ac:dyDescent="0.25">
      <c r="A1338" t="str">
        <f>"20190304155617191"</f>
        <v>20190304155617191</v>
      </c>
      <c r="B1338" t="str">
        <f>"1551686177186315"</f>
        <v>1551686177186315</v>
      </c>
      <c r="C1338" t="s">
        <v>40</v>
      </c>
      <c r="D1338">
        <v>4.861923</v>
      </c>
      <c r="E1338">
        <v>0.55684290000000003</v>
      </c>
      <c r="F1338" t="s">
        <v>41</v>
      </c>
      <c r="G1338">
        <v>-213.82050000000001</v>
      </c>
      <c r="H1338" s="1">
        <v>-3.8167649999999997E-6</v>
      </c>
      <c r="I1338">
        <v>363.12279999999998</v>
      </c>
      <c r="J1338">
        <v>-231.42449999999999</v>
      </c>
      <c r="K1338">
        <v>1.109686</v>
      </c>
      <c r="L1338">
        <v>366.88479999999998</v>
      </c>
      <c r="M1338">
        <v>0.99955419999999995</v>
      </c>
      <c r="N1338">
        <v>-1.4219219999999999E-2</v>
      </c>
      <c r="O1338">
        <v>-2.6255259999999999E-2</v>
      </c>
      <c r="P1338">
        <v>0.98117659999999995</v>
      </c>
      <c r="Q1338">
        <v>0.184116</v>
      </c>
      <c r="R1338">
        <v>-5.8260329999999999E-2</v>
      </c>
      <c r="S1338">
        <v>3.0553279999999998</v>
      </c>
      <c r="T1338">
        <v>-0.19097210000000001</v>
      </c>
      <c r="U1338">
        <v>-0.64816280000000004</v>
      </c>
      <c r="V1338">
        <v>3.2811960000000001E-2</v>
      </c>
      <c r="W1338">
        <v>0.19801089999999999</v>
      </c>
      <c r="X1338">
        <v>0.97965049999999998</v>
      </c>
      <c r="Y1338">
        <v>0.1813766</v>
      </c>
      <c r="Z1338">
        <v>-5.6550659999999899E-3</v>
      </c>
      <c r="AA1338">
        <v>0.98339750000000004</v>
      </c>
      <c r="AB1338">
        <v>29</v>
      </c>
      <c r="AC1338">
        <v>17.6039999999999</v>
      </c>
      <c r="AD1338">
        <v>-1.109689816765</v>
      </c>
      <c r="AE1338">
        <v>-3.762</v>
      </c>
      <c r="AF1338">
        <v>3.2859717903405499</v>
      </c>
      <c r="AG1338">
        <v>-1.109689816765</v>
      </c>
      <c r="AH1338">
        <v>17.629719050776899</v>
      </c>
      <c r="AI1338">
        <v>93.5408678842809</v>
      </c>
      <c r="AJ1338">
        <v>79.441894500984205</v>
      </c>
      <c r="AK1338">
        <v>17.9676380168811</v>
      </c>
      <c r="AL1338">
        <v>78.579334325470299</v>
      </c>
      <c r="AM1338">
        <v>88.081678825294404</v>
      </c>
      <c r="AN1338">
        <v>1.0000000216940499</v>
      </c>
    </row>
    <row r="1339" spans="1:40" x14ac:dyDescent="0.25">
      <c r="A1339" t="str">
        <f>"20190304155617203"</f>
        <v>20190304155617203</v>
      </c>
      <c r="B1339" t="str">
        <f>"1551686177196074"</f>
        <v>1551686177196074</v>
      </c>
      <c r="C1339" t="s">
        <v>40</v>
      </c>
      <c r="D1339">
        <v>4.8678509999999999</v>
      </c>
      <c r="E1339">
        <v>0.5568649</v>
      </c>
      <c r="F1339" t="s">
        <v>41</v>
      </c>
      <c r="G1339">
        <v>-213.73060000000001</v>
      </c>
      <c r="H1339" s="1">
        <v>-3.8483510000000004E-6</v>
      </c>
      <c r="I1339">
        <v>363.1191</v>
      </c>
      <c r="J1339">
        <v>-231.25919999999999</v>
      </c>
      <c r="K1339">
        <v>1.109685</v>
      </c>
      <c r="L1339">
        <v>366.88</v>
      </c>
      <c r="M1339">
        <v>0.99954160000000003</v>
      </c>
      <c r="N1339">
        <v>-1.4217499999999999E-2</v>
      </c>
      <c r="O1339">
        <v>-2.6733469999999999E-2</v>
      </c>
      <c r="P1339">
        <v>0.98116409999999998</v>
      </c>
      <c r="Q1339">
        <v>0.18403800000000001</v>
      </c>
      <c r="R1339">
        <v>-5.8712140000000003E-2</v>
      </c>
      <c r="S1339">
        <v>3.0548860000000002</v>
      </c>
      <c r="T1339">
        <v>-0.1915897</v>
      </c>
      <c r="U1339">
        <v>-0.65014649999999996</v>
      </c>
      <c r="V1339">
        <v>3.2793370000000002E-2</v>
      </c>
      <c r="W1339">
        <v>0.19793150000000001</v>
      </c>
      <c r="X1339">
        <v>0.97966710000000001</v>
      </c>
      <c r="Y1339">
        <v>0.18154390000000001</v>
      </c>
      <c r="Z1339">
        <v>-5.6516229999999997E-3</v>
      </c>
      <c r="AA1339">
        <v>0.98336659999999998</v>
      </c>
      <c r="AB1339">
        <v>29</v>
      </c>
      <c r="AC1339">
        <v>17.528599999999901</v>
      </c>
      <c r="AD1339">
        <v>-1.1096888483509999</v>
      </c>
      <c r="AE1339">
        <v>-3.7608999999999901</v>
      </c>
      <c r="AF1339">
        <v>3.2783471723109998</v>
      </c>
      <c r="AG1339">
        <v>-1.1096888483509999</v>
      </c>
      <c r="AH1339">
        <v>17.555622750200101</v>
      </c>
      <c r="AI1339">
        <v>93.555546017297402</v>
      </c>
      <c r="AJ1339">
        <v>79.422384316148694</v>
      </c>
      <c r="AK1339">
        <v>17.893542401371999</v>
      </c>
      <c r="AL1339">
        <v>78.583974700550399</v>
      </c>
      <c r="AM1339">
        <v>88.082797323666199</v>
      </c>
      <c r="AN1339">
        <v>0.99999995531530705</v>
      </c>
    </row>
    <row r="1340" spans="1:40" x14ac:dyDescent="0.25">
      <c r="A1340" t="str">
        <f>"20190304155617215"</f>
        <v>20190304155617215</v>
      </c>
      <c r="B1340" t="str">
        <f>"1551686177205835"</f>
        <v>1551686177205835</v>
      </c>
      <c r="C1340" t="s">
        <v>40</v>
      </c>
      <c r="D1340">
        <v>4.8944080000000003</v>
      </c>
      <c r="E1340">
        <v>0.55690499999999998</v>
      </c>
      <c r="F1340" t="s">
        <v>41</v>
      </c>
      <c r="G1340">
        <v>-213.5975</v>
      </c>
      <c r="H1340" s="1">
        <v>-3.8957200000000004E-6</v>
      </c>
      <c r="I1340">
        <v>363.11130000000003</v>
      </c>
      <c r="J1340">
        <v>-231.102</v>
      </c>
      <c r="K1340">
        <v>1.109686</v>
      </c>
      <c r="L1340">
        <v>366.87529999999998</v>
      </c>
      <c r="M1340">
        <v>0.99952929999999995</v>
      </c>
      <c r="N1340">
        <v>-1.421594E-2</v>
      </c>
      <c r="O1340">
        <v>-2.7188560000000001E-2</v>
      </c>
      <c r="P1340">
        <v>0.98117679999999996</v>
      </c>
      <c r="Q1340">
        <v>0.18378839999999999</v>
      </c>
      <c r="R1340">
        <v>-5.9279180000000001E-2</v>
      </c>
      <c r="S1340">
        <v>3.0545960000000001</v>
      </c>
      <c r="T1340">
        <v>-0.19192039999999999</v>
      </c>
      <c r="U1340">
        <v>-0.6517944</v>
      </c>
      <c r="V1340">
        <v>3.2911699999999898E-2</v>
      </c>
      <c r="W1340">
        <v>0.19768089999999999</v>
      </c>
      <c r="X1340">
        <v>0.97971379999999997</v>
      </c>
      <c r="Y1340">
        <v>0.1816218</v>
      </c>
      <c r="Z1340">
        <v>-5.6396659999999998E-3</v>
      </c>
      <c r="AA1340">
        <v>0.98335229999999996</v>
      </c>
      <c r="AB1340">
        <v>29</v>
      </c>
      <c r="AC1340">
        <v>17.5045</v>
      </c>
      <c r="AD1340">
        <v>-1.1096898957200001</v>
      </c>
      <c r="AE1340">
        <v>-3.7639999999999501</v>
      </c>
      <c r="AF1340">
        <v>3.2740615287599399</v>
      </c>
      <c r="AG1340">
        <v>-1.1096898957200001</v>
      </c>
      <c r="AH1340">
        <v>17.533026897809901</v>
      </c>
      <c r="AI1340">
        <v>93.560122249416096</v>
      </c>
      <c r="AJ1340">
        <v>79.422592984124606</v>
      </c>
      <c r="AK1340">
        <v>17.870588204032199</v>
      </c>
      <c r="AL1340">
        <v>78.598623240621095</v>
      </c>
      <c r="AM1340">
        <v>88.075976221371704</v>
      </c>
      <c r="AN1340">
        <v>1.00000002406606</v>
      </c>
    </row>
    <row r="1341" spans="1:40" x14ac:dyDescent="0.25">
      <c r="A1341" t="str">
        <f>"20190304155617227"</f>
        <v>20190304155617227</v>
      </c>
      <c r="B1341" t="str">
        <f>"1551686177215595"</f>
        <v>1551686177215595</v>
      </c>
      <c r="C1341" t="s">
        <v>40</v>
      </c>
      <c r="D1341">
        <v>4.8953629999999997</v>
      </c>
      <c r="E1341">
        <v>0.55690949999999995</v>
      </c>
      <c r="F1341" t="s">
        <v>41</v>
      </c>
      <c r="G1341">
        <v>-213.523</v>
      </c>
      <c r="H1341" s="1">
        <v>-3.9211329999999999E-6</v>
      </c>
      <c r="I1341">
        <v>363.11110000000002</v>
      </c>
      <c r="J1341">
        <v>-230.94630000000001</v>
      </c>
      <c r="K1341">
        <v>1.109688</v>
      </c>
      <c r="L1341">
        <v>366.87060000000002</v>
      </c>
      <c r="M1341">
        <v>0.99951690000000004</v>
      </c>
      <c r="N1341">
        <v>-1.421448E-2</v>
      </c>
      <c r="O1341">
        <v>-2.763935E-2</v>
      </c>
      <c r="P1341">
        <v>0.98118249999999996</v>
      </c>
      <c r="Q1341">
        <v>0.18370349999999999</v>
      </c>
      <c r="R1341">
        <v>-5.9444230000000001E-2</v>
      </c>
      <c r="S1341">
        <v>3.0541529999999999</v>
      </c>
      <c r="T1341">
        <v>-0.192796</v>
      </c>
      <c r="U1341">
        <v>-0.65399169999999995</v>
      </c>
      <c r="V1341">
        <v>3.2632790000000002E-2</v>
      </c>
      <c r="W1341">
        <v>0.19759499999999999</v>
      </c>
      <c r="X1341">
        <v>0.97974039999999996</v>
      </c>
      <c r="Y1341">
        <v>0.18188070000000001</v>
      </c>
      <c r="Z1341">
        <v>-5.6460479999999999E-3</v>
      </c>
      <c r="AA1341">
        <v>0.98330439999999997</v>
      </c>
      <c r="AB1341">
        <v>29</v>
      </c>
      <c r="AC1341">
        <v>17.423300000000001</v>
      </c>
      <c r="AD1341">
        <v>-1.1096919211329901</v>
      </c>
      <c r="AE1341">
        <v>-3.7595000000000001</v>
      </c>
      <c r="AF1341">
        <v>3.2637957136412998</v>
      </c>
      <c r="AG1341">
        <v>-1.1096919211329901</v>
      </c>
      <c r="AH1341">
        <v>17.452915902993599</v>
      </c>
      <c r="AI1341">
        <v>93.5762546103673</v>
      </c>
      <c r="AJ1341">
        <v>79.407703580546993</v>
      </c>
      <c r="AK1341">
        <v>17.7901110771456</v>
      </c>
      <c r="AL1341">
        <v>78.603643324905903</v>
      </c>
      <c r="AM1341">
        <v>88.092321006087403</v>
      </c>
      <c r="AN1341">
        <v>0.99999996720017104</v>
      </c>
    </row>
    <row r="1342" spans="1:40" x14ac:dyDescent="0.25">
      <c r="A1342" t="str">
        <f>"20190304155617239"</f>
        <v>20190304155617239</v>
      </c>
      <c r="B1342" t="str">
        <f>"1551686177236091"</f>
        <v>1551686177236091</v>
      </c>
      <c r="C1342" t="s">
        <v>40</v>
      </c>
      <c r="D1342">
        <v>4.8271730000000002</v>
      </c>
      <c r="E1342">
        <v>0.55711319999999998</v>
      </c>
      <c r="F1342" t="s">
        <v>41</v>
      </c>
      <c r="G1342">
        <v>-213.41919999999999</v>
      </c>
      <c r="H1342" s="1">
        <v>-3.9591190000000002E-6</v>
      </c>
      <c r="I1342">
        <v>363.11259999999999</v>
      </c>
      <c r="J1342">
        <v>-230.79939999999999</v>
      </c>
      <c r="K1342">
        <v>1.109685</v>
      </c>
      <c r="L1342">
        <v>366.86610000000002</v>
      </c>
      <c r="M1342">
        <v>0.99950519999999998</v>
      </c>
      <c r="N1342">
        <v>-1.421302E-2</v>
      </c>
      <c r="O1342">
        <v>-2.80644E-2</v>
      </c>
      <c r="P1342">
        <v>0.98113139999999999</v>
      </c>
      <c r="Q1342">
        <v>0.18384059999999999</v>
      </c>
      <c r="R1342">
        <v>-5.986727E-2</v>
      </c>
      <c r="S1342">
        <v>3.0540470000000002</v>
      </c>
      <c r="T1342">
        <v>-0.19336039999999999</v>
      </c>
      <c r="U1342">
        <v>-0.654815699999999</v>
      </c>
      <c r="V1342">
        <v>3.2639179999999997E-2</v>
      </c>
      <c r="W1342">
        <v>0.1977305</v>
      </c>
      <c r="X1342">
        <v>0.9797129</v>
      </c>
      <c r="Y1342">
        <v>0.1817221</v>
      </c>
      <c r="Z1342">
        <v>-5.6308139999999996E-3</v>
      </c>
      <c r="AA1342">
        <v>0.98333380000000004</v>
      </c>
      <c r="AB1342">
        <v>29</v>
      </c>
      <c r="AC1342">
        <v>17.380199999999999</v>
      </c>
      <c r="AD1342">
        <v>-1.109688959119</v>
      </c>
      <c r="AE1342">
        <v>-3.75350000000003</v>
      </c>
      <c r="AF1342">
        <v>3.2515427592886801</v>
      </c>
      <c r="AG1342">
        <v>-1.109688959119</v>
      </c>
      <c r="AH1342">
        <v>17.410889668963801</v>
      </c>
      <c r="AI1342">
        <v>93.585017847957104</v>
      </c>
      <c r="AJ1342">
        <v>79.421674795317898</v>
      </c>
      <c r="AK1342">
        <v>17.746634017928699</v>
      </c>
      <c r="AL1342">
        <v>78.595724059318997</v>
      </c>
      <c r="AM1342">
        <v>88.091894211038493</v>
      </c>
      <c r="AN1342">
        <v>1.0000000165638601</v>
      </c>
    </row>
    <row r="1343" spans="1:40" x14ac:dyDescent="0.25">
      <c r="A1343" t="str">
        <f>"20190304155617253"</f>
        <v>20190304155617253</v>
      </c>
      <c r="B1343" t="str">
        <f>"1551686177245850"</f>
        <v>1551686177245850</v>
      </c>
      <c r="C1343" t="s">
        <v>40</v>
      </c>
      <c r="D1343">
        <v>4.812214</v>
      </c>
      <c r="E1343">
        <v>0.55711319999999998</v>
      </c>
      <c r="F1343" t="s">
        <v>41</v>
      </c>
      <c r="G1343">
        <v>-213.21170000000001</v>
      </c>
      <c r="H1343" s="1">
        <v>-4.0543759999999999E-6</v>
      </c>
      <c r="I1343">
        <v>363.07749999999999</v>
      </c>
      <c r="J1343">
        <v>-230.6174</v>
      </c>
      <c r="K1343">
        <v>1.109686</v>
      </c>
      <c r="L1343">
        <v>366.8605</v>
      </c>
      <c r="M1343">
        <v>0.99949010000000005</v>
      </c>
      <c r="N1343">
        <v>-1.4211140000000001E-2</v>
      </c>
      <c r="O1343">
        <v>-2.8591249999999999E-2</v>
      </c>
      <c r="P1343">
        <v>0.98115540000000001</v>
      </c>
      <c r="Q1343">
        <v>0.18364169999999999</v>
      </c>
      <c r="R1343">
        <v>-6.0084039999999998E-2</v>
      </c>
      <c r="S1343">
        <v>3.0536650000000001</v>
      </c>
      <c r="T1343">
        <v>-0.1926689</v>
      </c>
      <c r="U1343">
        <v>-0.65780640000000001</v>
      </c>
      <c r="V1343">
        <v>3.2336339999999998E-2</v>
      </c>
      <c r="W1343">
        <v>0.19753090000000001</v>
      </c>
      <c r="X1343">
        <v>0.97976319999999995</v>
      </c>
      <c r="Y1343">
        <v>0.1821516</v>
      </c>
      <c r="Z1343">
        <v>-5.6078459999999997E-3</v>
      </c>
      <c r="AA1343">
        <v>0.98325450000000003</v>
      </c>
      <c r="AB1343">
        <v>29</v>
      </c>
      <c r="AC1343">
        <v>17.4056999999999</v>
      </c>
      <c r="AD1343">
        <v>-1.109690054376</v>
      </c>
      <c r="AE1343">
        <v>-3.7830000000000101</v>
      </c>
      <c r="AF1343">
        <v>3.27105624742416</v>
      </c>
      <c r="AG1343">
        <v>-1.109690054376</v>
      </c>
      <c r="AH1343">
        <v>17.439068581996299</v>
      </c>
      <c r="AI1343">
        <v>93.578716101603405</v>
      </c>
      <c r="AJ1343">
        <v>79.376438055632903</v>
      </c>
      <c r="AK1343">
        <v>17.7778607823934</v>
      </c>
      <c r="AL1343">
        <v>78.607390341139705</v>
      </c>
      <c r="AM1343">
        <v>88.109682492378596</v>
      </c>
      <c r="AN1343">
        <v>1.00000001170682</v>
      </c>
    </row>
    <row r="1344" spans="1:40" x14ac:dyDescent="0.25">
      <c r="A1344" t="str">
        <f>"20190304155617268"</f>
        <v>20190304155617268</v>
      </c>
      <c r="B1344" t="str">
        <f>"1551686177255610"</f>
        <v>1551686177255610</v>
      </c>
      <c r="C1344" t="s">
        <v>40</v>
      </c>
      <c r="D1344">
        <v>4.8503339999999904</v>
      </c>
      <c r="E1344">
        <v>0.57240519999999995</v>
      </c>
      <c r="F1344" t="s">
        <v>41</v>
      </c>
      <c r="G1344">
        <v>-213.0933</v>
      </c>
      <c r="H1344" s="1">
        <v>-4.1045159999999999E-6</v>
      </c>
      <c r="I1344">
        <v>363.08120000000002</v>
      </c>
      <c r="J1344">
        <v>-230.41640000000001</v>
      </c>
      <c r="K1344">
        <v>1.1096870000000001</v>
      </c>
      <c r="L1344">
        <v>366.85410000000002</v>
      </c>
      <c r="M1344">
        <v>0.99947350000000001</v>
      </c>
      <c r="N1344">
        <v>-1.420891E-2</v>
      </c>
      <c r="O1344">
        <v>-2.9173279999999999E-2</v>
      </c>
      <c r="P1344">
        <v>0.98109630000000003</v>
      </c>
      <c r="Q1344">
        <v>0.18374969999999999</v>
      </c>
      <c r="R1344">
        <v>-6.0717260000000002E-2</v>
      </c>
      <c r="S1344">
        <v>3.0534819999999998</v>
      </c>
      <c r="T1344">
        <v>-0.193357</v>
      </c>
      <c r="U1344">
        <v>-0.65850830000000005</v>
      </c>
      <c r="V1344">
        <v>3.2398629999999998E-2</v>
      </c>
      <c r="W1344">
        <v>0.19763649999999999</v>
      </c>
      <c r="X1344">
        <v>0.97973980000000005</v>
      </c>
      <c r="Y1344">
        <v>0.1818062</v>
      </c>
      <c r="Z1344">
        <v>-5.5801949999999996E-3</v>
      </c>
      <c r="AA1344">
        <v>0.98331860000000004</v>
      </c>
      <c r="AB1344">
        <v>29</v>
      </c>
      <c r="AC1344">
        <v>17.3231</v>
      </c>
      <c r="AD1344">
        <v>-1.1096911045160001</v>
      </c>
      <c r="AE1344">
        <v>-3.7728999999999902</v>
      </c>
      <c r="AF1344">
        <v>3.2531265885905798</v>
      </c>
      <c r="AG1344">
        <v>-1.1096911045160001</v>
      </c>
      <c r="AH1344">
        <v>17.357802402745001</v>
      </c>
      <c r="AI1344">
        <v>93.595531095160197</v>
      </c>
      <c r="AJ1344">
        <v>79.385004728957</v>
      </c>
      <c r="AK1344">
        <v>17.694845328557602</v>
      </c>
      <c r="AL1344">
        <v>78.601217708168306</v>
      </c>
      <c r="AM1344">
        <v>88.105998591387404</v>
      </c>
      <c r="AN1344">
        <v>0.99999996653108203</v>
      </c>
    </row>
    <row r="1345" spans="1:40" x14ac:dyDescent="0.25">
      <c r="A1345" t="str">
        <f>"20190304155617282"</f>
        <v>20190304155617282</v>
      </c>
      <c r="B1345" t="str">
        <f>"1551686177276107"</f>
        <v>1551686177276107</v>
      </c>
      <c r="C1345" t="s">
        <v>40</v>
      </c>
      <c r="D1345">
        <v>4.8733230000000001</v>
      </c>
      <c r="E1345">
        <v>0.56941229999999998</v>
      </c>
      <c r="F1345" t="s">
        <v>45</v>
      </c>
      <c r="G1345">
        <v>-209.77080000000001</v>
      </c>
      <c r="H1345" s="1">
        <v>-6.4684450000000004E-6</v>
      </c>
      <c r="I1345">
        <v>361.5487</v>
      </c>
      <c r="J1345">
        <v>-230.22970000000001</v>
      </c>
      <c r="K1345">
        <v>1.1096900000000001</v>
      </c>
      <c r="L1345">
        <v>366.84809999999999</v>
      </c>
      <c r="M1345">
        <v>0.99945759999999995</v>
      </c>
      <c r="N1345">
        <v>-1.420684E-2</v>
      </c>
      <c r="O1345">
        <v>-2.9714069999999999E-2</v>
      </c>
      <c r="P1345">
        <v>0.98114729999999994</v>
      </c>
      <c r="Q1345">
        <v>0.1834635</v>
      </c>
      <c r="R1345">
        <v>-6.0755759999999999E-2</v>
      </c>
      <c r="S1345">
        <v>3.0400849999999999</v>
      </c>
      <c r="T1345">
        <v>-0.163403399999999</v>
      </c>
      <c r="U1345">
        <v>-0.78121949999999996</v>
      </c>
      <c r="V1345">
        <v>3.1903290000000001E-2</v>
      </c>
      <c r="W1345">
        <v>0.19735050000000001</v>
      </c>
      <c r="X1345">
        <v>0.97981379999999996</v>
      </c>
      <c r="Y1345">
        <v>0.21963669999999999</v>
      </c>
      <c r="Z1345">
        <v>-6.2376849999999998E-3</v>
      </c>
      <c r="AA1345">
        <v>0.97556180000000003</v>
      </c>
      <c r="AB1345">
        <v>29</v>
      </c>
      <c r="AC1345">
        <v>20.4589</v>
      </c>
      <c r="AD1345">
        <v>-1.1096964684449999</v>
      </c>
      <c r="AE1345">
        <v>-5.2993999999999897</v>
      </c>
      <c r="AF1345">
        <v>4.6761886813384397</v>
      </c>
      <c r="AG1345">
        <v>-1.1096964684449999</v>
      </c>
      <c r="AH1345">
        <v>20.550688173196601</v>
      </c>
      <c r="AI1345">
        <v>93.013963067490295</v>
      </c>
      <c r="AJ1345">
        <v>77.180947751882201</v>
      </c>
      <c r="AK1345">
        <v>21.105187779963401</v>
      </c>
      <c r="AL1345">
        <v>78.617934625477901</v>
      </c>
      <c r="AM1345">
        <v>88.135075972817503</v>
      </c>
      <c r="AN1345">
        <v>1.0000000612167499</v>
      </c>
    </row>
    <row r="1346" spans="1:40" x14ac:dyDescent="0.25">
      <c r="A1346" t="str">
        <f>"20190304155617296"</f>
        <v>20190304155617296</v>
      </c>
      <c r="B1346" t="str">
        <f>"1551686177285867"</f>
        <v>1551686177285867</v>
      </c>
      <c r="C1346" t="s">
        <v>40</v>
      </c>
      <c r="D1346">
        <v>4.8769839999999904</v>
      </c>
      <c r="E1346">
        <v>0.56869289999999995</v>
      </c>
      <c r="F1346" t="s">
        <v>41</v>
      </c>
      <c r="G1346">
        <v>-210.44900000000001</v>
      </c>
      <c r="H1346" s="1">
        <v>-5.4448480000000004E-6</v>
      </c>
      <c r="I1346">
        <v>361.92020000000002</v>
      </c>
      <c r="J1346">
        <v>-230.05680000000001</v>
      </c>
      <c r="K1346">
        <v>1.109693</v>
      </c>
      <c r="L1346">
        <v>366.8424</v>
      </c>
      <c r="M1346">
        <v>0.99944250000000001</v>
      </c>
      <c r="N1346">
        <v>-1.4204960000000001E-2</v>
      </c>
      <c r="O1346">
        <v>-3.0214930000000001E-2</v>
      </c>
      <c r="P1346">
        <v>0.98110390000000003</v>
      </c>
      <c r="Q1346">
        <v>0.18363160000000001</v>
      </c>
      <c r="R1346">
        <v>-6.0946819999999999E-2</v>
      </c>
      <c r="S1346">
        <v>3.042618</v>
      </c>
      <c r="T1346">
        <v>-0.17069019999999999</v>
      </c>
      <c r="U1346">
        <v>-0.75799559999999999</v>
      </c>
      <c r="V1346">
        <v>3.1602860000000003E-2</v>
      </c>
      <c r="W1346">
        <v>0.1975169</v>
      </c>
      <c r="X1346">
        <v>0.97979000000000005</v>
      </c>
      <c r="Y1346">
        <v>0.21193339999999999</v>
      </c>
      <c r="Z1346">
        <v>-6.1366629999999997E-3</v>
      </c>
      <c r="AA1346">
        <v>0.97726480000000004</v>
      </c>
      <c r="AB1346">
        <v>29</v>
      </c>
      <c r="AC1346">
        <v>19.607800000000001</v>
      </c>
      <c r="AD1346">
        <v>-1.1096984448480001</v>
      </c>
      <c r="AE1346">
        <v>-4.9221999999999699</v>
      </c>
      <c r="AF1346">
        <v>4.3144443151983598</v>
      </c>
      <c r="AG1346">
        <v>-1.1096984448480001</v>
      </c>
      <c r="AH1346">
        <v>19.6882622221883</v>
      </c>
      <c r="AI1346">
        <v>93.151351883504404</v>
      </c>
      <c r="AJ1346">
        <v>77.639704684499705</v>
      </c>
      <c r="AK1346">
        <v>20.185973588536498</v>
      </c>
      <c r="AL1346">
        <v>78.608209106904994</v>
      </c>
      <c r="AM1346">
        <v>88.152580700509603</v>
      </c>
      <c r="AN1346">
        <v>1.00000005532289</v>
      </c>
    </row>
    <row r="1347" spans="1:40" x14ac:dyDescent="0.25">
      <c r="A1347" t="str">
        <f>"20190304155617310"</f>
        <v>20190304155617310</v>
      </c>
      <c r="B1347" t="str">
        <f>"1551686177306362"</f>
        <v>1551686177306362</v>
      </c>
      <c r="C1347" t="s">
        <v>40</v>
      </c>
      <c r="D1347">
        <v>4.9075089999999904</v>
      </c>
      <c r="E1347">
        <v>0.56755389999999994</v>
      </c>
      <c r="F1347" t="s">
        <v>41</v>
      </c>
      <c r="G1347">
        <v>-210.65389999999999</v>
      </c>
      <c r="H1347" s="1">
        <v>-5.3358249999999999E-6</v>
      </c>
      <c r="I1347">
        <v>362.03930000000003</v>
      </c>
      <c r="J1347">
        <v>-229.86940000000001</v>
      </c>
      <c r="K1347">
        <v>1.1097030000000001</v>
      </c>
      <c r="L1347">
        <v>366.83620000000002</v>
      </c>
      <c r="M1347">
        <v>0.99942609999999998</v>
      </c>
      <c r="N1347">
        <v>-1.4202960000000001E-2</v>
      </c>
      <c r="O1347">
        <v>-3.0758339999999999E-2</v>
      </c>
      <c r="P1347">
        <v>0.98105909999999996</v>
      </c>
      <c r="Q1347">
        <v>0.18376410000000001</v>
      </c>
      <c r="R1347">
        <v>-6.1271840000000001E-2</v>
      </c>
      <c r="S1347">
        <v>3.0435639999999999</v>
      </c>
      <c r="T1347">
        <v>-0.1740681</v>
      </c>
      <c r="U1347">
        <v>-0.75341800000000003</v>
      </c>
      <c r="V1347">
        <v>3.1394409999999998E-2</v>
      </c>
      <c r="W1347">
        <v>0.1976473</v>
      </c>
      <c r="X1347">
        <v>0.97977040000000004</v>
      </c>
      <c r="Y1347">
        <v>0.2099375</v>
      </c>
      <c r="Z1347">
        <v>-6.1248780000000003E-3</v>
      </c>
      <c r="AA1347">
        <v>0.9776956</v>
      </c>
      <c r="AB1347">
        <v>29</v>
      </c>
      <c r="AC1347">
        <v>19.215499999999999</v>
      </c>
      <c r="AD1347">
        <v>-1.1097083358249999</v>
      </c>
      <c r="AE1347">
        <v>-4.7968999999999902</v>
      </c>
      <c r="AF1347">
        <v>4.1903778220168704</v>
      </c>
      <c r="AG1347">
        <v>-1.1097083358249999</v>
      </c>
      <c r="AH1347">
        <v>19.293394424953501</v>
      </c>
      <c r="AI1347">
        <v>93.217043978096797</v>
      </c>
      <c r="AJ1347">
        <v>77.746111141666702</v>
      </c>
      <c r="AK1347">
        <v>19.774371982914602</v>
      </c>
      <c r="AL1347">
        <v>78.600587431356402</v>
      </c>
      <c r="AM1347">
        <v>88.164721085150305</v>
      </c>
      <c r="AN1347">
        <v>1.00000005044634</v>
      </c>
    </row>
    <row r="1348" spans="1:40" x14ac:dyDescent="0.25">
      <c r="A1348" t="str">
        <f>"20190304155617323"</f>
        <v>20190304155617323</v>
      </c>
      <c r="B1348" t="str">
        <f>"1551686177316123"</f>
        <v>1551686177316123</v>
      </c>
      <c r="C1348" t="s">
        <v>40</v>
      </c>
      <c r="D1348">
        <v>4.8795229999999998</v>
      </c>
      <c r="E1348">
        <v>0.56726599999999905</v>
      </c>
      <c r="F1348" t="s">
        <v>41</v>
      </c>
      <c r="G1348">
        <v>-211.15260000000001</v>
      </c>
      <c r="H1348" s="1">
        <v>-5.0834329999999998E-6</v>
      </c>
      <c r="I1348">
        <v>362.25599999999997</v>
      </c>
      <c r="J1348">
        <v>-229.69130000000001</v>
      </c>
      <c r="K1348">
        <v>1.109704</v>
      </c>
      <c r="L1348">
        <v>366.83010000000002</v>
      </c>
      <c r="M1348">
        <v>0.99941000000000002</v>
      </c>
      <c r="N1348">
        <v>-1.420105E-2</v>
      </c>
      <c r="O1348">
        <v>-3.1274450000000002E-2</v>
      </c>
      <c r="P1348">
        <v>0.98103010000000002</v>
      </c>
      <c r="Q1348">
        <v>0.18383369999999999</v>
      </c>
      <c r="R1348">
        <v>-6.1526009999999999E-2</v>
      </c>
      <c r="S1348">
        <v>3.0451969999999999</v>
      </c>
      <c r="T1348">
        <v>-0.18054770000000001</v>
      </c>
      <c r="U1348">
        <v>-0.74517819999999901</v>
      </c>
      <c r="V1348">
        <v>3.1141579999999999E-2</v>
      </c>
      <c r="W1348">
        <v>0.197716</v>
      </c>
      <c r="X1348">
        <v>0.97976459999999999</v>
      </c>
      <c r="Y1348">
        <v>0.20679710000000001</v>
      </c>
      <c r="Z1348">
        <v>-6.1416379999999996E-3</v>
      </c>
      <c r="AA1348">
        <v>0.97836460000000003</v>
      </c>
      <c r="AB1348">
        <v>29</v>
      </c>
      <c r="AC1348">
        <v>18.538699999999999</v>
      </c>
      <c r="AD1348">
        <v>-1.1097090834329999</v>
      </c>
      <c r="AE1348">
        <v>-4.5741000000000396</v>
      </c>
      <c r="AF1348">
        <v>3.9785783430778601</v>
      </c>
      <c r="AG1348">
        <v>-1.1097090834329999</v>
      </c>
      <c r="AH1348">
        <v>18.609841915109701</v>
      </c>
      <c r="AI1348">
        <v>93.337281358694796</v>
      </c>
      <c r="AJ1348">
        <v>77.9324592614023</v>
      </c>
      <c r="AK1348">
        <v>19.062705893635201</v>
      </c>
      <c r="AL1348">
        <v>78.596571885894704</v>
      </c>
      <c r="AM1348">
        <v>88.179480462652293</v>
      </c>
      <c r="AN1348">
        <v>1.0000000430370199</v>
      </c>
    </row>
    <row r="1349" spans="1:40" x14ac:dyDescent="0.25">
      <c r="A1349" t="str">
        <f>"20190304155617335"</f>
        <v>20190304155617335</v>
      </c>
      <c r="B1349" t="str">
        <f>"1551686177325882"</f>
        <v>1551686177325882</v>
      </c>
      <c r="C1349" t="s">
        <v>40</v>
      </c>
      <c r="D1349">
        <v>4.8956379999999999</v>
      </c>
      <c r="E1349">
        <v>0.56726160000000003</v>
      </c>
      <c r="F1349" t="s">
        <v>41</v>
      </c>
      <c r="G1349">
        <v>-211.08090000000001</v>
      </c>
      <c r="H1349" s="1">
        <v>-5.1093780000000004E-6</v>
      </c>
      <c r="I1349">
        <v>362.28309999999999</v>
      </c>
      <c r="J1349">
        <v>-229.541</v>
      </c>
      <c r="K1349">
        <v>1.109704</v>
      </c>
      <c r="L1349">
        <v>366.82499999999999</v>
      </c>
      <c r="M1349">
        <v>0.99939630000000002</v>
      </c>
      <c r="N1349">
        <v>-1.4199430000000001E-2</v>
      </c>
      <c r="O1349">
        <v>-3.1709759999999997E-2</v>
      </c>
      <c r="P1349">
        <v>0.98101570000000005</v>
      </c>
      <c r="Q1349">
        <v>0.18379619999999999</v>
      </c>
      <c r="R1349">
        <v>-6.186469E-2</v>
      </c>
      <c r="S1349">
        <v>3.0453800000000002</v>
      </c>
      <c r="T1349">
        <v>-0.18159159999999999</v>
      </c>
      <c r="U1349">
        <v>-0.74407959999999995</v>
      </c>
      <c r="V1349">
        <v>3.105221E-2</v>
      </c>
      <c r="W1349">
        <v>0.1976772</v>
      </c>
      <c r="X1349">
        <v>0.97977519999999996</v>
      </c>
      <c r="Y1349">
        <v>0.20602239999999999</v>
      </c>
      <c r="Z1349">
        <v>-6.1178990000000004E-3</v>
      </c>
      <c r="AA1349">
        <v>0.97852810000000001</v>
      </c>
      <c r="AB1349">
        <v>29</v>
      </c>
      <c r="AC1349">
        <v>18.460099999999901</v>
      </c>
      <c r="AD1349">
        <v>-1.109709109378</v>
      </c>
      <c r="AE1349">
        <v>-4.5418999999999903</v>
      </c>
      <c r="AF1349">
        <v>3.94076335150476</v>
      </c>
      <c r="AG1349">
        <v>-1.109709109378</v>
      </c>
      <c r="AH1349">
        <v>18.531706734558998</v>
      </c>
      <c r="AI1349">
        <v>93.352097323613805</v>
      </c>
      <c r="AJ1349">
        <v>77.994889983101103</v>
      </c>
      <c r="AK1349">
        <v>18.9785464300009</v>
      </c>
      <c r="AL1349">
        <v>78.598838979999798</v>
      </c>
      <c r="AM1349">
        <v>88.184721109032196</v>
      </c>
      <c r="AN1349">
        <v>0.99999997884038105</v>
      </c>
    </row>
    <row r="1350" spans="1:40" x14ac:dyDescent="0.25">
      <c r="A1350" t="str">
        <f>"20190304155617348"</f>
        <v>20190304155617348</v>
      </c>
      <c r="B1350" t="str">
        <f>"1551686177335642"</f>
        <v>1551686177335642</v>
      </c>
      <c r="C1350" t="s">
        <v>40</v>
      </c>
      <c r="D1350">
        <v>4.8972540000000002</v>
      </c>
      <c r="E1350">
        <v>0.56747819999999904</v>
      </c>
      <c r="F1350" t="s">
        <v>41</v>
      </c>
      <c r="G1350">
        <v>-210.99709999999999</v>
      </c>
      <c r="H1350" s="1">
        <v>-5.1449669999999996E-6</v>
      </c>
      <c r="I1350">
        <v>362.28519999999997</v>
      </c>
      <c r="J1350">
        <v>-229.36670000000001</v>
      </c>
      <c r="K1350">
        <v>1.1097060000000001</v>
      </c>
      <c r="L1350">
        <v>366.81889999999999</v>
      </c>
      <c r="M1350">
        <v>0.99938009999999999</v>
      </c>
      <c r="N1350">
        <v>-1.419751E-2</v>
      </c>
      <c r="O1350">
        <v>-3.2215140000000003E-2</v>
      </c>
      <c r="P1350">
        <v>0.98099460000000005</v>
      </c>
      <c r="Q1350">
        <v>0.1838553</v>
      </c>
      <c r="R1350">
        <v>-6.202245E-2</v>
      </c>
      <c r="S1350">
        <v>3.045166</v>
      </c>
      <c r="T1350">
        <v>-0.1822288</v>
      </c>
      <c r="U1350">
        <v>-0.74548340000000002</v>
      </c>
      <c r="V1350">
        <v>3.0713480000000001E-2</v>
      </c>
      <c r="W1350">
        <v>0.19773470000000001</v>
      </c>
      <c r="X1350">
        <v>0.97977429999999999</v>
      </c>
      <c r="Y1350">
        <v>0.20596719999999999</v>
      </c>
      <c r="Z1350">
        <v>-6.1077889999999998E-3</v>
      </c>
      <c r="AA1350">
        <v>0.97853979999999996</v>
      </c>
      <c r="AB1350">
        <v>29</v>
      </c>
      <c r="AC1350">
        <v>18.369599999999998</v>
      </c>
      <c r="AD1350">
        <v>-1.1097111449670001</v>
      </c>
      <c r="AE1350">
        <v>-4.5336999999999996</v>
      </c>
      <c r="AF1350">
        <v>3.9260025423066298</v>
      </c>
      <c r="AG1350">
        <v>-1.1097111449670001</v>
      </c>
      <c r="AH1350">
        <v>18.442691678392698</v>
      </c>
      <c r="AI1350">
        <v>93.368090888075002</v>
      </c>
      <c r="AJ1350">
        <v>77.982501401057903</v>
      </c>
      <c r="AK1350">
        <v>18.8885635010108</v>
      </c>
      <c r="AL1350">
        <v>78.595478427087798</v>
      </c>
      <c r="AM1350">
        <v>88.204508220598697</v>
      </c>
      <c r="AN1350">
        <v>1.0000000041891399</v>
      </c>
    </row>
    <row r="1351" spans="1:40" x14ac:dyDescent="0.25">
      <c r="A1351" t="str">
        <f>"20190304155617360"</f>
        <v>20190304155617360</v>
      </c>
      <c r="B1351" t="str">
        <f>"1551686177356139"</f>
        <v>1551686177356139</v>
      </c>
      <c r="C1351" t="s">
        <v>40</v>
      </c>
      <c r="D1351">
        <v>4.8523449999999997</v>
      </c>
      <c r="E1351">
        <v>0.56782279999999996</v>
      </c>
      <c r="F1351" t="s">
        <v>41</v>
      </c>
      <c r="G1351">
        <v>-210.81559999999999</v>
      </c>
      <c r="H1351" s="1">
        <v>-5.2271829999999999E-6</v>
      </c>
      <c r="I1351">
        <v>362.26060000000001</v>
      </c>
      <c r="J1351">
        <v>-229.21449999999999</v>
      </c>
      <c r="K1351">
        <v>1.1097079999999999</v>
      </c>
      <c r="L1351">
        <v>366.81349999999998</v>
      </c>
      <c r="M1351">
        <v>0.99936590000000003</v>
      </c>
      <c r="N1351">
        <v>-1.419579E-2</v>
      </c>
      <c r="O1351">
        <v>-3.2656169999999998E-2</v>
      </c>
      <c r="P1351">
        <v>0.98100089999999995</v>
      </c>
      <c r="Q1351">
        <v>0.1836989</v>
      </c>
      <c r="R1351">
        <v>-6.238556E-2</v>
      </c>
      <c r="S1351">
        <v>3.0449519999999999</v>
      </c>
      <c r="T1351">
        <v>-0.18214640000000001</v>
      </c>
      <c r="U1351">
        <v>-0.74819950000000002</v>
      </c>
      <c r="V1351">
        <v>3.0642099999999999E-2</v>
      </c>
      <c r="W1351">
        <v>0.19757759999999999</v>
      </c>
      <c r="X1351">
        <v>0.97980820000000002</v>
      </c>
      <c r="Y1351">
        <v>0.20637449999999999</v>
      </c>
      <c r="Z1351">
        <v>-6.1008299999999998E-3</v>
      </c>
      <c r="AA1351">
        <v>0.97845409999999999</v>
      </c>
      <c r="AB1351">
        <v>29</v>
      </c>
      <c r="AC1351">
        <v>18.398900000000001</v>
      </c>
      <c r="AD1351">
        <v>-1.1097132271829999</v>
      </c>
      <c r="AE1351">
        <v>-4.5528999999999602</v>
      </c>
      <c r="AF1351">
        <v>3.9360806428810302</v>
      </c>
      <c r="AG1351">
        <v>-1.1097132271829999</v>
      </c>
      <c r="AH1351">
        <v>18.4744517705685</v>
      </c>
      <c r="AI1351">
        <v>93.362197564423695</v>
      </c>
      <c r="AJ1351">
        <v>77.9726601089762</v>
      </c>
      <c r="AK1351">
        <v>18.921669125553102</v>
      </c>
      <c r="AL1351">
        <v>78.604660440606395</v>
      </c>
      <c r="AM1351">
        <v>88.208740267983202</v>
      </c>
      <c r="AN1351">
        <v>0.99999997755070402</v>
      </c>
    </row>
    <row r="1352" spans="1:40" x14ac:dyDescent="0.25">
      <c r="A1352" t="str">
        <f>"20190304155617372"</f>
        <v>20190304155617372</v>
      </c>
      <c r="B1352" t="str">
        <f>"1551686177365899"</f>
        <v>1551686177365899</v>
      </c>
      <c r="C1352" t="s">
        <v>40</v>
      </c>
      <c r="D1352">
        <v>4.8205030000000004</v>
      </c>
      <c r="E1352">
        <v>0.56805530000000004</v>
      </c>
      <c r="F1352" t="s">
        <v>41</v>
      </c>
      <c r="G1352">
        <v>-210.62299999999999</v>
      </c>
      <c r="H1352" s="1">
        <v>-5.3170309999999999E-6</v>
      </c>
      <c r="I1352">
        <v>362.22</v>
      </c>
      <c r="J1352">
        <v>-229.06270000000001</v>
      </c>
      <c r="K1352">
        <v>1.109707</v>
      </c>
      <c r="L1352">
        <v>366.8082</v>
      </c>
      <c r="M1352">
        <v>0.9993514</v>
      </c>
      <c r="N1352">
        <v>-1.419407E-2</v>
      </c>
      <c r="O1352">
        <v>-3.3095880000000001E-2</v>
      </c>
      <c r="P1352">
        <v>0.98096950000000005</v>
      </c>
      <c r="Q1352">
        <v>0.18366489999999999</v>
      </c>
      <c r="R1352">
        <v>-6.2976130000000005E-2</v>
      </c>
      <c r="S1352">
        <v>3.0442960000000001</v>
      </c>
      <c r="T1352">
        <v>-0.18171109999999999</v>
      </c>
      <c r="U1352">
        <v>-0.75216669999999997</v>
      </c>
      <c r="V1352">
        <v>3.0800569999999999E-2</v>
      </c>
      <c r="W1352">
        <v>0.1975412</v>
      </c>
      <c r="X1352">
        <v>0.97981059999999998</v>
      </c>
      <c r="Y1352">
        <v>0.2071954</v>
      </c>
      <c r="Z1352">
        <v>-6.1014950000000002E-3</v>
      </c>
      <c r="AA1352">
        <v>0.9782805</v>
      </c>
      <c r="AB1352">
        <v>29</v>
      </c>
      <c r="AC1352">
        <v>18.439699999999998</v>
      </c>
      <c r="AD1352">
        <v>-1.1097123170309999</v>
      </c>
      <c r="AE1352">
        <v>-4.5881999999999703</v>
      </c>
      <c r="AF1352">
        <v>3.96183438079392</v>
      </c>
      <c r="AG1352">
        <v>-1.1097123170309999</v>
      </c>
      <c r="AH1352">
        <v>18.518304556463299</v>
      </c>
      <c r="AI1352">
        <v>93.3536455591682</v>
      </c>
      <c r="AJ1352">
        <v>77.924098875180306</v>
      </c>
      <c r="AK1352">
        <v>18.969849676087001</v>
      </c>
      <c r="AL1352">
        <v>78.606788270459106</v>
      </c>
      <c r="AM1352">
        <v>88.199487001561295</v>
      </c>
      <c r="AN1352">
        <v>1.0000000063410599</v>
      </c>
    </row>
    <row r="1353" spans="1:40" x14ac:dyDescent="0.25">
      <c r="A1353" t="str">
        <f>"20190304155617383"</f>
        <v>20190304155617383</v>
      </c>
      <c r="B1353" t="str">
        <f>"1551686177375659"</f>
        <v>1551686177375659</v>
      </c>
      <c r="C1353" t="s">
        <v>40</v>
      </c>
      <c r="D1353">
        <v>4.832586</v>
      </c>
      <c r="E1353">
        <v>0.56817669999999998</v>
      </c>
      <c r="F1353" t="s">
        <v>41</v>
      </c>
      <c r="G1353">
        <v>-210.43889999999999</v>
      </c>
      <c r="H1353" s="1">
        <v>-5.4025929999999998E-6</v>
      </c>
      <c r="I1353">
        <v>362.18290000000002</v>
      </c>
      <c r="J1353">
        <v>-228.9109</v>
      </c>
      <c r="K1353">
        <v>1.1097079999999999</v>
      </c>
      <c r="L1353">
        <v>366.80270000000002</v>
      </c>
      <c r="M1353">
        <v>0.99933680000000003</v>
      </c>
      <c r="N1353">
        <v>-1.4192400000000001E-2</v>
      </c>
      <c r="O1353">
        <v>-3.3536070000000001E-2</v>
      </c>
      <c r="P1353">
        <v>0.98094950000000003</v>
      </c>
      <c r="Q1353">
        <v>0.1836431</v>
      </c>
      <c r="R1353">
        <v>-6.3349530000000001E-2</v>
      </c>
      <c r="S1353">
        <v>3.043625</v>
      </c>
      <c r="T1353">
        <v>-0.18135580000000001</v>
      </c>
      <c r="U1353">
        <v>-0.7558899</v>
      </c>
      <c r="V1353">
        <v>3.0741259999999999E-2</v>
      </c>
      <c r="W1353">
        <v>0.19751830000000001</v>
      </c>
      <c r="X1353">
        <v>0.9798171</v>
      </c>
      <c r="Y1353">
        <v>0.2079423</v>
      </c>
      <c r="Z1353">
        <v>-6.1013209999999998E-3</v>
      </c>
      <c r="AA1353">
        <v>0.97812209999999999</v>
      </c>
      <c r="AB1353">
        <v>29</v>
      </c>
      <c r="AC1353">
        <v>18.472000000000001</v>
      </c>
      <c r="AD1353">
        <v>-1.109713402593</v>
      </c>
      <c r="AE1353">
        <v>-4.6197999999999899</v>
      </c>
      <c r="AF1353">
        <v>3.9841277270190898</v>
      </c>
      <c r="AG1353">
        <v>-1.109713402593</v>
      </c>
      <c r="AH1353">
        <v>18.553534068216901</v>
      </c>
      <c r="AI1353">
        <v>93.346751135245796</v>
      </c>
      <c r="AJ1353">
        <v>77.880531052091399</v>
      </c>
      <c r="AK1353">
        <v>19.008902230312501</v>
      </c>
      <c r="AL1353">
        <v>78.608126950088504</v>
      </c>
      <c r="AM1353">
        <v>88.202963732166396</v>
      </c>
      <c r="AN1353">
        <v>1.0000000266768401</v>
      </c>
    </row>
    <row r="1354" spans="1:40" x14ac:dyDescent="0.25">
      <c r="A1354" t="str">
        <f>"20190304155617395"</f>
        <v>20190304155617395</v>
      </c>
      <c r="B1354" t="str">
        <f>"1551686177386394"</f>
        <v>1551686177386394</v>
      </c>
      <c r="C1354" t="s">
        <v>40</v>
      </c>
      <c r="D1354">
        <v>4.8235640000000002</v>
      </c>
      <c r="E1354">
        <v>0.56845849999999998</v>
      </c>
      <c r="F1354" t="s">
        <v>41</v>
      </c>
      <c r="G1354">
        <v>-210.26130000000001</v>
      </c>
      <c r="H1354" s="1">
        <v>-5.4836810000000002E-6</v>
      </c>
      <c r="I1354">
        <v>362.15530000000001</v>
      </c>
      <c r="J1354">
        <v>-228.76990000000001</v>
      </c>
      <c r="K1354">
        <v>1.109707</v>
      </c>
      <c r="L1354">
        <v>366.79750000000001</v>
      </c>
      <c r="M1354">
        <v>0.99932310000000002</v>
      </c>
      <c r="N1354">
        <v>-1.419084E-2</v>
      </c>
      <c r="O1354">
        <v>-3.3944790000000002E-2</v>
      </c>
      <c r="P1354">
        <v>0.98092219999999997</v>
      </c>
      <c r="Q1354">
        <v>0.18360789999999999</v>
      </c>
      <c r="R1354">
        <v>-6.387661E-2</v>
      </c>
      <c r="S1354">
        <v>3.043167</v>
      </c>
      <c r="T1354">
        <v>-0.18107770000000001</v>
      </c>
      <c r="U1354">
        <v>-0.75833130000000004</v>
      </c>
      <c r="V1354">
        <v>3.086645E-2</v>
      </c>
      <c r="W1354">
        <v>0.1974813</v>
      </c>
      <c r="X1354">
        <v>0.97982060000000004</v>
      </c>
      <c r="Y1354">
        <v>0.20831630000000001</v>
      </c>
      <c r="Z1354">
        <v>-6.0905869999999997E-3</v>
      </c>
      <c r="AA1354">
        <v>0.97804250000000004</v>
      </c>
      <c r="AB1354">
        <v>29</v>
      </c>
      <c r="AC1354">
        <v>18.508600000000001</v>
      </c>
      <c r="AD1354">
        <v>-1.109712483681</v>
      </c>
      <c r="AE1354">
        <v>-4.6421999999999999</v>
      </c>
      <c r="AF1354">
        <v>3.9976702148081902</v>
      </c>
      <c r="AG1354">
        <v>-1.109712483681</v>
      </c>
      <c r="AH1354">
        <v>18.592644849668201</v>
      </c>
      <c r="AI1354">
        <v>93.339534884661106</v>
      </c>
      <c r="AJ1354">
        <v>77.865378830261093</v>
      </c>
      <c r="AK1354">
        <v>19.049915260932099</v>
      </c>
      <c r="AL1354">
        <v>78.610289238042697</v>
      </c>
      <c r="AM1354">
        <v>88.195656791765401</v>
      </c>
      <c r="AN1354">
        <v>1.0000000048848201</v>
      </c>
    </row>
    <row r="1355" spans="1:40" x14ac:dyDescent="0.25">
      <c r="A1355" t="str">
        <f>"20190304155617405"</f>
        <v>20190304155617405</v>
      </c>
      <c r="B1355" t="str">
        <f>"1551686177396155"</f>
        <v>1551686177396155</v>
      </c>
      <c r="C1355" t="s">
        <v>40</v>
      </c>
      <c r="D1355">
        <v>4.8679079999999999</v>
      </c>
      <c r="E1355">
        <v>0.568646599999999</v>
      </c>
      <c r="F1355" t="s">
        <v>41</v>
      </c>
      <c r="G1355">
        <v>-210.04560000000001</v>
      </c>
      <c r="H1355" s="1">
        <v>-5.5852180000000004E-6</v>
      </c>
      <c r="I1355">
        <v>362.1046</v>
      </c>
      <c r="J1355">
        <v>-228.619</v>
      </c>
      <c r="K1355">
        <v>1.1097049999999999</v>
      </c>
      <c r="L1355">
        <v>366.79199999999997</v>
      </c>
      <c r="M1355">
        <v>0.99930819999999998</v>
      </c>
      <c r="N1355">
        <v>-1.4189169999999999E-2</v>
      </c>
      <c r="O1355">
        <v>-3.4382240000000001E-2</v>
      </c>
      <c r="P1355">
        <v>0.98091539999999999</v>
      </c>
      <c r="Q1355">
        <v>0.18351809999999999</v>
      </c>
      <c r="R1355">
        <v>-6.423587E-2</v>
      </c>
      <c r="S1355">
        <v>3.0424349999999998</v>
      </c>
      <c r="T1355">
        <v>-0.18031179999999999</v>
      </c>
      <c r="U1355">
        <v>-0.76254270000000002</v>
      </c>
      <c r="V1355">
        <v>3.0795369999999999E-2</v>
      </c>
      <c r="W1355">
        <v>0.1973907</v>
      </c>
      <c r="X1355">
        <v>0.97984110000000002</v>
      </c>
      <c r="Y1355">
        <v>0.20921909999999999</v>
      </c>
      <c r="Z1355">
        <v>-6.086948E-3</v>
      </c>
      <c r="AA1355">
        <v>0.97784979999999999</v>
      </c>
      <c r="AB1355">
        <v>29</v>
      </c>
      <c r="AC1355">
        <v>18.573399999999999</v>
      </c>
      <c r="AD1355">
        <v>-1.109710585218</v>
      </c>
      <c r="AE1355">
        <v>-4.6873999999999603</v>
      </c>
      <c r="AF1355">
        <v>4.0324359420016203</v>
      </c>
      <c r="AG1355">
        <v>-1.109710585218</v>
      </c>
      <c r="AH1355">
        <v>18.6609698185312</v>
      </c>
      <c r="AI1355">
        <v>93.326593849308793</v>
      </c>
      <c r="AJ1355">
        <v>77.806478342682198</v>
      </c>
      <c r="AK1355">
        <v>19.123906289705101</v>
      </c>
      <c r="AL1355">
        <v>78.615584553145297</v>
      </c>
      <c r="AM1355">
        <v>88.199846777752697</v>
      </c>
      <c r="AN1355">
        <v>1.00000001225456</v>
      </c>
    </row>
    <row r="1356" spans="1:40" x14ac:dyDescent="0.25">
      <c r="A1356" t="str">
        <f>"20190304155617417"</f>
        <v>20190304155617417</v>
      </c>
      <c r="B1356" t="str">
        <f>"1551686177415675"</f>
        <v>1551686177415675</v>
      </c>
      <c r="C1356" t="s">
        <v>40</v>
      </c>
      <c r="D1356">
        <v>4.8460289999999997</v>
      </c>
      <c r="E1356">
        <v>0.5692315</v>
      </c>
      <c r="F1356" t="s">
        <v>45</v>
      </c>
      <c r="G1356">
        <v>-209.86689999999999</v>
      </c>
      <c r="H1356" s="1">
        <v>-6.418491E-6</v>
      </c>
      <c r="I1356">
        <v>362.0745</v>
      </c>
      <c r="J1356">
        <v>-228.46680000000001</v>
      </c>
      <c r="K1356">
        <v>1.1097049999999999</v>
      </c>
      <c r="L1356">
        <v>366.78629999999998</v>
      </c>
      <c r="M1356">
        <v>0.99929290000000004</v>
      </c>
      <c r="N1356">
        <v>-1.418756E-2</v>
      </c>
      <c r="O1356">
        <v>-3.4823630000000001E-2</v>
      </c>
      <c r="P1356">
        <v>0.98094680000000001</v>
      </c>
      <c r="Q1356">
        <v>0.18322620000000001</v>
      </c>
      <c r="R1356">
        <v>-6.4589599999999997E-2</v>
      </c>
      <c r="S1356">
        <v>3.0419309999999999</v>
      </c>
      <c r="T1356">
        <v>-0.18001589999999901</v>
      </c>
      <c r="U1356">
        <v>-0.76525880000000002</v>
      </c>
      <c r="V1356">
        <v>3.0712759999999999E-2</v>
      </c>
      <c r="W1356">
        <v>0.197098</v>
      </c>
      <c r="X1356">
        <v>0.97990259999999996</v>
      </c>
      <c r="Y1356">
        <v>0.20964730000000001</v>
      </c>
      <c r="Z1356">
        <v>-6.0764469999999996E-3</v>
      </c>
      <c r="AA1356">
        <v>0.97775820000000002</v>
      </c>
      <c r="AB1356">
        <v>29</v>
      </c>
      <c r="AC1356">
        <v>18.599900000000002</v>
      </c>
      <c r="AD1356">
        <v>-1.109711418491</v>
      </c>
      <c r="AE1356">
        <v>-4.7117999999999798</v>
      </c>
      <c r="AF1356">
        <v>4.0476214494213796</v>
      </c>
      <c r="AG1356">
        <v>-1.109711418491</v>
      </c>
      <c r="AH1356">
        <v>18.6901975251712</v>
      </c>
      <c r="AI1356">
        <v>93.321080879890005</v>
      </c>
      <c r="AJ1356">
        <v>77.780503331770504</v>
      </c>
      <c r="AK1356">
        <v>19.155630565451599</v>
      </c>
      <c r="AL1356">
        <v>78.632690959677205</v>
      </c>
      <c r="AM1356">
        <v>88.204785210695107</v>
      </c>
      <c r="AN1356">
        <v>1.0000000003587799</v>
      </c>
    </row>
    <row r="1357" spans="1:40" x14ac:dyDescent="0.25">
      <c r="A1357" t="str">
        <f>"20190304155617429"</f>
        <v>20190304155617429</v>
      </c>
      <c r="B1357" t="str">
        <f>"1551686177426411"</f>
        <v>1551686177426411</v>
      </c>
      <c r="C1357" t="s">
        <v>40</v>
      </c>
      <c r="D1357">
        <v>4.8439220000000001</v>
      </c>
      <c r="E1357">
        <v>0.56956260000000003</v>
      </c>
      <c r="F1357" t="s">
        <v>45</v>
      </c>
      <c r="G1357">
        <v>-209.73830000000001</v>
      </c>
      <c r="H1357" s="1">
        <v>-6.380956E-6</v>
      </c>
      <c r="I1357">
        <v>362.03919999999999</v>
      </c>
      <c r="J1357">
        <v>-228.3124</v>
      </c>
      <c r="K1357">
        <v>1.1097030000000001</v>
      </c>
      <c r="L1357">
        <v>366.78039999999999</v>
      </c>
      <c r="M1357">
        <v>0.99927710000000003</v>
      </c>
      <c r="N1357">
        <v>-1.4185969999999999E-2</v>
      </c>
      <c r="O1357">
        <v>-3.5271320000000002E-2</v>
      </c>
      <c r="P1357">
        <v>0.98091010000000001</v>
      </c>
      <c r="Q1357">
        <v>0.18322620000000001</v>
      </c>
      <c r="R1357">
        <v>-6.5141550000000006E-2</v>
      </c>
      <c r="S1357">
        <v>3.0411679999999999</v>
      </c>
      <c r="T1357">
        <v>-0.18019689999999999</v>
      </c>
      <c r="U1357">
        <v>-0.77084350000000001</v>
      </c>
      <c r="V1357">
        <v>3.0825089999999999E-2</v>
      </c>
      <c r="W1357">
        <v>0.19709660000000001</v>
      </c>
      <c r="X1357">
        <v>0.97989930000000003</v>
      </c>
      <c r="Y1357">
        <v>0.2109521</v>
      </c>
      <c r="Z1357">
        <v>-6.108324E-3</v>
      </c>
      <c r="AA1357">
        <v>0.97747729999999999</v>
      </c>
      <c r="AB1357">
        <v>29</v>
      </c>
      <c r="AC1357">
        <v>18.574099999999898</v>
      </c>
      <c r="AD1357">
        <v>-1.1097093809559999</v>
      </c>
      <c r="AE1357">
        <v>-4.7411999999999903</v>
      </c>
      <c r="AF1357">
        <v>4.06941328848536</v>
      </c>
      <c r="AG1357">
        <v>-1.1097093809559999</v>
      </c>
      <c r="AH1357">
        <v>18.667229549996801</v>
      </c>
      <c r="AI1357">
        <v>93.3241649795211</v>
      </c>
      <c r="AJ1357">
        <v>77.702053874858294</v>
      </c>
      <c r="AK1357">
        <v>19.137843099340099</v>
      </c>
      <c r="AL1357">
        <v>78.632772164372298</v>
      </c>
      <c r="AM1357">
        <v>88.198217580960502</v>
      </c>
      <c r="AN1357">
        <v>0.99999994702277695</v>
      </c>
    </row>
    <row r="1358" spans="1:40" x14ac:dyDescent="0.25">
      <c r="A1358" t="str">
        <f>"20190304155617442"</f>
        <v>20190304155617442</v>
      </c>
      <c r="B1358" t="str">
        <f>"1551686177436171"</f>
        <v>1551686177436171</v>
      </c>
      <c r="C1358" t="s">
        <v>40</v>
      </c>
      <c r="D1358">
        <v>4.8450629999999997</v>
      </c>
      <c r="E1358">
        <v>0.56956260000000003</v>
      </c>
      <c r="F1358" t="s">
        <v>45</v>
      </c>
      <c r="G1358">
        <v>-209.5222</v>
      </c>
      <c r="H1358" s="1">
        <v>-6.3164500000000003E-6</v>
      </c>
      <c r="I1358">
        <v>361.98899999999998</v>
      </c>
      <c r="J1358">
        <v>-228.15649999999999</v>
      </c>
      <c r="K1358">
        <v>1.1097060000000001</v>
      </c>
      <c r="L1358">
        <v>366.77440000000001</v>
      </c>
      <c r="M1358">
        <v>0.99926110000000001</v>
      </c>
      <c r="N1358">
        <v>-1.418433E-2</v>
      </c>
      <c r="O1358">
        <v>-3.5723669999999999E-2</v>
      </c>
      <c r="P1358">
        <v>0.98086949999999995</v>
      </c>
      <c r="Q1358">
        <v>0.18329590000000001</v>
      </c>
      <c r="R1358">
        <v>-6.5560190000000004E-2</v>
      </c>
      <c r="S1358">
        <v>3.040451</v>
      </c>
      <c r="T1358">
        <v>-0.17956259999999999</v>
      </c>
      <c r="U1358">
        <v>-0.77529910000000002</v>
      </c>
      <c r="V1358">
        <v>3.0799529999999999E-2</v>
      </c>
      <c r="W1358">
        <v>0.19716439999999999</v>
      </c>
      <c r="X1358">
        <v>0.97988649999999999</v>
      </c>
      <c r="Y1358">
        <v>0.21191080000000001</v>
      </c>
      <c r="Z1358">
        <v>-6.1089839999999996E-3</v>
      </c>
      <c r="AA1358">
        <v>0.97726990000000002</v>
      </c>
      <c r="AB1358">
        <v>29</v>
      </c>
      <c r="AC1358">
        <v>18.6343</v>
      </c>
      <c r="AD1358">
        <v>-1.10971231644999</v>
      </c>
      <c r="AE1358">
        <v>-4.7853999999999797</v>
      </c>
      <c r="AF1358">
        <v>4.1029417202117102</v>
      </c>
      <c r="AG1358">
        <v>-1.10971231644999</v>
      </c>
      <c r="AH1358">
        <v>18.731053710531899</v>
      </c>
      <c r="AI1358">
        <v>93.312150387649496</v>
      </c>
      <c r="AJ1358">
        <v>77.644788986813197</v>
      </c>
      <c r="AK1358">
        <v>19.207237315438299</v>
      </c>
      <c r="AL1358">
        <v>78.628810163256901</v>
      </c>
      <c r="AM1358">
        <v>88.199687124527202</v>
      </c>
      <c r="AN1358">
        <v>0.99999998227891496</v>
      </c>
    </row>
    <row r="1359" spans="1:40" x14ac:dyDescent="0.25">
      <c r="A1359" t="str">
        <f>"20190304155617455"</f>
        <v>20190304155617455</v>
      </c>
      <c r="B1359" t="str">
        <f>"1551686177445931"</f>
        <v>1551686177445931</v>
      </c>
      <c r="C1359" t="s">
        <v>40</v>
      </c>
      <c r="D1359">
        <v>4.8435689999999996</v>
      </c>
      <c r="E1359">
        <v>0.57660419999999901</v>
      </c>
      <c r="F1359" t="s">
        <v>45</v>
      </c>
      <c r="G1359">
        <v>-209.33879999999999</v>
      </c>
      <c r="H1359" s="1">
        <v>-6.258527E-6</v>
      </c>
      <c r="I1359">
        <v>361.96679999999998</v>
      </c>
      <c r="J1359">
        <v>-227.98140000000001</v>
      </c>
      <c r="K1359">
        <v>1.1097060000000001</v>
      </c>
      <c r="L1359">
        <v>366.76769999999999</v>
      </c>
      <c r="M1359">
        <v>0.99924279999999999</v>
      </c>
      <c r="N1359">
        <v>-1.4182470000000001E-2</v>
      </c>
      <c r="O1359">
        <v>-3.6231319999999997E-2</v>
      </c>
      <c r="P1359">
        <v>0.98086830000000003</v>
      </c>
      <c r="Q1359">
        <v>0.18315719999999999</v>
      </c>
      <c r="R1359">
        <v>-6.5962030000000005E-2</v>
      </c>
      <c r="S1359">
        <v>3.0401150000000001</v>
      </c>
      <c r="T1359">
        <v>-0.1792811</v>
      </c>
      <c r="U1359">
        <v>-0.77670289999999997</v>
      </c>
      <c r="V1359">
        <v>3.0701349999999999E-2</v>
      </c>
      <c r="W1359">
        <v>0.19702459999999999</v>
      </c>
      <c r="X1359">
        <v>0.9799177</v>
      </c>
      <c r="Y1359">
        <v>0.21186550000000001</v>
      </c>
      <c r="Z1359">
        <v>-6.0786989999999999E-3</v>
      </c>
      <c r="AA1359">
        <v>0.97728000000000004</v>
      </c>
      <c r="AB1359">
        <v>29</v>
      </c>
      <c r="AC1359">
        <v>18.642600000000002</v>
      </c>
      <c r="AD1359">
        <v>-1.1097122585269901</v>
      </c>
      <c r="AE1359">
        <v>-4.8009000000000102</v>
      </c>
      <c r="AF1359">
        <v>4.1085807805384702</v>
      </c>
      <c r="AG1359">
        <v>-1.1097122585269901</v>
      </c>
      <c r="AH1359">
        <v>18.742039348872201</v>
      </c>
      <c r="AI1359">
        <v>93.310094003129606</v>
      </c>
      <c r="AJ1359">
        <v>77.635359155735998</v>
      </c>
      <c r="AK1359">
        <v>19.219155451830002</v>
      </c>
      <c r="AL1359">
        <v>78.636980376888999</v>
      </c>
      <c r="AM1359">
        <v>88.205479344012204</v>
      </c>
      <c r="AN1359">
        <v>0.99999998233513598</v>
      </c>
    </row>
    <row r="1360" spans="1:40" x14ac:dyDescent="0.25">
      <c r="A1360" t="str">
        <f>"20190304155617469"</f>
        <v>20190304155617469</v>
      </c>
      <c r="B1360" t="str">
        <f>"1551686177466427"</f>
        <v>1551686177466427</v>
      </c>
      <c r="C1360" t="s">
        <v>40</v>
      </c>
      <c r="D1360">
        <v>4.8798539999999999</v>
      </c>
      <c r="E1360">
        <v>0.57550230000000002</v>
      </c>
      <c r="F1360" t="s">
        <v>45</v>
      </c>
      <c r="G1360">
        <v>-206.91909999999999</v>
      </c>
      <c r="H1360" s="1">
        <v>-5.6030639999999996E-6</v>
      </c>
      <c r="I1360">
        <v>360.9776</v>
      </c>
      <c r="J1360">
        <v>-227.79900000000001</v>
      </c>
      <c r="K1360">
        <v>1.1097129999999999</v>
      </c>
      <c r="L1360">
        <v>366.76049999999998</v>
      </c>
      <c r="M1360">
        <v>0.99922350000000004</v>
      </c>
      <c r="N1360">
        <v>-1.418051E-2</v>
      </c>
      <c r="O1360">
        <v>-3.6760429999999997E-2</v>
      </c>
      <c r="P1360">
        <v>0.98092599999999996</v>
      </c>
      <c r="Q1360">
        <v>0.18272340000000001</v>
      </c>
      <c r="R1360">
        <v>-6.6305420000000004E-2</v>
      </c>
      <c r="S1360">
        <v>3.0323030000000002</v>
      </c>
      <c r="T1360">
        <v>-0.159763299999999</v>
      </c>
      <c r="U1360">
        <v>-0.83358759999999998</v>
      </c>
      <c r="V1360">
        <v>3.0521019999999999E-2</v>
      </c>
      <c r="W1360">
        <v>0.1965903</v>
      </c>
      <c r="X1360">
        <v>0.98001059999999995</v>
      </c>
      <c r="Y1360">
        <v>0.22908680000000001</v>
      </c>
      <c r="Z1360">
        <v>-6.1911780000000003E-3</v>
      </c>
      <c r="AA1360">
        <v>0.97338630000000004</v>
      </c>
      <c r="AB1360">
        <v>29</v>
      </c>
      <c r="AC1360">
        <v>20.879899999999999</v>
      </c>
      <c r="AD1360">
        <v>-1.1097186030640001</v>
      </c>
      <c r="AE1360">
        <v>-5.7828999999999802</v>
      </c>
      <c r="AF1360">
        <v>4.9982467043779604</v>
      </c>
      <c r="AG1360">
        <v>-1.1097186030640001</v>
      </c>
      <c r="AH1360">
        <v>21.023234619486601</v>
      </c>
      <c r="AI1360">
        <v>92.939780096830702</v>
      </c>
      <c r="AJ1360">
        <v>76.626293681816094</v>
      </c>
      <c r="AK1360">
        <v>21.637706425630999</v>
      </c>
      <c r="AL1360">
        <v>78.662360829199599</v>
      </c>
      <c r="AM1360">
        <v>88.216181961951804</v>
      </c>
      <c r="AN1360">
        <v>1.0000000274141401</v>
      </c>
    </row>
    <row r="1361" spans="1:40" x14ac:dyDescent="0.25">
      <c r="A1361" t="str">
        <f>"20190304155617483"</f>
        <v>20190304155617483</v>
      </c>
      <c r="B1361" t="str">
        <f>"1551686177476186"</f>
        <v>1551686177476186</v>
      </c>
      <c r="C1361" t="s">
        <v>40</v>
      </c>
      <c r="D1361">
        <v>4.85541</v>
      </c>
      <c r="E1361">
        <v>0.57553180000000004</v>
      </c>
      <c r="F1361" t="s">
        <v>45</v>
      </c>
      <c r="G1361">
        <v>-207.55009999999999</v>
      </c>
      <c r="H1361" s="1">
        <v>-5.7724669999999999E-6</v>
      </c>
      <c r="I1361">
        <v>361.24529999999999</v>
      </c>
      <c r="J1361">
        <v>-227.62299999999999</v>
      </c>
      <c r="K1361">
        <v>1.109715</v>
      </c>
      <c r="L1361">
        <v>366.75349999999997</v>
      </c>
      <c r="M1361">
        <v>0.9992046</v>
      </c>
      <c r="N1361">
        <v>-1.4178619999999999E-2</v>
      </c>
      <c r="O1361">
        <v>-3.727142E-2</v>
      </c>
      <c r="P1361">
        <v>0.98093949999999996</v>
      </c>
      <c r="Q1361">
        <v>0.1824923</v>
      </c>
      <c r="R1361">
        <v>-6.6741480000000006E-2</v>
      </c>
      <c r="S1361">
        <v>3.0334629999999998</v>
      </c>
      <c r="T1361">
        <v>-0.16624559999999999</v>
      </c>
      <c r="U1361">
        <v>-0.82623289999999905</v>
      </c>
      <c r="V1361">
        <v>3.0452860000000002E-2</v>
      </c>
      <c r="W1361">
        <v>0.196358</v>
      </c>
      <c r="X1361">
        <v>0.98005929999999997</v>
      </c>
      <c r="Y1361">
        <v>0.2262778</v>
      </c>
      <c r="Z1361">
        <v>-6.2372790000000001E-3</v>
      </c>
      <c r="AA1361">
        <v>0.97404279999999999</v>
      </c>
      <c r="AB1361">
        <v>29</v>
      </c>
      <c r="AC1361">
        <v>20.072900000000001</v>
      </c>
      <c r="AD1361">
        <v>-1.109720772467</v>
      </c>
      <c r="AE1361">
        <v>-5.50819999999998</v>
      </c>
      <c r="AF1361">
        <v>4.7426710073791396</v>
      </c>
      <c r="AG1361">
        <v>-1.109720772467</v>
      </c>
      <c r="AH1361">
        <v>20.206834344116601</v>
      </c>
      <c r="AI1361">
        <v>93.060417099472104</v>
      </c>
      <c r="AJ1361">
        <v>76.791397792647004</v>
      </c>
      <c r="AK1361">
        <v>20.785585454531901</v>
      </c>
      <c r="AL1361">
        <v>78.675935317352796</v>
      </c>
      <c r="AM1361">
        <v>88.220251430825101</v>
      </c>
      <c r="AN1361">
        <v>1.0000000361813299</v>
      </c>
    </row>
    <row r="1362" spans="1:40" x14ac:dyDescent="0.25">
      <c r="A1362" t="str">
        <f>"20190304155617502"</f>
        <v>20190304155617502</v>
      </c>
      <c r="B1362" t="str">
        <f>"1551686177495710"</f>
        <v>1551686177495710</v>
      </c>
      <c r="C1362" t="s">
        <v>40</v>
      </c>
      <c r="D1362">
        <v>4.8506609999999997</v>
      </c>
      <c r="E1362">
        <v>0.57562569999999902</v>
      </c>
      <c r="F1362" t="s">
        <v>45</v>
      </c>
      <c r="G1362">
        <v>-208.84450000000001</v>
      </c>
      <c r="H1362" s="1">
        <v>-6.1458090000000001E-6</v>
      </c>
      <c r="I1362">
        <v>361.62900000000002</v>
      </c>
      <c r="J1362">
        <v>-227.37110000000001</v>
      </c>
      <c r="K1362">
        <v>1.109715</v>
      </c>
      <c r="L1362">
        <v>366.74329999999998</v>
      </c>
      <c r="M1362">
        <v>0.99917710000000004</v>
      </c>
      <c r="N1362">
        <v>-1.4175899999999899E-2</v>
      </c>
      <c r="O1362">
        <v>-3.8002569999999999E-2</v>
      </c>
      <c r="P1362">
        <v>0.98092500000000005</v>
      </c>
      <c r="Q1362">
        <v>0.18226239999999999</v>
      </c>
      <c r="R1362">
        <v>-6.7576319999999995E-2</v>
      </c>
      <c r="S1362">
        <v>3.0353089999999998</v>
      </c>
      <c r="T1362">
        <v>-0.17937220000000001</v>
      </c>
      <c r="U1362">
        <v>-0.82830809999999999</v>
      </c>
      <c r="V1362">
        <v>3.0567469999999999E-2</v>
      </c>
      <c r="W1362">
        <v>0.19612599999999999</v>
      </c>
      <c r="X1362">
        <v>0.98010209999999998</v>
      </c>
      <c r="Y1362">
        <v>0.2259845</v>
      </c>
      <c r="Z1362">
        <v>-6.5133489999999999E-3</v>
      </c>
      <c r="AA1362">
        <v>0.97410909999999995</v>
      </c>
      <c r="AB1362">
        <v>29</v>
      </c>
      <c r="AC1362">
        <v>18.526599999999998</v>
      </c>
      <c r="AD1362">
        <v>-1.1097211458089999</v>
      </c>
      <c r="AE1362">
        <v>-5.1142999999999503</v>
      </c>
      <c r="AF1362">
        <v>4.3918341815213404</v>
      </c>
      <c r="AG1362">
        <v>-1.1097211458089999</v>
      </c>
      <c r="AH1362">
        <v>18.645430126342902</v>
      </c>
      <c r="AI1362">
        <v>93.315535386250801</v>
      </c>
      <c r="AJ1362">
        <v>76.745871067676802</v>
      </c>
      <c r="AK1362">
        <v>19.187802195555701</v>
      </c>
      <c r="AL1362">
        <v>78.6894905699167</v>
      </c>
      <c r="AM1362">
        <v>88.213635601969003</v>
      </c>
      <c r="AN1362">
        <v>0.999999952261304</v>
      </c>
    </row>
    <row r="1363" spans="1:40" x14ac:dyDescent="0.25">
      <c r="A1363" t="str">
        <f>"20190304155617513"</f>
        <v>20190304155617513</v>
      </c>
      <c r="B1363" t="str">
        <f>"1551686177506443"</f>
        <v>1551686177506443</v>
      </c>
      <c r="C1363" t="s">
        <v>40</v>
      </c>
      <c r="D1363">
        <v>4.8298620000000003</v>
      </c>
      <c r="E1363">
        <v>0.5762794</v>
      </c>
      <c r="F1363" t="s">
        <v>45</v>
      </c>
      <c r="G1363">
        <v>-208.14320000000001</v>
      </c>
      <c r="H1363" s="1">
        <v>-5.9356679999999997E-6</v>
      </c>
      <c r="I1363">
        <v>361.47149999999999</v>
      </c>
      <c r="J1363">
        <v>-227.23159999999999</v>
      </c>
      <c r="K1363">
        <v>1.1097170000000001</v>
      </c>
      <c r="L1363">
        <v>366.73759999999999</v>
      </c>
      <c r="M1363">
        <v>0.99916179999999999</v>
      </c>
      <c r="N1363">
        <v>-1.417441E-2</v>
      </c>
      <c r="O1363">
        <v>-3.8407709999999998E-2</v>
      </c>
      <c r="P1363">
        <v>0.98092199999999996</v>
      </c>
      <c r="Q1363">
        <v>0.18216260000000001</v>
      </c>
      <c r="R1363">
        <v>-6.7891660000000006E-2</v>
      </c>
      <c r="S1363">
        <v>3.0335540000000001</v>
      </c>
      <c r="T1363">
        <v>-0.1750787</v>
      </c>
      <c r="U1363">
        <v>-0.83172610000000002</v>
      </c>
      <c r="V1363">
        <v>3.048346E-2</v>
      </c>
      <c r="W1363">
        <v>0.19602549999999999</v>
      </c>
      <c r="X1363">
        <v>0.98012489999999997</v>
      </c>
      <c r="Y1363">
        <v>0.22676959999999999</v>
      </c>
      <c r="Z1363">
        <v>-6.4216969999999996E-3</v>
      </c>
      <c r="AA1363">
        <v>0.97392730000000005</v>
      </c>
      <c r="AB1363">
        <v>29</v>
      </c>
      <c r="AC1363">
        <v>19.088399999999901</v>
      </c>
      <c r="AD1363">
        <v>-1.1097229356680001</v>
      </c>
      <c r="AE1363">
        <v>-5.26609999999999</v>
      </c>
      <c r="AF1363">
        <v>4.5148184575741501</v>
      </c>
      <c r="AG1363">
        <v>-1.1097229356680001</v>
      </c>
      <c r="AH1363">
        <v>19.216238524787101</v>
      </c>
      <c r="AI1363">
        <v>93.217691422804606</v>
      </c>
      <c r="AJ1363">
        <v>76.778267637177507</v>
      </c>
      <c r="AK1363">
        <v>19.770657392719901</v>
      </c>
      <c r="AL1363">
        <v>78.695363659587102</v>
      </c>
      <c r="AM1363">
        <v>88.218583396653202</v>
      </c>
      <c r="AN1363">
        <v>1.00000002879191</v>
      </c>
    </row>
    <row r="1364" spans="1:40" x14ac:dyDescent="0.25">
      <c r="A1364" t="str">
        <f>"20190304155617524"</f>
        <v>20190304155617524</v>
      </c>
      <c r="B1364" t="str">
        <f>"1551686177516203"</f>
        <v>1551686177516203</v>
      </c>
      <c r="C1364" t="s">
        <v>40</v>
      </c>
      <c r="D1364">
        <v>4.8836599999999999</v>
      </c>
      <c r="E1364">
        <v>0.57613029999999998</v>
      </c>
      <c r="F1364" t="s">
        <v>45</v>
      </c>
      <c r="G1364">
        <v>-207.69839999999999</v>
      </c>
      <c r="H1364" s="1">
        <v>-5.8071160000000003E-6</v>
      </c>
      <c r="I1364">
        <v>361.34120000000001</v>
      </c>
      <c r="J1364">
        <v>-227.0898</v>
      </c>
      <c r="K1364">
        <v>1.1097159999999999</v>
      </c>
      <c r="L1364">
        <v>366.73169999999999</v>
      </c>
      <c r="M1364">
        <v>0.99914579999999997</v>
      </c>
      <c r="N1364">
        <v>-1.417289E-2</v>
      </c>
      <c r="O1364">
        <v>-3.8819289999999999E-2</v>
      </c>
      <c r="P1364">
        <v>0.98093640000000004</v>
      </c>
      <c r="Q1364">
        <v>0.18194450000000001</v>
      </c>
      <c r="R1364">
        <v>-6.826662E-2</v>
      </c>
      <c r="S1364">
        <v>3.0323639999999998</v>
      </c>
      <c r="T1364">
        <v>-0.1722747</v>
      </c>
      <c r="U1364">
        <v>-0.83773799999999898</v>
      </c>
      <c r="V1364">
        <v>3.045198E-2</v>
      </c>
      <c r="W1364">
        <v>0.1958067</v>
      </c>
      <c r="X1364">
        <v>0.98016959999999997</v>
      </c>
      <c r="Y1364">
        <v>0.2282691</v>
      </c>
      <c r="Z1364">
        <v>-6.3897939999999999E-3</v>
      </c>
      <c r="AA1364">
        <v>0.97357709999999997</v>
      </c>
      <c r="AB1364">
        <v>29</v>
      </c>
      <c r="AC1364">
        <v>19.391400000000001</v>
      </c>
      <c r="AD1364">
        <v>-1.109721807116</v>
      </c>
      <c r="AE1364">
        <v>-5.3904999999999701</v>
      </c>
      <c r="AF1364">
        <v>4.6195563717518198</v>
      </c>
      <c r="AG1364">
        <v>-1.109721807116</v>
      </c>
      <c r="AH1364">
        <v>19.526694655717598</v>
      </c>
      <c r="AI1364">
        <v>93.165485750250497</v>
      </c>
      <c r="AJ1364">
        <v>76.689881316290695</v>
      </c>
      <c r="AK1364">
        <v>20.096357573913998</v>
      </c>
      <c r="AL1364">
        <v>78.708147573934099</v>
      </c>
      <c r="AM1364">
        <v>88.220502970663901</v>
      </c>
      <c r="AN1364">
        <v>1.00000001580748</v>
      </c>
    </row>
    <row r="1365" spans="1:40" x14ac:dyDescent="0.25">
      <c r="A1365" t="str">
        <f>"20190304155617536"</f>
        <v>20190304155617536</v>
      </c>
      <c r="B1365" t="str">
        <f>"1551686177525963"</f>
        <v>1551686177525963</v>
      </c>
      <c r="C1365" t="s">
        <v>40</v>
      </c>
      <c r="D1365">
        <v>4.8362040000000004</v>
      </c>
      <c r="E1365">
        <v>0.57623340000000001</v>
      </c>
      <c r="F1365" t="s">
        <v>45</v>
      </c>
      <c r="G1365">
        <v>-207.63069999999999</v>
      </c>
      <c r="H1365" s="1">
        <v>-5.7823819999999998E-6</v>
      </c>
      <c r="I1365">
        <v>361.35449999999997</v>
      </c>
      <c r="J1365">
        <v>-226.92679999999999</v>
      </c>
      <c r="K1365">
        <v>1.1097140000000001</v>
      </c>
      <c r="L1365">
        <v>366.72489999999999</v>
      </c>
      <c r="M1365">
        <v>0.99912730000000005</v>
      </c>
      <c r="N1365">
        <v>-1.417116E-2</v>
      </c>
      <c r="O1365">
        <v>-3.929274E-2</v>
      </c>
      <c r="P1365">
        <v>0.98092400000000002</v>
      </c>
      <c r="Q1365">
        <v>0.1818862</v>
      </c>
      <c r="R1365">
        <v>-6.8599399999999894E-2</v>
      </c>
      <c r="S1365">
        <v>3.0320589999999998</v>
      </c>
      <c r="T1365">
        <v>-0.17291339999999999</v>
      </c>
      <c r="U1365">
        <v>-0.8378601</v>
      </c>
      <c r="V1365">
        <v>3.0318749999999998E-2</v>
      </c>
      <c r="W1365">
        <v>0.1957468</v>
      </c>
      <c r="X1365">
        <v>0.98018570000000005</v>
      </c>
      <c r="Y1365">
        <v>0.22786799999999999</v>
      </c>
      <c r="Z1365">
        <v>-6.37157E-3</v>
      </c>
      <c r="AA1365">
        <v>0.97367119999999996</v>
      </c>
      <c r="AB1365">
        <v>29</v>
      </c>
      <c r="AC1365">
        <v>19.296099999999999</v>
      </c>
      <c r="AD1365">
        <v>-1.109719782382</v>
      </c>
      <c r="AE1365">
        <v>-5.3704000000000098</v>
      </c>
      <c r="AF1365">
        <v>4.5938775645711001</v>
      </c>
      <c r="AG1365">
        <v>-1.109719782382</v>
      </c>
      <c r="AH1365">
        <v>19.432583426423001</v>
      </c>
      <c r="AI1365">
        <v>93.180903787468495</v>
      </c>
      <c r="AJ1365">
        <v>76.6994149971529</v>
      </c>
      <c r="AK1365">
        <v>19.999012168068901</v>
      </c>
      <c r="AL1365">
        <v>78.711647380304797</v>
      </c>
      <c r="AM1365">
        <v>88.228312531237194</v>
      </c>
      <c r="AN1365">
        <v>1.0000000213981399</v>
      </c>
    </row>
    <row r="1366" spans="1:40" x14ac:dyDescent="0.25">
      <c r="A1366" t="str">
        <f>"20190304155617549"</f>
        <v>20190304155617549</v>
      </c>
      <c r="B1366" t="str">
        <f>"1551686177546458"</f>
        <v>1551686177546458</v>
      </c>
      <c r="C1366" t="s">
        <v>40</v>
      </c>
      <c r="D1366">
        <v>5.0275749999999997</v>
      </c>
      <c r="E1366">
        <v>0.57575919999999903</v>
      </c>
      <c r="F1366" t="s">
        <v>45</v>
      </c>
      <c r="G1366">
        <v>-207.49160000000001</v>
      </c>
      <c r="H1366" s="1">
        <v>-5.7382140000000004E-6</v>
      </c>
      <c r="I1366">
        <v>361.33909999999997</v>
      </c>
      <c r="J1366">
        <v>-226.77170000000001</v>
      </c>
      <c r="K1366">
        <v>1.1097140000000001</v>
      </c>
      <c r="L1366">
        <v>366.7183</v>
      </c>
      <c r="M1366">
        <v>0.99910960000000004</v>
      </c>
      <c r="N1366">
        <v>-1.416952E-2</v>
      </c>
      <c r="O1366">
        <v>-3.9743180000000003E-2</v>
      </c>
      <c r="P1366">
        <v>0.98093869999999905</v>
      </c>
      <c r="Q1366">
        <v>0.18162059999999999</v>
      </c>
      <c r="R1366">
        <v>-6.9090990000000005E-2</v>
      </c>
      <c r="S1366">
        <v>3.0316930000000002</v>
      </c>
      <c r="T1366">
        <v>-0.17310490000000001</v>
      </c>
      <c r="U1366">
        <v>-0.84011840000000004</v>
      </c>
      <c r="V1366">
        <v>3.03655E-2</v>
      </c>
      <c r="W1366">
        <v>0.19548070000000001</v>
      </c>
      <c r="X1366">
        <v>0.98023729999999998</v>
      </c>
      <c r="Y1366">
        <v>0.2281321</v>
      </c>
      <c r="Z1366">
        <v>-6.3665739999999998E-3</v>
      </c>
      <c r="AA1366">
        <v>0.97360939999999996</v>
      </c>
      <c r="AB1366">
        <v>29</v>
      </c>
      <c r="AC1366">
        <v>19.280100000000001</v>
      </c>
      <c r="AD1366">
        <v>-1.1097197382139901</v>
      </c>
      <c r="AE1366">
        <v>-5.3792000000000204</v>
      </c>
      <c r="AF1366">
        <v>4.5944980576588801</v>
      </c>
      <c r="AG1366">
        <v>-1.1097197382139901</v>
      </c>
      <c r="AH1366">
        <v>19.418985283682201</v>
      </c>
      <c r="AI1366">
        <v>93.182986003656694</v>
      </c>
      <c r="AJ1366">
        <v>76.6886988829621</v>
      </c>
      <c r="AK1366">
        <v>19.985942053030101</v>
      </c>
      <c r="AL1366">
        <v>78.727193501569403</v>
      </c>
      <c r="AM1366">
        <v>88.225675768815094</v>
      </c>
      <c r="AN1366">
        <v>0.99999996598701402</v>
      </c>
    </row>
    <row r="1367" spans="1:40" x14ac:dyDescent="0.25">
      <c r="A1367" t="str">
        <f>"20190304155617562"</f>
        <v>20190304155617562</v>
      </c>
      <c r="B1367" t="str">
        <f>"1551686177556219"</f>
        <v>1551686177556219</v>
      </c>
      <c r="C1367" t="s">
        <v>40</v>
      </c>
      <c r="D1367">
        <v>4.943988</v>
      </c>
      <c r="E1367">
        <v>0.57581009999999999</v>
      </c>
      <c r="F1367" t="s">
        <v>45</v>
      </c>
      <c r="G1367">
        <v>-207.29939999999999</v>
      </c>
      <c r="H1367" s="1">
        <v>-5.67465799999999E-6</v>
      </c>
      <c r="I1367">
        <v>361.33420000000001</v>
      </c>
      <c r="J1367">
        <v>-226.62530000000001</v>
      </c>
      <c r="K1367">
        <v>1.1097159999999999</v>
      </c>
      <c r="L1367">
        <v>366.71199999999999</v>
      </c>
      <c r="M1367">
        <v>0.99909250000000005</v>
      </c>
      <c r="N1367">
        <v>-1.416797E-2</v>
      </c>
      <c r="O1367">
        <v>-4.0168469999999998E-2</v>
      </c>
      <c r="P1367">
        <v>0.98102160000000005</v>
      </c>
      <c r="Q1367">
        <v>0.18108769999999999</v>
      </c>
      <c r="R1367">
        <v>-6.9310140000000006E-2</v>
      </c>
      <c r="S1367">
        <v>3.0312190000000001</v>
      </c>
      <c r="T1367">
        <v>-0.17274790000000001</v>
      </c>
      <c r="U1367">
        <v>-0.83813479999999996</v>
      </c>
      <c r="V1367">
        <v>3.016168E-2</v>
      </c>
      <c r="W1367">
        <v>0.19494810000000001</v>
      </c>
      <c r="X1367">
        <v>0.98034969999999999</v>
      </c>
      <c r="Y1367">
        <v>0.22716829999999999</v>
      </c>
      <c r="Z1367">
        <v>-6.3069819999999896E-3</v>
      </c>
      <c r="AA1367">
        <v>0.97383509999999995</v>
      </c>
      <c r="AB1367">
        <v>29</v>
      </c>
      <c r="AC1367">
        <v>19.325900000000001</v>
      </c>
      <c r="AD1367">
        <v>-1.1097216746580001</v>
      </c>
      <c r="AE1367">
        <v>-5.3777999999999704</v>
      </c>
      <c r="AF1367">
        <v>4.58306372471983</v>
      </c>
      <c r="AG1367">
        <v>-1.1097216746580001</v>
      </c>
      <c r="AH1367">
        <v>19.466765683096298</v>
      </c>
      <c r="AI1367">
        <v>93.176022611587499</v>
      </c>
      <c r="AJ1367">
        <v>76.752094652877901</v>
      </c>
      <c r="AK1367">
        <v>20.0297509086015</v>
      </c>
      <c r="AL1367">
        <v>78.7583083749075</v>
      </c>
      <c r="AM1367">
        <v>88.237779831395798</v>
      </c>
      <c r="AN1367">
        <v>1.00000001146206</v>
      </c>
    </row>
    <row r="1368" spans="1:40" x14ac:dyDescent="0.25">
      <c r="A1368" t="str">
        <f>"20190304155617574"</f>
        <v>20190304155617574</v>
      </c>
      <c r="B1368" t="str">
        <f>"1551686177565979"</f>
        <v>1551686177565979</v>
      </c>
      <c r="C1368" t="s">
        <v>40</v>
      </c>
      <c r="D1368">
        <v>4.9227379999999998</v>
      </c>
      <c r="E1368">
        <v>0.57531880000000002</v>
      </c>
      <c r="F1368" t="s">
        <v>45</v>
      </c>
      <c r="G1368">
        <v>-207.45160000000001</v>
      </c>
      <c r="H1368" s="1">
        <v>-5.714641E-6</v>
      </c>
      <c r="I1368">
        <v>361.40440000000001</v>
      </c>
      <c r="J1368">
        <v>-226.4487</v>
      </c>
      <c r="K1368">
        <v>1.10972</v>
      </c>
      <c r="L1368">
        <v>366.70429999999999</v>
      </c>
      <c r="M1368">
        <v>0.99907170000000001</v>
      </c>
      <c r="N1368">
        <v>-1.4166110000000001E-2</v>
      </c>
      <c r="O1368">
        <v>-4.0681130000000003E-2</v>
      </c>
      <c r="P1368">
        <v>0.9810276</v>
      </c>
      <c r="Q1368">
        <v>0.1809664</v>
      </c>
      <c r="R1368">
        <v>-6.9541279999999997E-2</v>
      </c>
      <c r="S1368">
        <v>3.0311430000000001</v>
      </c>
      <c r="T1368">
        <v>-0.1754347</v>
      </c>
      <c r="U1368">
        <v>-0.83908079999999996</v>
      </c>
      <c r="V1368">
        <v>2.9886989999999999E-2</v>
      </c>
      <c r="W1368">
        <v>0.194826</v>
      </c>
      <c r="X1368">
        <v>0.98038239999999999</v>
      </c>
      <c r="Y1368">
        <v>0.2269475</v>
      </c>
      <c r="Z1368">
        <v>-6.3407689999999996E-3</v>
      </c>
      <c r="AA1368">
        <v>0.97388640000000004</v>
      </c>
      <c r="AB1368">
        <v>29</v>
      </c>
      <c r="AC1368">
        <v>18.9970999999999</v>
      </c>
      <c r="AD1368">
        <v>-1.109725714641</v>
      </c>
      <c r="AE1368">
        <v>-5.2998999999999796</v>
      </c>
      <c r="AF1368">
        <v>4.5083374485832302</v>
      </c>
      <c r="AG1368">
        <v>-1.109725714641</v>
      </c>
      <c r="AH1368">
        <v>19.136413115360899</v>
      </c>
      <c r="AI1368">
        <v>93.230632375622903</v>
      </c>
      <c r="AJ1368">
        <v>76.743446361456293</v>
      </c>
      <c r="AK1368">
        <v>19.691594771216302</v>
      </c>
      <c r="AL1368">
        <v>78.7654411210397</v>
      </c>
      <c r="AM1368">
        <v>88.253877038449801</v>
      </c>
      <c r="AN1368">
        <v>1.0000000263385</v>
      </c>
    </row>
    <row r="1369" spans="1:40" x14ac:dyDescent="0.25">
      <c r="A1369" t="str">
        <f>"20190304155617585"</f>
        <v>20190304155617585</v>
      </c>
      <c r="B1369" t="str">
        <f>"1551686177575739"</f>
        <v>1551686177575739</v>
      </c>
      <c r="C1369" t="s">
        <v>40</v>
      </c>
      <c r="D1369">
        <v>4.9123449999999904</v>
      </c>
      <c r="E1369">
        <v>0.5747255</v>
      </c>
      <c r="F1369" t="s">
        <v>45</v>
      </c>
      <c r="G1369">
        <v>-207.53569999999999</v>
      </c>
      <c r="H1369" s="1">
        <v>-5.7299879999999999E-6</v>
      </c>
      <c r="I1369">
        <v>361.48630000000003</v>
      </c>
      <c r="J1369">
        <v>-226.29490000000001</v>
      </c>
      <c r="K1369">
        <v>1.10972</v>
      </c>
      <c r="L1369">
        <v>366.69760000000002</v>
      </c>
      <c r="M1369">
        <v>0.99905370000000004</v>
      </c>
      <c r="N1369">
        <v>-1.416448E-2</v>
      </c>
      <c r="O1369">
        <v>-4.1128119999999997E-2</v>
      </c>
      <c r="P1369">
        <v>0.98102900000000004</v>
      </c>
      <c r="Q1369">
        <v>0.1808217</v>
      </c>
      <c r="R1369">
        <v>-6.9900130000000005E-2</v>
      </c>
      <c r="S1369">
        <v>3.0315400000000001</v>
      </c>
      <c r="T1369">
        <v>-0.17787610000000001</v>
      </c>
      <c r="U1369">
        <v>-0.83639529999999995</v>
      </c>
      <c r="V1369">
        <v>2.980532E-2</v>
      </c>
      <c r="W1369">
        <v>0.19468009999999999</v>
      </c>
      <c r="X1369">
        <v>0.98041389999999995</v>
      </c>
      <c r="Y1369">
        <v>0.2256706</v>
      </c>
      <c r="Z1369">
        <v>-6.332458E-3</v>
      </c>
      <c r="AA1369">
        <v>0.97418309999999997</v>
      </c>
      <c r="AB1369">
        <v>29</v>
      </c>
      <c r="AC1369">
        <v>18.7592</v>
      </c>
      <c r="AD1369">
        <v>-1.1097257299879999</v>
      </c>
      <c r="AE1369">
        <v>-5.2112999999999898</v>
      </c>
      <c r="AF1369">
        <v>4.4209193756337397</v>
      </c>
      <c r="AG1369">
        <v>-1.1097257299879999</v>
      </c>
      <c r="AH1369">
        <v>18.896287267149699</v>
      </c>
      <c r="AI1369">
        <v>93.272783259506497</v>
      </c>
      <c r="AJ1369">
        <v>76.832091943452298</v>
      </c>
      <c r="AK1369">
        <v>19.438253311557901</v>
      </c>
      <c r="AL1369">
        <v>78.773964111251303</v>
      </c>
      <c r="AM1369">
        <v>88.258701513717995</v>
      </c>
      <c r="AN1369">
        <v>1.00000005687475</v>
      </c>
    </row>
    <row r="1370" spans="1:40" x14ac:dyDescent="0.25">
      <c r="A1370" t="str">
        <f>"20190304155617598"</f>
        <v>20190304155617598</v>
      </c>
      <c r="B1370" t="str">
        <f>"1551686177596235"</f>
        <v>1551686177596235</v>
      </c>
      <c r="C1370" t="s">
        <v>40</v>
      </c>
      <c r="D1370">
        <v>4.9321820000000001</v>
      </c>
      <c r="E1370">
        <v>0.57350489999999998</v>
      </c>
      <c r="F1370" t="s">
        <v>45</v>
      </c>
      <c r="G1370">
        <v>-207.69560000000001</v>
      </c>
      <c r="H1370" s="1">
        <v>-5.7676609999999998E-6</v>
      </c>
      <c r="I1370">
        <v>361.58789999999999</v>
      </c>
      <c r="J1370">
        <v>-226.14429999999999</v>
      </c>
      <c r="K1370">
        <v>1.1097220000000001</v>
      </c>
      <c r="L1370">
        <v>366.6909</v>
      </c>
      <c r="M1370">
        <v>0.99903549999999997</v>
      </c>
      <c r="N1370">
        <v>-1.4162900000000001E-2</v>
      </c>
      <c r="O1370">
        <v>-4.1565570000000003E-2</v>
      </c>
      <c r="P1370">
        <v>0.98105339999999996</v>
      </c>
      <c r="Q1370">
        <v>0.1804569</v>
      </c>
      <c r="R1370">
        <v>-7.0496649999999994E-2</v>
      </c>
      <c r="S1370">
        <v>3.0319980000000002</v>
      </c>
      <c r="T1370">
        <v>-0.18090439999999999</v>
      </c>
      <c r="U1370">
        <v>-0.83297730000000003</v>
      </c>
      <c r="V1370">
        <v>2.9968910000000001E-2</v>
      </c>
      <c r="W1370">
        <v>0.19431480000000001</v>
      </c>
      <c r="X1370">
        <v>0.9804813</v>
      </c>
      <c r="Y1370">
        <v>0.2241764</v>
      </c>
      <c r="Z1370">
        <v>-6.3283640000000004E-3</v>
      </c>
      <c r="AA1370">
        <v>0.97452799999999995</v>
      </c>
      <c r="AB1370">
        <v>29</v>
      </c>
      <c r="AC1370">
        <v>18.448699999999899</v>
      </c>
      <c r="AD1370">
        <v>-1.10972776766099</v>
      </c>
      <c r="AE1370">
        <v>-5.1029999999999998</v>
      </c>
      <c r="AF1370">
        <v>4.3171709210398497</v>
      </c>
      <c r="AG1370">
        <v>-1.10972776766099</v>
      </c>
      <c r="AH1370">
        <v>18.582425747646901</v>
      </c>
      <c r="AI1370">
        <v>93.329142367884103</v>
      </c>
      <c r="AJ1370">
        <v>76.920754209096003</v>
      </c>
      <c r="AK1370">
        <v>19.1095789369258</v>
      </c>
      <c r="AL1370">
        <v>78.795300851496407</v>
      </c>
      <c r="AM1370">
        <v>88.249270406410801</v>
      </c>
      <c r="AN1370">
        <v>0.99999997835765797</v>
      </c>
    </row>
    <row r="1371" spans="1:40" x14ac:dyDescent="0.25">
      <c r="A1371" t="str">
        <f>"20190304155617609"</f>
        <v>20190304155617609</v>
      </c>
      <c r="B1371" t="str">
        <f>"1551686177605995"</f>
        <v>1551686177605995</v>
      </c>
      <c r="C1371" t="s">
        <v>40</v>
      </c>
      <c r="D1371">
        <v>4.9611850000000004</v>
      </c>
      <c r="E1371">
        <v>0.57308119999999996</v>
      </c>
      <c r="F1371" t="s">
        <v>45</v>
      </c>
      <c r="G1371">
        <v>-208.01249999999999</v>
      </c>
      <c r="H1371" s="1">
        <v>-5.8476050000000001E-6</v>
      </c>
      <c r="I1371">
        <v>361.7552</v>
      </c>
      <c r="J1371">
        <v>-225.9948</v>
      </c>
      <c r="K1371">
        <v>1.109723</v>
      </c>
      <c r="L1371">
        <v>366.68430000000001</v>
      </c>
      <c r="M1371">
        <v>0.99901719999999905</v>
      </c>
      <c r="N1371">
        <v>-1.416132E-2</v>
      </c>
      <c r="O1371">
        <v>-4.1999679999999998E-2</v>
      </c>
      <c r="P1371">
        <v>0.98105629999999999</v>
      </c>
      <c r="Q1371">
        <v>0.18029029999999999</v>
      </c>
      <c r="R1371">
        <v>-7.0882120000000007E-2</v>
      </c>
      <c r="S1371">
        <v>3.0327760000000001</v>
      </c>
      <c r="T1371">
        <v>-0.18561659999999999</v>
      </c>
      <c r="U1371">
        <v>-0.82556149999999995</v>
      </c>
      <c r="V1371">
        <v>2.992585E-2</v>
      </c>
      <c r="W1371">
        <v>0.19414690000000001</v>
      </c>
      <c r="X1371">
        <v>0.9805159</v>
      </c>
      <c r="Y1371">
        <v>0.2214583</v>
      </c>
      <c r="Z1371">
        <v>-6.314381E-3</v>
      </c>
      <c r="AA1371">
        <v>0.97514940000000006</v>
      </c>
      <c r="AB1371">
        <v>29</v>
      </c>
      <c r="AC1371">
        <v>17.982299999999999</v>
      </c>
      <c r="AD1371">
        <v>-1.109728847605</v>
      </c>
      <c r="AE1371">
        <v>-4.9291</v>
      </c>
      <c r="AF1371">
        <v>4.1547061381150003</v>
      </c>
      <c r="AG1371">
        <v>-1.109728847605</v>
      </c>
      <c r="AH1371">
        <v>18.109323181393101</v>
      </c>
      <c r="AI1371">
        <v>93.418083830675897</v>
      </c>
      <c r="AJ1371">
        <v>77.078605396989303</v>
      </c>
      <c r="AK1371">
        <v>18.6129166789474</v>
      </c>
      <c r="AL1371">
        <v>78.805107850015801</v>
      </c>
      <c r="AM1371">
        <v>88.251845983706303</v>
      </c>
      <c r="AN1371">
        <v>1.00000000271532</v>
      </c>
    </row>
    <row r="1372" spans="1:40" x14ac:dyDescent="0.25">
      <c r="A1372" t="str">
        <f>"20190304155617621"</f>
        <v>20190304155617621</v>
      </c>
      <c r="B1372" t="str">
        <f>"1551686177615755"</f>
        <v>1551686177615755</v>
      </c>
      <c r="C1372" t="s">
        <v>40</v>
      </c>
      <c r="D1372">
        <v>4.952979</v>
      </c>
      <c r="E1372">
        <v>0.5727508</v>
      </c>
      <c r="F1372" t="s">
        <v>45</v>
      </c>
      <c r="G1372">
        <v>-208.09739999999999</v>
      </c>
      <c r="H1372" s="1">
        <v>-5.8652319999999901E-6</v>
      </c>
      <c r="I1372">
        <v>361.82420000000002</v>
      </c>
      <c r="J1372">
        <v>-225.84540000000001</v>
      </c>
      <c r="K1372">
        <v>1.1097250000000001</v>
      </c>
      <c r="L1372">
        <v>366.67759999999998</v>
      </c>
      <c r="M1372">
        <v>0.99899899999999997</v>
      </c>
      <c r="N1372">
        <v>-1.415975E-2</v>
      </c>
      <c r="O1372">
        <v>-4.2434260000000001E-2</v>
      </c>
      <c r="P1372">
        <v>0.9810854</v>
      </c>
      <c r="Q1372">
        <v>0.17997589999999999</v>
      </c>
      <c r="R1372">
        <v>-7.1275549999999993E-2</v>
      </c>
      <c r="S1372">
        <v>3.0329899999999999</v>
      </c>
      <c r="T1372">
        <v>-0.18806</v>
      </c>
      <c r="U1372">
        <v>-0.82360840000000002</v>
      </c>
      <c r="V1372">
        <v>2.9889059999999999E-2</v>
      </c>
      <c r="W1372">
        <v>0.19383249999999999</v>
      </c>
      <c r="X1372">
        <v>0.98057919999999998</v>
      </c>
      <c r="Y1372">
        <v>0.2204246</v>
      </c>
      <c r="Z1372">
        <v>-6.3092360000000002E-3</v>
      </c>
      <c r="AA1372">
        <v>0.97538360000000002</v>
      </c>
      <c r="AB1372">
        <v>29</v>
      </c>
      <c r="AC1372">
        <v>17.748000000000001</v>
      </c>
      <c r="AD1372">
        <v>-1.1097308652319999</v>
      </c>
      <c r="AE1372">
        <v>-4.8533999999999597</v>
      </c>
      <c r="AF1372">
        <v>4.0809837473834003</v>
      </c>
      <c r="AG1372">
        <v>-1.1097308652319999</v>
      </c>
      <c r="AH1372">
        <v>17.8729666347181</v>
      </c>
      <c r="AI1372">
        <v>93.464002112048803</v>
      </c>
      <c r="AJ1372">
        <v>77.137995018298696</v>
      </c>
      <c r="AK1372">
        <v>18.366514837208499</v>
      </c>
      <c r="AL1372">
        <v>78.823470218363894</v>
      </c>
      <c r="AM1372">
        <v>88.254106425479506</v>
      </c>
      <c r="AN1372">
        <v>0.999999980718286</v>
      </c>
    </row>
    <row r="1373" spans="1:40" x14ac:dyDescent="0.25">
      <c r="A1373" t="str">
        <f>"20190304155617638"</f>
        <v>20190304155617638</v>
      </c>
      <c r="B1373" t="str">
        <f>"1551686177625515"</f>
        <v>1551686177625515</v>
      </c>
      <c r="C1373" t="s">
        <v>40</v>
      </c>
      <c r="D1373">
        <v>4.9107880000000002</v>
      </c>
      <c r="E1373">
        <v>0.57241059999999999</v>
      </c>
      <c r="F1373" t="s">
        <v>45</v>
      </c>
      <c r="G1373">
        <v>-208.15209999999999</v>
      </c>
      <c r="H1373" s="1">
        <v>-5.8746719999999999E-6</v>
      </c>
      <c r="I1373">
        <v>361.88099999999997</v>
      </c>
      <c r="J1373">
        <v>-225.6439</v>
      </c>
      <c r="K1373">
        <v>1.109721</v>
      </c>
      <c r="L1373">
        <v>366.66840000000002</v>
      </c>
      <c r="M1373">
        <v>0.99897389999999997</v>
      </c>
      <c r="N1373">
        <v>-1.4157670000000001E-2</v>
      </c>
      <c r="O1373">
        <v>-4.301986E-2</v>
      </c>
      <c r="P1373">
        <v>0.98102210000000001</v>
      </c>
      <c r="Q1373">
        <v>0.18012410000000001</v>
      </c>
      <c r="R1373">
        <v>-7.1771070000000006E-2</v>
      </c>
      <c r="S1373">
        <v>3.03302</v>
      </c>
      <c r="T1373">
        <v>-0.19023200000000001</v>
      </c>
      <c r="U1373">
        <v>-0.8222351</v>
      </c>
      <c r="V1373">
        <v>2.9810139999999999E-2</v>
      </c>
      <c r="W1373">
        <v>0.19397800000000001</v>
      </c>
      <c r="X1373">
        <v>0.98055289999999995</v>
      </c>
      <c r="Y1373">
        <v>0.21943299999999999</v>
      </c>
      <c r="Z1373">
        <v>-6.2912519999999998E-3</v>
      </c>
      <c r="AA1373">
        <v>0.97560729999999996</v>
      </c>
      <c r="AB1373">
        <v>29</v>
      </c>
      <c r="AC1373">
        <v>17.491800000000001</v>
      </c>
      <c r="AD1373">
        <v>-1.1097268746719999</v>
      </c>
      <c r="AE1373">
        <v>-4.7874000000000398</v>
      </c>
      <c r="AF1373">
        <v>4.0153613573693496</v>
      </c>
      <c r="AG1373">
        <v>-1.1097268746719999</v>
      </c>
      <c r="AH1373">
        <v>17.6156157107703</v>
      </c>
      <c r="AI1373">
        <v>93.514766133764795</v>
      </c>
      <c r="AJ1373">
        <v>77.159206006029507</v>
      </c>
      <c r="AK1373">
        <v>18.1015064963158</v>
      </c>
      <c r="AL1373">
        <v>78.814973172970994</v>
      </c>
      <c r="AM1373">
        <v>88.258666819843199</v>
      </c>
      <c r="AN1373">
        <v>1.00000004931461</v>
      </c>
    </row>
    <row r="1374" spans="1:40" x14ac:dyDescent="0.25">
      <c r="A1374" t="str">
        <f>"20190304155617652"</f>
        <v>20190304155617652</v>
      </c>
      <c r="B1374" t="str">
        <f>"1551686177646011"</f>
        <v>1551686177646011</v>
      </c>
      <c r="C1374" t="s">
        <v>40</v>
      </c>
      <c r="D1374">
        <v>4.914263</v>
      </c>
      <c r="E1374">
        <v>0.57257150000000001</v>
      </c>
      <c r="F1374" t="s">
        <v>45</v>
      </c>
      <c r="G1374">
        <v>-207.96209999999999</v>
      </c>
      <c r="H1374" s="1">
        <v>-5.8110349999999998E-6</v>
      </c>
      <c r="I1374">
        <v>361.88139999999999</v>
      </c>
      <c r="J1374">
        <v>-225.45590000000001</v>
      </c>
      <c r="K1374">
        <v>1.109723</v>
      </c>
      <c r="L1374">
        <v>366.65969999999999</v>
      </c>
      <c r="M1374">
        <v>0.99895020000000001</v>
      </c>
      <c r="N1374">
        <v>-1.415575E-2</v>
      </c>
      <c r="O1374">
        <v>-4.3566859999999999E-2</v>
      </c>
      <c r="P1374">
        <v>0.98100310000000002</v>
      </c>
      <c r="Q1374">
        <v>0.17999129999999899</v>
      </c>
      <c r="R1374">
        <v>-7.2362319999999994E-2</v>
      </c>
      <c r="S1374">
        <v>3.0329130000000002</v>
      </c>
      <c r="T1374">
        <v>-0.19034860000000001</v>
      </c>
      <c r="U1374">
        <v>-0.821106</v>
      </c>
      <c r="V1374">
        <v>2.9862389999999999E-2</v>
      </c>
      <c r="W1374">
        <v>0.19384380000000001</v>
      </c>
      <c r="X1374">
        <v>0.98057780000000005</v>
      </c>
      <c r="Y1374">
        <v>0.21857109999999999</v>
      </c>
      <c r="Z1374">
        <v>-6.2350540000000003E-3</v>
      </c>
      <c r="AA1374">
        <v>0.97580109999999998</v>
      </c>
      <c r="AB1374">
        <v>29</v>
      </c>
      <c r="AC1374">
        <v>17.4938</v>
      </c>
      <c r="AD1374">
        <v>-1.1097288110349901</v>
      </c>
      <c r="AE1374">
        <v>-4.7782999999999998</v>
      </c>
      <c r="AF1374">
        <v>3.9965699210679202</v>
      </c>
      <c r="AG1374">
        <v>-1.1097288110349901</v>
      </c>
      <c r="AH1374">
        <v>17.619403738705898</v>
      </c>
      <c r="AI1374">
        <v>93.514864000280696</v>
      </c>
      <c r="AJ1374">
        <v>77.219978694657399</v>
      </c>
      <c r="AK1374">
        <v>18.101034701793999</v>
      </c>
      <c r="AL1374">
        <v>78.822810494140697</v>
      </c>
      <c r="AM1374">
        <v>88.255660834066305</v>
      </c>
      <c r="AN1374">
        <v>1.0000000014938899</v>
      </c>
    </row>
    <row r="1375" spans="1:40" x14ac:dyDescent="0.25">
      <c r="A1375" t="str">
        <f>"20190304155617667"</f>
        <v>20190304155617667</v>
      </c>
      <c r="B1375" t="str">
        <f>"1551686177655772"</f>
        <v>1551686177655772</v>
      </c>
      <c r="C1375" t="s">
        <v>40</v>
      </c>
      <c r="D1375">
        <v>4.9391100000000003</v>
      </c>
      <c r="E1375">
        <v>0.57285869999999905</v>
      </c>
      <c r="F1375" t="s">
        <v>45</v>
      </c>
      <c r="G1375">
        <v>-207.76740000000001</v>
      </c>
      <c r="H1375" s="1">
        <v>-5.7504900000000004E-6</v>
      </c>
      <c r="I1375">
        <v>361.85160000000002</v>
      </c>
      <c r="J1375">
        <v>-225.25810000000001</v>
      </c>
      <c r="K1375">
        <v>1.1097250000000001</v>
      </c>
      <c r="L1375">
        <v>366.65050000000002</v>
      </c>
      <c r="M1375">
        <v>0.99892510000000001</v>
      </c>
      <c r="N1375">
        <v>-1.415368E-2</v>
      </c>
      <c r="O1375">
        <v>-4.4142220000000003E-2</v>
      </c>
      <c r="P1375">
        <v>0.98100200000000004</v>
      </c>
      <c r="Q1375">
        <v>0.17968399999999901</v>
      </c>
      <c r="R1375">
        <v>-7.3137380000000002E-2</v>
      </c>
      <c r="S1375">
        <v>3.0322110000000002</v>
      </c>
      <c r="T1375">
        <v>-0.19023229999999999</v>
      </c>
      <c r="U1375">
        <v>-0.82421880000000003</v>
      </c>
      <c r="V1375">
        <v>3.0069780000000001E-2</v>
      </c>
      <c r="W1375">
        <v>0.19353500000000001</v>
      </c>
      <c r="X1375">
        <v>0.98063250000000002</v>
      </c>
      <c r="Y1375">
        <v>0.2189992</v>
      </c>
      <c r="Z1375">
        <v>-6.2217749999999997E-3</v>
      </c>
      <c r="AA1375">
        <v>0.97570520000000005</v>
      </c>
      <c r="AB1375">
        <v>29</v>
      </c>
      <c r="AC1375">
        <v>17.4907</v>
      </c>
      <c r="AD1375">
        <v>-1.10973075049</v>
      </c>
      <c r="AE1375">
        <v>-4.7988999999999997</v>
      </c>
      <c r="AF1375">
        <v>4.00706456811068</v>
      </c>
      <c r="AG1375">
        <v>-1.10973075049</v>
      </c>
      <c r="AH1375">
        <v>17.619540826769001</v>
      </c>
      <c r="AI1375">
        <v>93.514393180631998</v>
      </c>
      <c r="AJ1375">
        <v>77.187622121619597</v>
      </c>
      <c r="AK1375">
        <v>18.1034882754062</v>
      </c>
      <c r="AL1375">
        <v>78.840845431344107</v>
      </c>
      <c r="AM1375">
        <v>88.243652125575494</v>
      </c>
      <c r="AN1375">
        <v>1.0000000439752399</v>
      </c>
    </row>
    <row r="1376" spans="1:40" x14ac:dyDescent="0.25">
      <c r="A1376" t="str">
        <f>"20190304155617683"</f>
        <v>20190304155617683</v>
      </c>
      <c r="B1376" t="str">
        <f>"1551686177676266"</f>
        <v>1551686177676266</v>
      </c>
      <c r="C1376" t="s">
        <v>40</v>
      </c>
      <c r="D1376">
        <v>4.9073599999999997</v>
      </c>
      <c r="E1376">
        <v>0.57348599999999905</v>
      </c>
      <c r="F1376" t="s">
        <v>45</v>
      </c>
      <c r="G1376">
        <v>-207.5821</v>
      </c>
      <c r="H1376" s="1">
        <v>-5.6940019999999997E-6</v>
      </c>
      <c r="I1376">
        <v>361.81610000000001</v>
      </c>
      <c r="J1376">
        <v>-225.0659</v>
      </c>
      <c r="K1376">
        <v>1.1097220000000001</v>
      </c>
      <c r="L1376">
        <v>366.64139999999998</v>
      </c>
      <c r="M1376">
        <v>0.99890029999999996</v>
      </c>
      <c r="N1376">
        <v>-1.415167E-2</v>
      </c>
      <c r="O1376">
        <v>-4.4701129999999999E-2</v>
      </c>
      <c r="P1376">
        <v>0.98098989999999997</v>
      </c>
      <c r="Q1376">
        <v>0.17929519999999999</v>
      </c>
      <c r="R1376">
        <v>-7.4244770000000002E-2</v>
      </c>
      <c r="S1376">
        <v>3.0311430000000001</v>
      </c>
      <c r="T1376">
        <v>-0.19030059999999999</v>
      </c>
      <c r="U1376">
        <v>-0.82901000000000002</v>
      </c>
      <c r="V1376">
        <v>3.0625369999999999E-2</v>
      </c>
      <c r="W1376">
        <v>0.1931438</v>
      </c>
      <c r="X1376">
        <v>0.98069240000000002</v>
      </c>
      <c r="Y1376">
        <v>0.2199738</v>
      </c>
      <c r="Z1376">
        <v>-6.2342200000000004E-3</v>
      </c>
      <c r="AA1376">
        <v>0.97548590000000002</v>
      </c>
      <c r="AB1376">
        <v>29</v>
      </c>
      <c r="AC1376">
        <v>17.483799999999999</v>
      </c>
      <c r="AD1376">
        <v>-1.10972769400199</v>
      </c>
      <c r="AE1376">
        <v>-4.8252999999999604</v>
      </c>
      <c r="AF1376">
        <v>4.0237887495652904</v>
      </c>
      <c r="AG1376">
        <v>-1.10972769400199</v>
      </c>
      <c r="AH1376">
        <v>17.616091428389201</v>
      </c>
      <c r="AI1376">
        <v>93.514314985943997</v>
      </c>
      <c r="AJ1376">
        <v>77.133487901639299</v>
      </c>
      <c r="AK1376">
        <v>18.103840715973298</v>
      </c>
      <c r="AL1376">
        <v>78.863690223609893</v>
      </c>
      <c r="AM1376">
        <v>88.2113307086003</v>
      </c>
      <c r="AN1376">
        <v>1.0000000120919099</v>
      </c>
    </row>
    <row r="1377" spans="1:40" x14ac:dyDescent="0.25">
      <c r="A1377" t="str">
        <f>"20190304155617696"</f>
        <v>20190304155617696</v>
      </c>
      <c r="B1377" t="str">
        <f>"1551686177686027"</f>
        <v>1551686177686027</v>
      </c>
      <c r="C1377" t="s">
        <v>40</v>
      </c>
      <c r="D1377">
        <v>4.881259</v>
      </c>
      <c r="E1377">
        <v>0.57376159999999998</v>
      </c>
      <c r="F1377" t="s">
        <v>45</v>
      </c>
      <c r="G1377">
        <v>-207.29589999999999</v>
      </c>
      <c r="H1377" s="1">
        <v>-5.612344E-6</v>
      </c>
      <c r="I1377">
        <v>361.72550000000001</v>
      </c>
      <c r="J1377">
        <v>-224.88409999999999</v>
      </c>
      <c r="K1377">
        <v>1.109723</v>
      </c>
      <c r="L1377">
        <v>366.6327</v>
      </c>
      <c r="M1377">
        <v>0.9988764</v>
      </c>
      <c r="N1377">
        <v>-1.4149760000000001E-2</v>
      </c>
      <c r="O1377">
        <v>-4.522988E-2</v>
      </c>
      <c r="P1377">
        <v>0.98086099999999998</v>
      </c>
      <c r="Q1377">
        <v>0.17960329999999999</v>
      </c>
      <c r="R1377">
        <v>-7.5197769999999997E-2</v>
      </c>
      <c r="S1377">
        <v>3.0292970000000001</v>
      </c>
      <c r="T1377">
        <v>-0.18917790000000001</v>
      </c>
      <c r="U1377">
        <v>-0.83801270000000005</v>
      </c>
      <c r="V1377">
        <v>3.1062639999999999E-2</v>
      </c>
      <c r="W1377">
        <v>0.19344890000000001</v>
      </c>
      <c r="X1377">
        <v>0.98061849999999995</v>
      </c>
      <c r="Y1377">
        <v>0.2223029</v>
      </c>
      <c r="Z1377">
        <v>-6.2746619999999899E-3</v>
      </c>
      <c r="AA1377">
        <v>0.97495750000000003</v>
      </c>
      <c r="AB1377">
        <v>29</v>
      </c>
      <c r="AC1377">
        <v>17.588200000000001</v>
      </c>
      <c r="AD1377">
        <v>-1.109728612344</v>
      </c>
      <c r="AE1377">
        <v>-4.90719999999998</v>
      </c>
      <c r="AF1377">
        <v>4.0914734295487598</v>
      </c>
      <c r="AG1377">
        <v>-1.109728612344</v>
      </c>
      <c r="AH1377">
        <v>17.726697935242999</v>
      </c>
      <c r="AI1377">
        <v>93.490626696611102</v>
      </c>
      <c r="AJ1377">
        <v>77.003244360163293</v>
      </c>
      <c r="AK1377">
        <v>18.226559524636201</v>
      </c>
      <c r="AL1377">
        <v>78.845873164223306</v>
      </c>
      <c r="AM1377">
        <v>88.185672351179605</v>
      </c>
      <c r="AN1377">
        <v>1.0000000035286101</v>
      </c>
    </row>
    <row r="1378" spans="1:40" x14ac:dyDescent="0.25">
      <c r="A1378" t="str">
        <f>"20190304155617715"</f>
        <v>20190304155617715</v>
      </c>
      <c r="B1378" t="str">
        <f>"1551686177705547"</f>
        <v>1551686177705547</v>
      </c>
      <c r="C1378" t="s">
        <v>40</v>
      </c>
      <c r="D1378">
        <v>4.9301339999999998</v>
      </c>
      <c r="E1378">
        <v>0.5740885</v>
      </c>
      <c r="F1378" t="s">
        <v>45</v>
      </c>
      <c r="G1378">
        <v>-206.93799999999999</v>
      </c>
      <c r="H1378" s="1">
        <v>-5.5067599999999899E-6</v>
      </c>
      <c r="I1378">
        <v>361.6345</v>
      </c>
      <c r="J1378">
        <v>-224.6508</v>
      </c>
      <c r="K1378">
        <v>1.109726</v>
      </c>
      <c r="L1378">
        <v>366.62130000000002</v>
      </c>
      <c r="M1378">
        <v>0.9988456</v>
      </c>
      <c r="N1378">
        <v>-1.414733E-2</v>
      </c>
      <c r="O1378">
        <v>-4.590905E-2</v>
      </c>
      <c r="P1378">
        <v>0.98075040000000002</v>
      </c>
      <c r="Q1378">
        <v>0.17960000000000001</v>
      </c>
      <c r="R1378">
        <v>-7.6635460000000002E-2</v>
      </c>
      <c r="S1378">
        <v>3.028168</v>
      </c>
      <c r="T1378">
        <v>-0.1872519</v>
      </c>
      <c r="U1378">
        <v>-0.84338380000000002</v>
      </c>
      <c r="V1378">
        <v>3.1834540000000001E-2</v>
      </c>
      <c r="W1378">
        <v>0.19344140000000001</v>
      </c>
      <c r="X1378">
        <v>0.9805952</v>
      </c>
      <c r="Y1378">
        <v>0.22334519999999999</v>
      </c>
      <c r="Z1378">
        <v>-6.241501E-3</v>
      </c>
      <c r="AA1378">
        <v>0.97471949999999996</v>
      </c>
      <c r="AB1378">
        <v>29</v>
      </c>
      <c r="AC1378">
        <v>17.712800000000001</v>
      </c>
      <c r="AD1378">
        <v>-1.10973150676</v>
      </c>
      <c r="AE1378">
        <v>-4.9868000000000103</v>
      </c>
      <c r="AF1378">
        <v>4.1531771165742404</v>
      </c>
      <c r="AG1378">
        <v>-1.10973150676</v>
      </c>
      <c r="AH1378">
        <v>17.858133768114101</v>
      </c>
      <c r="AI1378">
        <v>93.463672800555003</v>
      </c>
      <c r="AJ1378">
        <v>76.907733307851302</v>
      </c>
      <c r="AK1378">
        <v>18.368269539033498</v>
      </c>
      <c r="AL1378">
        <v>78.8463108867562</v>
      </c>
      <c r="AM1378">
        <v>88.140573809759999</v>
      </c>
      <c r="AN1378">
        <v>0.99999997971700505</v>
      </c>
    </row>
    <row r="1379" spans="1:40" x14ac:dyDescent="0.25">
      <c r="A1379" t="str">
        <f>"20190304155617727"</f>
        <v>20190304155617727</v>
      </c>
      <c r="B1379" t="str">
        <f>"1551686177716283"</f>
        <v>1551686177716283</v>
      </c>
      <c r="C1379" t="s">
        <v>40</v>
      </c>
      <c r="D1379">
        <v>4.8840209999999997</v>
      </c>
      <c r="E1379">
        <v>0.57444569999999995</v>
      </c>
      <c r="F1379" t="s">
        <v>45</v>
      </c>
      <c r="G1379">
        <v>-206.60550000000001</v>
      </c>
      <c r="H1379" s="1">
        <v>-5.4085760000000004E-6</v>
      </c>
      <c r="I1379">
        <v>361.55059999999997</v>
      </c>
      <c r="J1379">
        <v>-224.49449999999999</v>
      </c>
      <c r="K1379">
        <v>1.1097269999999999</v>
      </c>
      <c r="L1379">
        <v>366.61369999999999</v>
      </c>
      <c r="M1379">
        <v>0.9988245</v>
      </c>
      <c r="N1379">
        <v>-1.4145680000000001E-2</v>
      </c>
      <c r="O1379">
        <v>-4.6363550000000003E-2</v>
      </c>
      <c r="P1379">
        <v>0.98071339999999996</v>
      </c>
      <c r="Q1379">
        <v>0.17954819999999999</v>
      </c>
      <c r="R1379">
        <v>-7.7226680000000006E-2</v>
      </c>
      <c r="S1379">
        <v>3.026535</v>
      </c>
      <c r="T1379">
        <v>-0.18612310000000001</v>
      </c>
      <c r="U1379">
        <v>-0.85046390000000005</v>
      </c>
      <c r="V1379">
        <v>3.1979E-2</v>
      </c>
      <c r="W1379">
        <v>0.19338810000000001</v>
      </c>
      <c r="X1379">
        <v>0.98060099999999994</v>
      </c>
      <c r="Y1379">
        <v>0.22515279999999999</v>
      </c>
      <c r="Z1379">
        <v>-6.2649489999999997E-3</v>
      </c>
      <c r="AA1379">
        <v>0.97430329999999998</v>
      </c>
      <c r="AB1379">
        <v>28</v>
      </c>
      <c r="AC1379">
        <v>17.8889999999999</v>
      </c>
      <c r="AD1379">
        <v>-1.1097324085760001</v>
      </c>
      <c r="AE1379">
        <v>-5.0631000000000199</v>
      </c>
      <c r="AF1379">
        <v>4.2131628070435196</v>
      </c>
      <c r="AG1379">
        <v>-1.1097324085760001</v>
      </c>
      <c r="AH1379">
        <v>18.040250844116301</v>
      </c>
      <c r="AI1379">
        <v>93.428054593276499</v>
      </c>
      <c r="AJ1379">
        <v>76.854620101179506</v>
      </c>
      <c r="AK1379">
        <v>18.558903452950499</v>
      </c>
      <c r="AL1379">
        <v>78.849423388858298</v>
      </c>
      <c r="AM1379">
        <v>88.132153037711703</v>
      </c>
      <c r="AN1379">
        <v>0.99999996743180397</v>
      </c>
    </row>
    <row r="1380" spans="1:40" x14ac:dyDescent="0.25">
      <c r="A1380" t="str">
        <f>"20190304155617738"</f>
        <v>20190304155617738</v>
      </c>
      <c r="B1380" t="str">
        <f>"1551686177735803"</f>
        <v>1551686177735803</v>
      </c>
      <c r="C1380" t="s">
        <v>40</v>
      </c>
      <c r="D1380">
        <v>4.8682990000000004</v>
      </c>
      <c r="E1380">
        <v>0.57503070000000001</v>
      </c>
      <c r="F1380" t="s">
        <v>45</v>
      </c>
      <c r="G1380">
        <v>-206.3441</v>
      </c>
      <c r="H1380" s="1">
        <v>-5.3316300000000003E-6</v>
      </c>
      <c r="I1380">
        <v>361.48289999999997</v>
      </c>
      <c r="J1380">
        <v>-224.3492</v>
      </c>
      <c r="K1380">
        <v>1.109726</v>
      </c>
      <c r="L1380">
        <v>366.60649999999998</v>
      </c>
      <c r="M1380">
        <v>0.99880480000000005</v>
      </c>
      <c r="N1380">
        <v>-1.4144139999999999E-2</v>
      </c>
      <c r="O1380">
        <v>-4.6786330000000001E-2</v>
      </c>
      <c r="P1380">
        <v>0.98062709999999997</v>
      </c>
      <c r="Q1380">
        <v>0.17958859999999999</v>
      </c>
      <c r="R1380">
        <v>-7.8219700000000003E-2</v>
      </c>
      <c r="S1380">
        <v>3.0254970000000001</v>
      </c>
      <c r="T1380">
        <v>-0.1849809</v>
      </c>
      <c r="U1380">
        <v>-0.85525509999999905</v>
      </c>
      <c r="V1380">
        <v>3.2558610000000002E-2</v>
      </c>
      <c r="W1380">
        <v>0.19342599999999999</v>
      </c>
      <c r="X1380">
        <v>0.98057450000000002</v>
      </c>
      <c r="Y1380">
        <v>0.2262593</v>
      </c>
      <c r="Z1380">
        <v>-6.2627069999999898E-3</v>
      </c>
      <c r="AA1380">
        <v>0.97404690000000005</v>
      </c>
      <c r="AB1380">
        <v>28</v>
      </c>
      <c r="AC1380">
        <v>18.005099999999999</v>
      </c>
      <c r="AD1380">
        <v>-1.1097313316299999</v>
      </c>
      <c r="AE1380">
        <v>-5.1235999999999997</v>
      </c>
      <c r="AF1380">
        <v>4.2605388686097303</v>
      </c>
      <c r="AG1380">
        <v>-1.1097313316299999</v>
      </c>
      <c r="AH1380">
        <v>18.1612947500854</v>
      </c>
      <c r="AI1380">
        <v>93.404464413666005</v>
      </c>
      <c r="AJ1380">
        <v>76.797471284428795</v>
      </c>
      <c r="AK1380">
        <v>18.6873305230794</v>
      </c>
      <c r="AL1380">
        <v>78.847210629313693</v>
      </c>
      <c r="AM1380">
        <v>88.098272140345202</v>
      </c>
      <c r="AN1380">
        <v>1.00000001530569</v>
      </c>
    </row>
    <row r="1381" spans="1:40" x14ac:dyDescent="0.25">
      <c r="A1381" t="str">
        <f>"20190304155617752"</f>
        <v>20190304155617752</v>
      </c>
      <c r="B1381" t="str">
        <f>"1551686177745563"</f>
        <v>1551686177745563</v>
      </c>
      <c r="C1381" t="s">
        <v>40</v>
      </c>
      <c r="D1381">
        <v>4.9221349999999999</v>
      </c>
      <c r="E1381">
        <v>0.57519750000000003</v>
      </c>
      <c r="F1381" t="s">
        <v>45</v>
      </c>
      <c r="G1381">
        <v>-206.02940000000001</v>
      </c>
      <c r="H1381" s="1">
        <v>-5.2428549999999996E-6</v>
      </c>
      <c r="I1381">
        <v>361.37689999999998</v>
      </c>
      <c r="J1381">
        <v>-224.1814</v>
      </c>
      <c r="K1381">
        <v>1.109726</v>
      </c>
      <c r="L1381">
        <v>366.59809999999999</v>
      </c>
      <c r="M1381">
        <v>0.9987819</v>
      </c>
      <c r="N1381">
        <v>-1.414236E-2</v>
      </c>
      <c r="O1381">
        <v>-4.7274330000000003E-2</v>
      </c>
      <c r="P1381">
        <v>0.98055749999999997</v>
      </c>
      <c r="Q1381">
        <v>0.17964959999999999</v>
      </c>
      <c r="R1381">
        <v>-7.8950930000000002E-2</v>
      </c>
      <c r="S1381">
        <v>3.0239560000000001</v>
      </c>
      <c r="T1381">
        <v>-0.1831779</v>
      </c>
      <c r="U1381">
        <v>-0.86322019999999899</v>
      </c>
      <c r="V1381">
        <v>3.2811640000000003E-2</v>
      </c>
      <c r="W1381">
        <v>0.1934845</v>
      </c>
      <c r="X1381">
        <v>0.9805545</v>
      </c>
      <c r="Y1381">
        <v>0.2282903</v>
      </c>
      <c r="Z1381">
        <v>-6.2774809999999997E-3</v>
      </c>
      <c r="AA1381">
        <v>0.97357289999999996</v>
      </c>
      <c r="AB1381">
        <v>28</v>
      </c>
      <c r="AC1381">
        <v>18.151999999999902</v>
      </c>
      <c r="AD1381">
        <v>-1.1097312428549999</v>
      </c>
      <c r="AE1381">
        <v>-5.2211999999999996</v>
      </c>
      <c r="AF1381">
        <v>4.3421629144130298</v>
      </c>
      <c r="AG1381">
        <v>-1.1097312428549999</v>
      </c>
      <c r="AH1381">
        <v>18.315330808235402</v>
      </c>
      <c r="AI1381">
        <v>93.374030020301504</v>
      </c>
      <c r="AJ1381">
        <v>76.6626688132787</v>
      </c>
      <c r="AK1381">
        <v>18.855694758395099</v>
      </c>
      <c r="AL1381">
        <v>78.843794019127998</v>
      </c>
      <c r="AM1381">
        <v>88.083464735809102</v>
      </c>
      <c r="AN1381">
        <v>0.99999999146499396</v>
      </c>
    </row>
    <row r="1382" spans="1:40" x14ac:dyDescent="0.25">
      <c r="A1382" t="str">
        <f>"20190304155617764"</f>
        <v>20190304155617764</v>
      </c>
      <c r="B1382" t="str">
        <f>"1551686177756299"</f>
        <v>1551686177756299</v>
      </c>
      <c r="C1382" t="s">
        <v>40</v>
      </c>
      <c r="D1382">
        <v>4.9578720000000001</v>
      </c>
      <c r="E1382">
        <v>0.57532469999999902</v>
      </c>
      <c r="F1382" t="s">
        <v>45</v>
      </c>
      <c r="G1382">
        <v>-205.82839999999999</v>
      </c>
      <c r="H1382" s="1">
        <v>-5.1771169999999998E-6</v>
      </c>
      <c r="I1382">
        <v>361.33440000000002</v>
      </c>
      <c r="J1382">
        <v>-224.02199999999999</v>
      </c>
      <c r="K1382">
        <v>1.1097269999999999</v>
      </c>
      <c r="L1382">
        <v>366.59010000000001</v>
      </c>
      <c r="M1382">
        <v>0.99875990000000003</v>
      </c>
      <c r="N1382">
        <v>-1.4140649999999999E-2</v>
      </c>
      <c r="O1382">
        <v>-4.7738349999999999E-2</v>
      </c>
      <c r="P1382">
        <v>0.98054180000000002</v>
      </c>
      <c r="Q1382">
        <v>0.17945039999999901</v>
      </c>
      <c r="R1382">
        <v>-7.9595910000000006E-2</v>
      </c>
      <c r="S1382">
        <v>3.0231780000000001</v>
      </c>
      <c r="T1382">
        <v>-0.1827984</v>
      </c>
      <c r="U1382">
        <v>-0.86706539999999999</v>
      </c>
      <c r="V1382">
        <v>3.299912E-2</v>
      </c>
      <c r="W1382">
        <v>0.19328380000000001</v>
      </c>
      <c r="X1382">
        <v>0.98058780000000001</v>
      </c>
      <c r="Y1382">
        <v>0.229049</v>
      </c>
      <c r="Z1382">
        <v>-6.2765090000000004E-3</v>
      </c>
      <c r="AA1382">
        <v>0.9733946</v>
      </c>
      <c r="AB1382">
        <v>28</v>
      </c>
      <c r="AC1382">
        <v>18.1936</v>
      </c>
      <c r="AD1382">
        <v>-1.1097321771169999</v>
      </c>
      <c r="AE1382">
        <v>-5.2556999999999903</v>
      </c>
      <c r="AF1382">
        <v>4.3660946345752096</v>
      </c>
      <c r="AG1382">
        <v>-1.1097321771169999</v>
      </c>
      <c r="AH1382">
        <v>18.360727080487401</v>
      </c>
      <c r="AI1382">
        <v>93.365168568118307</v>
      </c>
      <c r="AJ1382">
        <v>76.623766490527302</v>
      </c>
      <c r="AK1382">
        <v>18.905305784015699</v>
      </c>
      <c r="AL1382">
        <v>78.855514640873807</v>
      </c>
      <c r="AM1382">
        <v>88.072587629875699</v>
      </c>
      <c r="AN1382">
        <v>1.00000000138602</v>
      </c>
    </row>
    <row r="1383" spans="1:40" x14ac:dyDescent="0.25">
      <c r="A1383" t="str">
        <f>"20190304155617776"</f>
        <v>20190304155617776</v>
      </c>
      <c r="B1383" t="str">
        <f>"1551686177766060"</f>
        <v>1551686177766060</v>
      </c>
      <c r="C1383" t="s">
        <v>40</v>
      </c>
      <c r="D1383">
        <v>4.955076</v>
      </c>
      <c r="E1383">
        <v>0.57553999999999905</v>
      </c>
      <c r="F1383" t="s">
        <v>45</v>
      </c>
      <c r="G1383">
        <v>-205.71029999999999</v>
      </c>
      <c r="H1383" s="1">
        <v>-5.12570799999999E-6</v>
      </c>
      <c r="I1383">
        <v>361.31819999999999</v>
      </c>
      <c r="J1383">
        <v>-223.86590000000001</v>
      </c>
      <c r="K1383">
        <v>1.109728</v>
      </c>
      <c r="L1383">
        <v>366.5822</v>
      </c>
      <c r="M1383">
        <v>0.99873809999999996</v>
      </c>
      <c r="N1383">
        <v>-1.4138980000000001E-2</v>
      </c>
      <c r="O1383">
        <v>-4.8192730000000003E-2</v>
      </c>
      <c r="P1383">
        <v>0.98047039999999996</v>
      </c>
      <c r="Q1383">
        <v>0.17953359999999999</v>
      </c>
      <c r="R1383">
        <v>-8.0285690000000007E-2</v>
      </c>
      <c r="S1383">
        <v>3.0224150000000001</v>
      </c>
      <c r="T1383">
        <v>-0.1831651</v>
      </c>
      <c r="U1383">
        <v>-0.87014769999999897</v>
      </c>
      <c r="V1383">
        <v>3.3243880000000003E-2</v>
      </c>
      <c r="W1383">
        <v>0.1933647</v>
      </c>
      <c r="X1383">
        <v>0.98056359999999998</v>
      </c>
      <c r="Y1383">
        <v>0.22958609999999999</v>
      </c>
      <c r="Z1383">
        <v>-6.2840259999999998E-3</v>
      </c>
      <c r="AA1383">
        <v>0.97326809999999997</v>
      </c>
      <c r="AB1383">
        <v>28</v>
      </c>
      <c r="AC1383">
        <v>18.1556</v>
      </c>
      <c r="AD1383">
        <v>-1.1097331257080001</v>
      </c>
      <c r="AE1383">
        <v>-5.2640000000000002</v>
      </c>
      <c r="AF1383">
        <v>4.3677740756694297</v>
      </c>
      <c r="AG1383">
        <v>-1.1097331257080001</v>
      </c>
      <c r="AH1383">
        <v>18.3250570577537</v>
      </c>
      <c r="AI1383">
        <v>93.371286456043507</v>
      </c>
      <c r="AJ1383">
        <v>76.593699033115598</v>
      </c>
      <c r="AK1383">
        <v>18.8710538697846</v>
      </c>
      <c r="AL1383">
        <v>78.850790476923294</v>
      </c>
      <c r="AM1383">
        <v>88.058254708555793</v>
      </c>
      <c r="AN1383">
        <v>1.0000000182042501</v>
      </c>
    </row>
    <row r="1384" spans="1:40" x14ac:dyDescent="0.25">
      <c r="A1384" t="str">
        <f>"20190304155617788"</f>
        <v>20190304155617788</v>
      </c>
      <c r="B1384" t="str">
        <f>"1551686177785578"</f>
        <v>1551686177785578</v>
      </c>
      <c r="C1384" t="s">
        <v>40</v>
      </c>
      <c r="D1384">
        <v>4.1328889999999996</v>
      </c>
      <c r="E1384">
        <v>0.57548949999999999</v>
      </c>
      <c r="F1384" t="s">
        <v>45</v>
      </c>
      <c r="G1384">
        <v>-205.4811</v>
      </c>
      <c r="H1384" s="1">
        <v>-5.0313170000000003E-6</v>
      </c>
      <c r="I1384">
        <v>361.26249999999999</v>
      </c>
      <c r="J1384">
        <v>-223.71549999999999</v>
      </c>
      <c r="K1384">
        <v>1.109729</v>
      </c>
      <c r="L1384">
        <v>366.5745</v>
      </c>
      <c r="M1384">
        <v>0.99871679999999996</v>
      </c>
      <c r="N1384">
        <v>-1.413738E-2</v>
      </c>
      <c r="O1384">
        <v>-4.8630769999999997E-2</v>
      </c>
      <c r="P1384">
        <v>0.98041339999999999</v>
      </c>
      <c r="Q1384">
        <v>0.17963299999999999</v>
      </c>
      <c r="R1384">
        <v>-8.075678E-2</v>
      </c>
      <c r="S1384">
        <v>3.0215610000000002</v>
      </c>
      <c r="T1384">
        <v>-0.1823863</v>
      </c>
      <c r="U1384">
        <v>-0.87429809999999997</v>
      </c>
      <c r="V1384">
        <v>3.3285740000000001E-2</v>
      </c>
      <c r="W1384">
        <v>0.19346250000000001</v>
      </c>
      <c r="X1384">
        <v>0.9805429</v>
      </c>
      <c r="Y1384">
        <v>0.23046810000000001</v>
      </c>
      <c r="Z1384">
        <v>-6.2802439999999999E-3</v>
      </c>
      <c r="AA1384">
        <v>0.97305960000000002</v>
      </c>
      <c r="AB1384">
        <v>28</v>
      </c>
      <c r="AC1384">
        <v>18.234399999999901</v>
      </c>
      <c r="AD1384">
        <v>-1.1097340313169901</v>
      </c>
      <c r="AE1384">
        <v>-5.31200000000001</v>
      </c>
      <c r="AF1384">
        <v>4.4038369715765402</v>
      </c>
      <c r="AG1384">
        <v>-1.1097340313169901</v>
      </c>
      <c r="AH1384">
        <v>18.4083254110115</v>
      </c>
      <c r="AI1384">
        <v>93.3554081459977</v>
      </c>
      <c r="AJ1384">
        <v>76.545949863565795</v>
      </c>
      <c r="AK1384">
        <v>18.960267248384898</v>
      </c>
      <c r="AL1384">
        <v>78.845079226437903</v>
      </c>
      <c r="AM1384">
        <v>88.055770566816193</v>
      </c>
      <c r="AN1384">
        <v>1.0000000290669999</v>
      </c>
    </row>
    <row r="1385" spans="1:40" x14ac:dyDescent="0.25">
      <c r="A1385" t="str">
        <f>"20190304155617800"</f>
        <v>20190304155617800</v>
      </c>
      <c r="B1385" t="str">
        <f>"1551686177796315"</f>
        <v>1551686177796315</v>
      </c>
      <c r="C1385" t="s">
        <v>40</v>
      </c>
      <c r="D1385">
        <v>4.7956130000000003</v>
      </c>
      <c r="E1385">
        <v>0.55890740000000005</v>
      </c>
      <c r="F1385" t="s">
        <v>45</v>
      </c>
      <c r="G1385">
        <v>-205.33160000000001</v>
      </c>
      <c r="H1385" s="1">
        <v>-4.9648889999999996E-6</v>
      </c>
      <c r="I1385">
        <v>361.24799999999999</v>
      </c>
      <c r="J1385">
        <v>-223.57550000000001</v>
      </c>
      <c r="K1385">
        <v>1.1097349999999999</v>
      </c>
      <c r="L1385">
        <v>366.56720000000001</v>
      </c>
      <c r="M1385">
        <v>0.9986969</v>
      </c>
      <c r="N1385">
        <v>-1.413592E-2</v>
      </c>
      <c r="O1385">
        <v>-4.9037940000000002E-2</v>
      </c>
      <c r="P1385">
        <v>0.98037209999999997</v>
      </c>
      <c r="Q1385">
        <v>0.17949789999999999</v>
      </c>
      <c r="R1385">
        <v>-8.1555160000000002E-2</v>
      </c>
      <c r="S1385">
        <v>3.021255</v>
      </c>
      <c r="T1385">
        <v>-0.18237729999999999</v>
      </c>
      <c r="U1385">
        <v>-0.87536619999999998</v>
      </c>
      <c r="V1385">
        <v>3.3683699999999997E-2</v>
      </c>
      <c r="W1385">
        <v>0.19332540000000001</v>
      </c>
      <c r="X1385">
        <v>0.98055630000000005</v>
      </c>
      <c r="Y1385">
        <v>0.2304156</v>
      </c>
      <c r="Z1385">
        <v>-6.2598300000000001E-3</v>
      </c>
      <c r="AA1385">
        <v>0.97307220000000005</v>
      </c>
      <c r="AB1385">
        <v>28</v>
      </c>
      <c r="AC1385">
        <v>18.2439</v>
      </c>
      <c r="AD1385">
        <v>-1.1097399648890001</v>
      </c>
      <c r="AE1385">
        <v>-5.3191999999999604</v>
      </c>
      <c r="AF1385">
        <v>4.4030515289023597</v>
      </c>
      <c r="AG1385">
        <v>-1.1097399648890001</v>
      </c>
      <c r="AH1385">
        <v>18.420000258378501</v>
      </c>
      <c r="AI1385">
        <v>93.3534512076467</v>
      </c>
      <c r="AJ1385">
        <v>76.556478544346504</v>
      </c>
      <c r="AK1385">
        <v>18.971420481200202</v>
      </c>
      <c r="AL1385">
        <v>78.853085071633203</v>
      </c>
      <c r="AM1385">
        <v>88.0325706374649</v>
      </c>
      <c r="AN1385">
        <v>0.99999997970026899</v>
      </c>
    </row>
    <row r="1386" spans="1:40" x14ac:dyDescent="0.25">
      <c r="A1386" t="str">
        <f>"20190304155617812"</f>
        <v>20190304155617812</v>
      </c>
      <c r="B1386" t="str">
        <f>"1551686177806075"</f>
        <v>1551686177806075</v>
      </c>
      <c r="C1386" t="s">
        <v>40</v>
      </c>
      <c r="D1386">
        <v>4.7243709999999997</v>
      </c>
      <c r="E1386">
        <v>0.55025440000000003</v>
      </c>
      <c r="F1386" t="s">
        <v>45</v>
      </c>
      <c r="G1386">
        <v>-188.4871</v>
      </c>
      <c r="H1386" s="1">
        <v>-4.5964099999999996E-6</v>
      </c>
      <c r="I1386">
        <v>357.92869999999999</v>
      </c>
      <c r="J1386">
        <v>-223.41890000000001</v>
      </c>
      <c r="K1386">
        <v>1.109737</v>
      </c>
      <c r="L1386">
        <v>366.5591</v>
      </c>
      <c r="M1386">
        <v>0.99867450000000002</v>
      </c>
      <c r="N1386">
        <v>-1.4134280000000001E-2</v>
      </c>
      <c r="O1386">
        <v>-4.949423E-2</v>
      </c>
      <c r="P1386">
        <v>0.98033479999999995</v>
      </c>
      <c r="Q1386">
        <v>0.17954719999999999</v>
      </c>
      <c r="R1386">
        <v>-8.1896410000000003E-2</v>
      </c>
      <c r="S1386">
        <v>3.0157780000000001</v>
      </c>
      <c r="T1386">
        <v>-9.5379950000000005E-2</v>
      </c>
      <c r="U1386">
        <v>-0.74246219999999996</v>
      </c>
      <c r="V1386">
        <v>3.3576910000000001E-2</v>
      </c>
      <c r="W1386">
        <v>0.19337309999999999</v>
      </c>
      <c r="X1386">
        <v>0.98055060000000005</v>
      </c>
      <c r="Y1386">
        <v>0.19057270000000001</v>
      </c>
      <c r="Z1386">
        <v>-3.4870550000000002E-3</v>
      </c>
      <c r="AA1386">
        <v>0.98166690000000001</v>
      </c>
      <c r="AB1386">
        <v>28</v>
      </c>
      <c r="AC1386">
        <v>34.931800000000003</v>
      </c>
      <c r="AD1386">
        <v>-1.1097415964099999</v>
      </c>
      <c r="AE1386">
        <v>-8.6303999999999998</v>
      </c>
      <c r="AF1386">
        <v>6.8841772691844003</v>
      </c>
      <c r="AG1386">
        <v>-1.1097415964099999</v>
      </c>
      <c r="AH1386">
        <v>35.282616338925699</v>
      </c>
      <c r="AI1386">
        <v>91.768204521318594</v>
      </c>
      <c r="AJ1386">
        <v>78.959428498494205</v>
      </c>
      <c r="AK1386">
        <v>35.965072484344901</v>
      </c>
      <c r="AL1386">
        <v>78.850299975948303</v>
      </c>
      <c r="AM1386">
        <v>88.038791858301593</v>
      </c>
      <c r="AN1386">
        <v>1.00000002192455</v>
      </c>
    </row>
    <row r="1387" spans="1:40" x14ac:dyDescent="0.25">
      <c r="A1387" t="str">
        <f>"20190304155617825"</f>
        <v>20190304155617825</v>
      </c>
      <c r="B1387" t="str">
        <f>"1551686177815835"</f>
        <v>1551686177815835</v>
      </c>
      <c r="C1387" t="s">
        <v>40</v>
      </c>
      <c r="D1387">
        <v>4.7079510000000004</v>
      </c>
      <c r="E1387">
        <v>0.54208459999999903</v>
      </c>
      <c r="F1387" t="s">
        <v>45</v>
      </c>
      <c r="G1387">
        <v>-189.1422</v>
      </c>
      <c r="H1387" s="1">
        <v>-5.0122419999999999E-6</v>
      </c>
      <c r="I1387">
        <v>358.90300000000002</v>
      </c>
      <c r="J1387">
        <v>-223.2466</v>
      </c>
      <c r="K1387">
        <v>1.109737</v>
      </c>
      <c r="L1387">
        <v>366.55</v>
      </c>
      <c r="M1387">
        <v>0.99864949999999997</v>
      </c>
      <c r="N1387">
        <v>-1.413245E-2</v>
      </c>
      <c r="O1387">
        <v>-4.9995919999999999E-2</v>
      </c>
      <c r="P1387">
        <v>0.9802921</v>
      </c>
      <c r="Q1387">
        <v>0.1795329</v>
      </c>
      <c r="R1387">
        <v>-8.2436090000000004E-2</v>
      </c>
      <c r="S1387">
        <v>3.0217130000000001</v>
      </c>
      <c r="T1387">
        <v>-9.7830769999999997E-2</v>
      </c>
      <c r="U1387">
        <v>-0.67492680000000005</v>
      </c>
      <c r="V1387">
        <v>3.3623630000000002E-2</v>
      </c>
      <c r="W1387">
        <v>0.19335669999999999</v>
      </c>
      <c r="X1387">
        <v>0.98055219999999998</v>
      </c>
      <c r="Y1387">
        <v>0.1688019</v>
      </c>
      <c r="Z1387">
        <v>-3.0096709999999998E-3</v>
      </c>
      <c r="AA1387">
        <v>0.9856454</v>
      </c>
      <c r="AB1387">
        <v>28</v>
      </c>
      <c r="AC1387">
        <v>34.104399999999998</v>
      </c>
      <c r="AD1387">
        <v>-1.1097420122420001</v>
      </c>
      <c r="AE1387">
        <v>-7.6469999999999896</v>
      </c>
      <c r="AF1387">
        <v>5.9262094530762699</v>
      </c>
      <c r="AG1387">
        <v>-1.1097420122420001</v>
      </c>
      <c r="AH1387">
        <v>34.409408812954702</v>
      </c>
      <c r="AI1387">
        <v>91.8204298390486</v>
      </c>
      <c r="AJ1387">
        <v>80.228018804515699</v>
      </c>
      <c r="AK1387">
        <v>34.9336356635336</v>
      </c>
      <c r="AL1387">
        <v>78.851257335010004</v>
      </c>
      <c r="AM1387">
        <v>88.036068307388206</v>
      </c>
      <c r="AN1387">
        <v>0.99999998942705304</v>
      </c>
    </row>
    <row r="1388" spans="1:40" x14ac:dyDescent="0.25">
      <c r="A1388" t="str">
        <f>"20190304155617837"</f>
        <v>20190304155617837</v>
      </c>
      <c r="B1388" t="str">
        <f>"1551686177825596"</f>
        <v>1551686177825596</v>
      </c>
      <c r="C1388" t="s">
        <v>40</v>
      </c>
      <c r="D1388">
        <v>4.7064269999999997</v>
      </c>
      <c r="E1388">
        <v>0.53814689999999998</v>
      </c>
      <c r="F1388" t="s">
        <v>45</v>
      </c>
      <c r="G1388">
        <v>-191.8673</v>
      </c>
      <c r="H1388" s="1">
        <v>-7.4103229999999996E-6</v>
      </c>
      <c r="I1388">
        <v>360.20780000000002</v>
      </c>
      <c r="J1388">
        <v>-223.09790000000001</v>
      </c>
      <c r="K1388">
        <v>1.109734</v>
      </c>
      <c r="L1388">
        <v>366.5421</v>
      </c>
      <c r="M1388">
        <v>0.99862770000000001</v>
      </c>
      <c r="N1388">
        <v>-1.413083E-2</v>
      </c>
      <c r="O1388">
        <v>-5.0429069999999999E-2</v>
      </c>
      <c r="P1388">
        <v>0.98025910000000005</v>
      </c>
      <c r="Q1388">
        <v>0.17952489999999999</v>
      </c>
      <c r="R1388">
        <v>-8.2844730000000005E-2</v>
      </c>
      <c r="S1388">
        <v>3.0284420000000001</v>
      </c>
      <c r="T1388">
        <v>-0.1071023</v>
      </c>
      <c r="U1388">
        <v>-0.6120911</v>
      </c>
      <c r="V1388">
        <v>3.3606249999999997E-2</v>
      </c>
      <c r="W1388">
        <v>0.1933474</v>
      </c>
      <c r="X1388">
        <v>0.98055460000000005</v>
      </c>
      <c r="Y1388">
        <v>0.14830679999999999</v>
      </c>
      <c r="Z1388">
        <v>-2.5985050000000001E-3</v>
      </c>
      <c r="AA1388">
        <v>0.98893799999999998</v>
      </c>
      <c r="AB1388">
        <v>28</v>
      </c>
      <c r="AC1388">
        <v>31.230599999999999</v>
      </c>
      <c r="AD1388">
        <v>-1.1097414103230001</v>
      </c>
      <c r="AE1388">
        <v>-6.3342999999999803</v>
      </c>
      <c r="AF1388">
        <v>4.7453965487349397</v>
      </c>
      <c r="AG1388">
        <v>-1.1097414103230001</v>
      </c>
      <c r="AH1388">
        <v>31.472152227835799</v>
      </c>
      <c r="AI1388">
        <v>91.996919486584503</v>
      </c>
      <c r="AJ1388">
        <v>81.425486828136002</v>
      </c>
      <c r="AK1388">
        <v>31.847239758801798</v>
      </c>
      <c r="AL1388">
        <v>78.8518001060811</v>
      </c>
      <c r="AM1388">
        <v>88.037087466827799</v>
      </c>
      <c r="AN1388">
        <v>0.99999996035349004</v>
      </c>
    </row>
    <row r="1389" spans="1:40" x14ac:dyDescent="0.25">
      <c r="A1389" t="str">
        <f>"20190304155617849"</f>
        <v>20190304155617849</v>
      </c>
      <c r="B1389" t="str">
        <f>"1551686177846091"</f>
        <v>1551686177846091</v>
      </c>
      <c r="C1389" t="s">
        <v>40</v>
      </c>
      <c r="D1389">
        <v>4.6191709999999997</v>
      </c>
      <c r="E1389">
        <v>0.53423859999999901</v>
      </c>
      <c r="F1389" t="s">
        <v>45</v>
      </c>
      <c r="G1389">
        <v>-191.96690000000001</v>
      </c>
      <c r="H1389" s="1">
        <v>-7.3897659999999901E-6</v>
      </c>
      <c r="I1389">
        <v>360.56330000000003</v>
      </c>
      <c r="J1389">
        <v>-222.94560000000001</v>
      </c>
      <c r="K1389">
        <v>1.1097349999999999</v>
      </c>
      <c r="L1389">
        <v>366.53399999999999</v>
      </c>
      <c r="M1389">
        <v>0.99860530000000003</v>
      </c>
      <c r="N1389">
        <v>-1.412916E-2</v>
      </c>
      <c r="O1389">
        <v>-5.0872840000000003E-2</v>
      </c>
      <c r="P1389">
        <v>0.98024489999999997</v>
      </c>
      <c r="Q1389">
        <v>0.17945659999999999</v>
      </c>
      <c r="R1389">
        <v>-8.3159709999999998E-2</v>
      </c>
      <c r="S1389">
        <v>3.031021</v>
      </c>
      <c r="T1389">
        <v>-0.1080483</v>
      </c>
      <c r="U1389">
        <v>-0.58212280000000005</v>
      </c>
      <c r="V1389">
        <v>3.3484229999999997E-2</v>
      </c>
      <c r="W1389">
        <v>0.1932777</v>
      </c>
      <c r="X1389">
        <v>0.98057260000000002</v>
      </c>
      <c r="Y1389">
        <v>0.1382912</v>
      </c>
      <c r="Z1389">
        <v>-2.3476149999999999E-3</v>
      </c>
      <c r="AA1389">
        <v>0.99038879999999996</v>
      </c>
      <c r="AB1389">
        <v>28</v>
      </c>
      <c r="AC1389">
        <v>30.9787</v>
      </c>
      <c r="AD1389">
        <v>-1.1097423897659999</v>
      </c>
      <c r="AE1389">
        <v>-5.9706999999999599</v>
      </c>
      <c r="AF1389">
        <v>4.3814144682133502</v>
      </c>
      <c r="AG1389">
        <v>-1.1097423897659999</v>
      </c>
      <c r="AH1389">
        <v>31.203747000987999</v>
      </c>
      <c r="AI1389">
        <v>92.017060907397095</v>
      </c>
      <c r="AJ1389">
        <v>82.007177713345897</v>
      </c>
      <c r="AK1389">
        <v>31.529385465238299</v>
      </c>
      <c r="AL1389">
        <v>78.855871336686903</v>
      </c>
      <c r="AM1389">
        <v>88.044244880184294</v>
      </c>
      <c r="AN1389">
        <v>1.00000004342337</v>
      </c>
    </row>
    <row r="1390" spans="1:40" x14ac:dyDescent="0.25">
      <c r="A1390" t="str">
        <f>"20190304155617862"</f>
        <v>20190304155617862</v>
      </c>
      <c r="B1390" t="str">
        <f>"1551686177855851"</f>
        <v>1551686177855851</v>
      </c>
      <c r="C1390" t="s">
        <v>40</v>
      </c>
      <c r="D1390">
        <v>4.6810309999999999</v>
      </c>
      <c r="E1390">
        <v>0.5330975</v>
      </c>
      <c r="F1390" t="s">
        <v>45</v>
      </c>
      <c r="G1390">
        <v>-193.06819999999999</v>
      </c>
      <c r="H1390" s="1">
        <v>-7.6935190000000004E-6</v>
      </c>
      <c r="I1390">
        <v>361.09339999999997</v>
      </c>
      <c r="J1390">
        <v>-222.7979</v>
      </c>
      <c r="K1390">
        <v>1.109737</v>
      </c>
      <c r="L1390">
        <v>366.52589999999998</v>
      </c>
      <c r="M1390">
        <v>0.99858329999999995</v>
      </c>
      <c r="N1390">
        <v>-1.4127590000000001E-2</v>
      </c>
      <c r="O1390">
        <v>-5.1303010000000003E-2</v>
      </c>
      <c r="P1390">
        <v>0.98018749999999999</v>
      </c>
      <c r="Q1390">
        <v>0.17960970000000001</v>
      </c>
      <c r="R1390">
        <v>-8.3504880000000004E-2</v>
      </c>
      <c r="S1390">
        <v>3.0342410000000002</v>
      </c>
      <c r="T1390">
        <v>-0.1127013</v>
      </c>
      <c r="U1390">
        <v>-0.55252080000000003</v>
      </c>
      <c r="V1390">
        <v>3.3408380000000001E-2</v>
      </c>
      <c r="W1390">
        <v>0.1934292</v>
      </c>
      <c r="X1390">
        <v>0.98054529999999995</v>
      </c>
      <c r="Y1390">
        <v>0.12832939999999901</v>
      </c>
      <c r="Z1390">
        <v>-2.1106749999999998E-3</v>
      </c>
      <c r="AA1390">
        <v>0.99172939999999998</v>
      </c>
      <c r="AB1390">
        <v>28</v>
      </c>
      <c r="AC1390">
        <v>29.729700000000001</v>
      </c>
      <c r="AD1390">
        <v>-1.1097446935190001</v>
      </c>
      <c r="AE1390">
        <v>-5.4325000000000001</v>
      </c>
      <c r="AF1390">
        <v>3.89471809506859</v>
      </c>
      <c r="AG1390">
        <v>-1.1097446935190001</v>
      </c>
      <c r="AH1390">
        <v>29.928919048003699</v>
      </c>
      <c r="AI1390">
        <v>92.105778087358701</v>
      </c>
      <c r="AJ1390">
        <v>82.585635582417893</v>
      </c>
      <c r="AK1390">
        <v>30.201664816807799</v>
      </c>
      <c r="AL1390">
        <v>78.847023923073195</v>
      </c>
      <c r="AM1390">
        <v>88.048617430567106</v>
      </c>
      <c r="AN1390">
        <v>1.00000003030947</v>
      </c>
    </row>
    <row r="1391" spans="1:40" x14ac:dyDescent="0.25">
      <c r="A1391" t="str">
        <f>"20190304155617877"</f>
        <v>20190304155617877</v>
      </c>
      <c r="B1391" t="str">
        <f>"1551686177865611"</f>
        <v>1551686177865611</v>
      </c>
      <c r="C1391" t="s">
        <v>40</v>
      </c>
      <c r="D1391">
        <v>4.6362740000000002</v>
      </c>
      <c r="E1391">
        <v>0.53225119999999904</v>
      </c>
      <c r="F1391" t="s">
        <v>45</v>
      </c>
      <c r="G1391">
        <v>-192.67570000000001</v>
      </c>
      <c r="H1391" s="1">
        <v>-7.5511279999999902E-6</v>
      </c>
      <c r="I1391">
        <v>361.12290000000002</v>
      </c>
      <c r="J1391">
        <v>-222.60939999999999</v>
      </c>
      <c r="K1391">
        <v>1.1097440000000001</v>
      </c>
      <c r="L1391">
        <v>366.51569999999998</v>
      </c>
      <c r="M1391">
        <v>0.99855499999999997</v>
      </c>
      <c r="N1391">
        <v>-1.4125550000000001E-2</v>
      </c>
      <c r="O1391">
        <v>-5.1852269999999999E-2</v>
      </c>
      <c r="P1391">
        <v>0.98010339999999996</v>
      </c>
      <c r="Q1391">
        <v>0.17977960000000001</v>
      </c>
      <c r="R1391">
        <v>-8.4125249999999999E-2</v>
      </c>
      <c r="S1391">
        <v>3.0347599999999999</v>
      </c>
      <c r="T1391">
        <v>-0.1118046</v>
      </c>
      <c r="U1391">
        <v>-0.54434199999999999</v>
      </c>
      <c r="V1391">
        <v>3.3491E-2</v>
      </c>
      <c r="W1391">
        <v>0.19359670000000001</v>
      </c>
      <c r="X1391">
        <v>0.98050939999999998</v>
      </c>
      <c r="Y1391">
        <v>0.12516939999999999</v>
      </c>
      <c r="Z1391">
        <v>-2.0140790000000002E-3</v>
      </c>
      <c r="AA1391">
        <v>0.9921333</v>
      </c>
      <c r="AB1391">
        <v>28</v>
      </c>
      <c r="AC1391">
        <v>29.933699999999899</v>
      </c>
      <c r="AD1391">
        <v>-1.1097515511280001</v>
      </c>
      <c r="AE1391">
        <v>-5.3927999999999603</v>
      </c>
      <c r="AF1391">
        <v>3.8281627931171398</v>
      </c>
      <c r="AG1391">
        <v>-1.1097515511280001</v>
      </c>
      <c r="AH1391">
        <v>30.1329664971813</v>
      </c>
      <c r="AI1391">
        <v>92.092361222875795</v>
      </c>
      <c r="AJ1391">
        <v>82.759795158635995</v>
      </c>
      <c r="AK1391">
        <v>30.395428090357399</v>
      </c>
      <c r="AL1391">
        <v>78.837241709052904</v>
      </c>
      <c r="AM1391">
        <v>88.043723775314106</v>
      </c>
      <c r="AN1391">
        <v>1.00000000641012</v>
      </c>
    </row>
    <row r="1392" spans="1:40" x14ac:dyDescent="0.25">
      <c r="A1392" t="str">
        <f>"20190304155617894"</f>
        <v>20190304155617894</v>
      </c>
      <c r="B1392" t="str">
        <f>"1551686177886107"</f>
        <v>1551686177886107</v>
      </c>
      <c r="C1392" t="s">
        <v>40</v>
      </c>
      <c r="D1392">
        <v>4.6823220000000001</v>
      </c>
      <c r="E1392">
        <v>0.53105419999999903</v>
      </c>
      <c r="F1392" t="s">
        <v>45</v>
      </c>
      <c r="G1392">
        <v>-192.39009999999999</v>
      </c>
      <c r="H1392" s="1">
        <v>-7.4479729999999898E-6</v>
      </c>
      <c r="I1392">
        <v>361.14159999999998</v>
      </c>
      <c r="J1392">
        <v>-222.38730000000001</v>
      </c>
      <c r="K1392">
        <v>1.1097459999999999</v>
      </c>
      <c r="L1392">
        <v>366.5034</v>
      </c>
      <c r="M1392">
        <v>0.99852110000000005</v>
      </c>
      <c r="N1392">
        <v>-1.4123149999999999E-2</v>
      </c>
      <c r="O1392">
        <v>-5.249997E-2</v>
      </c>
      <c r="P1392">
        <v>0.97991019999999895</v>
      </c>
      <c r="Q1392">
        <v>0.1805409</v>
      </c>
      <c r="R1392">
        <v>-8.4740850000000006E-2</v>
      </c>
      <c r="S1392">
        <v>3.0350190000000001</v>
      </c>
      <c r="T1392">
        <v>-0.11145579999999999</v>
      </c>
      <c r="U1392">
        <v>-0.53973389999999999</v>
      </c>
      <c r="V1392">
        <v>3.3478689999999998E-2</v>
      </c>
      <c r="W1392">
        <v>0.19435359999999999</v>
      </c>
      <c r="X1392">
        <v>0.98036009999999996</v>
      </c>
      <c r="Y1392">
        <v>0.1230536</v>
      </c>
      <c r="Z1392">
        <v>-1.9445350000000001E-3</v>
      </c>
      <c r="AA1392">
        <v>0.99239809999999995</v>
      </c>
      <c r="AB1392">
        <v>28</v>
      </c>
      <c r="AC1392">
        <v>29.997199999999999</v>
      </c>
      <c r="AD1392">
        <v>-1.10975344797299</v>
      </c>
      <c r="AE1392">
        <v>-5.3618000000000103</v>
      </c>
      <c r="AF1392">
        <v>3.7743892198319</v>
      </c>
      <c r="AG1392">
        <v>-1.10975344797299</v>
      </c>
      <c r="AH1392">
        <v>30.1972958912683</v>
      </c>
      <c r="AI1392">
        <v>92.088442275309205</v>
      </c>
      <c r="AJ1392">
        <v>82.875493231633996</v>
      </c>
      <c r="AK1392">
        <v>30.4524916196176</v>
      </c>
      <c r="AL1392">
        <v>78.793035213476102</v>
      </c>
      <c r="AM1392">
        <v>88.044144686094299</v>
      </c>
      <c r="AN1392">
        <v>1.0000000350945399</v>
      </c>
    </row>
    <row r="1393" spans="1:40" x14ac:dyDescent="0.25">
      <c r="A1393" t="str">
        <f>"20190304155617907"</f>
        <v>20190304155617907</v>
      </c>
      <c r="B1393" t="str">
        <f>"1551686177905626"</f>
        <v>1551686177905626</v>
      </c>
      <c r="C1393" t="s">
        <v>40</v>
      </c>
      <c r="D1393">
        <v>4.6503940000000004</v>
      </c>
      <c r="E1393">
        <v>0.53041149999999904</v>
      </c>
      <c r="F1393" t="s">
        <v>45</v>
      </c>
      <c r="G1393">
        <v>-191.76859999999999</v>
      </c>
      <c r="H1393" s="1">
        <v>-7.2305980000000002E-6</v>
      </c>
      <c r="I1393">
        <v>361.13659999999999</v>
      </c>
      <c r="J1393">
        <v>-222.20320000000001</v>
      </c>
      <c r="K1393">
        <v>1.10975</v>
      </c>
      <c r="L1393">
        <v>366.49310000000003</v>
      </c>
      <c r="M1393">
        <v>0.99849279999999996</v>
      </c>
      <c r="N1393">
        <v>-1.412124E-2</v>
      </c>
      <c r="O1393">
        <v>-5.303683E-2</v>
      </c>
      <c r="P1393">
        <v>0.97989649999999995</v>
      </c>
      <c r="Q1393">
        <v>0.18022969999999999</v>
      </c>
      <c r="R1393">
        <v>-8.5558930000000005E-2</v>
      </c>
      <c r="S1393">
        <v>3.0357509999999999</v>
      </c>
      <c r="T1393">
        <v>-0.1100286</v>
      </c>
      <c r="U1393">
        <v>-0.53210449999999998</v>
      </c>
      <c r="V1393">
        <v>3.3766890000000001E-2</v>
      </c>
      <c r="W1393">
        <v>0.19404060000000001</v>
      </c>
      <c r="X1393">
        <v>0.98041219999999996</v>
      </c>
      <c r="Y1393">
        <v>0.1200642</v>
      </c>
      <c r="Z1393">
        <v>-1.8532749999999999E-3</v>
      </c>
      <c r="AA1393">
        <v>0.99276439999999999</v>
      </c>
      <c r="AB1393">
        <v>28</v>
      </c>
      <c r="AC1393">
        <v>30.4346</v>
      </c>
      <c r="AD1393">
        <v>-1.1097572305979999</v>
      </c>
      <c r="AE1393">
        <v>-5.3565000000000396</v>
      </c>
      <c r="AF1393">
        <v>3.7298338253924799</v>
      </c>
      <c r="AG1393">
        <v>-1.1097572305979999</v>
      </c>
      <c r="AH1393">
        <v>30.636366355930001</v>
      </c>
      <c r="AI1393">
        <v>92.059355712166493</v>
      </c>
      <c r="AJ1393">
        <v>83.058667852254402</v>
      </c>
      <c r="AK1393">
        <v>30.882521998222</v>
      </c>
      <c r="AL1393">
        <v>78.811316652062004</v>
      </c>
      <c r="AM1393">
        <v>88.027425774757603</v>
      </c>
      <c r="AN1393">
        <v>1.00000001960873</v>
      </c>
    </row>
    <row r="1394" spans="1:40" x14ac:dyDescent="0.25">
      <c r="A1394" t="str">
        <f>"20190304155617918"</f>
        <v>20190304155617918</v>
      </c>
      <c r="B1394" t="str">
        <f>"1551686177916363"</f>
        <v>1551686177916363</v>
      </c>
      <c r="C1394" t="s">
        <v>40</v>
      </c>
      <c r="D1394">
        <v>4.6713699999999996</v>
      </c>
      <c r="E1394">
        <v>0.5301688</v>
      </c>
      <c r="F1394" t="s">
        <v>45</v>
      </c>
      <c r="G1394">
        <v>-191.82210000000001</v>
      </c>
      <c r="H1394" s="1">
        <v>-7.2403459999999999E-6</v>
      </c>
      <c r="I1394">
        <v>361.19450000000001</v>
      </c>
      <c r="J1394">
        <v>-222.07390000000001</v>
      </c>
      <c r="K1394">
        <v>1.109753</v>
      </c>
      <c r="L1394">
        <v>366.48590000000002</v>
      </c>
      <c r="M1394">
        <v>0.99847260000000004</v>
      </c>
      <c r="N1394">
        <v>-1.411987E-2</v>
      </c>
      <c r="O1394">
        <v>-5.3413960000000003E-2</v>
      </c>
      <c r="P1394">
        <v>0.97989159999999997</v>
      </c>
      <c r="Q1394">
        <v>0.18002270000000001</v>
      </c>
      <c r="R1394">
        <v>-8.6047330000000005E-2</v>
      </c>
      <c r="S1394">
        <v>3.0357210000000001</v>
      </c>
      <c r="T1394">
        <v>-0.1108886</v>
      </c>
      <c r="U1394">
        <v>-0.52944950000000002</v>
      </c>
      <c r="V1394">
        <v>3.3882919999999997E-2</v>
      </c>
      <c r="W1394">
        <v>0.19383339999999999</v>
      </c>
      <c r="X1394">
        <v>0.98044909999999996</v>
      </c>
      <c r="Y1394">
        <v>0.1188485</v>
      </c>
      <c r="Z1394">
        <v>-1.8161049999999999E-3</v>
      </c>
      <c r="AA1394">
        <v>0.99291070000000003</v>
      </c>
      <c r="AB1394">
        <v>28</v>
      </c>
      <c r="AC1394">
        <v>30.251799999999999</v>
      </c>
      <c r="AD1394">
        <v>-1.1097602403460001</v>
      </c>
      <c r="AE1394">
        <v>-5.2914000000000003</v>
      </c>
      <c r="AF1394">
        <v>3.6630321150393201</v>
      </c>
      <c r="AG1394">
        <v>-1.1097602403460001</v>
      </c>
      <c r="AH1394">
        <v>30.451505601626</v>
      </c>
      <c r="AI1394">
        <v>92.072211288999696</v>
      </c>
      <c r="AJ1394">
        <v>83.140809211323599</v>
      </c>
      <c r="AK1394">
        <v>30.691099124546199</v>
      </c>
      <c r="AL1394">
        <v>78.823417176858797</v>
      </c>
      <c r="AM1394">
        <v>88.020727420233499</v>
      </c>
      <c r="AN1394">
        <v>0.99999993845704604</v>
      </c>
    </row>
    <row r="1395" spans="1:40" x14ac:dyDescent="0.25">
      <c r="A1395" t="str">
        <f>"20190304155617931"</f>
        <v>20190304155617931</v>
      </c>
      <c r="B1395" t="str">
        <f>"1551686177926124"</f>
        <v>1551686177926124</v>
      </c>
      <c r="C1395" t="s">
        <v>40</v>
      </c>
      <c r="D1395">
        <v>4.606395</v>
      </c>
      <c r="E1395">
        <v>0.52995099999999995</v>
      </c>
      <c r="F1395" t="s">
        <v>45</v>
      </c>
      <c r="G1395">
        <v>-191.78139999999999</v>
      </c>
      <c r="H1395" s="1">
        <v>-7.2245489999999999E-6</v>
      </c>
      <c r="I1395">
        <v>361.20420000000001</v>
      </c>
      <c r="J1395">
        <v>-221.91659999999999</v>
      </c>
      <c r="K1395">
        <v>1.1097539999999999</v>
      </c>
      <c r="L1395">
        <v>366.47699999999998</v>
      </c>
      <c r="M1395">
        <v>0.998448</v>
      </c>
      <c r="N1395">
        <v>-1.4118179999999999E-2</v>
      </c>
      <c r="O1395">
        <v>-5.3872860000000002E-2</v>
      </c>
      <c r="P1395">
        <v>0.97983750000000003</v>
      </c>
      <c r="Q1395">
        <v>0.18004800000000001</v>
      </c>
      <c r="R1395">
        <v>-8.6610439999999997E-2</v>
      </c>
      <c r="S1395">
        <v>3.0355219999999998</v>
      </c>
      <c r="T1395">
        <v>-0.1112059</v>
      </c>
      <c r="U1395">
        <v>-0.52926640000000003</v>
      </c>
      <c r="V1395">
        <v>3.3995810000000001E-2</v>
      </c>
      <c r="W1395">
        <v>0.1938568</v>
      </c>
      <c r="X1395">
        <v>0.9804406</v>
      </c>
      <c r="Y1395">
        <v>0.11834509999999999</v>
      </c>
      <c r="Z1395">
        <v>-1.7936579999999901E-3</v>
      </c>
      <c r="AA1395">
        <v>0.99297089999999999</v>
      </c>
      <c r="AB1395">
        <v>28</v>
      </c>
      <c r="AC1395">
        <v>30.135200000000001</v>
      </c>
      <c r="AD1395">
        <v>-1.1097612245490001</v>
      </c>
      <c r="AE1395">
        <v>-5.2727999999999602</v>
      </c>
      <c r="AF1395">
        <v>3.6367246364503401</v>
      </c>
      <c r="AG1395">
        <v>-1.1097612245490001</v>
      </c>
      <c r="AH1395">
        <v>30.335600308980599</v>
      </c>
      <c r="AI1395">
        <v>92.080223915273294</v>
      </c>
      <c r="AJ1395">
        <v>83.1638316515605</v>
      </c>
      <c r="AK1395">
        <v>30.572961619102301</v>
      </c>
      <c r="AL1395">
        <v>78.822050913759696</v>
      </c>
      <c r="AM1395">
        <v>88.014121013360906</v>
      </c>
      <c r="AN1395">
        <v>0.99999997206607705</v>
      </c>
    </row>
    <row r="1396" spans="1:40" x14ac:dyDescent="0.25">
      <c r="A1396" t="str">
        <f>"20190304155617942"</f>
        <v>20190304155617942</v>
      </c>
      <c r="B1396" t="str">
        <f>"1551686177935883"</f>
        <v>1551686177935883</v>
      </c>
      <c r="C1396" t="s">
        <v>40</v>
      </c>
      <c r="D1396">
        <v>4.686858</v>
      </c>
      <c r="E1396">
        <v>0.52972929999999996</v>
      </c>
      <c r="F1396" t="s">
        <v>45</v>
      </c>
      <c r="G1396">
        <v>-192.1917</v>
      </c>
      <c r="H1396" s="1">
        <v>-7.3544689999999998E-6</v>
      </c>
      <c r="I1396">
        <v>361.2944</v>
      </c>
      <c r="J1396">
        <v>-221.76580000000001</v>
      </c>
      <c r="K1396">
        <v>1.1097539999999999</v>
      </c>
      <c r="L1396">
        <v>366.46839999999997</v>
      </c>
      <c r="M1396">
        <v>0.99842419999999998</v>
      </c>
      <c r="N1396">
        <v>-1.411657E-2</v>
      </c>
      <c r="O1396">
        <v>-5.431366E-2</v>
      </c>
      <c r="P1396">
        <v>0.97980630000000002</v>
      </c>
      <c r="Q1396">
        <v>0.18007479999999901</v>
      </c>
      <c r="R1396">
        <v>-8.6907700000000004E-2</v>
      </c>
      <c r="S1396">
        <v>3.0357669999999999</v>
      </c>
      <c r="T1396">
        <v>-0.11333849999999999</v>
      </c>
      <c r="U1396">
        <v>-0.52929689999999996</v>
      </c>
      <c r="V1396">
        <v>3.3860080000000001E-2</v>
      </c>
      <c r="W1396">
        <v>0.1938821</v>
      </c>
      <c r="X1396">
        <v>0.98044030000000004</v>
      </c>
      <c r="Y1396">
        <v>0.1179007</v>
      </c>
      <c r="Z1396">
        <v>-1.7757459999999999E-3</v>
      </c>
      <c r="AA1396">
        <v>0.99302380000000001</v>
      </c>
      <c r="AB1396">
        <v>28</v>
      </c>
      <c r="AC1396">
        <v>29.574100000000001</v>
      </c>
      <c r="AD1396">
        <v>-1.1097613544689999</v>
      </c>
      <c r="AE1396">
        <v>-5.1739999999999702</v>
      </c>
      <c r="AF1396">
        <v>3.5550664332059201</v>
      </c>
      <c r="AG1396">
        <v>-1.1097613544689999</v>
      </c>
      <c r="AH1396">
        <v>29.770808988038201</v>
      </c>
      <c r="AI1396">
        <v>92.119770129044099</v>
      </c>
      <c r="AJ1396">
        <v>83.190299028751795</v>
      </c>
      <c r="AK1396">
        <v>30.002852121267399</v>
      </c>
      <c r="AL1396">
        <v>78.820573360982095</v>
      </c>
      <c r="AM1396">
        <v>88.022042820925904</v>
      </c>
      <c r="AN1396">
        <v>0.99999997779105299</v>
      </c>
    </row>
    <row r="1397" spans="1:40" x14ac:dyDescent="0.25">
      <c r="A1397" t="str">
        <f>"20190304155617955"</f>
        <v>20190304155617955</v>
      </c>
      <c r="B1397" t="str">
        <f>"1551686177945643"</f>
        <v>1551686177945643</v>
      </c>
      <c r="C1397" t="s">
        <v>40</v>
      </c>
      <c r="D1397">
        <v>4.6895519999999999</v>
      </c>
      <c r="E1397">
        <v>0.52951789999999999</v>
      </c>
      <c r="F1397" t="s">
        <v>45</v>
      </c>
      <c r="G1397">
        <v>-191.95060000000001</v>
      </c>
      <c r="H1397" s="1">
        <v>-7.2733040000000004E-6</v>
      </c>
      <c r="I1397">
        <v>361.2722</v>
      </c>
      <c r="J1397">
        <v>-221.62219999999999</v>
      </c>
      <c r="K1397">
        <v>1.1097539999999999</v>
      </c>
      <c r="L1397">
        <v>366.46010000000001</v>
      </c>
      <c r="M1397">
        <v>0.99840119999999999</v>
      </c>
      <c r="N1397">
        <v>-1.411506E-2</v>
      </c>
      <c r="O1397">
        <v>-5.4734070000000003E-2</v>
      </c>
      <c r="P1397">
        <v>0.97972760000000003</v>
      </c>
      <c r="Q1397">
        <v>0.1802947</v>
      </c>
      <c r="R1397">
        <v>-8.7337670000000006E-2</v>
      </c>
      <c r="S1397">
        <v>3.0356749999999999</v>
      </c>
      <c r="T1397">
        <v>-0.1129917</v>
      </c>
      <c r="U1397">
        <v>-0.52905269999999904</v>
      </c>
      <c r="V1397">
        <v>3.3879720000000002E-2</v>
      </c>
      <c r="W1397">
        <v>0.19409960000000001</v>
      </c>
      <c r="X1397">
        <v>0.98039659999999995</v>
      </c>
      <c r="Y1397">
        <v>0.1174111</v>
      </c>
      <c r="Z1397">
        <v>-1.7529570000000001E-3</v>
      </c>
      <c r="AA1397">
        <v>0.99308189999999996</v>
      </c>
      <c r="AB1397">
        <v>28</v>
      </c>
      <c r="AC1397">
        <v>29.671599999999899</v>
      </c>
      <c r="AD1397">
        <v>-1.1097612733040001</v>
      </c>
      <c r="AE1397">
        <v>-5.1879000000000097</v>
      </c>
      <c r="AF1397">
        <v>3.5510922254708399</v>
      </c>
      <c r="AG1397">
        <v>-1.1097612733040001</v>
      </c>
      <c r="AH1397">
        <v>29.870550092881</v>
      </c>
      <c r="AI1397">
        <v>92.112830124802699</v>
      </c>
      <c r="AJ1397">
        <v>83.220341628980606</v>
      </c>
      <c r="AK1397">
        <v>30.101355267310399</v>
      </c>
      <c r="AL1397">
        <v>78.807870369087496</v>
      </c>
      <c r="AM1397">
        <v>88.020808304467494</v>
      </c>
      <c r="AN1397">
        <v>0.99999999171949905</v>
      </c>
    </row>
    <row r="1398" spans="1:40" x14ac:dyDescent="0.25">
      <c r="A1398" t="str">
        <f>"20190304155617966"</f>
        <v>20190304155617966</v>
      </c>
      <c r="B1398" t="str">
        <f>"1551686177956378"</f>
        <v>1551686177956378</v>
      </c>
      <c r="C1398" t="s">
        <v>40</v>
      </c>
      <c r="D1398">
        <v>4.6278290000000002</v>
      </c>
      <c r="E1398">
        <v>0.52942409999999995</v>
      </c>
      <c r="F1398" t="s">
        <v>45</v>
      </c>
      <c r="G1398">
        <v>-191.6841</v>
      </c>
      <c r="H1398" s="1">
        <v>-7.1846039999999999E-6</v>
      </c>
      <c r="I1398">
        <v>361.24119999999999</v>
      </c>
      <c r="J1398">
        <v>-221.47380000000001</v>
      </c>
      <c r="K1398">
        <v>1.109756</v>
      </c>
      <c r="L1398">
        <v>366.45150000000001</v>
      </c>
      <c r="M1398">
        <v>0.99837739999999997</v>
      </c>
      <c r="N1398">
        <v>-1.4113519999999999E-2</v>
      </c>
      <c r="O1398">
        <v>-5.516915E-2</v>
      </c>
      <c r="P1398">
        <v>0.97966560000000003</v>
      </c>
      <c r="Q1398">
        <v>0.18045620000000001</v>
      </c>
      <c r="R1398">
        <v>-8.7699440000000004E-2</v>
      </c>
      <c r="S1398">
        <v>3.0356139999999998</v>
      </c>
      <c r="T1398">
        <v>-0.1125259</v>
      </c>
      <c r="U1398">
        <v>-0.52917479999999995</v>
      </c>
      <c r="V1398">
        <v>3.3816550000000001E-2</v>
      </c>
      <c r="W1398">
        <v>0.1942596</v>
      </c>
      <c r="X1398">
        <v>0.98036710000000005</v>
      </c>
      <c r="Y1398">
        <v>0.1170215</v>
      </c>
      <c r="Z1398">
        <v>-1.7324020000000001E-3</v>
      </c>
      <c r="AA1398">
        <v>0.99312789999999995</v>
      </c>
      <c r="AB1398">
        <v>28</v>
      </c>
      <c r="AC1398">
        <v>29.7897</v>
      </c>
      <c r="AD1398">
        <v>-1.1097631846039999</v>
      </c>
      <c r="AE1398">
        <v>-5.2103000000000099</v>
      </c>
      <c r="AF1398">
        <v>3.5539415540967498</v>
      </c>
      <c r="AG1398">
        <v>-1.1097631846039999</v>
      </c>
      <c r="AH1398">
        <v>29.991411593876801</v>
      </c>
      <c r="AI1398">
        <v>92.104421497454695</v>
      </c>
      <c r="AJ1398">
        <v>83.242041924841999</v>
      </c>
      <c r="AK1398">
        <v>30.221628749773998</v>
      </c>
      <c r="AL1398">
        <v>78.798525273010995</v>
      </c>
      <c r="AM1398">
        <v>88.024436257056394</v>
      </c>
      <c r="AN1398">
        <v>1.00000000100423</v>
      </c>
    </row>
    <row r="1399" spans="1:40" x14ac:dyDescent="0.25">
      <c r="A1399" t="str">
        <f>"20190304155617976"</f>
        <v>20190304155617976</v>
      </c>
      <c r="B1399" t="str">
        <f>"1551686177966080"</f>
        <v>1551686177966080</v>
      </c>
      <c r="C1399" t="s">
        <v>40</v>
      </c>
      <c r="D1399">
        <v>4.687646</v>
      </c>
      <c r="E1399">
        <v>0.52924450000000001</v>
      </c>
      <c r="F1399" t="s">
        <v>45</v>
      </c>
      <c r="G1399">
        <v>-191.88890000000001</v>
      </c>
      <c r="H1399" s="1">
        <v>-7.2486899999999897E-6</v>
      </c>
      <c r="I1399">
        <v>361.29109999999997</v>
      </c>
      <c r="J1399">
        <v>-221.33930000000001</v>
      </c>
      <c r="K1399">
        <v>1.1097589999999999</v>
      </c>
      <c r="L1399">
        <v>366.44369999999998</v>
      </c>
      <c r="M1399">
        <v>0.99835529999999995</v>
      </c>
      <c r="N1399">
        <v>-1.4112100000000001E-2</v>
      </c>
      <c r="O1399">
        <v>-5.5565389999999999E-2</v>
      </c>
      <c r="P1399">
        <v>0.97959600000000002</v>
      </c>
      <c r="Q1399">
        <v>0.1806451</v>
      </c>
      <c r="R1399">
        <v>-8.8085789999999997E-2</v>
      </c>
      <c r="S1399">
        <v>3.0358580000000002</v>
      </c>
      <c r="T1399">
        <v>-0.1138784</v>
      </c>
      <c r="U1399">
        <v>-0.52954100000000004</v>
      </c>
      <c r="V1399">
        <v>3.3816649999999997E-2</v>
      </c>
      <c r="W1399">
        <v>0.19444620000000001</v>
      </c>
      <c r="X1399">
        <v>0.98033009999999998</v>
      </c>
      <c r="Y1399">
        <v>0.11672879999999999</v>
      </c>
      <c r="Z1399">
        <v>-1.7170950000000001E-3</v>
      </c>
      <c r="AA1399">
        <v>0.99316230000000005</v>
      </c>
      <c r="AB1399">
        <v>28</v>
      </c>
      <c r="AC1399">
        <v>29.450399999999998</v>
      </c>
      <c r="AD1399">
        <v>-1.10976624869</v>
      </c>
      <c r="AE1399">
        <v>-5.1525999999999996</v>
      </c>
      <c r="AF1399">
        <v>3.5032252032125402</v>
      </c>
      <c r="AG1399">
        <v>-1.10976624869</v>
      </c>
      <c r="AH1399">
        <v>29.650374013197101</v>
      </c>
      <c r="AI1399">
        <v>92.128696454187406</v>
      </c>
      <c r="AJ1399">
        <v>83.2616779752627</v>
      </c>
      <c r="AK1399">
        <v>29.8772295749393</v>
      </c>
      <c r="AL1399">
        <v>78.787626013540603</v>
      </c>
      <c r="AM1399">
        <v>88.024355916054205</v>
      </c>
      <c r="AN1399">
        <v>0.99999999773883597</v>
      </c>
    </row>
    <row r="1400" spans="1:40" x14ac:dyDescent="0.25">
      <c r="A1400" t="str">
        <f>"20190304155617988"</f>
        <v>20190304155617988</v>
      </c>
      <c r="B1400" t="str">
        <f>"1551686177985599"</f>
        <v>1551686177985599</v>
      </c>
      <c r="C1400" t="s">
        <v>40</v>
      </c>
      <c r="D1400">
        <v>4.6783449999999904</v>
      </c>
      <c r="E1400">
        <v>0.52913209999999999</v>
      </c>
      <c r="F1400" t="s">
        <v>45</v>
      </c>
      <c r="G1400">
        <v>-191.66139999999999</v>
      </c>
      <c r="H1400" s="1">
        <v>-7.1725569999999996E-6</v>
      </c>
      <c r="I1400">
        <v>361.2672</v>
      </c>
      <c r="J1400">
        <v>-221.1961</v>
      </c>
      <c r="K1400">
        <v>1.109753</v>
      </c>
      <c r="L1400">
        <v>366.43529999999998</v>
      </c>
      <c r="M1400">
        <v>0.99833179999999999</v>
      </c>
      <c r="N1400">
        <v>-1.4110589999999999E-2</v>
      </c>
      <c r="O1400">
        <v>-5.5988209999999997E-2</v>
      </c>
      <c r="P1400">
        <v>0.97952320000000004</v>
      </c>
      <c r="Q1400">
        <v>0.18090529999999999</v>
      </c>
      <c r="R1400">
        <v>-8.8363419999999998E-2</v>
      </c>
      <c r="S1400">
        <v>3.035812</v>
      </c>
      <c r="T1400">
        <v>-0.11352</v>
      </c>
      <c r="U1400">
        <v>-0.5295105</v>
      </c>
      <c r="V1400">
        <v>3.3682320000000002E-2</v>
      </c>
      <c r="W1400">
        <v>0.19470489999999999</v>
      </c>
      <c r="X1400">
        <v>0.98028340000000003</v>
      </c>
      <c r="Y1400">
        <v>0.116302</v>
      </c>
      <c r="Z1400">
        <v>-1.6959430000000001E-3</v>
      </c>
      <c r="AA1400">
        <v>0.99321250000000005</v>
      </c>
      <c r="AB1400">
        <v>28</v>
      </c>
      <c r="AC1400">
        <v>29.534700000000001</v>
      </c>
      <c r="AD1400">
        <v>-1.1097601725570001</v>
      </c>
      <c r="AE1400">
        <v>-5.1680999999999804</v>
      </c>
      <c r="AF1400">
        <v>3.50143568490576</v>
      </c>
      <c r="AG1400">
        <v>-1.1097601725570001</v>
      </c>
      <c r="AH1400">
        <v>29.737007697094899</v>
      </c>
      <c r="AI1400">
        <v>92.122588690664301</v>
      </c>
      <c r="AJ1400">
        <v>83.284529971522801</v>
      </c>
      <c r="AK1400">
        <v>29.9629979520276</v>
      </c>
      <c r="AL1400">
        <v>78.772515041742594</v>
      </c>
      <c r="AM1400">
        <v>88.032103920991403</v>
      </c>
      <c r="AN1400">
        <v>1.0000000205400701</v>
      </c>
    </row>
    <row r="1401" spans="1:40" x14ac:dyDescent="0.25">
      <c r="A1401" t="str">
        <f>"20190304155617999"</f>
        <v>20190304155617999</v>
      </c>
      <c r="B1401" t="str">
        <f>"1551686177996336"</f>
        <v>1551686177996336</v>
      </c>
      <c r="C1401" t="s">
        <v>40</v>
      </c>
      <c r="D1401">
        <v>4.654922</v>
      </c>
      <c r="E1401">
        <v>0.52898840000000003</v>
      </c>
      <c r="F1401" t="s">
        <v>45</v>
      </c>
      <c r="G1401">
        <v>-191.30420000000001</v>
      </c>
      <c r="H1401" s="1">
        <v>-7.0543350000000003E-6</v>
      </c>
      <c r="I1401">
        <v>361.22140000000002</v>
      </c>
      <c r="J1401">
        <v>-221.06389999999999</v>
      </c>
      <c r="K1401">
        <v>1.10975</v>
      </c>
      <c r="L1401">
        <v>366.42739999999998</v>
      </c>
      <c r="M1401">
        <v>0.99830960000000002</v>
      </c>
      <c r="N1401">
        <v>-1.410925E-2</v>
      </c>
      <c r="O1401">
        <v>-5.6382809999999998E-2</v>
      </c>
      <c r="P1401">
        <v>0.97950720000000002</v>
      </c>
      <c r="Q1401">
        <v>0.18086540000000001</v>
      </c>
      <c r="R1401">
        <v>-8.8622229999999996E-2</v>
      </c>
      <c r="S1401">
        <v>3.0357669999999999</v>
      </c>
      <c r="T1401">
        <v>-0.112705</v>
      </c>
      <c r="U1401">
        <v>-0.5295105</v>
      </c>
      <c r="V1401">
        <v>3.3554130000000001E-2</v>
      </c>
      <c r="W1401">
        <v>0.1946637</v>
      </c>
      <c r="X1401">
        <v>0.98029599999999995</v>
      </c>
      <c r="Y1401">
        <v>0.1159134</v>
      </c>
      <c r="Z1401">
        <v>-1.676332E-3</v>
      </c>
      <c r="AA1401">
        <v>0.99325790000000003</v>
      </c>
      <c r="AB1401">
        <v>28</v>
      </c>
      <c r="AC1401">
        <v>29.759699999999899</v>
      </c>
      <c r="AD1401">
        <v>-1.1097570543349999</v>
      </c>
      <c r="AE1401">
        <v>-5.2059999999999604</v>
      </c>
      <c r="AF1401">
        <v>3.5148717397903901</v>
      </c>
      <c r="AG1401">
        <v>-1.1097570543349999</v>
      </c>
      <c r="AH1401">
        <v>29.965475327036</v>
      </c>
      <c r="AI1401">
        <v>92.106523654557407</v>
      </c>
      <c r="AJ1401">
        <v>83.309925609433904</v>
      </c>
      <c r="AK1401">
        <v>30.191316560263299</v>
      </c>
      <c r="AL1401">
        <v>78.774921916808495</v>
      </c>
      <c r="AM1401">
        <v>88.039612769475895</v>
      </c>
      <c r="AN1401">
        <v>1.00000004167687</v>
      </c>
    </row>
    <row r="1402" spans="1:40" x14ac:dyDescent="0.25">
      <c r="A1402" t="str">
        <f>"20190304155618010"</f>
        <v>20190304155618010</v>
      </c>
      <c r="B1402" t="str">
        <f>"1551686178006096"</f>
        <v>1551686178006096</v>
      </c>
      <c r="C1402" t="s">
        <v>40</v>
      </c>
      <c r="D1402">
        <v>4.7138030000000004</v>
      </c>
      <c r="E1402">
        <v>0.5288098</v>
      </c>
      <c r="F1402" t="s">
        <v>45</v>
      </c>
      <c r="G1402">
        <v>-191.60419999999999</v>
      </c>
      <c r="H1402" s="1">
        <v>-7.1495610000000001E-6</v>
      </c>
      <c r="I1402">
        <v>361.286</v>
      </c>
      <c r="J1402">
        <v>-220.91659999999999</v>
      </c>
      <c r="K1402">
        <v>1.109745</v>
      </c>
      <c r="L1402">
        <v>366.41860000000003</v>
      </c>
      <c r="M1402">
        <v>0.99828459999999997</v>
      </c>
      <c r="N1402">
        <v>-1.410776E-2</v>
      </c>
      <c r="O1402">
        <v>-5.6823310000000002E-2</v>
      </c>
      <c r="P1402">
        <v>0.97949050000000004</v>
      </c>
      <c r="Q1402">
        <v>0.18079809999999999</v>
      </c>
      <c r="R1402">
        <v>-8.8940660000000005E-2</v>
      </c>
      <c r="S1402">
        <v>3.0359340000000001</v>
      </c>
      <c r="T1402">
        <v>-0.1143647</v>
      </c>
      <c r="U1402">
        <v>-0.52984619999999905</v>
      </c>
      <c r="V1402">
        <v>3.3440629999999999E-2</v>
      </c>
      <c r="W1402">
        <v>0.19459489999999999</v>
      </c>
      <c r="X1402">
        <v>0.98031349999999995</v>
      </c>
      <c r="Y1402">
        <v>0.115570899999999</v>
      </c>
      <c r="Z1402">
        <v>-1.6580150000000001E-3</v>
      </c>
      <c r="AA1402">
        <v>0.99329789999999996</v>
      </c>
      <c r="AB1402">
        <v>28</v>
      </c>
      <c r="AC1402">
        <v>29.3124</v>
      </c>
      <c r="AD1402">
        <v>-1.1097521495610001</v>
      </c>
      <c r="AE1402">
        <v>-5.1326000000000196</v>
      </c>
      <c r="AF1402">
        <v>3.4537089540899202</v>
      </c>
      <c r="AG1402">
        <v>-1.1097521495610001</v>
      </c>
      <c r="AH1402">
        <v>29.515661943379399</v>
      </c>
      <c r="AI1402">
        <v>92.138657949529104</v>
      </c>
      <c r="AJ1402">
        <v>83.326012543079898</v>
      </c>
      <c r="AK1402">
        <v>29.737753030934801</v>
      </c>
      <c r="AL1402">
        <v>78.778940296448894</v>
      </c>
      <c r="AM1402">
        <v>88.046273666104597</v>
      </c>
      <c r="AN1402">
        <v>1.0000000045615201</v>
      </c>
    </row>
    <row r="1403" spans="1:40" x14ac:dyDescent="0.25">
      <c r="A1403" t="str">
        <f>"20190304155618023"</f>
        <v>20190304155618023</v>
      </c>
      <c r="B1403" t="str">
        <f>"1551686178015857"</f>
        <v>1551686178015857</v>
      </c>
      <c r="C1403" t="s">
        <v>40</v>
      </c>
      <c r="D1403">
        <v>4.7034789999999997</v>
      </c>
      <c r="E1403">
        <v>0.52871689999999905</v>
      </c>
      <c r="F1403" t="s">
        <v>45</v>
      </c>
      <c r="G1403">
        <v>-191.5735</v>
      </c>
      <c r="H1403" s="1">
        <v>-7.1365299999999998E-6</v>
      </c>
      <c r="I1403">
        <v>361.3005</v>
      </c>
      <c r="J1403">
        <v>-220.75540000000001</v>
      </c>
      <c r="K1403">
        <v>1.109742</v>
      </c>
      <c r="L1403">
        <v>366.40899999999999</v>
      </c>
      <c r="M1403">
        <v>0.9982567</v>
      </c>
      <c r="N1403">
        <v>-1.4106169999999999E-2</v>
      </c>
      <c r="O1403">
        <v>-5.7312599999999998E-2</v>
      </c>
      <c r="P1403">
        <v>0.97950349999999997</v>
      </c>
      <c r="Q1403">
        <v>0.1805525</v>
      </c>
      <c r="R1403">
        <v>-8.9296420000000001E-2</v>
      </c>
      <c r="S1403">
        <v>3.0359340000000001</v>
      </c>
      <c r="T1403">
        <v>-0.1148188</v>
      </c>
      <c r="U1403">
        <v>-0.52954100000000004</v>
      </c>
      <c r="V1403">
        <v>3.3315249999999998E-2</v>
      </c>
      <c r="W1403">
        <v>0.19434850000000001</v>
      </c>
      <c r="X1403">
        <v>0.98036659999999998</v>
      </c>
      <c r="Y1403">
        <v>0.1149872</v>
      </c>
      <c r="Z1403">
        <v>-1.631471E-3</v>
      </c>
      <c r="AA1403">
        <v>0.99336559999999896</v>
      </c>
      <c r="AB1403">
        <v>28</v>
      </c>
      <c r="AC1403">
        <v>29.181899999999999</v>
      </c>
      <c r="AD1403">
        <v>-1.1097491365300001</v>
      </c>
      <c r="AE1403">
        <v>-5.1084999999999896</v>
      </c>
      <c r="AF1403">
        <v>3.42264195794304</v>
      </c>
      <c r="AG1403">
        <v>-1.1097491365300001</v>
      </c>
      <c r="AH1403">
        <v>29.3855010191036</v>
      </c>
      <c r="AI1403">
        <v>92.148249508431206</v>
      </c>
      <c r="AJ1403">
        <v>83.356475349580606</v>
      </c>
      <c r="AK1403">
        <v>29.6049605853824</v>
      </c>
      <c r="AL1403">
        <v>78.793332225376204</v>
      </c>
      <c r="AM1403">
        <v>88.053698531312307</v>
      </c>
      <c r="AN1403">
        <v>0.99999995786518503</v>
      </c>
    </row>
    <row r="1404" spans="1:40" x14ac:dyDescent="0.25">
      <c r="A1404" t="str">
        <f>"20190304155618035"</f>
        <v>20190304155618035</v>
      </c>
      <c r="B1404" t="str">
        <f>"1551686178025616"</f>
        <v>1551686178025616</v>
      </c>
      <c r="C1404" t="s">
        <v>40</v>
      </c>
      <c r="D1404">
        <v>4.7360620000000004</v>
      </c>
      <c r="E1404">
        <v>0.52859209999999901</v>
      </c>
      <c r="F1404" t="s">
        <v>45</v>
      </c>
      <c r="G1404">
        <v>-191.64869999999999</v>
      </c>
      <c r="H1404" s="1">
        <v>-7.15826299999999E-6</v>
      </c>
      <c r="I1404">
        <v>361.3304</v>
      </c>
      <c r="J1404">
        <v>-220.60730000000001</v>
      </c>
      <c r="K1404">
        <v>1.1097349999999999</v>
      </c>
      <c r="L1404">
        <v>366.4</v>
      </c>
      <c r="M1404">
        <v>0.99823059999999997</v>
      </c>
      <c r="N1404">
        <v>-1.410464E-2</v>
      </c>
      <c r="O1404">
        <v>-5.7765299999999999E-2</v>
      </c>
      <c r="P1404">
        <v>0.97945210000000005</v>
      </c>
      <c r="Q1404">
        <v>0.18067140000000001</v>
      </c>
      <c r="R1404">
        <v>-8.9618439999999994E-2</v>
      </c>
      <c r="S1404">
        <v>3.035812</v>
      </c>
      <c r="T1404">
        <v>-0.1157463</v>
      </c>
      <c r="U1404">
        <v>-0.52969359999999999</v>
      </c>
      <c r="V1404">
        <v>3.3196459999999997E-2</v>
      </c>
      <c r="W1404">
        <v>0.19446540000000001</v>
      </c>
      <c r="X1404">
        <v>0.98034750000000004</v>
      </c>
      <c r="Y1404">
        <v>0.11459129999999999</v>
      </c>
      <c r="Z1404">
        <v>-1.61038E-3</v>
      </c>
      <c r="AA1404">
        <v>0.99341140000000006</v>
      </c>
      <c r="AB1404">
        <v>28</v>
      </c>
      <c r="AC1404">
        <v>28.958600000000001</v>
      </c>
      <c r="AD1404">
        <v>-1.109742158263</v>
      </c>
      <c r="AE1404">
        <v>-5.0695999999999799</v>
      </c>
      <c r="AF1404">
        <v>3.3833436338561498</v>
      </c>
      <c r="AG1404">
        <v>-1.109742158263</v>
      </c>
      <c r="AH1404">
        <v>29.161559337964398</v>
      </c>
      <c r="AI1404">
        <v>92.164829834490803</v>
      </c>
      <c r="AJ1404">
        <v>83.382093561902195</v>
      </c>
      <c r="AK1404">
        <v>29.378139573911099</v>
      </c>
      <c r="AL1404">
        <v>78.786504651958097</v>
      </c>
      <c r="AM1404">
        <v>88.060595266162196</v>
      </c>
      <c r="AN1404">
        <v>1.0000000087549701</v>
      </c>
    </row>
    <row r="1405" spans="1:40" x14ac:dyDescent="0.25">
      <c r="A1405" t="str">
        <f>"20190304155618050"</f>
        <v>20190304155618050</v>
      </c>
      <c r="B1405" t="str">
        <f>"1551686178046112"</f>
        <v>1551686178046112</v>
      </c>
      <c r="C1405" t="s">
        <v>40</v>
      </c>
      <c r="D1405">
        <v>4.6170179999999998</v>
      </c>
      <c r="E1405">
        <v>0.52819349999999998</v>
      </c>
      <c r="F1405" t="s">
        <v>45</v>
      </c>
      <c r="G1405">
        <v>-191.5342</v>
      </c>
      <c r="H1405" s="1">
        <v>-7.1191499999999901E-6</v>
      </c>
      <c r="I1405">
        <v>361.32350000000002</v>
      </c>
      <c r="J1405">
        <v>-220.4333</v>
      </c>
      <c r="K1405">
        <v>1.109729</v>
      </c>
      <c r="L1405">
        <v>366.38929999999999</v>
      </c>
      <c r="M1405">
        <v>0.99819950000000002</v>
      </c>
      <c r="N1405">
        <v>-1.4102770000000001E-2</v>
      </c>
      <c r="O1405">
        <v>-5.8301470000000001E-2</v>
      </c>
      <c r="P1405">
        <v>0.97950090000000001</v>
      </c>
      <c r="Q1405">
        <v>0.18033379999999999</v>
      </c>
      <c r="R1405">
        <v>-8.9765479999999995E-2</v>
      </c>
      <c r="S1405">
        <v>3.035812</v>
      </c>
      <c r="T1405">
        <v>-0.1158793</v>
      </c>
      <c r="U1405">
        <v>-0.53009030000000001</v>
      </c>
      <c r="V1405">
        <v>3.2815009999999999E-2</v>
      </c>
      <c r="W1405">
        <v>0.1941272</v>
      </c>
      <c r="X1405">
        <v>0.98042739999999995</v>
      </c>
      <c r="Y1405">
        <v>0.1141841</v>
      </c>
      <c r="Z1405">
        <v>-1.5868480000000001E-3</v>
      </c>
      <c r="AA1405">
        <v>0.99345830000000002</v>
      </c>
      <c r="AB1405">
        <v>28</v>
      </c>
      <c r="AC1405">
        <v>28.899100000000001</v>
      </c>
      <c r="AD1405">
        <v>-1.1097361191499999</v>
      </c>
      <c r="AE1405">
        <v>-5.0657999999999603</v>
      </c>
      <c r="AF1405">
        <v>3.3673366416774302</v>
      </c>
      <c r="AG1405">
        <v>-1.1097361191499999</v>
      </c>
      <c r="AH1405">
        <v>29.103669894673601</v>
      </c>
      <c r="AI1405">
        <v>92.169199035486599</v>
      </c>
      <c r="AJ1405">
        <v>83.400141537198394</v>
      </c>
      <c r="AK1405">
        <v>29.318834759428299</v>
      </c>
      <c r="AL1405">
        <v>78.806258898346599</v>
      </c>
      <c r="AM1405">
        <v>88.083019745520502</v>
      </c>
      <c r="AN1405">
        <v>1.0000000406659399</v>
      </c>
    </row>
    <row r="1406" spans="1:40" x14ac:dyDescent="0.25">
      <c r="A1406" t="str">
        <f>"20190304155618061"</f>
        <v>20190304155618061</v>
      </c>
      <c r="B1406" t="str">
        <f>"1551686178055871"</f>
        <v>1551686178055871</v>
      </c>
      <c r="C1406" t="s">
        <v>40</v>
      </c>
      <c r="D1406">
        <v>4.7089639999999999</v>
      </c>
      <c r="E1406">
        <v>0.52805859999999905</v>
      </c>
      <c r="F1406" t="s">
        <v>45</v>
      </c>
      <c r="G1406">
        <v>-192.2484</v>
      </c>
      <c r="H1406" s="1">
        <v>-7.3438720000000002E-6</v>
      </c>
      <c r="I1406">
        <v>361.4896</v>
      </c>
      <c r="J1406">
        <v>-220.2928</v>
      </c>
      <c r="K1406">
        <v>1.109723</v>
      </c>
      <c r="L1406">
        <v>366.38060000000002</v>
      </c>
      <c r="M1406">
        <v>0.9981738</v>
      </c>
      <c r="N1406">
        <v>-1.4101249999999999E-2</v>
      </c>
      <c r="O1406">
        <v>-5.8742389999999998E-2</v>
      </c>
      <c r="P1406">
        <v>0.97944350000000002</v>
      </c>
      <c r="Q1406">
        <v>0.18058399999999999</v>
      </c>
      <c r="R1406">
        <v>-8.9890150000000002E-2</v>
      </c>
      <c r="S1406">
        <v>3.0364529999999998</v>
      </c>
      <c r="T1406">
        <v>-0.11955540000000001</v>
      </c>
      <c r="U1406">
        <v>-0.52786250000000001</v>
      </c>
      <c r="V1406">
        <v>3.2511699999999998E-2</v>
      </c>
      <c r="W1406">
        <v>0.1943751</v>
      </c>
      <c r="X1406">
        <v>0.98038829999999999</v>
      </c>
      <c r="Y1406">
        <v>0.11299919999999999</v>
      </c>
      <c r="Z1406">
        <v>-1.5428039999999901E-3</v>
      </c>
      <c r="AA1406">
        <v>0.99359390000000003</v>
      </c>
      <c r="AB1406">
        <v>28</v>
      </c>
      <c r="AC1406">
        <v>28.0444</v>
      </c>
      <c r="AD1406">
        <v>-1.1097303438719901</v>
      </c>
      <c r="AE1406">
        <v>-4.8910000000000204</v>
      </c>
      <c r="AF1406">
        <v>3.2300854496274298</v>
      </c>
      <c r="AG1406">
        <v>-1.1097303438719901</v>
      </c>
      <c r="AH1406">
        <v>28.240385980016299</v>
      </c>
      <c r="AI1406">
        <v>92.235767176828801</v>
      </c>
      <c r="AJ1406">
        <v>83.474965711125094</v>
      </c>
      <c r="AK1406">
        <v>28.446165888363598</v>
      </c>
      <c r="AL1406">
        <v>78.791778489740096</v>
      </c>
      <c r="AM1406">
        <v>88.100649715221195</v>
      </c>
      <c r="AN1406">
        <v>0.99999995445689305</v>
      </c>
    </row>
    <row r="1407" spans="1:40" x14ac:dyDescent="0.25">
      <c r="A1407" t="str">
        <f>"20190304155618075"</f>
        <v>20190304155618075</v>
      </c>
      <c r="B1407" t="str">
        <f>"1551686178065875"</f>
        <v>1551686178065875</v>
      </c>
      <c r="C1407" t="s">
        <v>40</v>
      </c>
      <c r="D1407">
        <v>4.6121119999999998</v>
      </c>
      <c r="E1407">
        <v>0.52793259999999997</v>
      </c>
      <c r="F1407" t="s">
        <v>45</v>
      </c>
      <c r="G1407">
        <v>-192.06649999999999</v>
      </c>
      <c r="H1407" s="1">
        <v>-7.2816849999999999E-6</v>
      </c>
      <c r="I1407">
        <v>361.47899999999998</v>
      </c>
      <c r="J1407">
        <v>-220.1148</v>
      </c>
      <c r="K1407">
        <v>1.109721</v>
      </c>
      <c r="L1407">
        <v>366.36950000000002</v>
      </c>
      <c r="M1407">
        <v>0.99814029999999998</v>
      </c>
      <c r="N1407">
        <v>-1.409933E-2</v>
      </c>
      <c r="O1407">
        <v>-5.9304790000000003E-2</v>
      </c>
      <c r="P1407">
        <v>0.97942910000000005</v>
      </c>
      <c r="Q1407">
        <v>0.1804605</v>
      </c>
      <c r="R1407">
        <v>-9.0292259999999999E-2</v>
      </c>
      <c r="S1407">
        <v>3.036575</v>
      </c>
      <c r="T1407">
        <v>-0.1193843</v>
      </c>
      <c r="U1407">
        <v>-0.52731319999999904</v>
      </c>
      <c r="V1407">
        <v>3.236327E-2</v>
      </c>
      <c r="W1407">
        <v>0.1942497</v>
      </c>
      <c r="X1407">
        <v>0.98041809999999996</v>
      </c>
      <c r="Y1407">
        <v>0.11225930000000001</v>
      </c>
      <c r="Z1407">
        <v>-1.5090559999999999E-3</v>
      </c>
      <c r="AA1407">
        <v>0.99367779999999994</v>
      </c>
      <c r="AB1407">
        <v>28</v>
      </c>
      <c r="AC1407">
        <v>28.048300000000001</v>
      </c>
      <c r="AD1407">
        <v>-1.109728281685</v>
      </c>
      <c r="AE1407">
        <v>-4.8904999999999701</v>
      </c>
      <c r="AF1407">
        <v>3.21344479536145</v>
      </c>
      <c r="AG1407">
        <v>-1.109728281685</v>
      </c>
      <c r="AH1407">
        <v>28.246070581169501</v>
      </c>
      <c r="AI1407">
        <v>92.235467463657002</v>
      </c>
      <c r="AJ1407">
        <v>83.509588823825496</v>
      </c>
      <c r="AK1407">
        <v>28.449924913581398</v>
      </c>
      <c r="AL1407">
        <v>78.799103379919799</v>
      </c>
      <c r="AM1407">
        <v>88.1093721904803</v>
      </c>
      <c r="AN1407">
        <v>0.99999998900139597</v>
      </c>
    </row>
    <row r="1408" spans="1:40" x14ac:dyDescent="0.25">
      <c r="A1408" t="str">
        <f>"20190304155618090"</f>
        <v>20190304155618090</v>
      </c>
      <c r="B1408" t="str">
        <f>"1551686178086372"</f>
        <v>1551686178086372</v>
      </c>
      <c r="C1408" t="s">
        <v>40</v>
      </c>
      <c r="D1408">
        <v>4.6630449999999897</v>
      </c>
      <c r="E1408">
        <v>0.52759269999999903</v>
      </c>
      <c r="F1408" t="s">
        <v>45</v>
      </c>
      <c r="G1408">
        <v>-192.3314</v>
      </c>
      <c r="H1408" s="1">
        <v>-7.3652779999999901E-6</v>
      </c>
      <c r="I1408">
        <v>361.53919999999999</v>
      </c>
      <c r="J1408">
        <v>-219.9331</v>
      </c>
      <c r="K1408">
        <v>1.109715</v>
      </c>
      <c r="L1408">
        <v>366.35820000000001</v>
      </c>
      <c r="M1408">
        <v>0.99810569999999998</v>
      </c>
      <c r="N1408">
        <v>-1.409738E-2</v>
      </c>
      <c r="O1408">
        <v>-5.9885920000000002E-2</v>
      </c>
      <c r="P1408">
        <v>0.9793655</v>
      </c>
      <c r="Q1408">
        <v>0.18055589999999999</v>
      </c>
      <c r="R1408">
        <v>-9.0790109999999993E-2</v>
      </c>
      <c r="S1408">
        <v>3.0366970000000002</v>
      </c>
      <c r="T1408">
        <v>-0.12129239999999999</v>
      </c>
      <c r="U1408">
        <v>-0.52795409999999998</v>
      </c>
      <c r="V1408">
        <v>3.2295400000000002E-2</v>
      </c>
      <c r="W1408">
        <v>0.19434280000000001</v>
      </c>
      <c r="X1408">
        <v>0.98040190000000005</v>
      </c>
      <c r="Y1408">
        <v>0.1118759</v>
      </c>
      <c r="Z1408">
        <v>-1.4818310000000001E-3</v>
      </c>
      <c r="AA1408">
        <v>0.99372110000000002</v>
      </c>
      <c r="AB1408">
        <v>28</v>
      </c>
      <c r="AC1408">
        <v>27.601699999999902</v>
      </c>
      <c r="AD1408">
        <v>-1.1097223652779999</v>
      </c>
      <c r="AE1408">
        <v>-4.8190000000000097</v>
      </c>
      <c r="AF1408">
        <v>3.1522871101723702</v>
      </c>
      <c r="AG1408">
        <v>-1.1097223652779999</v>
      </c>
      <c r="AH1408">
        <v>27.797167220554901</v>
      </c>
      <c r="AI1408">
        <v>92.271611313842996</v>
      </c>
      <c r="AJ1408">
        <v>83.530116860229697</v>
      </c>
      <c r="AK1408">
        <v>27.997337431270999</v>
      </c>
      <c r="AL1408">
        <v>78.793665650675194</v>
      </c>
      <c r="AM1408">
        <v>88.113303062820506</v>
      </c>
      <c r="AN1408">
        <v>1.0000000011482999</v>
      </c>
    </row>
    <row r="1409" spans="1:40" x14ac:dyDescent="0.25">
      <c r="A1409" t="str">
        <f>"20190304155618103"</f>
        <v>20190304155618103</v>
      </c>
      <c r="B1409" t="str">
        <f>"1551686178096132"</f>
        <v>1551686178096132</v>
      </c>
      <c r="C1409" t="s">
        <v>40</v>
      </c>
      <c r="D1409">
        <v>4.6646609999999997</v>
      </c>
      <c r="E1409">
        <v>0.5274894</v>
      </c>
      <c r="F1409" t="s">
        <v>45</v>
      </c>
      <c r="G1409">
        <v>-192.41759999999999</v>
      </c>
      <c r="H1409" s="1">
        <v>-7.3880600000000002E-6</v>
      </c>
      <c r="I1409">
        <v>361.58699999999999</v>
      </c>
      <c r="J1409">
        <v>-219.7595</v>
      </c>
      <c r="K1409">
        <v>1.1097079999999999</v>
      </c>
      <c r="L1409">
        <v>366.34710000000001</v>
      </c>
      <c r="M1409">
        <v>0.99807179999999995</v>
      </c>
      <c r="N1409">
        <v>-1.409555E-2</v>
      </c>
      <c r="O1409">
        <v>-6.0450579999999997E-2</v>
      </c>
      <c r="P1409">
        <v>0.97929100000000002</v>
      </c>
      <c r="Q1409">
        <v>0.1807501</v>
      </c>
      <c r="R1409">
        <v>-9.1207780000000002E-2</v>
      </c>
      <c r="S1409">
        <v>3.036972</v>
      </c>
      <c r="T1409">
        <v>-0.1224835</v>
      </c>
      <c r="U1409">
        <v>-0.5266113</v>
      </c>
      <c r="V1409">
        <v>3.2163839999999999E-2</v>
      </c>
      <c r="W1409">
        <v>0.1945346</v>
      </c>
      <c r="X1409">
        <v>0.98036820000000002</v>
      </c>
      <c r="Y1409">
        <v>0.11087180000000001</v>
      </c>
      <c r="Z1409">
        <v>-1.4383270000000001E-3</v>
      </c>
      <c r="AA1409">
        <v>0.99383370000000004</v>
      </c>
      <c r="AB1409">
        <v>28</v>
      </c>
      <c r="AC1409">
        <v>27.341899999999999</v>
      </c>
      <c r="AD1409">
        <v>-1.1097153880599999</v>
      </c>
      <c r="AE1409">
        <v>-4.76010000000002</v>
      </c>
      <c r="AF1409">
        <v>3.0934493988365599</v>
      </c>
      <c r="AG1409">
        <v>-1.1097153880599999</v>
      </c>
      <c r="AH1409">
        <v>27.535641921981</v>
      </c>
      <c r="AI1409">
        <v>92.293419639702407</v>
      </c>
      <c r="AJ1409">
        <v>83.590070178685494</v>
      </c>
      <c r="AK1409">
        <v>27.731074149430601</v>
      </c>
      <c r="AL1409">
        <v>78.782462666211003</v>
      </c>
      <c r="AM1409">
        <v>88.1209187312663</v>
      </c>
      <c r="AN1409">
        <v>1.0000000153859701</v>
      </c>
    </row>
    <row r="1410" spans="1:40" x14ac:dyDescent="0.25">
      <c r="A1410" t="str">
        <f>"20190304155618116"</f>
        <v>20190304155618116</v>
      </c>
      <c r="B1410" t="str">
        <f>"1551686178105893"</f>
        <v>1551686178105893</v>
      </c>
      <c r="C1410" t="s">
        <v>40</v>
      </c>
      <c r="D1410">
        <v>4.6768260000000001</v>
      </c>
      <c r="E1410">
        <v>0.52737900000000004</v>
      </c>
      <c r="F1410" t="s">
        <v>45</v>
      </c>
      <c r="G1410">
        <v>-192.19479999999999</v>
      </c>
      <c r="H1410" s="1">
        <v>-7.313516E-6</v>
      </c>
      <c r="I1410">
        <v>361.5634</v>
      </c>
      <c r="J1410">
        <v>-219.6018</v>
      </c>
      <c r="K1410">
        <v>1.1096969999999999</v>
      </c>
      <c r="L1410">
        <v>366.33699999999999</v>
      </c>
      <c r="M1410">
        <v>0.99804029999999999</v>
      </c>
      <c r="N1410">
        <v>-1.409387E-2</v>
      </c>
      <c r="O1410">
        <v>-6.0966819999999998E-2</v>
      </c>
      <c r="P1410">
        <v>0.97924940000000005</v>
      </c>
      <c r="Q1410">
        <v>0.18078089999999999</v>
      </c>
      <c r="R1410">
        <v>-9.1591909999999999E-2</v>
      </c>
      <c r="S1410">
        <v>3.0369259999999998</v>
      </c>
      <c r="T1410">
        <v>-0.122262</v>
      </c>
      <c r="U1410">
        <v>-0.52703859999999902</v>
      </c>
      <c r="V1410">
        <v>3.2043950000000002E-2</v>
      </c>
      <c r="W1410">
        <v>0.19456309999999999</v>
      </c>
      <c r="X1410">
        <v>0.98036650000000003</v>
      </c>
      <c r="Y1410">
        <v>0.11049680000000001</v>
      </c>
      <c r="Z1410">
        <v>-1.415047E-3</v>
      </c>
      <c r="AA1410">
        <v>0.99387539999999996</v>
      </c>
      <c r="AB1410">
        <v>28</v>
      </c>
      <c r="AC1410">
        <v>27.407</v>
      </c>
      <c r="AD1410">
        <v>-1.1097043135160001</v>
      </c>
      <c r="AE1410">
        <v>-4.7735999999999796</v>
      </c>
      <c r="AF1410">
        <v>3.0887201324639002</v>
      </c>
      <c r="AG1410">
        <v>-1.1097043135160001</v>
      </c>
      <c r="AH1410">
        <v>27.603146421771001</v>
      </c>
      <c r="AI1410">
        <v>92.287907041254897</v>
      </c>
      <c r="AJ1410">
        <v>83.615310848354099</v>
      </c>
      <c r="AK1410">
        <v>27.797577738030501</v>
      </c>
      <c r="AL1410">
        <v>78.780798258596604</v>
      </c>
      <c r="AM1410">
        <v>88.127914727691703</v>
      </c>
      <c r="AN1410">
        <v>1.0000000444677299</v>
      </c>
    </row>
    <row r="1411" spans="1:40" x14ac:dyDescent="0.25">
      <c r="A1411" t="str">
        <f>"20190304155618128"</f>
        <v>20190304155618128</v>
      </c>
      <c r="B1411" t="str">
        <f>"1551686178126387"</f>
        <v>1551686178126387</v>
      </c>
      <c r="C1411" t="s">
        <v>40</v>
      </c>
      <c r="D1411">
        <v>4.6780220000000003</v>
      </c>
      <c r="E1411">
        <v>0.52721809999999902</v>
      </c>
      <c r="F1411" t="s">
        <v>45</v>
      </c>
      <c r="G1411">
        <v>-192.08449999999999</v>
      </c>
      <c r="H1411" s="1">
        <v>-7.276006E-6</v>
      </c>
      <c r="I1411">
        <v>361.55590000000001</v>
      </c>
      <c r="J1411">
        <v>-219.45679999999999</v>
      </c>
      <c r="K1411">
        <v>1.109694</v>
      </c>
      <c r="L1411">
        <v>366.32769999999999</v>
      </c>
      <c r="M1411">
        <v>0.99801099999999998</v>
      </c>
      <c r="N1411">
        <v>-1.409232E-2</v>
      </c>
      <c r="O1411">
        <v>-6.1444539999999999E-2</v>
      </c>
      <c r="P1411">
        <v>0.97923249999999995</v>
      </c>
      <c r="Q1411">
        <v>0.1808148</v>
      </c>
      <c r="R1411">
        <v>-9.1705019999999998E-2</v>
      </c>
      <c r="S1411">
        <v>3.0368499999999998</v>
      </c>
      <c r="T1411">
        <v>-0.1224687</v>
      </c>
      <c r="U1411">
        <v>-0.52764889999999998</v>
      </c>
      <c r="V1411">
        <v>3.1689670000000003E-2</v>
      </c>
      <c r="W1411">
        <v>0.1945964</v>
      </c>
      <c r="X1411">
        <v>0.9803714</v>
      </c>
      <c r="Y1411">
        <v>0.1102194</v>
      </c>
      <c r="Z1411">
        <v>-1.3946410000000001E-3</v>
      </c>
      <c r="AA1411">
        <v>0.99390630000000002</v>
      </c>
      <c r="AB1411">
        <v>28</v>
      </c>
      <c r="AC1411">
        <v>27.372299999999999</v>
      </c>
      <c r="AD1411">
        <v>-1.1097012760060001</v>
      </c>
      <c r="AE1411">
        <v>-4.7717999999999803</v>
      </c>
      <c r="AF1411">
        <v>3.0758302054891602</v>
      </c>
      <c r="AG1411">
        <v>-1.1097012760060001</v>
      </c>
      <c r="AH1411">
        <v>27.569823313114799</v>
      </c>
      <c r="AI1411">
        <v>92.290747091683301</v>
      </c>
      <c r="AJ1411">
        <v>83.634114877002204</v>
      </c>
      <c r="AK1411">
        <v>27.7630568542323</v>
      </c>
      <c r="AL1411">
        <v>78.778853058001602</v>
      </c>
      <c r="AM1411">
        <v>88.148607386555994</v>
      </c>
      <c r="AN1411">
        <v>1.00000003800781</v>
      </c>
    </row>
    <row r="1412" spans="1:40" x14ac:dyDescent="0.25">
      <c r="A1412" t="str">
        <f>"20190304155618141"</f>
        <v>20190304155618141</v>
      </c>
      <c r="B1412" t="str">
        <f>"1551686178136147"</f>
        <v>1551686178136147</v>
      </c>
      <c r="C1412" t="s">
        <v>40</v>
      </c>
      <c r="D1412">
        <v>4.6478780000000004</v>
      </c>
      <c r="E1412">
        <v>0.52711189999999997</v>
      </c>
      <c r="F1412" t="s">
        <v>45</v>
      </c>
      <c r="G1412">
        <v>-192.00120000000001</v>
      </c>
      <c r="H1412" s="1">
        <v>-7.2454999999999902E-6</v>
      </c>
      <c r="I1412">
        <v>361.56400000000002</v>
      </c>
      <c r="J1412">
        <v>-219.3065</v>
      </c>
      <c r="K1412">
        <v>1.1096919999999999</v>
      </c>
      <c r="L1412">
        <v>366.31790000000001</v>
      </c>
      <c r="M1412">
        <v>0.99798019999999998</v>
      </c>
      <c r="N1412">
        <v>-1.4090699999999999E-2</v>
      </c>
      <c r="O1412">
        <v>-6.1943930000000001E-2</v>
      </c>
      <c r="P1412">
        <v>0.97916760000000003</v>
      </c>
      <c r="Q1412">
        <v>0.1808642</v>
      </c>
      <c r="R1412">
        <v>-9.229938E-2</v>
      </c>
      <c r="S1412">
        <v>3.0369259999999998</v>
      </c>
      <c r="T1412">
        <v>-0.12274649999999999</v>
      </c>
      <c r="U1412">
        <v>-0.52691650000000001</v>
      </c>
      <c r="V1412">
        <v>3.1796539999999998E-2</v>
      </c>
      <c r="W1412">
        <v>0.19464310000000001</v>
      </c>
      <c r="X1412">
        <v>0.98035870000000003</v>
      </c>
      <c r="Y1412">
        <v>0.10948579999999999</v>
      </c>
      <c r="Z1412">
        <v>-1.3610320000000001E-3</v>
      </c>
      <c r="AA1412">
        <v>0.99398739999999997</v>
      </c>
      <c r="AB1412">
        <v>28</v>
      </c>
      <c r="AC1412">
        <v>27.3052999999999</v>
      </c>
      <c r="AD1412">
        <v>-1.1096992455000001</v>
      </c>
      <c r="AE1412">
        <v>-4.7538999999999803</v>
      </c>
      <c r="AF1412">
        <v>3.04831686384889</v>
      </c>
      <c r="AG1412">
        <v>-1.1096992455000001</v>
      </c>
      <c r="AH1412">
        <v>27.503268574699899</v>
      </c>
      <c r="AI1412">
        <v>92.296464346245799</v>
      </c>
      <c r="AJ1412">
        <v>83.675452077388599</v>
      </c>
      <c r="AK1412">
        <v>27.693924431361602</v>
      </c>
      <c r="AL1412">
        <v>78.776125531585194</v>
      </c>
      <c r="AM1412">
        <v>88.142344083739303</v>
      </c>
      <c r="AN1412">
        <v>1.00000006849963</v>
      </c>
    </row>
    <row r="1413" spans="1:40" x14ac:dyDescent="0.25">
      <c r="A1413" t="str">
        <f>"20190304155618152"</f>
        <v>20190304155618152</v>
      </c>
      <c r="B1413" t="str">
        <f>"1551686178145908"</f>
        <v>1551686178145908</v>
      </c>
      <c r="C1413" t="s">
        <v>40</v>
      </c>
      <c r="D1413">
        <v>4.6359120000000003</v>
      </c>
      <c r="E1413">
        <v>0.52689609999999998</v>
      </c>
      <c r="F1413" t="s">
        <v>45</v>
      </c>
      <c r="G1413">
        <v>-191.90639999999999</v>
      </c>
      <c r="H1413" s="1">
        <v>-7.2138180000000004E-6</v>
      </c>
      <c r="I1413">
        <v>361.55369999999999</v>
      </c>
      <c r="J1413">
        <v>-219.15719999999999</v>
      </c>
      <c r="K1413">
        <v>1.109691</v>
      </c>
      <c r="L1413">
        <v>366.30810000000002</v>
      </c>
      <c r="M1413">
        <v>0.99794919999999998</v>
      </c>
      <c r="N1413">
        <v>-1.408911E-2</v>
      </c>
      <c r="O1413">
        <v>-6.2441410000000003E-2</v>
      </c>
      <c r="P1413">
        <v>0.97914210000000002</v>
      </c>
      <c r="Q1413">
        <v>0.1809925</v>
      </c>
      <c r="R1413">
        <v>-9.2318200000000003E-2</v>
      </c>
      <c r="S1413">
        <v>3.0367739999999999</v>
      </c>
      <c r="T1413">
        <v>-0.1229886</v>
      </c>
      <c r="U1413">
        <v>-0.52801509999999996</v>
      </c>
      <c r="V1413">
        <v>3.1328340000000003E-2</v>
      </c>
      <c r="W1413">
        <v>0.19477079999999999</v>
      </c>
      <c r="X1413">
        <v>0.98034829999999995</v>
      </c>
      <c r="Y1413">
        <v>0.1093479</v>
      </c>
      <c r="Z1413">
        <v>-1.34361299999999E-3</v>
      </c>
      <c r="AA1413">
        <v>0.99400259999999996</v>
      </c>
      <c r="AB1413">
        <v>28</v>
      </c>
      <c r="AC1413">
        <v>27.250800000000002</v>
      </c>
      <c r="AD1413">
        <v>-1.109698213818</v>
      </c>
      <c r="AE1413">
        <v>-4.7544000000000297</v>
      </c>
      <c r="AF1413">
        <v>3.0384835763961</v>
      </c>
      <c r="AG1413">
        <v>-1.109698213818</v>
      </c>
      <c r="AH1413">
        <v>27.450338972117301</v>
      </c>
      <c r="AI1413">
        <v>92.300921829120199</v>
      </c>
      <c r="AJ1413">
        <v>83.683631545640907</v>
      </c>
      <c r="AK1413">
        <v>27.640277173970698</v>
      </c>
      <c r="AL1413">
        <v>78.768664856738695</v>
      </c>
      <c r="AM1413">
        <v>88.169659682116603</v>
      </c>
      <c r="AN1413">
        <v>0.99999995936634101</v>
      </c>
    </row>
    <row r="1414" spans="1:40" x14ac:dyDescent="0.25">
      <c r="A1414" t="str">
        <f>"20190304155618164"</f>
        <v>20190304155618164</v>
      </c>
      <c r="B1414" t="str">
        <f>"1551686178155667"</f>
        <v>1551686178155667</v>
      </c>
      <c r="C1414" t="s">
        <v>40</v>
      </c>
      <c r="D1414">
        <v>4.6178290000000004</v>
      </c>
      <c r="E1414">
        <v>0.52674569999999998</v>
      </c>
      <c r="F1414" t="s">
        <v>45</v>
      </c>
      <c r="G1414">
        <v>-191.9693</v>
      </c>
      <c r="H1414" s="1">
        <v>-7.229065E-6</v>
      </c>
      <c r="I1414">
        <v>361.59739999999999</v>
      </c>
      <c r="J1414">
        <v>-219.00409999999999</v>
      </c>
      <c r="K1414">
        <v>1.1096889999999999</v>
      </c>
      <c r="L1414">
        <v>366.298</v>
      </c>
      <c r="M1414">
        <v>0.9979171</v>
      </c>
      <c r="N1414">
        <v>-1.4087509999999999E-2</v>
      </c>
      <c r="O1414">
        <v>-6.295365E-2</v>
      </c>
      <c r="P1414">
        <v>0.97907259999999996</v>
      </c>
      <c r="Q1414">
        <v>0.18104809999999999</v>
      </c>
      <c r="R1414">
        <v>-9.2945390000000003E-2</v>
      </c>
      <c r="S1414">
        <v>3.037201</v>
      </c>
      <c r="T1414">
        <v>-0.12396600000000001</v>
      </c>
      <c r="U1414">
        <v>-0.52624510000000002</v>
      </c>
      <c r="V1414">
        <v>3.1454919999999997E-2</v>
      </c>
      <c r="W1414">
        <v>0.1948241</v>
      </c>
      <c r="X1414">
        <v>0.98033369999999997</v>
      </c>
      <c r="Y1414">
        <v>0.1082519</v>
      </c>
      <c r="Z1414">
        <v>-1.2975619999999999E-3</v>
      </c>
      <c r="AA1414">
        <v>0.99412259999999997</v>
      </c>
      <c r="AB1414">
        <v>28</v>
      </c>
      <c r="AC1414">
        <v>27.034799999999901</v>
      </c>
      <c r="AD1414">
        <v>-1.1096962290650001</v>
      </c>
      <c r="AE1414">
        <v>-4.7005999999999997</v>
      </c>
      <c r="AF1414">
        <v>2.9842856378231399</v>
      </c>
      <c r="AG1414">
        <v>-1.1096962290650001</v>
      </c>
      <c r="AH1414">
        <v>27.2325773239792</v>
      </c>
      <c r="AI1414">
        <v>92.319575294889404</v>
      </c>
      <c r="AJ1414">
        <v>83.746188454256099</v>
      </c>
      <c r="AK1414">
        <v>27.4180716717172</v>
      </c>
      <c r="AL1414">
        <v>78.7655518401276</v>
      </c>
      <c r="AM1414">
        <v>88.162242028631695</v>
      </c>
      <c r="AN1414">
        <v>1.0000000026443501</v>
      </c>
    </row>
    <row r="1415" spans="1:40" x14ac:dyDescent="0.25">
      <c r="A1415" t="str">
        <f>"20190304155618176"</f>
        <v>20190304155618176</v>
      </c>
      <c r="B1415" t="str">
        <f>"1551686178166403"</f>
        <v>1551686178166403</v>
      </c>
      <c r="C1415" t="s">
        <v>40</v>
      </c>
      <c r="D1415">
        <v>4.6372159999999996</v>
      </c>
      <c r="E1415">
        <v>0.52669100000000002</v>
      </c>
      <c r="F1415" t="s">
        <v>45</v>
      </c>
      <c r="G1415">
        <v>-191.94110000000001</v>
      </c>
      <c r="H1415" s="1">
        <v>-7.2185999999999998E-6</v>
      </c>
      <c r="I1415">
        <v>361.60120000000001</v>
      </c>
      <c r="J1415">
        <v>-218.86529999999999</v>
      </c>
      <c r="K1415">
        <v>1.1096889999999999</v>
      </c>
      <c r="L1415">
        <v>366.28870000000001</v>
      </c>
      <c r="M1415">
        <v>0.99788770000000004</v>
      </c>
      <c r="N1415">
        <v>-1.408601E-2</v>
      </c>
      <c r="O1415">
        <v>-6.3419030000000001E-2</v>
      </c>
      <c r="P1415">
        <v>0.97905430000000004</v>
      </c>
      <c r="Q1415">
        <v>0.18086289999999999</v>
      </c>
      <c r="R1415">
        <v>-9.3497360000000002E-2</v>
      </c>
      <c r="S1415">
        <v>3.0371250000000001</v>
      </c>
      <c r="T1415">
        <v>-0.1245348</v>
      </c>
      <c r="U1415">
        <v>-0.5270996</v>
      </c>
      <c r="V1415">
        <v>3.1548970000000003E-2</v>
      </c>
      <c r="W1415">
        <v>0.19463749999999999</v>
      </c>
      <c r="X1415">
        <v>0.98036769999999995</v>
      </c>
      <c r="Y1415">
        <v>0.1080638</v>
      </c>
      <c r="Z1415">
        <v>-1.2782900000000001E-3</v>
      </c>
      <c r="AA1415">
        <v>0.99414309999999995</v>
      </c>
      <c r="AB1415">
        <v>28</v>
      </c>
      <c r="AC1415">
        <v>26.9241999999999</v>
      </c>
      <c r="AD1415">
        <v>-1.1096962185999999</v>
      </c>
      <c r="AE1415">
        <v>-4.6875</v>
      </c>
      <c r="AF1415">
        <v>2.9654969158788802</v>
      </c>
      <c r="AG1415">
        <v>-1.1096962185999999</v>
      </c>
      <c r="AH1415">
        <v>27.1225783454937</v>
      </c>
      <c r="AI1415">
        <v>92.3290347414368</v>
      </c>
      <c r="AJ1415">
        <v>83.760246416178603</v>
      </c>
      <c r="AK1415">
        <v>27.306773038261099</v>
      </c>
      <c r="AL1415">
        <v>78.776451416839393</v>
      </c>
      <c r="AM1415">
        <v>88.1568148108786</v>
      </c>
      <c r="AN1415">
        <v>0.99999996055879903</v>
      </c>
    </row>
    <row r="1416" spans="1:40" x14ac:dyDescent="0.25">
      <c r="A1416" t="str">
        <f>"20190304155618186"</f>
        <v>20190304155618186</v>
      </c>
      <c r="B1416" t="str">
        <f>"1551686178176164"</f>
        <v>1551686178176164</v>
      </c>
      <c r="C1416" t="s">
        <v>40</v>
      </c>
      <c r="D1416">
        <v>4.6217610000000002</v>
      </c>
      <c r="E1416">
        <v>0.52651130000000002</v>
      </c>
      <c r="F1416" t="s">
        <v>45</v>
      </c>
      <c r="G1416">
        <v>-191.99340000000001</v>
      </c>
      <c r="H1416" s="1">
        <v>-7.2349329999999901E-6</v>
      </c>
      <c r="I1416">
        <v>361.61419999999998</v>
      </c>
      <c r="J1416">
        <v>-218.7235</v>
      </c>
      <c r="K1416">
        <v>1.1096889999999999</v>
      </c>
      <c r="L1416">
        <v>366.27929999999998</v>
      </c>
      <c r="M1416">
        <v>0.99785740000000001</v>
      </c>
      <c r="N1416">
        <v>-1.408442E-2</v>
      </c>
      <c r="O1416">
        <v>-6.3894660000000006E-2</v>
      </c>
      <c r="P1416">
        <v>0.97904740000000001</v>
      </c>
      <c r="Q1416">
        <v>0.18077689999999999</v>
      </c>
      <c r="R1416">
        <v>-9.3735219999999994E-2</v>
      </c>
      <c r="S1416">
        <v>3.03688</v>
      </c>
      <c r="T1416">
        <v>-0.12541070000000001</v>
      </c>
      <c r="U1416">
        <v>-0.52828980000000003</v>
      </c>
      <c r="V1416">
        <v>3.1318510000000001E-2</v>
      </c>
      <c r="W1416">
        <v>0.19455049999999999</v>
      </c>
      <c r="X1416">
        <v>0.98039240000000005</v>
      </c>
      <c r="Y1416">
        <v>0.1079809</v>
      </c>
      <c r="Z1416">
        <v>-1.2604300000000001E-3</v>
      </c>
      <c r="AA1416">
        <v>0.99415220000000004</v>
      </c>
      <c r="AB1416">
        <v>28</v>
      </c>
      <c r="AC1416">
        <v>26.7301</v>
      </c>
      <c r="AD1416">
        <v>-1.109696234933</v>
      </c>
      <c r="AE1416">
        <v>-4.66509999999999</v>
      </c>
      <c r="AF1416">
        <v>2.9425642885990602</v>
      </c>
      <c r="AG1416">
        <v>-1.109696234933</v>
      </c>
      <c r="AH1416">
        <v>26.928535664444698</v>
      </c>
      <c r="AI1416">
        <v>92.3458148772865</v>
      </c>
      <c r="AJ1416">
        <v>83.763855729840998</v>
      </c>
      <c r="AK1416">
        <v>27.1115499991725</v>
      </c>
      <c r="AL1416">
        <v>78.781533767186801</v>
      </c>
      <c r="AM1416">
        <v>88.170315854355707</v>
      </c>
      <c r="AN1416">
        <v>1.00000000204831</v>
      </c>
    </row>
    <row r="1417" spans="1:40" x14ac:dyDescent="0.25">
      <c r="A1417" t="str">
        <f>"20190304155618198"</f>
        <v>20190304155618198</v>
      </c>
      <c r="B1417" t="str">
        <f>"1551686178195684"</f>
        <v>1551686178195684</v>
      </c>
      <c r="C1417" t="s">
        <v>40</v>
      </c>
      <c r="D1417">
        <v>4.640828</v>
      </c>
      <c r="E1417">
        <v>0.52629389999999998</v>
      </c>
      <c r="F1417" t="s">
        <v>45</v>
      </c>
      <c r="G1417">
        <v>-192.0581</v>
      </c>
      <c r="H1417" s="1">
        <v>-7.252891E-6</v>
      </c>
      <c r="I1417">
        <v>361.64449999999999</v>
      </c>
      <c r="J1417">
        <v>-218.58799999999999</v>
      </c>
      <c r="K1417">
        <v>1.1096870000000001</v>
      </c>
      <c r="L1417">
        <v>366.27010000000001</v>
      </c>
      <c r="M1417">
        <v>0.9978281</v>
      </c>
      <c r="N1417">
        <v>-1.408303E-2</v>
      </c>
      <c r="O1417">
        <v>-6.4349519999999993E-2</v>
      </c>
      <c r="P1417">
        <v>0.978962</v>
      </c>
      <c r="Q1417">
        <v>0.1810447</v>
      </c>
      <c r="R1417">
        <v>-9.4108529999999996E-2</v>
      </c>
      <c r="S1417">
        <v>3.0370029999999999</v>
      </c>
      <c r="T1417">
        <v>-0.12638659999999999</v>
      </c>
      <c r="U1417">
        <v>-0.52786250000000001</v>
      </c>
      <c r="V1417">
        <v>3.1248870000000002E-2</v>
      </c>
      <c r="W1417">
        <v>0.19481619999999999</v>
      </c>
      <c r="X1417">
        <v>0.98034189999999999</v>
      </c>
      <c r="Y1417">
        <v>0.10738490000000001</v>
      </c>
      <c r="Z1417">
        <v>-1.22831E-3</v>
      </c>
      <c r="AA1417">
        <v>0.99421669999999995</v>
      </c>
      <c r="AB1417">
        <v>28</v>
      </c>
      <c r="AC1417">
        <v>26.529900000000001</v>
      </c>
      <c r="AD1417">
        <v>-1.1096942528910001</v>
      </c>
      <c r="AE1417">
        <v>-4.6256000000000199</v>
      </c>
      <c r="AF1417">
        <v>2.9037251865071898</v>
      </c>
      <c r="AG1417">
        <v>-1.1096942528910001</v>
      </c>
      <c r="AH1417">
        <v>26.727206463029901</v>
      </c>
      <c r="AI1417">
        <v>92.363621286842601</v>
      </c>
      <c r="AJ1417">
        <v>83.799530893405503</v>
      </c>
      <c r="AK1417">
        <v>26.907370860251</v>
      </c>
      <c r="AL1417">
        <v>78.766013770222102</v>
      </c>
      <c r="AM1417">
        <v>88.1742876144462</v>
      </c>
      <c r="AN1417">
        <v>1.00000004227716</v>
      </c>
    </row>
    <row r="1418" spans="1:40" x14ac:dyDescent="0.25">
      <c r="A1418" t="str">
        <f>"20190304155618211"</f>
        <v>20190304155618211</v>
      </c>
      <c r="B1418" t="str">
        <f>"1551686178206419"</f>
        <v>1551686178206419</v>
      </c>
      <c r="C1418" t="s">
        <v>40</v>
      </c>
      <c r="D1418">
        <v>4.6353410000000004</v>
      </c>
      <c r="E1418">
        <v>0.52613840000000001</v>
      </c>
      <c r="F1418" t="s">
        <v>45</v>
      </c>
      <c r="G1418">
        <v>-191.9545</v>
      </c>
      <c r="H1418" s="1">
        <v>-7.2166380000000003E-6</v>
      </c>
      <c r="I1418">
        <v>361.6438</v>
      </c>
      <c r="J1418">
        <v>-218.4401</v>
      </c>
      <c r="K1418">
        <v>1.1096900000000001</v>
      </c>
      <c r="L1418">
        <v>366.26</v>
      </c>
      <c r="M1418">
        <v>0.99779589999999996</v>
      </c>
      <c r="N1418">
        <v>-1.408154E-2</v>
      </c>
      <c r="O1418">
        <v>-6.4846470000000003E-2</v>
      </c>
      <c r="P1418">
        <v>0.97894840000000005</v>
      </c>
      <c r="Q1418">
        <v>0.18084140000000001</v>
      </c>
      <c r="R1418">
        <v>-9.4639769999999998E-2</v>
      </c>
      <c r="S1418">
        <v>3.03714</v>
      </c>
      <c r="T1418">
        <v>-0.1265433</v>
      </c>
      <c r="U1418">
        <v>-0.52755739999999995</v>
      </c>
      <c r="V1418">
        <v>3.1289949999999997E-2</v>
      </c>
      <c r="W1418">
        <v>0.1946118</v>
      </c>
      <c r="X1418">
        <v>0.98038110000000001</v>
      </c>
      <c r="Y1418">
        <v>0.1067859</v>
      </c>
      <c r="Z1418">
        <v>-1.197498E-3</v>
      </c>
      <c r="AA1418">
        <v>0.99428130000000003</v>
      </c>
      <c r="AB1418">
        <v>28</v>
      </c>
      <c r="AC1418">
        <v>26.485600000000002</v>
      </c>
      <c r="AD1418">
        <v>-1.1096972166379999</v>
      </c>
      <c r="AE1418">
        <v>-4.6161999999999903</v>
      </c>
      <c r="AF1418">
        <v>2.88390087376361</v>
      </c>
      <c r="AG1418">
        <v>-1.1096972166379999</v>
      </c>
      <c r="AH1418">
        <v>26.6837562837114</v>
      </c>
      <c r="AI1418">
        <v>92.367615365899795</v>
      </c>
      <c r="AJ1418">
        <v>83.831585525042996</v>
      </c>
      <c r="AK1418">
        <v>26.8620766429332</v>
      </c>
      <c r="AL1418">
        <v>78.777952589544995</v>
      </c>
      <c r="AM1418">
        <v>88.171962193108001</v>
      </c>
      <c r="AN1418">
        <v>0.99999995745372505</v>
      </c>
    </row>
    <row r="1419" spans="1:40" x14ac:dyDescent="0.25">
      <c r="A1419" t="str">
        <f>"20190304155618222"</f>
        <v>20190304155618222</v>
      </c>
      <c r="B1419" t="str">
        <f>"1551686178216180"</f>
        <v>1551686178216180</v>
      </c>
      <c r="C1419" t="s">
        <v>40</v>
      </c>
      <c r="D1419">
        <v>4.5945989999999997</v>
      </c>
      <c r="E1419">
        <v>0.52599859999999998</v>
      </c>
      <c r="F1419" t="s">
        <v>45</v>
      </c>
      <c r="G1419">
        <v>-192.0984</v>
      </c>
      <c r="H1419" s="1">
        <v>-7.2616189999999902E-6</v>
      </c>
      <c r="I1419">
        <v>361.67910000000001</v>
      </c>
      <c r="J1419">
        <v>-218.29349999999999</v>
      </c>
      <c r="K1419">
        <v>1.1096919999999999</v>
      </c>
      <c r="L1419">
        <v>366.25</v>
      </c>
      <c r="M1419">
        <v>0.99776390000000004</v>
      </c>
      <c r="N1419">
        <v>-1.408001E-2</v>
      </c>
      <c r="O1419">
        <v>-6.5338279999999999E-2</v>
      </c>
      <c r="P1419">
        <v>0.97892619999999997</v>
      </c>
      <c r="Q1419">
        <v>0.1807626</v>
      </c>
      <c r="R1419">
        <v>-9.5018679999999994E-2</v>
      </c>
      <c r="S1419">
        <v>3.0370940000000002</v>
      </c>
      <c r="T1419">
        <v>-0.12794359999999999</v>
      </c>
      <c r="U1419">
        <v>-0.52816770000000002</v>
      </c>
      <c r="V1419">
        <v>3.1184460000000001E-2</v>
      </c>
      <c r="W1419">
        <v>0.19453229999999999</v>
      </c>
      <c r="X1419">
        <v>0.9804003</v>
      </c>
      <c r="Y1419">
        <v>0.1064913</v>
      </c>
      <c r="Z1419">
        <v>-1.170333E-3</v>
      </c>
      <c r="AA1419">
        <v>0.99431290000000006</v>
      </c>
      <c r="AB1419">
        <v>28</v>
      </c>
      <c r="AC1419">
        <v>26.1951</v>
      </c>
      <c r="AD1419">
        <v>-1.109699261619</v>
      </c>
      <c r="AE1419">
        <v>-4.5708999999999902</v>
      </c>
      <c r="AF1419">
        <v>2.8444646216683398</v>
      </c>
      <c r="AG1419">
        <v>-1.109699261619</v>
      </c>
      <c r="AH1419">
        <v>26.391835213801102</v>
      </c>
      <c r="AI1419">
        <v>92.393853980044895</v>
      </c>
      <c r="AJ1419">
        <v>83.848509264929305</v>
      </c>
      <c r="AK1419">
        <v>26.5678636210665</v>
      </c>
      <c r="AL1419">
        <v>78.782597034424697</v>
      </c>
      <c r="AM1419">
        <v>88.178156679898294</v>
      </c>
      <c r="AN1419">
        <v>1.0000000172644301</v>
      </c>
    </row>
    <row r="1420" spans="1:40" x14ac:dyDescent="0.25">
      <c r="A1420" t="str">
        <f>"20190304155618233"</f>
        <v>20190304155618233</v>
      </c>
      <c r="B1420" t="str">
        <f>"1551686178225940"</f>
        <v>1551686178225940</v>
      </c>
      <c r="C1420" t="s">
        <v>40</v>
      </c>
      <c r="D1420">
        <v>4.598166</v>
      </c>
      <c r="E1420">
        <v>0.52589269999999999</v>
      </c>
      <c r="F1420" t="s">
        <v>45</v>
      </c>
      <c r="G1420">
        <v>-192.16059999999999</v>
      </c>
      <c r="H1420" s="1">
        <v>-7.2797960000000001E-6</v>
      </c>
      <c r="I1420">
        <v>361.70269999999999</v>
      </c>
      <c r="J1420">
        <v>-218.16399999999999</v>
      </c>
      <c r="K1420">
        <v>1.1096919999999999</v>
      </c>
      <c r="L1420">
        <v>366.24099999999999</v>
      </c>
      <c r="M1420">
        <v>0.99773529999999999</v>
      </c>
      <c r="N1420">
        <v>-1.407866E-2</v>
      </c>
      <c r="O1420">
        <v>-6.5772999999999998E-2</v>
      </c>
      <c r="P1420">
        <v>0.97887860000000004</v>
      </c>
      <c r="Q1420">
        <v>0.1808707</v>
      </c>
      <c r="R1420">
        <v>-9.5302289999999998E-2</v>
      </c>
      <c r="S1420">
        <v>3.0370940000000002</v>
      </c>
      <c r="T1420">
        <v>-0.12896630000000001</v>
      </c>
      <c r="U1420">
        <v>-0.52847290000000002</v>
      </c>
      <c r="V1420">
        <v>3.104237E-2</v>
      </c>
      <c r="W1420">
        <v>0.1946389</v>
      </c>
      <c r="X1420">
        <v>0.98038360000000002</v>
      </c>
      <c r="Y1420">
        <v>0.1061545</v>
      </c>
      <c r="Z1420">
        <v>-1.144569E-3</v>
      </c>
      <c r="AA1420">
        <v>0.99434900000000004</v>
      </c>
      <c r="AB1420">
        <v>28</v>
      </c>
      <c r="AC1420">
        <v>26.003399999999999</v>
      </c>
      <c r="AD1420">
        <v>-1.1096992797959999</v>
      </c>
      <c r="AE1420">
        <v>-4.5382999999999898</v>
      </c>
      <c r="AF1420">
        <v>2.81300820354023</v>
      </c>
      <c r="AG1420">
        <v>-1.1096992797959999</v>
      </c>
      <c r="AH1420">
        <v>26.199305563885702</v>
      </c>
      <c r="AI1420">
        <v>92.411529603021904</v>
      </c>
      <c r="AJ1420">
        <v>83.871654409732599</v>
      </c>
      <c r="AK1420">
        <v>26.3732451487225</v>
      </c>
      <c r="AL1420">
        <v>78.776369707872206</v>
      </c>
      <c r="AM1420">
        <v>88.186421364995297</v>
      </c>
      <c r="AN1420">
        <v>0.99999996663869195</v>
      </c>
    </row>
    <row r="1421" spans="1:40" x14ac:dyDescent="0.25">
      <c r="A1421" t="str">
        <f>"20190304155618243"</f>
        <v>20190304155618243</v>
      </c>
      <c r="B1421" t="str">
        <f>"1551686178235700"</f>
        <v>1551686178235700</v>
      </c>
      <c r="C1421" t="s">
        <v>40</v>
      </c>
      <c r="D1421">
        <v>4.6161620000000001</v>
      </c>
      <c r="E1421">
        <v>0.52575519999999998</v>
      </c>
      <c r="F1421" t="s">
        <v>45</v>
      </c>
      <c r="G1421">
        <v>-192.08590000000001</v>
      </c>
      <c r="H1421" s="1">
        <v>-7.2538260000000002E-6</v>
      </c>
      <c r="I1421">
        <v>361.70100000000002</v>
      </c>
      <c r="J1421">
        <v>-218.0249</v>
      </c>
      <c r="K1421">
        <v>1.109694</v>
      </c>
      <c r="L1421">
        <v>366.23140000000001</v>
      </c>
      <c r="M1421">
        <v>0.99770460000000005</v>
      </c>
      <c r="N1421">
        <v>-1.407722E-2</v>
      </c>
      <c r="O1421">
        <v>-6.6239179999999995E-2</v>
      </c>
      <c r="P1421">
        <v>0.97889890000000002</v>
      </c>
      <c r="Q1421">
        <v>0.1804849</v>
      </c>
      <c r="R1421">
        <v>-9.5825199999999999E-2</v>
      </c>
      <c r="S1421">
        <v>3.0371090000000001</v>
      </c>
      <c r="T1421">
        <v>-0.12923789999999999</v>
      </c>
      <c r="U1421">
        <v>-0.52874759999999998</v>
      </c>
      <c r="V1421">
        <v>3.1102169999999998E-2</v>
      </c>
      <c r="W1421">
        <v>0.19425300000000001</v>
      </c>
      <c r="X1421">
        <v>0.9804583</v>
      </c>
      <c r="Y1421">
        <v>0.1057767</v>
      </c>
      <c r="Z1421">
        <v>-1.119585E-3</v>
      </c>
      <c r="AA1421">
        <v>0.99438930000000003</v>
      </c>
      <c r="AB1421">
        <v>28</v>
      </c>
      <c r="AC1421">
        <v>25.939</v>
      </c>
      <c r="AD1421">
        <v>-1.109701253826</v>
      </c>
      <c r="AE1421">
        <v>-4.5304000000000402</v>
      </c>
      <c r="AF1421">
        <v>2.7971322615296499</v>
      </c>
      <c r="AG1421">
        <v>-1.109701253826</v>
      </c>
      <c r="AH1421">
        <v>26.1357220736542</v>
      </c>
      <c r="AI1421">
        <v>92.417482360721706</v>
      </c>
      <c r="AJ1421">
        <v>83.891266646728496</v>
      </c>
      <c r="AK1421">
        <v>26.308389423766101</v>
      </c>
      <c r="AL1421">
        <v>78.798911046613</v>
      </c>
      <c r="AM1421">
        <v>88.1830683758985</v>
      </c>
      <c r="AN1421">
        <v>1.0000000255132899</v>
      </c>
    </row>
    <row r="1422" spans="1:40" x14ac:dyDescent="0.25">
      <c r="A1422" t="str">
        <f>"20190304155618255"</f>
        <v>20190304155618255</v>
      </c>
      <c r="B1422" t="str">
        <f>"1551686178246436"</f>
        <v>1551686178246436</v>
      </c>
      <c r="C1422" t="s">
        <v>40</v>
      </c>
      <c r="D1422">
        <v>4.7409569999999999</v>
      </c>
      <c r="E1422">
        <v>0.52551569999999903</v>
      </c>
      <c r="F1422" t="s">
        <v>45</v>
      </c>
      <c r="G1422">
        <v>-192.3167</v>
      </c>
      <c r="H1422" s="1">
        <v>-7.3271679999999999E-6</v>
      </c>
      <c r="I1422">
        <v>361.75020000000001</v>
      </c>
      <c r="J1422">
        <v>-217.8974</v>
      </c>
      <c r="K1422">
        <v>1.109694</v>
      </c>
      <c r="L1422">
        <v>366.22239999999999</v>
      </c>
      <c r="M1422">
        <v>0.99767609999999995</v>
      </c>
      <c r="N1422">
        <v>-1.4075880000000001E-2</v>
      </c>
      <c r="O1422">
        <v>-6.6666610000000001E-2</v>
      </c>
      <c r="P1422">
        <v>0.97884669999999896</v>
      </c>
      <c r="Q1422">
        <v>0.1804875</v>
      </c>
      <c r="R1422">
        <v>-9.6351359999999997E-2</v>
      </c>
      <c r="S1422">
        <v>3.0370180000000002</v>
      </c>
      <c r="T1422">
        <v>-0.13109370000000001</v>
      </c>
      <c r="U1422">
        <v>-0.52938839999999998</v>
      </c>
      <c r="V1422">
        <v>3.120918E-2</v>
      </c>
      <c r="W1422">
        <v>0.19425400000000001</v>
      </c>
      <c r="X1422">
        <v>0.98045470000000001</v>
      </c>
      <c r="Y1422">
        <v>0.10555779999999999</v>
      </c>
      <c r="Z1422">
        <v>-1.092953E-3</v>
      </c>
      <c r="AA1422">
        <v>0.99441250000000003</v>
      </c>
      <c r="AB1422">
        <v>28</v>
      </c>
      <c r="AC1422">
        <v>25.5807</v>
      </c>
      <c r="AD1422">
        <v>-1.1097013271680001</v>
      </c>
      <c r="AE1422">
        <v>-4.4721999999999804</v>
      </c>
      <c r="AF1422">
        <v>2.7516766858405002</v>
      </c>
      <c r="AG1422">
        <v>-1.1097013271680001</v>
      </c>
      <c r="AH1422">
        <v>25.7748892582973</v>
      </c>
      <c r="AI1422">
        <v>92.451353456560199</v>
      </c>
      <c r="AJ1422">
        <v>83.906295425150105</v>
      </c>
      <c r="AK1422">
        <v>25.945097376892001</v>
      </c>
      <c r="AL1422">
        <v>78.798852622110999</v>
      </c>
      <c r="AM1422">
        <v>88.176814570295207</v>
      </c>
      <c r="AN1422">
        <v>1.00000002409218</v>
      </c>
    </row>
    <row r="1423" spans="1:40" x14ac:dyDescent="0.25">
      <c r="A1423" t="str">
        <f>"20190304155618265"</f>
        <v>20190304155618265</v>
      </c>
      <c r="B1423" t="str">
        <f>"1551686178256196"</f>
        <v>1551686178256196</v>
      </c>
      <c r="C1423" t="s">
        <v>40</v>
      </c>
      <c r="D1423">
        <v>4.5842489999999998</v>
      </c>
      <c r="E1423">
        <v>0.52539269999999905</v>
      </c>
      <c r="F1423" t="s">
        <v>45</v>
      </c>
      <c r="G1423">
        <v>-192.30099999999999</v>
      </c>
      <c r="H1423" s="1">
        <v>-7.3195989999999898E-6</v>
      </c>
      <c r="I1423">
        <v>361.76330000000002</v>
      </c>
      <c r="J1423">
        <v>-217.75110000000001</v>
      </c>
      <c r="K1423">
        <v>1.1096950000000001</v>
      </c>
      <c r="L1423">
        <v>366.2122</v>
      </c>
      <c r="M1423">
        <v>0.9976431</v>
      </c>
      <c r="N1423">
        <v>-1.40743E-2</v>
      </c>
      <c r="O1423">
        <v>-6.7156380000000002E-2</v>
      </c>
      <c r="P1423">
        <v>0.97879870000000002</v>
      </c>
      <c r="Q1423">
        <v>0.18043909999999999</v>
      </c>
      <c r="R1423">
        <v>-9.692547E-2</v>
      </c>
      <c r="S1423">
        <v>3.0370330000000001</v>
      </c>
      <c r="T1423">
        <v>-0.13166710000000001</v>
      </c>
      <c r="U1423">
        <v>-0.52908330000000003</v>
      </c>
      <c r="V1423">
        <v>3.1302099999999902E-2</v>
      </c>
      <c r="W1423">
        <v>0.1942044</v>
      </c>
      <c r="X1423">
        <v>0.98046149999999999</v>
      </c>
      <c r="Y1423">
        <v>0.1049721</v>
      </c>
      <c r="Z1423">
        <v>-1.0593390000000001E-3</v>
      </c>
      <c r="AA1423">
        <v>0.99447459999999999</v>
      </c>
      <c r="AB1423">
        <v>28</v>
      </c>
      <c r="AC1423">
        <v>25.450099999999999</v>
      </c>
      <c r="AD1423">
        <v>-1.1097023195989999</v>
      </c>
      <c r="AE1423">
        <v>-4.4488999999999796</v>
      </c>
      <c r="AF1423">
        <v>2.7245220623431301</v>
      </c>
      <c r="AG1423">
        <v>-1.1097023195989999</v>
      </c>
      <c r="AH1423">
        <v>25.644126052932599</v>
      </c>
      <c r="AI1423">
        <v>92.463973444834394</v>
      </c>
      <c r="AJ1423">
        <v>83.935445033396306</v>
      </c>
      <c r="AK1423">
        <v>25.812316066657299</v>
      </c>
      <c r="AL1423">
        <v>78.801748955881294</v>
      </c>
      <c r="AM1423">
        <v>88.171402700833696</v>
      </c>
      <c r="AN1423">
        <v>0.99999996171300898</v>
      </c>
    </row>
    <row r="1424" spans="1:40" x14ac:dyDescent="0.25">
      <c r="A1424" t="str">
        <f>"20190304155618278"</f>
        <v>20190304155618278</v>
      </c>
      <c r="B1424" t="str">
        <f>"1551686178275716"</f>
        <v>1551686178275716</v>
      </c>
      <c r="C1424" t="s">
        <v>40</v>
      </c>
      <c r="D1424">
        <v>4.5781210000000003</v>
      </c>
      <c r="E1424">
        <v>0.52522619999999998</v>
      </c>
      <c r="F1424" t="s">
        <v>45</v>
      </c>
      <c r="G1424">
        <v>-192.31209999999999</v>
      </c>
      <c r="H1424" s="1">
        <v>-7.3216109999999996E-6</v>
      </c>
      <c r="I1424">
        <v>361.77519999999998</v>
      </c>
      <c r="J1424">
        <v>-217.60810000000001</v>
      </c>
      <c r="K1424">
        <v>1.1096919999999999</v>
      </c>
      <c r="L1424">
        <v>366.20209999999997</v>
      </c>
      <c r="M1424">
        <v>0.99761100000000003</v>
      </c>
      <c r="N1424">
        <v>-1.407274E-2</v>
      </c>
      <c r="O1424">
        <v>-6.7634959999999994E-2</v>
      </c>
      <c r="P1424">
        <v>0.97874720000000004</v>
      </c>
      <c r="Q1424">
        <v>0.1803679</v>
      </c>
      <c r="R1424">
        <v>-9.7579280000000004E-2</v>
      </c>
      <c r="S1424">
        <v>3.036972</v>
      </c>
      <c r="T1424">
        <v>-0.13247900000000001</v>
      </c>
      <c r="U1424">
        <v>-0.52969359999999999</v>
      </c>
      <c r="V1424">
        <v>3.1485550000000001E-2</v>
      </c>
      <c r="W1424">
        <v>0.1941309</v>
      </c>
      <c r="X1424">
        <v>0.98047019999999996</v>
      </c>
      <c r="Y1424">
        <v>0.1046921</v>
      </c>
      <c r="Z1424">
        <v>-1.033356E-3</v>
      </c>
      <c r="AA1424">
        <v>0.99450419999999995</v>
      </c>
      <c r="AB1424">
        <v>28</v>
      </c>
      <c r="AC1424">
        <v>25.295999999999999</v>
      </c>
      <c r="AD1424">
        <v>-1.1096993216109901</v>
      </c>
      <c r="AE1424">
        <v>-4.4268999999999803</v>
      </c>
      <c r="AF1424">
        <v>2.7006549657901</v>
      </c>
      <c r="AG1424">
        <v>-1.1096993216109901</v>
      </c>
      <c r="AH1424">
        <v>25.489910519479199</v>
      </c>
      <c r="AI1424">
        <v>92.478931659532904</v>
      </c>
      <c r="AJ1424">
        <v>83.952077287394204</v>
      </c>
      <c r="AK1424">
        <v>25.656588006196198</v>
      </c>
      <c r="AL1424">
        <v>78.806042100840102</v>
      </c>
      <c r="AM1424">
        <v>88.160709619390303</v>
      </c>
      <c r="AN1424">
        <v>0.99999997964082599</v>
      </c>
    </row>
    <row r="1425" spans="1:40" x14ac:dyDescent="0.25">
      <c r="A1425" t="str">
        <f>"20190304155618292"</f>
        <v>20190304155618292</v>
      </c>
      <c r="B1425" t="str">
        <f>"1551686178286452"</f>
        <v>1551686178286452</v>
      </c>
      <c r="C1425" t="s">
        <v>40</v>
      </c>
      <c r="D1425">
        <v>4.5905889999999996</v>
      </c>
      <c r="E1425">
        <v>0.52513129999999997</v>
      </c>
      <c r="F1425" t="s">
        <v>45</v>
      </c>
      <c r="G1425">
        <v>-192.43049999999999</v>
      </c>
      <c r="H1425" s="1">
        <v>-7.3586579999999996E-6</v>
      </c>
      <c r="I1425">
        <v>361.80430000000001</v>
      </c>
      <c r="J1425">
        <v>-217.43979999999999</v>
      </c>
      <c r="K1425">
        <v>1.109693</v>
      </c>
      <c r="L1425">
        <v>366.19009999999997</v>
      </c>
      <c r="M1425">
        <v>0.99757260000000003</v>
      </c>
      <c r="N1425">
        <v>-1.4070890000000001E-2</v>
      </c>
      <c r="O1425">
        <v>-6.8197439999999998E-2</v>
      </c>
      <c r="P1425">
        <v>0.97871529999999995</v>
      </c>
      <c r="Q1425">
        <v>0.1802416</v>
      </c>
      <c r="R1425">
        <v>-9.8129380000000002E-2</v>
      </c>
      <c r="S1425">
        <v>3.0369259999999998</v>
      </c>
      <c r="T1425">
        <v>-0.13385259999999999</v>
      </c>
      <c r="U1425">
        <v>-0.5304565</v>
      </c>
      <c r="V1425">
        <v>3.1481509999999997E-2</v>
      </c>
      <c r="W1425">
        <v>0.1940037</v>
      </c>
      <c r="X1425">
        <v>0.98049549999999996</v>
      </c>
      <c r="Y1425">
        <v>0.1043755</v>
      </c>
      <c r="Z1425">
        <v>-1.000595E-3</v>
      </c>
      <c r="AA1425">
        <v>0.99453749999999996</v>
      </c>
      <c r="AB1425">
        <v>28</v>
      </c>
      <c r="AC1425">
        <v>25.0093</v>
      </c>
      <c r="AD1425">
        <v>-1.1097003586579901</v>
      </c>
      <c r="AE1425">
        <v>-4.3857999999999597</v>
      </c>
      <c r="AF1425">
        <v>2.6647580988583299</v>
      </c>
      <c r="AG1425">
        <v>-1.1097003586579901</v>
      </c>
      <c r="AH1425">
        <v>25.202054701038001</v>
      </c>
      <c r="AI1425">
        <v>92.507268372142093</v>
      </c>
      <c r="AJ1425">
        <v>83.964214696091105</v>
      </c>
      <c r="AK1425">
        <v>25.3668273886497</v>
      </c>
      <c r="AL1425">
        <v>78.813471295946101</v>
      </c>
      <c r="AM1425">
        <v>88.160992882924006</v>
      </c>
      <c r="AN1425">
        <v>0.99999997330290902</v>
      </c>
    </row>
    <row r="1426" spans="1:40" x14ac:dyDescent="0.25">
      <c r="A1426" t="str">
        <f>"20190304155618306"</f>
        <v>20190304155618306</v>
      </c>
      <c r="B1426" t="str">
        <f>"1551686178296212"</f>
        <v>1551686178296212</v>
      </c>
      <c r="C1426" t="s">
        <v>40</v>
      </c>
      <c r="D1426">
        <v>4.7193040000000002</v>
      </c>
      <c r="E1426">
        <v>0.52495689999999995</v>
      </c>
      <c r="F1426" t="s">
        <v>45</v>
      </c>
      <c r="G1426">
        <v>-192.43299999999999</v>
      </c>
      <c r="H1426" s="1">
        <v>-7.35783199999999E-6</v>
      </c>
      <c r="I1426">
        <v>361.8152</v>
      </c>
      <c r="J1426">
        <v>-217.2509</v>
      </c>
      <c r="K1426">
        <v>1.1096999999999999</v>
      </c>
      <c r="L1426">
        <v>366.1764</v>
      </c>
      <c r="M1426">
        <v>0.99752929999999995</v>
      </c>
      <c r="N1426">
        <v>-1.4068900000000001E-2</v>
      </c>
      <c r="O1426">
        <v>-6.8828810000000004E-2</v>
      </c>
      <c r="P1426">
        <v>0.97867139999999997</v>
      </c>
      <c r="Q1426">
        <v>0.1801479</v>
      </c>
      <c r="R1426">
        <v>-9.87373E-2</v>
      </c>
      <c r="S1426">
        <v>3.0367890000000002</v>
      </c>
      <c r="T1426">
        <v>-0.13476070000000001</v>
      </c>
      <c r="U1426">
        <v>-0.53128050000000004</v>
      </c>
      <c r="V1426">
        <v>3.1467729999999999E-2</v>
      </c>
      <c r="W1426">
        <v>0.19390830000000001</v>
      </c>
      <c r="X1426">
        <v>0.98051480000000002</v>
      </c>
      <c r="Y1426">
        <v>0.1040153</v>
      </c>
      <c r="Z1426">
        <v>-9.6635280000000002E-4</v>
      </c>
      <c r="AA1426">
        <v>0.99457519999999999</v>
      </c>
      <c r="AB1426">
        <v>28</v>
      </c>
      <c r="AC1426">
        <v>24.817900000000002</v>
      </c>
      <c r="AD1426">
        <v>-1.10970735783199</v>
      </c>
      <c r="AE1426">
        <v>-4.3611999999999904</v>
      </c>
      <c r="AF1426">
        <v>2.63738465924399</v>
      </c>
      <c r="AG1426">
        <v>-1.10970735783199</v>
      </c>
      <c r="AH1426">
        <v>25.010731170754301</v>
      </c>
      <c r="AI1426">
        <v>92.526514534481606</v>
      </c>
      <c r="AJ1426">
        <v>83.9803993757168</v>
      </c>
      <c r="AK1426">
        <v>25.173873797184701</v>
      </c>
      <c r="AL1426">
        <v>78.819042969695005</v>
      </c>
      <c r="AM1426">
        <v>88.161833453199094</v>
      </c>
      <c r="AN1426">
        <v>0.99999995992963997</v>
      </c>
    </row>
    <row r="1427" spans="1:40" x14ac:dyDescent="0.25">
      <c r="A1427" t="str">
        <f>"20190304155618320"</f>
        <v>20190304155618320</v>
      </c>
      <c r="B1427" t="str">
        <f>"1551686178315731"</f>
        <v>1551686178315731</v>
      </c>
      <c r="C1427" t="s">
        <v>40</v>
      </c>
      <c r="D1427">
        <v>4.6941819999999996</v>
      </c>
      <c r="E1427">
        <v>0.52468899999999996</v>
      </c>
      <c r="F1427" t="s">
        <v>45</v>
      </c>
      <c r="G1427">
        <v>-192.38220000000001</v>
      </c>
      <c r="H1427" s="1">
        <v>-7.3386289999999997E-6</v>
      </c>
      <c r="I1427">
        <v>361.82380000000001</v>
      </c>
      <c r="J1427">
        <v>-217.08109999999999</v>
      </c>
      <c r="K1427">
        <v>1.109701</v>
      </c>
      <c r="L1427">
        <v>366.16410000000002</v>
      </c>
      <c r="M1427">
        <v>0.99749010000000005</v>
      </c>
      <c r="N1427">
        <v>-1.4067110000000001E-2</v>
      </c>
      <c r="O1427">
        <v>-6.9395830000000006E-2</v>
      </c>
      <c r="P1427">
        <v>0.97862389999999999</v>
      </c>
      <c r="Q1427">
        <v>0.1800716</v>
      </c>
      <c r="R1427">
        <v>-9.934627E-2</v>
      </c>
      <c r="S1427">
        <v>3.0366970000000002</v>
      </c>
      <c r="T1427">
        <v>-0.1355054</v>
      </c>
      <c r="U1427">
        <v>-0.53149409999999997</v>
      </c>
      <c r="V1427">
        <v>3.1519099999999897E-2</v>
      </c>
      <c r="W1427">
        <v>0.19383020000000001</v>
      </c>
      <c r="X1427">
        <v>0.98052870000000003</v>
      </c>
      <c r="Y1427">
        <v>0.103523</v>
      </c>
      <c r="Z1427">
        <v>-9.3065520000000003E-4</v>
      </c>
      <c r="AA1427">
        <v>0.99462660000000003</v>
      </c>
      <c r="AB1427">
        <v>28</v>
      </c>
      <c r="AC1427">
        <v>24.698899999999899</v>
      </c>
      <c r="AD1427">
        <v>-1.1097083386290001</v>
      </c>
      <c r="AE1427">
        <v>-4.3403000000000098</v>
      </c>
      <c r="AF1427">
        <v>2.6105522623434498</v>
      </c>
      <c r="AG1427">
        <v>-1.1097083386290001</v>
      </c>
      <c r="AH1427">
        <v>24.8918298321611</v>
      </c>
      <c r="AI1427">
        <v>92.538720915310407</v>
      </c>
      <c r="AJ1427">
        <v>84.012941817985805</v>
      </c>
      <c r="AK1427">
        <v>25.052936516594499</v>
      </c>
      <c r="AL1427">
        <v>78.8236055094752</v>
      </c>
      <c r="AM1427">
        <v>88.158860854854694</v>
      </c>
      <c r="AN1427">
        <v>1.0000000658102599</v>
      </c>
    </row>
    <row r="1428" spans="1:40" x14ac:dyDescent="0.25">
      <c r="A1428" t="str">
        <f>"20190304155618333"</f>
        <v>20190304155618333</v>
      </c>
      <c r="B1428" t="str">
        <f>"1551686178326469"</f>
        <v>1551686178326469</v>
      </c>
      <c r="C1428" t="s">
        <v>40</v>
      </c>
      <c r="D1428">
        <v>4.5345000000000004</v>
      </c>
      <c r="E1428">
        <v>0.52473939999999997</v>
      </c>
      <c r="F1428" t="s">
        <v>45</v>
      </c>
      <c r="G1428">
        <v>-192.42959999999999</v>
      </c>
      <c r="H1428" s="1">
        <v>-7.3509799999999999E-6</v>
      </c>
      <c r="I1428">
        <v>361.85129999999998</v>
      </c>
      <c r="J1428">
        <v>-216.92850000000001</v>
      </c>
      <c r="K1428">
        <v>1.109702</v>
      </c>
      <c r="L1428">
        <v>366.15289999999999</v>
      </c>
      <c r="M1428">
        <v>0.99745459999999997</v>
      </c>
      <c r="N1428">
        <v>-1.406552E-2</v>
      </c>
      <c r="O1428">
        <v>-6.9905149999999999E-2</v>
      </c>
      <c r="P1428">
        <v>0.97857300000000003</v>
      </c>
      <c r="Q1428">
        <v>0.18004999999999999</v>
      </c>
      <c r="R1428">
        <v>-9.9887229999999994E-2</v>
      </c>
      <c r="S1428">
        <v>3.036743</v>
      </c>
      <c r="T1428">
        <v>-0.1367015</v>
      </c>
      <c r="U1428">
        <v>-0.53128050000000004</v>
      </c>
      <c r="V1428">
        <v>3.155968E-2</v>
      </c>
      <c r="W1428">
        <v>0.19380720000000001</v>
      </c>
      <c r="X1428">
        <v>0.98053190000000001</v>
      </c>
      <c r="Y1428">
        <v>0.10294449999999999</v>
      </c>
      <c r="Z1428">
        <v>-8.9113219999999995E-4</v>
      </c>
      <c r="AA1428">
        <v>0.99468670000000003</v>
      </c>
      <c r="AB1428">
        <v>27</v>
      </c>
      <c r="AC1428">
        <v>24.498899999999999</v>
      </c>
      <c r="AD1428">
        <v>-1.10970935098</v>
      </c>
      <c r="AE1428">
        <v>-4.3015999999999996</v>
      </c>
      <c r="AF1428">
        <v>2.5731845214240101</v>
      </c>
      <c r="AG1428">
        <v>-1.10970935098</v>
      </c>
      <c r="AH1428">
        <v>24.6905449366058</v>
      </c>
      <c r="AI1428">
        <v>92.559566327079594</v>
      </c>
      <c r="AJ1428">
        <v>84.050261073858593</v>
      </c>
      <c r="AK1428">
        <v>24.849059191275199</v>
      </c>
      <c r="AL1428">
        <v>78.824948328591105</v>
      </c>
      <c r="AM1428">
        <v>88.156498084138804</v>
      </c>
      <c r="AN1428">
        <v>1.0000000255455701</v>
      </c>
    </row>
    <row r="1429" spans="1:40" x14ac:dyDescent="0.25">
      <c r="A1429" t="str">
        <f>"20190304155618345"</f>
        <v>20190304155618345</v>
      </c>
      <c r="B1429" t="str">
        <f>"1551686178336228"</f>
        <v>1551686178336228</v>
      </c>
      <c r="C1429" t="s">
        <v>40</v>
      </c>
      <c r="D1429">
        <v>4.8565459999999998</v>
      </c>
      <c r="E1429">
        <v>0.52473939999999997</v>
      </c>
      <c r="F1429" t="s">
        <v>45</v>
      </c>
      <c r="G1429">
        <v>-192.3125</v>
      </c>
      <c r="H1429" s="1">
        <v>-7.3130859999999902E-6</v>
      </c>
      <c r="I1429">
        <v>361.83080000000001</v>
      </c>
      <c r="J1429">
        <v>-216.76949999999999</v>
      </c>
      <c r="K1429">
        <v>1.1097060000000001</v>
      </c>
      <c r="L1429">
        <v>366.14120000000003</v>
      </c>
      <c r="M1429">
        <v>0.9974172</v>
      </c>
      <c r="N1429">
        <v>-1.4063910000000001E-2</v>
      </c>
      <c r="O1429">
        <v>-7.0436170000000006E-2</v>
      </c>
      <c r="P1429">
        <v>0.97848659999999998</v>
      </c>
      <c r="Q1429">
        <v>0.180089</v>
      </c>
      <c r="R1429">
        <v>-0.100659</v>
      </c>
      <c r="S1429">
        <v>3.0364529999999998</v>
      </c>
      <c r="T1429">
        <v>-0.13688599999999901</v>
      </c>
      <c r="U1429">
        <v>-0.53314209999999995</v>
      </c>
      <c r="V1429">
        <v>3.1811760000000001E-2</v>
      </c>
      <c r="W1429">
        <v>0.19384419999999999</v>
      </c>
      <c r="X1429">
        <v>0.98051639999999995</v>
      </c>
      <c r="Y1429">
        <v>0.10302260000000001</v>
      </c>
      <c r="Z1429">
        <v>-8.7592889999999997E-4</v>
      </c>
      <c r="AA1429">
        <v>0.99467859999999997</v>
      </c>
      <c r="AB1429">
        <v>27</v>
      </c>
      <c r="AC1429">
        <v>24.456999999999901</v>
      </c>
      <c r="AD1429">
        <v>-1.109713313086</v>
      </c>
      <c r="AE1429">
        <v>-4.3104000000000102</v>
      </c>
      <c r="AF1429">
        <v>2.5717292123840498</v>
      </c>
      <c r="AG1429">
        <v>-1.109713313086</v>
      </c>
      <c r="AH1429">
        <v>24.650659951461702</v>
      </c>
      <c r="AI1429">
        <v>92.563682406753301</v>
      </c>
      <c r="AJ1429">
        <v>84.044049715151104</v>
      </c>
      <c r="AK1429">
        <v>24.8092783212585</v>
      </c>
      <c r="AL1429">
        <v>78.822786960800599</v>
      </c>
      <c r="AM1429">
        <v>88.141754212808095</v>
      </c>
      <c r="AN1429">
        <v>0.999999986308448</v>
      </c>
    </row>
    <row r="1430" spans="1:40" x14ac:dyDescent="0.25">
      <c r="A1430" t="str">
        <f>"20190304155618357"</f>
        <v>20190304155618357</v>
      </c>
      <c r="B1430" t="str">
        <f>"1551686178345989"</f>
        <v>1551686178345989</v>
      </c>
      <c r="C1430" t="s">
        <v>40</v>
      </c>
      <c r="D1430">
        <v>4.0995559999999998</v>
      </c>
      <c r="E1430">
        <v>0.54966510000000002</v>
      </c>
      <c r="F1430" t="s">
        <v>45</v>
      </c>
      <c r="G1430">
        <v>-192.14420000000001</v>
      </c>
      <c r="H1430" s="1">
        <v>-7.2591889999999998E-6</v>
      </c>
      <c r="I1430">
        <v>361.79759999999999</v>
      </c>
      <c r="J1430">
        <v>-216.6353</v>
      </c>
      <c r="K1430">
        <v>1.1097090000000001</v>
      </c>
      <c r="L1430">
        <v>366.13130000000001</v>
      </c>
      <c r="M1430">
        <v>0.99738559999999998</v>
      </c>
      <c r="N1430">
        <v>-1.406253E-2</v>
      </c>
      <c r="O1430">
        <v>-7.0884230000000006E-2</v>
      </c>
      <c r="P1430">
        <v>0.97840629999999995</v>
      </c>
      <c r="Q1430">
        <v>0.1799712</v>
      </c>
      <c r="R1430">
        <v>-0.1016465</v>
      </c>
      <c r="S1430">
        <v>3.036057</v>
      </c>
      <c r="T1430">
        <v>-0.13681660000000001</v>
      </c>
      <c r="U1430">
        <v>-0.53552250000000001</v>
      </c>
      <c r="V1430">
        <v>3.2360090000000001E-2</v>
      </c>
      <c r="W1430">
        <v>0.19372400000000001</v>
      </c>
      <c r="X1430">
        <v>0.98052220000000001</v>
      </c>
      <c r="Y1430">
        <v>0.10335419999999999</v>
      </c>
      <c r="Z1430">
        <v>-8.7226060000000002E-4</v>
      </c>
      <c r="AA1430">
        <v>0.99464419999999998</v>
      </c>
      <c r="AB1430">
        <v>27</v>
      </c>
      <c r="AC1430">
        <v>24.4910999999999</v>
      </c>
      <c r="AD1430">
        <v>-1.109716259189</v>
      </c>
      <c r="AE1430">
        <v>-4.3337000000000199</v>
      </c>
      <c r="AF1430">
        <v>2.5814534686831601</v>
      </c>
      <c r="AG1430">
        <v>-1.109716259189</v>
      </c>
      <c r="AH1430">
        <v>24.687556131084701</v>
      </c>
      <c r="AI1430">
        <v>92.559799950438205</v>
      </c>
      <c r="AJ1430">
        <v>84.0305619644611</v>
      </c>
      <c r="AK1430">
        <v>24.846947496872598</v>
      </c>
      <c r="AL1430">
        <v>78.829806846155705</v>
      </c>
      <c r="AM1430">
        <v>88.109758386596496</v>
      </c>
      <c r="AN1430">
        <v>0.99999997414682296</v>
      </c>
    </row>
    <row r="1431" spans="1:40" x14ac:dyDescent="0.25">
      <c r="A1431" t="str">
        <f>"20190304155618369"</f>
        <v>20190304155618369</v>
      </c>
      <c r="B1431" t="str">
        <f>"1551686178365507"</f>
        <v>1551686178365507</v>
      </c>
      <c r="C1431" t="s">
        <v>40</v>
      </c>
      <c r="D1431">
        <v>4.9086980000000002</v>
      </c>
      <c r="E1431">
        <v>0.60143449999999998</v>
      </c>
      <c r="F1431" t="s">
        <v>43</v>
      </c>
      <c r="G1431">
        <v>-169.2955</v>
      </c>
      <c r="H1431">
        <v>0.3193512</v>
      </c>
      <c r="I1431">
        <v>354.5849</v>
      </c>
      <c r="J1431">
        <v>-216.48400000000001</v>
      </c>
      <c r="K1431">
        <v>1.10971</v>
      </c>
      <c r="L1431">
        <v>366.12</v>
      </c>
      <c r="M1431">
        <v>0.99734959999999995</v>
      </c>
      <c r="N1431">
        <v>-1.4060949999999999E-2</v>
      </c>
      <c r="O1431">
        <v>-7.1389270000000005E-2</v>
      </c>
      <c r="P1431">
        <v>0.97832980000000003</v>
      </c>
      <c r="Q1431">
        <v>0.18003520000000001</v>
      </c>
      <c r="R1431">
        <v>-0.1022677</v>
      </c>
      <c r="S1431">
        <v>2.9994049999999999</v>
      </c>
      <c r="T1431">
        <v>-5.007052E-2</v>
      </c>
      <c r="U1431">
        <v>-0.73156739999999998</v>
      </c>
      <c r="V1431">
        <v>3.248682E-2</v>
      </c>
      <c r="W1431">
        <v>0.19378619999999999</v>
      </c>
      <c r="X1431">
        <v>0.98050579999999998</v>
      </c>
      <c r="Y1431">
        <v>0.16694890000000001</v>
      </c>
      <c r="Z1431">
        <v>-2.3851329999999998E-3</v>
      </c>
      <c r="AA1431">
        <v>0.98596269999999997</v>
      </c>
      <c r="AB1431">
        <v>27</v>
      </c>
      <c r="AC1431">
        <v>47.188499999999998</v>
      </c>
      <c r="AD1431">
        <v>-0.79035879999999903</v>
      </c>
      <c r="AE1431">
        <v>-11.5351</v>
      </c>
      <c r="AF1431">
        <v>8.1344244431964796</v>
      </c>
      <c r="AG1431">
        <v>-0.79035879999999903</v>
      </c>
      <c r="AH1431">
        <v>47.8789657894255</v>
      </c>
      <c r="AI1431">
        <v>90.932362366306904</v>
      </c>
      <c r="AJ1431">
        <v>80.3577698175948</v>
      </c>
      <c r="AK1431">
        <v>48.5714823030942</v>
      </c>
      <c r="AL1431">
        <v>78.826175117102096</v>
      </c>
      <c r="AM1431">
        <v>88.102329424649398</v>
      </c>
      <c r="AN1431">
        <v>1.0000000543088901</v>
      </c>
    </row>
    <row r="1432" spans="1:40" x14ac:dyDescent="0.25">
      <c r="A1432" t="str">
        <f>"20190304155618382"</f>
        <v>20190304155618382</v>
      </c>
      <c r="B1432" t="str">
        <f>"1551686178376244"</f>
        <v>1551686178376244</v>
      </c>
      <c r="C1432" t="s">
        <v>40</v>
      </c>
      <c r="D1432">
        <v>4.9119760000000001</v>
      </c>
      <c r="E1432">
        <v>0.60785559999999905</v>
      </c>
      <c r="F1432" t="s">
        <v>45</v>
      </c>
      <c r="G1432">
        <v>-197.34950000000001</v>
      </c>
      <c r="H1432" s="1">
        <v>-6.1413190000000003E-6</v>
      </c>
      <c r="I1432">
        <v>358.7226</v>
      </c>
      <c r="J1432">
        <v>-216.33080000000001</v>
      </c>
      <c r="K1432">
        <v>1.109707</v>
      </c>
      <c r="L1432">
        <v>366.10849999999999</v>
      </c>
      <c r="M1432">
        <v>0.99731270000000005</v>
      </c>
      <c r="N1432">
        <v>-1.405934E-2</v>
      </c>
      <c r="O1432">
        <v>-7.1901329999999999E-2</v>
      </c>
      <c r="P1432">
        <v>0.97825479999999998</v>
      </c>
      <c r="Q1432">
        <v>0.17999509999999999</v>
      </c>
      <c r="R1432">
        <v>-0.1030509</v>
      </c>
      <c r="S1432">
        <v>2.977875</v>
      </c>
      <c r="T1432">
        <v>-0.17270339999999901</v>
      </c>
      <c r="U1432">
        <v>-1.1512450000000001</v>
      </c>
      <c r="V1432">
        <v>3.2768369999999998E-2</v>
      </c>
      <c r="W1432">
        <v>0.19374459999999999</v>
      </c>
      <c r="X1432">
        <v>0.98050459999999995</v>
      </c>
      <c r="Y1432">
        <v>0.29210589999999997</v>
      </c>
      <c r="Z1432">
        <v>-7.2699000000000001E-3</v>
      </c>
      <c r="AA1432">
        <v>0.95635829999999999</v>
      </c>
      <c r="AB1432">
        <v>27</v>
      </c>
      <c r="AC1432">
        <v>18.981300000000001</v>
      </c>
      <c r="AD1432">
        <v>-1.109713141319</v>
      </c>
      <c r="AE1432">
        <v>-7.3858999999999897</v>
      </c>
      <c r="AF1432">
        <v>5.9841001990295597</v>
      </c>
      <c r="AG1432">
        <v>-1.109713141319</v>
      </c>
      <c r="AH1432">
        <v>19.405664389741801</v>
      </c>
      <c r="AI1432">
        <v>93.127864649178406</v>
      </c>
      <c r="AJ1432">
        <v>72.861873191119301</v>
      </c>
      <c r="AK1432">
        <v>20.3376677339201</v>
      </c>
      <c r="AL1432">
        <v>78.828604089994997</v>
      </c>
      <c r="AM1432">
        <v>88.085892929470702</v>
      </c>
      <c r="AN1432">
        <v>1.0000000033613801</v>
      </c>
    </row>
    <row r="1433" spans="1:40" x14ac:dyDescent="0.25">
      <c r="A1433" t="str">
        <f>"20190304155618396"</f>
        <v>20190304155618396</v>
      </c>
      <c r="B1433" t="str">
        <f>"1551686178386004"</f>
        <v>1551686178386004</v>
      </c>
      <c r="C1433" t="s">
        <v>40</v>
      </c>
      <c r="D1433">
        <v>4.274019</v>
      </c>
      <c r="E1433">
        <v>0.6224596</v>
      </c>
      <c r="F1433" t="s">
        <v>45</v>
      </c>
      <c r="G1433">
        <v>-196.71610000000001</v>
      </c>
      <c r="H1433" s="1">
        <v>-5.8533039999999996E-6</v>
      </c>
      <c r="I1433">
        <v>358.15769999999998</v>
      </c>
      <c r="J1433">
        <v>-216.15960000000001</v>
      </c>
      <c r="K1433">
        <v>1.109712</v>
      </c>
      <c r="L1433">
        <v>366.09550000000002</v>
      </c>
      <c r="M1433">
        <v>0.99727129999999997</v>
      </c>
      <c r="N1433">
        <v>-1.405755E-2</v>
      </c>
      <c r="O1433">
        <v>-7.2473469999999998E-2</v>
      </c>
      <c r="P1433">
        <v>0.97811840000000005</v>
      </c>
      <c r="Q1433">
        <v>0.18010989999999999</v>
      </c>
      <c r="R1433">
        <v>-0.1041387</v>
      </c>
      <c r="S1433">
        <v>2.970764</v>
      </c>
      <c r="T1433">
        <v>-0.1680729</v>
      </c>
      <c r="U1433">
        <v>-1.2041930000000001</v>
      </c>
      <c r="V1433">
        <v>3.3298710000000002E-2</v>
      </c>
      <c r="W1433">
        <v>0.1938559</v>
      </c>
      <c r="X1433">
        <v>0.98046480000000003</v>
      </c>
      <c r="Y1433">
        <v>0.3070174</v>
      </c>
      <c r="Z1433">
        <v>-7.6496400000000001E-3</v>
      </c>
      <c r="AA1433">
        <v>0.9516732</v>
      </c>
      <c r="AB1433">
        <v>27</v>
      </c>
      <c r="AC1433">
        <v>19.4435</v>
      </c>
      <c r="AD1433">
        <v>-1.109717853304</v>
      </c>
      <c r="AE1433">
        <v>-7.9378000000000304</v>
      </c>
      <c r="AF1433">
        <v>6.4895257104730701</v>
      </c>
      <c r="AG1433">
        <v>-1.109717853304</v>
      </c>
      <c r="AH1433">
        <v>19.912100506885398</v>
      </c>
      <c r="AI1433">
        <v>93.033137593200806</v>
      </c>
      <c r="AJ1433">
        <v>71.948763071346406</v>
      </c>
      <c r="AK1433">
        <v>20.972295159498799</v>
      </c>
      <c r="AL1433">
        <v>78.822104575087394</v>
      </c>
      <c r="AM1433">
        <v>88.0548587562064</v>
      </c>
      <c r="AN1433">
        <v>1.00000006904575</v>
      </c>
    </row>
    <row r="1434" spans="1:40" x14ac:dyDescent="0.25">
      <c r="A1434" t="str">
        <f>"20190304155618407"</f>
        <v>20190304155618407</v>
      </c>
      <c r="B1434" t="str">
        <f>"1551686178405524"</f>
        <v>1551686178405524</v>
      </c>
      <c r="C1434" t="s">
        <v>40</v>
      </c>
      <c r="D1434">
        <v>4.8605660000000004</v>
      </c>
      <c r="E1434">
        <v>0.62200809999999995</v>
      </c>
      <c r="F1434" t="s">
        <v>49</v>
      </c>
      <c r="G1434">
        <v>-162.8623</v>
      </c>
      <c r="H1434">
        <v>0.13603170000000001</v>
      </c>
      <c r="I1434">
        <v>342.18990000000002</v>
      </c>
      <c r="J1434">
        <v>-216.01730000000001</v>
      </c>
      <c r="K1434">
        <v>1.109715</v>
      </c>
      <c r="L1434">
        <v>366.08460000000002</v>
      </c>
      <c r="M1434">
        <v>0.99723660000000003</v>
      </c>
      <c r="N1434">
        <v>-1.405605E-2</v>
      </c>
      <c r="O1434">
        <v>-7.2949420000000001E-2</v>
      </c>
      <c r="P1434">
        <v>0.97804360000000001</v>
      </c>
      <c r="Q1434">
        <v>0.180094</v>
      </c>
      <c r="R1434">
        <v>-0.1048666</v>
      </c>
      <c r="S1434">
        <v>2.9367679999999998</v>
      </c>
      <c r="T1434">
        <v>-5.3650980000000001E-2</v>
      </c>
      <c r="U1434">
        <v>-1.3172299999999999</v>
      </c>
      <c r="V1434">
        <v>3.356029E-2</v>
      </c>
      <c r="W1434">
        <v>0.19383810000000001</v>
      </c>
      <c r="X1434">
        <v>0.98045930000000003</v>
      </c>
      <c r="Y1434">
        <v>0.34150150000000001</v>
      </c>
      <c r="Z1434">
        <v>-5.204307E-3</v>
      </c>
      <c r="AA1434">
        <v>0.9398668</v>
      </c>
      <c r="AB1434">
        <v>27</v>
      </c>
      <c r="AC1434">
        <v>53.155000000000001</v>
      </c>
      <c r="AD1434">
        <v>-0.97368330000000003</v>
      </c>
      <c r="AE1434">
        <v>-23.8947</v>
      </c>
      <c r="AF1434">
        <v>19.9474458373106</v>
      </c>
      <c r="AG1434">
        <v>-0.97368330000000003</v>
      </c>
      <c r="AH1434">
        <v>54.741344456781398</v>
      </c>
      <c r="AI1434">
        <v>90.957438828555993</v>
      </c>
      <c r="AJ1434">
        <v>69.978536942758197</v>
      </c>
      <c r="AK1434">
        <v>58.270605347268699</v>
      </c>
      <c r="AL1434">
        <v>78.823143043519707</v>
      </c>
      <c r="AM1434">
        <v>88.039579471271296</v>
      </c>
      <c r="AN1434">
        <v>0.99999997051649103</v>
      </c>
    </row>
    <row r="1435" spans="1:40" x14ac:dyDescent="0.25">
      <c r="A1435" t="str">
        <f>"20190304155618420"</f>
        <v>20190304155618420</v>
      </c>
      <c r="B1435" t="str">
        <f>"1551686178416259"</f>
        <v>1551686178416259</v>
      </c>
      <c r="C1435" t="s">
        <v>40</v>
      </c>
      <c r="D1435">
        <v>4.8665760000000002</v>
      </c>
      <c r="E1435">
        <v>0.62143040000000005</v>
      </c>
      <c r="F1435" t="s">
        <v>45</v>
      </c>
      <c r="G1435">
        <v>-180.89519999999999</v>
      </c>
      <c r="H1435" s="1">
        <v>-2.6785069999999998E-6</v>
      </c>
      <c r="I1435">
        <v>350.3614</v>
      </c>
      <c r="J1435">
        <v>-215.8767</v>
      </c>
      <c r="K1435">
        <v>1.1097140000000001</v>
      </c>
      <c r="L1435">
        <v>366.07380000000001</v>
      </c>
      <c r="M1435">
        <v>0.99720200000000003</v>
      </c>
      <c r="N1435">
        <v>-1.4054580000000001E-2</v>
      </c>
      <c r="O1435">
        <v>-7.3420479999999996E-2</v>
      </c>
      <c r="P1435">
        <v>0.9779409</v>
      </c>
      <c r="Q1435">
        <v>0.18025440000000001</v>
      </c>
      <c r="R1435">
        <v>-0.105547</v>
      </c>
      <c r="S1435">
        <v>2.9432070000000001</v>
      </c>
      <c r="T1435">
        <v>-9.2993619999999999E-2</v>
      </c>
      <c r="U1435">
        <v>-1.317596</v>
      </c>
      <c r="V1435">
        <v>3.3781980000000003E-2</v>
      </c>
      <c r="W1435">
        <v>0.19399620000000001</v>
      </c>
      <c r="X1435">
        <v>0.98042050000000003</v>
      </c>
      <c r="Y1435">
        <v>0.34027190000000002</v>
      </c>
      <c r="Z1435">
        <v>-6.4167180000000001E-3</v>
      </c>
      <c r="AA1435">
        <v>0.94030519999999995</v>
      </c>
      <c r="AB1435">
        <v>27</v>
      </c>
      <c r="AC1435">
        <v>34.981499999999997</v>
      </c>
      <c r="AD1435">
        <v>-1.1097166785069901</v>
      </c>
      <c r="AE1435">
        <v>-15.712400000000001</v>
      </c>
      <c r="AF1435">
        <v>13.090410751738499</v>
      </c>
      <c r="AG1435">
        <v>-1.1097166785069901</v>
      </c>
      <c r="AH1435">
        <v>36.010639405697198</v>
      </c>
      <c r="AI1435">
        <v>91.658944445491201</v>
      </c>
      <c r="AJ1435">
        <v>70.023030787072301</v>
      </c>
      <c r="AK1435">
        <v>38.332185890749003</v>
      </c>
      <c r="AL1435">
        <v>78.813910231510604</v>
      </c>
      <c r="AM1435">
        <v>88.026561646499005</v>
      </c>
      <c r="AN1435">
        <v>1.0000000523037</v>
      </c>
    </row>
    <row r="1436" spans="1:40" x14ac:dyDescent="0.25">
      <c r="A1436" t="str">
        <f>"20190304155618432"</f>
        <v>20190304155618432</v>
      </c>
      <c r="B1436" t="str">
        <f>"1551686178426020"</f>
        <v>1551686178426020</v>
      </c>
      <c r="C1436" t="s">
        <v>40</v>
      </c>
      <c r="D1436">
        <v>4.9290209999999997</v>
      </c>
      <c r="E1436">
        <v>0.6209403</v>
      </c>
      <c r="F1436" t="s">
        <v>45</v>
      </c>
      <c r="G1436">
        <v>-184.6645</v>
      </c>
      <c r="H1436" s="1">
        <v>-2.2731159999999999E-6</v>
      </c>
      <c r="I1436">
        <v>352.12799999999999</v>
      </c>
      <c r="J1436">
        <v>-215.7242</v>
      </c>
      <c r="K1436">
        <v>1.1097140000000001</v>
      </c>
      <c r="L1436">
        <v>366.06209999999999</v>
      </c>
      <c r="M1436">
        <v>0.99716419999999995</v>
      </c>
      <c r="N1436">
        <v>-1.405298E-2</v>
      </c>
      <c r="O1436">
        <v>-7.3932079999999997E-2</v>
      </c>
      <c r="P1436">
        <v>0.97781530000000005</v>
      </c>
      <c r="Q1436">
        <v>0.18042649999999999</v>
      </c>
      <c r="R1436">
        <v>-0.10641150000000001</v>
      </c>
      <c r="S1436">
        <v>2.9449459999999998</v>
      </c>
      <c r="T1436">
        <v>-0.1047044</v>
      </c>
      <c r="U1436">
        <v>-1.3158259999999999</v>
      </c>
      <c r="V1436">
        <v>3.4149110000000003E-2</v>
      </c>
      <c r="W1436">
        <v>0.19416559999999999</v>
      </c>
      <c r="X1436">
        <v>0.98037419999999997</v>
      </c>
      <c r="Y1436">
        <v>0.33907029999999999</v>
      </c>
      <c r="Z1436">
        <v>-6.7436029999999999E-3</v>
      </c>
      <c r="AA1436">
        <v>0.94073680000000004</v>
      </c>
      <c r="AB1436">
        <v>27</v>
      </c>
      <c r="AC1436">
        <v>31.0596999999999</v>
      </c>
      <c r="AD1436">
        <v>-1.109716273116</v>
      </c>
      <c r="AE1436">
        <v>-13.9340999999999</v>
      </c>
      <c r="AF1436">
        <v>11.5871104916716</v>
      </c>
      <c r="AG1436">
        <v>-1.109716273116</v>
      </c>
      <c r="AH1436">
        <v>31.970986179048701</v>
      </c>
      <c r="AI1436">
        <v>91.869069710895303</v>
      </c>
      <c r="AJ1436">
        <v>70.078176614460006</v>
      </c>
      <c r="AK1436">
        <v>34.024058502976203</v>
      </c>
      <c r="AL1436">
        <v>78.804015683139298</v>
      </c>
      <c r="AM1436">
        <v>88.005038151712299</v>
      </c>
      <c r="AN1436">
        <v>1.0000000069813899</v>
      </c>
    </row>
    <row r="1437" spans="1:40" x14ac:dyDescent="0.25">
      <c r="A1437" t="str">
        <f>"20190304155618443"</f>
        <v>20190304155618443</v>
      </c>
      <c r="B1437" t="str">
        <f>"1551686178435780"</f>
        <v>1551686178435780</v>
      </c>
      <c r="C1437" t="s">
        <v>40</v>
      </c>
      <c r="D1437">
        <v>4.8761099999999997</v>
      </c>
      <c r="E1437">
        <v>0.62106619999999901</v>
      </c>
      <c r="F1437" t="s">
        <v>45</v>
      </c>
      <c r="G1437">
        <v>-187.37090000000001</v>
      </c>
      <c r="H1437" s="1">
        <v>-2.6173669999999999E-6</v>
      </c>
      <c r="I1437">
        <v>353.40609999999998</v>
      </c>
      <c r="J1437">
        <v>-215.58009999999999</v>
      </c>
      <c r="K1437">
        <v>1.1097109999999999</v>
      </c>
      <c r="L1437">
        <v>366.05090000000001</v>
      </c>
      <c r="M1437">
        <v>0.99712829999999997</v>
      </c>
      <c r="N1437">
        <v>-1.405148E-2</v>
      </c>
      <c r="O1437">
        <v>-7.441652E-2</v>
      </c>
      <c r="P1437">
        <v>0.97779740000000004</v>
      </c>
      <c r="Q1437">
        <v>0.18026449999999999</v>
      </c>
      <c r="R1437">
        <v>-0.1068506</v>
      </c>
      <c r="S1437">
        <v>2.9462130000000002</v>
      </c>
      <c r="T1437">
        <v>-0.11531139999999999</v>
      </c>
      <c r="U1437">
        <v>-1.315094</v>
      </c>
      <c r="V1437">
        <v>3.4110630000000003E-2</v>
      </c>
      <c r="W1437">
        <v>0.1940028</v>
      </c>
      <c r="X1437">
        <v>0.98040780000000005</v>
      </c>
      <c r="Y1437">
        <v>0.33822790000000003</v>
      </c>
      <c r="Z1437">
        <v>-7.0382680000000003E-3</v>
      </c>
      <c r="AA1437">
        <v>0.94103789999999998</v>
      </c>
      <c r="AB1437">
        <v>27</v>
      </c>
      <c r="AC1437">
        <v>28.2091999999999</v>
      </c>
      <c r="AD1437">
        <v>-1.1097136173669999</v>
      </c>
      <c r="AE1437">
        <v>-12.6448</v>
      </c>
      <c r="AF1437">
        <v>10.496768219705199</v>
      </c>
      <c r="AG1437">
        <v>-1.1097136173669999</v>
      </c>
      <c r="AH1437">
        <v>29.0346278171153</v>
      </c>
      <c r="AI1437">
        <v>92.058526615603995</v>
      </c>
      <c r="AJ1437">
        <v>70.123767355710498</v>
      </c>
      <c r="AK1437">
        <v>30.8937407875639</v>
      </c>
      <c r="AL1437">
        <v>78.813524592703303</v>
      </c>
      <c r="AM1437">
        <v>88.007352545303405</v>
      </c>
      <c r="AN1437">
        <v>1.0000000378938301</v>
      </c>
    </row>
    <row r="1438" spans="1:40" x14ac:dyDescent="0.25">
      <c r="A1438" t="str">
        <f>"20190304155618456"</f>
        <v>20190304155618456</v>
      </c>
      <c r="B1438" t="str">
        <f>"1551686178445541"</f>
        <v>1551686178445541</v>
      </c>
      <c r="C1438" t="s">
        <v>40</v>
      </c>
      <c r="D1438">
        <v>4.8644800000000004</v>
      </c>
      <c r="E1438">
        <v>0.62134350000000005</v>
      </c>
      <c r="F1438" t="s">
        <v>45</v>
      </c>
      <c r="G1438">
        <v>-188.93129999999999</v>
      </c>
      <c r="H1438" s="1">
        <v>-2.8318999999999999E-6</v>
      </c>
      <c r="I1438">
        <v>354.13560000000001</v>
      </c>
      <c r="J1438">
        <v>-215.43020000000001</v>
      </c>
      <c r="K1438">
        <v>1.1097090000000001</v>
      </c>
      <c r="L1438">
        <v>366.03919999999999</v>
      </c>
      <c r="M1438">
        <v>0.99709040000000004</v>
      </c>
      <c r="N1438">
        <v>-1.404993E-2</v>
      </c>
      <c r="O1438">
        <v>-7.4922299999999997E-2</v>
      </c>
      <c r="P1438">
        <v>0.97769980000000001</v>
      </c>
      <c r="Q1438">
        <v>0.18035950000000001</v>
      </c>
      <c r="R1438">
        <v>-0.1075816</v>
      </c>
      <c r="S1438">
        <v>2.9467620000000001</v>
      </c>
      <c r="T1438">
        <v>-0.1227096</v>
      </c>
      <c r="U1438">
        <v>-1.317566</v>
      </c>
      <c r="V1438">
        <v>3.4348650000000001E-2</v>
      </c>
      <c r="W1438">
        <v>0.19409499999999999</v>
      </c>
      <c r="X1438">
        <v>0.98038119999999995</v>
      </c>
      <c r="Y1438">
        <v>0.33831359999999999</v>
      </c>
      <c r="Z1438">
        <v>-7.2537979999999997E-3</v>
      </c>
      <c r="AA1438">
        <v>0.94100550000000005</v>
      </c>
      <c r="AB1438">
        <v>27</v>
      </c>
      <c r="AC1438">
        <v>26.498899999999999</v>
      </c>
      <c r="AD1438">
        <v>-1.1097118318999999</v>
      </c>
      <c r="AE1438">
        <v>-11.9035999999999</v>
      </c>
      <c r="AF1438">
        <v>9.8701790578518995</v>
      </c>
      <c r="AG1438">
        <v>-1.1097118318999999</v>
      </c>
      <c r="AH1438">
        <v>27.276536060665499</v>
      </c>
      <c r="AI1438">
        <v>92.190847542233399</v>
      </c>
      <c r="AJ1438">
        <v>70.107037474546203</v>
      </c>
      <c r="AK1438">
        <v>29.028629221041498</v>
      </c>
      <c r="AL1438">
        <v>78.8081391109056</v>
      </c>
      <c r="AM1438">
        <v>87.993405012730705</v>
      </c>
      <c r="AN1438">
        <v>0.99999999804763096</v>
      </c>
    </row>
    <row r="1439" spans="1:40" x14ac:dyDescent="0.25">
      <c r="A1439" t="str">
        <f>"20190304155618467"</f>
        <v>20190304155618467</v>
      </c>
      <c r="B1439" t="str">
        <f>"1551686178466036"</f>
        <v>1551686178466036</v>
      </c>
      <c r="C1439" t="s">
        <v>40</v>
      </c>
      <c r="D1439">
        <v>4.8826320000000001</v>
      </c>
      <c r="E1439">
        <v>0.622166199999999</v>
      </c>
      <c r="F1439" t="s">
        <v>45</v>
      </c>
      <c r="G1439">
        <v>-189.75210000000001</v>
      </c>
      <c r="H1439" s="1">
        <v>-2.943389E-6</v>
      </c>
      <c r="I1439">
        <v>354.517</v>
      </c>
      <c r="J1439">
        <v>-215.2809</v>
      </c>
      <c r="K1439">
        <v>1.109707</v>
      </c>
      <c r="L1439">
        <v>366.0274</v>
      </c>
      <c r="M1439">
        <v>0.99705239999999995</v>
      </c>
      <c r="N1439">
        <v>-1.4048400000000001E-2</v>
      </c>
      <c r="O1439">
        <v>-7.542749E-2</v>
      </c>
      <c r="P1439">
        <v>0.97757590000000005</v>
      </c>
      <c r="Q1439">
        <v>0.18064920000000001</v>
      </c>
      <c r="R1439">
        <v>-0.1082202</v>
      </c>
      <c r="S1439">
        <v>2.9464419999999998</v>
      </c>
      <c r="T1439">
        <v>-0.12733439999999999</v>
      </c>
      <c r="U1439">
        <v>-1.3221130000000001</v>
      </c>
      <c r="V1439">
        <v>3.449783E-2</v>
      </c>
      <c r="W1439">
        <v>0.1943821</v>
      </c>
      <c r="X1439">
        <v>0.9803191</v>
      </c>
      <c r="Y1439">
        <v>0.33906449999999999</v>
      </c>
      <c r="Z1439">
        <v>-7.4018769999999899E-3</v>
      </c>
      <c r="AA1439">
        <v>0.94073399999999996</v>
      </c>
      <c r="AB1439">
        <v>27</v>
      </c>
      <c r="AC1439">
        <v>25.528799999999901</v>
      </c>
      <c r="AD1439">
        <v>-1.1097099433890001</v>
      </c>
      <c r="AE1439">
        <v>-11.510400000000001</v>
      </c>
      <c r="AF1439">
        <v>9.5368646270216697</v>
      </c>
      <c r="AG1439">
        <v>-1.1097099433890001</v>
      </c>
      <c r="AH1439">
        <v>26.283074926149801</v>
      </c>
      <c r="AI1439">
        <v>92.272844769511096</v>
      </c>
      <c r="AJ1439">
        <v>70.056598875926099</v>
      </c>
      <c r="AK1439">
        <v>27.9818382285045</v>
      </c>
      <c r="AL1439">
        <v>78.791370358655996</v>
      </c>
      <c r="AM1439">
        <v>87.984569761060499</v>
      </c>
      <c r="AN1439">
        <v>1.0000000194499601</v>
      </c>
    </row>
    <row r="1440" spans="1:40" x14ac:dyDescent="0.25">
      <c r="A1440" t="str">
        <f>"20190304155618480"</f>
        <v>20190304155618480</v>
      </c>
      <c r="B1440" t="str">
        <f>"1551686178475796"</f>
        <v>1551686178475796</v>
      </c>
      <c r="C1440" t="s">
        <v>40</v>
      </c>
      <c r="D1440">
        <v>4.8444379999999896</v>
      </c>
      <c r="E1440">
        <v>0.62245450000000002</v>
      </c>
      <c r="F1440" t="s">
        <v>45</v>
      </c>
      <c r="G1440">
        <v>-190.12610000000001</v>
      </c>
      <c r="H1440" s="1">
        <v>-3.0144389999999999E-6</v>
      </c>
      <c r="I1440">
        <v>354.66109999999998</v>
      </c>
      <c r="J1440">
        <v>-215.14099999999999</v>
      </c>
      <c r="K1440">
        <v>1.1096999999999999</v>
      </c>
      <c r="L1440">
        <v>366.0163</v>
      </c>
      <c r="M1440">
        <v>0.99701609999999996</v>
      </c>
      <c r="N1440">
        <v>-1.4046960000000001E-2</v>
      </c>
      <c r="O1440">
        <v>-7.5904700000000005E-2</v>
      </c>
      <c r="P1440">
        <v>0.97751980000000005</v>
      </c>
      <c r="Q1440">
        <v>0.18060309999999999</v>
      </c>
      <c r="R1440">
        <v>-0.1088007</v>
      </c>
      <c r="S1440">
        <v>2.9454959999999999</v>
      </c>
      <c r="T1440">
        <v>-0.12994149999999999</v>
      </c>
      <c r="U1440">
        <v>-1.3309329999999999</v>
      </c>
      <c r="V1440">
        <v>3.4611349999999999E-2</v>
      </c>
      <c r="W1440">
        <v>0.19433439999999999</v>
      </c>
      <c r="X1440">
        <v>0.98032450000000004</v>
      </c>
      <c r="Y1440">
        <v>0.3410552</v>
      </c>
      <c r="Z1440">
        <v>-7.5240169999999896E-3</v>
      </c>
      <c r="AA1440">
        <v>0.94001319999999999</v>
      </c>
      <c r="AB1440">
        <v>27</v>
      </c>
      <c r="AC1440">
        <v>25.014899999999901</v>
      </c>
      <c r="AD1440">
        <v>-1.1097030144390001</v>
      </c>
      <c r="AE1440">
        <v>-11.3552</v>
      </c>
      <c r="AF1440">
        <v>9.4081472331310305</v>
      </c>
      <c r="AG1440">
        <v>-1.1097030144390001</v>
      </c>
      <c r="AH1440">
        <v>25.7626801432707</v>
      </c>
      <c r="AI1440">
        <v>92.316954814403502</v>
      </c>
      <c r="AJ1440">
        <v>69.938559162552295</v>
      </c>
      <c r="AK1440">
        <v>27.449232472056501</v>
      </c>
      <c r="AL1440">
        <v>78.794155878451704</v>
      </c>
      <c r="AM1440">
        <v>87.977954327567403</v>
      </c>
      <c r="AN1440">
        <v>0.99999996493621501</v>
      </c>
    </row>
    <row r="1441" spans="1:40" x14ac:dyDescent="0.25">
      <c r="A1441" t="str">
        <f>"20190304155618495"</f>
        <v>20190304155618495</v>
      </c>
      <c r="B1441" t="str">
        <f>"1551686178485556"</f>
        <v>1551686178485556</v>
      </c>
      <c r="C1441" t="s">
        <v>40</v>
      </c>
      <c r="D1441">
        <v>4.3655080000000002</v>
      </c>
      <c r="E1441">
        <v>0.62494479999999997</v>
      </c>
      <c r="F1441" t="s">
        <v>45</v>
      </c>
      <c r="G1441">
        <v>-190.54679999999999</v>
      </c>
      <c r="H1441" s="1">
        <v>-3.2038309999999999E-6</v>
      </c>
      <c r="I1441">
        <v>354.86739999999998</v>
      </c>
      <c r="J1441">
        <v>-214.96860000000001</v>
      </c>
      <c r="K1441">
        <v>1.1096980000000001</v>
      </c>
      <c r="L1441">
        <v>366.0025</v>
      </c>
      <c r="M1441">
        <v>0.9969711</v>
      </c>
      <c r="N1441">
        <v>-1.4045210000000001E-2</v>
      </c>
      <c r="O1441">
        <v>-7.6496480000000006E-2</v>
      </c>
      <c r="P1441">
        <v>0.97747130000000004</v>
      </c>
      <c r="Q1441">
        <v>0.18045149999999999</v>
      </c>
      <c r="R1441">
        <v>-0.10948670000000001</v>
      </c>
      <c r="S1441">
        <v>2.9449619999999999</v>
      </c>
      <c r="T1441">
        <v>-0.13287850000000001</v>
      </c>
      <c r="U1441">
        <v>-1.334991</v>
      </c>
      <c r="V1441">
        <v>3.4717060000000001E-2</v>
      </c>
      <c r="W1441">
        <v>0.19418099999999999</v>
      </c>
      <c r="X1441">
        <v>0.98035119999999998</v>
      </c>
      <c r="Y1441">
        <v>0.34162340000000002</v>
      </c>
      <c r="Z1441">
        <v>-7.6130210000000002E-3</v>
      </c>
      <c r="AA1441">
        <v>0.93980609999999998</v>
      </c>
      <c r="AB1441">
        <v>27</v>
      </c>
      <c r="AC1441">
        <v>24.421800000000001</v>
      </c>
      <c r="AD1441">
        <v>-1.1097012038309999</v>
      </c>
      <c r="AE1441">
        <v>-11.1351</v>
      </c>
      <c r="AF1441">
        <v>9.2183430476875099</v>
      </c>
      <c r="AG1441">
        <v>-1.1097012038309999</v>
      </c>
      <c r="AH1441">
        <v>25.159100652995999</v>
      </c>
      <c r="AI1441">
        <v>92.371542959130693</v>
      </c>
      <c r="AJ1441">
        <v>69.877068372899203</v>
      </c>
      <c r="AK1441">
        <v>26.817711143462901</v>
      </c>
      <c r="AL1441">
        <v>78.803116188215995</v>
      </c>
      <c r="AM1441">
        <v>87.971838937467396</v>
      </c>
      <c r="AN1441">
        <v>1.0000000051787401</v>
      </c>
    </row>
    <row r="1442" spans="1:40" x14ac:dyDescent="0.25">
      <c r="A1442" t="str">
        <f>"20190304155618508"</f>
        <v>20190304155618508</v>
      </c>
      <c r="B1442" t="str">
        <f>"1551686178506052"</f>
        <v>1551686178506052</v>
      </c>
      <c r="C1442" t="s">
        <v>40</v>
      </c>
      <c r="D1442">
        <v>4.8364029999999998</v>
      </c>
      <c r="E1442">
        <v>0.62706589999999995</v>
      </c>
      <c r="F1442" t="s">
        <v>45</v>
      </c>
      <c r="G1442">
        <v>-183.65899999999999</v>
      </c>
      <c r="H1442" s="1">
        <v>-2.3465150000000001E-6</v>
      </c>
      <c r="I1442">
        <v>351.55399999999997</v>
      </c>
      <c r="J1442">
        <v>-214.79900000000001</v>
      </c>
      <c r="K1442">
        <v>1.1096969999999999</v>
      </c>
      <c r="L1442">
        <v>365.9889</v>
      </c>
      <c r="M1442">
        <v>0.99692579999999997</v>
      </c>
      <c r="N1442">
        <v>-1.404352E-2</v>
      </c>
      <c r="O1442">
        <v>-7.708508E-2</v>
      </c>
      <c r="P1442">
        <v>0.97745439999999995</v>
      </c>
      <c r="Q1442">
        <v>0.180115</v>
      </c>
      <c r="R1442">
        <v>-0.1101901</v>
      </c>
      <c r="S1442">
        <v>2.9365999999999999</v>
      </c>
      <c r="T1442">
        <v>-0.1040813</v>
      </c>
      <c r="U1442">
        <v>-1.355164</v>
      </c>
      <c r="V1442">
        <v>3.4841169999999998E-2</v>
      </c>
      <c r="W1442">
        <v>0.19384280000000001</v>
      </c>
      <c r="X1442">
        <v>0.98041369999999906</v>
      </c>
      <c r="Y1442">
        <v>0.34751589999999999</v>
      </c>
      <c r="Z1442">
        <v>-6.8678300000000001E-3</v>
      </c>
      <c r="AA1442">
        <v>0.93764899999999995</v>
      </c>
      <c r="AB1442">
        <v>27</v>
      </c>
      <c r="AC1442">
        <v>31.139999999999901</v>
      </c>
      <c r="AD1442">
        <v>-1.109699346515</v>
      </c>
      <c r="AE1442">
        <v>-14.434899999999899</v>
      </c>
      <c r="AF1442">
        <v>11.978753682587101</v>
      </c>
      <c r="AG1442">
        <v>-1.109699346515</v>
      </c>
      <c r="AH1442">
        <v>32.126568276398601</v>
      </c>
      <c r="AI1442">
        <v>91.853725071099205</v>
      </c>
      <c r="AJ1442">
        <v>69.5514617610785</v>
      </c>
      <c r="AK1442">
        <v>34.305077782244602</v>
      </c>
      <c r="AL1442">
        <v>78.822868662202794</v>
      </c>
      <c r="AM1442">
        <v>87.964724198280805</v>
      </c>
      <c r="AN1442">
        <v>0.99999998069324902</v>
      </c>
    </row>
    <row r="1443" spans="1:40" x14ac:dyDescent="0.25">
      <c r="A1443" t="str">
        <f>"20190304155618711"</f>
        <v>20190304155618711</v>
      </c>
      <c r="B1443" t="str">
        <f>"1551686178706133"</f>
        <v>1551686178706133</v>
      </c>
      <c r="C1443" t="s">
        <v>40</v>
      </c>
      <c r="D1443">
        <v>4.8526610000000003</v>
      </c>
      <c r="E1443">
        <v>0.62797780000000003</v>
      </c>
      <c r="F1443" t="s">
        <v>45</v>
      </c>
      <c r="G1443">
        <v>-179.97399999999999</v>
      </c>
      <c r="H1443">
        <v>7.5968160000000007E-2</v>
      </c>
      <c r="I1443">
        <v>349.67329999999998</v>
      </c>
      <c r="J1443">
        <v>-212.37209999999999</v>
      </c>
      <c r="K1443">
        <v>1.109332</v>
      </c>
      <c r="L1443">
        <v>365.77929999999998</v>
      </c>
      <c r="M1443">
        <v>0.99606640000000002</v>
      </c>
      <c r="N1443">
        <v>-1.402465E-2</v>
      </c>
      <c r="O1443">
        <v>-8.7493199999999993E-2</v>
      </c>
      <c r="P1443">
        <v>0.97550829999999999</v>
      </c>
      <c r="Q1443">
        <v>0.1759867</v>
      </c>
      <c r="R1443">
        <v>-0.131955399999999</v>
      </c>
      <c r="S1443">
        <v>2.930466</v>
      </c>
      <c r="T1443">
        <v>-8.6986540000000001E-2</v>
      </c>
      <c r="U1443">
        <v>-1.372925</v>
      </c>
      <c r="V1443">
        <v>4.6578479999999998E-2</v>
      </c>
      <c r="W1443">
        <v>0.1896407</v>
      </c>
      <c r="X1443">
        <v>0.98074810000000001</v>
      </c>
      <c r="Y1443">
        <v>0.34320070000000003</v>
      </c>
      <c r="Z1443">
        <v>-6.0870489999999998E-3</v>
      </c>
      <c r="AA1443">
        <v>0.93924240000000003</v>
      </c>
      <c r="AB1443">
        <v>27</v>
      </c>
      <c r="AC1443">
        <v>32.3980999999999</v>
      </c>
      <c r="AD1443">
        <v>-1.03336384</v>
      </c>
      <c r="AE1443">
        <v>-16.105999999999899</v>
      </c>
      <c r="AF1443">
        <v>13.198564335787401</v>
      </c>
      <c r="AG1443">
        <v>-1.03336384</v>
      </c>
      <c r="AH1443">
        <v>33.655682251965899</v>
      </c>
      <c r="AI1443">
        <v>91.637326537682995</v>
      </c>
      <c r="AJ1443">
        <v>68.586650481669096</v>
      </c>
      <c r="AK1443">
        <v>36.165935480739797</v>
      </c>
      <c r="AL1443">
        <v>79.068183309941404</v>
      </c>
      <c r="AM1443">
        <v>87.280905752981297</v>
      </c>
      <c r="AN1443">
        <v>0.99999999277460505</v>
      </c>
    </row>
    <row r="1444" spans="1:40" x14ac:dyDescent="0.25">
      <c r="A1444" t="str">
        <f>"20190304155618731"</f>
        <v>20190304155618731</v>
      </c>
      <c r="B1444" t="str">
        <f>"1551686178725652"</f>
        <v>1551686178725652</v>
      </c>
      <c r="C1444" t="s">
        <v>40</v>
      </c>
      <c r="D1444">
        <v>4.7836239999999997</v>
      </c>
      <c r="E1444">
        <v>0.62907800000000003</v>
      </c>
      <c r="F1444" t="s">
        <v>45</v>
      </c>
      <c r="G1444">
        <v>-180</v>
      </c>
      <c r="H1444">
        <v>1.8934469999999998E-2</v>
      </c>
      <c r="I1444">
        <v>349.63099999999997</v>
      </c>
      <c r="J1444">
        <v>-212.11770000000001</v>
      </c>
      <c r="K1444">
        <v>1.1092660000000001</v>
      </c>
      <c r="L1444">
        <v>365.75529999999998</v>
      </c>
      <c r="M1444">
        <v>0.9959363</v>
      </c>
      <c r="N1444">
        <v>-1.402369E-2</v>
      </c>
      <c r="O1444">
        <v>-8.8963600000000004E-2</v>
      </c>
      <c r="P1444">
        <v>0.97513939999999999</v>
      </c>
      <c r="Q1444">
        <v>0.17551269999999999</v>
      </c>
      <c r="R1444">
        <v>-0.13527410000000001</v>
      </c>
      <c r="S1444">
        <v>2.897446</v>
      </c>
      <c r="T1444">
        <v>-9.7595329999999994E-2</v>
      </c>
      <c r="U1444">
        <v>-1.445343</v>
      </c>
      <c r="V1444">
        <v>4.8493580000000001E-2</v>
      </c>
      <c r="W1444">
        <v>0.1891533</v>
      </c>
      <c r="X1444">
        <v>0.98074939999999999</v>
      </c>
      <c r="Y1444">
        <v>0.36475770000000002</v>
      </c>
      <c r="Z1444">
        <v>-6.8756640000000001E-3</v>
      </c>
      <c r="AA1444">
        <v>0.93107709999999999</v>
      </c>
      <c r="AB1444">
        <v>27</v>
      </c>
      <c r="AC1444">
        <v>32.117699999999999</v>
      </c>
      <c r="AD1444">
        <v>-1.09033153</v>
      </c>
      <c r="AE1444">
        <v>-16.124300000000002</v>
      </c>
      <c r="AF1444">
        <v>13.1906242387145</v>
      </c>
      <c r="AG1444">
        <v>-1.09033153</v>
      </c>
      <c r="AH1444">
        <v>33.394202626854202</v>
      </c>
      <c r="AI1444">
        <v>91.739375906341195</v>
      </c>
      <c r="AJ1444">
        <v>68.446107419974993</v>
      </c>
      <c r="AK1444">
        <v>35.921499965002397</v>
      </c>
      <c r="AL1444">
        <v>79.096624023970904</v>
      </c>
      <c r="AM1444">
        <v>87.169290685127194</v>
      </c>
      <c r="AN1444">
        <v>0.99999999190123301</v>
      </c>
    </row>
    <row r="1445" spans="1:40" x14ac:dyDescent="0.25">
      <c r="A1445" t="str">
        <f>"20190304155618743"</f>
        <v>20190304155618743</v>
      </c>
      <c r="B1445" t="str">
        <f>"1551686178736389"</f>
        <v>1551686178736389</v>
      </c>
      <c r="C1445" t="s">
        <v>40</v>
      </c>
      <c r="D1445">
        <v>4.8466180000000003</v>
      </c>
      <c r="E1445">
        <v>0.62960530000000003</v>
      </c>
      <c r="F1445" t="s">
        <v>41</v>
      </c>
      <c r="G1445">
        <v>-179.95779999999999</v>
      </c>
      <c r="H1445">
        <v>2.174947E-2</v>
      </c>
      <c r="I1445">
        <v>349.4717</v>
      </c>
      <c r="J1445">
        <v>-211.97790000000001</v>
      </c>
      <c r="K1445">
        <v>1.1092310000000001</v>
      </c>
      <c r="L1445">
        <v>365.74189999999999</v>
      </c>
      <c r="M1445">
        <v>0.99586019999999997</v>
      </c>
      <c r="N1445">
        <v>-1.4023239999999999E-2</v>
      </c>
      <c r="O1445">
        <v>-8.9812210000000003E-2</v>
      </c>
      <c r="P1445">
        <v>0.97493359999999996</v>
      </c>
      <c r="Q1445">
        <v>0.17532490000000001</v>
      </c>
      <c r="R1445">
        <v>-0.13698859999999999</v>
      </c>
      <c r="S1445">
        <v>2.891006</v>
      </c>
      <c r="T1445">
        <v>-9.7761870000000001E-2</v>
      </c>
      <c r="U1445">
        <v>-1.4638059999999999</v>
      </c>
      <c r="V1445">
        <v>4.9397610000000002E-2</v>
      </c>
      <c r="W1445">
        <v>0.1889585</v>
      </c>
      <c r="X1445">
        <v>0.98074190000000006</v>
      </c>
      <c r="Y1445">
        <v>0.36952869999999999</v>
      </c>
      <c r="Z1445">
        <v>-6.9809299999999998E-3</v>
      </c>
      <c r="AA1445">
        <v>0.92919309999999999</v>
      </c>
      <c r="AB1445">
        <v>27</v>
      </c>
      <c r="AC1445">
        <v>32.020099999999999</v>
      </c>
      <c r="AD1445">
        <v>-1.08748152999999</v>
      </c>
      <c r="AE1445">
        <v>-16.2701999999999</v>
      </c>
      <c r="AF1445">
        <v>13.3161488405343</v>
      </c>
      <c r="AG1445">
        <v>-1.08748152999999</v>
      </c>
      <c r="AH1445">
        <v>33.321530704294702</v>
      </c>
      <c r="AI1445">
        <v>91.735855920948495</v>
      </c>
      <c r="AJ1445">
        <v>68.217067607769494</v>
      </c>
      <c r="AK1445">
        <v>35.900234602278204</v>
      </c>
      <c r="AL1445">
        <v>79.107990928405002</v>
      </c>
      <c r="AM1445">
        <v>87.116586088440101</v>
      </c>
      <c r="AN1445">
        <v>1.0000000565057801</v>
      </c>
    </row>
    <row r="1446" spans="1:40" x14ac:dyDescent="0.25">
      <c r="A1446" t="str">
        <f>"20190304155618778"</f>
        <v>20190304155618778</v>
      </c>
      <c r="B1446" t="str">
        <f>"1551686178776405"</f>
        <v>1551686178776405</v>
      </c>
      <c r="C1446" t="s">
        <v>40</v>
      </c>
      <c r="D1446">
        <v>4.8899319999999999</v>
      </c>
      <c r="E1446">
        <v>0.63019789999999998</v>
      </c>
      <c r="F1446" t="s">
        <v>41</v>
      </c>
      <c r="G1446">
        <v>-179.95779999999999</v>
      </c>
      <c r="H1446">
        <v>3.0433200000000001E-2</v>
      </c>
      <c r="I1446">
        <v>349.41149999999999</v>
      </c>
      <c r="J1446">
        <v>-211.55609999999999</v>
      </c>
      <c r="K1446">
        <v>1.1091299999999999</v>
      </c>
      <c r="L1446">
        <v>365.70069999999998</v>
      </c>
      <c r="M1446">
        <v>0.99561149999999998</v>
      </c>
      <c r="N1446">
        <v>-1.402202E-2</v>
      </c>
      <c r="O1446">
        <v>-9.252647E-2</v>
      </c>
      <c r="P1446">
        <v>0.97446969999999999</v>
      </c>
      <c r="Q1446">
        <v>0.1737872</v>
      </c>
      <c r="R1446">
        <v>-0.14215079999999999</v>
      </c>
      <c r="S1446">
        <v>2.8877109999999999</v>
      </c>
      <c r="T1446">
        <v>-9.7290399999999999E-2</v>
      </c>
      <c r="U1446">
        <v>-1.4727479999999999</v>
      </c>
      <c r="V1446">
        <v>5.1945239999999997E-2</v>
      </c>
      <c r="W1446">
        <v>0.18740090000000001</v>
      </c>
      <c r="X1446">
        <v>0.98090900000000003</v>
      </c>
      <c r="Y1446">
        <v>0.36971159999999997</v>
      </c>
      <c r="Z1446">
        <v>-6.9238499999999996E-3</v>
      </c>
      <c r="AA1446">
        <v>0.92912079999999997</v>
      </c>
      <c r="AB1446">
        <v>27</v>
      </c>
      <c r="AC1446">
        <v>31.598299999999899</v>
      </c>
      <c r="AD1446">
        <v>-1.0786967999999999</v>
      </c>
      <c r="AE1446">
        <v>-16.289199999999902</v>
      </c>
      <c r="AF1446">
        <v>13.2831127242123</v>
      </c>
      <c r="AG1446">
        <v>-1.0786967999999999</v>
      </c>
      <c r="AH1446">
        <v>32.939726051624802</v>
      </c>
      <c r="AI1446">
        <v>91.739605049656902</v>
      </c>
      <c r="AJ1446">
        <v>68.037992024388998</v>
      </c>
      <c r="AK1446">
        <v>35.533508450286099</v>
      </c>
      <c r="AL1446">
        <v>79.198856899283101</v>
      </c>
      <c r="AM1446">
        <v>86.968663213967304</v>
      </c>
      <c r="AN1446">
        <v>0.99999993578023105</v>
      </c>
    </row>
    <row r="1447" spans="1:40" x14ac:dyDescent="0.25">
      <c r="A1447" t="str">
        <f>"20190304155618801"</f>
        <v>20190304155618801</v>
      </c>
      <c r="B1447" t="str">
        <f>"1551686178795924"</f>
        <v>1551686178795924</v>
      </c>
      <c r="C1447" t="s">
        <v>40</v>
      </c>
      <c r="D1447">
        <v>4.84741</v>
      </c>
      <c r="E1447">
        <v>0.630723699999999</v>
      </c>
      <c r="F1447" t="s">
        <v>41</v>
      </c>
      <c r="G1447">
        <v>-179.95779999999999</v>
      </c>
      <c r="H1447">
        <v>5.322301E-4</v>
      </c>
      <c r="I1447">
        <v>349.32299999999998</v>
      </c>
      <c r="J1447">
        <v>-211.28630000000001</v>
      </c>
      <c r="K1447">
        <v>1.1090469999999999</v>
      </c>
      <c r="L1447">
        <v>365.67360000000002</v>
      </c>
      <c r="M1447">
        <v>0.99543329999999997</v>
      </c>
      <c r="N1447">
        <v>-1.402174E-2</v>
      </c>
      <c r="O1447">
        <v>-9.442441E-2</v>
      </c>
      <c r="P1447">
        <v>0.97404250000000003</v>
      </c>
      <c r="Q1447">
        <v>0.1733239</v>
      </c>
      <c r="R1447">
        <v>-0.14560339999999999</v>
      </c>
      <c r="S1447">
        <v>2.878952</v>
      </c>
      <c r="T1447">
        <v>-0.1010054</v>
      </c>
      <c r="U1447">
        <v>-1.4921879999999901</v>
      </c>
      <c r="V1447">
        <v>5.358429E-2</v>
      </c>
      <c r="W1447">
        <v>0.18692130000000001</v>
      </c>
      <c r="X1447">
        <v>0.98091240000000002</v>
      </c>
      <c r="Y1447">
        <v>0.3740212</v>
      </c>
      <c r="Z1447">
        <v>-7.109598E-3</v>
      </c>
      <c r="AA1447">
        <v>0.92739289999999996</v>
      </c>
      <c r="AB1447">
        <v>27</v>
      </c>
      <c r="AC1447">
        <v>31.328499999999998</v>
      </c>
      <c r="AD1447">
        <v>-1.1085147699</v>
      </c>
      <c r="AE1447">
        <v>-16.350599999999901</v>
      </c>
      <c r="AF1447">
        <v>13.305973007773799</v>
      </c>
      <c r="AG1447">
        <v>-1.1085147699</v>
      </c>
      <c r="AH1447">
        <v>32.700368920305102</v>
      </c>
      <c r="AI1447">
        <v>91.798453320830902</v>
      </c>
      <c r="AJ1447">
        <v>67.858302404518994</v>
      </c>
      <c r="AK1447">
        <v>35.3212662598999</v>
      </c>
      <c r="AL1447">
        <v>79.226830886511607</v>
      </c>
      <c r="AM1447">
        <v>86.873211887629594</v>
      </c>
      <c r="AN1447">
        <v>0.99999999250112703</v>
      </c>
    </row>
    <row r="1448" spans="1:40" x14ac:dyDescent="0.25">
      <c r="A1448" t="str">
        <f>"20190304155618929"</f>
        <v>20190304155618929</v>
      </c>
      <c r="B1448" t="str">
        <f>"1551686178925732"</f>
        <v>1551686178925732</v>
      </c>
      <c r="C1448" t="s">
        <v>40</v>
      </c>
      <c r="D1448">
        <v>4.8486779999999996</v>
      </c>
      <c r="E1448">
        <v>0.63086699999999996</v>
      </c>
      <c r="F1448" t="s">
        <v>41</v>
      </c>
      <c r="G1448">
        <v>-179.95779999999999</v>
      </c>
      <c r="H1448">
        <v>8.3472080000000001E-3</v>
      </c>
      <c r="I1448">
        <v>349.24059999999997</v>
      </c>
      <c r="J1448">
        <v>-209.76400000000001</v>
      </c>
      <c r="K1448">
        <v>1.10842</v>
      </c>
      <c r="L1448">
        <v>365.50619999999998</v>
      </c>
      <c r="M1448">
        <v>0.99405129999999997</v>
      </c>
      <c r="N1448">
        <v>-1.403037E-2</v>
      </c>
      <c r="O1448">
        <v>-0.1080053</v>
      </c>
      <c r="P1448">
        <v>0.97124920000000003</v>
      </c>
      <c r="Q1448">
        <v>0.16913789999999901</v>
      </c>
      <c r="R1448">
        <v>-0.1675335</v>
      </c>
      <c r="S1448">
        <v>2.8726500000000001</v>
      </c>
      <c r="T1448">
        <v>-0.1009278</v>
      </c>
      <c r="U1448">
        <v>-1.5068049999999999</v>
      </c>
      <c r="V1448">
        <v>6.2516470000000005E-2</v>
      </c>
      <c r="W1448">
        <v>0.1826258</v>
      </c>
      <c r="X1448">
        <v>0.98119290000000003</v>
      </c>
      <c r="Y1448">
        <v>0.36589460000000001</v>
      </c>
      <c r="Z1448">
        <v>-6.6610430000000002E-3</v>
      </c>
      <c r="AA1448">
        <v>0.93063249999999997</v>
      </c>
      <c r="AB1448">
        <v>26</v>
      </c>
      <c r="AC1448">
        <v>29.8062</v>
      </c>
      <c r="AD1448">
        <v>-1.100072792</v>
      </c>
      <c r="AE1448">
        <v>-16.265599999999999</v>
      </c>
      <c r="AF1448">
        <v>12.937309201791299</v>
      </c>
      <c r="AG1448">
        <v>-1.100072792</v>
      </c>
      <c r="AH1448">
        <v>31.355841837313399</v>
      </c>
      <c r="AI1448">
        <v>91.857533693692602</v>
      </c>
      <c r="AJ1448">
        <v>67.5791298128553</v>
      </c>
      <c r="AK1448">
        <v>33.937780523438299</v>
      </c>
      <c r="AL1448">
        <v>79.477257259432804</v>
      </c>
      <c r="AM1448">
        <v>86.354341108041694</v>
      </c>
      <c r="AN1448">
        <v>0.99999999942865503</v>
      </c>
    </row>
    <row r="1449" spans="1:40" x14ac:dyDescent="0.25">
      <c r="A1449" t="str">
        <f>"20190304155618989"</f>
        <v>20190304155618989</v>
      </c>
      <c r="B1449" t="str">
        <f>"1551686178986244"</f>
        <v>1551686178986244</v>
      </c>
      <c r="C1449" t="s">
        <v>40</v>
      </c>
      <c r="D1449">
        <v>4.9064100000000002</v>
      </c>
      <c r="E1449">
        <v>0.63103549999999997</v>
      </c>
      <c r="F1449" t="s">
        <v>45</v>
      </c>
      <c r="G1449">
        <v>-183.00399999999999</v>
      </c>
      <c r="H1449" s="1">
        <v>-2.2274189999999999E-6</v>
      </c>
      <c r="I1449">
        <v>350.6866</v>
      </c>
      <c r="J1449">
        <v>-209.0609</v>
      </c>
      <c r="K1449">
        <v>1.108109</v>
      </c>
      <c r="L1449">
        <v>365.41910000000001</v>
      </c>
      <c r="M1449">
        <v>0.99313499999999999</v>
      </c>
      <c r="N1449">
        <v>-1.40404E-2</v>
      </c>
      <c r="O1449">
        <v>-0.11612939999999999</v>
      </c>
      <c r="P1449">
        <v>0.96889979999999998</v>
      </c>
      <c r="Q1449">
        <v>0.1694455</v>
      </c>
      <c r="R1449">
        <v>-0.18033769999999999</v>
      </c>
      <c r="S1449">
        <v>2.8381810000000001</v>
      </c>
      <c r="T1449">
        <v>-0.11756030000000001</v>
      </c>
      <c r="U1449">
        <v>-1.571777</v>
      </c>
      <c r="V1449">
        <v>6.76036E-2</v>
      </c>
      <c r="W1449">
        <v>0.18286259999999999</v>
      </c>
      <c r="X1449">
        <v>0.9808114</v>
      </c>
      <c r="Y1449">
        <v>0.37926949999999998</v>
      </c>
      <c r="Z1449">
        <v>-7.2600649999999996E-3</v>
      </c>
      <c r="AA1449">
        <v>0.92525780000000002</v>
      </c>
      <c r="AB1449">
        <v>26</v>
      </c>
      <c r="AC1449">
        <v>26.056899999999899</v>
      </c>
      <c r="AD1449">
        <v>-1.1081112274189999</v>
      </c>
      <c r="AE1449">
        <v>-14.7325</v>
      </c>
      <c r="AF1449">
        <v>11.5906474761134</v>
      </c>
      <c r="AG1449">
        <v>-1.1081112274189999</v>
      </c>
      <c r="AH1449">
        <v>27.5538509653435</v>
      </c>
      <c r="AI1449">
        <v>92.122979716531503</v>
      </c>
      <c r="AJ1449">
        <v>67.185731666853101</v>
      </c>
      <c r="AK1449">
        <v>29.912969134277301</v>
      </c>
      <c r="AL1449">
        <v>79.4634571304681</v>
      </c>
      <c r="AM1449">
        <v>86.057055983344995</v>
      </c>
      <c r="AN1449">
        <v>0.99999998979084004</v>
      </c>
    </row>
    <row r="1450" spans="1:40" x14ac:dyDescent="0.25">
      <c r="A1450" t="str">
        <f>"20190304155618999"</f>
        <v>20190304155618999</v>
      </c>
      <c r="B1450" t="str">
        <f>"1551686178996006"</f>
        <v>1551686178996006</v>
      </c>
      <c r="C1450" t="s">
        <v>40</v>
      </c>
      <c r="D1450">
        <v>4.898199</v>
      </c>
      <c r="E1450">
        <v>0.63124799999999903</v>
      </c>
      <c r="F1450" t="s">
        <v>45</v>
      </c>
      <c r="G1450">
        <v>-183.70189999999999</v>
      </c>
      <c r="H1450" s="1">
        <v>-2.1225719999999999E-6</v>
      </c>
      <c r="I1450">
        <v>350.92570000000001</v>
      </c>
      <c r="J1450">
        <v>-208.93989999999999</v>
      </c>
      <c r="K1450">
        <v>1.108053</v>
      </c>
      <c r="L1450">
        <v>365.4033</v>
      </c>
      <c r="M1450">
        <v>0.9929538</v>
      </c>
      <c r="N1450">
        <v>-1.404264E-2</v>
      </c>
      <c r="O1450">
        <v>-0.1176671</v>
      </c>
      <c r="P1450">
        <v>0.96851019999999999</v>
      </c>
      <c r="Q1450">
        <v>0.16916809999999999</v>
      </c>
      <c r="R1450">
        <v>-0.18267620000000001</v>
      </c>
      <c r="S1450">
        <v>2.818085</v>
      </c>
      <c r="T1450">
        <v>-0.1231421</v>
      </c>
      <c r="U1450">
        <v>-1.6106259999999999</v>
      </c>
      <c r="V1450">
        <v>6.8472270000000002E-2</v>
      </c>
      <c r="W1450">
        <v>0.18257329999999999</v>
      </c>
      <c r="X1450">
        <v>0.98080500000000004</v>
      </c>
      <c r="Y1450">
        <v>0.39023750000000001</v>
      </c>
      <c r="Z1450">
        <v>-7.6765219999999999E-3</v>
      </c>
      <c r="AA1450">
        <v>0.92068229999999995</v>
      </c>
      <c r="AB1450">
        <v>26</v>
      </c>
      <c r="AC1450">
        <v>25.238</v>
      </c>
      <c r="AD1450">
        <v>-1.1080551225719999</v>
      </c>
      <c r="AE1450">
        <v>-14.477599999999899</v>
      </c>
      <c r="AF1450">
        <v>11.390510503336801</v>
      </c>
      <c r="AG1450">
        <v>-1.1080551225719999</v>
      </c>
      <c r="AH1450">
        <v>26.727580805050302</v>
      </c>
      <c r="AI1450">
        <v>92.184111147649006</v>
      </c>
      <c r="AJ1450">
        <v>66.917720214633803</v>
      </c>
      <c r="AK1450">
        <v>29.074646883010999</v>
      </c>
      <c r="AL1450">
        <v>79.480316251006798</v>
      </c>
      <c r="AM1450">
        <v>86.006528183217199</v>
      </c>
      <c r="AN1450">
        <v>0.99999995482841997</v>
      </c>
    </row>
    <row r="1451" spans="1:40" x14ac:dyDescent="0.25">
      <c r="A1451" t="str">
        <f>"20190304155619011"</f>
        <v>20190304155619011</v>
      </c>
      <c r="B1451" t="str">
        <f>"1551686179005764"</f>
        <v>1551686179005764</v>
      </c>
      <c r="C1451" t="s">
        <v>40</v>
      </c>
      <c r="D1451">
        <v>4.8977329999999997</v>
      </c>
      <c r="E1451">
        <v>0.63129860000000004</v>
      </c>
      <c r="F1451" t="s">
        <v>45</v>
      </c>
      <c r="G1451">
        <v>-184.51900000000001</v>
      </c>
      <c r="H1451" s="1">
        <v>-2.0503780000000001E-6</v>
      </c>
      <c r="I1451">
        <v>351.35500000000002</v>
      </c>
      <c r="J1451">
        <v>-208.80359999999999</v>
      </c>
      <c r="K1451">
        <v>1.10799</v>
      </c>
      <c r="L1451">
        <v>365.3854</v>
      </c>
      <c r="M1451">
        <v>0.99274519999999999</v>
      </c>
      <c r="N1451">
        <v>-1.404504E-2</v>
      </c>
      <c r="O1451">
        <v>-0.11941450000000001</v>
      </c>
      <c r="P1451">
        <v>0.96802290000000002</v>
      </c>
      <c r="Q1451">
        <v>0.16924330000000001</v>
      </c>
      <c r="R1451">
        <v>-0.18517159999999999</v>
      </c>
      <c r="S1451">
        <v>2.8144840000000002</v>
      </c>
      <c r="T1451">
        <v>-0.12770210000000001</v>
      </c>
      <c r="U1451">
        <v>-1.619049</v>
      </c>
      <c r="V1451">
        <v>6.9305919999999993E-2</v>
      </c>
      <c r="W1451">
        <v>0.18263470000000001</v>
      </c>
      <c r="X1451">
        <v>0.98073509999999997</v>
      </c>
      <c r="Y1451">
        <v>0.39117600000000002</v>
      </c>
      <c r="Z1451">
        <v>-7.7759989999999996E-3</v>
      </c>
      <c r="AA1451">
        <v>0.92028299999999996</v>
      </c>
      <c r="AB1451">
        <v>26</v>
      </c>
      <c r="AC1451">
        <v>24.284599999999902</v>
      </c>
      <c r="AD1451">
        <v>-1.1079920503780001</v>
      </c>
      <c r="AE1451">
        <v>-14.030399999999901</v>
      </c>
      <c r="AF1451">
        <v>11.012578711856399</v>
      </c>
      <c r="AG1451">
        <v>-1.1079920503780001</v>
      </c>
      <c r="AH1451">
        <v>25.7462128231744</v>
      </c>
      <c r="AI1451">
        <v>92.265868884680401</v>
      </c>
      <c r="AJ1451">
        <v>66.841867032983899</v>
      </c>
      <c r="AK1451">
        <v>28.024489486959901</v>
      </c>
      <c r="AL1451">
        <v>79.476739038882798</v>
      </c>
      <c r="AM1451">
        <v>85.957780716642702</v>
      </c>
      <c r="AN1451">
        <v>1.0000000402815701</v>
      </c>
    </row>
    <row r="1452" spans="1:40" x14ac:dyDescent="0.25">
      <c r="A1452" t="str">
        <f>"20190304155619024"</f>
        <v>20190304155619024</v>
      </c>
      <c r="B1452" t="str">
        <f>"1551686179015525"</f>
        <v>1551686179015525</v>
      </c>
      <c r="C1452" t="s">
        <v>40</v>
      </c>
      <c r="D1452">
        <v>4.882962</v>
      </c>
      <c r="E1452">
        <v>0.63142989999999999</v>
      </c>
      <c r="F1452" t="s">
        <v>45</v>
      </c>
      <c r="G1452">
        <v>-184.92310000000001</v>
      </c>
      <c r="H1452" s="1">
        <v>-2.0142519999999999E-6</v>
      </c>
      <c r="I1452">
        <v>351.56599999999997</v>
      </c>
      <c r="J1452">
        <v>-208.6516</v>
      </c>
      <c r="K1452">
        <v>1.1079190000000001</v>
      </c>
      <c r="L1452">
        <v>365.36489999999998</v>
      </c>
      <c r="M1452">
        <v>0.99249860000000001</v>
      </c>
      <c r="N1452">
        <v>-1.4048089999999999E-2</v>
      </c>
      <c r="O1452">
        <v>-0.121447</v>
      </c>
      <c r="P1452">
        <v>0.96742059999999996</v>
      </c>
      <c r="Q1452">
        <v>0.16938729999999999</v>
      </c>
      <c r="R1452">
        <v>-0.1881649</v>
      </c>
      <c r="S1452">
        <v>2.8107760000000002</v>
      </c>
      <c r="T1452">
        <v>-0.1304121</v>
      </c>
      <c r="U1452">
        <v>-1.6265559999999999</v>
      </c>
      <c r="V1452">
        <v>7.0370230000000006E-2</v>
      </c>
      <c r="W1452">
        <v>0.18276129999999999</v>
      </c>
      <c r="X1452">
        <v>0.9806357</v>
      </c>
      <c r="Y1452">
        <v>0.39164739999999998</v>
      </c>
      <c r="Z1452">
        <v>-7.8041150000000004E-3</v>
      </c>
      <c r="AA1452">
        <v>0.92008230000000002</v>
      </c>
      <c r="AB1452">
        <v>26</v>
      </c>
      <c r="AC1452">
        <v>23.7285</v>
      </c>
      <c r="AD1452">
        <v>-1.107921014252</v>
      </c>
      <c r="AE1452">
        <v>-13.7989</v>
      </c>
      <c r="AF1452">
        <v>10.797109767277799</v>
      </c>
      <c r="AG1452">
        <v>-1.107921014252</v>
      </c>
      <c r="AH1452">
        <v>25.187790345513299</v>
      </c>
      <c r="AI1452">
        <v>92.315124414149196</v>
      </c>
      <c r="AJ1452">
        <v>66.796907945058194</v>
      </c>
      <c r="AK1452">
        <v>27.426808979354501</v>
      </c>
      <c r="AL1452">
        <v>79.469360992181805</v>
      </c>
      <c r="AM1452">
        <v>85.895501518800799</v>
      </c>
      <c r="AN1452">
        <v>1.0000000190812099</v>
      </c>
    </row>
    <row r="1453" spans="1:40" x14ac:dyDescent="0.25">
      <c r="A1453" t="str">
        <f>"20190304155621284"</f>
        <v>20190304155621284</v>
      </c>
      <c r="B1453" t="str">
        <f>"1551686181276138"</f>
        <v>1551686181276138</v>
      </c>
      <c r="C1453" t="s">
        <v>40</v>
      </c>
      <c r="D1453">
        <v>4.4866260000000002</v>
      </c>
      <c r="E1453">
        <v>0.64007369999999997</v>
      </c>
      <c r="F1453" t="s">
        <v>45</v>
      </c>
      <c r="G1453">
        <v>-185.27950000000001</v>
      </c>
      <c r="H1453" s="1">
        <v>-1.9776119999999998E-6</v>
      </c>
      <c r="I1453">
        <v>351.73809999999997</v>
      </c>
      <c r="J1453">
        <v>-189.57159999999999</v>
      </c>
      <c r="K1453">
        <v>1.101434</v>
      </c>
      <c r="L1453">
        <v>351.77460000000002</v>
      </c>
      <c r="M1453">
        <v>0.30624770000000001</v>
      </c>
      <c r="N1453">
        <v>-1.565035E-2</v>
      </c>
      <c r="O1453">
        <v>-0.95182339999999999</v>
      </c>
      <c r="P1453">
        <v>0.1116043</v>
      </c>
      <c r="Q1453">
        <v>0.1679715</v>
      </c>
      <c r="R1453">
        <v>-0.97945420000000005</v>
      </c>
      <c r="S1453">
        <v>2.806076</v>
      </c>
      <c r="T1453">
        <v>-0.13301789999999999</v>
      </c>
      <c r="U1453">
        <v>-1.636047</v>
      </c>
      <c r="V1453">
        <v>0.19772439999999999</v>
      </c>
      <c r="W1453">
        <v>0.1787801</v>
      </c>
      <c r="X1453">
        <v>0.96381680000000003</v>
      </c>
      <c r="Y1453">
        <v>-0.66747780000000001</v>
      </c>
      <c r="Z1453">
        <v>3.0695389999999999E-2</v>
      </c>
      <c r="AA1453">
        <v>0.74399680000000001</v>
      </c>
      <c r="AB1453">
        <v>22</v>
      </c>
      <c r="AC1453">
        <v>4.2920999999999703</v>
      </c>
      <c r="AD1453">
        <v>-1.101435977612</v>
      </c>
      <c r="AE1453">
        <v>-3.6500000000046301E-2</v>
      </c>
      <c r="AF1453">
        <v>-3.8229078056249399</v>
      </c>
      <c r="AG1453">
        <v>-1.101435977612</v>
      </c>
      <c r="AH1453">
        <v>1.26598856933024</v>
      </c>
      <c r="AI1453">
        <v>105.29672126723101</v>
      </c>
      <c r="AJ1453">
        <v>161.67727005574901</v>
      </c>
      <c r="AK1453">
        <v>4.1749865102489903</v>
      </c>
      <c r="AL1453">
        <v>79.701288304101794</v>
      </c>
      <c r="AM1453">
        <v>78.406775525354803</v>
      </c>
      <c r="AN1453">
        <v>1.0000000432367999</v>
      </c>
    </row>
    <row r="1454" spans="1:40" x14ac:dyDescent="0.25">
      <c r="A1454" t="str">
        <f>"20190304155621306"</f>
        <v>20190304155621306</v>
      </c>
      <c r="B1454" t="str">
        <f>"1551686181295662"</f>
        <v>1551686181295662</v>
      </c>
      <c r="C1454" t="s">
        <v>40</v>
      </c>
      <c r="D1454">
        <v>4.7722189999999998</v>
      </c>
      <c r="E1454">
        <v>0.5571026</v>
      </c>
      <c r="F1454" t="s">
        <v>41</v>
      </c>
      <c r="G1454">
        <v>-198.8544</v>
      </c>
      <c r="H1454" s="1">
        <v>-4.6059640000000003E-6</v>
      </c>
      <c r="I1454">
        <v>315.19029999999998</v>
      </c>
      <c r="J1454">
        <v>-189.51949999999999</v>
      </c>
      <c r="K1454">
        <v>1.1014660000000001</v>
      </c>
      <c r="L1454">
        <v>351.55930000000001</v>
      </c>
      <c r="M1454">
        <v>0.2925257</v>
      </c>
      <c r="N1454">
        <v>-1.5646159999999999E-2</v>
      </c>
      <c r="O1454">
        <v>-0.95612980000000003</v>
      </c>
      <c r="P1454">
        <v>0.1024505</v>
      </c>
      <c r="Q1454">
        <v>0.16790910000000001</v>
      </c>
      <c r="R1454">
        <v>-0.98046500000000003</v>
      </c>
      <c r="S1454">
        <v>-0.80461119999999997</v>
      </c>
      <c r="T1454">
        <v>-9.5469589999999993E-2</v>
      </c>
      <c r="U1454">
        <v>-3.1710210000000001</v>
      </c>
      <c r="V1454">
        <v>0.19283620000000001</v>
      </c>
      <c r="W1454">
        <v>0.17885190000000001</v>
      </c>
      <c r="X1454">
        <v>0.96479329999999996</v>
      </c>
      <c r="Y1454">
        <v>0.51855989999999996</v>
      </c>
      <c r="Z1454">
        <v>9.2706980000000008E-3</v>
      </c>
      <c r="AA1454">
        <v>0.85499099999999995</v>
      </c>
      <c r="AB1454">
        <v>22</v>
      </c>
      <c r="AC1454">
        <v>-9.3348999999999993</v>
      </c>
      <c r="AD1454">
        <v>-1.101470605964</v>
      </c>
      <c r="AE1454">
        <v>-36.369</v>
      </c>
      <c r="AF1454">
        <v>19.549812087792901</v>
      </c>
      <c r="AG1454">
        <v>-1.101470605964</v>
      </c>
      <c r="AH1454">
        <v>32.019150830466401</v>
      </c>
      <c r="AI1454">
        <v>91.681739634300797</v>
      </c>
      <c r="AJ1454">
        <v>58.593170576593202</v>
      </c>
      <c r="AK1454">
        <v>37.531778669122197</v>
      </c>
      <c r="AL1454">
        <v>79.697106177747699</v>
      </c>
      <c r="AM1454">
        <v>78.697060467045901</v>
      </c>
      <c r="AN1454">
        <v>0.99999995694446897</v>
      </c>
    </row>
    <row r="1455" spans="1:40" x14ac:dyDescent="0.25">
      <c r="A1455" t="str">
        <f>"20190304155621329"</f>
        <v>20190304155621329</v>
      </c>
      <c r="B1455" t="str">
        <f>"1551686181325914"</f>
        <v>1551686181325914</v>
      </c>
      <c r="C1455" t="s">
        <v>40</v>
      </c>
      <c r="D1455">
        <v>4.9256419999999999</v>
      </c>
      <c r="E1455">
        <v>0.56838869999999997</v>
      </c>
      <c r="F1455" t="s">
        <v>41</v>
      </c>
      <c r="G1455">
        <v>-190.4007</v>
      </c>
      <c r="H1455" s="1">
        <v>-2.924305E-6</v>
      </c>
      <c r="I1455">
        <v>336.15719999999999</v>
      </c>
      <c r="J1455">
        <v>-189.46770000000001</v>
      </c>
      <c r="K1455">
        <v>1.10151</v>
      </c>
      <c r="L1455">
        <v>351.33</v>
      </c>
      <c r="M1455">
        <v>0.27792040000000001</v>
      </c>
      <c r="N1455">
        <v>-1.5639429999999999E-2</v>
      </c>
      <c r="O1455">
        <v>-0.96047689999999997</v>
      </c>
      <c r="P1455">
        <v>9.2792630000000001E-2</v>
      </c>
      <c r="Q1455">
        <v>0.1673714</v>
      </c>
      <c r="R1455">
        <v>-0.98151739999999998</v>
      </c>
      <c r="S1455">
        <v>-0.17829900000000001</v>
      </c>
      <c r="T1455">
        <v>-0.2228782</v>
      </c>
      <c r="U1455">
        <v>-3.1165470000000002</v>
      </c>
      <c r="V1455">
        <v>0.187609</v>
      </c>
      <c r="W1455">
        <v>0.17845920000000001</v>
      </c>
      <c r="X1455">
        <v>0.96589610000000004</v>
      </c>
      <c r="Y1455">
        <v>0.33204519999999998</v>
      </c>
      <c r="Z1455">
        <v>4.9296560000000003E-2</v>
      </c>
      <c r="AA1455">
        <v>0.94197450000000005</v>
      </c>
      <c r="AB1455">
        <v>22</v>
      </c>
      <c r="AC1455">
        <v>-0.93299999999999195</v>
      </c>
      <c r="AD1455">
        <v>-1.1015129243049999</v>
      </c>
      <c r="AE1455">
        <v>-15.172799999999899</v>
      </c>
      <c r="AF1455">
        <v>5.0868713388008304</v>
      </c>
      <c r="AG1455">
        <v>-1.1015129243049999</v>
      </c>
      <c r="AH1455">
        <v>14.240800770360901</v>
      </c>
      <c r="AI1455">
        <v>94.166150540768996</v>
      </c>
      <c r="AJ1455">
        <v>70.343067852514594</v>
      </c>
      <c r="AK1455">
        <v>15.162123773437401</v>
      </c>
      <c r="AL1455">
        <v>79.719975100103198</v>
      </c>
      <c r="AM1455">
        <v>79.008127248329103</v>
      </c>
      <c r="AN1455">
        <v>1.00000004947042</v>
      </c>
    </row>
    <row r="1456" spans="1:40" x14ac:dyDescent="0.25">
      <c r="A1456" t="str">
        <f>"20190304155621351"</f>
        <v>20190304155621351</v>
      </c>
      <c r="B1456" t="str">
        <f>"1551686181346410"</f>
        <v>1551686181346410</v>
      </c>
      <c r="C1456" t="s">
        <v>40</v>
      </c>
      <c r="D1456">
        <v>4.9563220000000001</v>
      </c>
      <c r="E1456">
        <v>0.57036119999999901</v>
      </c>
      <c r="F1456" t="s">
        <v>41</v>
      </c>
      <c r="G1456">
        <v>-191.7217</v>
      </c>
      <c r="H1456" s="1">
        <v>-3.7977589999999998E-6</v>
      </c>
      <c r="I1456">
        <v>327.37389999999999</v>
      </c>
      <c r="J1456">
        <v>-189.42169999999999</v>
      </c>
      <c r="K1456">
        <v>1.101567</v>
      </c>
      <c r="L1456">
        <v>351.11110000000002</v>
      </c>
      <c r="M1456">
        <v>0.2640052</v>
      </c>
      <c r="N1456">
        <v>-1.5629049999999998E-2</v>
      </c>
      <c r="O1456">
        <v>-0.96439459999999999</v>
      </c>
      <c r="P1456">
        <v>8.4469939999999993E-2</v>
      </c>
      <c r="Q1456">
        <v>0.16742209999999999</v>
      </c>
      <c r="R1456">
        <v>-0.98226020000000003</v>
      </c>
      <c r="S1456">
        <v>-0.29248049999999998</v>
      </c>
      <c r="T1456">
        <v>-0.14293120000000001</v>
      </c>
      <c r="U1456">
        <v>-3.1085210000000001</v>
      </c>
      <c r="V1456">
        <v>0.1817868</v>
      </c>
      <c r="W1456">
        <v>0.17866850000000001</v>
      </c>
      <c r="X1456">
        <v>0.96697010000000005</v>
      </c>
      <c r="Y1456">
        <v>0.35301549999999998</v>
      </c>
      <c r="Z1456">
        <v>2.6090309999999999E-2</v>
      </c>
      <c r="AA1456">
        <v>0.93525360000000002</v>
      </c>
      <c r="AB1456">
        <v>22</v>
      </c>
      <c r="AC1456">
        <v>-2.30000000000001</v>
      </c>
      <c r="AD1456">
        <v>-1.1015707977589999</v>
      </c>
      <c r="AE1456">
        <v>-23.737200000000001</v>
      </c>
      <c r="AF1456">
        <v>8.46782175456282</v>
      </c>
      <c r="AG1456">
        <v>-1.1015707977589999</v>
      </c>
      <c r="AH1456">
        <v>22.240087389584399</v>
      </c>
      <c r="AI1456">
        <v>92.650282037625999</v>
      </c>
      <c r="AJ1456">
        <v>69.155874600886804</v>
      </c>
      <c r="AK1456">
        <v>23.8230760101603</v>
      </c>
      <c r="AL1456">
        <v>79.707786948483403</v>
      </c>
      <c r="AM1456">
        <v>79.352877105035603</v>
      </c>
      <c r="AN1456">
        <v>1.00000002392024</v>
      </c>
    </row>
    <row r="1457" spans="1:40" x14ac:dyDescent="0.25">
      <c r="A1457" t="str">
        <f>"20190304155621374"</f>
        <v>20190304155621374</v>
      </c>
      <c r="B1457" t="str">
        <f>"1551686181365929"</f>
        <v>1551686181365929</v>
      </c>
      <c r="C1457" t="s">
        <v>40</v>
      </c>
      <c r="D1457">
        <v>5.0425870000000002</v>
      </c>
      <c r="E1457">
        <v>0.56999829999999996</v>
      </c>
      <c r="F1457" t="s">
        <v>41</v>
      </c>
      <c r="G1457">
        <v>-192.36410000000001</v>
      </c>
      <c r="H1457" s="1">
        <v>-2.3914469999999999E-6</v>
      </c>
      <c r="I1457">
        <v>323.69740000000002</v>
      </c>
      <c r="J1457">
        <v>-189.3758</v>
      </c>
      <c r="K1457">
        <v>1.1016649999999999</v>
      </c>
      <c r="L1457">
        <v>350.87450000000001</v>
      </c>
      <c r="M1457">
        <v>0.24902759999999999</v>
      </c>
      <c r="N1457">
        <v>-1.561153E-2</v>
      </c>
      <c r="O1457">
        <v>-0.96837090000000003</v>
      </c>
      <c r="P1457">
        <v>8.1194939999999993E-2</v>
      </c>
      <c r="Q1457">
        <v>0.1684012</v>
      </c>
      <c r="R1457">
        <v>-0.9823691</v>
      </c>
      <c r="S1457">
        <v>-0.33317570000000002</v>
      </c>
      <c r="T1457">
        <v>-0.124733399999999</v>
      </c>
      <c r="U1457">
        <v>-3.1041259999999999</v>
      </c>
      <c r="V1457">
        <v>0.16992360000000001</v>
      </c>
      <c r="W1457">
        <v>0.179951</v>
      </c>
      <c r="X1457">
        <v>0.96888779999999997</v>
      </c>
      <c r="Y1457">
        <v>0.35080899999999998</v>
      </c>
      <c r="Z1457">
        <v>2.104696E-2</v>
      </c>
      <c r="AA1457">
        <v>0.93621049999999995</v>
      </c>
      <c r="AB1457">
        <v>22</v>
      </c>
      <c r="AC1457">
        <v>-2.9883000000000002</v>
      </c>
      <c r="AD1457">
        <v>-1.1016673914470001</v>
      </c>
      <c r="AE1457">
        <v>-27.177099999999999</v>
      </c>
      <c r="AF1457">
        <v>9.6471421436792504</v>
      </c>
      <c r="AG1457">
        <v>-1.1016673914470001</v>
      </c>
      <c r="AH1457">
        <v>25.534993761612601</v>
      </c>
      <c r="AI1457">
        <v>92.311155997344699</v>
      </c>
      <c r="AJ1457">
        <v>69.303392834565301</v>
      </c>
      <c r="AK1457">
        <v>27.318801748746601</v>
      </c>
      <c r="AL1457">
        <v>79.633094088809798</v>
      </c>
      <c r="AM1457">
        <v>80.052627120755602</v>
      </c>
      <c r="AN1457">
        <v>0.99999998061339901</v>
      </c>
    </row>
    <row r="1458" spans="1:40" x14ac:dyDescent="0.25">
      <c r="A1458" t="str">
        <f>"20190304155621397"</f>
        <v>20190304155621397</v>
      </c>
      <c r="B1458" t="str">
        <f>"1551686181386008"</f>
        <v>1551686181386008</v>
      </c>
      <c r="C1458" t="s">
        <v>40</v>
      </c>
      <c r="D1458">
        <v>4.9095420000000001</v>
      </c>
      <c r="E1458">
        <v>0.56890229999999997</v>
      </c>
      <c r="F1458" t="s">
        <v>41</v>
      </c>
      <c r="G1458">
        <v>-192.6694</v>
      </c>
      <c r="H1458" s="1">
        <v>-1.2683500000000001E-6</v>
      </c>
      <c r="I1458">
        <v>320.89</v>
      </c>
      <c r="J1458">
        <v>-189.3348</v>
      </c>
      <c r="K1458">
        <v>1.101761</v>
      </c>
      <c r="L1458">
        <v>350.64580000000001</v>
      </c>
      <c r="M1458">
        <v>0.234629</v>
      </c>
      <c r="N1458">
        <v>-1.559027E-2</v>
      </c>
      <c r="O1458">
        <v>-0.97196009999999999</v>
      </c>
      <c r="P1458">
        <v>7.2620459999999998E-2</v>
      </c>
      <c r="Q1458">
        <v>0.16995589999999999</v>
      </c>
      <c r="R1458">
        <v>-0.98277239999999999</v>
      </c>
      <c r="S1458">
        <v>-0.34068300000000001</v>
      </c>
      <c r="T1458">
        <v>-0.1139532</v>
      </c>
      <c r="U1458">
        <v>-3.1015009999999998</v>
      </c>
      <c r="V1458">
        <v>0.16390850000000001</v>
      </c>
      <c r="W1458">
        <v>0.18166280000000001</v>
      </c>
      <c r="X1458">
        <v>0.96960440000000003</v>
      </c>
      <c r="Y1458">
        <v>0.33923199999999998</v>
      </c>
      <c r="Z1458">
        <v>1.8193330000000001E-2</v>
      </c>
      <c r="AA1458">
        <v>0.9405268</v>
      </c>
      <c r="AB1458">
        <v>22</v>
      </c>
      <c r="AC1458">
        <v>-3.3345999999999898</v>
      </c>
      <c r="AD1458">
        <v>-1.1017622683499999</v>
      </c>
      <c r="AE1458">
        <v>-29.755800000000001</v>
      </c>
      <c r="AF1458">
        <v>10.210088729140701</v>
      </c>
      <c r="AG1458">
        <v>-1.1017622683499999</v>
      </c>
      <c r="AH1458">
        <v>28.104420303107499</v>
      </c>
      <c r="AI1458">
        <v>92.110182411046495</v>
      </c>
      <c r="AJ1458">
        <v>70.034361905214794</v>
      </c>
      <c r="AK1458">
        <v>29.921868800705099</v>
      </c>
      <c r="AL1458">
        <v>79.533372125068595</v>
      </c>
      <c r="AM1458">
        <v>80.405044557067697</v>
      </c>
      <c r="AN1458">
        <v>1.0000000308877199</v>
      </c>
    </row>
    <row r="1459" spans="1:40" x14ac:dyDescent="0.25">
      <c r="A1459" t="str">
        <f>"20190304155621418"</f>
        <v>20190304155621418</v>
      </c>
      <c r="B1459" t="str">
        <f>"1551686181416265"</f>
        <v>1551686181416265</v>
      </c>
      <c r="C1459" t="s">
        <v>40</v>
      </c>
      <c r="D1459">
        <v>4.8943149999999997</v>
      </c>
      <c r="E1459">
        <v>0.56849439999999996</v>
      </c>
      <c r="F1459" t="s">
        <v>41</v>
      </c>
      <c r="G1459">
        <v>-193.14949999999999</v>
      </c>
      <c r="H1459" s="1">
        <v>-4.5497130000000004E-6</v>
      </c>
      <c r="I1459">
        <v>317.67899999999997</v>
      </c>
      <c r="J1459">
        <v>-189.30109999999999</v>
      </c>
      <c r="K1459">
        <v>1.101858</v>
      </c>
      <c r="L1459">
        <v>350.44229999999999</v>
      </c>
      <c r="M1459">
        <v>0.22189400000000001</v>
      </c>
      <c r="N1459">
        <v>-1.5567849999999999E-2</v>
      </c>
      <c r="O1459">
        <v>-0.9749466</v>
      </c>
      <c r="P1459">
        <v>6.5014409999999995E-2</v>
      </c>
      <c r="Q1459">
        <v>0.1706955</v>
      </c>
      <c r="R1459">
        <v>-0.98317679999999996</v>
      </c>
      <c r="S1459">
        <v>-0.35836790000000002</v>
      </c>
      <c r="T1459">
        <v>-0.1035036</v>
      </c>
      <c r="U1459">
        <v>-3.0970149999999999</v>
      </c>
      <c r="V1459">
        <v>0.15865379999999901</v>
      </c>
      <c r="W1459">
        <v>0.1825396</v>
      </c>
      <c r="X1459">
        <v>0.97031350000000005</v>
      </c>
      <c r="Y1459">
        <v>0.33238689999999999</v>
      </c>
      <c r="Z1459">
        <v>1.5328090000000001E-2</v>
      </c>
      <c r="AA1459">
        <v>0.94301860000000004</v>
      </c>
      <c r="AB1459">
        <v>22</v>
      </c>
      <c r="AC1459">
        <v>-3.8483999999999901</v>
      </c>
      <c r="AD1459">
        <v>-1.1018625497129999</v>
      </c>
      <c r="AE1459">
        <v>-32.763299999999902</v>
      </c>
      <c r="AF1459">
        <v>11.011014622117299</v>
      </c>
      <c r="AG1459">
        <v>-1.1018625497129999</v>
      </c>
      <c r="AH1459">
        <v>31.057646752281101</v>
      </c>
      <c r="AI1459">
        <v>91.915179013986403</v>
      </c>
      <c r="AJ1459">
        <v>70.478815227111795</v>
      </c>
      <c r="AK1459">
        <v>32.970198147363597</v>
      </c>
      <c r="AL1459">
        <v>79.4822807190492</v>
      </c>
      <c r="AM1459">
        <v>80.713867080422105</v>
      </c>
      <c r="AN1459">
        <v>1.0000000110524201</v>
      </c>
    </row>
    <row r="1460" spans="1:40" x14ac:dyDescent="0.25">
      <c r="A1460" t="str">
        <f>"20190304155621439"</f>
        <v>20190304155621439</v>
      </c>
      <c r="B1460" t="str">
        <f>"1551686181435785"</f>
        <v>1551686181435785</v>
      </c>
      <c r="C1460" t="s">
        <v>40</v>
      </c>
      <c r="D1460">
        <v>4.995749</v>
      </c>
      <c r="E1460">
        <v>0.56823179999999995</v>
      </c>
      <c r="F1460" t="s">
        <v>41</v>
      </c>
      <c r="G1460">
        <v>-193.54910000000001</v>
      </c>
      <c r="H1460" s="1">
        <v>-3.721228E-6</v>
      </c>
      <c r="I1460">
        <v>315.46609999999998</v>
      </c>
      <c r="J1460">
        <v>-189.2681</v>
      </c>
      <c r="K1460">
        <v>1.101988</v>
      </c>
      <c r="L1460">
        <v>350.22489999999999</v>
      </c>
      <c r="M1460">
        <v>0.20841560000000001</v>
      </c>
      <c r="N1460">
        <v>-1.553915E-2</v>
      </c>
      <c r="O1460">
        <v>-0.97791700000000004</v>
      </c>
      <c r="P1460">
        <v>5.639226E-2</v>
      </c>
      <c r="Q1460">
        <v>0.17153889999999999</v>
      </c>
      <c r="R1460">
        <v>-0.98356209999999999</v>
      </c>
      <c r="S1460">
        <v>-0.37565609999999999</v>
      </c>
      <c r="T1460">
        <v>-9.7440959999999993E-2</v>
      </c>
      <c r="U1460">
        <v>-3.093048</v>
      </c>
      <c r="V1460">
        <v>0.15368299999999999</v>
      </c>
      <c r="W1460">
        <v>0.1835146</v>
      </c>
      <c r="X1460">
        <v>0.97092940000000005</v>
      </c>
      <c r="Y1460">
        <v>0.32470510000000002</v>
      </c>
      <c r="Z1460">
        <v>1.3750160000000001E-2</v>
      </c>
      <c r="AA1460">
        <v>0.94571539999999998</v>
      </c>
      <c r="AB1460">
        <v>22</v>
      </c>
      <c r="AC1460">
        <v>-4.2809999999999997</v>
      </c>
      <c r="AD1460">
        <v>-1.1019917212279999</v>
      </c>
      <c r="AE1460">
        <v>-34.758800000000001</v>
      </c>
      <c r="AF1460">
        <v>11.4208100860131</v>
      </c>
      <c r="AG1460">
        <v>-1.1019917212279999</v>
      </c>
      <c r="AH1460">
        <v>33.070244424949102</v>
      </c>
      <c r="AI1460">
        <v>91.804069320633104</v>
      </c>
      <c r="AJ1460">
        <v>70.947645230670602</v>
      </c>
      <c r="AK1460">
        <v>35.0041476842433</v>
      </c>
      <c r="AL1460">
        <v>79.425457201968399</v>
      </c>
      <c r="AM1460">
        <v>81.005590411426496</v>
      </c>
      <c r="AN1460">
        <v>0.99999998634326004</v>
      </c>
    </row>
    <row r="1461" spans="1:40" x14ac:dyDescent="0.25">
      <c r="A1461" t="str">
        <f>"20190304155621463"</f>
        <v>20190304155621463</v>
      </c>
      <c r="B1461" t="str">
        <f>"1551686181456281"</f>
        <v>1551686181456281</v>
      </c>
      <c r="C1461" t="s">
        <v>40</v>
      </c>
      <c r="D1461">
        <v>4.703087</v>
      </c>
      <c r="E1461">
        <v>0.56837539999999998</v>
      </c>
      <c r="F1461" t="s">
        <v>41</v>
      </c>
      <c r="G1461">
        <v>-193.86930000000001</v>
      </c>
      <c r="H1461" s="1">
        <v>-3.3315389999999998E-6</v>
      </c>
      <c r="I1461">
        <v>314.4615</v>
      </c>
      <c r="J1461">
        <v>-189.23560000000001</v>
      </c>
      <c r="K1461">
        <v>1.1021620000000001</v>
      </c>
      <c r="L1461">
        <v>349.9907</v>
      </c>
      <c r="M1461">
        <v>0.1940837</v>
      </c>
      <c r="N1461">
        <v>-1.5500689999999999E-2</v>
      </c>
      <c r="O1461">
        <v>-0.98086249999999997</v>
      </c>
      <c r="P1461">
        <v>4.8183799999999999E-2</v>
      </c>
      <c r="Q1461">
        <v>0.1735381</v>
      </c>
      <c r="R1461">
        <v>-0.98364790000000002</v>
      </c>
      <c r="S1461">
        <v>-0.3974915</v>
      </c>
      <c r="T1461">
        <v>-9.5198270000000002E-2</v>
      </c>
      <c r="U1461">
        <v>-3.0895079999999999</v>
      </c>
      <c r="V1461">
        <v>0.1474567</v>
      </c>
      <c r="W1461">
        <v>0.18567040000000001</v>
      </c>
      <c r="X1461">
        <v>0.97148500000000004</v>
      </c>
      <c r="Y1461">
        <v>0.31757269999999999</v>
      </c>
      <c r="Z1461">
        <v>1.3307319999999999E-2</v>
      </c>
      <c r="AA1461">
        <v>0.9481406</v>
      </c>
      <c r="AB1461">
        <v>22</v>
      </c>
      <c r="AC1461">
        <v>-4.6337000000000002</v>
      </c>
      <c r="AD1461">
        <v>-1.1021653315389901</v>
      </c>
      <c r="AE1461">
        <v>-35.529200000000003</v>
      </c>
      <c r="AF1461">
        <v>11.431219263740299</v>
      </c>
      <c r="AG1461">
        <v>-1.1021653315389901</v>
      </c>
      <c r="AH1461">
        <v>33.921915654217003</v>
      </c>
      <c r="AI1461">
        <v>91.763579593969197</v>
      </c>
      <c r="AJ1461">
        <v>71.376890843296096</v>
      </c>
      <c r="AK1461">
        <v>35.813180589352399</v>
      </c>
      <c r="AL1461">
        <v>79.299779759151406</v>
      </c>
      <c r="AM1461">
        <v>81.369246904565998</v>
      </c>
      <c r="AN1461">
        <v>1.0000000405180201</v>
      </c>
    </row>
    <row r="1462" spans="1:40" x14ac:dyDescent="0.25">
      <c r="A1462" t="str">
        <f>"20190304155621485"</f>
        <v>20190304155621485</v>
      </c>
      <c r="B1462" t="str">
        <f>"1551686181475801"</f>
        <v>1551686181475801</v>
      </c>
      <c r="C1462" t="s">
        <v>40</v>
      </c>
      <c r="D1462">
        <v>5.0150040000000002</v>
      </c>
      <c r="E1462">
        <v>0.56840139999999995</v>
      </c>
      <c r="F1462" t="s">
        <v>41</v>
      </c>
      <c r="G1462">
        <v>-194.69409999999999</v>
      </c>
      <c r="H1462" s="1">
        <v>-1.5461220000000001E-6</v>
      </c>
      <c r="I1462">
        <v>310.22019999999998</v>
      </c>
      <c r="J1462">
        <v>-189.20849999999999</v>
      </c>
      <c r="K1462">
        <v>1.102357</v>
      </c>
      <c r="L1462">
        <v>349.77460000000002</v>
      </c>
      <c r="M1462">
        <v>0.18106449999999999</v>
      </c>
      <c r="N1462">
        <v>-1.545763E-2</v>
      </c>
      <c r="O1462">
        <v>-0.98334999999999995</v>
      </c>
      <c r="P1462">
        <v>4.1044410000000003E-2</v>
      </c>
      <c r="Q1462">
        <v>0.1767049</v>
      </c>
      <c r="R1462">
        <v>-0.98340780000000005</v>
      </c>
      <c r="S1462">
        <v>-0.42350769999999999</v>
      </c>
      <c r="T1462">
        <v>-8.5512519999999995E-2</v>
      </c>
      <c r="U1462">
        <v>-3.0856319999999999</v>
      </c>
      <c r="V1462">
        <v>0.14149149999999999</v>
      </c>
      <c r="W1462">
        <v>0.1889796</v>
      </c>
      <c r="X1462">
        <v>0.97173390000000004</v>
      </c>
      <c r="Y1462">
        <v>0.31301990000000002</v>
      </c>
      <c r="Z1462">
        <v>1.054511E-2</v>
      </c>
      <c r="AA1462">
        <v>0.94968799999999998</v>
      </c>
      <c r="AB1462">
        <v>22</v>
      </c>
      <c r="AC1462">
        <v>-5.4855999999999998</v>
      </c>
      <c r="AD1462">
        <v>-1.102358546122</v>
      </c>
      <c r="AE1462">
        <v>-39.554400000000001</v>
      </c>
      <c r="AF1462">
        <v>12.5480972787898</v>
      </c>
      <c r="AG1462">
        <v>-1.102358546122</v>
      </c>
      <c r="AH1462">
        <v>37.878226040347201</v>
      </c>
      <c r="AI1462">
        <v>91.582465441295497</v>
      </c>
      <c r="AJ1462">
        <v>71.6712734976212</v>
      </c>
      <c r="AK1462">
        <v>39.917789864242501</v>
      </c>
      <c r="AL1462">
        <v>79.106758666249306</v>
      </c>
      <c r="AM1462">
        <v>81.715539360448801</v>
      </c>
      <c r="AN1462">
        <v>0.99999995309880896</v>
      </c>
    </row>
    <row r="1463" spans="1:40" x14ac:dyDescent="0.25">
      <c r="A1463" t="str">
        <f>"20190304155621507"</f>
        <v>20190304155621507</v>
      </c>
      <c r="B1463" t="str">
        <f>"1551686181496121"</f>
        <v>1551686181496121</v>
      </c>
      <c r="C1463" t="s">
        <v>40</v>
      </c>
      <c r="D1463">
        <v>4.8439139999999998</v>
      </c>
      <c r="E1463">
        <v>0.56911440000000002</v>
      </c>
      <c r="F1463" t="s">
        <v>41</v>
      </c>
      <c r="G1463">
        <v>-195.9863</v>
      </c>
      <c r="H1463" s="1">
        <v>-3.0308229999999998E-6</v>
      </c>
      <c r="I1463">
        <v>302.94119999999998</v>
      </c>
      <c r="J1463">
        <v>-189.18219999999999</v>
      </c>
      <c r="K1463">
        <v>1.1025769999999999</v>
      </c>
      <c r="L1463">
        <v>349.5419</v>
      </c>
      <c r="M1463">
        <v>0.16729820000000001</v>
      </c>
      <c r="N1463">
        <v>-1.540444E-2</v>
      </c>
      <c r="O1463">
        <v>-0.9857863</v>
      </c>
      <c r="P1463">
        <v>3.1962280000000003E-2</v>
      </c>
      <c r="Q1463">
        <v>0.17899119999999999</v>
      </c>
      <c r="R1463">
        <v>-0.98333179999999998</v>
      </c>
      <c r="S1463">
        <v>-0.44607540000000001</v>
      </c>
      <c r="T1463">
        <v>-7.2551009999999999E-2</v>
      </c>
      <c r="U1463">
        <v>-3.082306</v>
      </c>
      <c r="V1463">
        <v>0.136739</v>
      </c>
      <c r="W1463">
        <v>0.19138160000000001</v>
      </c>
      <c r="X1463">
        <v>0.97194420000000004</v>
      </c>
      <c r="Y1463">
        <v>0.30670740000000002</v>
      </c>
      <c r="Z1463">
        <v>6.7575830000000002E-3</v>
      </c>
      <c r="AA1463">
        <v>0.95177979999999995</v>
      </c>
      <c r="AB1463">
        <v>22</v>
      </c>
      <c r="AC1463">
        <v>-6.8041</v>
      </c>
      <c r="AD1463">
        <v>-1.102580030823</v>
      </c>
      <c r="AE1463">
        <v>-46.600700000000003</v>
      </c>
      <c r="AF1463">
        <v>14.4973722027985</v>
      </c>
      <c r="AG1463">
        <v>-1.102580030823</v>
      </c>
      <c r="AH1463">
        <v>44.780775435649701</v>
      </c>
      <c r="AI1463">
        <v>91.341894212791402</v>
      </c>
      <c r="AJ1463">
        <v>72.061107457328404</v>
      </c>
      <c r="AK1463">
        <v>47.081921499965702</v>
      </c>
      <c r="AL1463">
        <v>78.966576214324405</v>
      </c>
      <c r="AM1463">
        <v>81.991840535696397</v>
      </c>
      <c r="AN1463">
        <v>0.99999999942660001</v>
      </c>
    </row>
    <row r="1464" spans="1:40" x14ac:dyDescent="0.25">
      <c r="A1464" t="str">
        <f>"20190304155621529"</f>
        <v>20190304155621529</v>
      </c>
      <c r="B1464" t="str">
        <f>"1551686181526373"</f>
        <v>1551686181526373</v>
      </c>
      <c r="C1464" t="s">
        <v>40</v>
      </c>
      <c r="D1464">
        <v>4.7546309999999998</v>
      </c>
      <c r="E1464">
        <v>0.56899580000000005</v>
      </c>
      <c r="F1464" t="s">
        <v>53</v>
      </c>
      <c r="G1464">
        <v>-197.48570000000001</v>
      </c>
      <c r="H1464" s="1">
        <v>6.0139929999999997E-7</v>
      </c>
      <c r="I1464">
        <v>296.20150000000001</v>
      </c>
      <c r="J1464">
        <v>-189.161</v>
      </c>
      <c r="K1464">
        <v>1.102797</v>
      </c>
      <c r="L1464">
        <v>349.33139999999997</v>
      </c>
      <c r="M1464">
        <v>0.1551196</v>
      </c>
      <c r="N1464">
        <v>-1.535048E-2</v>
      </c>
      <c r="O1464">
        <v>-0.98777649999999995</v>
      </c>
      <c r="P1464">
        <v>2.3987950000000001E-2</v>
      </c>
      <c r="Q1464">
        <v>0.1805186</v>
      </c>
      <c r="R1464">
        <v>-0.98327920000000002</v>
      </c>
      <c r="S1464">
        <v>-0.47915649999999999</v>
      </c>
      <c r="T1464">
        <v>-6.3624739999999999E-2</v>
      </c>
      <c r="U1464">
        <v>-3.078033</v>
      </c>
      <c r="V1464">
        <v>0.13249659999999999</v>
      </c>
      <c r="W1464">
        <v>0.1930096</v>
      </c>
      <c r="X1464">
        <v>0.97220980000000001</v>
      </c>
      <c r="Y1464">
        <v>0.30516110000000002</v>
      </c>
      <c r="Z1464">
        <v>4.1420019999999997E-3</v>
      </c>
      <c r="AA1464">
        <v>0.95229169999999996</v>
      </c>
      <c r="AB1464">
        <v>22</v>
      </c>
      <c r="AC1464">
        <v>-8.3247000000000302</v>
      </c>
      <c r="AD1464">
        <v>-1.1027963986006999</v>
      </c>
      <c r="AE1464">
        <v>-53.1298999999999</v>
      </c>
      <c r="AF1464">
        <v>16.459449448797798</v>
      </c>
      <c r="AG1464">
        <v>-1.1027963986006999</v>
      </c>
      <c r="AH1464">
        <v>51.173651829061299</v>
      </c>
      <c r="AI1464">
        <v>91.175260052528103</v>
      </c>
      <c r="AJ1464">
        <v>72.170176738000293</v>
      </c>
      <c r="AK1464">
        <v>53.766832504586802</v>
      </c>
      <c r="AL1464">
        <v>78.871526353742397</v>
      </c>
      <c r="AM1464">
        <v>82.2393158963297</v>
      </c>
      <c r="AN1464">
        <v>0.99999997495987902</v>
      </c>
    </row>
    <row r="1465" spans="1:40" x14ac:dyDescent="0.25">
      <c r="A1465" t="str">
        <f>"20190304155621552"</f>
        <v>20190304155621552</v>
      </c>
      <c r="B1465" t="str">
        <f>"1551686181545893"</f>
        <v>1551686181545893</v>
      </c>
      <c r="C1465" t="s">
        <v>40</v>
      </c>
      <c r="D1465">
        <v>4.8798729999999999</v>
      </c>
      <c r="E1465">
        <v>0.56870039999999999</v>
      </c>
      <c r="F1465" t="s">
        <v>53</v>
      </c>
      <c r="G1465">
        <v>-198.56389999999999</v>
      </c>
      <c r="H1465" s="1">
        <v>1.526502E-6</v>
      </c>
      <c r="I1465">
        <v>291.6506</v>
      </c>
      <c r="J1465">
        <v>-189.1403</v>
      </c>
      <c r="K1465">
        <v>1.103048</v>
      </c>
      <c r="L1465">
        <v>349.09800000000001</v>
      </c>
      <c r="M1465">
        <v>0.1419628</v>
      </c>
      <c r="N1465">
        <v>-1.5284310000000001E-2</v>
      </c>
      <c r="O1465">
        <v>-0.98975420000000003</v>
      </c>
      <c r="P1465">
        <v>1.5361929999999999E-2</v>
      </c>
      <c r="Q1465">
        <v>0.18158489999999999</v>
      </c>
      <c r="R1465">
        <v>-0.98325569999999896</v>
      </c>
      <c r="S1465">
        <v>-0.5011139</v>
      </c>
      <c r="T1465">
        <v>-5.8771730000000001E-2</v>
      </c>
      <c r="U1465">
        <v>-3.0740050000000001</v>
      </c>
      <c r="V1465">
        <v>0.12794459999999999</v>
      </c>
      <c r="W1465">
        <v>0.19418099999999999</v>
      </c>
      <c r="X1465">
        <v>0.97258619999999996</v>
      </c>
      <c r="Y1465">
        <v>0.29931380000000002</v>
      </c>
      <c r="Z1465">
        <v>2.8038859999999998E-3</v>
      </c>
      <c r="AA1465">
        <v>0.95415059999999996</v>
      </c>
      <c r="AB1465">
        <v>22</v>
      </c>
      <c r="AC1465">
        <v>-9.4235999999999898</v>
      </c>
      <c r="AD1465">
        <v>-1.1030464734979999</v>
      </c>
      <c r="AE1465">
        <v>-57.447400000000002</v>
      </c>
      <c r="AF1465">
        <v>17.478205158449299</v>
      </c>
      <c r="AG1465">
        <v>-1.1030464734979999</v>
      </c>
      <c r="AH1465">
        <v>55.507551152497598</v>
      </c>
      <c r="AI1465">
        <v>91.085885501384794</v>
      </c>
      <c r="AJ1465">
        <v>72.521839531660504</v>
      </c>
      <c r="AK1465">
        <v>58.204747246514899</v>
      </c>
      <c r="AL1465">
        <v>78.803116117348395</v>
      </c>
      <c r="AM1465">
        <v>82.505721430670903</v>
      </c>
      <c r="AN1465">
        <v>0.99999999893029901</v>
      </c>
    </row>
    <row r="1466" spans="1:40" x14ac:dyDescent="0.25">
      <c r="A1466" t="str">
        <f>"20190304155621576"</f>
        <v>20190304155621576</v>
      </c>
      <c r="B1466" t="str">
        <f>"1551686181566389"</f>
        <v>1551686181566389</v>
      </c>
      <c r="C1466" t="s">
        <v>40</v>
      </c>
      <c r="D1466">
        <v>4.8920539999999999</v>
      </c>
      <c r="E1466">
        <v>0.56814940000000003</v>
      </c>
      <c r="F1466" t="s">
        <v>53</v>
      </c>
      <c r="G1466">
        <v>-198.83930000000001</v>
      </c>
      <c r="H1466" s="1">
        <v>1.412215E-6</v>
      </c>
      <c r="I1466">
        <v>292.16090000000003</v>
      </c>
      <c r="J1466">
        <v>-189.12260000000001</v>
      </c>
      <c r="K1466">
        <v>1.103305</v>
      </c>
      <c r="L1466">
        <v>348.86939999999998</v>
      </c>
      <c r="M1466">
        <v>0.1294341</v>
      </c>
      <c r="N1466">
        <v>-1.521526E-2</v>
      </c>
      <c r="O1466">
        <v>-0.9914714</v>
      </c>
      <c r="P1466">
        <v>7.2708989999999999E-3</v>
      </c>
      <c r="Q1466">
        <v>0.18298719999999999</v>
      </c>
      <c r="R1466">
        <v>-0.98308839999999997</v>
      </c>
      <c r="S1466">
        <v>-0.52301030000000004</v>
      </c>
      <c r="T1466">
        <v>-5.9480789999999999E-2</v>
      </c>
      <c r="U1466">
        <v>-3.0702820000000002</v>
      </c>
      <c r="V1466">
        <v>0.1235023</v>
      </c>
      <c r="W1466">
        <v>0.19567570000000001</v>
      </c>
      <c r="X1466">
        <v>0.97286079999999997</v>
      </c>
      <c r="Y1466">
        <v>0.29404740000000001</v>
      </c>
      <c r="Z1466">
        <v>3.1795389999999999E-3</v>
      </c>
      <c r="AA1466">
        <v>0.95578560000000001</v>
      </c>
      <c r="AB1466">
        <v>22</v>
      </c>
      <c r="AC1466">
        <v>-9.7166999999999994</v>
      </c>
      <c r="AD1466">
        <v>-1.1033035877849999</v>
      </c>
      <c r="AE1466">
        <v>-56.708499999999901</v>
      </c>
      <c r="AF1466">
        <v>16.969566793014199</v>
      </c>
      <c r="AG1466">
        <v>-1.1033035877849999</v>
      </c>
      <c r="AH1466">
        <v>54.953333098263599</v>
      </c>
      <c r="AI1466">
        <v>91.098986804733997</v>
      </c>
      <c r="AJ1466">
        <v>72.839333347747498</v>
      </c>
      <c r="AK1466">
        <v>57.524362617573601</v>
      </c>
      <c r="AL1466">
        <v>78.7158008204661</v>
      </c>
      <c r="AM1466">
        <v>82.765140146495</v>
      </c>
      <c r="AN1466">
        <v>0.99999996692620896</v>
      </c>
    </row>
    <row r="1467" spans="1:40" x14ac:dyDescent="0.25">
      <c r="A1467" t="str">
        <f>"20190304155621599"</f>
        <v>20190304155621599</v>
      </c>
      <c r="B1467" t="str">
        <f>"1551686181585603"</f>
        <v>1551686181585603</v>
      </c>
      <c r="C1467" t="s">
        <v>40</v>
      </c>
      <c r="D1467">
        <v>4.8319229999999997</v>
      </c>
      <c r="E1467">
        <v>0.56752990000000003</v>
      </c>
      <c r="F1467" t="s">
        <v>53</v>
      </c>
      <c r="G1467">
        <v>-199.38460000000001</v>
      </c>
      <c r="H1467" s="1">
        <v>1.610481E-6</v>
      </c>
      <c r="I1467">
        <v>290.76049999999998</v>
      </c>
      <c r="J1467">
        <v>-189.10720000000001</v>
      </c>
      <c r="K1467">
        <v>1.103545</v>
      </c>
      <c r="L1467">
        <v>348.63619999999997</v>
      </c>
      <c r="M1467">
        <v>0.11695949999999999</v>
      </c>
      <c r="N1467">
        <v>-1.514504E-2</v>
      </c>
      <c r="O1467">
        <v>-0.9930213</v>
      </c>
      <c r="P1467">
        <v>1.8971719999999999E-4</v>
      </c>
      <c r="Q1467">
        <v>0.1841836</v>
      </c>
      <c r="R1467">
        <v>-0.98289199999999999</v>
      </c>
      <c r="S1467">
        <v>-0.54153439999999997</v>
      </c>
      <c r="T1467">
        <v>-5.8222410000000002E-2</v>
      </c>
      <c r="U1467">
        <v>-3.0664669999999998</v>
      </c>
      <c r="V1467">
        <v>0.11814230000000001</v>
      </c>
      <c r="W1467">
        <v>0.1969709</v>
      </c>
      <c r="X1467">
        <v>0.97326509999999999</v>
      </c>
      <c r="Y1467">
        <v>0.28783009999999998</v>
      </c>
      <c r="Z1467">
        <v>2.9434790000000001E-3</v>
      </c>
      <c r="AA1467">
        <v>0.957677</v>
      </c>
      <c r="AB1467">
        <v>22</v>
      </c>
      <c r="AC1467">
        <v>-10.2774</v>
      </c>
      <c r="AD1467">
        <v>-1.1035433895190001</v>
      </c>
      <c r="AE1467">
        <v>-57.875700000000002</v>
      </c>
      <c r="AF1467">
        <v>16.970754043114901</v>
      </c>
      <c r="AG1467">
        <v>-1.1035433895190001</v>
      </c>
      <c r="AH1467">
        <v>56.256384344298802</v>
      </c>
      <c r="AI1467">
        <v>91.075910346101693</v>
      </c>
      <c r="AJ1467">
        <v>73.213114870057495</v>
      </c>
      <c r="AK1467">
        <v>58.770784240963799</v>
      </c>
      <c r="AL1467">
        <v>78.640119399016399</v>
      </c>
      <c r="AM1467">
        <v>83.078865326002003</v>
      </c>
      <c r="AN1467">
        <v>1.00000004668705</v>
      </c>
    </row>
    <row r="1468" spans="1:40" x14ac:dyDescent="0.25">
      <c r="A1468" t="str">
        <f>"20190304155621619"</f>
        <v>20190304155621619</v>
      </c>
      <c r="B1468" t="str">
        <f>"1551686181615859"</f>
        <v>1551686181615859</v>
      </c>
      <c r="C1468" t="s">
        <v>40</v>
      </c>
      <c r="D1468">
        <v>4.8213589999999904</v>
      </c>
      <c r="E1468">
        <v>0.56654579999999999</v>
      </c>
      <c r="F1468" t="s">
        <v>53</v>
      </c>
      <c r="G1468">
        <v>-199.97630000000001</v>
      </c>
      <c r="H1468" s="1">
        <v>1.825156E-6</v>
      </c>
      <c r="I1468">
        <v>288.97840000000002</v>
      </c>
      <c r="J1468">
        <v>-189.09569999999999</v>
      </c>
      <c r="K1468">
        <v>1.1037440000000001</v>
      </c>
      <c r="L1468">
        <v>348.4323</v>
      </c>
      <c r="M1468">
        <v>0.1063167</v>
      </c>
      <c r="N1468">
        <v>-1.5085400000000001E-2</v>
      </c>
      <c r="O1468">
        <v>-0.99421780000000004</v>
      </c>
      <c r="P1468">
        <v>-5.6201510000000003E-3</v>
      </c>
      <c r="Q1468">
        <v>0.1846071</v>
      </c>
      <c r="R1468">
        <v>-0.98279640000000001</v>
      </c>
      <c r="S1468">
        <v>-0.558029199999999</v>
      </c>
      <c r="T1468">
        <v>-5.6656480000000002E-2</v>
      </c>
      <c r="U1468">
        <v>-3.0628660000000001</v>
      </c>
      <c r="V1468">
        <v>0.1133619</v>
      </c>
      <c r="W1468">
        <v>0.19747529999999999</v>
      </c>
      <c r="X1468">
        <v>0.97373129999999997</v>
      </c>
      <c r="Y1468">
        <v>0.28276059999999997</v>
      </c>
      <c r="Z1468">
        <v>2.5820790000000001E-3</v>
      </c>
      <c r="AA1468">
        <v>0.95918700000000001</v>
      </c>
      <c r="AB1468">
        <v>22</v>
      </c>
      <c r="AC1468">
        <v>-10.880599999999999</v>
      </c>
      <c r="AD1468">
        <v>-1.1037421748439999</v>
      </c>
      <c r="AE1468">
        <v>-59.453899999999898</v>
      </c>
      <c r="AF1468">
        <v>17.134866326399202</v>
      </c>
      <c r="AG1468">
        <v>-1.1037421748439999</v>
      </c>
      <c r="AH1468">
        <v>57.940614099296504</v>
      </c>
      <c r="AI1468">
        <v>91.046532695873296</v>
      </c>
      <c r="AJ1468">
        <v>73.525390487000294</v>
      </c>
      <c r="AK1468">
        <v>60.431255596882103</v>
      </c>
      <c r="AL1468">
        <v>78.610640203151902</v>
      </c>
      <c r="AM1468">
        <v>83.359512601706498</v>
      </c>
      <c r="AN1468">
        <v>1.0000000295406899</v>
      </c>
    </row>
    <row r="1469" spans="1:40" x14ac:dyDescent="0.25">
      <c r="A1469" t="str">
        <f>"20190304155621643"</f>
        <v>20190304155621643</v>
      </c>
      <c r="B1469" t="str">
        <f>"1551686181636355"</f>
        <v>1551686181636355</v>
      </c>
      <c r="C1469" t="s">
        <v>40</v>
      </c>
      <c r="D1469">
        <v>4.8766619999999996</v>
      </c>
      <c r="E1469">
        <v>0.56576110000000002</v>
      </c>
      <c r="F1469" t="s">
        <v>53</v>
      </c>
      <c r="G1469">
        <v>-199.9693</v>
      </c>
      <c r="H1469" s="1">
        <v>1.734437E-6</v>
      </c>
      <c r="I1469">
        <v>289.79989999999998</v>
      </c>
      <c r="J1469">
        <v>-189.0849</v>
      </c>
      <c r="K1469">
        <v>1.1039620000000001</v>
      </c>
      <c r="L1469">
        <v>348.19740000000002</v>
      </c>
      <c r="M1469">
        <v>9.4383709999999996E-2</v>
      </c>
      <c r="N1469">
        <v>-1.5016359999999999E-2</v>
      </c>
      <c r="O1469">
        <v>-0.9954229</v>
      </c>
      <c r="P1469">
        <v>-1.237593E-2</v>
      </c>
      <c r="Q1469">
        <v>0.18456320000000001</v>
      </c>
      <c r="R1469">
        <v>-0.98274329999999999</v>
      </c>
      <c r="S1469">
        <v>-0.56750489999999998</v>
      </c>
      <c r="T1469">
        <v>-5.7605499999999997E-2</v>
      </c>
      <c r="U1469">
        <v>-3.0600890000000001</v>
      </c>
      <c r="V1469">
        <v>0.10825559999999999</v>
      </c>
      <c r="W1469">
        <v>0.19751170000000001</v>
      </c>
      <c r="X1469">
        <v>0.97430479999999997</v>
      </c>
      <c r="Y1469">
        <v>0.27427259999999998</v>
      </c>
      <c r="Z1469">
        <v>3.0322560000000001E-3</v>
      </c>
      <c r="AA1469">
        <v>0.96164720000000004</v>
      </c>
      <c r="AB1469">
        <v>22</v>
      </c>
      <c r="AC1469">
        <v>-10.884399999999999</v>
      </c>
      <c r="AD1469">
        <v>-1.1039602655630001</v>
      </c>
      <c r="AE1469">
        <v>-58.397500000000001</v>
      </c>
      <c r="AF1469">
        <v>16.3425484472682</v>
      </c>
      <c r="AG1469">
        <v>-1.1039602655630001</v>
      </c>
      <c r="AH1469">
        <v>57.089605756970897</v>
      </c>
      <c r="AI1469">
        <v>91.065040933543003</v>
      </c>
      <c r="AJ1469">
        <v>74.025628662593206</v>
      </c>
      <c r="AK1469">
        <v>59.392934794515902</v>
      </c>
      <c r="AL1469">
        <v>78.608512335159006</v>
      </c>
      <c r="AM1469">
        <v>83.659836653488895</v>
      </c>
      <c r="AN1469">
        <v>0.99999999493564495</v>
      </c>
    </row>
    <row r="1470" spans="1:40" x14ac:dyDescent="0.25">
      <c r="A1470" t="str">
        <f>"20190304155621665"</f>
        <v>20190304155621665</v>
      </c>
      <c r="B1470" t="str">
        <f>"1551686181655875"</f>
        <v>1551686181655875</v>
      </c>
      <c r="C1470" t="s">
        <v>40</v>
      </c>
      <c r="D1470">
        <v>4.9336190000000002</v>
      </c>
      <c r="E1470">
        <v>0.5649556</v>
      </c>
      <c r="F1470" t="s">
        <v>53</v>
      </c>
      <c r="G1470">
        <v>-199.71539999999999</v>
      </c>
      <c r="H1470" s="1">
        <v>1.322689E-6</v>
      </c>
      <c r="I1470">
        <v>292.22800000000001</v>
      </c>
      <c r="J1470">
        <v>-189.07679999999999</v>
      </c>
      <c r="K1470">
        <v>1.104169</v>
      </c>
      <c r="L1470">
        <v>347.97539999999998</v>
      </c>
      <c r="M1470">
        <v>8.3436650000000001E-2</v>
      </c>
      <c r="N1470">
        <v>-1.4948410000000001E-2</v>
      </c>
      <c r="O1470">
        <v>-0.99640119999999999</v>
      </c>
      <c r="P1470">
        <v>-1.771557E-2</v>
      </c>
      <c r="Q1470">
        <v>0.184418</v>
      </c>
      <c r="R1470">
        <v>-0.98268849999999996</v>
      </c>
      <c r="S1470">
        <v>-0.58056640000000004</v>
      </c>
      <c r="T1470">
        <v>-6.029093E-2</v>
      </c>
      <c r="U1470">
        <v>-3.0566710000000001</v>
      </c>
      <c r="V1470">
        <v>0.1027214</v>
      </c>
      <c r="W1470">
        <v>0.1974486</v>
      </c>
      <c r="X1470">
        <v>0.97491660000000002</v>
      </c>
      <c r="Y1470">
        <v>0.26785789999999998</v>
      </c>
      <c r="Z1470">
        <v>4.0205079999999999E-3</v>
      </c>
      <c r="AA1470">
        <v>0.96345000000000003</v>
      </c>
      <c r="AB1470">
        <v>22</v>
      </c>
      <c r="AC1470">
        <v>-10.638599999999901</v>
      </c>
      <c r="AD1470">
        <v>-1.1041676773110001</v>
      </c>
      <c r="AE1470">
        <v>-55.747399999999899</v>
      </c>
      <c r="AF1470">
        <v>15.2476192707833</v>
      </c>
      <c r="AG1470">
        <v>-1.1041676773110001</v>
      </c>
      <c r="AH1470">
        <v>54.644538011817197</v>
      </c>
      <c r="AI1470">
        <v>91.1150004329768</v>
      </c>
      <c r="AJ1470">
        <v>74.409153318472207</v>
      </c>
      <c r="AK1470">
        <v>56.742705383258802</v>
      </c>
      <c r="AL1470">
        <v>78.6122004581445</v>
      </c>
      <c r="AM1470">
        <v>83.985262891581201</v>
      </c>
      <c r="AN1470">
        <v>1.0000000063077299</v>
      </c>
    </row>
    <row r="1471" spans="1:40" x14ac:dyDescent="0.25">
      <c r="A1471" t="str">
        <f>"20190304155621689"</f>
        <v>20190304155621689</v>
      </c>
      <c r="B1471" t="str">
        <f>"1551686181676370"</f>
        <v>1551686181676370</v>
      </c>
      <c r="C1471" t="s">
        <v>40</v>
      </c>
      <c r="D1471">
        <v>4.9149479999999999</v>
      </c>
      <c r="E1471">
        <v>0.56454799999999905</v>
      </c>
      <c r="F1471" t="s">
        <v>53</v>
      </c>
      <c r="G1471">
        <v>-199.44110000000001</v>
      </c>
      <c r="H1471" s="1">
        <v>9.7650560000000008E-7</v>
      </c>
      <c r="I1471">
        <v>294.33179999999999</v>
      </c>
      <c r="J1471">
        <v>-189.07060000000001</v>
      </c>
      <c r="K1471">
        <v>1.1044099999999999</v>
      </c>
      <c r="L1471">
        <v>347.74299999999999</v>
      </c>
      <c r="M1471">
        <v>7.2320690000000007E-2</v>
      </c>
      <c r="N1471">
        <v>-1.4875589999999999E-2</v>
      </c>
      <c r="O1471">
        <v>-0.99727049999999995</v>
      </c>
      <c r="P1471">
        <v>-2.293804E-2</v>
      </c>
      <c r="Q1471">
        <v>0.18432770000000001</v>
      </c>
      <c r="R1471">
        <v>-0.9825969</v>
      </c>
      <c r="S1471">
        <v>-0.59004209999999901</v>
      </c>
      <c r="T1471">
        <v>-6.2860849999999996E-2</v>
      </c>
      <c r="U1471">
        <v>-3.0539550000000002</v>
      </c>
      <c r="V1471">
        <v>9.6899810000000003E-2</v>
      </c>
      <c r="W1471">
        <v>0.1974398</v>
      </c>
      <c r="X1471">
        <v>0.9755142</v>
      </c>
      <c r="Y1471">
        <v>0.2601465</v>
      </c>
      <c r="Z1471">
        <v>4.9811150000000004E-3</v>
      </c>
      <c r="AA1471">
        <v>0.96555630000000003</v>
      </c>
      <c r="AB1471">
        <v>22</v>
      </c>
      <c r="AC1471">
        <v>-10.3704999999999</v>
      </c>
      <c r="AD1471">
        <v>-1.1044090234944</v>
      </c>
      <c r="AE1471">
        <v>-53.411200000000001</v>
      </c>
      <c r="AF1471">
        <v>14.200649340653399</v>
      </c>
      <c r="AG1471">
        <v>-1.1044090234944</v>
      </c>
      <c r="AH1471">
        <v>52.499592210305899</v>
      </c>
      <c r="AI1471">
        <v>91.163331997339299</v>
      </c>
      <c r="AJ1471">
        <v>74.864225541485297</v>
      </c>
      <c r="AK1471">
        <v>54.397475522636</v>
      </c>
      <c r="AL1471">
        <v>78.612714725919602</v>
      </c>
      <c r="AM1471">
        <v>84.327302050284302</v>
      </c>
      <c r="AN1471">
        <v>1.0000000011018499</v>
      </c>
    </row>
    <row r="1472" spans="1:40" x14ac:dyDescent="0.25">
      <c r="A1472" t="str">
        <f>"20190304155621709"</f>
        <v>20190304155621709</v>
      </c>
      <c r="B1472" t="str">
        <f>"1551686181706161"</f>
        <v>1551686181706161</v>
      </c>
      <c r="C1472" t="s">
        <v>40</v>
      </c>
      <c r="D1472">
        <v>4.9286269999999996</v>
      </c>
      <c r="E1472">
        <v>0.54352239999999996</v>
      </c>
      <c r="F1472" t="s">
        <v>53</v>
      </c>
      <c r="G1472">
        <v>-199.53880000000001</v>
      </c>
      <c r="H1472" s="1">
        <v>8.5263869999999999E-7</v>
      </c>
      <c r="I1472">
        <v>294.8005</v>
      </c>
      <c r="J1472">
        <v>-189.06700000000001</v>
      </c>
      <c r="K1472">
        <v>1.104622</v>
      </c>
      <c r="L1472">
        <v>347.54169999999999</v>
      </c>
      <c r="M1472">
        <v>6.2987009999999996E-2</v>
      </c>
      <c r="N1472">
        <v>-1.4812250000000001E-2</v>
      </c>
      <c r="O1472">
        <v>-0.99790449999999997</v>
      </c>
      <c r="P1472">
        <v>-2.5905149999999998E-2</v>
      </c>
      <c r="Q1472">
        <v>0.1847896</v>
      </c>
      <c r="R1472">
        <v>-0.98243670000000005</v>
      </c>
      <c r="S1472">
        <v>-0.60327149999999996</v>
      </c>
      <c r="T1472">
        <v>-6.3645960000000001E-2</v>
      </c>
      <c r="U1472">
        <v>-3.0510250000000001</v>
      </c>
      <c r="V1472">
        <v>9.0595560000000006E-2</v>
      </c>
      <c r="W1472">
        <v>0.1979871</v>
      </c>
      <c r="X1472">
        <v>0.97600900000000002</v>
      </c>
      <c r="Y1472">
        <v>0.25531530000000002</v>
      </c>
      <c r="Z1472">
        <v>5.3491220000000004E-3</v>
      </c>
      <c r="AA1472">
        <v>0.96684309999999996</v>
      </c>
      <c r="AB1472">
        <v>22</v>
      </c>
      <c r="AC1472">
        <v>-10.4718</v>
      </c>
      <c r="AD1472">
        <v>-1.1046211473612999</v>
      </c>
      <c r="AE1472">
        <v>-52.7411999999999</v>
      </c>
      <c r="AF1472">
        <v>13.767566582890099</v>
      </c>
      <c r="AG1472">
        <v>-1.1046211473612999</v>
      </c>
      <c r="AH1472">
        <v>51.954865520711699</v>
      </c>
      <c r="AI1472">
        <v>91.177367542578395</v>
      </c>
      <c r="AJ1472">
        <v>75.158260113148302</v>
      </c>
      <c r="AK1472">
        <v>53.759409676527802</v>
      </c>
      <c r="AL1472">
        <v>78.580725344996793</v>
      </c>
      <c r="AM1472">
        <v>84.696860381789804</v>
      </c>
      <c r="AN1472">
        <v>1.0000000076695601</v>
      </c>
    </row>
    <row r="1473" spans="1:40" x14ac:dyDescent="0.25">
      <c r="A1473" t="str">
        <f>"20190304155621732"</f>
        <v>20190304155621732</v>
      </c>
      <c r="B1473" t="str">
        <f>"1551686181726657"</f>
        <v>1551686181726657</v>
      </c>
      <c r="C1473" t="s">
        <v>40</v>
      </c>
      <c r="D1473">
        <v>4.9265280000000002</v>
      </c>
      <c r="E1473">
        <v>0.54275479999999998</v>
      </c>
      <c r="F1473" t="s">
        <v>41</v>
      </c>
      <c r="G1473">
        <v>-194.01480000000001</v>
      </c>
      <c r="H1473" s="1">
        <v>-2.9659540000000001E-6</v>
      </c>
      <c r="I1473">
        <v>313.6062</v>
      </c>
      <c r="J1473">
        <v>-189.06479999999999</v>
      </c>
      <c r="K1473">
        <v>1.104878</v>
      </c>
      <c r="L1473">
        <v>347.31599999999997</v>
      </c>
      <c r="M1473">
        <v>5.2868129999999999E-2</v>
      </c>
      <c r="N1473">
        <v>-1.474204E-2</v>
      </c>
      <c r="O1473">
        <v>-0.99849270000000001</v>
      </c>
      <c r="P1473">
        <v>-3.075249E-2</v>
      </c>
      <c r="Q1473">
        <v>0.1852974</v>
      </c>
      <c r="R1473">
        <v>-0.9822012</v>
      </c>
      <c r="S1473">
        <v>-0.44624330000000001</v>
      </c>
      <c r="T1473">
        <v>-9.9625829999999999E-2</v>
      </c>
      <c r="U1473">
        <v>-3.060638</v>
      </c>
      <c r="V1473">
        <v>8.5381689999999996E-2</v>
      </c>
      <c r="W1473">
        <v>0.19855680000000001</v>
      </c>
      <c r="X1473">
        <v>0.97636319999999999</v>
      </c>
      <c r="Y1473">
        <v>0.19630500000000001</v>
      </c>
      <c r="Z1473">
        <v>1.7185280000000001E-2</v>
      </c>
      <c r="AA1473">
        <v>0.98039229999999999</v>
      </c>
      <c r="AB1473">
        <v>22</v>
      </c>
      <c r="AC1473">
        <v>-4.9500000000000099</v>
      </c>
      <c r="AD1473">
        <v>-1.104880965954</v>
      </c>
      <c r="AE1473">
        <v>-33.709799999999902</v>
      </c>
      <c r="AF1473">
        <v>6.7183785775107303</v>
      </c>
      <c r="AG1473">
        <v>-1.104880965954</v>
      </c>
      <c r="AH1473">
        <v>33.365833232904798</v>
      </c>
      <c r="AI1473">
        <v>91.859317125720693</v>
      </c>
      <c r="AJ1473">
        <v>78.615435200737807</v>
      </c>
      <c r="AK1473">
        <v>34.053431544936799</v>
      </c>
      <c r="AL1473">
        <v>78.547422313662196</v>
      </c>
      <c r="AM1473">
        <v>85.002272505639596</v>
      </c>
      <c r="AN1473">
        <v>0.99999996706386696</v>
      </c>
    </row>
    <row r="1474" spans="1:40" x14ac:dyDescent="0.25">
      <c r="A1474" t="str">
        <f>"20190304155621753"</f>
        <v>20190304155621753</v>
      </c>
      <c r="B1474" t="str">
        <f>"1551686181746176"</f>
        <v>1551686181746176</v>
      </c>
      <c r="C1474" t="s">
        <v>40</v>
      </c>
      <c r="D1474">
        <v>4.9014410000000002</v>
      </c>
      <c r="E1474">
        <v>0.54152219999999995</v>
      </c>
      <c r="F1474" t="s">
        <v>41</v>
      </c>
      <c r="G1474">
        <v>-194.3895</v>
      </c>
      <c r="H1474" s="1">
        <v>-2.041913E-6</v>
      </c>
      <c r="I1474">
        <v>311.44049999999999</v>
      </c>
      <c r="J1474">
        <v>-189.06460000000001</v>
      </c>
      <c r="K1474">
        <v>1.105113</v>
      </c>
      <c r="L1474">
        <v>347.1028</v>
      </c>
      <c r="M1474">
        <v>4.3632280000000002E-2</v>
      </c>
      <c r="N1474">
        <v>-1.4676750000000001E-2</v>
      </c>
      <c r="O1474">
        <v>-0.9989401</v>
      </c>
      <c r="P1474">
        <v>-3.4374450000000001E-2</v>
      </c>
      <c r="Q1474">
        <v>0.18515770000000001</v>
      </c>
      <c r="R1474">
        <v>-0.98210770000000003</v>
      </c>
      <c r="S1474">
        <v>-0.45385740000000002</v>
      </c>
      <c r="T1474">
        <v>-9.4176770000000007E-2</v>
      </c>
      <c r="U1474">
        <v>-3.057922</v>
      </c>
      <c r="V1474">
        <v>7.9822899999999905E-2</v>
      </c>
      <c r="W1474">
        <v>0.19848060000000001</v>
      </c>
      <c r="X1474">
        <v>0.97684890000000002</v>
      </c>
      <c r="Y1474">
        <v>0.1897558</v>
      </c>
      <c r="Z1474">
        <v>1.5573129999999999E-2</v>
      </c>
      <c r="AA1474">
        <v>0.98170780000000002</v>
      </c>
      <c r="AB1474">
        <v>22</v>
      </c>
      <c r="AC1474">
        <v>-5.32489999999998</v>
      </c>
      <c r="AD1474">
        <v>-1.105115041913</v>
      </c>
      <c r="AE1474">
        <v>-35.662300000000002</v>
      </c>
      <c r="AF1474">
        <v>6.8695696469976903</v>
      </c>
      <c r="AG1474">
        <v>-1.105115041913</v>
      </c>
      <c r="AH1474">
        <v>35.362750075693697</v>
      </c>
      <c r="AI1474">
        <v>91.757131499746293</v>
      </c>
      <c r="AJ1474">
        <v>79.006639549781298</v>
      </c>
      <c r="AK1474">
        <v>36.040759693807701</v>
      </c>
      <c r="AL1474">
        <v>78.551877394568294</v>
      </c>
      <c r="AM1474">
        <v>85.328472698352797</v>
      </c>
      <c r="AN1474">
        <v>1.0000000086859899</v>
      </c>
    </row>
    <row r="1475" spans="1:40" x14ac:dyDescent="0.25">
      <c r="A1475" t="str">
        <f>"20190304155621780"</f>
        <v>20190304155621780</v>
      </c>
      <c r="B1475" t="str">
        <f>"1551686181766673"</f>
        <v>1551686181766673</v>
      </c>
      <c r="C1475" t="s">
        <v>40</v>
      </c>
      <c r="D1475">
        <v>4.9503320000000004</v>
      </c>
      <c r="E1475">
        <v>0.5404639</v>
      </c>
      <c r="F1475" t="s">
        <v>41</v>
      </c>
      <c r="G1475">
        <v>-194.49590000000001</v>
      </c>
      <c r="H1475" s="1">
        <v>-1.684808E-6</v>
      </c>
      <c r="I1475">
        <v>310.62520000000001</v>
      </c>
      <c r="J1475">
        <v>-189.06620000000001</v>
      </c>
      <c r="K1475">
        <v>1.1053360000000001</v>
      </c>
      <c r="L1475">
        <v>346.85660000000001</v>
      </c>
      <c r="M1475">
        <v>3.3301980000000002E-2</v>
      </c>
      <c r="N1475">
        <v>-1.4606009999999999E-2</v>
      </c>
      <c r="O1475">
        <v>-0.99933879999999997</v>
      </c>
      <c r="P1475">
        <v>-3.827875E-2</v>
      </c>
      <c r="Q1475">
        <v>0.184332</v>
      </c>
      <c r="R1475">
        <v>-0.98211870000000001</v>
      </c>
      <c r="S1475">
        <v>-0.4550476</v>
      </c>
      <c r="T1475">
        <v>-9.258914E-2</v>
      </c>
      <c r="U1475">
        <v>-3.0561829999999999</v>
      </c>
      <c r="V1475">
        <v>7.3473269999999993E-2</v>
      </c>
      <c r="W1475">
        <v>0.19771739999999999</v>
      </c>
      <c r="X1475">
        <v>0.97750170000000003</v>
      </c>
      <c r="Y1475">
        <v>0.18005589999999999</v>
      </c>
      <c r="Z1475">
        <v>1.520615E-2</v>
      </c>
      <c r="AA1475">
        <v>0.98353889999999999</v>
      </c>
      <c r="AB1475">
        <v>22</v>
      </c>
      <c r="AC1475">
        <v>-5.4296999999999898</v>
      </c>
      <c r="AD1475">
        <v>-1.1053376848080001</v>
      </c>
      <c r="AE1475">
        <v>-36.231400000000001</v>
      </c>
      <c r="AF1475">
        <v>6.62736079834331</v>
      </c>
      <c r="AG1475">
        <v>-1.1053376848080001</v>
      </c>
      <c r="AH1475">
        <v>35.997692516513403</v>
      </c>
      <c r="AI1475">
        <v>91.729708126773104</v>
      </c>
      <c r="AJ1475">
        <v>79.568363887567301</v>
      </c>
      <c r="AK1475">
        <v>36.619360303838199</v>
      </c>
      <c r="AL1475">
        <v>78.596489935639994</v>
      </c>
      <c r="AM1475">
        <v>85.701483473834102</v>
      </c>
      <c r="AN1475">
        <v>1.00000003258507</v>
      </c>
    </row>
    <row r="1476" spans="1:40" x14ac:dyDescent="0.25">
      <c r="A1476" t="str">
        <f>"20190304155621801"</f>
        <v>20190304155621801</v>
      </c>
      <c r="B1476" t="str">
        <f>"1551686181796460"</f>
        <v>1551686181796460</v>
      </c>
      <c r="C1476" t="s">
        <v>40</v>
      </c>
      <c r="D1476">
        <v>4.8207559999999896</v>
      </c>
      <c r="E1476">
        <v>0.53971190000000002</v>
      </c>
      <c r="F1476" t="s">
        <v>41</v>
      </c>
      <c r="G1476">
        <v>-194.41390000000001</v>
      </c>
      <c r="H1476" s="1">
        <v>-1.986649E-6</v>
      </c>
      <c r="I1476">
        <v>311.30990000000003</v>
      </c>
      <c r="J1476">
        <v>-189.0694</v>
      </c>
      <c r="K1476">
        <v>1.105502</v>
      </c>
      <c r="L1476">
        <v>346.64400000000001</v>
      </c>
      <c r="M1476">
        <v>2.4647329999999999E-2</v>
      </c>
      <c r="N1476">
        <v>-1.4549980000000001E-2</v>
      </c>
      <c r="O1476">
        <v>-0.99959030000000004</v>
      </c>
      <c r="P1476">
        <v>-4.0198879999999999E-2</v>
      </c>
      <c r="Q1476">
        <v>0.1842898</v>
      </c>
      <c r="R1476">
        <v>-0.98204959999999997</v>
      </c>
      <c r="S1476">
        <v>-0.45951839999999999</v>
      </c>
      <c r="T1476">
        <v>-9.4980839999999997E-2</v>
      </c>
      <c r="U1476">
        <v>-3.0545040000000001</v>
      </c>
      <c r="V1476">
        <v>6.6821179999999994E-2</v>
      </c>
      <c r="W1476">
        <v>0.19773660000000001</v>
      </c>
      <c r="X1476">
        <v>0.97797509999999999</v>
      </c>
      <c r="Y1476">
        <v>0.17302000000000001</v>
      </c>
      <c r="Z1476">
        <v>1.6086320000000001E-2</v>
      </c>
      <c r="AA1476">
        <v>0.98478690000000002</v>
      </c>
      <c r="AB1476">
        <v>22</v>
      </c>
      <c r="AC1476">
        <v>-5.3445000000000098</v>
      </c>
      <c r="AD1476">
        <v>-1.105503986649</v>
      </c>
      <c r="AE1476">
        <v>-35.3340999999999</v>
      </c>
      <c r="AF1476">
        <v>6.2079185497970304</v>
      </c>
      <c r="AG1476">
        <v>-1.105503986649</v>
      </c>
      <c r="AH1476">
        <v>35.1579760007902</v>
      </c>
      <c r="AI1476">
        <v>91.773591399389105</v>
      </c>
      <c r="AJ1476">
        <v>79.986378342414</v>
      </c>
      <c r="AK1476">
        <v>35.718953907660101</v>
      </c>
      <c r="AL1476">
        <v>78.595368071139106</v>
      </c>
      <c r="AM1476">
        <v>86.091280445076293</v>
      </c>
      <c r="AN1476">
        <v>1.00000006464807</v>
      </c>
    </row>
    <row r="1477" spans="1:40" x14ac:dyDescent="0.25">
      <c r="A1477" t="str">
        <f>"20190304155621822"</f>
        <v>20190304155621822</v>
      </c>
      <c r="B1477" t="str">
        <f>"1551686181815979"</f>
        <v>1551686181815979</v>
      </c>
      <c r="C1477" t="s">
        <v>40</v>
      </c>
      <c r="D1477">
        <v>4.8779579999999996</v>
      </c>
      <c r="E1477">
        <v>0.5305879</v>
      </c>
      <c r="F1477" t="s">
        <v>41</v>
      </c>
      <c r="G1477">
        <v>-194.4024</v>
      </c>
      <c r="H1477" s="1">
        <v>-1.9266669999999998E-6</v>
      </c>
      <c r="I1477">
        <v>311.18939999999998</v>
      </c>
      <c r="J1477">
        <v>-189.07409999999999</v>
      </c>
      <c r="K1477">
        <v>1.1056600000000001</v>
      </c>
      <c r="L1477">
        <v>346.42840000000001</v>
      </c>
      <c r="M1477">
        <v>1.6138E-2</v>
      </c>
      <c r="N1477">
        <v>-1.4495630000000001E-2</v>
      </c>
      <c r="O1477">
        <v>-0.99976489999999996</v>
      </c>
      <c r="P1477">
        <v>-4.2431249999999997E-2</v>
      </c>
      <c r="Q1477">
        <v>0.18435940000000001</v>
      </c>
      <c r="R1477">
        <v>-0.98194300000000001</v>
      </c>
      <c r="S1477">
        <v>-0.45936579999999999</v>
      </c>
      <c r="T1477">
        <v>-9.5222950000000001E-2</v>
      </c>
      <c r="U1477">
        <v>-3.0538940000000001</v>
      </c>
      <c r="V1477">
        <v>6.0628309999999998E-2</v>
      </c>
      <c r="W1477">
        <v>0.19785620000000001</v>
      </c>
      <c r="X1477">
        <v>0.97835430000000001</v>
      </c>
      <c r="Y1477">
        <v>0.1646136</v>
      </c>
      <c r="Z1477">
        <v>1.62647E-2</v>
      </c>
      <c r="AA1477">
        <v>0.98622399999999999</v>
      </c>
      <c r="AB1477">
        <v>22</v>
      </c>
      <c r="AC1477">
        <v>-5.3283000000000103</v>
      </c>
      <c r="AD1477">
        <v>-1.105661926667</v>
      </c>
      <c r="AE1477">
        <v>-35.238999999999997</v>
      </c>
      <c r="AF1477">
        <v>5.8906830784254796</v>
      </c>
      <c r="AG1477">
        <v>-1.105661926667</v>
      </c>
      <c r="AH1477">
        <v>35.114616663305</v>
      </c>
      <c r="AI1477">
        <v>91.778651893538793</v>
      </c>
      <c r="AJ1477">
        <v>80.476968436201602</v>
      </c>
      <c r="AK1477">
        <v>35.622449927501997</v>
      </c>
      <c r="AL1477">
        <v>78.588376658719199</v>
      </c>
      <c r="AM1477">
        <v>86.453933075002396</v>
      </c>
      <c r="AN1477">
        <v>1.00000000209019</v>
      </c>
    </row>
    <row r="1478" spans="1:40" x14ac:dyDescent="0.25">
      <c r="A1478" t="str">
        <f>"20190304155621844"</f>
        <v>20190304155621844</v>
      </c>
      <c r="B1478" t="str">
        <f>"1551686181836476"</f>
        <v>1551686181836476</v>
      </c>
      <c r="C1478" t="s">
        <v>40</v>
      </c>
      <c r="D1478">
        <v>4.9085400000000003</v>
      </c>
      <c r="E1478">
        <v>0.53115570000000001</v>
      </c>
      <c r="F1478" t="s">
        <v>41</v>
      </c>
      <c r="G1478">
        <v>-192.9606</v>
      </c>
      <c r="H1478" s="1">
        <v>-3.9551849999999996E-6</v>
      </c>
      <c r="I1478">
        <v>316.29230000000001</v>
      </c>
      <c r="J1478">
        <v>-189.08019999999999</v>
      </c>
      <c r="K1478">
        <v>1.10582</v>
      </c>
      <c r="L1478">
        <v>346.22050000000002</v>
      </c>
      <c r="M1478">
        <v>8.1884599999999998E-3</v>
      </c>
      <c r="N1478">
        <v>-1.444339E-2</v>
      </c>
      <c r="O1478">
        <v>-0.99986229999999998</v>
      </c>
      <c r="P1478">
        <v>-4.4319310000000001E-2</v>
      </c>
      <c r="Q1478">
        <v>0.18494730000000001</v>
      </c>
      <c r="R1478">
        <v>-0.98174910000000004</v>
      </c>
      <c r="S1478">
        <v>-0.39453129999999997</v>
      </c>
      <c r="T1478">
        <v>-0.11223900000000001</v>
      </c>
      <c r="U1478">
        <v>-3.0592039999999998</v>
      </c>
      <c r="V1478">
        <v>5.4645150000000003E-2</v>
      </c>
      <c r="W1478">
        <v>0.1984863</v>
      </c>
      <c r="X1478">
        <v>0.97857910000000004</v>
      </c>
      <c r="Y1478">
        <v>0.13594339999999999</v>
      </c>
      <c r="Z1478">
        <v>2.1896840000000001E-2</v>
      </c>
      <c r="AA1478">
        <v>0.99047459999999998</v>
      </c>
      <c r="AB1478">
        <v>22</v>
      </c>
      <c r="AC1478">
        <v>-3.8803999999999998</v>
      </c>
      <c r="AD1478">
        <v>-1.105823955185</v>
      </c>
      <c r="AE1478">
        <v>-29.9282</v>
      </c>
      <c r="AF1478">
        <v>4.1198296901737201</v>
      </c>
      <c r="AG1478">
        <v>-1.105823955185</v>
      </c>
      <c r="AH1478">
        <v>29.855332628093699</v>
      </c>
      <c r="AI1478">
        <v>92.101337782870502</v>
      </c>
      <c r="AJ1478">
        <v>82.143197423420702</v>
      </c>
      <c r="AK1478">
        <v>30.1585266488602</v>
      </c>
      <c r="AL1478">
        <v>78.551543838443393</v>
      </c>
      <c r="AM1478">
        <v>86.803847343347201</v>
      </c>
      <c r="AN1478">
        <v>0.99999997933151097</v>
      </c>
    </row>
    <row r="1479" spans="1:40" x14ac:dyDescent="0.25">
      <c r="A1479" t="str">
        <f>"20190304155621865"</f>
        <v>20190304155621865</v>
      </c>
      <c r="B1479" t="str">
        <f>"1551686181855996"</f>
        <v>1551686181855996</v>
      </c>
      <c r="C1479" t="s">
        <v>40</v>
      </c>
      <c r="D1479">
        <v>4.9457649999999997</v>
      </c>
      <c r="E1479">
        <v>0.53098400000000001</v>
      </c>
      <c r="F1479" t="s">
        <v>41</v>
      </c>
      <c r="G1479">
        <v>-193.28290000000001</v>
      </c>
      <c r="H1479" s="1">
        <v>-3.1902730000000001E-6</v>
      </c>
      <c r="I1479">
        <v>314.49270000000001</v>
      </c>
      <c r="J1479">
        <v>-189.08789999999999</v>
      </c>
      <c r="K1479">
        <v>1.1059969999999999</v>
      </c>
      <c r="L1479">
        <v>346.0043</v>
      </c>
      <c r="M1479">
        <v>1.79871699999999E-4</v>
      </c>
      <c r="N1479">
        <v>-1.438938E-2</v>
      </c>
      <c r="O1479">
        <v>-0.99989649999999997</v>
      </c>
      <c r="P1479">
        <v>-4.6642120000000002E-2</v>
      </c>
      <c r="Q1479">
        <v>0.18610270000000001</v>
      </c>
      <c r="R1479">
        <v>-0.98142269999999998</v>
      </c>
      <c r="S1479">
        <v>-0.40501399999999999</v>
      </c>
      <c r="T1479">
        <v>-0.1065676</v>
      </c>
      <c r="U1479">
        <v>-3.0575869999999998</v>
      </c>
      <c r="V1479">
        <v>4.9035700000000002E-2</v>
      </c>
      <c r="W1479">
        <v>0.19967360000000001</v>
      </c>
      <c r="X1479">
        <v>0.97863469999999997</v>
      </c>
      <c r="Y1479">
        <v>0.1314206</v>
      </c>
      <c r="Z1479">
        <v>2.0146219999999999E-2</v>
      </c>
      <c r="AA1479">
        <v>0.9911219</v>
      </c>
      <c r="AB1479">
        <v>22</v>
      </c>
      <c r="AC1479">
        <v>-4.1950000000000198</v>
      </c>
      <c r="AD1479">
        <v>-1.1060001902729999</v>
      </c>
      <c r="AE1479">
        <v>-31.511599999999898</v>
      </c>
      <c r="AF1479">
        <v>4.1955900901590599</v>
      </c>
      <c r="AG1479">
        <v>-1.1060001902729999</v>
      </c>
      <c r="AH1479">
        <v>31.472749248938602</v>
      </c>
      <c r="AI1479">
        <v>91.994998225981902</v>
      </c>
      <c r="AJ1479">
        <v>82.406745511112803</v>
      </c>
      <c r="AK1479">
        <v>31.770428985333002</v>
      </c>
      <c r="AL1479">
        <v>78.482126843630596</v>
      </c>
      <c r="AM1479">
        <v>87.131523183069405</v>
      </c>
      <c r="AN1479">
        <v>0.99999996122776902</v>
      </c>
    </row>
    <row r="1480" spans="1:40" x14ac:dyDescent="0.25">
      <c r="A1480" t="str">
        <f>"20190304155621889"</f>
        <v>20190304155621889</v>
      </c>
      <c r="B1480" t="str">
        <f>"1551686181886684"</f>
        <v>1551686181886684</v>
      </c>
      <c r="C1480" t="s">
        <v>40</v>
      </c>
      <c r="D1480">
        <v>4.9175420000000001</v>
      </c>
      <c r="E1480">
        <v>0.53043119999999999</v>
      </c>
      <c r="F1480" t="s">
        <v>41</v>
      </c>
      <c r="G1480">
        <v>-193.57409999999999</v>
      </c>
      <c r="H1480" s="1">
        <v>-2.3719900000000001E-6</v>
      </c>
      <c r="I1480">
        <v>312.59780000000001</v>
      </c>
      <c r="J1480">
        <v>-189.0977</v>
      </c>
      <c r="K1480">
        <v>1.106185</v>
      </c>
      <c r="L1480">
        <v>345.7747</v>
      </c>
      <c r="M1480">
        <v>-8.0588359999999998E-3</v>
      </c>
      <c r="N1480">
        <v>-1.4334410000000001E-2</v>
      </c>
      <c r="O1480">
        <v>-0.9998648</v>
      </c>
      <c r="P1480">
        <v>-5.2003000000000001E-2</v>
      </c>
      <c r="Q1480">
        <v>0.18672800000000001</v>
      </c>
      <c r="R1480">
        <v>-0.98103430000000003</v>
      </c>
      <c r="S1480">
        <v>-0.41044619999999998</v>
      </c>
      <c r="T1480">
        <v>-0.1011899</v>
      </c>
      <c r="U1480">
        <v>-3.0564269999999998</v>
      </c>
      <c r="V1480">
        <v>4.6223380000000001E-2</v>
      </c>
      <c r="W1480">
        <v>0.20029739999999999</v>
      </c>
      <c r="X1480">
        <v>0.97864410000000002</v>
      </c>
      <c r="Y1480">
        <v>0.1250377</v>
      </c>
      <c r="Z1480">
        <v>1.8488279999999999E-2</v>
      </c>
      <c r="AA1480">
        <v>0.99197970000000002</v>
      </c>
      <c r="AB1480">
        <v>21</v>
      </c>
      <c r="AC1480">
        <v>-4.4763999999999804</v>
      </c>
      <c r="AD1480">
        <v>-1.1061873719899999</v>
      </c>
      <c r="AE1480">
        <v>-33.176899999999897</v>
      </c>
      <c r="AF1480">
        <v>4.2042696429703597</v>
      </c>
      <c r="AG1480">
        <v>-1.1061873719899999</v>
      </c>
      <c r="AH1480">
        <v>33.175678870568397</v>
      </c>
      <c r="AI1480">
        <v>91.894582570953006</v>
      </c>
      <c r="AJ1480">
        <v>82.7775507891796</v>
      </c>
      <c r="AK1480">
        <v>33.459306661313697</v>
      </c>
      <c r="AL1480">
        <v>78.445648844508</v>
      </c>
      <c r="AM1480">
        <v>87.295811820421505</v>
      </c>
      <c r="AN1480">
        <v>0.99999996188509599</v>
      </c>
    </row>
    <row r="1481" spans="1:40" x14ac:dyDescent="0.25">
      <c r="A1481" t="str">
        <f>"20190304155621911"</f>
        <v>20190304155621911</v>
      </c>
      <c r="B1481" t="str">
        <f>"1551686181906203"</f>
        <v>1551686181906203</v>
      </c>
      <c r="C1481" t="s">
        <v>40</v>
      </c>
      <c r="D1481">
        <v>4.8800509999999999</v>
      </c>
      <c r="E1481">
        <v>0.52974829999999995</v>
      </c>
      <c r="F1481" t="s">
        <v>41</v>
      </c>
      <c r="G1481">
        <v>-193.9248</v>
      </c>
      <c r="H1481" s="1">
        <v>-1.613398E-6</v>
      </c>
      <c r="I1481">
        <v>310.7955</v>
      </c>
      <c r="J1481">
        <v>-189.10759999999999</v>
      </c>
      <c r="K1481">
        <v>1.1063700000000001</v>
      </c>
      <c r="L1481">
        <v>345.57150000000001</v>
      </c>
      <c r="M1481">
        <v>-1.509012E-2</v>
      </c>
      <c r="N1481">
        <v>-1.428837E-2</v>
      </c>
      <c r="O1481">
        <v>-0.99978400000000001</v>
      </c>
      <c r="P1481">
        <v>-5.3136389999999999E-2</v>
      </c>
      <c r="Q1481">
        <v>0.18718319999999999</v>
      </c>
      <c r="R1481">
        <v>-0.98088679999999995</v>
      </c>
      <c r="S1481">
        <v>-0.42146299999999998</v>
      </c>
      <c r="T1481">
        <v>-9.658158E-2</v>
      </c>
      <c r="U1481">
        <v>-3.0540470000000002</v>
      </c>
      <c r="V1481">
        <v>4.037437E-2</v>
      </c>
      <c r="W1481">
        <v>0.2007883</v>
      </c>
      <c r="X1481">
        <v>0.97880230000000001</v>
      </c>
      <c r="Y1481">
        <v>0.121681</v>
      </c>
      <c r="Z1481">
        <v>1.706746E-2</v>
      </c>
      <c r="AA1481">
        <v>0.99242249999999999</v>
      </c>
      <c r="AB1481">
        <v>21</v>
      </c>
      <c r="AC1481">
        <v>-4.8172000000000104</v>
      </c>
      <c r="AD1481">
        <v>-1.1063716133979999</v>
      </c>
      <c r="AE1481">
        <v>-34.776000000000003</v>
      </c>
      <c r="AF1481">
        <v>4.2875658410349997</v>
      </c>
      <c r="AG1481">
        <v>-1.1063716133979999</v>
      </c>
      <c r="AH1481">
        <v>34.810169443436898</v>
      </c>
      <c r="AI1481">
        <v>91.806774557949893</v>
      </c>
      <c r="AJ1481">
        <v>82.978249402074894</v>
      </c>
      <c r="AK1481">
        <v>35.090670778270002</v>
      </c>
      <c r="AL1481">
        <v>78.416939397478899</v>
      </c>
      <c r="AM1481">
        <v>87.637959826222499</v>
      </c>
      <c r="AN1481">
        <v>0.99999998682753799</v>
      </c>
    </row>
    <row r="1482" spans="1:40" x14ac:dyDescent="0.25">
      <c r="A1482" t="str">
        <f>"20190304155621934"</f>
        <v>20190304155621934</v>
      </c>
      <c r="B1482" t="str">
        <f>"1551686181926699"</f>
        <v>1551686181926699</v>
      </c>
      <c r="C1482" t="s">
        <v>40</v>
      </c>
      <c r="D1482">
        <v>5.0644239999999998</v>
      </c>
      <c r="E1482">
        <v>0.5294354</v>
      </c>
      <c r="F1482" t="s">
        <v>41</v>
      </c>
      <c r="G1482">
        <v>-193.95650000000001</v>
      </c>
      <c r="H1482" s="1">
        <v>-1.328582E-6</v>
      </c>
      <c r="I1482">
        <v>310.17520000000002</v>
      </c>
      <c r="J1482">
        <v>-189.12020000000001</v>
      </c>
      <c r="K1482">
        <v>1.106571</v>
      </c>
      <c r="L1482">
        <v>345.34289999999999</v>
      </c>
      <c r="M1482">
        <v>-2.2685199999999999E-2</v>
      </c>
      <c r="N1482">
        <v>-1.423866E-2</v>
      </c>
      <c r="O1482">
        <v>-0.99964140000000001</v>
      </c>
      <c r="P1482">
        <v>-5.492445E-2</v>
      </c>
      <c r="Q1482">
        <v>0.18740309999999999</v>
      </c>
      <c r="R1482">
        <v>-0.98074669999999997</v>
      </c>
      <c r="S1482">
        <v>-0.4183655</v>
      </c>
      <c r="T1482">
        <v>-9.5458509999999996E-2</v>
      </c>
      <c r="U1482">
        <v>-3.0540159999999998</v>
      </c>
      <c r="V1482">
        <v>3.4612820000000002E-2</v>
      </c>
      <c r="W1482">
        <v>0.2010363</v>
      </c>
      <c r="X1482">
        <v>0.97897210000000001</v>
      </c>
      <c r="Y1482">
        <v>0.1131532</v>
      </c>
      <c r="Z1482">
        <v>1.6771629999999999E-2</v>
      </c>
      <c r="AA1482">
        <v>0.99343599999999999</v>
      </c>
      <c r="AB1482">
        <v>21</v>
      </c>
      <c r="AC1482">
        <v>-4.8362999999999898</v>
      </c>
      <c r="AD1482">
        <v>-1.1065723285819999</v>
      </c>
      <c r="AE1482">
        <v>-35.167699999999897</v>
      </c>
      <c r="AF1482">
        <v>4.0332689335920398</v>
      </c>
      <c r="AG1482">
        <v>-1.1065723285819999</v>
      </c>
      <c r="AH1482">
        <v>35.234134344452897</v>
      </c>
      <c r="AI1482">
        <v>91.787191303777703</v>
      </c>
      <c r="AJ1482">
        <v>83.469747594068906</v>
      </c>
      <c r="AK1482">
        <v>35.481487900199703</v>
      </c>
      <c r="AL1482">
        <v>78.402434509352304</v>
      </c>
      <c r="AM1482">
        <v>87.9750773717562</v>
      </c>
      <c r="AN1482">
        <v>1.0000000069022199</v>
      </c>
    </row>
    <row r="1483" spans="1:40" x14ac:dyDescent="0.25">
      <c r="A1483" t="str">
        <f>"20190304155621955"</f>
        <v>20190304155621955</v>
      </c>
      <c r="B1483" t="str">
        <f>"1551686181946220"</f>
        <v>1551686181946220</v>
      </c>
      <c r="C1483" t="s">
        <v>40</v>
      </c>
      <c r="D1483">
        <v>4.8827819999999997</v>
      </c>
      <c r="E1483">
        <v>0.52903449999999996</v>
      </c>
      <c r="F1483" t="s">
        <v>41</v>
      </c>
      <c r="G1483">
        <v>-194.047</v>
      </c>
      <c r="H1483" s="1">
        <v>-1.091453E-6</v>
      </c>
      <c r="I1483">
        <v>309.62270000000001</v>
      </c>
      <c r="J1483">
        <v>-189.13239999999999</v>
      </c>
      <c r="K1483">
        <v>1.106724</v>
      </c>
      <c r="L1483">
        <v>345.14299999999997</v>
      </c>
      <c r="M1483">
        <v>-2.9109570000000001E-2</v>
      </c>
      <c r="N1483">
        <v>-1.4197370000000001E-2</v>
      </c>
      <c r="O1483">
        <v>-0.99947549999999996</v>
      </c>
      <c r="P1483">
        <v>-5.619474E-2</v>
      </c>
      <c r="Q1483">
        <v>0.18810399999999999</v>
      </c>
      <c r="R1483">
        <v>-0.98054050000000004</v>
      </c>
      <c r="S1483">
        <v>-0.42114259999999898</v>
      </c>
      <c r="T1483">
        <v>-9.4591019999999998E-2</v>
      </c>
      <c r="U1483">
        <v>-3.0534059999999998</v>
      </c>
      <c r="V1483">
        <v>2.9511160000000002E-2</v>
      </c>
      <c r="W1483">
        <v>0.20175609999999999</v>
      </c>
      <c r="X1483">
        <v>0.9789911</v>
      </c>
      <c r="Y1483">
        <v>0.10768179999999999</v>
      </c>
      <c r="Z1483">
        <v>1.654371E-2</v>
      </c>
      <c r="AA1483">
        <v>0.99404780000000004</v>
      </c>
      <c r="AB1483">
        <v>21</v>
      </c>
      <c r="AC1483">
        <v>-4.9146000000000001</v>
      </c>
      <c r="AD1483">
        <v>-1.106725091453</v>
      </c>
      <c r="AE1483">
        <v>-35.520299999999999</v>
      </c>
      <c r="AF1483">
        <v>3.87474121786477</v>
      </c>
      <c r="AG1483">
        <v>-1.106725091453</v>
      </c>
      <c r="AH1483">
        <v>35.614395974641504</v>
      </c>
      <c r="AI1483">
        <v>91.769471077648404</v>
      </c>
      <c r="AJ1483">
        <v>83.790810334347697</v>
      </c>
      <c r="AK1483">
        <v>35.841647012547199</v>
      </c>
      <c r="AL1483">
        <v>78.360330241061703</v>
      </c>
      <c r="AM1483">
        <v>88.273372414685596</v>
      </c>
      <c r="AN1483">
        <v>1.0000000031654801</v>
      </c>
    </row>
    <row r="1484" spans="1:40" x14ac:dyDescent="0.25">
      <c r="A1484" t="str">
        <f>"20190304155621977"</f>
        <v>20190304155621977</v>
      </c>
      <c r="B1484" t="str">
        <f>"1551686181965750"</f>
        <v>1551686181965750</v>
      </c>
      <c r="C1484" t="s">
        <v>40</v>
      </c>
      <c r="D1484">
        <v>4.9047140000000002</v>
      </c>
      <c r="E1484">
        <v>0.52840229999999999</v>
      </c>
      <c r="F1484" t="s">
        <v>41</v>
      </c>
      <c r="G1484">
        <v>-194.2227</v>
      </c>
      <c r="H1484" s="1">
        <v>-4.6182729999999998E-6</v>
      </c>
      <c r="I1484">
        <v>308.35669999999999</v>
      </c>
      <c r="J1484">
        <v>-189.14699999999999</v>
      </c>
      <c r="K1484">
        <v>1.1068720000000001</v>
      </c>
      <c r="L1484">
        <v>344.92270000000002</v>
      </c>
      <c r="M1484">
        <v>-3.5942870000000002E-2</v>
      </c>
      <c r="N1484">
        <v>-1.4154750000000001E-2</v>
      </c>
      <c r="O1484">
        <v>-0.99925379999999997</v>
      </c>
      <c r="P1484">
        <v>-5.8593949999999999E-2</v>
      </c>
      <c r="Q1484">
        <v>0.18735560000000001</v>
      </c>
      <c r="R1484">
        <v>-0.98054339999999995</v>
      </c>
      <c r="S1484">
        <v>-0.42245480000000002</v>
      </c>
      <c r="T1484">
        <v>-9.1849089999999994E-2</v>
      </c>
      <c r="U1484">
        <v>-3.0529480000000002</v>
      </c>
      <c r="V1484">
        <v>2.511623E-2</v>
      </c>
      <c r="W1484">
        <v>0.20101959999999999</v>
      </c>
      <c r="X1484">
        <v>0.97926519999999995</v>
      </c>
      <c r="Y1484">
        <v>0.1013259</v>
      </c>
      <c r="Z1484">
        <v>1.5706910000000001E-2</v>
      </c>
      <c r="AA1484">
        <v>0.99472930000000004</v>
      </c>
      <c r="AB1484">
        <v>21</v>
      </c>
      <c r="AC1484">
        <v>-5.0756999999999799</v>
      </c>
      <c r="AD1484">
        <v>-1.1068766182730001</v>
      </c>
      <c r="AE1484">
        <v>-36.566000000000003</v>
      </c>
      <c r="AF1484">
        <v>3.7546258862186099</v>
      </c>
      <c r="AG1484">
        <v>-1.1068766182730001</v>
      </c>
      <c r="AH1484">
        <v>36.691835870621702</v>
      </c>
      <c r="AI1484">
        <v>91.718937628560198</v>
      </c>
      <c r="AJ1484">
        <v>84.157336960816295</v>
      </c>
      <c r="AK1484">
        <v>36.9000435087844</v>
      </c>
      <c r="AL1484">
        <v>78.403411422899495</v>
      </c>
      <c r="AM1484">
        <v>88.530797833170098</v>
      </c>
      <c r="AN1484">
        <v>1.0000000182622999</v>
      </c>
    </row>
    <row r="1485" spans="1:40" x14ac:dyDescent="0.25">
      <c r="A1485" t="str">
        <f>"20190304155622001"</f>
        <v>20190304155622001</v>
      </c>
      <c r="B1485" t="str">
        <f>"1551686181996500"</f>
        <v>1551686181996500</v>
      </c>
      <c r="C1485" t="s">
        <v>40</v>
      </c>
      <c r="D1485">
        <v>4.9250350000000003</v>
      </c>
      <c r="E1485">
        <v>0.52759869999999898</v>
      </c>
      <c r="F1485" t="s">
        <v>41</v>
      </c>
      <c r="G1485">
        <v>-194.10409999999999</v>
      </c>
      <c r="H1485" s="1">
        <v>-4.9209099999999996E-6</v>
      </c>
      <c r="I1485">
        <v>309.30790000000002</v>
      </c>
      <c r="J1485">
        <v>-189.16309999999999</v>
      </c>
      <c r="K1485">
        <v>1.1070139999999999</v>
      </c>
      <c r="L1485">
        <v>344.69830000000002</v>
      </c>
      <c r="M1485">
        <v>-4.262291E-2</v>
      </c>
      <c r="N1485">
        <v>-1.4113229999999999E-2</v>
      </c>
      <c r="O1485">
        <v>-0.99899170000000004</v>
      </c>
      <c r="P1485">
        <v>-6.163884E-2</v>
      </c>
      <c r="Q1485">
        <v>0.1857529</v>
      </c>
      <c r="R1485">
        <v>-0.98066120000000001</v>
      </c>
      <c r="S1485">
        <v>-0.42483520000000002</v>
      </c>
      <c r="T1485">
        <v>-9.4861150000000005E-2</v>
      </c>
      <c r="U1485">
        <v>-3.0522459999999998</v>
      </c>
      <c r="V1485">
        <v>2.1500379999999999E-2</v>
      </c>
      <c r="W1485">
        <v>0.1994213</v>
      </c>
      <c r="X1485">
        <v>0.97967789999999999</v>
      </c>
      <c r="Y1485">
        <v>9.5463919999999994E-2</v>
      </c>
      <c r="Z1485">
        <v>1.673463E-2</v>
      </c>
      <c r="AA1485">
        <v>0.99529219999999896</v>
      </c>
      <c r="AB1485">
        <v>21</v>
      </c>
      <c r="AC1485">
        <v>-4.9409999999999998</v>
      </c>
      <c r="AD1485">
        <v>-1.1070189209100001</v>
      </c>
      <c r="AE1485">
        <v>-35.3904</v>
      </c>
      <c r="AF1485">
        <v>3.4246302616357802</v>
      </c>
      <c r="AG1485">
        <v>-1.1070189209100001</v>
      </c>
      <c r="AH1485">
        <v>35.534748386759397</v>
      </c>
      <c r="AI1485">
        <v>91.776142215656506</v>
      </c>
      <c r="AJ1485">
        <v>84.495170310949007</v>
      </c>
      <c r="AK1485">
        <v>35.7165497526072</v>
      </c>
      <c r="AL1485">
        <v>78.496879189204805</v>
      </c>
      <c r="AM1485">
        <v>88.742767073487599</v>
      </c>
      <c r="AN1485">
        <v>0.999999954491121</v>
      </c>
    </row>
    <row r="1486" spans="1:40" x14ac:dyDescent="0.25">
      <c r="A1486" t="str">
        <f>"20190304155622025"</f>
        <v>20190304155622025</v>
      </c>
      <c r="B1486" t="str">
        <f>"1551686182016021"</f>
        <v>1551686182016021</v>
      </c>
      <c r="C1486" t="s">
        <v>40</v>
      </c>
      <c r="D1486">
        <v>4.869739</v>
      </c>
      <c r="E1486">
        <v>0.52692499999999998</v>
      </c>
      <c r="F1486" t="s">
        <v>41</v>
      </c>
      <c r="G1486">
        <v>-193.89830000000001</v>
      </c>
      <c r="H1486" s="1">
        <v>-1.6941110000000001E-6</v>
      </c>
      <c r="I1486">
        <v>310.9812</v>
      </c>
      <c r="J1486">
        <v>-189.1806</v>
      </c>
      <c r="K1486">
        <v>1.1071759999999999</v>
      </c>
      <c r="L1486">
        <v>344.47030000000001</v>
      </c>
      <c r="M1486">
        <v>-4.9104340000000003E-2</v>
      </c>
      <c r="N1486">
        <v>-1.407139E-2</v>
      </c>
      <c r="O1486">
        <v>-0.99869450000000004</v>
      </c>
      <c r="P1486">
        <v>-6.4534190000000005E-2</v>
      </c>
      <c r="Q1486">
        <v>0.1839652</v>
      </c>
      <c r="R1486">
        <v>-0.98081200000000002</v>
      </c>
      <c r="S1486">
        <v>-0.42851260000000002</v>
      </c>
      <c r="T1486">
        <v>-0.1001788</v>
      </c>
      <c r="U1486">
        <v>-3.0512079999999999</v>
      </c>
      <c r="V1486">
        <v>1.7912480000000001E-2</v>
      </c>
      <c r="W1486">
        <v>0.19763610000000001</v>
      </c>
      <c r="X1486">
        <v>0.98011179999999998</v>
      </c>
      <c r="Y1486">
        <v>9.0222430000000006E-2</v>
      </c>
      <c r="Z1486">
        <v>1.8510269999999999E-2</v>
      </c>
      <c r="AA1486">
        <v>0.99574960000000001</v>
      </c>
      <c r="AB1486">
        <v>21</v>
      </c>
      <c r="AC1486">
        <v>-4.7176999999999998</v>
      </c>
      <c r="AD1486">
        <v>-1.1071776941110001</v>
      </c>
      <c r="AE1486">
        <v>-33.489100000000001</v>
      </c>
      <c r="AF1486">
        <v>3.06410071741595</v>
      </c>
      <c r="AG1486">
        <v>-1.1071776941110001</v>
      </c>
      <c r="AH1486">
        <v>33.644316752848098</v>
      </c>
      <c r="AI1486">
        <v>91.877064373122096</v>
      </c>
      <c r="AJ1486">
        <v>84.796236881209694</v>
      </c>
      <c r="AK1486">
        <v>33.801695303915999</v>
      </c>
      <c r="AL1486">
        <v>78.601241621313505</v>
      </c>
      <c r="AM1486">
        <v>88.952981423716196</v>
      </c>
      <c r="AN1486">
        <v>1.0000000127311</v>
      </c>
    </row>
    <row r="1487" spans="1:40" x14ac:dyDescent="0.25">
      <c r="A1487" t="str">
        <f>"20190304155622045"</f>
        <v>20190304155622045</v>
      </c>
      <c r="B1487" t="str">
        <f>"1551686182036517"</f>
        <v>1551686182036517</v>
      </c>
      <c r="C1487" t="s">
        <v>40</v>
      </c>
      <c r="D1487">
        <v>4.8733599999999999</v>
      </c>
      <c r="E1487">
        <v>0.52656409999999998</v>
      </c>
      <c r="F1487" t="s">
        <v>41</v>
      </c>
      <c r="G1487">
        <v>-193.8783</v>
      </c>
      <c r="H1487" s="1">
        <v>-1.8883030000000001E-6</v>
      </c>
      <c r="I1487">
        <v>311.4033</v>
      </c>
      <c r="J1487">
        <v>-189.19630000000001</v>
      </c>
      <c r="K1487">
        <v>1.1073379999999999</v>
      </c>
      <c r="L1487">
        <v>344.27820000000003</v>
      </c>
      <c r="M1487">
        <v>-5.429995E-2</v>
      </c>
      <c r="N1487">
        <v>-1.4035779999999999E-2</v>
      </c>
      <c r="O1487">
        <v>-0.99842609999999998</v>
      </c>
      <c r="P1487">
        <v>-6.6160670000000005E-2</v>
      </c>
      <c r="Q1487">
        <v>0.18178910000000001</v>
      </c>
      <c r="R1487">
        <v>-0.98110940000000002</v>
      </c>
      <c r="S1487">
        <v>-0.433197</v>
      </c>
      <c r="T1487">
        <v>-0.1020988</v>
      </c>
      <c r="U1487">
        <v>-3.0492859999999999</v>
      </c>
      <c r="V1487">
        <v>1.430844E-2</v>
      </c>
      <c r="W1487">
        <v>0.19546669999999999</v>
      </c>
      <c r="X1487">
        <v>0.98060599999999998</v>
      </c>
      <c r="Y1487">
        <v>8.6625350000000004E-2</v>
      </c>
      <c r="Z1487">
        <v>1.9183490000000001E-2</v>
      </c>
      <c r="AA1487">
        <v>0.99605630000000001</v>
      </c>
      <c r="AB1487">
        <v>21</v>
      </c>
      <c r="AC1487">
        <v>-4.68199999999998</v>
      </c>
      <c r="AD1487">
        <v>-1.1073398883029999</v>
      </c>
      <c r="AE1487">
        <v>-32.874899999999997</v>
      </c>
      <c r="AF1487">
        <v>2.88660004559723</v>
      </c>
      <c r="AG1487">
        <v>-1.1073398883029999</v>
      </c>
      <c r="AH1487">
        <v>33.043901034125902</v>
      </c>
      <c r="AI1487">
        <v>91.912054238023799</v>
      </c>
      <c r="AJ1487">
        <v>85.007514108606401</v>
      </c>
      <c r="AK1487">
        <v>33.188221660772598</v>
      </c>
      <c r="AL1487">
        <v>78.7280123204917</v>
      </c>
      <c r="AM1487">
        <v>89.164032191542105</v>
      </c>
      <c r="AN1487">
        <v>1.0000000447500601</v>
      </c>
    </row>
    <row r="1488" spans="1:40" x14ac:dyDescent="0.25">
      <c r="A1488" t="str">
        <f>"20190304155622066"</f>
        <v>20190304155622066</v>
      </c>
      <c r="B1488" t="str">
        <f>"1551686182057013"</f>
        <v>1551686182057013</v>
      </c>
      <c r="C1488" t="s">
        <v>40</v>
      </c>
      <c r="D1488">
        <v>4.7604899999999999</v>
      </c>
      <c r="E1488">
        <v>0.52673959999999997</v>
      </c>
      <c r="F1488" t="s">
        <v>41</v>
      </c>
      <c r="G1488">
        <v>-193.6377</v>
      </c>
      <c r="H1488" s="1">
        <v>-2.6858799999999999E-6</v>
      </c>
      <c r="I1488">
        <v>313.226</v>
      </c>
      <c r="J1488">
        <v>-189.2141</v>
      </c>
      <c r="K1488">
        <v>1.10754</v>
      </c>
      <c r="L1488">
        <v>344.07040000000001</v>
      </c>
      <c r="M1488">
        <v>-5.9633449999999998E-2</v>
      </c>
      <c r="N1488">
        <v>-1.399766E-2</v>
      </c>
      <c r="O1488">
        <v>-0.99812219999999996</v>
      </c>
      <c r="P1488">
        <v>-6.8507219999999994E-2</v>
      </c>
      <c r="Q1488">
        <v>0.17985570000000001</v>
      </c>
      <c r="R1488">
        <v>-0.98130459999999997</v>
      </c>
      <c r="S1488">
        <v>-0.43601990000000002</v>
      </c>
      <c r="T1488">
        <v>-0.108711</v>
      </c>
      <c r="U1488">
        <v>-3.048492</v>
      </c>
      <c r="V1488">
        <v>1.127182E-2</v>
      </c>
      <c r="W1488">
        <v>0.1935298</v>
      </c>
      <c r="X1488">
        <v>0.98102959999999995</v>
      </c>
      <c r="Y1488">
        <v>8.2236039999999996E-2</v>
      </c>
      <c r="Z1488">
        <v>2.1370159999999999E-2</v>
      </c>
      <c r="AA1488">
        <v>0.99638369999999998</v>
      </c>
      <c r="AB1488">
        <v>21</v>
      </c>
      <c r="AC1488">
        <v>-4.4235999999999898</v>
      </c>
      <c r="AD1488">
        <v>-1.1075426858799999</v>
      </c>
      <c r="AE1488">
        <v>-30.8444</v>
      </c>
      <c r="AF1488">
        <v>2.5729372224392599</v>
      </c>
      <c r="AG1488">
        <v>-1.1075426858799999</v>
      </c>
      <c r="AH1488">
        <v>31.014135197409701</v>
      </c>
      <c r="AI1488">
        <v>92.038218817049597</v>
      </c>
      <c r="AJ1488">
        <v>85.257593490378994</v>
      </c>
      <c r="AK1488">
        <v>31.1403795544446</v>
      </c>
      <c r="AL1488">
        <v>78.841148124897998</v>
      </c>
      <c r="AM1488">
        <v>89.341712731200801</v>
      </c>
      <c r="AN1488">
        <v>0.99999995674515496</v>
      </c>
    </row>
    <row r="1489" spans="1:40" x14ac:dyDescent="0.25">
      <c r="A1489" t="str">
        <f>"20190304155622089"</f>
        <v>20190304155622089</v>
      </c>
      <c r="B1489" t="str">
        <f>"1551686182085824"</f>
        <v>1551686182085824</v>
      </c>
      <c r="C1489" t="s">
        <v>40</v>
      </c>
      <c r="D1489">
        <v>4.7615780000000001</v>
      </c>
      <c r="E1489">
        <v>0.52711680000000005</v>
      </c>
      <c r="F1489" t="s">
        <v>41</v>
      </c>
      <c r="G1489">
        <v>-193.55269999999999</v>
      </c>
      <c r="H1489" s="1">
        <v>-3.191476E-6</v>
      </c>
      <c r="I1489">
        <v>314.34339999999997</v>
      </c>
      <c r="J1489">
        <v>-189.23310000000001</v>
      </c>
      <c r="K1489">
        <v>1.107775</v>
      </c>
      <c r="L1489">
        <v>343.85559999999998</v>
      </c>
      <c r="M1489">
        <v>-6.4810900000000005E-2</v>
      </c>
      <c r="N1489">
        <v>-1.395916E-2</v>
      </c>
      <c r="O1489">
        <v>-0.99780000000000002</v>
      </c>
      <c r="P1489">
        <v>-7.1002380000000004E-2</v>
      </c>
      <c r="Q1489">
        <v>0.17865349999999999</v>
      </c>
      <c r="R1489">
        <v>-0.98134699999999997</v>
      </c>
      <c r="S1489">
        <v>-0.4446869</v>
      </c>
      <c r="T1489">
        <v>-0.1135178</v>
      </c>
      <c r="U1489">
        <v>-3.046875</v>
      </c>
      <c r="V1489">
        <v>8.5355399999999994E-3</v>
      </c>
      <c r="W1489">
        <v>0.19231709999999999</v>
      </c>
      <c r="X1489">
        <v>0.98129569999999999</v>
      </c>
      <c r="Y1489">
        <v>7.9910729999999999E-2</v>
      </c>
      <c r="Z1489">
        <v>2.2971950000000001E-2</v>
      </c>
      <c r="AA1489">
        <v>0.99653729999999996</v>
      </c>
      <c r="AB1489">
        <v>21</v>
      </c>
      <c r="AC1489">
        <v>-4.3195999999999799</v>
      </c>
      <c r="AD1489">
        <v>-1.1077781914760001</v>
      </c>
      <c r="AE1489">
        <v>-29.5122</v>
      </c>
      <c r="AF1489">
        <v>2.3943152970693</v>
      </c>
      <c r="AG1489">
        <v>-1.1077781914760001</v>
      </c>
      <c r="AH1489">
        <v>29.689170942493401</v>
      </c>
      <c r="AI1489">
        <v>92.129950658284997</v>
      </c>
      <c r="AJ1489">
        <v>85.389298302548099</v>
      </c>
      <c r="AK1489">
        <v>29.806153551169398</v>
      </c>
      <c r="AL1489">
        <v>78.9119613648122</v>
      </c>
      <c r="AM1489">
        <v>89.501640448754998</v>
      </c>
      <c r="AN1489">
        <v>0.99999998661699496</v>
      </c>
    </row>
    <row r="1490" spans="1:40" x14ac:dyDescent="0.25">
      <c r="A1490" t="str">
        <f>"20190304155622112"</f>
        <v>20190304155622112</v>
      </c>
      <c r="B1490" t="str">
        <f>"1551686182106320"</f>
        <v>1551686182106320</v>
      </c>
      <c r="C1490" t="s">
        <v>40</v>
      </c>
      <c r="D1490">
        <v>4.7684410000000002</v>
      </c>
      <c r="E1490">
        <v>0.52739859999999905</v>
      </c>
      <c r="F1490" t="s">
        <v>41</v>
      </c>
      <c r="G1490">
        <v>-193.6172</v>
      </c>
      <c r="H1490" s="1">
        <v>-3.2887279999999999E-6</v>
      </c>
      <c r="I1490">
        <v>314.51280000000003</v>
      </c>
      <c r="J1490">
        <v>-189.2526</v>
      </c>
      <c r="K1490">
        <v>1.1080159999999999</v>
      </c>
      <c r="L1490">
        <v>343.64449999999999</v>
      </c>
      <c r="M1490">
        <v>-6.9509100000000004E-2</v>
      </c>
      <c r="N1490">
        <v>-1.392239E-2</v>
      </c>
      <c r="O1490">
        <v>-0.99748419999999904</v>
      </c>
      <c r="P1490">
        <v>-7.2872679999999995E-2</v>
      </c>
      <c r="Q1490">
        <v>0.17838909999999999</v>
      </c>
      <c r="R1490">
        <v>-0.98125799999999996</v>
      </c>
      <c r="S1490">
        <v>-0.45495609999999997</v>
      </c>
      <c r="T1490">
        <v>-0.1149597</v>
      </c>
      <c r="U1490">
        <v>-3.0450439999999999</v>
      </c>
      <c r="V1490">
        <v>5.6588940000000003E-3</v>
      </c>
      <c r="W1490">
        <v>0.1920396</v>
      </c>
      <c r="X1490">
        <v>0.98137090000000005</v>
      </c>
      <c r="Y1490">
        <v>7.8589610000000004E-2</v>
      </c>
      <c r="Z1490">
        <v>2.3479940000000001E-2</v>
      </c>
      <c r="AA1490">
        <v>0.99663049999999997</v>
      </c>
      <c r="AB1490">
        <v>21</v>
      </c>
      <c r="AC1490">
        <v>-4.3645999999999896</v>
      </c>
      <c r="AD1490">
        <v>-1.10801928872799</v>
      </c>
      <c r="AE1490">
        <v>-29.131699999999899</v>
      </c>
      <c r="AF1490">
        <v>2.3256364071940601</v>
      </c>
      <c r="AG1490">
        <v>-1.10801928872799</v>
      </c>
      <c r="AH1490">
        <v>29.323145828061399</v>
      </c>
      <c r="AI1490">
        <v>92.157210361067996</v>
      </c>
      <c r="AJ1490">
        <v>85.465329176306199</v>
      </c>
      <c r="AK1490">
        <v>29.436086232657001</v>
      </c>
      <c r="AL1490">
        <v>78.928163508236693</v>
      </c>
      <c r="AM1490">
        <v>89.669618133792298</v>
      </c>
      <c r="AN1490">
        <v>1.0000000372081299</v>
      </c>
    </row>
    <row r="1491" spans="1:40" x14ac:dyDescent="0.25">
      <c r="A1491" t="str">
        <f>"20190304155622133"</f>
        <v>20190304155622133</v>
      </c>
      <c r="B1491" t="str">
        <f>"1551686182125840"</f>
        <v>1551686182125840</v>
      </c>
      <c r="C1491" t="s">
        <v>40</v>
      </c>
      <c r="D1491">
        <v>4.951975</v>
      </c>
      <c r="E1491">
        <v>0.52746510000000002</v>
      </c>
      <c r="F1491" t="s">
        <v>41</v>
      </c>
      <c r="G1491">
        <v>-193.74529999999999</v>
      </c>
      <c r="H1491" s="1">
        <v>-3.1168629999999998E-6</v>
      </c>
      <c r="I1491">
        <v>314.07709999999997</v>
      </c>
      <c r="J1491">
        <v>-189.27260000000001</v>
      </c>
      <c r="K1491">
        <v>1.1082559999999999</v>
      </c>
      <c r="L1491">
        <v>343.43380000000002</v>
      </c>
      <c r="M1491">
        <v>-7.3815969999999995E-2</v>
      </c>
      <c r="N1491">
        <v>-1.388698E-2</v>
      </c>
      <c r="O1491">
        <v>-0.99717520000000004</v>
      </c>
      <c r="P1491">
        <v>-7.4146920000000005E-2</v>
      </c>
      <c r="Q1491">
        <v>0.1793131</v>
      </c>
      <c r="R1491">
        <v>-0.98099429999999999</v>
      </c>
      <c r="S1491">
        <v>-0.46249390000000001</v>
      </c>
      <c r="T1491">
        <v>-0.1140621</v>
      </c>
      <c r="U1491">
        <v>-3.0437319999999999</v>
      </c>
      <c r="V1491">
        <v>2.5947819999999999E-3</v>
      </c>
      <c r="W1491">
        <v>0.19294639999999999</v>
      </c>
      <c r="X1491">
        <v>0.98120589999999996</v>
      </c>
      <c r="Y1491">
        <v>7.6762430000000006E-2</v>
      </c>
      <c r="Z1491">
        <v>2.3224109999999999E-2</v>
      </c>
      <c r="AA1491">
        <v>0.99677890000000002</v>
      </c>
      <c r="AB1491">
        <v>21</v>
      </c>
      <c r="AC1491">
        <v>-4.4726999999999704</v>
      </c>
      <c r="AD1491">
        <v>-1.1082591168629901</v>
      </c>
      <c r="AE1491">
        <v>-29.3567</v>
      </c>
      <c r="AF1491">
        <v>2.2901035857948</v>
      </c>
      <c r="AG1491">
        <v>-1.1082591168629901</v>
      </c>
      <c r="AH1491">
        <v>29.5656042035619</v>
      </c>
      <c r="AI1491">
        <v>92.140307457705603</v>
      </c>
      <c r="AJ1491">
        <v>85.570806127115603</v>
      </c>
      <c r="AK1491">
        <v>29.674867558684401</v>
      </c>
      <c r="AL1491">
        <v>78.875217461111703</v>
      </c>
      <c r="AM1491">
        <v>89.8484826571122</v>
      </c>
      <c r="AN1491">
        <v>1.0000000321806899</v>
      </c>
    </row>
    <row r="1492" spans="1:40" x14ac:dyDescent="0.25">
      <c r="A1492" t="str">
        <f>"20190304155622156"</f>
        <v>20190304155622156</v>
      </c>
      <c r="B1492" t="str">
        <f>"1551686182146336"</f>
        <v>1551686182146336</v>
      </c>
      <c r="C1492" t="s">
        <v>40</v>
      </c>
      <c r="D1492">
        <v>4.7960669999999999</v>
      </c>
      <c r="E1492">
        <v>0.52759889999999998</v>
      </c>
      <c r="F1492" t="s">
        <v>41</v>
      </c>
      <c r="G1492">
        <v>-194.00280000000001</v>
      </c>
      <c r="H1492" s="1">
        <v>-2.492051E-6</v>
      </c>
      <c r="I1492">
        <v>312.61040000000003</v>
      </c>
      <c r="J1492">
        <v>-189.29300000000001</v>
      </c>
      <c r="K1492">
        <v>1.1084590000000001</v>
      </c>
      <c r="L1492">
        <v>343.22430000000003</v>
      </c>
      <c r="M1492">
        <v>-7.7788689999999994E-2</v>
      </c>
      <c r="N1492">
        <v>-1.385406E-2</v>
      </c>
      <c r="O1492">
        <v>-0.99687360000000003</v>
      </c>
      <c r="P1492">
        <v>-7.5386049999999996E-2</v>
      </c>
      <c r="Q1492">
        <v>0.18127750000000001</v>
      </c>
      <c r="R1492">
        <v>-0.98053829999999997</v>
      </c>
      <c r="S1492">
        <v>-0.46694950000000002</v>
      </c>
      <c r="T1492">
        <v>-0.1094038</v>
      </c>
      <c r="U1492">
        <v>-3.042786</v>
      </c>
      <c r="V1492">
        <v>-1.373305E-4</v>
      </c>
      <c r="W1492">
        <v>0.1948877</v>
      </c>
      <c r="X1492">
        <v>0.98082550000000002</v>
      </c>
      <c r="Y1492">
        <v>7.4268550000000003E-2</v>
      </c>
      <c r="Z1492">
        <v>2.1745199999999999E-2</v>
      </c>
      <c r="AA1492">
        <v>0.99700120000000003</v>
      </c>
      <c r="AB1492">
        <v>21</v>
      </c>
      <c r="AC1492">
        <v>-4.7098000000000004</v>
      </c>
      <c r="AD1492">
        <v>-1.1084614920510001</v>
      </c>
      <c r="AE1492">
        <v>-30.613900000000001</v>
      </c>
      <c r="AF1492">
        <v>2.3109226049159202</v>
      </c>
      <c r="AG1492">
        <v>-1.1084614920510001</v>
      </c>
      <c r="AH1492">
        <v>30.848015574181101</v>
      </c>
      <c r="AI1492">
        <v>92.052177966278407</v>
      </c>
      <c r="AJ1492">
        <v>85.715793923266602</v>
      </c>
      <c r="AK1492">
        <v>30.954306889836701</v>
      </c>
      <c r="AL1492">
        <v>78.761835992126194</v>
      </c>
      <c r="AM1492">
        <v>90.008022281228406</v>
      </c>
      <c r="AN1492">
        <v>0.99999994796060099</v>
      </c>
    </row>
    <row r="1493" spans="1:40" x14ac:dyDescent="0.25">
      <c r="A1493" t="str">
        <f>"20190304155622181"</f>
        <v>20190304155622181</v>
      </c>
      <c r="B1493" t="str">
        <f>"1551686182176594"</f>
        <v>1551686182176594</v>
      </c>
      <c r="C1493" t="s">
        <v>40</v>
      </c>
      <c r="D1493">
        <v>4.8077480000000001</v>
      </c>
      <c r="E1493">
        <v>0.52744919999999995</v>
      </c>
      <c r="F1493" t="s">
        <v>41</v>
      </c>
      <c r="G1493">
        <v>-194.43360000000001</v>
      </c>
      <c r="H1493" s="1">
        <v>-1.409154E-6</v>
      </c>
      <c r="I1493">
        <v>310.07709999999997</v>
      </c>
      <c r="J1493">
        <v>-189.31630000000001</v>
      </c>
      <c r="K1493">
        <v>1.108641</v>
      </c>
      <c r="L1493">
        <v>342.99059999999997</v>
      </c>
      <c r="M1493">
        <v>-8.1873440000000006E-2</v>
      </c>
      <c r="N1493">
        <v>-1.3820600000000001E-2</v>
      </c>
      <c r="O1493">
        <v>-0.99654699999999996</v>
      </c>
      <c r="P1493">
        <v>-7.6926960000000003E-2</v>
      </c>
      <c r="Q1493">
        <v>0.18228069999999999</v>
      </c>
      <c r="R1493">
        <v>-0.98023249999999995</v>
      </c>
      <c r="S1493">
        <v>-0.4717712</v>
      </c>
      <c r="T1493">
        <v>-0.10172779999999999</v>
      </c>
      <c r="U1493">
        <v>-3.0420530000000001</v>
      </c>
      <c r="V1493">
        <v>-2.689E-3</v>
      </c>
      <c r="W1493">
        <v>0.1958665</v>
      </c>
      <c r="X1493">
        <v>0.98062689999999997</v>
      </c>
      <c r="Y1493">
        <v>7.1770909999999993E-2</v>
      </c>
      <c r="Z1493">
        <v>1.9284639999999999E-2</v>
      </c>
      <c r="AA1493">
        <v>0.99723470000000003</v>
      </c>
      <c r="AB1493">
        <v>21</v>
      </c>
      <c r="AC1493">
        <v>-5.1173000000000002</v>
      </c>
      <c r="AD1493">
        <v>-1.1086424091539999</v>
      </c>
      <c r="AE1493">
        <v>-32.913499999999999</v>
      </c>
      <c r="AF1493">
        <v>2.4024565329725802</v>
      </c>
      <c r="AG1493">
        <v>-1.1086424091539999</v>
      </c>
      <c r="AH1493">
        <v>33.185227841483098</v>
      </c>
      <c r="AI1493">
        <v>91.908418209670103</v>
      </c>
      <c r="AJ1493">
        <v>85.859275271992104</v>
      </c>
      <c r="AK1493">
        <v>33.290542685203299</v>
      </c>
      <c r="AL1493">
        <v>78.7046536426204</v>
      </c>
      <c r="AM1493">
        <v>90.157111705739794</v>
      </c>
      <c r="AN1493">
        <v>1.00000001677342</v>
      </c>
    </row>
    <row r="1494" spans="1:40" x14ac:dyDescent="0.25">
      <c r="A1494" t="str">
        <f>"20190304155622203"</f>
        <v>20190304155622203</v>
      </c>
      <c r="B1494" t="str">
        <f>"1551686182196618"</f>
        <v>1551686182196618</v>
      </c>
      <c r="C1494" t="s">
        <v>40</v>
      </c>
      <c r="D1494">
        <v>5.123405</v>
      </c>
      <c r="E1494">
        <v>0.52694879999999999</v>
      </c>
      <c r="F1494" t="s">
        <v>41</v>
      </c>
      <c r="G1494">
        <v>-194.69159999999999</v>
      </c>
      <c r="H1494" s="1">
        <v>-4.7722919999999998E-6</v>
      </c>
      <c r="I1494">
        <v>308.56490000000002</v>
      </c>
      <c r="J1494">
        <v>-189.33850000000001</v>
      </c>
      <c r="K1494">
        <v>1.1088</v>
      </c>
      <c r="L1494">
        <v>342.77350000000001</v>
      </c>
      <c r="M1494">
        <v>-8.534659E-2</v>
      </c>
      <c r="N1494">
        <v>-1.379177E-2</v>
      </c>
      <c r="O1494">
        <v>-0.99625600000000003</v>
      </c>
      <c r="P1494">
        <v>-7.7409469999999994E-2</v>
      </c>
      <c r="Q1494">
        <v>0.1822656</v>
      </c>
      <c r="R1494">
        <v>-0.98019780000000001</v>
      </c>
      <c r="S1494">
        <v>-0.47489930000000002</v>
      </c>
      <c r="T1494">
        <v>-9.7946640000000001E-2</v>
      </c>
      <c r="U1494">
        <v>-3.0414430000000001</v>
      </c>
      <c r="V1494">
        <v>-5.706437E-3</v>
      </c>
      <c r="W1494">
        <v>0.1958347</v>
      </c>
      <c r="X1494">
        <v>0.9806203</v>
      </c>
      <c r="Y1494">
        <v>6.9330589999999997E-2</v>
      </c>
      <c r="Z1494">
        <v>1.8083930000000002E-2</v>
      </c>
      <c r="AA1494">
        <v>0.99742980000000003</v>
      </c>
      <c r="AB1494">
        <v>21</v>
      </c>
      <c r="AC1494">
        <v>-5.35309999999998</v>
      </c>
      <c r="AD1494">
        <v>-1.108804772292</v>
      </c>
      <c r="AE1494">
        <v>-34.208599999999898</v>
      </c>
      <c r="AF1494">
        <v>2.41122717898774</v>
      </c>
      <c r="AG1494">
        <v>-1.108804772292</v>
      </c>
      <c r="AH1494">
        <v>34.505287395177703</v>
      </c>
      <c r="AI1494">
        <v>91.836054558403504</v>
      </c>
      <c r="AJ1494">
        <v>86.002672891843204</v>
      </c>
      <c r="AK1494">
        <v>34.607200446663697</v>
      </c>
      <c r="AL1494">
        <v>78.706511243748096</v>
      </c>
      <c r="AM1494">
        <v>90.333412499875394</v>
      </c>
      <c r="AN1494">
        <v>0.99999998295970705</v>
      </c>
    </row>
    <row r="1495" spans="1:40" x14ac:dyDescent="0.25">
      <c r="A1495" t="str">
        <f>"20190304155622225"</f>
        <v>20190304155622225</v>
      </c>
      <c r="B1495" t="str">
        <f>"1551686182216138"</f>
        <v>1551686182216138</v>
      </c>
      <c r="C1495" t="s">
        <v>40</v>
      </c>
      <c r="D1495">
        <v>4.7540690000000003</v>
      </c>
      <c r="E1495">
        <v>0.52730149999999998</v>
      </c>
      <c r="F1495" t="s">
        <v>41</v>
      </c>
      <c r="G1495">
        <v>-194.6437</v>
      </c>
      <c r="H1495" s="1">
        <v>-4.8019919999999997E-6</v>
      </c>
      <c r="I1495">
        <v>308.67720000000003</v>
      </c>
      <c r="J1495">
        <v>-189.3596</v>
      </c>
      <c r="K1495">
        <v>1.108949</v>
      </c>
      <c r="L1495">
        <v>342.57049999999998</v>
      </c>
      <c r="M1495">
        <v>-8.8315009999999999E-2</v>
      </c>
      <c r="N1495">
        <v>-1.376608E-2</v>
      </c>
      <c r="O1495">
        <v>-0.99599760000000004</v>
      </c>
      <c r="P1495">
        <v>-7.7345510000000006E-2</v>
      </c>
      <c r="Q1495">
        <v>0.18240580000000001</v>
      </c>
      <c r="R1495">
        <v>-0.98017690000000002</v>
      </c>
      <c r="S1495">
        <v>-0.47325129999999999</v>
      </c>
      <c r="T1495">
        <v>-9.8912E-2</v>
      </c>
      <c r="U1495">
        <v>-3.041595</v>
      </c>
      <c r="V1495">
        <v>-8.7698729999999992E-3</v>
      </c>
      <c r="W1495">
        <v>0.19595860000000001</v>
      </c>
      <c r="X1495">
        <v>0.98057289999999997</v>
      </c>
      <c r="Y1495">
        <v>6.5822270000000002E-2</v>
      </c>
      <c r="Z1495">
        <v>1.841638E-2</v>
      </c>
      <c r="AA1495">
        <v>0.99766140000000003</v>
      </c>
      <c r="AB1495">
        <v>21</v>
      </c>
      <c r="AC1495">
        <v>-5.2840999999999898</v>
      </c>
      <c r="AD1495">
        <v>-1.108953801992</v>
      </c>
      <c r="AE1495">
        <v>-33.893299999999897</v>
      </c>
      <c r="AF1495">
        <v>2.2675087388279498</v>
      </c>
      <c r="AG1495">
        <v>-1.108953801992</v>
      </c>
      <c r="AH1495">
        <v>34.191814739950097</v>
      </c>
      <c r="AI1495">
        <v>91.853572055290599</v>
      </c>
      <c r="AJ1495">
        <v>86.205854452229602</v>
      </c>
      <c r="AK1495">
        <v>34.284859189249701</v>
      </c>
      <c r="AL1495">
        <v>78.699271632145297</v>
      </c>
      <c r="AM1495">
        <v>90.5124181108595</v>
      </c>
      <c r="AN1495">
        <v>0.99999994790040103</v>
      </c>
    </row>
    <row r="1496" spans="1:40" x14ac:dyDescent="0.25">
      <c r="A1496" t="str">
        <f>"20190304155622245"</f>
        <v>20190304155622245</v>
      </c>
      <c r="B1496" t="str">
        <f>"1551686182236634"</f>
        <v>1551686182236634</v>
      </c>
      <c r="C1496" t="s">
        <v>40</v>
      </c>
      <c r="D1496">
        <v>4.8908079999999998</v>
      </c>
      <c r="E1496">
        <v>0.5785363</v>
      </c>
      <c r="F1496" t="s">
        <v>41</v>
      </c>
      <c r="G1496">
        <v>-194.72649999999999</v>
      </c>
      <c r="H1496" s="1">
        <v>-4.69115E-6</v>
      </c>
      <c r="I1496">
        <v>308.30829999999997</v>
      </c>
      <c r="J1496">
        <v>-189.37970000000001</v>
      </c>
      <c r="K1496">
        <v>1.109108</v>
      </c>
      <c r="L1496">
        <v>342.38040000000001</v>
      </c>
      <c r="M1496">
        <v>-9.0858010000000003E-2</v>
      </c>
      <c r="N1496">
        <v>-1.374321E-2</v>
      </c>
      <c r="O1496">
        <v>-0.99576900000000002</v>
      </c>
      <c r="P1496">
        <v>-7.6944040000000005E-2</v>
      </c>
      <c r="Q1496">
        <v>0.1830241</v>
      </c>
      <c r="R1496">
        <v>-0.98009270000000004</v>
      </c>
      <c r="S1496">
        <v>-0.4764099</v>
      </c>
      <c r="T1496">
        <v>-9.844029E-2</v>
      </c>
      <c r="U1496">
        <v>-3.0414119999999998</v>
      </c>
      <c r="V1496">
        <v>-1.17445E-2</v>
      </c>
      <c r="W1496">
        <v>0.19655900000000001</v>
      </c>
      <c r="X1496">
        <v>0.98042169999999895</v>
      </c>
      <c r="Y1496">
        <v>6.4295779999999997E-2</v>
      </c>
      <c r="Z1496">
        <v>1.8279489999999999E-2</v>
      </c>
      <c r="AA1496">
        <v>0.99776350000000003</v>
      </c>
      <c r="AB1496">
        <v>21</v>
      </c>
      <c r="AC1496">
        <v>-5.3467999999999698</v>
      </c>
      <c r="AD1496">
        <v>-1.10911269115</v>
      </c>
      <c r="AE1496">
        <v>-34.072099999999999</v>
      </c>
      <c r="AF1496">
        <v>2.22636259909947</v>
      </c>
      <c r="AG1496">
        <v>-1.10911269115</v>
      </c>
      <c r="AH1496">
        <v>34.381435797675699</v>
      </c>
      <c r="AI1496">
        <v>91.843808067893207</v>
      </c>
      <c r="AJ1496">
        <v>86.294996730048894</v>
      </c>
      <c r="AK1496">
        <v>34.471291662687001</v>
      </c>
      <c r="AL1496">
        <v>78.6641900389819</v>
      </c>
      <c r="AM1496">
        <v>90.686314978914496</v>
      </c>
      <c r="AN1496">
        <v>1.0000000417960599</v>
      </c>
    </row>
    <row r="1497" spans="1:40" x14ac:dyDescent="0.25">
      <c r="A1497" t="str">
        <f>"20190304155622267"</f>
        <v>20190304155622267</v>
      </c>
      <c r="B1497" t="str">
        <f>"1551686182256157"</f>
        <v>1551686182256157</v>
      </c>
      <c r="C1497" t="s">
        <v>40</v>
      </c>
      <c r="D1497">
        <v>4.867667</v>
      </c>
      <c r="E1497">
        <v>0.57988989999999996</v>
      </c>
      <c r="F1497" t="s">
        <v>53</v>
      </c>
      <c r="G1497">
        <v>-206.6199</v>
      </c>
      <c r="H1497" s="1">
        <v>5.2398610000000004E-6</v>
      </c>
      <c r="I1497">
        <v>283.61849999999998</v>
      </c>
      <c r="J1497">
        <v>-189.40190000000001</v>
      </c>
      <c r="K1497">
        <v>1.1092850000000001</v>
      </c>
      <c r="L1497">
        <v>342.17290000000003</v>
      </c>
      <c r="M1497">
        <v>-9.3387999999999999E-2</v>
      </c>
      <c r="N1497">
        <v>-1.372025E-2</v>
      </c>
      <c r="O1497">
        <v>-0.99553559999999996</v>
      </c>
      <c r="P1497">
        <v>-7.6837829999999996E-2</v>
      </c>
      <c r="Q1497">
        <v>0.1832239</v>
      </c>
      <c r="R1497">
        <v>-0.98006450000000001</v>
      </c>
      <c r="S1497">
        <v>-0.88085939999999996</v>
      </c>
      <c r="T1497">
        <v>-5.6667919999999997E-2</v>
      </c>
      <c r="U1497">
        <v>-3.0023499999999999</v>
      </c>
      <c r="V1497">
        <v>-1.443112E-2</v>
      </c>
      <c r="W1497">
        <v>0.196738</v>
      </c>
      <c r="X1497">
        <v>0.9803499</v>
      </c>
      <c r="Y1497">
        <v>0.19062989999999999</v>
      </c>
      <c r="Z1497">
        <v>4.6553289999999997E-3</v>
      </c>
      <c r="AA1497">
        <v>0.98165089999999999</v>
      </c>
      <c r="AB1497">
        <v>21</v>
      </c>
      <c r="AC1497">
        <v>-17.2179999999999</v>
      </c>
      <c r="AD1497">
        <v>-1.1092797601389901</v>
      </c>
      <c r="AE1497">
        <v>-58.554400000000001</v>
      </c>
      <c r="AF1497">
        <v>11.6700934609136</v>
      </c>
      <c r="AG1497">
        <v>-1.1092797601389901</v>
      </c>
      <c r="AH1497">
        <v>59.886779990877599</v>
      </c>
      <c r="AI1497">
        <v>91.041577690780201</v>
      </c>
      <c r="AJ1497">
        <v>78.973006733702803</v>
      </c>
      <c r="AK1497">
        <v>61.023339802476301</v>
      </c>
      <c r="AL1497">
        <v>78.653729508924499</v>
      </c>
      <c r="AM1497">
        <v>90.843354556094994</v>
      </c>
      <c r="AN1497">
        <v>1.0000000121492301</v>
      </c>
    </row>
    <row r="1498" spans="1:40" x14ac:dyDescent="0.25">
      <c r="A1498" t="str">
        <f>"20190304155622290"</f>
        <v>20190304155622290</v>
      </c>
      <c r="B1498" t="str">
        <f>"1551686182286410"</f>
        <v>1551686182286410</v>
      </c>
      <c r="C1498" t="s">
        <v>40</v>
      </c>
      <c r="D1498">
        <v>4.8732730000000002</v>
      </c>
      <c r="E1498">
        <v>0.57986769999999999</v>
      </c>
      <c r="F1498" t="s">
        <v>53</v>
      </c>
      <c r="G1498">
        <v>-204.68289999999999</v>
      </c>
      <c r="H1498">
        <v>8.000003E-2</v>
      </c>
      <c r="I1498">
        <v>290.71170000000001</v>
      </c>
      <c r="J1498">
        <v>-189.42410000000001</v>
      </c>
      <c r="K1498">
        <v>1.1094660000000001</v>
      </c>
      <c r="L1498">
        <v>341.96620000000001</v>
      </c>
      <c r="M1498">
        <v>-9.5649780000000004E-2</v>
      </c>
      <c r="N1498">
        <v>-1.3699599999999999E-2</v>
      </c>
      <c r="O1498">
        <v>-0.99532089999999995</v>
      </c>
      <c r="P1498">
        <v>-7.6568159999999996E-2</v>
      </c>
      <c r="Q1498">
        <v>0.18265210000000001</v>
      </c>
      <c r="R1498">
        <v>-0.98019199999999995</v>
      </c>
      <c r="S1498">
        <v>-0.89152529999999997</v>
      </c>
      <c r="T1498">
        <v>-6.0050489999999998E-2</v>
      </c>
      <c r="U1498">
        <v>-3.0023499999999999</v>
      </c>
      <c r="V1498">
        <v>-1.703317E-2</v>
      </c>
      <c r="W1498">
        <v>0.19614709999999999</v>
      </c>
      <c r="X1498">
        <v>0.98042649999999998</v>
      </c>
      <c r="Y1498">
        <v>0.1916042</v>
      </c>
      <c r="Z1498">
        <v>5.7503399999999996E-3</v>
      </c>
      <c r="AA1498">
        <v>0.98145539999999998</v>
      </c>
      <c r="AB1498">
        <v>21</v>
      </c>
      <c r="AC1498">
        <v>-15.2587999999999</v>
      </c>
      <c r="AD1498">
        <v>-1.02946597</v>
      </c>
      <c r="AE1498">
        <v>-51.2545</v>
      </c>
      <c r="AF1498">
        <v>10.282074550229201</v>
      </c>
      <c r="AG1498">
        <v>-1.02946597</v>
      </c>
      <c r="AH1498">
        <v>52.459653715038797</v>
      </c>
      <c r="AI1498">
        <v>91.103239676156804</v>
      </c>
      <c r="AJ1498">
        <v>78.910622952371796</v>
      </c>
      <c r="AK1498">
        <v>53.467711052013897</v>
      </c>
      <c r="AL1498">
        <v>78.688257860234401</v>
      </c>
      <c r="AM1498">
        <v>90.995312328521706</v>
      </c>
      <c r="AN1498">
        <v>0.99999996781045297</v>
      </c>
    </row>
    <row r="1499" spans="1:40" x14ac:dyDescent="0.25">
      <c r="A1499" t="str">
        <f>"20190304155622313"</f>
        <v>20190304155622313</v>
      </c>
      <c r="B1499" t="str">
        <f>"1551686182305931"</f>
        <v>1551686182305931</v>
      </c>
      <c r="C1499" t="s">
        <v>40</v>
      </c>
      <c r="D1499">
        <v>4.8709369999999996</v>
      </c>
      <c r="E1499">
        <v>0.5807909</v>
      </c>
      <c r="F1499" t="s">
        <v>53</v>
      </c>
      <c r="G1499">
        <v>-202.14150000000001</v>
      </c>
      <c r="H1499">
        <v>7.9998630000000001E-2</v>
      </c>
      <c r="I1499">
        <v>299.07639999999998</v>
      </c>
      <c r="J1499">
        <v>-189.44730000000001</v>
      </c>
      <c r="K1499">
        <v>1.1096469999999901</v>
      </c>
      <c r="L1499">
        <v>341.75139999999999</v>
      </c>
      <c r="M1499">
        <v>-9.7683259999999994E-2</v>
      </c>
      <c r="N1499">
        <v>-1.367998E-2</v>
      </c>
      <c r="O1499">
        <v>-0.99512370000000006</v>
      </c>
      <c r="P1499">
        <v>-7.591051E-2</v>
      </c>
      <c r="Q1499">
        <v>0.1819296</v>
      </c>
      <c r="R1499">
        <v>-0.98037719999999995</v>
      </c>
      <c r="S1499">
        <v>-0.89086909999999897</v>
      </c>
      <c r="T1499">
        <v>-7.2115540000000006E-2</v>
      </c>
      <c r="U1499">
        <v>-3.004486</v>
      </c>
      <c r="V1499">
        <v>-1.9799509999999999E-2</v>
      </c>
      <c r="W1499">
        <v>0.19540540000000001</v>
      </c>
      <c r="X1499">
        <v>0.98052269999999997</v>
      </c>
      <c r="Y1499">
        <v>0.18919810000000001</v>
      </c>
      <c r="Z1499">
        <v>9.6253290000000002E-3</v>
      </c>
      <c r="AA1499">
        <v>0.98189179999999998</v>
      </c>
      <c r="AB1499">
        <v>21</v>
      </c>
      <c r="AC1499">
        <v>-12.694199999999899</v>
      </c>
      <c r="AD1499">
        <v>-1.0296483700000001</v>
      </c>
      <c r="AE1499">
        <v>-42.674999999999997</v>
      </c>
      <c r="AF1499">
        <v>8.4599322258233798</v>
      </c>
      <c r="AG1499">
        <v>-1.0296483700000001</v>
      </c>
      <c r="AH1499">
        <v>43.687632502173699</v>
      </c>
      <c r="AI1499">
        <v>91.325506250343395</v>
      </c>
      <c r="AJ1499">
        <v>79.040550459497894</v>
      </c>
      <c r="AK1499">
        <v>44.511120663002302</v>
      </c>
      <c r="AL1499">
        <v>78.731593421327702</v>
      </c>
      <c r="AM1499">
        <v>91.1568056604454</v>
      </c>
      <c r="AN1499">
        <v>1.0000000280803401</v>
      </c>
    </row>
    <row r="1500" spans="1:40" x14ac:dyDescent="0.25">
      <c r="A1500" t="str">
        <f>"20190304155622335"</f>
        <v>20190304155622335</v>
      </c>
      <c r="B1500" t="str">
        <f>"1551686182326426"</f>
        <v>1551686182326426</v>
      </c>
      <c r="C1500" t="s">
        <v>40</v>
      </c>
      <c r="D1500">
        <v>4.8653130000000004</v>
      </c>
      <c r="E1500">
        <v>0.58151750000000002</v>
      </c>
      <c r="F1500" t="s">
        <v>53</v>
      </c>
      <c r="G1500">
        <v>-202.11760000000001</v>
      </c>
      <c r="H1500">
        <v>7.9998600000000003E-2</v>
      </c>
      <c r="I1500">
        <v>299.25130000000001</v>
      </c>
      <c r="J1500">
        <v>-189.46969999999999</v>
      </c>
      <c r="K1500">
        <v>1.1097939999999999</v>
      </c>
      <c r="L1500">
        <v>341.54509999999999</v>
      </c>
      <c r="M1500">
        <v>-9.9368189999999995E-2</v>
      </c>
      <c r="N1500">
        <v>-1.366289E-2</v>
      </c>
      <c r="O1500">
        <v>-0.99495699999999998</v>
      </c>
      <c r="P1500">
        <v>-7.572827E-2</v>
      </c>
      <c r="Q1500">
        <v>0.18140790000000001</v>
      </c>
      <c r="R1500">
        <v>-0.98048780000000002</v>
      </c>
      <c r="S1500">
        <v>-0.89561460000000004</v>
      </c>
      <c r="T1500">
        <v>-7.2782040000000006E-2</v>
      </c>
      <c r="U1500">
        <v>-3.004181</v>
      </c>
      <c r="V1500">
        <v>-2.1729559999999998E-2</v>
      </c>
      <c r="W1500">
        <v>0.19486390000000001</v>
      </c>
      <c r="X1500">
        <v>0.98058959999999995</v>
      </c>
      <c r="Y1500">
        <v>0.18898680000000001</v>
      </c>
      <c r="Z1500">
        <v>9.8517599999999993E-3</v>
      </c>
      <c r="AA1500">
        <v>0.98193019999999998</v>
      </c>
      <c r="AB1500">
        <v>21</v>
      </c>
      <c r="AC1500">
        <v>-12.6479</v>
      </c>
      <c r="AD1500">
        <v>-1.0297954</v>
      </c>
      <c r="AE1500">
        <v>-42.293799999999898</v>
      </c>
      <c r="AF1500">
        <v>8.3776810608982508</v>
      </c>
      <c r="AG1500">
        <v>-1.0297954</v>
      </c>
      <c r="AH1500">
        <v>43.317780711904099</v>
      </c>
      <c r="AI1500">
        <v>91.337071483409304</v>
      </c>
      <c r="AJ1500">
        <v>79.054104150760693</v>
      </c>
      <c r="AK1500">
        <v>44.132484003606699</v>
      </c>
      <c r="AL1500">
        <v>78.763227316793902</v>
      </c>
      <c r="AM1500">
        <v>91.269448860387001</v>
      </c>
      <c r="AN1500">
        <v>1.00000003846458</v>
      </c>
    </row>
    <row r="1501" spans="1:40" x14ac:dyDescent="0.25">
      <c r="A1501" t="str">
        <f>"20190304155622356"</f>
        <v>20190304155622356</v>
      </c>
      <c r="B1501" t="str">
        <f>"1551686182345949"</f>
        <v>1551686182345949</v>
      </c>
      <c r="C1501" t="s">
        <v>40</v>
      </c>
      <c r="D1501">
        <v>4.880274</v>
      </c>
      <c r="E1501">
        <v>0.58235389999999998</v>
      </c>
      <c r="F1501" t="s">
        <v>41</v>
      </c>
      <c r="G1501">
        <v>-201.97540000000001</v>
      </c>
      <c r="H1501">
        <v>7.9986840000000003E-2</v>
      </c>
      <c r="I1501">
        <v>299.82709999999997</v>
      </c>
      <c r="J1501">
        <v>-189.49209999999999</v>
      </c>
      <c r="K1501">
        <v>1.109912</v>
      </c>
      <c r="L1501">
        <v>341.34039999999999</v>
      </c>
      <c r="M1501">
        <v>-0.1008246</v>
      </c>
      <c r="N1501">
        <v>-1.364751E-2</v>
      </c>
      <c r="O1501">
        <v>-0.99481090000000005</v>
      </c>
      <c r="P1501">
        <v>-7.5304979999999994E-2</v>
      </c>
      <c r="Q1501">
        <v>0.18050250000000001</v>
      </c>
      <c r="R1501">
        <v>-0.98068789999999995</v>
      </c>
      <c r="S1501">
        <v>-0.90045169999999997</v>
      </c>
      <c r="T1501">
        <v>-7.4149729999999997E-2</v>
      </c>
      <c r="U1501">
        <v>-3.0038450000000001</v>
      </c>
      <c r="V1501">
        <v>-2.3667379999999998E-2</v>
      </c>
      <c r="W1501">
        <v>0.19394149999999999</v>
      </c>
      <c r="X1501">
        <v>0.98072760000000003</v>
      </c>
      <c r="Y1501">
        <v>0.18902910000000001</v>
      </c>
      <c r="Z1501">
        <v>1.030067E-2</v>
      </c>
      <c r="AA1501">
        <v>0.98191740000000005</v>
      </c>
      <c r="AB1501">
        <v>21</v>
      </c>
      <c r="AC1501">
        <v>-12.4833</v>
      </c>
      <c r="AD1501">
        <v>-1.0299251599999999</v>
      </c>
      <c r="AE1501">
        <v>-41.513300000000001</v>
      </c>
      <c r="AF1501">
        <v>8.2290803932668393</v>
      </c>
      <c r="AG1501">
        <v>-1.0299251599999999</v>
      </c>
      <c r="AH1501">
        <v>42.5364478408748</v>
      </c>
      <c r="AI1501">
        <v>91.361778918359406</v>
      </c>
      <c r="AJ1501">
        <v>79.050845798904007</v>
      </c>
      <c r="AK1501">
        <v>43.337373073059098</v>
      </c>
      <c r="AL1501">
        <v>78.817104822538795</v>
      </c>
      <c r="AM1501">
        <v>91.382420394925603</v>
      </c>
      <c r="AN1501">
        <v>1.00000003785003</v>
      </c>
    </row>
    <row r="1502" spans="1:40" x14ac:dyDescent="0.25">
      <c r="A1502" t="str">
        <f>"20190304155622379"</f>
        <v>20190304155622379</v>
      </c>
      <c r="B1502" t="str">
        <f>"1551686182376203"</f>
        <v>1551686182376203</v>
      </c>
      <c r="C1502" t="s">
        <v>40</v>
      </c>
      <c r="D1502">
        <v>4.77163</v>
      </c>
      <c r="E1502">
        <v>0.58229730000000002</v>
      </c>
      <c r="F1502" t="s">
        <v>41</v>
      </c>
      <c r="G1502">
        <v>-201.35810000000001</v>
      </c>
      <c r="H1502">
        <v>7.9986180000000004E-2</v>
      </c>
      <c r="I1502">
        <v>301.971</v>
      </c>
      <c r="J1502">
        <v>-189.5138</v>
      </c>
      <c r="K1502">
        <v>1.109998</v>
      </c>
      <c r="L1502">
        <v>341.14150000000001</v>
      </c>
      <c r="M1502">
        <v>-0.102048</v>
      </c>
      <c r="N1502">
        <v>-1.363409E-2</v>
      </c>
      <c r="O1502">
        <v>-0.99468630000000002</v>
      </c>
      <c r="P1502">
        <v>-7.4277880000000004E-2</v>
      </c>
      <c r="Q1502">
        <v>0.1796171</v>
      </c>
      <c r="R1502">
        <v>-0.98092849999999998</v>
      </c>
      <c r="S1502">
        <v>-0.90541079999999996</v>
      </c>
      <c r="T1502">
        <v>-7.8586219999999998E-2</v>
      </c>
      <c r="U1502">
        <v>-3.0039980000000002</v>
      </c>
      <c r="V1502">
        <v>-2.5969559999999999E-2</v>
      </c>
      <c r="W1502">
        <v>0.1930423</v>
      </c>
      <c r="X1502">
        <v>0.98084669999999896</v>
      </c>
      <c r="Y1502">
        <v>0.18928809999999999</v>
      </c>
      <c r="Z1502">
        <v>1.17251E-2</v>
      </c>
      <c r="AA1502">
        <v>0.98185160000000005</v>
      </c>
      <c r="AB1502">
        <v>21</v>
      </c>
      <c r="AC1502">
        <v>-11.8443</v>
      </c>
      <c r="AD1502">
        <v>-1.0300118199999999</v>
      </c>
      <c r="AE1502">
        <v>-39.170499999999997</v>
      </c>
      <c r="AF1502">
        <v>7.7798845147583302</v>
      </c>
      <c r="AG1502">
        <v>-1.0300118199999999</v>
      </c>
      <c r="AH1502">
        <v>40.149334685253301</v>
      </c>
      <c r="AI1502">
        <v>91.442748177714407</v>
      </c>
      <c r="AJ1502">
        <v>79.033495393446003</v>
      </c>
      <c r="AK1502">
        <v>40.909126158851102</v>
      </c>
      <c r="AL1502">
        <v>78.869617134058501</v>
      </c>
      <c r="AM1502">
        <v>91.516647442902695</v>
      </c>
      <c r="AN1502">
        <v>0.99999999826838604</v>
      </c>
    </row>
    <row r="1503" spans="1:40" x14ac:dyDescent="0.25">
      <c r="A1503" t="str">
        <f>"20190304155622402"</f>
        <v>20190304155622402</v>
      </c>
      <c r="B1503" t="str">
        <f>"1551686182396699"</f>
        <v>1551686182396699</v>
      </c>
      <c r="C1503" t="s">
        <v>40</v>
      </c>
      <c r="D1503">
        <v>4.8509699999999896</v>
      </c>
      <c r="E1503">
        <v>0.58224790000000004</v>
      </c>
      <c r="F1503" t="s">
        <v>41</v>
      </c>
      <c r="G1503">
        <v>-201.30590000000001</v>
      </c>
      <c r="H1503">
        <v>7.9986219999999997E-2</v>
      </c>
      <c r="I1503">
        <v>301.84629999999999</v>
      </c>
      <c r="J1503">
        <v>-189.53800000000001</v>
      </c>
      <c r="K1503">
        <v>1.1100909999999999</v>
      </c>
      <c r="L1503">
        <v>340.92099999999999</v>
      </c>
      <c r="M1503">
        <v>-0.1031895</v>
      </c>
      <c r="N1503">
        <v>-1.362056E-2</v>
      </c>
      <c r="O1503">
        <v>-0.99456880000000003</v>
      </c>
      <c r="P1503">
        <v>-7.1827440000000006E-2</v>
      </c>
      <c r="Q1503">
        <v>0.17779800000000001</v>
      </c>
      <c r="R1503">
        <v>-0.9814427</v>
      </c>
      <c r="S1503">
        <v>-0.9016113</v>
      </c>
      <c r="T1503">
        <v>-7.8754069999999995E-2</v>
      </c>
      <c r="U1503">
        <v>-3.004486</v>
      </c>
      <c r="V1503">
        <v>-2.9636699999999998E-2</v>
      </c>
      <c r="W1503">
        <v>0.19121070000000001</v>
      </c>
      <c r="X1503">
        <v>0.98110149999999996</v>
      </c>
      <c r="Y1503">
        <v>0.18697829999999999</v>
      </c>
      <c r="Z1503">
        <v>1.1795299999999899E-2</v>
      </c>
      <c r="AA1503">
        <v>0.98229319999999998</v>
      </c>
      <c r="AB1503">
        <v>21</v>
      </c>
      <c r="AC1503">
        <v>-11.767899999999999</v>
      </c>
      <c r="AD1503">
        <v>-1.0301047799999901</v>
      </c>
      <c r="AE1503">
        <v>-39.0747</v>
      </c>
      <c r="AF1503">
        <v>7.6677107602760897</v>
      </c>
      <c r="AG1503">
        <v>-1.0301047799999901</v>
      </c>
      <c r="AH1503">
        <v>40.054982925272398</v>
      </c>
      <c r="AI1503">
        <v>91.446905132337506</v>
      </c>
      <c r="AJ1503">
        <v>79.162995628190302</v>
      </c>
      <c r="AK1503">
        <v>40.795300725756299</v>
      </c>
      <c r="AL1503">
        <v>78.976552410633801</v>
      </c>
      <c r="AM1503">
        <v>91.730240571404593</v>
      </c>
      <c r="AN1503">
        <v>1.00000000954181</v>
      </c>
    </row>
    <row r="1504" spans="1:40" x14ac:dyDescent="0.25">
      <c r="A1504" t="str">
        <f>"20190304155622435"</f>
        <v>20190304155622435</v>
      </c>
      <c r="B1504" t="str">
        <f>"1551686182425979"</f>
        <v>1551686182425979</v>
      </c>
      <c r="C1504" t="s">
        <v>40</v>
      </c>
      <c r="D1504">
        <v>4.8361349999999996</v>
      </c>
      <c r="E1504">
        <v>0.58291800000000005</v>
      </c>
      <c r="F1504" t="s">
        <v>41</v>
      </c>
      <c r="G1504">
        <v>-200.85679999999999</v>
      </c>
      <c r="H1504">
        <v>7.9985890000000004E-2</v>
      </c>
      <c r="I1504">
        <v>302.904</v>
      </c>
      <c r="J1504">
        <v>-189.5712</v>
      </c>
      <c r="K1504">
        <v>1.1102369999999999</v>
      </c>
      <c r="L1504">
        <v>340.61829999999998</v>
      </c>
      <c r="M1504">
        <v>-0.104409</v>
      </c>
      <c r="N1504">
        <v>-1.3604069999999999E-2</v>
      </c>
      <c r="O1504">
        <v>-0.99444149999999998</v>
      </c>
      <c r="P1504">
        <v>-6.9363809999999998E-2</v>
      </c>
      <c r="Q1504">
        <v>0.17659449999999999</v>
      </c>
      <c r="R1504">
        <v>-0.98183670000000001</v>
      </c>
      <c r="S1504">
        <v>-0.89497380000000004</v>
      </c>
      <c r="T1504">
        <v>-8.1449869999999994E-2</v>
      </c>
      <c r="U1504">
        <v>-3.0059809999999998</v>
      </c>
      <c r="V1504">
        <v>-3.3402620000000001E-2</v>
      </c>
      <c r="W1504">
        <v>0.18998429999999999</v>
      </c>
      <c r="X1504">
        <v>0.98121879999999995</v>
      </c>
      <c r="Y1504">
        <v>0.18364359999999999</v>
      </c>
      <c r="Z1504">
        <v>1.267388E-2</v>
      </c>
      <c r="AA1504">
        <v>0.98291119999999998</v>
      </c>
      <c r="AB1504">
        <v>21</v>
      </c>
      <c r="AC1504">
        <v>-11.285599999999899</v>
      </c>
      <c r="AD1504">
        <v>-1.03025111</v>
      </c>
      <c r="AE1504">
        <v>-37.714299999999902</v>
      </c>
      <c r="AF1504">
        <v>7.2808434443633798</v>
      </c>
      <c r="AG1504">
        <v>-1.03025111</v>
      </c>
      <c r="AH1504">
        <v>38.660080894950603</v>
      </c>
      <c r="AI1504">
        <v>91.500152284733801</v>
      </c>
      <c r="AJ1504">
        <v>79.334424961427999</v>
      </c>
      <c r="AK1504">
        <v>39.353194958162</v>
      </c>
      <c r="AL1504">
        <v>79.048132603027497</v>
      </c>
      <c r="AM1504">
        <v>91.949708240788496</v>
      </c>
      <c r="AN1504">
        <v>1.00000005137139</v>
      </c>
    </row>
    <row r="1505" spans="1:40" x14ac:dyDescent="0.25">
      <c r="A1505" t="str">
        <f>"20190304155622458"</f>
        <v>20190304155622458</v>
      </c>
      <c r="B1505" t="str">
        <f>"1551686182456234"</f>
        <v>1551686182456234</v>
      </c>
      <c r="C1505" t="s">
        <v>40</v>
      </c>
      <c r="D1505">
        <v>4.8493719999999998</v>
      </c>
      <c r="E1505">
        <v>0.58351799999999998</v>
      </c>
      <c r="F1505" t="s">
        <v>41</v>
      </c>
      <c r="G1505">
        <v>-200.97829999999999</v>
      </c>
      <c r="H1505">
        <v>7.9986080000000001E-2</v>
      </c>
      <c r="I1505">
        <v>302.27370000000002</v>
      </c>
      <c r="J1505">
        <v>-189.5943</v>
      </c>
      <c r="K1505">
        <v>1.1103400000000001</v>
      </c>
      <c r="L1505">
        <v>340.40730000000002</v>
      </c>
      <c r="M1505">
        <v>-0.1050401</v>
      </c>
      <c r="N1505">
        <v>-1.3594520000000001E-2</v>
      </c>
      <c r="O1505">
        <v>-0.99437520000000001</v>
      </c>
      <c r="P1505">
        <v>-6.7861649999999996E-2</v>
      </c>
      <c r="Q1505">
        <v>0.1764799</v>
      </c>
      <c r="R1505">
        <v>-0.98196260000000002</v>
      </c>
      <c r="S1505">
        <v>-0.89451599999999998</v>
      </c>
      <c r="T1505">
        <v>-8.0789799999999995E-2</v>
      </c>
      <c r="U1505">
        <v>-3.0068969999999999</v>
      </c>
      <c r="V1505">
        <v>-3.5582860000000001E-2</v>
      </c>
      <c r="W1505">
        <v>0.1898523</v>
      </c>
      <c r="X1505">
        <v>0.98116769999999998</v>
      </c>
      <c r="Y1505">
        <v>0.18280170000000001</v>
      </c>
      <c r="Z1505">
        <v>1.246566E-2</v>
      </c>
      <c r="AA1505">
        <v>0.98307080000000002</v>
      </c>
      <c r="AB1505">
        <v>21</v>
      </c>
      <c r="AC1505">
        <v>-11.383999999999901</v>
      </c>
      <c r="AD1505">
        <v>-1.03035391999999</v>
      </c>
      <c r="AE1505">
        <v>-38.133600000000001</v>
      </c>
      <c r="AF1505">
        <v>7.31018495331789</v>
      </c>
      <c r="AG1505">
        <v>-1.03035391999999</v>
      </c>
      <c r="AH1505">
        <v>39.092287928590999</v>
      </c>
      <c r="AI1505">
        <v>91.484079978782006</v>
      </c>
      <c r="AJ1505">
        <v>79.408125391942207</v>
      </c>
      <c r="AK1505">
        <v>39.783255381429498</v>
      </c>
      <c r="AL1505">
        <v>79.0558357817374</v>
      </c>
      <c r="AM1505">
        <v>92.076968709459905</v>
      </c>
      <c r="AN1505">
        <v>1.00000004563217</v>
      </c>
    </row>
    <row r="1506" spans="1:40" x14ac:dyDescent="0.25">
      <c r="A1506" t="str">
        <f>"20190304155622479"</f>
        <v>20190304155622479</v>
      </c>
      <c r="B1506" t="str">
        <f>"1551686182475755"</f>
        <v>1551686182475755</v>
      </c>
      <c r="C1506" t="s">
        <v>40</v>
      </c>
      <c r="D1506">
        <v>4.8052489999999999</v>
      </c>
      <c r="E1506">
        <v>0.58409840000000002</v>
      </c>
      <c r="F1506" t="s">
        <v>41</v>
      </c>
      <c r="G1506">
        <v>-201.2919</v>
      </c>
      <c r="H1506">
        <v>7.9986440000000006E-2</v>
      </c>
      <c r="I1506">
        <v>301.09039999999999</v>
      </c>
      <c r="J1506">
        <v>-189.61510000000001</v>
      </c>
      <c r="K1506">
        <v>1.1104290000000001</v>
      </c>
      <c r="L1506">
        <v>340.21620000000001</v>
      </c>
      <c r="M1506">
        <v>-0.1054855</v>
      </c>
      <c r="N1506">
        <v>-1.358704E-2</v>
      </c>
      <c r="O1506">
        <v>-0.99432810000000005</v>
      </c>
      <c r="P1506">
        <v>-6.6423860000000001E-2</v>
      </c>
      <c r="Q1506">
        <v>0.1767859</v>
      </c>
      <c r="R1506">
        <v>-0.98200540000000003</v>
      </c>
      <c r="S1506">
        <v>-0.89479059999999899</v>
      </c>
      <c r="T1506">
        <v>-7.8814980000000007E-2</v>
      </c>
      <c r="U1506">
        <v>-3.0074770000000002</v>
      </c>
      <c r="V1506">
        <v>-3.7496519999999998E-2</v>
      </c>
      <c r="W1506">
        <v>0.19014259999999999</v>
      </c>
      <c r="X1506">
        <v>0.98104020000000003</v>
      </c>
      <c r="Y1506">
        <v>0.1823951</v>
      </c>
      <c r="Z1506">
        <v>1.183646E-2</v>
      </c>
      <c r="AA1506">
        <v>0.98315410000000003</v>
      </c>
      <c r="AB1506">
        <v>21</v>
      </c>
      <c r="AC1506">
        <v>-11.676799999999901</v>
      </c>
      <c r="AD1506">
        <v>-1.03044256</v>
      </c>
      <c r="AE1506">
        <v>-39.125799999999998</v>
      </c>
      <c r="AF1506">
        <v>7.4792924837845396</v>
      </c>
      <c r="AG1506">
        <v>-1.03044256</v>
      </c>
      <c r="AH1506">
        <v>40.113769096680301</v>
      </c>
      <c r="AI1506">
        <v>91.446571584377196</v>
      </c>
      <c r="AJ1506">
        <v>79.438362385627997</v>
      </c>
      <c r="AK1506">
        <v>40.818085441005699</v>
      </c>
      <c r="AL1506">
        <v>79.038894109646606</v>
      </c>
      <c r="AM1506">
        <v>92.188847197405096</v>
      </c>
      <c r="AN1506">
        <v>1.00000003568145</v>
      </c>
    </row>
    <row r="1507" spans="1:40" x14ac:dyDescent="0.25">
      <c r="A1507" t="str">
        <f>"20190304155622502"</f>
        <v>20190304155622502</v>
      </c>
      <c r="B1507" t="str">
        <f>"1551686182496250"</f>
        <v>1551686182496250</v>
      </c>
      <c r="C1507" t="s">
        <v>40</v>
      </c>
      <c r="D1507">
        <v>4.7954150000000002</v>
      </c>
      <c r="E1507">
        <v>0.58470909999999998</v>
      </c>
      <c r="F1507" t="s">
        <v>53</v>
      </c>
      <c r="G1507">
        <v>-201.72989999999999</v>
      </c>
      <c r="H1507">
        <v>7.9998559999999996E-2</v>
      </c>
      <c r="I1507">
        <v>299.49450000000002</v>
      </c>
      <c r="J1507">
        <v>-189.6379</v>
      </c>
      <c r="K1507">
        <v>1.110511</v>
      </c>
      <c r="L1507">
        <v>340.00569999999999</v>
      </c>
      <c r="M1507">
        <v>-0.10582129999999999</v>
      </c>
      <c r="N1507">
        <v>-1.357975E-2</v>
      </c>
      <c r="O1507">
        <v>-0.99429270000000003</v>
      </c>
      <c r="P1507">
        <v>-6.531373E-2</v>
      </c>
      <c r="Q1507">
        <v>0.1770572</v>
      </c>
      <c r="R1507">
        <v>-0.9820316</v>
      </c>
      <c r="S1507">
        <v>-0.89494319999999905</v>
      </c>
      <c r="T1507">
        <v>-7.6119539999999999E-2</v>
      </c>
      <c r="U1507">
        <v>-3.0081790000000002</v>
      </c>
      <c r="V1507">
        <v>-3.8973689999999998E-2</v>
      </c>
      <c r="W1507">
        <v>0.1903977</v>
      </c>
      <c r="X1507">
        <v>0.9809331</v>
      </c>
      <c r="Y1507">
        <v>0.18205009999999999</v>
      </c>
      <c r="Z1507">
        <v>1.097616E-2</v>
      </c>
      <c r="AA1507">
        <v>0.98322799999999999</v>
      </c>
      <c r="AB1507">
        <v>21</v>
      </c>
      <c r="AC1507">
        <v>-12.091999999999899</v>
      </c>
      <c r="AD1507">
        <v>-1.0305124400000001</v>
      </c>
      <c r="AE1507">
        <v>-40.511199999999903</v>
      </c>
      <c r="AF1507">
        <v>7.7321568183023102</v>
      </c>
      <c r="AG1507">
        <v>-1.0305124400000001</v>
      </c>
      <c r="AH1507">
        <v>41.538723138322801</v>
      </c>
      <c r="AI1507">
        <v>91.397140377822495</v>
      </c>
      <c r="AJ1507">
        <v>79.455453907645804</v>
      </c>
      <c r="AK1507">
        <v>42.264804801560899</v>
      </c>
      <c r="AL1507">
        <v>79.024005465751401</v>
      </c>
      <c r="AM1507">
        <v>92.275235755171707</v>
      </c>
      <c r="AN1507">
        <v>0.99999998967655801</v>
      </c>
    </row>
    <row r="1508" spans="1:40" x14ac:dyDescent="0.25">
      <c r="A1508" t="str">
        <f>"20190304155622523"</f>
        <v>20190304155622523</v>
      </c>
      <c r="B1508" t="str">
        <f>"1551686182515770"</f>
        <v>1551686182515770</v>
      </c>
      <c r="C1508" t="s">
        <v>40</v>
      </c>
      <c r="D1508">
        <v>4.7906719999999998</v>
      </c>
      <c r="E1508">
        <v>0.58539449999999904</v>
      </c>
      <c r="F1508" t="s">
        <v>53</v>
      </c>
      <c r="G1508">
        <v>-202.16319999999999</v>
      </c>
      <c r="H1508">
        <v>7.9998840000000002E-2</v>
      </c>
      <c r="I1508">
        <v>297.97340000000003</v>
      </c>
      <c r="J1508">
        <v>-189.6592</v>
      </c>
      <c r="K1508">
        <v>1.1105860000000001</v>
      </c>
      <c r="L1508">
        <v>339.80810000000002</v>
      </c>
      <c r="M1508">
        <v>-0.10598200000000001</v>
      </c>
      <c r="N1508">
        <v>-1.3573480000000001E-2</v>
      </c>
      <c r="O1508">
        <v>-0.99427569999999998</v>
      </c>
      <c r="P1508">
        <v>-6.4152559999999997E-2</v>
      </c>
      <c r="Q1508">
        <v>0.17666119999999999</v>
      </c>
      <c r="R1508">
        <v>-0.98217929999999998</v>
      </c>
      <c r="S1508">
        <v>-0.89653019999999894</v>
      </c>
      <c r="T1508">
        <v>-7.3761579999999993E-2</v>
      </c>
      <c r="U1508">
        <v>-3.008575</v>
      </c>
      <c r="V1508">
        <v>-4.033664E-2</v>
      </c>
      <c r="W1508">
        <v>0.18998860000000001</v>
      </c>
      <c r="X1508">
        <v>0.98095730000000003</v>
      </c>
      <c r="Y1508">
        <v>0.18233540000000001</v>
      </c>
      <c r="Z1508">
        <v>1.022312E-2</v>
      </c>
      <c r="AA1508">
        <v>0.98318329999999998</v>
      </c>
      <c r="AB1508">
        <v>21</v>
      </c>
      <c r="AC1508">
        <v>-12.5039999999999</v>
      </c>
      <c r="AD1508">
        <v>-1.0305871600000001</v>
      </c>
      <c r="AE1508">
        <v>-41.834699999999998</v>
      </c>
      <c r="AF1508">
        <v>7.9949787355517596</v>
      </c>
      <c r="AG1508">
        <v>-1.0305871600000001</v>
      </c>
      <c r="AH1508">
        <v>42.9004663041231</v>
      </c>
      <c r="AI1508">
        <v>91.352854248542698</v>
      </c>
      <c r="AJ1508">
        <v>79.443394857418895</v>
      </c>
      <c r="AK1508">
        <v>43.651252032301301</v>
      </c>
      <c r="AL1508">
        <v>79.047880742310397</v>
      </c>
      <c r="AM1508">
        <v>92.354657010885703</v>
      </c>
      <c r="AN1508">
        <v>0.99999996853986906</v>
      </c>
    </row>
    <row r="1509" spans="1:40" x14ac:dyDescent="0.25">
      <c r="A1509" t="str">
        <f>"20190304155622547"</f>
        <v>20190304155622547</v>
      </c>
      <c r="B1509" t="str">
        <f>"1551686182536266"</f>
        <v>1551686182536266</v>
      </c>
      <c r="C1509" t="s">
        <v>40</v>
      </c>
      <c r="D1509">
        <v>4.7989410000000001</v>
      </c>
      <c r="E1509">
        <v>0.58578589999999997</v>
      </c>
      <c r="F1509" t="s">
        <v>53</v>
      </c>
      <c r="G1509">
        <v>-202.35059999999999</v>
      </c>
      <c r="H1509">
        <v>7.9998979999999997E-2</v>
      </c>
      <c r="I1509">
        <v>297.31990000000002</v>
      </c>
      <c r="J1509">
        <v>-189.6823</v>
      </c>
      <c r="K1509">
        <v>1.1106609999999999</v>
      </c>
      <c r="L1509">
        <v>339.59300000000002</v>
      </c>
      <c r="M1509">
        <v>-0.1060084</v>
      </c>
      <c r="N1509">
        <v>-1.3567559999999999E-2</v>
      </c>
      <c r="O1509">
        <v>-0.99427279999999996</v>
      </c>
      <c r="P1509">
        <v>-6.3286919999999997E-2</v>
      </c>
      <c r="Q1509">
        <v>0.1775226</v>
      </c>
      <c r="R1509">
        <v>-0.98207979999999995</v>
      </c>
      <c r="S1509">
        <v>-0.8987579</v>
      </c>
      <c r="T1509">
        <v>-7.2982190000000002E-2</v>
      </c>
      <c r="U1509">
        <v>-3.0088499999999998</v>
      </c>
      <c r="V1509">
        <v>-4.1246070000000003E-2</v>
      </c>
      <c r="W1509">
        <v>0.190834</v>
      </c>
      <c r="X1509">
        <v>0.98075540000000005</v>
      </c>
      <c r="Y1509">
        <v>0.18295400000000001</v>
      </c>
      <c r="Z1509">
        <v>9.9744150000000004E-3</v>
      </c>
      <c r="AA1509">
        <v>0.98307089999999997</v>
      </c>
      <c r="AB1509">
        <v>21</v>
      </c>
      <c r="AC1509">
        <v>-12.668299999999901</v>
      </c>
      <c r="AD1509">
        <v>-1.0306620200000001</v>
      </c>
      <c r="AE1509">
        <v>-42.273099999999999</v>
      </c>
      <c r="AF1509">
        <v>8.1107642966773508</v>
      </c>
      <c r="AG1509">
        <v>-1.0306620200000001</v>
      </c>
      <c r="AH1509">
        <v>43.354279138250398</v>
      </c>
      <c r="AI1509">
        <v>91.3386217387648</v>
      </c>
      <c r="AJ1509">
        <v>79.403535018619706</v>
      </c>
      <c r="AK1509">
        <v>44.118480042642702</v>
      </c>
      <c r="AL1509">
        <v>78.998540569548993</v>
      </c>
      <c r="AM1509">
        <v>92.408178393434795</v>
      </c>
      <c r="AN1509">
        <v>1.0000000042378001</v>
      </c>
    </row>
    <row r="1510" spans="1:40" x14ac:dyDescent="0.25">
      <c r="A1510" t="str">
        <f>"20190304155622568"</f>
        <v>20190304155622568</v>
      </c>
      <c r="B1510" t="str">
        <f>"1551686182566523"</f>
        <v>1551686182566523</v>
      </c>
      <c r="C1510" t="s">
        <v>40</v>
      </c>
      <c r="D1510">
        <v>4.8636460000000001</v>
      </c>
      <c r="E1510">
        <v>0.58635119999999996</v>
      </c>
      <c r="F1510" t="s">
        <v>53</v>
      </c>
      <c r="G1510">
        <v>-202.98840000000001</v>
      </c>
      <c r="H1510">
        <v>7.9999600000000004E-2</v>
      </c>
      <c r="I1510">
        <v>295.0446</v>
      </c>
      <c r="J1510">
        <v>-189.70359999999999</v>
      </c>
      <c r="K1510">
        <v>1.1107229999999999</v>
      </c>
      <c r="L1510">
        <v>339.39339999999999</v>
      </c>
      <c r="M1510">
        <v>-0.1059112</v>
      </c>
      <c r="N1510">
        <v>-1.356271E-2</v>
      </c>
      <c r="O1510">
        <v>-0.99428309999999998</v>
      </c>
      <c r="P1510">
        <v>-6.2704280000000001E-2</v>
      </c>
      <c r="Q1510">
        <v>0.17832290000000001</v>
      </c>
      <c r="R1510">
        <v>-0.98197230000000002</v>
      </c>
      <c r="S1510">
        <v>-0.89887999999999901</v>
      </c>
      <c r="T1510">
        <v>-6.9625380000000001E-2</v>
      </c>
      <c r="U1510">
        <v>-3.00943</v>
      </c>
      <c r="V1510">
        <v>-4.1746949999999998E-2</v>
      </c>
      <c r="W1510">
        <v>0.1916207</v>
      </c>
      <c r="X1510">
        <v>0.98058080000000003</v>
      </c>
      <c r="Y1510">
        <v>0.1830389</v>
      </c>
      <c r="Z1510">
        <v>8.9021250000000003E-3</v>
      </c>
      <c r="AA1510">
        <v>0.98306539999999998</v>
      </c>
      <c r="AB1510">
        <v>21</v>
      </c>
      <c r="AC1510">
        <v>-13.284800000000001</v>
      </c>
      <c r="AD1510">
        <v>-1.0307233999999901</v>
      </c>
      <c r="AE1510">
        <v>-44.348799999999898</v>
      </c>
      <c r="AF1510">
        <v>8.5083829873809602</v>
      </c>
      <c r="AG1510">
        <v>-1.0307233999999901</v>
      </c>
      <c r="AH1510">
        <v>45.483911317494403</v>
      </c>
      <c r="AI1510">
        <v>91.276046472103005</v>
      </c>
      <c r="AJ1510">
        <v>79.404502789283796</v>
      </c>
      <c r="AK1510">
        <v>46.284351140800901</v>
      </c>
      <c r="AL1510">
        <v>78.952618507903395</v>
      </c>
      <c r="AM1510">
        <v>92.437821009387093</v>
      </c>
      <c r="AN1510">
        <v>1.0000000029157099</v>
      </c>
    </row>
    <row r="1511" spans="1:40" x14ac:dyDescent="0.25">
      <c r="A1511" t="str">
        <f>"20190304155622591"</f>
        <v>20190304155622591</v>
      </c>
      <c r="B1511" t="str">
        <f>"1551686182586042"</f>
        <v>1551686182586042</v>
      </c>
      <c r="C1511" t="s">
        <v>40</v>
      </c>
      <c r="D1511">
        <v>4.819922</v>
      </c>
      <c r="E1511">
        <v>0.5867443</v>
      </c>
      <c r="F1511" t="s">
        <v>53</v>
      </c>
      <c r="G1511">
        <v>-203.75200000000001</v>
      </c>
      <c r="H1511">
        <v>7.9999920000000002E-2</v>
      </c>
      <c r="I1511">
        <v>292.46850000000001</v>
      </c>
      <c r="J1511">
        <v>-189.72450000000001</v>
      </c>
      <c r="K1511">
        <v>1.1107819999999999</v>
      </c>
      <c r="L1511">
        <v>339.19459999999998</v>
      </c>
      <c r="M1511">
        <v>-0.10570019999999999</v>
      </c>
      <c r="N1511">
        <v>-1.355836E-2</v>
      </c>
      <c r="O1511">
        <v>-0.99430600000000002</v>
      </c>
      <c r="P1511">
        <v>-6.255927E-2</v>
      </c>
      <c r="Q1511">
        <v>0.1785176</v>
      </c>
      <c r="R1511">
        <v>-0.98194650000000006</v>
      </c>
      <c r="S1511">
        <v>-0.90100100000000005</v>
      </c>
      <c r="T1511">
        <v>-6.6105960000000005E-2</v>
      </c>
      <c r="U1511">
        <v>-3.0095519999999998</v>
      </c>
      <c r="V1511">
        <v>-4.1707080000000001E-2</v>
      </c>
      <c r="W1511">
        <v>0.19180510000000001</v>
      </c>
      <c r="X1511">
        <v>0.98054640000000004</v>
      </c>
      <c r="Y1511">
        <v>0.1838765</v>
      </c>
      <c r="Z1511">
        <v>7.7779629999999997E-3</v>
      </c>
      <c r="AA1511">
        <v>0.98291859999999998</v>
      </c>
      <c r="AB1511">
        <v>21</v>
      </c>
      <c r="AC1511">
        <v>-14.0275</v>
      </c>
      <c r="AD1511">
        <v>-1.0307820799999901</v>
      </c>
      <c r="AE1511">
        <v>-46.726099999999903</v>
      </c>
      <c r="AF1511">
        <v>9.0054737363003294</v>
      </c>
      <c r="AG1511">
        <v>-1.0307820799999901</v>
      </c>
      <c r="AH1511">
        <v>47.925744845213401</v>
      </c>
      <c r="AI1511">
        <v>91.210935822709601</v>
      </c>
      <c r="AJ1511">
        <v>79.357945080286598</v>
      </c>
      <c r="AK1511">
        <v>48.7753840362139</v>
      </c>
      <c r="AL1511">
        <v>78.941853002764205</v>
      </c>
      <c r="AM1511">
        <v>92.435580938424494</v>
      </c>
      <c r="AN1511">
        <v>0.99999995973054701</v>
      </c>
    </row>
    <row r="1512" spans="1:40" x14ac:dyDescent="0.25">
      <c r="A1512" t="str">
        <f>"20190304155622617"</f>
        <v>20190304155622617</v>
      </c>
      <c r="B1512" t="str">
        <f>"1551686182606538"</f>
        <v>1551686182606538</v>
      </c>
      <c r="C1512" t="s">
        <v>40</v>
      </c>
      <c r="D1512">
        <v>4.7906110000000002</v>
      </c>
      <c r="E1512">
        <v>0.5873119</v>
      </c>
      <c r="F1512" t="s">
        <v>53</v>
      </c>
      <c r="G1512">
        <v>-204.19540000000001</v>
      </c>
      <c r="H1512">
        <v>8.0000059999999998E-2</v>
      </c>
      <c r="I1512">
        <v>291.00470000000001</v>
      </c>
      <c r="J1512">
        <v>-189.749</v>
      </c>
      <c r="K1512">
        <v>1.1108450000000001</v>
      </c>
      <c r="L1512">
        <v>338.96129999999999</v>
      </c>
      <c r="M1512">
        <v>-0.10530680000000001</v>
      </c>
      <c r="N1512">
        <v>-1.355375E-2</v>
      </c>
      <c r="O1512">
        <v>-0.99434750000000005</v>
      </c>
      <c r="P1512">
        <v>-6.2253410000000002E-2</v>
      </c>
      <c r="Q1512">
        <v>0.1779578</v>
      </c>
      <c r="R1512">
        <v>-0.98206689999999996</v>
      </c>
      <c r="S1512">
        <v>-0.90364069999999996</v>
      </c>
      <c r="T1512">
        <v>-6.4367770000000005E-2</v>
      </c>
      <c r="U1512">
        <v>-3.0092469999999998</v>
      </c>
      <c r="V1512">
        <v>-4.1665979999999998E-2</v>
      </c>
      <c r="W1512">
        <v>0.19123560000000001</v>
      </c>
      <c r="X1512">
        <v>0.98065939999999996</v>
      </c>
      <c r="Y1512">
        <v>0.18508530000000001</v>
      </c>
      <c r="Z1512">
        <v>7.225357E-3</v>
      </c>
      <c r="AA1512">
        <v>0.98269589999999996</v>
      </c>
      <c r="AB1512">
        <v>21</v>
      </c>
      <c r="AC1512">
        <v>-14.446399999999899</v>
      </c>
      <c r="AD1512">
        <v>-1.0308449399999999</v>
      </c>
      <c r="AE1512">
        <v>-47.956599999999902</v>
      </c>
      <c r="AF1512">
        <v>9.3114960489418994</v>
      </c>
      <c r="AG1512">
        <v>-1.0308449399999999</v>
      </c>
      <c r="AH1512">
        <v>49.190507874441899</v>
      </c>
      <c r="AI1512">
        <v>91.179583127735995</v>
      </c>
      <c r="AJ1512">
        <v>79.281047842465</v>
      </c>
      <c r="AK1512">
        <v>50.074670891632501</v>
      </c>
      <c r="AL1512">
        <v>78.975098635506995</v>
      </c>
      <c r="AM1512">
        <v>92.432903659963102</v>
      </c>
      <c r="AN1512">
        <v>0.99999998370253995</v>
      </c>
    </row>
    <row r="1513" spans="1:40" x14ac:dyDescent="0.25">
      <c r="A1513" t="str">
        <f>"20190304155622637"</f>
        <v>20190304155622637</v>
      </c>
      <c r="B1513" t="str">
        <f>"1551686182626058"</f>
        <v>1551686182626058</v>
      </c>
      <c r="C1513" t="s">
        <v>40</v>
      </c>
      <c r="D1513">
        <v>4.7950879999999998</v>
      </c>
      <c r="E1513">
        <v>0.58773439999999999</v>
      </c>
      <c r="F1513" t="s">
        <v>53</v>
      </c>
      <c r="G1513">
        <v>-204.08240000000001</v>
      </c>
      <c r="H1513">
        <v>8.0000009999999996E-2</v>
      </c>
      <c r="I1513">
        <v>291.43779999999998</v>
      </c>
      <c r="J1513">
        <v>-189.76910000000001</v>
      </c>
      <c r="K1513">
        <v>1.110892</v>
      </c>
      <c r="L1513">
        <v>338.76679999999999</v>
      </c>
      <c r="M1513">
        <v>-0.10489279999999999</v>
      </c>
      <c r="N1513">
        <v>-1.3550390000000001E-2</v>
      </c>
      <c r="O1513">
        <v>-0.99439109999999997</v>
      </c>
      <c r="P1513">
        <v>-6.2069039999999999E-2</v>
      </c>
      <c r="Q1513">
        <v>0.1773594</v>
      </c>
      <c r="R1513">
        <v>-0.98218689999999997</v>
      </c>
      <c r="S1513">
        <v>-0.90756230000000004</v>
      </c>
      <c r="T1513">
        <v>-6.5271140000000005E-2</v>
      </c>
      <c r="U1513">
        <v>-3.0090940000000002</v>
      </c>
      <c r="V1513">
        <v>-4.147315E-2</v>
      </c>
      <c r="W1513">
        <v>0.19063079999999999</v>
      </c>
      <c r="X1513">
        <v>0.98078529999999997</v>
      </c>
      <c r="Y1513">
        <v>0.18668090000000001</v>
      </c>
      <c r="Z1513">
        <v>7.5126899999999998E-3</v>
      </c>
      <c r="AA1513">
        <v>0.98239189999999998</v>
      </c>
      <c r="AB1513">
        <v>20</v>
      </c>
      <c r="AC1513">
        <v>-14.3132999999999</v>
      </c>
      <c r="AD1513">
        <v>-1.03089199</v>
      </c>
      <c r="AE1513">
        <v>-47.329000000000001</v>
      </c>
      <c r="AF1513">
        <v>9.2653714635147892</v>
      </c>
      <c r="AG1513">
        <v>-1.03089199</v>
      </c>
      <c r="AH1513">
        <v>48.548260504127597</v>
      </c>
      <c r="AI1513">
        <v>91.194897324082405</v>
      </c>
      <c r="AJ1513">
        <v>79.195108637707094</v>
      </c>
      <c r="AK1513">
        <v>49.435244963776597</v>
      </c>
      <c r="AL1513">
        <v>79.010400357847203</v>
      </c>
      <c r="AM1513">
        <v>92.421347136775907</v>
      </c>
      <c r="AN1513">
        <v>0.99999996438782501</v>
      </c>
    </row>
    <row r="1514" spans="1:40" x14ac:dyDescent="0.25">
      <c r="A1514" t="str">
        <f>"20190304155622662"</f>
        <v>20190304155622662</v>
      </c>
      <c r="B1514" t="str">
        <f>"1551686182656314"</f>
        <v>1551686182656314</v>
      </c>
      <c r="C1514" t="s">
        <v>40</v>
      </c>
      <c r="D1514">
        <v>4.794333</v>
      </c>
      <c r="E1514">
        <v>0.58855489999999999</v>
      </c>
      <c r="F1514" t="s">
        <v>53</v>
      </c>
      <c r="G1514">
        <v>-203.97290000000001</v>
      </c>
      <c r="H1514">
        <v>7.9999970000000004E-2</v>
      </c>
      <c r="I1514">
        <v>291.83100000000002</v>
      </c>
      <c r="J1514">
        <v>-189.7911</v>
      </c>
      <c r="K1514">
        <v>1.11093</v>
      </c>
      <c r="L1514">
        <v>338.5523</v>
      </c>
      <c r="M1514">
        <v>-0.1043456</v>
      </c>
      <c r="N1514">
        <v>-1.354705E-2</v>
      </c>
      <c r="O1514">
        <v>-0.99444889999999997</v>
      </c>
      <c r="P1514">
        <v>-6.1572109999999999E-2</v>
      </c>
      <c r="Q1514">
        <v>0.17733650000000001</v>
      </c>
      <c r="R1514">
        <v>-0.98222259999999995</v>
      </c>
      <c r="S1514">
        <v>-0.91052250000000001</v>
      </c>
      <c r="T1514">
        <v>-6.6084619999999997E-2</v>
      </c>
      <c r="U1514">
        <v>-3.0087890000000002</v>
      </c>
      <c r="V1514">
        <v>-4.1449069999999998E-2</v>
      </c>
      <c r="W1514">
        <v>0.19060089999999999</v>
      </c>
      <c r="X1514">
        <v>0.9807922</v>
      </c>
      <c r="Y1514">
        <v>0.18813340000000001</v>
      </c>
      <c r="Z1514">
        <v>7.7733669999999998E-3</v>
      </c>
      <c r="AA1514">
        <v>0.98211269999999995</v>
      </c>
      <c r="AB1514">
        <v>20</v>
      </c>
      <c r="AC1514">
        <v>-14.181800000000001</v>
      </c>
      <c r="AD1514">
        <v>-1.0309300299999999</v>
      </c>
      <c r="AE1514">
        <v>-46.721299999999999</v>
      </c>
      <c r="AF1514">
        <v>9.2246471011507296</v>
      </c>
      <c r="AG1514">
        <v>-1.0309300299999999</v>
      </c>
      <c r="AH1514">
        <v>47.924784798054702</v>
      </c>
      <c r="AI1514">
        <v>91.210117055375505</v>
      </c>
      <c r="AJ1514">
        <v>79.104855392075294</v>
      </c>
      <c r="AK1514">
        <v>48.815386189267997</v>
      </c>
      <c r="AL1514">
        <v>79.012146274168799</v>
      </c>
      <c r="AM1514">
        <v>92.419925929849697</v>
      </c>
      <c r="AN1514">
        <v>1.00000003403275</v>
      </c>
    </row>
    <row r="1515" spans="1:40" x14ac:dyDescent="0.25">
      <c r="A1515" t="str">
        <f>"20190304155622681"</f>
        <v>20190304155622681</v>
      </c>
      <c r="B1515" t="str">
        <f>"1551686182675835"</f>
        <v>1551686182675835</v>
      </c>
      <c r="C1515" t="s">
        <v>40</v>
      </c>
      <c r="D1515">
        <v>4.8250169999999999</v>
      </c>
      <c r="E1515">
        <v>0.58884449999999999</v>
      </c>
      <c r="F1515" t="s">
        <v>53</v>
      </c>
      <c r="G1515">
        <v>-204.35929999999999</v>
      </c>
      <c r="H1515">
        <v>8.0000080000000001E-2</v>
      </c>
      <c r="I1515">
        <v>290.68490000000003</v>
      </c>
      <c r="J1515">
        <v>-189.8098</v>
      </c>
      <c r="K1515">
        <v>1.1109639999999901</v>
      </c>
      <c r="L1515">
        <v>338.36880000000002</v>
      </c>
      <c r="M1515">
        <v>-0.10380499999999999</v>
      </c>
      <c r="N1515">
        <v>-1.3544399999999899E-2</v>
      </c>
      <c r="O1515">
        <v>-0.99450570000000005</v>
      </c>
      <c r="P1515">
        <v>-6.1464499999999998E-2</v>
      </c>
      <c r="Q1515">
        <v>0.1774626</v>
      </c>
      <c r="R1515">
        <v>-0.98220680000000005</v>
      </c>
      <c r="S1515">
        <v>-0.91564939999999995</v>
      </c>
      <c r="T1515">
        <v>-6.4796919999999994E-2</v>
      </c>
      <c r="U1515">
        <v>-3.0086059999999999</v>
      </c>
      <c r="V1515">
        <v>-4.1033260000000002E-2</v>
      </c>
      <c r="W1515">
        <v>0.19072159999999999</v>
      </c>
      <c r="X1515">
        <v>0.98078620000000005</v>
      </c>
      <c r="Y1515">
        <v>0.19021679999999999</v>
      </c>
      <c r="Z1515">
        <v>7.3585150000000004E-3</v>
      </c>
      <c r="AA1515">
        <v>0.98171450000000005</v>
      </c>
      <c r="AB1515">
        <v>20</v>
      </c>
      <c r="AC1515">
        <v>-14.549499999999901</v>
      </c>
      <c r="AD1515">
        <v>-1.03096391999999</v>
      </c>
      <c r="AE1515">
        <v>-47.683900000000001</v>
      </c>
      <c r="AF1515">
        <v>9.5165346095683496</v>
      </c>
      <c r="AG1515">
        <v>-1.03096391999999</v>
      </c>
      <c r="AH1515">
        <v>48.915778927796502</v>
      </c>
      <c r="AI1515">
        <v>91.185190042103898</v>
      </c>
      <c r="AJ1515">
        <v>78.990665769682195</v>
      </c>
      <c r="AK1515">
        <v>49.843562730732998</v>
      </c>
      <c r="AL1515">
        <v>79.005101215447397</v>
      </c>
      <c r="AM1515">
        <v>92.395692711975101</v>
      </c>
      <c r="AN1515">
        <v>1.0000000136216101</v>
      </c>
    </row>
    <row r="1516" spans="1:40" x14ac:dyDescent="0.25">
      <c r="A1516" t="str">
        <f>"20190304155622705"</f>
        <v>20190304155622705</v>
      </c>
      <c r="B1516" t="str">
        <f>"1551686182696330"</f>
        <v>1551686182696330</v>
      </c>
      <c r="C1516" t="s">
        <v>40</v>
      </c>
      <c r="D1516">
        <v>4.9445829999999997</v>
      </c>
      <c r="E1516">
        <v>0.58899469999999898</v>
      </c>
      <c r="F1516" t="s">
        <v>53</v>
      </c>
      <c r="G1516">
        <v>-204.48990000000001</v>
      </c>
      <c r="H1516">
        <v>8.0000080000000001E-2</v>
      </c>
      <c r="I1516">
        <v>290.24439999999998</v>
      </c>
      <c r="J1516">
        <v>-189.83090000000001</v>
      </c>
      <c r="K1516">
        <v>1.110995</v>
      </c>
      <c r="L1516">
        <v>338.15890000000002</v>
      </c>
      <c r="M1516">
        <v>-0.1031193</v>
      </c>
      <c r="N1516">
        <v>-1.354145E-2</v>
      </c>
      <c r="O1516">
        <v>-0.99457680000000004</v>
      </c>
      <c r="P1516">
        <v>-6.0655050000000002E-2</v>
      </c>
      <c r="Q1516">
        <v>0.177875799999999</v>
      </c>
      <c r="R1516">
        <v>-0.98218190000000005</v>
      </c>
      <c r="S1516">
        <v>-0.91773990000000005</v>
      </c>
      <c r="T1516">
        <v>-6.4451690000000006E-2</v>
      </c>
      <c r="U1516">
        <v>-3.0085449999999998</v>
      </c>
      <c r="V1516">
        <v>-4.1171190000000003E-2</v>
      </c>
      <c r="W1516">
        <v>0.19112789999999999</v>
      </c>
      <c r="X1516">
        <v>0.9807013</v>
      </c>
      <c r="Y1516">
        <v>0.19152340000000001</v>
      </c>
      <c r="Z1516">
        <v>7.2481890000000004E-3</v>
      </c>
      <c r="AA1516">
        <v>0.98146129999999998</v>
      </c>
      <c r="AB1516">
        <v>20</v>
      </c>
      <c r="AC1516">
        <v>-14.658999999999899</v>
      </c>
      <c r="AD1516">
        <v>-1.0309949199999999</v>
      </c>
      <c r="AE1516">
        <v>-47.914499999999997</v>
      </c>
      <c r="AF1516">
        <v>9.6353962426249904</v>
      </c>
      <c r="AG1516">
        <v>-1.0309949199999999</v>
      </c>
      <c r="AH1516">
        <v>49.149976386076297</v>
      </c>
      <c r="AI1516">
        <v>91.179248931769095</v>
      </c>
      <c r="AJ1516">
        <v>78.9083582887055</v>
      </c>
      <c r="AK1516">
        <v>50.096147456958299</v>
      </c>
      <c r="AL1516">
        <v>78.981385426814199</v>
      </c>
      <c r="AM1516">
        <v>92.403944059177206</v>
      </c>
      <c r="AN1516">
        <v>0.99999999043305798</v>
      </c>
    </row>
    <row r="1517" spans="1:40" x14ac:dyDescent="0.25">
      <c r="A1517" t="str">
        <f>"20190304155622725"</f>
        <v>20190304155622725</v>
      </c>
      <c r="B1517" t="str">
        <f>"1551686182715851"</f>
        <v>1551686182715851</v>
      </c>
      <c r="C1517" t="s">
        <v>40</v>
      </c>
      <c r="D1517">
        <v>4.8167689999999999</v>
      </c>
      <c r="E1517">
        <v>0.58924259999999995</v>
      </c>
      <c r="F1517" t="s">
        <v>53</v>
      </c>
      <c r="G1517">
        <v>-205.76150000000001</v>
      </c>
      <c r="H1517" s="1">
        <v>4.6697689999999999E-6</v>
      </c>
      <c r="I1517">
        <v>285.78539999999998</v>
      </c>
      <c r="J1517">
        <v>-189.84880000000001</v>
      </c>
      <c r="K1517">
        <v>1.1110100000000001</v>
      </c>
      <c r="L1517">
        <v>337.97919999999999</v>
      </c>
      <c r="M1517">
        <v>-0.1024916</v>
      </c>
      <c r="N1517">
        <v>-1.353906E-2</v>
      </c>
      <c r="O1517">
        <v>-0.99464200000000003</v>
      </c>
      <c r="P1517">
        <v>-5.9632379999999999E-2</v>
      </c>
      <c r="Q1517">
        <v>0.17785010000000001</v>
      </c>
      <c r="R1517">
        <v>-0.98224940000000005</v>
      </c>
      <c r="S1517">
        <v>-0.91540529999999998</v>
      </c>
      <c r="T1517">
        <v>-6.3839789999999993E-2</v>
      </c>
      <c r="U1517">
        <v>-3.0094910000000001</v>
      </c>
      <c r="V1517">
        <v>-4.1582010000000003E-2</v>
      </c>
      <c r="W1517">
        <v>0.1910975</v>
      </c>
      <c r="X1517">
        <v>0.9806899</v>
      </c>
      <c r="Y1517">
        <v>0.19136069999999999</v>
      </c>
      <c r="Z1517">
        <v>7.0518389999999999E-3</v>
      </c>
      <c r="AA1517">
        <v>0.98149439999999999</v>
      </c>
      <c r="AB1517">
        <v>20</v>
      </c>
      <c r="AC1517">
        <v>-15.912699999999999</v>
      </c>
      <c r="AD1517">
        <v>-1.1110053302309999</v>
      </c>
      <c r="AE1517">
        <v>-52.193800000000003</v>
      </c>
      <c r="AF1517">
        <v>10.474628883897999</v>
      </c>
      <c r="AG1517">
        <v>-1.1110053302309999</v>
      </c>
      <c r="AH1517">
        <v>53.527766608347299</v>
      </c>
      <c r="AI1517">
        <v>91.1669161257946</v>
      </c>
      <c r="AJ1517">
        <v>78.9279366237853</v>
      </c>
      <c r="AK1517">
        <v>54.554321379491903</v>
      </c>
      <c r="AL1517">
        <v>78.983160021612505</v>
      </c>
      <c r="AM1517">
        <v>92.427931048794704</v>
      </c>
      <c r="AN1517">
        <v>0.99999999901195002</v>
      </c>
    </row>
    <row r="1518" spans="1:40" x14ac:dyDescent="0.25">
      <c r="A1518" t="str">
        <f>"20190304155622747"</f>
        <v>20190304155622747</v>
      </c>
      <c r="B1518" t="str">
        <f>"1551686182736350"</f>
        <v>1551686182736350</v>
      </c>
      <c r="C1518" t="s">
        <v>40</v>
      </c>
      <c r="D1518">
        <v>4.696091</v>
      </c>
      <c r="E1518">
        <v>0.58929229999999999</v>
      </c>
      <c r="F1518" t="s">
        <v>53</v>
      </c>
      <c r="G1518">
        <v>-205.94</v>
      </c>
      <c r="H1518" s="1">
        <v>4.8161130000000001E-6</v>
      </c>
      <c r="I1518">
        <v>285.017</v>
      </c>
      <c r="J1518">
        <v>-189.869</v>
      </c>
      <c r="K1518">
        <v>1.1110180000000001</v>
      </c>
      <c r="L1518">
        <v>337.77499999999998</v>
      </c>
      <c r="M1518">
        <v>-0.1017547</v>
      </c>
      <c r="N1518">
        <v>-1.3536390000000001E-2</v>
      </c>
      <c r="O1518">
        <v>-0.99471750000000003</v>
      </c>
      <c r="P1518">
        <v>-5.7507200000000001E-2</v>
      </c>
      <c r="Q1518">
        <v>0.1783534</v>
      </c>
      <c r="R1518">
        <v>-0.98228479999999996</v>
      </c>
      <c r="S1518">
        <v>-0.9145508</v>
      </c>
      <c r="T1518">
        <v>-6.3144450000000005E-2</v>
      </c>
      <c r="U1518">
        <v>-3.010132</v>
      </c>
      <c r="V1518">
        <v>-4.2974999999999999E-2</v>
      </c>
      <c r="W1518">
        <v>0.19159409999999999</v>
      </c>
      <c r="X1518">
        <v>0.98053290000000004</v>
      </c>
      <c r="Y1518">
        <v>0.1917751</v>
      </c>
      <c r="Z1518">
        <v>6.8289809999999996E-3</v>
      </c>
      <c r="AA1518">
        <v>0.98141520000000004</v>
      </c>
      <c r="AB1518">
        <v>20</v>
      </c>
      <c r="AC1518">
        <v>-16.070999999999898</v>
      </c>
      <c r="AD1518">
        <v>-1.1110131838869901</v>
      </c>
      <c r="AE1518">
        <v>-52.757999999999903</v>
      </c>
      <c r="AF1518">
        <v>10.614395096388</v>
      </c>
      <c r="AG1518">
        <v>-1.1110131838869901</v>
      </c>
      <c r="AH1518">
        <v>54.097606444983299</v>
      </c>
      <c r="AI1518">
        <v>91.154522092662404</v>
      </c>
      <c r="AJ1518">
        <v>78.899116111292997</v>
      </c>
      <c r="AK1518">
        <v>55.140282522247702</v>
      </c>
      <c r="AL1518">
        <v>78.954170854664298</v>
      </c>
      <c r="AM1518">
        <v>92.5095652860727</v>
      </c>
      <c r="AN1518">
        <v>0.99999995888110904</v>
      </c>
    </row>
    <row r="1519" spans="1:40" x14ac:dyDescent="0.25">
      <c r="A1519" t="str">
        <f>"20190304155622769"</f>
        <v>20190304155622769</v>
      </c>
      <c r="B1519" t="str">
        <f>"1551686182766603"</f>
        <v>1551686182766603</v>
      </c>
      <c r="C1519" t="s">
        <v>40</v>
      </c>
      <c r="D1519">
        <v>4.9200609999999996</v>
      </c>
      <c r="E1519">
        <v>0.50121400000000005</v>
      </c>
      <c r="F1519" t="s">
        <v>53</v>
      </c>
      <c r="G1519">
        <v>-206.5849</v>
      </c>
      <c r="H1519" s="1">
        <v>5.3311109999999998E-6</v>
      </c>
      <c r="I1519">
        <v>282.39729999999997</v>
      </c>
      <c r="J1519">
        <v>-189.88849999999999</v>
      </c>
      <c r="K1519">
        <v>1.1110100000000001</v>
      </c>
      <c r="L1519">
        <v>337.57530000000003</v>
      </c>
      <c r="M1519">
        <v>-0.1010233</v>
      </c>
      <c r="N1519">
        <v>-1.3533699999999999E-2</v>
      </c>
      <c r="O1519">
        <v>-0.99479200000000001</v>
      </c>
      <c r="P1519">
        <v>-5.482281E-2</v>
      </c>
      <c r="Q1519">
        <v>0.17805029999999999</v>
      </c>
      <c r="R1519">
        <v>-0.98249280000000005</v>
      </c>
      <c r="S1519">
        <v>-0.90913390000000005</v>
      </c>
      <c r="T1519">
        <v>-6.042492E-2</v>
      </c>
      <c r="U1519">
        <v>-3.011841</v>
      </c>
      <c r="V1519">
        <v>-4.4939989999999999E-2</v>
      </c>
      <c r="W1519">
        <v>0.1912866</v>
      </c>
      <c r="X1519">
        <v>0.98050490000000001</v>
      </c>
      <c r="Y1519">
        <v>0.1907278</v>
      </c>
      <c r="Z1519">
        <v>5.9594260000000003E-3</v>
      </c>
      <c r="AA1519">
        <v>0.98162479999999996</v>
      </c>
      <c r="AB1519">
        <v>20</v>
      </c>
      <c r="AC1519">
        <v>-16.696400000000001</v>
      </c>
      <c r="AD1519">
        <v>-1.1110046688890001</v>
      </c>
      <c r="AE1519">
        <v>-55.177999999999997</v>
      </c>
      <c r="AF1519">
        <v>11.032094883783801</v>
      </c>
      <c r="AG1519">
        <v>-1.1110046688890001</v>
      </c>
      <c r="AH1519">
        <v>56.561533318400301</v>
      </c>
      <c r="AI1519">
        <v>91.104475007002605</v>
      </c>
      <c r="AJ1519">
        <v>78.963257760855996</v>
      </c>
      <c r="AK1519">
        <v>57.638082031132903</v>
      </c>
      <c r="AL1519">
        <v>78.972121913443203</v>
      </c>
      <c r="AM1519">
        <v>92.624230645512398</v>
      </c>
      <c r="AN1519">
        <v>1.00000001248238</v>
      </c>
    </row>
    <row r="1520" spans="1:40" x14ac:dyDescent="0.25">
      <c r="A1520" t="str">
        <f>"20190304155622794"</f>
        <v>20190304155622794</v>
      </c>
      <c r="B1520" t="str">
        <f>"1551686182786123"</f>
        <v>1551686182786123</v>
      </c>
      <c r="C1520" t="s">
        <v>40</v>
      </c>
      <c r="D1520">
        <v>4.922898</v>
      </c>
      <c r="E1520">
        <v>0.50108549999999996</v>
      </c>
      <c r="F1520" t="s">
        <v>41</v>
      </c>
      <c r="G1520">
        <v>-190.93809999999999</v>
      </c>
      <c r="H1520" s="1">
        <v>-1.263759E-6</v>
      </c>
      <c r="I1520">
        <v>321.95310000000001</v>
      </c>
      <c r="J1520">
        <v>-189.90950000000001</v>
      </c>
      <c r="K1520">
        <v>1.1109789999999999</v>
      </c>
      <c r="L1520">
        <v>337.35890000000001</v>
      </c>
      <c r="M1520">
        <v>-0.1002299</v>
      </c>
      <c r="N1520">
        <v>-1.3530759999999999E-2</v>
      </c>
      <c r="O1520">
        <v>-0.99487219999999998</v>
      </c>
      <c r="P1520">
        <v>-5.2588009999999998E-2</v>
      </c>
      <c r="Q1520">
        <v>0.17703289999999999</v>
      </c>
      <c r="R1520">
        <v>-0.98279910000000004</v>
      </c>
      <c r="S1520">
        <v>-0.20704649999999999</v>
      </c>
      <c r="T1520">
        <v>-0.2191582</v>
      </c>
      <c r="U1520">
        <v>-3.0816349999999999</v>
      </c>
      <c r="V1520">
        <v>-4.6401009999999999E-2</v>
      </c>
      <c r="W1520">
        <v>0.19026850000000001</v>
      </c>
      <c r="X1520">
        <v>0.98063489999999998</v>
      </c>
      <c r="Y1520">
        <v>-3.3404950000000003E-2</v>
      </c>
      <c r="Z1520">
        <v>5.6847229999999999E-2</v>
      </c>
      <c r="AA1520">
        <v>0.99782389999999999</v>
      </c>
      <c r="AB1520">
        <v>20</v>
      </c>
      <c r="AC1520">
        <v>-1.02859999999998</v>
      </c>
      <c r="AD1520">
        <v>-1.1109802637590001</v>
      </c>
      <c r="AE1520">
        <v>-15.405799999999999</v>
      </c>
      <c r="AF1520">
        <v>-0.51816124632312999</v>
      </c>
      <c r="AG1520">
        <v>-1.1109802637590001</v>
      </c>
      <c r="AH1520">
        <v>15.3518300476346</v>
      </c>
      <c r="AI1520">
        <v>94.136814118660197</v>
      </c>
      <c r="AJ1520">
        <v>91.933136713068905</v>
      </c>
      <c r="AK1520">
        <v>15.400696543829101</v>
      </c>
      <c r="AL1520">
        <v>79.031545832124905</v>
      </c>
      <c r="AM1520">
        <v>92.709061827662197</v>
      </c>
      <c r="AN1520">
        <v>0.99999998145963898</v>
      </c>
    </row>
    <row r="1521" spans="1:40" x14ac:dyDescent="0.25">
      <c r="A1521" t="str">
        <f>"20190304155622818"</f>
        <v>20190304155622818</v>
      </c>
      <c r="B1521" t="str">
        <f>"1551686182806619"</f>
        <v>1551686182806619</v>
      </c>
      <c r="C1521" t="s">
        <v>40</v>
      </c>
      <c r="D1521">
        <v>4.9281870000000003</v>
      </c>
      <c r="E1521">
        <v>0.50079659999999904</v>
      </c>
      <c r="F1521" t="s">
        <v>41</v>
      </c>
      <c r="G1521">
        <v>-191.03450000000001</v>
      </c>
      <c r="H1521" s="1">
        <v>-4.2407530000000002E-7</v>
      </c>
      <c r="I1521">
        <v>319.93599999999998</v>
      </c>
      <c r="J1521">
        <v>-189.93039999999999</v>
      </c>
      <c r="K1521">
        <v>1.1109500000000001</v>
      </c>
      <c r="L1521">
        <v>337.14190000000002</v>
      </c>
      <c r="M1521">
        <v>-9.9445249999999999E-2</v>
      </c>
      <c r="N1521">
        <v>-1.352777E-2</v>
      </c>
      <c r="O1521">
        <v>-0.99495120000000004</v>
      </c>
      <c r="P1521">
        <v>-5.0973789999999998E-2</v>
      </c>
      <c r="Q1521">
        <v>0.175416299999999</v>
      </c>
      <c r="R1521">
        <v>-0.98317370000000004</v>
      </c>
      <c r="S1521">
        <v>-0.19869999999999999</v>
      </c>
      <c r="T1521">
        <v>-0.1962199</v>
      </c>
      <c r="U1521">
        <v>-3.0772089999999999</v>
      </c>
      <c r="V1521">
        <v>-4.7256729999999997E-2</v>
      </c>
      <c r="W1521">
        <v>0.18865419999999999</v>
      </c>
      <c r="X1521">
        <v>0.9809059</v>
      </c>
      <c r="Y1521">
        <v>-3.5191189999999997E-2</v>
      </c>
      <c r="Z1521">
        <v>4.9616E-2</v>
      </c>
      <c r="AA1521">
        <v>0.99814820000000004</v>
      </c>
      <c r="AB1521">
        <v>20</v>
      </c>
      <c r="AC1521">
        <v>-1.1041000000000101</v>
      </c>
      <c r="AD1521">
        <v>-1.1109504240753001</v>
      </c>
      <c r="AE1521">
        <v>-17.2059</v>
      </c>
      <c r="AF1521">
        <v>-0.61004253099582995</v>
      </c>
      <c r="AG1521">
        <v>-1.1109504240753001</v>
      </c>
      <c r="AH1521">
        <v>17.159159258071199</v>
      </c>
      <c r="AI1521">
        <v>93.702048119973597</v>
      </c>
      <c r="AJ1521">
        <v>92.036122330658003</v>
      </c>
      <c r="AK1521">
        <v>17.205903323517401</v>
      </c>
      <c r="AL1521">
        <v>79.125744683341395</v>
      </c>
      <c r="AM1521">
        <v>92.758184366587898</v>
      </c>
      <c r="AN1521">
        <v>0.99999999518137095</v>
      </c>
    </row>
    <row r="1522" spans="1:40" x14ac:dyDescent="0.25">
      <c r="A1522" t="str">
        <f>"20190304155622839"</f>
        <v>20190304155622839</v>
      </c>
      <c r="B1522" t="str">
        <f>"1551686182835898"</f>
        <v>1551686182835898</v>
      </c>
      <c r="C1522" t="s">
        <v>40</v>
      </c>
      <c r="D1522">
        <v>4.9115529999999996</v>
      </c>
      <c r="E1522">
        <v>0.49972220000000001</v>
      </c>
      <c r="F1522" t="s">
        <v>41</v>
      </c>
      <c r="G1522">
        <v>-191.06899999999999</v>
      </c>
      <c r="H1522" s="1">
        <v>-4.6085559999999999E-6</v>
      </c>
      <c r="I1522">
        <v>318.79329999999999</v>
      </c>
      <c r="J1522">
        <v>-189.9486</v>
      </c>
      <c r="K1522">
        <v>1.110924</v>
      </c>
      <c r="L1522">
        <v>336.95139999999998</v>
      </c>
      <c r="M1522">
        <v>-9.8771040000000004E-2</v>
      </c>
      <c r="N1522">
        <v>-1.352514E-2</v>
      </c>
      <c r="O1522">
        <v>-0.99501819999999996</v>
      </c>
      <c r="P1522">
        <v>-4.9103729999999998E-2</v>
      </c>
      <c r="Q1522">
        <v>0.17389869999999999</v>
      </c>
      <c r="R1522">
        <v>-0.98353820000000003</v>
      </c>
      <c r="S1522">
        <v>-0.19079589999999999</v>
      </c>
      <c r="T1522">
        <v>-0.18616279999999999</v>
      </c>
      <c r="U1522">
        <v>-3.0746769999999999</v>
      </c>
      <c r="V1522">
        <v>-4.8476819999999997E-2</v>
      </c>
      <c r="W1522">
        <v>0.18713759999999999</v>
      </c>
      <c r="X1522">
        <v>0.98113689999999998</v>
      </c>
      <c r="Y1522">
        <v>-3.7007129999999999E-2</v>
      </c>
      <c r="Z1522">
        <v>4.6451199999999901E-2</v>
      </c>
      <c r="AA1522">
        <v>0.99823479999999998</v>
      </c>
      <c r="AB1522">
        <v>20</v>
      </c>
      <c r="AC1522">
        <v>-1.1204000000000101</v>
      </c>
      <c r="AD1522">
        <v>-1.110928608556</v>
      </c>
      <c r="AE1522">
        <v>-18.158099999999902</v>
      </c>
      <c r="AF1522">
        <v>-0.67621661226683705</v>
      </c>
      <c r="AG1522">
        <v>-1.110928608556</v>
      </c>
      <c r="AH1522">
        <v>18.1124276675177</v>
      </c>
      <c r="AI1522">
        <v>93.507411272565406</v>
      </c>
      <c r="AJ1522">
        <v>92.138110489677402</v>
      </c>
      <c r="AK1522">
        <v>18.159060198454</v>
      </c>
      <c r="AL1522">
        <v>79.214215824034795</v>
      </c>
      <c r="AM1522">
        <v>92.828616788576198</v>
      </c>
      <c r="AN1522">
        <v>1.00000004997634</v>
      </c>
    </row>
    <row r="1523" spans="1:40" x14ac:dyDescent="0.25">
      <c r="A1523" t="str">
        <f>"20190304155622859"</f>
        <v>20190304155622859</v>
      </c>
      <c r="B1523" t="str">
        <f>"1551686182856394"</f>
        <v>1551686182856394</v>
      </c>
      <c r="C1523" t="s">
        <v>40</v>
      </c>
      <c r="D1523">
        <v>4.8985029999999998</v>
      </c>
      <c r="E1523">
        <v>0.49955490000000002</v>
      </c>
      <c r="F1523" t="s">
        <v>41</v>
      </c>
      <c r="G1523">
        <v>-191.02099999999999</v>
      </c>
      <c r="H1523" s="1">
        <v>-4.3654190000000001E-6</v>
      </c>
      <c r="I1523">
        <v>318.25189999999998</v>
      </c>
      <c r="J1523">
        <v>-189.9658</v>
      </c>
      <c r="K1523">
        <v>1.1109</v>
      </c>
      <c r="L1523">
        <v>336.77030000000002</v>
      </c>
      <c r="M1523">
        <v>-9.8144549999999997E-2</v>
      </c>
      <c r="N1523">
        <v>-1.352274E-2</v>
      </c>
      <c r="O1523">
        <v>-0.99508050000000003</v>
      </c>
      <c r="P1523">
        <v>-4.7762010000000001E-2</v>
      </c>
      <c r="Q1523">
        <v>0.17203759999999901</v>
      </c>
      <c r="R1523">
        <v>-0.98393209999999998</v>
      </c>
      <c r="S1523">
        <v>-0.1762695</v>
      </c>
      <c r="T1523">
        <v>-0.1826044</v>
      </c>
      <c r="U1523">
        <v>-3.0736690000000002</v>
      </c>
      <c r="V1523">
        <v>-4.9222410000000001E-2</v>
      </c>
      <c r="W1523">
        <v>0.18527959999999999</v>
      </c>
      <c r="X1523">
        <v>0.98145230000000006</v>
      </c>
      <c r="Y1523">
        <v>-4.105367E-2</v>
      </c>
      <c r="Z1523">
        <v>4.5336380000000003E-2</v>
      </c>
      <c r="AA1523">
        <v>0.99812789999999996</v>
      </c>
      <c r="AB1523">
        <v>20</v>
      </c>
      <c r="AC1523">
        <v>-1.0551999999999799</v>
      </c>
      <c r="AD1523">
        <v>-1.1109043654189901</v>
      </c>
      <c r="AE1523">
        <v>-18.5184</v>
      </c>
      <c r="AF1523">
        <v>-0.76479773641926796</v>
      </c>
      <c r="AG1523">
        <v>-1.1109043654189901</v>
      </c>
      <c r="AH1523">
        <v>18.466311765855799</v>
      </c>
      <c r="AI1523">
        <v>93.439733529432104</v>
      </c>
      <c r="AJ1523">
        <v>92.3715972398671</v>
      </c>
      <c r="AK1523">
        <v>18.515498759701899</v>
      </c>
      <c r="AL1523">
        <v>79.3225658434596</v>
      </c>
      <c r="AM1523">
        <v>92.871128169662498</v>
      </c>
      <c r="AN1523">
        <v>0.99999999649882898</v>
      </c>
    </row>
    <row r="1524" spans="1:40" x14ac:dyDescent="0.25">
      <c r="A1524" t="str">
        <f>"20190304155622881"</f>
        <v>20190304155622881</v>
      </c>
      <c r="B1524" t="str">
        <f>"1551686182875914"</f>
        <v>1551686182875914</v>
      </c>
      <c r="C1524" t="s">
        <v>40</v>
      </c>
      <c r="D1524">
        <v>4.9079490000000003</v>
      </c>
      <c r="E1524">
        <v>0.49945529999999999</v>
      </c>
      <c r="F1524" t="s">
        <v>41</v>
      </c>
      <c r="G1524">
        <v>-191.00389999999999</v>
      </c>
      <c r="H1524" s="1">
        <v>-4.2993469999999999E-6</v>
      </c>
      <c r="I1524">
        <v>318.12169999999998</v>
      </c>
      <c r="J1524">
        <v>-189.98490000000001</v>
      </c>
      <c r="K1524">
        <v>1.1108800000000001</v>
      </c>
      <c r="L1524">
        <v>336.56880000000001</v>
      </c>
      <c r="M1524">
        <v>-9.7461569999999997E-2</v>
      </c>
      <c r="N1524">
        <v>-1.352007E-2</v>
      </c>
      <c r="O1524">
        <v>-0.99514760000000002</v>
      </c>
      <c r="P1524">
        <v>-4.6457709999999999E-2</v>
      </c>
      <c r="Q1524">
        <v>0.17045689999999999</v>
      </c>
      <c r="R1524">
        <v>-0.98426950000000002</v>
      </c>
      <c r="S1524">
        <v>-0.17103579999999999</v>
      </c>
      <c r="T1524">
        <v>-0.1830416</v>
      </c>
      <c r="U1524">
        <v>-3.0726930000000001</v>
      </c>
      <c r="V1524">
        <v>-4.9870629999999999E-2</v>
      </c>
      <c r="W1524">
        <v>0.18370069999999999</v>
      </c>
      <c r="X1524">
        <v>0.98171629999999999</v>
      </c>
      <c r="Y1524">
        <v>-4.2044360000000003E-2</v>
      </c>
      <c r="Z1524">
        <v>4.5504259999999998E-2</v>
      </c>
      <c r="AA1524">
        <v>0.99807889999999999</v>
      </c>
      <c r="AB1524">
        <v>20</v>
      </c>
      <c r="AC1524">
        <v>-1.0189999999999699</v>
      </c>
      <c r="AD1524">
        <v>-1.1108842993469901</v>
      </c>
      <c r="AE1524">
        <v>-18.447099999999999</v>
      </c>
      <c r="AF1524">
        <v>-0.78107554321407902</v>
      </c>
      <c r="AG1524">
        <v>-1.1108842993469901</v>
      </c>
      <c r="AH1524">
        <v>18.3920899650862</v>
      </c>
      <c r="AI1524">
        <v>93.453367144592306</v>
      </c>
      <c r="AJ1524">
        <v>92.431776767972593</v>
      </c>
      <c r="AK1524">
        <v>18.442155953536702</v>
      </c>
      <c r="AL1524">
        <v>79.4146097725868</v>
      </c>
      <c r="AM1524">
        <v>92.908093224980107</v>
      </c>
      <c r="AN1524">
        <v>0.99999996030138705</v>
      </c>
    </row>
    <row r="1525" spans="1:40" x14ac:dyDescent="0.25">
      <c r="A1525" t="str">
        <f>"20190304155622904"</f>
        <v>20190304155622904</v>
      </c>
      <c r="B1525" t="str">
        <f>"1551686182896411"</f>
        <v>1551686182896411</v>
      </c>
      <c r="C1525" t="s">
        <v>40</v>
      </c>
      <c r="D1525">
        <v>4.8688609999999999</v>
      </c>
      <c r="E1525">
        <v>0.49990580000000001</v>
      </c>
      <c r="F1525" t="s">
        <v>41</v>
      </c>
      <c r="G1525">
        <v>-190.98769999999999</v>
      </c>
      <c r="H1525" s="1">
        <v>-4.2284330000000003E-6</v>
      </c>
      <c r="I1525">
        <v>317.98079999999999</v>
      </c>
      <c r="J1525">
        <v>-190.00360000000001</v>
      </c>
      <c r="K1525">
        <v>1.1108690000000001</v>
      </c>
      <c r="L1525">
        <v>336.36939999999998</v>
      </c>
      <c r="M1525">
        <v>-9.6794690000000003E-2</v>
      </c>
      <c r="N1525">
        <v>-1.351748E-2</v>
      </c>
      <c r="O1525">
        <v>-0.99521280000000001</v>
      </c>
      <c r="P1525">
        <v>-4.500461E-2</v>
      </c>
      <c r="Q1525">
        <v>0.16967760000000001</v>
      </c>
      <c r="R1525">
        <v>-0.98447180000000001</v>
      </c>
      <c r="S1525">
        <v>-0.1657257</v>
      </c>
      <c r="T1525">
        <v>-0.18359020000000001</v>
      </c>
      <c r="U1525">
        <v>-3.07193</v>
      </c>
      <c r="V1525">
        <v>-5.0671109999999998E-2</v>
      </c>
      <c r="W1525">
        <v>0.18292069999999999</v>
      </c>
      <c r="X1525">
        <v>0.98182100000000005</v>
      </c>
      <c r="Y1525">
        <v>-4.3081050000000003E-2</v>
      </c>
      <c r="Z1525">
        <v>4.5703599999999997E-2</v>
      </c>
      <c r="AA1525">
        <v>0.99802570000000002</v>
      </c>
      <c r="AB1525">
        <v>20</v>
      </c>
      <c r="AC1525">
        <v>-0.98409999999998299</v>
      </c>
      <c r="AD1525">
        <v>-1.1108732284330001</v>
      </c>
      <c r="AE1525">
        <v>-18.3886</v>
      </c>
      <c r="AF1525">
        <v>-0.79770000582550904</v>
      </c>
      <c r="AG1525">
        <v>-1.1108732284330001</v>
      </c>
      <c r="AH1525">
        <v>18.3307955632195</v>
      </c>
      <c r="AI1525">
        <v>93.464696382524394</v>
      </c>
      <c r="AJ1525">
        <v>92.491764498292497</v>
      </c>
      <c r="AK1525">
        <v>18.3817417730065</v>
      </c>
      <c r="AL1525">
        <v>79.460071349303703</v>
      </c>
      <c r="AM1525">
        <v>92.954374822959096</v>
      </c>
      <c r="AN1525">
        <v>1.00000000995906</v>
      </c>
    </row>
    <row r="1526" spans="1:40" x14ac:dyDescent="0.25">
      <c r="A1526" t="str">
        <f>"20190304155622926"</f>
        <v>20190304155622926</v>
      </c>
      <c r="B1526" t="str">
        <f>"1551686182916907"</f>
        <v>1551686182916907</v>
      </c>
      <c r="C1526" t="s">
        <v>40</v>
      </c>
      <c r="D1526">
        <v>4.8531870000000001</v>
      </c>
      <c r="E1526">
        <v>0.50023799999999996</v>
      </c>
      <c r="F1526" t="s">
        <v>41</v>
      </c>
      <c r="G1526">
        <v>-191.012</v>
      </c>
      <c r="H1526" s="1">
        <v>-4.0112809999999997E-6</v>
      </c>
      <c r="I1526">
        <v>317.50779999999997</v>
      </c>
      <c r="J1526">
        <v>-190.0222</v>
      </c>
      <c r="K1526">
        <v>1.1108659999999999</v>
      </c>
      <c r="L1526">
        <v>336.1694</v>
      </c>
      <c r="M1526">
        <v>-9.6129110000000004E-2</v>
      </c>
      <c r="N1526">
        <v>-1.351493E-2</v>
      </c>
      <c r="O1526">
        <v>-0.99527730000000003</v>
      </c>
      <c r="P1526">
        <v>-4.4088589999999997E-2</v>
      </c>
      <c r="Q1526">
        <v>0.1703604</v>
      </c>
      <c r="R1526">
        <v>-0.98439520000000003</v>
      </c>
      <c r="S1526">
        <v>-0.16418460000000001</v>
      </c>
      <c r="T1526">
        <v>-0.1808671</v>
      </c>
      <c r="U1526">
        <v>-3.0709529999999998</v>
      </c>
      <c r="V1526">
        <v>-5.0914540000000001E-2</v>
      </c>
      <c r="W1526">
        <v>0.1836004</v>
      </c>
      <c r="X1526">
        <v>0.98168149999999998</v>
      </c>
      <c r="Y1526">
        <v>-4.2893540000000001E-2</v>
      </c>
      <c r="Z1526">
        <v>4.4855550000000001E-2</v>
      </c>
      <c r="AA1526">
        <v>0.99807219999999996</v>
      </c>
      <c r="AB1526">
        <v>20</v>
      </c>
      <c r="AC1526">
        <v>-0.98980000000000201</v>
      </c>
      <c r="AD1526">
        <v>-1.1108700112809999</v>
      </c>
      <c r="AE1526">
        <v>-18.6616</v>
      </c>
      <c r="AF1526">
        <v>-0.80602314925414398</v>
      </c>
      <c r="AG1526">
        <v>-1.1108700112809999</v>
      </c>
      <c r="AH1526">
        <v>18.604577421298298</v>
      </c>
      <c r="AI1526">
        <v>93.413850595778698</v>
      </c>
      <c r="AJ1526">
        <v>92.480726238325204</v>
      </c>
      <c r="AK1526">
        <v>18.655133516653802</v>
      </c>
      <c r="AL1526">
        <v>79.420456210057594</v>
      </c>
      <c r="AM1526">
        <v>92.968963747610104</v>
      </c>
      <c r="AN1526">
        <v>0.99999998235290999</v>
      </c>
    </row>
    <row r="1527" spans="1:40" x14ac:dyDescent="0.25">
      <c r="A1527" t="str">
        <f>"20190304155622949"</f>
        <v>20190304155622949</v>
      </c>
      <c r="B1527" t="str">
        <f>"1551686182946187"</f>
        <v>1551686182946187</v>
      </c>
      <c r="C1527" t="s">
        <v>40</v>
      </c>
      <c r="D1527">
        <v>4.8837820000000001</v>
      </c>
      <c r="E1527">
        <v>0.50064640000000005</v>
      </c>
      <c r="F1527" t="s">
        <v>41</v>
      </c>
      <c r="G1527">
        <v>-191.0641</v>
      </c>
      <c r="H1527" s="1">
        <v>-3.5682730000000001E-6</v>
      </c>
      <c r="I1527">
        <v>316.54129999999998</v>
      </c>
      <c r="J1527">
        <v>-190.04089999999999</v>
      </c>
      <c r="K1527">
        <v>1.1108640000000001</v>
      </c>
      <c r="L1527">
        <v>335.9674</v>
      </c>
      <c r="M1527">
        <v>-9.5455529999999997E-2</v>
      </c>
      <c r="N1527">
        <v>-1.351259E-2</v>
      </c>
      <c r="O1527">
        <v>-0.99534230000000001</v>
      </c>
      <c r="P1527">
        <v>-4.3805360000000002E-2</v>
      </c>
      <c r="Q1527">
        <v>0.1718412</v>
      </c>
      <c r="R1527">
        <v>-0.98415079999999999</v>
      </c>
      <c r="S1527">
        <v>-0.16297909999999999</v>
      </c>
      <c r="T1527">
        <v>-0.1737667</v>
      </c>
      <c r="U1527">
        <v>-3.0703130000000001</v>
      </c>
      <c r="V1527">
        <v>-5.0505719999999997E-2</v>
      </c>
      <c r="W1527">
        <v>0.18507580000000001</v>
      </c>
      <c r="X1527">
        <v>0.98142560000000001</v>
      </c>
      <c r="Y1527">
        <v>-4.2592570000000003E-2</v>
      </c>
      <c r="Z1527">
        <v>4.2591909999999997E-2</v>
      </c>
      <c r="AA1527">
        <v>0.99818430000000002</v>
      </c>
      <c r="AB1527">
        <v>20</v>
      </c>
      <c r="AC1527">
        <v>-1.0232000000000001</v>
      </c>
      <c r="AD1527">
        <v>-1.11086756827299</v>
      </c>
      <c r="AE1527">
        <v>-19.426100000000002</v>
      </c>
      <c r="AF1527">
        <v>-0.83325325006209905</v>
      </c>
      <c r="AG1527">
        <v>-1.11086756827299</v>
      </c>
      <c r="AH1527">
        <v>19.3718856890758</v>
      </c>
      <c r="AI1527">
        <v>93.278967777363604</v>
      </c>
      <c r="AJ1527">
        <v>92.462975698718097</v>
      </c>
      <c r="AK1527">
        <v>19.421593469218799</v>
      </c>
      <c r="AL1527">
        <v>79.334448740285197</v>
      </c>
      <c r="AM1527">
        <v>92.945933073802294</v>
      </c>
      <c r="AN1527">
        <v>1.0000000439168499</v>
      </c>
    </row>
    <row r="1528" spans="1:40" x14ac:dyDescent="0.25">
      <c r="A1528" t="str">
        <f>"20190304155622971"</f>
        <v>20190304155622971</v>
      </c>
      <c r="B1528" t="str">
        <f>"1551686182966683"</f>
        <v>1551686182966683</v>
      </c>
      <c r="C1528" t="s">
        <v>40</v>
      </c>
      <c r="D1528">
        <v>4.9190370000000003</v>
      </c>
      <c r="E1528">
        <v>0.50103969999999998</v>
      </c>
      <c r="F1528" t="s">
        <v>41</v>
      </c>
      <c r="G1528">
        <v>-191.13079999999999</v>
      </c>
      <c r="H1528" s="1">
        <v>-3.1476979999999999E-6</v>
      </c>
      <c r="I1528">
        <v>315.61399999999998</v>
      </c>
      <c r="J1528">
        <v>-190.05860000000001</v>
      </c>
      <c r="K1528">
        <v>1.1108629999999999</v>
      </c>
      <c r="L1528">
        <v>335.77440000000001</v>
      </c>
      <c r="M1528">
        <v>-9.4809450000000003E-2</v>
      </c>
      <c r="N1528">
        <v>-1.351028E-2</v>
      </c>
      <c r="O1528">
        <v>-0.99540390000000001</v>
      </c>
      <c r="P1528">
        <v>-4.364403E-2</v>
      </c>
      <c r="Q1528">
        <v>0.17331179999999999</v>
      </c>
      <c r="R1528">
        <v>-0.98389979999999999</v>
      </c>
      <c r="S1528">
        <v>-0.16439819999999999</v>
      </c>
      <c r="T1528">
        <v>-0.16756989999999999</v>
      </c>
      <c r="U1528">
        <v>-3.0702210000000001</v>
      </c>
      <c r="V1528">
        <v>-5.0003020000000002E-2</v>
      </c>
      <c r="W1528">
        <v>0.18654229999999999</v>
      </c>
      <c r="X1528">
        <v>0.98117359999999998</v>
      </c>
      <c r="Y1528">
        <v>-4.1479090000000003E-2</v>
      </c>
      <c r="Z1528">
        <v>4.0607240000000003E-2</v>
      </c>
      <c r="AA1528">
        <v>0.99831380000000003</v>
      </c>
      <c r="AB1528">
        <v>20</v>
      </c>
      <c r="AC1528">
        <v>-1.0721999999999801</v>
      </c>
      <c r="AD1528">
        <v>-1.110866147698</v>
      </c>
      <c r="AE1528">
        <v>-20.1603999999999</v>
      </c>
      <c r="AF1528">
        <v>-0.84165311396017095</v>
      </c>
      <c r="AG1528">
        <v>-1.110866147698</v>
      </c>
      <c r="AH1528">
        <v>20.1103475145052</v>
      </c>
      <c r="AI1528">
        <v>93.158962036917501</v>
      </c>
      <c r="AJ1528">
        <v>92.396529715187796</v>
      </c>
      <c r="AK1528">
        <v>20.1585833013262</v>
      </c>
      <c r="AL1528">
        <v>79.248934665486502</v>
      </c>
      <c r="AM1528">
        <v>92.917409926347304</v>
      </c>
      <c r="AN1528">
        <v>0.99999998251768496</v>
      </c>
    </row>
    <row r="1529" spans="1:40" x14ac:dyDescent="0.25">
      <c r="A1529" t="str">
        <f>"20190304155622994"</f>
        <v>20190304155622994</v>
      </c>
      <c r="B1529" t="str">
        <f>"1551686182986203"</f>
        <v>1551686182986203</v>
      </c>
      <c r="C1529" t="s">
        <v>40</v>
      </c>
      <c r="D1529">
        <v>4.8691240000000002</v>
      </c>
      <c r="E1529">
        <v>0.50142120000000001</v>
      </c>
      <c r="F1529" t="s">
        <v>41</v>
      </c>
      <c r="G1529">
        <v>-191.19970000000001</v>
      </c>
      <c r="H1529" s="1">
        <v>-2.716717E-6</v>
      </c>
      <c r="I1529">
        <v>314.6635</v>
      </c>
      <c r="J1529">
        <v>-190.0771</v>
      </c>
      <c r="K1529">
        <v>1.11087</v>
      </c>
      <c r="L1529">
        <v>335.57150000000001</v>
      </c>
      <c r="M1529">
        <v>-9.4126370000000001E-2</v>
      </c>
      <c r="N1529">
        <v>-1.350784E-2</v>
      </c>
      <c r="O1529">
        <v>-0.99546849999999998</v>
      </c>
      <c r="P1529">
        <v>-4.3893330000000001E-2</v>
      </c>
      <c r="Q1529">
        <v>0.1745902</v>
      </c>
      <c r="R1529">
        <v>-0.98366209999999998</v>
      </c>
      <c r="S1529">
        <v>-0.16595460000000001</v>
      </c>
      <c r="T1529">
        <v>-0.16155610000000001</v>
      </c>
      <c r="U1529">
        <v>-3.0702210000000001</v>
      </c>
      <c r="V1529">
        <v>-4.9057490000000002E-2</v>
      </c>
      <c r="W1529">
        <v>0.18781680000000001</v>
      </c>
      <c r="X1529">
        <v>0.98097820000000002</v>
      </c>
      <c r="Y1529">
        <v>-4.0285790000000002E-2</v>
      </c>
      <c r="Z1529">
        <v>3.8679230000000002E-2</v>
      </c>
      <c r="AA1529">
        <v>0.99843930000000003</v>
      </c>
      <c r="AB1529">
        <v>20</v>
      </c>
      <c r="AC1529">
        <v>-1.1226</v>
      </c>
      <c r="AD1529">
        <v>-1.1108727167170001</v>
      </c>
      <c r="AE1529">
        <v>-20.908000000000001</v>
      </c>
      <c r="AF1529">
        <v>-0.84817143935815797</v>
      </c>
      <c r="AG1529">
        <v>-1.1108727167170001</v>
      </c>
      <c r="AH1529">
        <v>20.862109324399899</v>
      </c>
      <c r="AI1529">
        <v>93.045515408485997</v>
      </c>
      <c r="AJ1529">
        <v>92.328139218920199</v>
      </c>
      <c r="AK1529">
        <v>20.908874633669299</v>
      </c>
      <c r="AL1529">
        <v>79.174597610697404</v>
      </c>
      <c r="AM1529">
        <v>92.862905106378804</v>
      </c>
      <c r="AN1529">
        <v>1.0000000082812801</v>
      </c>
    </row>
    <row r="1530" spans="1:40" x14ac:dyDescent="0.25">
      <c r="A1530" t="str">
        <f>"20190304155623018"</f>
        <v>20190304155623018</v>
      </c>
      <c r="B1530" t="str">
        <f>"1551686183006699"</f>
        <v>1551686183006699</v>
      </c>
      <c r="C1530" t="s">
        <v>40</v>
      </c>
      <c r="D1530">
        <v>4.9036160000000004</v>
      </c>
      <c r="E1530">
        <v>0.50192219999999999</v>
      </c>
      <c r="F1530" t="s">
        <v>41</v>
      </c>
      <c r="G1530">
        <v>-191.28960000000001</v>
      </c>
      <c r="H1530" s="1">
        <v>-2.231119E-6</v>
      </c>
      <c r="I1530">
        <v>313.5856</v>
      </c>
      <c r="J1530">
        <v>-190.096</v>
      </c>
      <c r="K1530">
        <v>1.1108769999999999</v>
      </c>
      <c r="L1530">
        <v>335.36250000000001</v>
      </c>
      <c r="M1530">
        <v>-9.3420409999999995E-2</v>
      </c>
      <c r="N1530">
        <v>-1.3505420000000001E-2</v>
      </c>
      <c r="O1530">
        <v>-0.99553510000000001</v>
      </c>
      <c r="P1530">
        <v>-4.4233290000000001E-2</v>
      </c>
      <c r="Q1530">
        <v>0.1752997</v>
      </c>
      <c r="R1530">
        <v>-0.98352099999999998</v>
      </c>
      <c r="S1530">
        <v>-0.16929629999999901</v>
      </c>
      <c r="T1530">
        <v>-0.15510750000000001</v>
      </c>
      <c r="U1530">
        <v>-3.0698240000000001</v>
      </c>
      <c r="V1530">
        <v>-4.800865E-2</v>
      </c>
      <c r="W1530">
        <v>0.18852350000000001</v>
      </c>
      <c r="X1530">
        <v>0.9808945</v>
      </c>
      <c r="Y1530">
        <v>-3.8483620000000003E-2</v>
      </c>
      <c r="Z1530">
        <v>3.661681E-2</v>
      </c>
      <c r="AA1530">
        <v>0.99858809999999998</v>
      </c>
      <c r="AB1530">
        <v>20</v>
      </c>
      <c r="AC1530">
        <v>-1.19360000000003</v>
      </c>
      <c r="AD1530">
        <v>-1.1108792311190001</v>
      </c>
      <c r="AE1530">
        <v>-21.776900000000001</v>
      </c>
      <c r="AF1530">
        <v>-0.84402370344710798</v>
      </c>
      <c r="AG1530">
        <v>-1.1108792311190001</v>
      </c>
      <c r="AH1530">
        <v>21.7367694248363</v>
      </c>
      <c r="AI1530">
        <v>92.923413355217505</v>
      </c>
      <c r="AJ1530">
        <v>92.223638350806795</v>
      </c>
      <c r="AK1530">
        <v>21.7814961310422</v>
      </c>
      <c r="AL1530">
        <v>79.133369907352403</v>
      </c>
      <c r="AM1530">
        <v>92.802034018218606</v>
      </c>
      <c r="AN1530">
        <v>0.999999980328661</v>
      </c>
    </row>
    <row r="1531" spans="1:40" x14ac:dyDescent="0.25">
      <c r="A1531" t="str">
        <f>"20190304155623040"</f>
        <v>20190304155623040</v>
      </c>
      <c r="B1531" t="str">
        <f>"1551686183035979"</f>
        <v>1551686183035979</v>
      </c>
      <c r="C1531" t="s">
        <v>40</v>
      </c>
      <c r="D1531">
        <v>4.886469</v>
      </c>
      <c r="E1531">
        <v>0.50283199999999995</v>
      </c>
      <c r="F1531" t="s">
        <v>41</v>
      </c>
      <c r="G1531">
        <v>-191.38329999999999</v>
      </c>
      <c r="H1531" s="1">
        <v>-1.8307459999999999E-6</v>
      </c>
      <c r="I1531">
        <v>312.6859</v>
      </c>
      <c r="J1531">
        <v>-190.11420000000001</v>
      </c>
      <c r="K1531">
        <v>1.1108750000000001</v>
      </c>
      <c r="L1531">
        <v>335.16050000000001</v>
      </c>
      <c r="M1531">
        <v>-9.2735100000000001E-2</v>
      </c>
      <c r="N1531">
        <v>-1.3503090000000001E-2</v>
      </c>
      <c r="O1531">
        <v>-0.99559940000000002</v>
      </c>
      <c r="P1531">
        <v>-4.4517849999999998E-2</v>
      </c>
      <c r="Q1531">
        <v>0.17536299999999999</v>
      </c>
      <c r="R1531">
        <v>-0.98349699999999995</v>
      </c>
      <c r="S1531">
        <v>-0.17422489999999999</v>
      </c>
      <c r="T1531">
        <v>-0.15035399999999999</v>
      </c>
      <c r="U1531">
        <v>-3.0692140000000001</v>
      </c>
      <c r="V1531">
        <v>-4.7046409999999997E-2</v>
      </c>
      <c r="W1531">
        <v>0.1885858</v>
      </c>
      <c r="X1531">
        <v>0.98092919999999995</v>
      </c>
      <c r="Y1531">
        <v>-3.6184470000000003E-2</v>
      </c>
      <c r="Z1531">
        <v>3.5102349999999997E-2</v>
      </c>
      <c r="AA1531">
        <v>0.99872850000000002</v>
      </c>
      <c r="AB1531">
        <v>20</v>
      </c>
      <c r="AC1531">
        <v>-1.2690999999999799</v>
      </c>
      <c r="AD1531">
        <v>-1.110876830746</v>
      </c>
      <c r="AE1531">
        <v>-22.474599999999999</v>
      </c>
      <c r="AF1531">
        <v>-0.81874982556482601</v>
      </c>
      <c r="AG1531">
        <v>-1.110876830746</v>
      </c>
      <c r="AH1531">
        <v>22.4407843207659</v>
      </c>
      <c r="AI1531">
        <v>92.832094537326199</v>
      </c>
      <c r="AJ1531">
        <v>92.089504105471207</v>
      </c>
      <c r="AK1531">
        <v>22.483175922032999</v>
      </c>
      <c r="AL1531">
        <v>79.129735751963906</v>
      </c>
      <c r="AM1531">
        <v>92.745862543892997</v>
      </c>
      <c r="AN1531">
        <v>1.0000000320340801</v>
      </c>
    </row>
    <row r="1532" spans="1:40" x14ac:dyDescent="0.25">
      <c r="A1532" t="str">
        <f>"20190304155623060"</f>
        <v>20190304155623060</v>
      </c>
      <c r="B1532" t="str">
        <f>"1551686183056475"</f>
        <v>1551686183056475</v>
      </c>
      <c r="C1532" t="s">
        <v>40</v>
      </c>
      <c r="D1532">
        <v>4.9076469999999999</v>
      </c>
      <c r="E1532">
        <v>0.50288500000000003</v>
      </c>
      <c r="F1532" t="s">
        <v>41</v>
      </c>
      <c r="G1532">
        <v>-191.49449999999999</v>
      </c>
      <c r="H1532" s="1">
        <v>-1.485498E-6</v>
      </c>
      <c r="I1532">
        <v>311.8929</v>
      </c>
      <c r="J1532">
        <v>-190.12970000000001</v>
      </c>
      <c r="K1532">
        <v>1.1108750000000001</v>
      </c>
      <c r="L1532">
        <v>334.98680000000002</v>
      </c>
      <c r="M1532">
        <v>-9.2144569999999995E-2</v>
      </c>
      <c r="N1532">
        <v>-1.350107E-2</v>
      </c>
      <c r="O1532">
        <v>-0.99565420000000004</v>
      </c>
      <c r="P1532">
        <v>-4.5018349999999999E-2</v>
      </c>
      <c r="Q1532">
        <v>0.17454510000000001</v>
      </c>
      <c r="R1532">
        <v>-0.98361969999999999</v>
      </c>
      <c r="S1532">
        <v>-0.18202209999999999</v>
      </c>
      <c r="T1532">
        <v>-0.1464858</v>
      </c>
      <c r="U1532">
        <v>-3.0681759999999998</v>
      </c>
      <c r="V1532">
        <v>-4.5975090000000003E-2</v>
      </c>
      <c r="W1532">
        <v>0.18776999999999999</v>
      </c>
      <c r="X1532">
        <v>0.98113640000000002</v>
      </c>
      <c r="Y1532">
        <v>-3.304199E-2</v>
      </c>
      <c r="Z1532">
        <v>3.3877589999999999E-2</v>
      </c>
      <c r="AA1532">
        <v>0.99887959999999998</v>
      </c>
      <c r="AB1532">
        <v>20</v>
      </c>
      <c r="AC1532">
        <v>-1.36479999999997</v>
      </c>
      <c r="AD1532">
        <v>-1.110876485498</v>
      </c>
      <c r="AE1532">
        <v>-23.093900000000001</v>
      </c>
      <c r="AF1532">
        <v>-0.76740916994957897</v>
      </c>
      <c r="AG1532">
        <v>-1.110876485498</v>
      </c>
      <c r="AH1532">
        <v>23.068211819125199</v>
      </c>
      <c r="AI1532">
        <v>92.755492855031903</v>
      </c>
      <c r="AJ1532">
        <v>91.905353460817807</v>
      </c>
      <c r="AK1532">
        <v>23.1076904932575</v>
      </c>
      <c r="AL1532">
        <v>79.177327079905595</v>
      </c>
      <c r="AM1532">
        <v>92.682861568515406</v>
      </c>
      <c r="AN1532">
        <v>0.99999995860273305</v>
      </c>
    </row>
    <row r="1533" spans="1:40" x14ac:dyDescent="0.25">
      <c r="A1533" t="str">
        <f>"20190304155623082"</f>
        <v>20190304155623082</v>
      </c>
      <c r="B1533" t="str">
        <f>"1551686183075995"</f>
        <v>1551686183075995</v>
      </c>
      <c r="C1533" t="s">
        <v>40</v>
      </c>
      <c r="D1533">
        <v>4.8433960000000003</v>
      </c>
      <c r="E1533">
        <v>0.5029865</v>
      </c>
      <c r="F1533" t="s">
        <v>41</v>
      </c>
      <c r="G1533">
        <v>-191.50980000000001</v>
      </c>
      <c r="H1533" s="1">
        <v>-1.4994560000000001E-6</v>
      </c>
      <c r="I1533">
        <v>311.91390000000001</v>
      </c>
      <c r="J1533">
        <v>-190.14789999999999</v>
      </c>
      <c r="K1533">
        <v>1.110868</v>
      </c>
      <c r="L1533">
        <v>334.78109999999998</v>
      </c>
      <c r="M1533">
        <v>-9.1444360000000002E-2</v>
      </c>
      <c r="N1533">
        <v>-1.3498700000000001E-2</v>
      </c>
      <c r="O1533">
        <v>-0.99571869999999996</v>
      </c>
      <c r="P1533">
        <v>-4.4793159999999999E-2</v>
      </c>
      <c r="Q1533">
        <v>0.17324990000000001</v>
      </c>
      <c r="R1533">
        <v>-0.98385880000000003</v>
      </c>
      <c r="S1533">
        <v>-0.1835022</v>
      </c>
      <c r="T1533">
        <v>-0.14770259999999999</v>
      </c>
      <c r="U1533">
        <v>-3.06778</v>
      </c>
      <c r="V1533">
        <v>-4.5528010000000001E-2</v>
      </c>
      <c r="W1533">
        <v>0.1864767</v>
      </c>
      <c r="X1533">
        <v>0.9814039</v>
      </c>
      <c r="Y1533">
        <v>-3.1852489999999997E-2</v>
      </c>
      <c r="Z1533">
        <v>3.428349E-2</v>
      </c>
      <c r="AA1533">
        <v>0.99890440000000003</v>
      </c>
      <c r="AB1533">
        <v>20</v>
      </c>
      <c r="AC1533">
        <v>-1.3619000000000201</v>
      </c>
      <c r="AD1533">
        <v>-1.110869499456</v>
      </c>
      <c r="AE1533">
        <v>-22.867199999999901</v>
      </c>
      <c r="AF1533">
        <v>-0.73334959893254204</v>
      </c>
      <c r="AG1533">
        <v>-1.110869499456</v>
      </c>
      <c r="AH1533">
        <v>22.842207037194001</v>
      </c>
      <c r="AI1533">
        <v>92.7828014737686</v>
      </c>
      <c r="AJ1533">
        <v>91.838850746579197</v>
      </c>
      <c r="AK1533">
        <v>22.880958349883699</v>
      </c>
      <c r="AL1533">
        <v>79.252760448449806</v>
      </c>
      <c r="AM1533">
        <v>92.656086797816499</v>
      </c>
      <c r="AN1533">
        <v>0.99999998713632998</v>
      </c>
    </row>
    <row r="1534" spans="1:40" x14ac:dyDescent="0.25">
      <c r="A1534" t="str">
        <f>"20190304155623105"</f>
        <v>20190304155623105</v>
      </c>
      <c r="B1534" t="str">
        <f>"1551686183096491"</f>
        <v>1551686183096491</v>
      </c>
      <c r="C1534" t="s">
        <v>40</v>
      </c>
      <c r="D1534">
        <v>4.8649820000000004</v>
      </c>
      <c r="E1534">
        <v>0.50306830000000002</v>
      </c>
      <c r="F1534" t="s">
        <v>41</v>
      </c>
      <c r="G1534">
        <v>-191.4949</v>
      </c>
      <c r="H1534" s="1">
        <v>-1.6208659999999999E-6</v>
      </c>
      <c r="I1534">
        <v>312.17910000000001</v>
      </c>
      <c r="J1534">
        <v>-190.1643</v>
      </c>
      <c r="K1534">
        <v>1.1108579999999999</v>
      </c>
      <c r="L1534">
        <v>334.59390000000002</v>
      </c>
      <c r="M1534">
        <v>-9.0806789999999998E-2</v>
      </c>
      <c r="N1534">
        <v>-1.349646E-2</v>
      </c>
      <c r="O1534">
        <v>-0.99577740000000003</v>
      </c>
      <c r="P1534">
        <v>-4.4546889999999999E-2</v>
      </c>
      <c r="Q1534">
        <v>0.17189740000000001</v>
      </c>
      <c r="R1534">
        <v>-0.98410759999999997</v>
      </c>
      <c r="S1534">
        <v>-0.18281559999999999</v>
      </c>
      <c r="T1534">
        <v>-0.1507609</v>
      </c>
      <c r="U1534">
        <v>-3.0674130000000002</v>
      </c>
      <c r="V1534">
        <v>-4.5165379999999998E-2</v>
      </c>
      <c r="W1534">
        <v>0.18512500000000001</v>
      </c>
      <c r="X1534">
        <v>0.98167649999999995</v>
      </c>
      <c r="Y1534">
        <v>-3.1430239999999998E-2</v>
      </c>
      <c r="Z1534">
        <v>3.528266E-2</v>
      </c>
      <c r="AA1534">
        <v>0.99888299999999997</v>
      </c>
      <c r="AB1534">
        <v>20</v>
      </c>
      <c r="AC1534">
        <v>-1.3306</v>
      </c>
      <c r="AD1534">
        <v>-1.110859620866</v>
      </c>
      <c r="AE1534">
        <v>-22.4148</v>
      </c>
      <c r="AF1534">
        <v>-0.70876441383557998</v>
      </c>
      <c r="AG1534">
        <v>-1.110859620866</v>
      </c>
      <c r="AH1534">
        <v>22.388220594939298</v>
      </c>
      <c r="AI1534">
        <v>92.839154631384204</v>
      </c>
      <c r="AJ1534">
        <v>91.813259390501401</v>
      </c>
      <c r="AK1534">
        <v>22.426965409953599</v>
      </c>
      <c r="AL1534">
        <v>79.331579355399896</v>
      </c>
      <c r="AM1534">
        <v>92.634230370470803</v>
      </c>
      <c r="AN1534">
        <v>0.99999996391389601</v>
      </c>
    </row>
    <row r="1535" spans="1:40" x14ac:dyDescent="0.25">
      <c r="A1535" t="str">
        <f>"20190304155623128"</f>
        <v>20190304155623128</v>
      </c>
      <c r="B1535" t="str">
        <f>"1551686183116014"</f>
        <v>1551686183116014</v>
      </c>
      <c r="C1535" t="s">
        <v>40</v>
      </c>
      <c r="D1535">
        <v>4.8204690000000001</v>
      </c>
      <c r="E1535">
        <v>0.50339769999999995</v>
      </c>
      <c r="F1535" t="s">
        <v>41</v>
      </c>
      <c r="G1535">
        <v>-191.47829999999999</v>
      </c>
      <c r="H1535" s="1">
        <v>-1.7586110000000001E-6</v>
      </c>
      <c r="I1535">
        <v>312.47989999999999</v>
      </c>
      <c r="J1535">
        <v>-190.1824</v>
      </c>
      <c r="K1535">
        <v>1.110851</v>
      </c>
      <c r="L1535">
        <v>334.38600000000002</v>
      </c>
      <c r="M1535">
        <v>-9.0098460000000005E-2</v>
      </c>
      <c r="N1535">
        <v>-1.349408E-2</v>
      </c>
      <c r="O1535">
        <v>-0.99584159999999999</v>
      </c>
      <c r="P1535">
        <v>-4.3987940000000003E-2</v>
      </c>
      <c r="Q1535">
        <v>0.17100650000000001</v>
      </c>
      <c r="R1535">
        <v>-0.98428780000000005</v>
      </c>
      <c r="S1535">
        <v>-0.1822357</v>
      </c>
      <c r="T1535">
        <v>-0.15406889999999901</v>
      </c>
      <c r="U1535">
        <v>-3.067078</v>
      </c>
      <c r="V1535">
        <v>-4.503683E-2</v>
      </c>
      <c r="W1535">
        <v>0.1842346</v>
      </c>
      <c r="X1535">
        <v>0.98185</v>
      </c>
      <c r="Y1535">
        <v>-3.0903259999999998E-2</v>
      </c>
      <c r="Z1535">
        <v>3.6362819999999997E-2</v>
      </c>
      <c r="AA1535">
        <v>0.99886070000000005</v>
      </c>
      <c r="AB1535">
        <v>20</v>
      </c>
      <c r="AC1535">
        <v>-1.2958999999999801</v>
      </c>
      <c r="AD1535">
        <v>-1.110852758611</v>
      </c>
      <c r="AE1535">
        <v>-21.906099999999899</v>
      </c>
      <c r="AF1535">
        <v>-0.68151046972918405</v>
      </c>
      <c r="AG1535">
        <v>-1.110852758611</v>
      </c>
      <c r="AH1535">
        <v>21.877696036278699</v>
      </c>
      <c r="AI1535">
        <v>92.905323410003703</v>
      </c>
      <c r="AJ1535">
        <v>91.784239552974995</v>
      </c>
      <c r="AK1535">
        <v>21.916478600073201</v>
      </c>
      <c r="AL1535">
        <v>79.383489488727193</v>
      </c>
      <c r="AM1535">
        <v>92.626279808236504</v>
      </c>
      <c r="AN1535">
        <v>1.0000000631968</v>
      </c>
    </row>
    <row r="1536" spans="1:40" x14ac:dyDescent="0.25">
      <c r="A1536" t="str">
        <f>"20190304155623150"</f>
        <v>20190304155623150</v>
      </c>
      <c r="B1536" t="str">
        <f>"1551686183146267"</f>
        <v>1551686183146267</v>
      </c>
      <c r="C1536" t="s">
        <v>40</v>
      </c>
      <c r="D1536">
        <v>4.8362669999999897</v>
      </c>
      <c r="E1536">
        <v>0.50380150000000001</v>
      </c>
      <c r="F1536" t="s">
        <v>41</v>
      </c>
      <c r="G1536">
        <v>-191.49639999999999</v>
      </c>
      <c r="H1536" s="1">
        <v>-1.676447E-6</v>
      </c>
      <c r="I1536">
        <v>312.29579999999999</v>
      </c>
      <c r="J1536">
        <v>-190.1986</v>
      </c>
      <c r="K1536">
        <v>1.110846</v>
      </c>
      <c r="L1536">
        <v>334.19819999999999</v>
      </c>
      <c r="M1536">
        <v>-8.9458969999999999E-2</v>
      </c>
      <c r="N1536">
        <v>-1.3492000000000001E-2</v>
      </c>
      <c r="O1536">
        <v>-0.99589899999999998</v>
      </c>
      <c r="P1536">
        <v>-4.3476180000000003E-2</v>
      </c>
      <c r="Q1536">
        <v>0.1700749</v>
      </c>
      <c r="R1536">
        <v>-0.98447180000000001</v>
      </c>
      <c r="S1536">
        <v>-0.1824036</v>
      </c>
      <c r="T1536">
        <v>-0.15420719999999999</v>
      </c>
      <c r="U1536">
        <v>-3.0665279999999999</v>
      </c>
      <c r="V1536">
        <v>-4.4929610000000002E-2</v>
      </c>
      <c r="W1536">
        <v>0.1833032</v>
      </c>
      <c r="X1536">
        <v>0.98202909999999999</v>
      </c>
      <c r="Y1536">
        <v>-3.0196799999999999E-2</v>
      </c>
      <c r="Z1536">
        <v>3.6422990000000002E-2</v>
      </c>
      <c r="AA1536">
        <v>0.99888010000000005</v>
      </c>
      <c r="AB1536">
        <v>20</v>
      </c>
      <c r="AC1536">
        <v>-1.2977999999999901</v>
      </c>
      <c r="AD1536">
        <v>-1.1108476764470001</v>
      </c>
      <c r="AE1536">
        <v>-21.9024</v>
      </c>
      <c r="AF1536">
        <v>-0.66524397330909102</v>
      </c>
      <c r="AG1536">
        <v>-1.1108476764470001</v>
      </c>
      <c r="AH1536">
        <v>21.874605205521299</v>
      </c>
      <c r="AI1536">
        <v>92.905785893428202</v>
      </c>
      <c r="AJ1536">
        <v>91.741925281600103</v>
      </c>
      <c r="AK1536">
        <v>21.912893122582201</v>
      </c>
      <c r="AL1536">
        <v>79.437778078557102</v>
      </c>
      <c r="AM1536">
        <v>92.619558929137696</v>
      </c>
      <c r="AN1536">
        <v>0.99999994311589901</v>
      </c>
    </row>
    <row r="1537" spans="1:40" x14ac:dyDescent="0.25">
      <c r="A1537" t="str">
        <f>"20190304155623172"</f>
        <v>20190304155623172</v>
      </c>
      <c r="B1537" t="str">
        <f>"1551686183165787"</f>
        <v>1551686183165787</v>
      </c>
      <c r="C1537" t="s">
        <v>40</v>
      </c>
      <c r="D1537">
        <v>4.8207469999999999</v>
      </c>
      <c r="E1537">
        <v>0.50360959999999999</v>
      </c>
      <c r="F1537" t="s">
        <v>41</v>
      </c>
      <c r="G1537">
        <v>-191.4924</v>
      </c>
      <c r="H1537" s="1">
        <v>-1.786316E-6</v>
      </c>
      <c r="I1537">
        <v>312.53050000000002</v>
      </c>
      <c r="J1537">
        <v>-190.21549999999999</v>
      </c>
      <c r="K1537">
        <v>1.110841</v>
      </c>
      <c r="L1537">
        <v>334.00150000000002</v>
      </c>
      <c r="M1537">
        <v>-8.8789809999999997E-2</v>
      </c>
      <c r="N1537">
        <v>-1.3489839999999999E-2</v>
      </c>
      <c r="O1537">
        <v>-0.99595919999999905</v>
      </c>
      <c r="P1537">
        <v>-4.2839549999999997E-2</v>
      </c>
      <c r="Q1537">
        <v>0.16990729999999901</v>
      </c>
      <c r="R1537">
        <v>-0.98452879999999998</v>
      </c>
      <c r="S1537">
        <v>-0.18309020000000001</v>
      </c>
      <c r="T1537">
        <v>-0.15720689999999901</v>
      </c>
      <c r="U1537">
        <v>-3.0664060000000002</v>
      </c>
      <c r="V1537">
        <v>-4.4907170000000003E-2</v>
      </c>
      <c r="W1537">
        <v>0.18313399999999999</v>
      </c>
      <c r="X1537">
        <v>0.98206170000000004</v>
      </c>
      <c r="Y1537">
        <v>-2.930228E-2</v>
      </c>
      <c r="Z1537">
        <v>3.7400040000000002E-2</v>
      </c>
      <c r="AA1537">
        <v>0.9988707</v>
      </c>
      <c r="AB1537">
        <v>20</v>
      </c>
      <c r="AC1537">
        <v>-1.2769000000000099</v>
      </c>
      <c r="AD1537">
        <v>-1.110842786316</v>
      </c>
      <c r="AE1537">
        <v>-21.471</v>
      </c>
      <c r="AF1537">
        <v>-0.63303488031720301</v>
      </c>
      <c r="AG1537">
        <v>-1.110842786316</v>
      </c>
      <c r="AH1537">
        <v>21.442375733001199</v>
      </c>
      <c r="AI1537">
        <v>92.964322227425001</v>
      </c>
      <c r="AJ1537">
        <v>91.691029733057803</v>
      </c>
      <c r="AK1537">
        <v>21.480460468314099</v>
      </c>
      <c r="AL1537">
        <v>79.447639521863096</v>
      </c>
      <c r="AM1537">
        <v>92.618165623806604</v>
      </c>
      <c r="AN1537">
        <v>0.99999994924014801</v>
      </c>
    </row>
    <row r="1538" spans="1:40" x14ac:dyDescent="0.25">
      <c r="A1538" t="str">
        <f>"20190304155623193"</f>
        <v>20190304155623193</v>
      </c>
      <c r="B1538" t="str">
        <f>"1551686183186283"</f>
        <v>1551686183186283</v>
      </c>
      <c r="C1538" t="s">
        <v>40</v>
      </c>
      <c r="D1538">
        <v>4.8215919999999999</v>
      </c>
      <c r="E1538">
        <v>0.50378780000000001</v>
      </c>
      <c r="F1538" t="s">
        <v>41</v>
      </c>
      <c r="G1538">
        <v>-191.47929999999999</v>
      </c>
      <c r="H1538" s="1">
        <v>-1.7031409999999999E-6</v>
      </c>
      <c r="I1538">
        <v>312.36189999999999</v>
      </c>
      <c r="J1538">
        <v>-190.23169999999999</v>
      </c>
      <c r="K1538">
        <v>1.110838</v>
      </c>
      <c r="L1538">
        <v>333.81150000000002</v>
      </c>
      <c r="M1538">
        <v>-8.8143250000000006E-2</v>
      </c>
      <c r="N1538">
        <v>-1.3487880000000001E-2</v>
      </c>
      <c r="O1538">
        <v>-0.99601669999999998</v>
      </c>
      <c r="P1538">
        <v>-4.2242689999999999E-2</v>
      </c>
      <c r="Q1538">
        <v>0.16984850000000001</v>
      </c>
      <c r="R1538">
        <v>-0.98456449999999995</v>
      </c>
      <c r="S1538">
        <v>-0.17909239999999901</v>
      </c>
      <c r="T1538">
        <v>-0.15741830000000001</v>
      </c>
      <c r="U1538">
        <v>-3.0665589999999998</v>
      </c>
      <c r="V1538">
        <v>-4.4864590000000003E-2</v>
      </c>
      <c r="W1538">
        <v>0.18307399999999999</v>
      </c>
      <c r="X1538">
        <v>0.98207489999999997</v>
      </c>
      <c r="Y1538">
        <v>-2.995389E-2</v>
      </c>
      <c r="Z1538">
        <v>3.7472510000000001E-2</v>
      </c>
      <c r="AA1538">
        <v>0.99884859999999998</v>
      </c>
      <c r="AB1538">
        <v>20</v>
      </c>
      <c r="AC1538">
        <v>-1.2476</v>
      </c>
      <c r="AD1538">
        <v>-1.110839703141</v>
      </c>
      <c r="AE1538">
        <v>-21.4496</v>
      </c>
      <c r="AF1538">
        <v>-0.64633817856312803</v>
      </c>
      <c r="AG1538">
        <v>-1.110839703141</v>
      </c>
      <c r="AH1538">
        <v>21.4188240380198</v>
      </c>
      <c r="AI1538">
        <v>92.967509952414005</v>
      </c>
      <c r="AJ1538">
        <v>91.728442945317298</v>
      </c>
      <c r="AK1538">
        <v>21.457347018184599</v>
      </c>
      <c r="AL1538">
        <v>79.451137090707505</v>
      </c>
      <c r="AM1538">
        <v>92.615651477206001</v>
      </c>
      <c r="AN1538">
        <v>1.0000000150609301</v>
      </c>
    </row>
    <row r="1539" spans="1:40" x14ac:dyDescent="0.25">
      <c r="A1539" t="str">
        <f>"20190304155623219"</f>
        <v>20190304155623219</v>
      </c>
      <c r="B1539" t="str">
        <f>"1551686183216539"</f>
        <v>1551686183216539</v>
      </c>
      <c r="C1539" t="s">
        <v>40</v>
      </c>
      <c r="D1539">
        <v>4.8116469999999998</v>
      </c>
      <c r="E1539">
        <v>0.50403609999999999</v>
      </c>
      <c r="F1539" t="s">
        <v>41</v>
      </c>
      <c r="G1539">
        <v>-191.50110000000001</v>
      </c>
      <c r="H1539" s="1">
        <v>-1.5204150000000001E-6</v>
      </c>
      <c r="I1539">
        <v>311.9631</v>
      </c>
      <c r="J1539">
        <v>-190.2501</v>
      </c>
      <c r="K1539">
        <v>1.1108389999999999</v>
      </c>
      <c r="L1539">
        <v>333.59269999999998</v>
      </c>
      <c r="M1539">
        <v>-8.7399439999999995E-2</v>
      </c>
      <c r="N1539">
        <v>-1.348545E-2</v>
      </c>
      <c r="O1539">
        <v>-0.99608240000000003</v>
      </c>
      <c r="P1539">
        <v>-4.1763120000000001E-2</v>
      </c>
      <c r="Q1539">
        <v>0.1697457</v>
      </c>
      <c r="R1539">
        <v>-0.98460289999999995</v>
      </c>
      <c r="S1539">
        <v>-0.1781616</v>
      </c>
      <c r="T1539">
        <v>-0.15589790000000001</v>
      </c>
      <c r="U1539">
        <v>-3.0662539999999998</v>
      </c>
      <c r="V1539">
        <v>-4.4609799999999998E-2</v>
      </c>
      <c r="W1539">
        <v>0.18296989999999999</v>
      </c>
      <c r="X1539">
        <v>0.98210589999999998</v>
      </c>
      <c r="Y1539">
        <v>-2.9503089999999999E-2</v>
      </c>
      <c r="Z1539">
        <v>3.6994470000000002E-2</v>
      </c>
      <c r="AA1539">
        <v>0.99887979999999998</v>
      </c>
      <c r="AB1539">
        <v>20</v>
      </c>
      <c r="AC1539">
        <v>-1.2509999999999999</v>
      </c>
      <c r="AD1539">
        <v>-1.11084052041499</v>
      </c>
      <c r="AE1539">
        <v>-21.6295999999999</v>
      </c>
      <c r="AF1539">
        <v>-0.64268474087334004</v>
      </c>
      <c r="AG1539">
        <v>-1.11084052041499</v>
      </c>
      <c r="AH1539">
        <v>21.599382344976298</v>
      </c>
      <c r="AI1539">
        <v>92.942786298470196</v>
      </c>
      <c r="AJ1539">
        <v>91.704320119677902</v>
      </c>
      <c r="AK1539">
        <v>21.637475084270299</v>
      </c>
      <c r="AL1539">
        <v>79.457203991531102</v>
      </c>
      <c r="AM1539">
        <v>92.6007354329777</v>
      </c>
      <c r="AN1539">
        <v>1.00000000868843</v>
      </c>
    </row>
    <row r="1540" spans="1:40" x14ac:dyDescent="0.25">
      <c r="A1540" t="str">
        <f>"20190304155623241"</f>
        <v>20190304155623241</v>
      </c>
      <c r="B1540" t="str">
        <f>"1551686183236059"</f>
        <v>1551686183236059</v>
      </c>
      <c r="C1540" t="s">
        <v>40</v>
      </c>
      <c r="D1540">
        <v>4.8160270000000001</v>
      </c>
      <c r="E1540">
        <v>0.50396090000000004</v>
      </c>
      <c r="F1540" t="s">
        <v>41</v>
      </c>
      <c r="G1540">
        <v>-191.53649999999999</v>
      </c>
      <c r="H1540" s="1">
        <v>-1.3022899999999999E-6</v>
      </c>
      <c r="I1540">
        <v>311.48169999999999</v>
      </c>
      <c r="J1540">
        <v>-190.26679999999999</v>
      </c>
      <c r="K1540">
        <v>1.1108340000000001</v>
      </c>
      <c r="L1540">
        <v>333.3931</v>
      </c>
      <c r="M1540">
        <v>-8.672117E-2</v>
      </c>
      <c r="N1540">
        <v>-1.348326E-2</v>
      </c>
      <c r="O1540">
        <v>-0.99614150000000001</v>
      </c>
      <c r="P1540">
        <v>-4.1186529999999999E-2</v>
      </c>
      <c r="Q1540">
        <v>0.16997799999999999</v>
      </c>
      <c r="R1540">
        <v>-0.98458690000000004</v>
      </c>
      <c r="S1540">
        <v>-0.17837520000000001</v>
      </c>
      <c r="T1540">
        <v>-0.15402969999999999</v>
      </c>
      <c r="U1540">
        <v>-3.0659179999999999</v>
      </c>
      <c r="V1540">
        <v>-4.4512320000000001E-2</v>
      </c>
      <c r="W1540">
        <v>0.18319959999999999</v>
      </c>
      <c r="X1540">
        <v>0.98206749999999998</v>
      </c>
      <c r="Y1540">
        <v>-2.8745969999999999E-2</v>
      </c>
      <c r="Z1540">
        <v>3.640359E-2</v>
      </c>
      <c r="AA1540">
        <v>0.99892369999999997</v>
      </c>
      <c r="AB1540">
        <v>20</v>
      </c>
      <c r="AC1540">
        <v>-1.2697000000000001</v>
      </c>
      <c r="AD1540">
        <v>-1.1108353022899999</v>
      </c>
      <c r="AE1540">
        <v>-21.9114</v>
      </c>
      <c r="AF1540">
        <v>-0.63381551496893895</v>
      </c>
      <c r="AG1540">
        <v>-1.1108353022899999</v>
      </c>
      <c r="AH1540">
        <v>21.8829021394249</v>
      </c>
      <c r="AI1540">
        <v>92.904778268574304</v>
      </c>
      <c r="AJ1540">
        <v>91.659048871571102</v>
      </c>
      <c r="AK1540">
        <v>21.920243685221099</v>
      </c>
      <c r="AL1540">
        <v>79.4438168556687</v>
      </c>
      <c r="AM1540">
        <v>92.595161492360305</v>
      </c>
      <c r="AN1540">
        <v>1.00000000731409</v>
      </c>
    </row>
    <row r="1541" spans="1:40" x14ac:dyDescent="0.25">
      <c r="A1541" t="str">
        <f>"20190304155623262"</f>
        <v>20190304155623262</v>
      </c>
      <c r="B1541" t="str">
        <f>"1551686183256555"</f>
        <v>1551686183256555</v>
      </c>
      <c r="C1541" t="s">
        <v>40</v>
      </c>
      <c r="D1541">
        <v>4.8105869999999999</v>
      </c>
      <c r="E1541">
        <v>0.50402499999999995</v>
      </c>
      <c r="F1541" t="s">
        <v>41</v>
      </c>
      <c r="G1541">
        <v>-191.54349999999999</v>
      </c>
      <c r="H1541" s="1">
        <v>-1.12602E-6</v>
      </c>
      <c r="I1541">
        <v>311.10489999999999</v>
      </c>
      <c r="J1541">
        <v>-190.2817</v>
      </c>
      <c r="K1541">
        <v>1.1108290000000001</v>
      </c>
      <c r="L1541">
        <v>333.21409999999997</v>
      </c>
      <c r="M1541">
        <v>-8.6113149999999999E-2</v>
      </c>
      <c r="N1541">
        <v>-1.348132E-2</v>
      </c>
      <c r="O1541">
        <v>-0.99619429999999998</v>
      </c>
      <c r="P1541">
        <v>-4.0944040000000001E-2</v>
      </c>
      <c r="Q1541">
        <v>0.17011979999999999</v>
      </c>
      <c r="R1541">
        <v>-0.98457289999999997</v>
      </c>
      <c r="S1541">
        <v>-0.1756287</v>
      </c>
      <c r="T1541">
        <v>-0.15281049999999999</v>
      </c>
      <c r="U1541">
        <v>-3.0660400000000001</v>
      </c>
      <c r="V1541">
        <v>-4.4151500000000003E-2</v>
      </c>
      <c r="W1541">
        <v>0.18333930000000001</v>
      </c>
      <c r="X1541">
        <v>0.98205770000000003</v>
      </c>
      <c r="Y1541">
        <v>-2.9029159999999998E-2</v>
      </c>
      <c r="Z1541">
        <v>3.6014009999999999E-2</v>
      </c>
      <c r="AA1541">
        <v>0.99892959999999997</v>
      </c>
      <c r="AB1541">
        <v>20</v>
      </c>
      <c r="AC1541">
        <v>-1.26179999999999</v>
      </c>
      <c r="AD1541">
        <v>-1.11083012602</v>
      </c>
      <c r="AE1541">
        <v>-22.109199999999898</v>
      </c>
      <c r="AF1541">
        <v>-0.64532983481054795</v>
      </c>
      <c r="AG1541">
        <v>-1.11083012602</v>
      </c>
      <c r="AH1541">
        <v>22.080167783946401</v>
      </c>
      <c r="AI1541">
        <v>92.878835303087996</v>
      </c>
      <c r="AJ1541">
        <v>91.674088429932794</v>
      </c>
      <c r="AK1541">
        <v>22.117508981162299</v>
      </c>
      <c r="AL1541">
        <v>79.4356745448667</v>
      </c>
      <c r="AM1541">
        <v>92.574178995433101</v>
      </c>
      <c r="AN1541">
        <v>0.99999999000301498</v>
      </c>
    </row>
    <row r="1542" spans="1:40" x14ac:dyDescent="0.25">
      <c r="A1542" t="str">
        <f>"20190304155623284"</f>
        <v>20190304155623284</v>
      </c>
      <c r="B1542" t="str">
        <f>"1551686183276075"</f>
        <v>1551686183276075</v>
      </c>
      <c r="C1542" t="s">
        <v>40</v>
      </c>
      <c r="D1542">
        <v>4.8873249999999997</v>
      </c>
      <c r="E1542">
        <v>0.50433760000000005</v>
      </c>
      <c r="F1542" t="s">
        <v>41</v>
      </c>
      <c r="G1542">
        <v>-191.572</v>
      </c>
      <c r="H1542" s="1">
        <v>-9.4347250000000003E-7</v>
      </c>
      <c r="I1542">
        <v>310.70269999999999</v>
      </c>
      <c r="J1542">
        <v>-190.29769999999999</v>
      </c>
      <c r="K1542">
        <v>1.110832</v>
      </c>
      <c r="L1542">
        <v>333.01979999999998</v>
      </c>
      <c r="M1542">
        <v>-8.5453230000000005E-2</v>
      </c>
      <c r="N1542">
        <v>-1.347925E-2</v>
      </c>
      <c r="O1542">
        <v>-0.9962512</v>
      </c>
      <c r="P1542">
        <v>-4.0446860000000001E-2</v>
      </c>
      <c r="Q1542">
        <v>0.17042959999999999</v>
      </c>
      <c r="R1542">
        <v>-0.98453979999999996</v>
      </c>
      <c r="S1542">
        <v>-0.17572019999999999</v>
      </c>
      <c r="T1542">
        <v>-0.1512828</v>
      </c>
      <c r="U1542">
        <v>-3.0657960000000002</v>
      </c>
      <c r="V1542">
        <v>-4.3991589999999997E-2</v>
      </c>
      <c r="W1542">
        <v>0.1836468</v>
      </c>
      <c r="X1542">
        <v>0.98200739999999997</v>
      </c>
      <c r="Y1542">
        <v>-2.8332130000000001E-2</v>
      </c>
      <c r="Z1542">
        <v>3.5530939999999997E-2</v>
      </c>
      <c r="AA1542">
        <v>0.99896689999999999</v>
      </c>
      <c r="AB1542">
        <v>20</v>
      </c>
      <c r="AC1542">
        <v>-1.27430000000001</v>
      </c>
      <c r="AD1542">
        <v>-1.1108329434724999</v>
      </c>
      <c r="AE1542">
        <v>-22.3170999999999</v>
      </c>
      <c r="AF1542">
        <v>-0.636032494180372</v>
      </c>
      <c r="AG1542">
        <v>-1.1108329434724999</v>
      </c>
      <c r="AH1542">
        <v>22.289312856260199</v>
      </c>
      <c r="AI1542">
        <v>92.851931445639295</v>
      </c>
      <c r="AJ1542">
        <v>91.634509393977595</v>
      </c>
      <c r="AK1542">
        <v>22.326037596631501</v>
      </c>
      <c r="AL1542">
        <v>79.417751572083901</v>
      </c>
      <c r="AM1542">
        <v>92.564999386015401</v>
      </c>
      <c r="AN1542">
        <v>0.99999997039786304</v>
      </c>
    </row>
    <row r="1543" spans="1:40" x14ac:dyDescent="0.25">
      <c r="A1543" t="str">
        <f>"20190304155623305"</f>
        <v>20190304155623305</v>
      </c>
      <c r="B1543" t="str">
        <f>"1551686183296574"</f>
        <v>1551686183296574</v>
      </c>
      <c r="C1543" t="s">
        <v>40</v>
      </c>
      <c r="D1543">
        <v>4.889812</v>
      </c>
      <c r="E1543">
        <v>0.52196129999999996</v>
      </c>
      <c r="F1543" t="s">
        <v>41</v>
      </c>
      <c r="G1543">
        <v>-191.61179999999999</v>
      </c>
      <c r="H1543" s="1">
        <v>-7.1346430000000002E-7</v>
      </c>
      <c r="I1543">
        <v>310.19369999999998</v>
      </c>
      <c r="J1543">
        <v>-190.31280000000001</v>
      </c>
      <c r="K1543">
        <v>1.110838</v>
      </c>
      <c r="L1543">
        <v>332.83479999999997</v>
      </c>
      <c r="M1543">
        <v>-8.4824730000000001E-2</v>
      </c>
      <c r="N1543">
        <v>-1.347726E-2</v>
      </c>
      <c r="O1543">
        <v>-0.996305</v>
      </c>
      <c r="P1543">
        <v>-3.9940919999999998E-2</v>
      </c>
      <c r="Q1543">
        <v>0.17016500000000001</v>
      </c>
      <c r="R1543">
        <v>-0.98460619999999999</v>
      </c>
      <c r="S1543">
        <v>-0.1764984</v>
      </c>
      <c r="T1543">
        <v>-0.149191299999999</v>
      </c>
      <c r="U1543">
        <v>-3.065674</v>
      </c>
      <c r="V1543">
        <v>-4.3880009999999997E-2</v>
      </c>
      <c r="W1543">
        <v>0.1833815</v>
      </c>
      <c r="X1543">
        <v>0.98206199999999999</v>
      </c>
      <c r="Y1543">
        <v>-2.744564E-2</v>
      </c>
      <c r="Z1543">
        <v>3.4863150000000002E-2</v>
      </c>
      <c r="AA1543">
        <v>0.99901519999999999</v>
      </c>
      <c r="AB1543">
        <v>20</v>
      </c>
      <c r="AC1543">
        <v>-1.29899999999997</v>
      </c>
      <c r="AD1543">
        <v>-1.1108387134643001</v>
      </c>
      <c r="AE1543">
        <v>-22.641099999999899</v>
      </c>
      <c r="AF1543">
        <v>-0.62488246077964604</v>
      </c>
      <c r="AG1543">
        <v>-1.1108387134643001</v>
      </c>
      <c r="AH1543">
        <v>22.615420852561702</v>
      </c>
      <c r="AI1543">
        <v>92.810959638715204</v>
      </c>
      <c r="AJ1543">
        <v>91.582726258287394</v>
      </c>
      <c r="AK1543">
        <v>22.651306829311299</v>
      </c>
      <c r="AL1543">
        <v>79.433215078336701</v>
      </c>
      <c r="AM1543">
        <v>92.558360136410698</v>
      </c>
      <c r="AN1543">
        <v>1.0000000008319201</v>
      </c>
    </row>
    <row r="1544" spans="1:40" x14ac:dyDescent="0.25">
      <c r="A1544" t="str">
        <f>"20190304155623328"</f>
        <v>20190304155623328</v>
      </c>
      <c r="B1544" t="str">
        <f>"1551686183316097"</f>
        <v>1551686183316097</v>
      </c>
      <c r="C1544" t="s">
        <v>40</v>
      </c>
      <c r="D1544">
        <v>4.9120619999999997</v>
      </c>
      <c r="E1544">
        <v>0.52287050000000002</v>
      </c>
      <c r="F1544" t="s">
        <v>53</v>
      </c>
      <c r="G1544">
        <v>-194.1806</v>
      </c>
      <c r="H1544" s="1">
        <v>1.19859E-6</v>
      </c>
      <c r="I1544">
        <v>295.1662</v>
      </c>
      <c r="J1544">
        <v>-190.32900000000001</v>
      </c>
      <c r="K1544">
        <v>1.1108370000000001</v>
      </c>
      <c r="L1544">
        <v>332.63490000000002</v>
      </c>
      <c r="M1544">
        <v>-8.4145299999999895E-2</v>
      </c>
      <c r="N1544">
        <v>-1.347513E-2</v>
      </c>
      <c r="O1544">
        <v>-0.99636270000000005</v>
      </c>
      <c r="P1544">
        <v>-3.9597439999999998E-2</v>
      </c>
      <c r="Q1544">
        <v>0.16993359999999999</v>
      </c>
      <c r="R1544">
        <v>-0.98465990000000003</v>
      </c>
      <c r="S1544">
        <v>-0.3131409</v>
      </c>
      <c r="T1544">
        <v>-8.9935059999999997E-2</v>
      </c>
      <c r="U1544">
        <v>-3.0497130000000001</v>
      </c>
      <c r="V1544">
        <v>-4.3554130000000003E-2</v>
      </c>
      <c r="W1544">
        <v>0.18314900000000001</v>
      </c>
      <c r="X1544">
        <v>0.98211990000000005</v>
      </c>
      <c r="Y1544">
        <v>1.8048640000000001E-2</v>
      </c>
      <c r="Z1544">
        <v>1.582714E-2</v>
      </c>
      <c r="AA1544">
        <v>0.99971180000000004</v>
      </c>
      <c r="AB1544">
        <v>20</v>
      </c>
      <c r="AC1544">
        <v>-3.8515999999999901</v>
      </c>
      <c r="AD1544">
        <v>-1.1108358014099999</v>
      </c>
      <c r="AE1544">
        <v>-37.468699999999998</v>
      </c>
      <c r="AF1544">
        <v>0.68424240880985299</v>
      </c>
      <c r="AG1544">
        <v>-1.1108358014099999</v>
      </c>
      <c r="AH1544">
        <v>37.627189879304801</v>
      </c>
      <c r="AI1544">
        <v>91.690724470090103</v>
      </c>
      <c r="AJ1544">
        <v>88.958203316836602</v>
      </c>
      <c r="AK1544">
        <v>37.649801620525999</v>
      </c>
      <c r="AL1544">
        <v>79.4467659284538</v>
      </c>
      <c r="AM1544">
        <v>92.539235630340499</v>
      </c>
      <c r="AN1544">
        <v>1.0000000082085301</v>
      </c>
    </row>
    <row r="1545" spans="1:40" x14ac:dyDescent="0.25">
      <c r="A1545" t="str">
        <f>"20190304155623350"</f>
        <v>20190304155623350</v>
      </c>
      <c r="B1545" t="str">
        <f>"1551686183346350"</f>
        <v>1551686183346350</v>
      </c>
      <c r="C1545" t="s">
        <v>40</v>
      </c>
      <c r="D1545">
        <v>4.8601229999999997</v>
      </c>
      <c r="E1545">
        <v>0.52391790000000005</v>
      </c>
      <c r="F1545" t="s">
        <v>53</v>
      </c>
      <c r="G1545">
        <v>-194.48269999999999</v>
      </c>
      <c r="H1545" s="1">
        <v>1.664801E-6</v>
      </c>
      <c r="I1545">
        <v>292.92059999999998</v>
      </c>
      <c r="J1545">
        <v>-190.34389999999999</v>
      </c>
      <c r="K1545">
        <v>1.1108340000000001</v>
      </c>
      <c r="L1545">
        <v>332.44880000000001</v>
      </c>
      <c r="M1545">
        <v>-8.3511879999999997E-2</v>
      </c>
      <c r="N1545">
        <v>-1.347313E-2</v>
      </c>
      <c r="O1545">
        <v>-0.99641599999999997</v>
      </c>
      <c r="P1545">
        <v>-3.9297789999999999E-2</v>
      </c>
      <c r="Q1545">
        <v>0.16944129999999999</v>
      </c>
      <c r="R1545">
        <v>-0.98475699999999999</v>
      </c>
      <c r="S1545">
        <v>-0.3188629</v>
      </c>
      <c r="T1545">
        <v>-8.5272550000000003E-2</v>
      </c>
      <c r="U1545">
        <v>-3.048645</v>
      </c>
      <c r="V1545">
        <v>-4.3234549999999997E-2</v>
      </c>
      <c r="W1545">
        <v>0.18265680000000001</v>
      </c>
      <c r="X1545">
        <v>0.98222569999999998</v>
      </c>
      <c r="Y1545">
        <v>2.0578050000000001E-2</v>
      </c>
      <c r="Z1545">
        <v>1.43231E-2</v>
      </c>
      <c r="AA1545">
        <v>0.99968559999999995</v>
      </c>
      <c r="AB1545">
        <v>20</v>
      </c>
      <c r="AC1545">
        <v>-4.1387999999999998</v>
      </c>
      <c r="AD1545">
        <v>-1.1108323351989999</v>
      </c>
      <c r="AE1545">
        <v>-39.528199999999998</v>
      </c>
      <c r="AF1545">
        <v>0.82232431691166397</v>
      </c>
      <c r="AG1545">
        <v>-1.1108323351989999</v>
      </c>
      <c r="AH1545">
        <v>39.704748270444</v>
      </c>
      <c r="AI1545">
        <v>91.602220741454005</v>
      </c>
      <c r="AJ1545">
        <v>88.813517781728294</v>
      </c>
      <c r="AK1545">
        <v>39.728795614496498</v>
      </c>
      <c r="AL1545">
        <v>79.475451021479103</v>
      </c>
      <c r="AM1545">
        <v>92.520356858432507</v>
      </c>
      <c r="AN1545">
        <v>1.00000002932021</v>
      </c>
    </row>
    <row r="1546" spans="1:40" x14ac:dyDescent="0.25">
      <c r="A1546" t="str">
        <f>"20190304155623372"</f>
        <v>20190304155623372</v>
      </c>
      <c r="B1546" t="str">
        <f>"1551686183365870"</f>
        <v>1551686183365870</v>
      </c>
      <c r="C1546" t="s">
        <v>40</v>
      </c>
      <c r="D1546">
        <v>4.8462930000000002</v>
      </c>
      <c r="E1546">
        <v>0.52441689999999996</v>
      </c>
      <c r="F1546" t="s">
        <v>53</v>
      </c>
      <c r="G1546">
        <v>-194.6506</v>
      </c>
      <c r="H1546" s="1">
        <v>1.7854669999999901E-6</v>
      </c>
      <c r="I1546">
        <v>292.21069999999997</v>
      </c>
      <c r="J1546">
        <v>-190.3595</v>
      </c>
      <c r="K1546">
        <v>1.1108309999999999</v>
      </c>
      <c r="L1546">
        <v>332.2527</v>
      </c>
      <c r="M1546">
        <v>-8.2844669999999995E-2</v>
      </c>
      <c r="N1546">
        <v>-1.3471E-2</v>
      </c>
      <c r="O1546">
        <v>-0.99647149999999995</v>
      </c>
      <c r="P1546">
        <v>-3.909605E-2</v>
      </c>
      <c r="Q1546">
        <v>0.16855719999999999</v>
      </c>
      <c r="R1546">
        <v>-0.98491629999999997</v>
      </c>
      <c r="S1546">
        <v>-0.3262177</v>
      </c>
      <c r="T1546">
        <v>-8.4142919999999996E-2</v>
      </c>
      <c r="U1546">
        <v>-3.0479430000000001</v>
      </c>
      <c r="V1546">
        <v>-4.2788300000000001E-2</v>
      </c>
      <c r="W1546">
        <v>0.18177299999999999</v>
      </c>
      <c r="X1546">
        <v>0.98240919999999998</v>
      </c>
      <c r="Y1546">
        <v>2.3656489999999999E-2</v>
      </c>
      <c r="Z1546">
        <v>1.396302E-2</v>
      </c>
      <c r="AA1546">
        <v>0.99962260000000003</v>
      </c>
      <c r="AB1546">
        <v>20</v>
      </c>
      <c r="AC1546">
        <v>-4.2911000000000001</v>
      </c>
      <c r="AD1546">
        <v>-1.1108292145330001</v>
      </c>
      <c r="AE1546">
        <v>-40.042000000000002</v>
      </c>
      <c r="AF1546">
        <v>0.95805055884631596</v>
      </c>
      <c r="AG1546">
        <v>-1.1108292145330001</v>
      </c>
      <c r="AH1546">
        <v>40.229247730464998</v>
      </c>
      <c r="AI1546">
        <v>91.581228445112401</v>
      </c>
      <c r="AJ1546">
        <v>88.635771660057799</v>
      </c>
      <c r="AK1546">
        <v>40.255983100357803</v>
      </c>
      <c r="AL1546">
        <v>79.526951420823295</v>
      </c>
      <c r="AM1546">
        <v>92.493910430274198</v>
      </c>
      <c r="AN1546">
        <v>1.0000000491952601</v>
      </c>
    </row>
    <row r="1547" spans="1:40" x14ac:dyDescent="0.25">
      <c r="A1547" t="str">
        <f>"20190304155623395"</f>
        <v>20190304155623395</v>
      </c>
      <c r="B1547" t="str">
        <f>"1551686183386366"</f>
        <v>1551686183386366</v>
      </c>
      <c r="C1547" t="s">
        <v>40</v>
      </c>
      <c r="D1547">
        <v>4.8962620000000001</v>
      </c>
      <c r="E1547">
        <v>0.52456369999999997</v>
      </c>
      <c r="F1547" t="s">
        <v>53</v>
      </c>
      <c r="G1547">
        <v>-194.63810000000001</v>
      </c>
      <c r="H1547" s="1">
        <v>1.693179E-6</v>
      </c>
      <c r="I1547">
        <v>292.68119999999999</v>
      </c>
      <c r="J1547">
        <v>-190.37479999999999</v>
      </c>
      <c r="K1547">
        <v>1.11083</v>
      </c>
      <c r="L1547">
        <v>332.06</v>
      </c>
      <c r="M1547">
        <v>-8.2188869999999997E-2</v>
      </c>
      <c r="N1547">
        <v>-1.3468900000000001E-2</v>
      </c>
      <c r="O1547">
        <v>-0.99652589999999996</v>
      </c>
      <c r="P1547">
        <v>-3.8910960000000001E-2</v>
      </c>
      <c r="Q1547">
        <v>0.16869089999999901</v>
      </c>
      <c r="R1547">
        <v>-0.98490069999999996</v>
      </c>
      <c r="S1547">
        <v>-0.32949830000000002</v>
      </c>
      <c r="T1547">
        <v>-8.5546490000000003E-2</v>
      </c>
      <c r="U1547">
        <v>-3.0474549999999998</v>
      </c>
      <c r="V1547">
        <v>-4.2323010000000001E-2</v>
      </c>
      <c r="W1547">
        <v>0.18190519999999999</v>
      </c>
      <c r="X1547">
        <v>0.98240479999999997</v>
      </c>
      <c r="Y1547">
        <v>2.5393880000000001E-2</v>
      </c>
      <c r="Z1547">
        <v>1.4426110000000001E-2</v>
      </c>
      <c r="AA1547">
        <v>0.99957339999999995</v>
      </c>
      <c r="AB1547">
        <v>19</v>
      </c>
      <c r="AC1547">
        <v>-4.2633000000000099</v>
      </c>
      <c r="AD1547">
        <v>-1.1108283068210001</v>
      </c>
      <c r="AE1547">
        <v>-39.378799999999998</v>
      </c>
      <c r="AF1547">
        <v>1.01128606019133</v>
      </c>
      <c r="AG1547">
        <v>-1.1108283068210001</v>
      </c>
      <c r="AH1547">
        <v>39.564857465597498</v>
      </c>
      <c r="AI1547">
        <v>91.607696786074797</v>
      </c>
      <c r="AJ1547">
        <v>88.535826655623396</v>
      </c>
      <c r="AK1547">
        <v>39.593365420178898</v>
      </c>
      <c r="AL1547">
        <v>79.519247606052303</v>
      </c>
      <c r="AM1547">
        <v>92.466835783530499</v>
      </c>
      <c r="AN1547">
        <v>0.999999965012769</v>
      </c>
    </row>
    <row r="1548" spans="1:40" x14ac:dyDescent="0.25">
      <c r="A1548" t="str">
        <f>"20190304155623421"</f>
        <v>20190304155623421</v>
      </c>
      <c r="B1548" t="str">
        <f>"1551686183416622"</f>
        <v>1551686183416622</v>
      </c>
      <c r="C1548" t="s">
        <v>40</v>
      </c>
      <c r="D1548">
        <v>4.838711</v>
      </c>
      <c r="E1548">
        <v>0.52504069999999903</v>
      </c>
      <c r="F1548" t="s">
        <v>53</v>
      </c>
      <c r="G1548">
        <v>-194.66890000000001</v>
      </c>
      <c r="H1548" s="1">
        <v>1.7447199999999999E-6</v>
      </c>
      <c r="I1548">
        <v>292.37299999999999</v>
      </c>
      <c r="J1548">
        <v>-190.39269999999999</v>
      </c>
      <c r="K1548">
        <v>1.11083</v>
      </c>
      <c r="L1548">
        <v>331.83100000000002</v>
      </c>
      <c r="M1548">
        <v>-8.1409860000000001E-2</v>
      </c>
      <c r="N1548">
        <v>-1.3466509999999999E-2</v>
      </c>
      <c r="O1548">
        <v>-0.99658979999999997</v>
      </c>
      <c r="P1548">
        <v>-3.822681E-2</v>
      </c>
      <c r="Q1548">
        <v>0.16862009999999999</v>
      </c>
      <c r="R1548">
        <v>-0.98493989999999998</v>
      </c>
      <c r="S1548">
        <v>-0.32974239999999999</v>
      </c>
      <c r="T1548">
        <v>-8.5299249999999993E-2</v>
      </c>
      <c r="U1548">
        <v>-3.0475159999999999</v>
      </c>
      <c r="V1548">
        <v>-4.2237860000000002E-2</v>
      </c>
      <c r="W1548">
        <v>0.18183250000000001</v>
      </c>
      <c r="X1548">
        <v>0.98242189999999996</v>
      </c>
      <c r="Y1548">
        <v>2.6252230000000001E-2</v>
      </c>
      <c r="Z1548">
        <v>1.4349249999999999E-2</v>
      </c>
      <c r="AA1548">
        <v>0.99955240000000001</v>
      </c>
      <c r="AB1548">
        <v>19</v>
      </c>
      <c r="AC1548">
        <v>-4.27620000000001</v>
      </c>
      <c r="AD1548">
        <v>-1.11082825528</v>
      </c>
      <c r="AE1548">
        <v>-39.457999999999899</v>
      </c>
      <c r="AF1548">
        <v>1.04862070228759</v>
      </c>
      <c r="AG1548">
        <v>-1.11082825528</v>
      </c>
      <c r="AH1548">
        <v>39.644105022183503</v>
      </c>
      <c r="AI1548">
        <v>91.604447530410795</v>
      </c>
      <c r="AJ1548">
        <v>88.4848306092576</v>
      </c>
      <c r="AK1548">
        <v>39.6735252756786</v>
      </c>
      <c r="AL1548">
        <v>79.523483413513603</v>
      </c>
      <c r="AM1548">
        <v>92.461836050907607</v>
      </c>
      <c r="AN1548">
        <v>0.99999994223661803</v>
      </c>
    </row>
    <row r="1549" spans="1:40" x14ac:dyDescent="0.25">
      <c r="A1549" t="str">
        <f>"20190304155623442"</f>
        <v>20190304155623442</v>
      </c>
      <c r="B1549" t="str">
        <f>"1551686183436143"</f>
        <v>1551686183436143</v>
      </c>
      <c r="C1549" t="s">
        <v>40</v>
      </c>
      <c r="D1549">
        <v>4.8263850000000001</v>
      </c>
      <c r="E1549">
        <v>0.52523520000000001</v>
      </c>
      <c r="F1549" t="s">
        <v>53</v>
      </c>
      <c r="G1549">
        <v>-194.7698</v>
      </c>
      <c r="H1549" s="1">
        <v>2.0004750000000001E-6</v>
      </c>
      <c r="I1549">
        <v>291.54259999999999</v>
      </c>
      <c r="J1549">
        <v>-190.4068</v>
      </c>
      <c r="K1549">
        <v>1.110819</v>
      </c>
      <c r="L1549">
        <v>331.64940000000001</v>
      </c>
      <c r="M1549">
        <v>-8.079153E-2</v>
      </c>
      <c r="N1549">
        <v>-1.3460639999999999E-2</v>
      </c>
      <c r="O1549">
        <v>-0.99664039999999998</v>
      </c>
      <c r="P1549">
        <v>-3.7669910000000001E-2</v>
      </c>
      <c r="Q1549">
        <v>0.16885710000000001</v>
      </c>
      <c r="R1549">
        <v>-0.98492069999999998</v>
      </c>
      <c r="S1549">
        <v>-0.33108520000000002</v>
      </c>
      <c r="T1549">
        <v>-8.4022399999999997E-2</v>
      </c>
      <c r="U1549">
        <v>-3.0473940000000002</v>
      </c>
      <c r="V1549">
        <v>-4.217982E-2</v>
      </c>
      <c r="W1549">
        <v>0.18206320000000001</v>
      </c>
      <c r="X1549">
        <v>0.98238170000000002</v>
      </c>
      <c r="Y1549">
        <v>2.7312449999999999E-2</v>
      </c>
      <c r="Z1549">
        <v>1.3941769999999999E-2</v>
      </c>
      <c r="AA1549">
        <v>0.99952969999999997</v>
      </c>
      <c r="AB1549">
        <v>19</v>
      </c>
      <c r="AC1549">
        <v>-4.3630000000000004</v>
      </c>
      <c r="AD1549">
        <v>-1.1108169995249999</v>
      </c>
      <c r="AE1549">
        <v>-40.1068</v>
      </c>
      <c r="AF1549">
        <v>1.10731294414257</v>
      </c>
      <c r="AG1549">
        <v>-1.1108169995249999</v>
      </c>
      <c r="AH1549">
        <v>40.297642710383002</v>
      </c>
      <c r="AI1549">
        <v>91.578380586569295</v>
      </c>
      <c r="AJ1549">
        <v>88.426002287866197</v>
      </c>
      <c r="AK1549">
        <v>40.328154735573797</v>
      </c>
      <c r="AL1549">
        <v>79.510041246553996</v>
      </c>
      <c r="AM1549">
        <v>92.458557818697997</v>
      </c>
      <c r="AN1549">
        <v>0.99999997525217998</v>
      </c>
    </row>
    <row r="1550" spans="1:40" x14ac:dyDescent="0.25">
      <c r="A1550" t="str">
        <f>"20190304155623462"</f>
        <v>20190304155623462</v>
      </c>
      <c r="B1550" t="str">
        <f>"1551686183456639"</f>
        <v>1551686183456639</v>
      </c>
      <c r="C1550" t="s">
        <v>40</v>
      </c>
      <c r="D1550">
        <v>4.9082660000000002</v>
      </c>
      <c r="E1550">
        <v>0.52551429999999999</v>
      </c>
      <c r="F1550" t="s">
        <v>53</v>
      </c>
      <c r="G1550">
        <v>-194.8614</v>
      </c>
      <c r="H1550" s="1">
        <v>2.3121030000000001E-6</v>
      </c>
      <c r="I1550">
        <v>290.61509999999998</v>
      </c>
      <c r="J1550">
        <v>-190.42009999999999</v>
      </c>
      <c r="K1550">
        <v>1.1108129999999901</v>
      </c>
      <c r="L1550">
        <v>331.47640000000001</v>
      </c>
      <c r="M1550">
        <v>-8.0200969999999996E-2</v>
      </c>
      <c r="N1550">
        <v>-1.3433509999999999E-2</v>
      </c>
      <c r="O1550">
        <v>-0.99668829999999997</v>
      </c>
      <c r="P1550">
        <v>-3.6892229999999998E-2</v>
      </c>
      <c r="Q1550">
        <v>0.16909099999999999</v>
      </c>
      <c r="R1550">
        <v>-0.98490999999999995</v>
      </c>
      <c r="S1550">
        <v>-0.3308258</v>
      </c>
      <c r="T1550">
        <v>-8.2495089999999993E-2</v>
      </c>
      <c r="U1550">
        <v>-3.0474239999999999</v>
      </c>
      <c r="V1550">
        <v>-4.237117E-2</v>
      </c>
      <c r="W1550">
        <v>0.1822695</v>
      </c>
      <c r="X1550">
        <v>0.98233519999999996</v>
      </c>
      <c r="Y1550">
        <v>2.7820279999999999E-2</v>
      </c>
      <c r="Z1550">
        <v>1.347313E-2</v>
      </c>
      <c r="AA1550">
        <v>0.99952209999999997</v>
      </c>
      <c r="AB1550">
        <v>19</v>
      </c>
      <c r="AC1550">
        <v>-4.4413000000000098</v>
      </c>
      <c r="AD1550">
        <v>-1.1108106878970001</v>
      </c>
      <c r="AE1550">
        <v>-40.8613</v>
      </c>
      <c r="AF1550">
        <v>1.14874042540137</v>
      </c>
      <c r="AG1550">
        <v>-1.1108106878970001</v>
      </c>
      <c r="AH1550">
        <v>41.055892136243102</v>
      </c>
      <c r="AI1550">
        <v>91.549213953205197</v>
      </c>
      <c r="AJ1550">
        <v>88.397287039555593</v>
      </c>
      <c r="AK1550">
        <v>41.086978278429299</v>
      </c>
      <c r="AL1550">
        <v>79.498019884714495</v>
      </c>
      <c r="AM1550">
        <v>92.469814121308204</v>
      </c>
      <c r="AN1550">
        <v>0.99999996591822804</v>
      </c>
    </row>
    <row r="1551" spans="1:40" x14ac:dyDescent="0.25">
      <c r="A1551" t="str">
        <f>"20190304155623495"</f>
        <v>20190304155623495</v>
      </c>
      <c r="B1551" t="str">
        <f>"1551686183486894"</f>
        <v>1551686183486894</v>
      </c>
      <c r="C1551" t="s">
        <v>40</v>
      </c>
      <c r="D1551">
        <v>4.80403</v>
      </c>
      <c r="E1551">
        <v>0.52592349999999999</v>
      </c>
      <c r="F1551" t="s">
        <v>53</v>
      </c>
      <c r="G1551">
        <v>-195.0591</v>
      </c>
      <c r="H1551" s="1">
        <v>2.7034759999999998E-6</v>
      </c>
      <c r="I1551">
        <v>288.77690000000001</v>
      </c>
      <c r="J1551">
        <v>-190.4417</v>
      </c>
      <c r="K1551">
        <v>1.1107899999999999</v>
      </c>
      <c r="L1551">
        <v>331.19290000000001</v>
      </c>
      <c r="M1551">
        <v>-7.9228199999999999E-2</v>
      </c>
      <c r="N1551">
        <v>-1.330551E-2</v>
      </c>
      <c r="O1551">
        <v>-0.99676779999999998</v>
      </c>
      <c r="P1551">
        <v>-3.6210199999999998E-2</v>
      </c>
      <c r="Q1551">
        <v>0.16914760000000001</v>
      </c>
      <c r="R1551">
        <v>-0.98492559999999996</v>
      </c>
      <c r="S1551">
        <v>-0.33105469999999998</v>
      </c>
      <c r="T1551">
        <v>-7.9271910000000001E-2</v>
      </c>
      <c r="U1551">
        <v>-3.0472109999999999</v>
      </c>
      <c r="V1551">
        <v>-4.2094409999999999E-2</v>
      </c>
      <c r="W1551">
        <v>0.1822001</v>
      </c>
      <c r="X1551">
        <v>0.98236000000000001</v>
      </c>
      <c r="Y1551">
        <v>2.8879019999999998E-2</v>
      </c>
      <c r="Z1551">
        <v>1.2555780000000001E-2</v>
      </c>
      <c r="AA1551">
        <v>0.99950399999999995</v>
      </c>
      <c r="AB1551">
        <v>19</v>
      </c>
      <c r="AC1551">
        <v>-4.6173999999999999</v>
      </c>
      <c r="AD1551">
        <v>-1.110787296524</v>
      </c>
      <c r="AE1551">
        <v>-42.415999999999997</v>
      </c>
      <c r="AF1551">
        <v>1.2412008820710601</v>
      </c>
      <c r="AG1551">
        <v>-1.110787296524</v>
      </c>
      <c r="AH1551">
        <v>42.619616010078602</v>
      </c>
      <c r="AI1551">
        <v>91.492319073431503</v>
      </c>
      <c r="AJ1551">
        <v>88.331860214972707</v>
      </c>
      <c r="AK1551">
        <v>42.652152312565903</v>
      </c>
      <c r="AL1551">
        <v>79.502064213617103</v>
      </c>
      <c r="AM1551">
        <v>92.453639702985498</v>
      </c>
      <c r="AN1551">
        <v>0.99999999269662898</v>
      </c>
    </row>
    <row r="1552" spans="1:40" x14ac:dyDescent="0.25">
      <c r="A1552" t="str">
        <f>"20190304155623518"</f>
        <v>20190304155623518</v>
      </c>
      <c r="B1552" t="str">
        <f>"1551686183506414"</f>
        <v>1551686183506414</v>
      </c>
      <c r="C1552" t="s">
        <v>40</v>
      </c>
      <c r="D1552">
        <v>4.798934</v>
      </c>
      <c r="E1552">
        <v>0.52616409999999902</v>
      </c>
      <c r="F1552" t="s">
        <v>53</v>
      </c>
      <c r="G1552">
        <v>-195.18879999999999</v>
      </c>
      <c r="H1552" s="1">
        <v>2.7877110000000001E-6</v>
      </c>
      <c r="I1552">
        <v>287.55009999999999</v>
      </c>
      <c r="J1552">
        <v>-190.45670000000001</v>
      </c>
      <c r="K1552">
        <v>1.1107610000000001</v>
      </c>
      <c r="L1552">
        <v>330.99380000000002</v>
      </c>
      <c r="M1552">
        <v>-7.8544660000000002E-2</v>
      </c>
      <c r="N1552">
        <v>-1.316375E-2</v>
      </c>
      <c r="O1552">
        <v>-0.99682380000000004</v>
      </c>
      <c r="P1552">
        <v>-3.5871399999999998E-2</v>
      </c>
      <c r="Q1552">
        <v>0.16802120000000001</v>
      </c>
      <c r="R1552">
        <v>-0.98513079999999997</v>
      </c>
      <c r="S1552">
        <v>-0.33143620000000001</v>
      </c>
      <c r="T1552">
        <v>-7.7553990000000003E-2</v>
      </c>
      <c r="U1552">
        <v>-3.0470890000000002</v>
      </c>
      <c r="V1552">
        <v>-4.1772200000000002E-2</v>
      </c>
      <c r="W1552">
        <v>0.1809373</v>
      </c>
      <c r="X1552">
        <v>0.98260709999999996</v>
      </c>
      <c r="Y1552">
        <v>2.969314E-2</v>
      </c>
      <c r="Z1552">
        <v>1.2140150000000001E-2</v>
      </c>
      <c r="AA1552">
        <v>0.99948530000000002</v>
      </c>
      <c r="AB1552">
        <v>19</v>
      </c>
      <c r="AC1552">
        <v>-4.7320999999999698</v>
      </c>
      <c r="AD1552">
        <v>-1.1107582122890001</v>
      </c>
      <c r="AE1552">
        <v>-43.4437</v>
      </c>
      <c r="AF1552">
        <v>1.3040696813160699</v>
      </c>
      <c r="AG1552">
        <v>-1.1107582122890001</v>
      </c>
      <c r="AH1552">
        <v>43.652973139716998</v>
      </c>
      <c r="AI1552">
        <v>91.456937814811297</v>
      </c>
      <c r="AJ1552">
        <v>88.288880030518996</v>
      </c>
      <c r="AK1552">
        <v>43.686570539202897</v>
      </c>
      <c r="AL1552">
        <v>79.575640032977404</v>
      </c>
      <c r="AM1552">
        <v>92.434269533555295</v>
      </c>
      <c r="AN1552">
        <v>0.99999996809726899</v>
      </c>
    </row>
    <row r="1553" spans="1:40" x14ac:dyDescent="0.25">
      <c r="A1553" t="str">
        <f>"20190304155623539"</f>
        <v>20190304155623539</v>
      </c>
      <c r="B1553" t="str">
        <f>"1551686183536671"</f>
        <v>1551686183536671</v>
      </c>
      <c r="C1553" t="s">
        <v>40</v>
      </c>
      <c r="D1553">
        <v>4.7940319999999996</v>
      </c>
      <c r="E1553">
        <v>0.52649209999999902</v>
      </c>
      <c r="F1553" t="s">
        <v>53</v>
      </c>
      <c r="G1553">
        <v>-195.06299999999999</v>
      </c>
      <c r="H1553" s="1">
        <v>2.6968160000000002E-6</v>
      </c>
      <c r="I1553">
        <v>288.84500000000003</v>
      </c>
      <c r="J1553">
        <v>-190.47030000000001</v>
      </c>
      <c r="K1553">
        <v>1.11073</v>
      </c>
      <c r="L1553">
        <v>330.81180000000001</v>
      </c>
      <c r="M1553">
        <v>-7.7914310000000001E-2</v>
      </c>
      <c r="N1553">
        <v>-1.302436E-2</v>
      </c>
      <c r="O1553">
        <v>-0.99687519999999996</v>
      </c>
      <c r="P1553">
        <v>-3.5484010000000003E-2</v>
      </c>
      <c r="Q1553">
        <v>0.167313299999999</v>
      </c>
      <c r="R1553">
        <v>-0.98526530000000001</v>
      </c>
      <c r="S1553">
        <v>-0.33297729999999998</v>
      </c>
      <c r="T1553">
        <v>-8.0292699999999995E-2</v>
      </c>
      <c r="U1553">
        <v>-3.046783</v>
      </c>
      <c r="V1553">
        <v>-4.154352E-2</v>
      </c>
      <c r="W1553">
        <v>0.18009459999999999</v>
      </c>
      <c r="X1553">
        <v>0.98277159999999997</v>
      </c>
      <c r="Y1553">
        <v>3.0833949999999999E-2</v>
      </c>
      <c r="Z1553">
        <v>1.3173290000000001E-2</v>
      </c>
      <c r="AA1553">
        <v>0.99943769999999998</v>
      </c>
      <c r="AB1553">
        <v>19</v>
      </c>
      <c r="AC1553">
        <v>-4.5926999999999696</v>
      </c>
      <c r="AD1553">
        <v>-1.1107273031839999</v>
      </c>
      <c r="AE1553">
        <v>-41.9667999999999</v>
      </c>
      <c r="AF1553">
        <v>1.30773995937177</v>
      </c>
      <c r="AG1553">
        <v>-1.1107273031839999</v>
      </c>
      <c r="AH1553">
        <v>42.167880442609601</v>
      </c>
      <c r="AI1553">
        <v>91.508131613575401</v>
      </c>
      <c r="AJ1553">
        <v>88.223672334621895</v>
      </c>
      <c r="AK1553">
        <v>42.202772894273103</v>
      </c>
      <c r="AL1553">
        <v>79.624729686160094</v>
      </c>
      <c r="AM1553">
        <v>92.420554388563701</v>
      </c>
      <c r="AN1553">
        <v>0.99999997338485402</v>
      </c>
    </row>
    <row r="1554" spans="1:40" x14ac:dyDescent="0.25">
      <c r="A1554" t="str">
        <f>"20190304155623563"</f>
        <v>20190304155623563</v>
      </c>
      <c r="B1554" t="str">
        <f>"1551686183556190"</f>
        <v>1551686183556190</v>
      </c>
      <c r="C1554" t="s">
        <v>40</v>
      </c>
      <c r="D1554">
        <v>4.9192600000000004</v>
      </c>
      <c r="E1554">
        <v>0.5268391</v>
      </c>
      <c r="F1554" t="s">
        <v>53</v>
      </c>
      <c r="G1554">
        <v>-195.03890000000001</v>
      </c>
      <c r="H1554" s="1">
        <v>2.6742589999999999E-6</v>
      </c>
      <c r="I1554">
        <v>289.15210000000002</v>
      </c>
      <c r="J1554">
        <v>-190.48490000000001</v>
      </c>
      <c r="K1554">
        <v>1.1106910000000001</v>
      </c>
      <c r="L1554">
        <v>330.6146</v>
      </c>
      <c r="M1554">
        <v>-7.722793E-2</v>
      </c>
      <c r="N1554">
        <v>-1.286001E-2</v>
      </c>
      <c r="O1554">
        <v>-0.99693069999999895</v>
      </c>
      <c r="P1554">
        <v>-3.5047849999999998E-2</v>
      </c>
      <c r="Q1554">
        <v>0.1663424</v>
      </c>
      <c r="R1554">
        <v>-0.98544520000000002</v>
      </c>
      <c r="S1554">
        <v>-0.33410640000000003</v>
      </c>
      <c r="T1554">
        <v>-8.1229090000000004E-2</v>
      </c>
      <c r="U1554">
        <v>-3.0466310000000001</v>
      </c>
      <c r="V1554">
        <v>-4.1310359999999997E-2</v>
      </c>
      <c r="W1554">
        <v>0.1789654</v>
      </c>
      <c r="X1554">
        <v>0.98298770000000002</v>
      </c>
      <c r="Y1554">
        <v>3.1892829999999997E-2</v>
      </c>
      <c r="Z1554">
        <v>1.3643829999999999E-2</v>
      </c>
      <c r="AA1554">
        <v>0.99939820000000001</v>
      </c>
      <c r="AB1554">
        <v>19</v>
      </c>
      <c r="AC1554">
        <v>-4.5540000000000003</v>
      </c>
      <c r="AD1554">
        <v>-1.1106883257410001</v>
      </c>
      <c r="AE1554">
        <v>-41.462499999999899</v>
      </c>
      <c r="AF1554">
        <v>1.33712171133172</v>
      </c>
      <c r="AG1554">
        <v>-1.1106883257410001</v>
      </c>
      <c r="AH1554">
        <v>41.660836432217799</v>
      </c>
      <c r="AI1554">
        <v>91.526372475450501</v>
      </c>
      <c r="AJ1554">
        <v>88.161699395556894</v>
      </c>
      <c r="AK1554">
        <v>41.697084013871503</v>
      </c>
      <c r="AL1554">
        <v>79.690496800468196</v>
      </c>
      <c r="AM1554">
        <v>92.406456695773201</v>
      </c>
      <c r="AN1554">
        <v>0.99999998929588896</v>
      </c>
    </row>
    <row r="1555" spans="1:40" x14ac:dyDescent="0.25">
      <c r="A1555" t="str">
        <f>"20190304155623584"</f>
        <v>20190304155623584</v>
      </c>
      <c r="B1555" t="str">
        <f>"1551686183575710"</f>
        <v>1551686183575710</v>
      </c>
      <c r="C1555" t="s">
        <v>40</v>
      </c>
      <c r="D1555">
        <v>4.8472569999999999</v>
      </c>
      <c r="E1555">
        <v>0.52674960000000004</v>
      </c>
      <c r="F1555" t="s">
        <v>53</v>
      </c>
      <c r="G1555">
        <v>-195.03219999999999</v>
      </c>
      <c r="H1555" s="1">
        <v>2.6625930000000002E-6</v>
      </c>
      <c r="I1555">
        <v>289.29899999999998</v>
      </c>
      <c r="J1555">
        <v>-190.49879999999999</v>
      </c>
      <c r="K1555">
        <v>1.1106560000000001</v>
      </c>
      <c r="L1555">
        <v>330.4255</v>
      </c>
      <c r="M1555">
        <v>-7.6568460000000005E-2</v>
      </c>
      <c r="N1555">
        <v>-1.26864E-2</v>
      </c>
      <c r="O1555">
        <v>-0.99698390000000003</v>
      </c>
      <c r="P1555">
        <v>-3.435825E-2</v>
      </c>
      <c r="Q1555">
        <v>0.1658954</v>
      </c>
      <c r="R1555">
        <v>-0.98554489999999995</v>
      </c>
      <c r="S1555">
        <v>-0.33528140000000001</v>
      </c>
      <c r="T1555">
        <v>-8.1892010000000001E-2</v>
      </c>
      <c r="U1555">
        <v>-3.0462340000000001</v>
      </c>
      <c r="V1555">
        <v>-4.1352100000000003E-2</v>
      </c>
      <c r="W1555">
        <v>0.17834939999999999</v>
      </c>
      <c r="X1555">
        <v>0.98309789999999997</v>
      </c>
      <c r="Y1555">
        <v>3.2948329999999998E-2</v>
      </c>
      <c r="Z1555">
        <v>1.4036659999999999E-2</v>
      </c>
      <c r="AA1555">
        <v>0.99935850000000004</v>
      </c>
      <c r="AB1555">
        <v>19</v>
      </c>
      <c r="AC1555">
        <v>-4.5334000000000003</v>
      </c>
      <c r="AD1555">
        <v>-1.11065333740699</v>
      </c>
      <c r="AE1555">
        <v>-41.126499999999901</v>
      </c>
      <c r="AF1555">
        <v>1.3698569104335001</v>
      </c>
      <c r="AG1555">
        <v>-1.11065333740699</v>
      </c>
      <c r="AH1555">
        <v>41.323114260116</v>
      </c>
      <c r="AI1555">
        <v>91.538739809494203</v>
      </c>
      <c r="AJ1555">
        <v>88.101346192106803</v>
      </c>
      <c r="AK1555">
        <v>41.360728123977196</v>
      </c>
      <c r="AL1555">
        <v>79.726368159624698</v>
      </c>
      <c r="AM1555">
        <v>92.408615612418799</v>
      </c>
      <c r="AN1555">
        <v>0.99999999281958996</v>
      </c>
    </row>
    <row r="1556" spans="1:40" x14ac:dyDescent="0.25">
      <c r="A1556" t="str">
        <f>"20190304155623608"</f>
        <v>20190304155623608</v>
      </c>
      <c r="B1556" t="str">
        <f>"1551686183606541"</f>
        <v>1551686183606541</v>
      </c>
      <c r="C1556" t="s">
        <v>40</v>
      </c>
      <c r="D1556">
        <v>4.3619899999999996</v>
      </c>
      <c r="E1556">
        <v>0.52860769999999901</v>
      </c>
      <c r="F1556" t="s">
        <v>53</v>
      </c>
      <c r="G1556">
        <v>-194.83789999999999</v>
      </c>
      <c r="H1556" s="1">
        <v>2.3143870000000001E-6</v>
      </c>
      <c r="I1556">
        <v>290.62040000000002</v>
      </c>
      <c r="J1556">
        <v>-190.5136</v>
      </c>
      <c r="K1556">
        <v>1.110622</v>
      </c>
      <c r="L1556">
        <v>330.22070000000002</v>
      </c>
      <c r="M1556">
        <v>-7.5852439999999993E-2</v>
      </c>
      <c r="N1556">
        <v>-1.249194E-2</v>
      </c>
      <c r="O1556">
        <v>-0.99704099999999996</v>
      </c>
      <c r="P1556">
        <v>-3.3908029999999999E-2</v>
      </c>
      <c r="Q1556">
        <v>0.165266</v>
      </c>
      <c r="R1556">
        <v>-0.98566609999999999</v>
      </c>
      <c r="S1556">
        <v>-0.3321228</v>
      </c>
      <c r="T1556">
        <v>-8.5010409999999995E-2</v>
      </c>
      <c r="U1556">
        <v>-3.0467219999999999</v>
      </c>
      <c r="V1556">
        <v>-4.1102319999999998E-2</v>
      </c>
      <c r="W1556">
        <v>0.1775302</v>
      </c>
      <c r="X1556">
        <v>0.98325660000000004</v>
      </c>
      <c r="Y1556">
        <v>3.2623220000000001E-2</v>
      </c>
      <c r="Z1556">
        <v>1.524386E-2</v>
      </c>
      <c r="AA1556">
        <v>0.9993514</v>
      </c>
      <c r="AB1556">
        <v>19</v>
      </c>
      <c r="AC1556">
        <v>-4.3242999999999903</v>
      </c>
      <c r="AD1556">
        <v>-1.110619685613</v>
      </c>
      <c r="AE1556">
        <v>-39.600299999999997</v>
      </c>
      <c r="AF1556">
        <v>1.3068110258854699</v>
      </c>
      <c r="AG1556">
        <v>-1.110619685613</v>
      </c>
      <c r="AH1556">
        <v>39.783306759190303</v>
      </c>
      <c r="AI1556">
        <v>91.598233693629197</v>
      </c>
      <c r="AJ1556">
        <v>88.118611804264006</v>
      </c>
      <c r="AK1556">
        <v>39.820255245782697</v>
      </c>
      <c r="AL1556">
        <v>79.774065687004907</v>
      </c>
      <c r="AM1556">
        <v>92.393697816912706</v>
      </c>
      <c r="AN1556">
        <v>0.99999995703249001</v>
      </c>
    </row>
    <row r="1557" spans="1:40" x14ac:dyDescent="0.25">
      <c r="A1557" t="str">
        <f>"20190304155623675"</f>
        <v>20190304155623675</v>
      </c>
      <c r="B1557" t="str">
        <f>"1551686183666078"</f>
        <v>1551686183666078</v>
      </c>
      <c r="C1557" t="s">
        <v>40</v>
      </c>
      <c r="D1557">
        <v>3.9709490000000001</v>
      </c>
      <c r="E1557">
        <v>0.52860769999999901</v>
      </c>
      <c r="F1557" t="s">
        <v>53</v>
      </c>
      <c r="G1557">
        <v>-194.92420000000001</v>
      </c>
      <c r="H1557" s="1">
        <v>2.0643080000000001E-6</v>
      </c>
      <c r="I1557">
        <v>291.28449999999998</v>
      </c>
      <c r="J1557">
        <v>-190.55520000000001</v>
      </c>
      <c r="K1557">
        <v>1.110598</v>
      </c>
      <c r="L1557">
        <v>329.63749999999999</v>
      </c>
      <c r="M1557">
        <v>-7.3741719999999997E-2</v>
      </c>
      <c r="N1557">
        <v>-1.197438E-2</v>
      </c>
      <c r="O1557">
        <v>-0.99720569999999997</v>
      </c>
      <c r="P1557">
        <v>-3.437788E-2</v>
      </c>
      <c r="Q1557">
        <v>0.16365779999999999</v>
      </c>
      <c r="R1557">
        <v>-0.98591830000000003</v>
      </c>
      <c r="S1557">
        <v>-0.34507749999999998</v>
      </c>
      <c r="T1557">
        <v>-8.6893799999999993E-2</v>
      </c>
      <c r="U1557">
        <v>-3.0463260000000001</v>
      </c>
      <c r="V1557">
        <v>-3.8581959999999998E-2</v>
      </c>
      <c r="W1557">
        <v>0.17541570000000001</v>
      </c>
      <c r="X1557">
        <v>0.98373809999999995</v>
      </c>
      <c r="Y1557">
        <v>3.8947429999999998E-2</v>
      </c>
      <c r="Z1557">
        <v>1.6373269999999999E-2</v>
      </c>
      <c r="AA1557">
        <v>0.99910710000000003</v>
      </c>
      <c r="AB1557">
        <v>19</v>
      </c>
      <c r="AC1557">
        <v>-4.3689999999999998</v>
      </c>
      <c r="AD1557">
        <v>-1.1105959356920001</v>
      </c>
      <c r="AE1557">
        <v>-38.353000000000002</v>
      </c>
      <c r="AF1557">
        <v>1.5274204178713999</v>
      </c>
      <c r="AG1557">
        <v>-1.1105959356920001</v>
      </c>
      <c r="AH1557">
        <v>38.5388631102185</v>
      </c>
      <c r="AI1557">
        <v>91.649373447162503</v>
      </c>
      <c r="AJ1557">
        <v>87.7303698914629</v>
      </c>
      <c r="AK1557">
        <v>38.585106016356498</v>
      </c>
      <c r="AL1557">
        <v>79.897149232764704</v>
      </c>
      <c r="AM1557">
        <v>92.245974906144795</v>
      </c>
      <c r="AN1557">
        <v>0.99999994241776902</v>
      </c>
    </row>
    <row r="1558" spans="1:40" x14ac:dyDescent="0.25">
      <c r="A1558" t="str">
        <f>"20190304155623699"</f>
        <v>20190304155623699</v>
      </c>
      <c r="B1558" t="str">
        <f>"1551686183696243"</f>
        <v>1551686183696243</v>
      </c>
      <c r="C1558" t="s">
        <v>40</v>
      </c>
      <c r="D1558">
        <v>4.1647270000000001</v>
      </c>
      <c r="E1558">
        <v>0.63249460000000002</v>
      </c>
      <c r="F1558" t="s">
        <v>53</v>
      </c>
      <c r="G1558">
        <v>-194.715</v>
      </c>
      <c r="H1558" s="1">
        <v>1.63585E-6</v>
      </c>
      <c r="I1558">
        <v>292.96800000000002</v>
      </c>
      <c r="J1558">
        <v>-190.56950000000001</v>
      </c>
      <c r="K1558">
        <v>1.1106039999999999</v>
      </c>
      <c r="L1558">
        <v>329.4316</v>
      </c>
      <c r="M1558">
        <v>-7.294958E-2</v>
      </c>
      <c r="N1558">
        <v>-1.1808239999999999E-2</v>
      </c>
      <c r="O1558">
        <v>-0.99726579999999998</v>
      </c>
      <c r="P1558">
        <v>-3.4909629999999997E-2</v>
      </c>
      <c r="Q1558">
        <v>0.1643839</v>
      </c>
      <c r="R1558">
        <v>-0.9857783</v>
      </c>
      <c r="S1558">
        <v>-0.34555049999999998</v>
      </c>
      <c r="T1558">
        <v>-9.2256669999999999E-2</v>
      </c>
      <c r="U1558">
        <v>-3.0461119999999999</v>
      </c>
      <c r="V1558">
        <v>-3.7267050000000003E-2</v>
      </c>
      <c r="W1558">
        <v>0.17597670000000001</v>
      </c>
      <c r="X1558">
        <v>0.98368869999999997</v>
      </c>
      <c r="Y1558">
        <v>3.9898089999999997E-2</v>
      </c>
      <c r="Z1558">
        <v>1.8287379999999999E-2</v>
      </c>
      <c r="AA1558">
        <v>0.99903640000000005</v>
      </c>
      <c r="AB1558">
        <v>19</v>
      </c>
      <c r="AC1558">
        <v>-4.1454999999999904</v>
      </c>
      <c r="AD1558">
        <v>-1.11060236415</v>
      </c>
      <c r="AE1558">
        <v>-36.4635999999999</v>
      </c>
      <c r="AF1558">
        <v>1.4729147842297501</v>
      </c>
      <c r="AG1558">
        <v>-1.11060236415</v>
      </c>
      <c r="AH1558">
        <v>36.635315295433301</v>
      </c>
      <c r="AI1558">
        <v>91.734993299164699</v>
      </c>
      <c r="AJ1558">
        <v>87.697675778093497</v>
      </c>
      <c r="AK1558">
        <v>36.681728999171597</v>
      </c>
      <c r="AL1558">
        <v>79.864499448943803</v>
      </c>
      <c r="AM1558">
        <v>92.169613217430594</v>
      </c>
      <c r="AN1558">
        <v>1.0000000452331399</v>
      </c>
    </row>
    <row r="1559" spans="1:40" x14ac:dyDescent="0.25">
      <c r="A1559" t="str">
        <f>"20190304155623720"</f>
        <v>20190304155623720</v>
      </c>
      <c r="B1559" t="str">
        <f>"1551686183715764"</f>
        <v>1551686183715764</v>
      </c>
      <c r="C1559" t="s">
        <v>40</v>
      </c>
      <c r="D1559">
        <v>5.6262860000000003</v>
      </c>
      <c r="E1559">
        <v>0.62795669999999904</v>
      </c>
      <c r="F1559" t="s">
        <v>41</v>
      </c>
      <c r="G1559">
        <v>-194.4991</v>
      </c>
      <c r="H1559" s="1">
        <v>-5.3958909999999998E-6</v>
      </c>
      <c r="I1559">
        <v>319.25909999999999</v>
      </c>
      <c r="J1559">
        <v>-190.5821</v>
      </c>
      <c r="K1559">
        <v>1.110609</v>
      </c>
      <c r="L1559">
        <v>329.24709999999999</v>
      </c>
      <c r="M1559">
        <v>-7.2209289999999995E-2</v>
      </c>
      <c r="N1559">
        <v>-1.166624E-2</v>
      </c>
      <c r="O1559">
        <v>-0.99732120000000002</v>
      </c>
      <c r="P1559">
        <v>-3.5394660000000001E-2</v>
      </c>
      <c r="Q1559">
        <v>0.16485179999999999</v>
      </c>
      <c r="R1559">
        <v>-0.98568290000000003</v>
      </c>
      <c r="S1559">
        <v>-1.1809540000000001</v>
      </c>
      <c r="T1559">
        <v>-0.33376860000000003</v>
      </c>
      <c r="U1559">
        <v>-3.0570979999999999</v>
      </c>
      <c r="V1559">
        <v>-3.6052359999999999E-2</v>
      </c>
      <c r="W1559">
        <v>0.17630379999999901</v>
      </c>
      <c r="X1559">
        <v>0.98367539999999998</v>
      </c>
      <c r="Y1559">
        <v>0.29037580000000002</v>
      </c>
      <c r="Z1559">
        <v>9.0687779999999996E-2</v>
      </c>
      <c r="AA1559">
        <v>0.9526057</v>
      </c>
      <c r="AB1559">
        <v>19</v>
      </c>
      <c r="AC1559">
        <v>-3.9169999999999998</v>
      </c>
      <c r="AD1559">
        <v>-1.110614395891</v>
      </c>
      <c r="AE1559">
        <v>-9.9879999999999995</v>
      </c>
      <c r="AF1559">
        <v>3.1517233379582401</v>
      </c>
      <c r="AG1559">
        <v>-1.110614395891</v>
      </c>
      <c r="AH1559">
        <v>10.1361649205642</v>
      </c>
      <c r="AI1559">
        <v>95.973027015718102</v>
      </c>
      <c r="AJ1559">
        <v>72.7275221698102</v>
      </c>
      <c r="AK1559">
        <v>10.672800177660401</v>
      </c>
      <c r="AL1559">
        <v>79.845460348967293</v>
      </c>
      <c r="AM1559">
        <v>92.098989062384803</v>
      </c>
      <c r="AN1559">
        <v>1.0000000475605799</v>
      </c>
    </row>
    <row r="1560" spans="1:40" x14ac:dyDescent="0.25">
      <c r="A1560" t="str">
        <f>"20190304155623741"</f>
        <v>20190304155623741</v>
      </c>
      <c r="B1560" t="str">
        <f>"1551686183736259"</f>
        <v>1551686183736259</v>
      </c>
      <c r="C1560" t="s">
        <v>40</v>
      </c>
      <c r="D1560">
        <v>4.4377190000000004</v>
      </c>
      <c r="E1560">
        <v>0.62528600000000001</v>
      </c>
      <c r="F1560" t="s">
        <v>41</v>
      </c>
      <c r="G1560">
        <v>-195.1944</v>
      </c>
      <c r="H1560" s="1">
        <v>-4.6333180000000002E-6</v>
      </c>
      <c r="I1560">
        <v>316.95209999999997</v>
      </c>
      <c r="J1560">
        <v>-190.59440000000001</v>
      </c>
      <c r="K1560">
        <v>1.1106149999999999</v>
      </c>
      <c r="L1560">
        <v>329.06569999999999</v>
      </c>
      <c r="M1560">
        <v>-7.1449589999999993E-2</v>
      </c>
      <c r="N1560">
        <v>-1.1537220000000001E-2</v>
      </c>
      <c r="O1560">
        <v>-0.99737759999999998</v>
      </c>
      <c r="P1560">
        <v>-3.5930499999999997E-2</v>
      </c>
      <c r="Q1560">
        <v>0.1651878</v>
      </c>
      <c r="R1560">
        <v>-0.98560760000000003</v>
      </c>
      <c r="S1560">
        <v>-1.1435999999999999</v>
      </c>
      <c r="T1560">
        <v>-0.27537250000000002</v>
      </c>
      <c r="U1560">
        <v>-3.048492</v>
      </c>
      <c r="V1560">
        <v>-3.4770500000000003E-2</v>
      </c>
      <c r="W1560">
        <v>0.17651269999999999</v>
      </c>
      <c r="X1560">
        <v>0.98368409999999995</v>
      </c>
      <c r="Y1560">
        <v>0.28233449999999999</v>
      </c>
      <c r="Z1560">
        <v>7.3576210000000003E-2</v>
      </c>
      <c r="AA1560">
        <v>0.95649030000000002</v>
      </c>
      <c r="AB1560">
        <v>20</v>
      </c>
      <c r="AC1560">
        <v>-4.5999999999999899</v>
      </c>
      <c r="AD1560">
        <v>-1.1106196333179901</v>
      </c>
      <c r="AE1560">
        <v>-12.1136</v>
      </c>
      <c r="AF1560">
        <v>3.6955233035343902</v>
      </c>
      <c r="AG1560">
        <v>-1.1106196333179901</v>
      </c>
      <c r="AH1560">
        <v>12.3208109288038</v>
      </c>
      <c r="AI1560">
        <v>94.934767432905602</v>
      </c>
      <c r="AJ1560">
        <v>73.303827483752599</v>
      </c>
      <c r="AK1560">
        <v>12.9109546664919</v>
      </c>
      <c r="AL1560">
        <v>79.833300737033895</v>
      </c>
      <c r="AM1560">
        <v>92.024403789360207</v>
      </c>
      <c r="AN1560">
        <v>1.0000000647621701</v>
      </c>
    </row>
    <row r="1561" spans="1:40" x14ac:dyDescent="0.25">
      <c r="A1561" t="str">
        <f>"20190304155623765"</f>
        <v>20190304155623765</v>
      </c>
      <c r="B1561" t="str">
        <f>"1551686183755780"</f>
        <v>1551686183755780</v>
      </c>
      <c r="C1561" t="s">
        <v>40</v>
      </c>
      <c r="D1561">
        <v>4.5336429999999996</v>
      </c>
      <c r="E1561">
        <v>0.62023349999999999</v>
      </c>
      <c r="F1561" t="s">
        <v>41</v>
      </c>
      <c r="G1561">
        <v>-195.14189999999999</v>
      </c>
      <c r="H1561" s="1">
        <v>-4.534017E-6</v>
      </c>
      <c r="I1561">
        <v>316.71780000000001</v>
      </c>
      <c r="J1561">
        <v>-190.608</v>
      </c>
      <c r="K1561">
        <v>1.11063</v>
      </c>
      <c r="L1561">
        <v>328.86189999999999</v>
      </c>
      <c r="M1561">
        <v>-7.0560529999999996E-2</v>
      </c>
      <c r="N1561">
        <v>-1.140828E-2</v>
      </c>
      <c r="O1561">
        <v>-0.99744250000000001</v>
      </c>
      <c r="P1561">
        <v>-3.5966390000000001E-2</v>
      </c>
      <c r="Q1561">
        <v>0.16534270000000001</v>
      </c>
      <c r="R1561">
        <v>-0.98558049999999997</v>
      </c>
      <c r="S1561">
        <v>-1.122833</v>
      </c>
      <c r="T1561">
        <v>-0.27422679999999999</v>
      </c>
      <c r="U1561">
        <v>-3.0488590000000002</v>
      </c>
      <c r="V1561">
        <v>-3.3864089999999999E-2</v>
      </c>
      <c r="W1561">
        <v>0.1765399</v>
      </c>
      <c r="X1561">
        <v>0.9837108</v>
      </c>
      <c r="Y1561">
        <v>0.27743010000000001</v>
      </c>
      <c r="Z1561">
        <v>7.3504959999999994E-2</v>
      </c>
      <c r="AA1561">
        <v>0.95792980000000005</v>
      </c>
      <c r="AB1561">
        <v>20</v>
      </c>
      <c r="AC1561">
        <v>-4.5338999999999796</v>
      </c>
      <c r="AD1561">
        <v>-1.1106345340170001</v>
      </c>
      <c r="AE1561">
        <v>-12.1440999999999</v>
      </c>
      <c r="AF1561">
        <v>3.6389355068291702</v>
      </c>
      <c r="AG1561">
        <v>-1.1106345340170001</v>
      </c>
      <c r="AH1561">
        <v>12.343153791183299</v>
      </c>
      <c r="AI1561">
        <v>94.932816124961803</v>
      </c>
      <c r="AJ1561">
        <v>73.573740984920306</v>
      </c>
      <c r="AK1561">
        <v>12.9162225981057</v>
      </c>
      <c r="AL1561">
        <v>79.831717023638106</v>
      </c>
      <c r="AM1561">
        <v>91.971619633516696</v>
      </c>
      <c r="AN1561">
        <v>1.00000002546008</v>
      </c>
    </row>
    <row r="1562" spans="1:40" x14ac:dyDescent="0.25">
      <c r="A1562" t="str">
        <f>"20190304155623786"</f>
        <v>20190304155623786</v>
      </c>
      <c r="B1562" t="str">
        <f>"1551686183776275"</f>
        <v>1551686183776275</v>
      </c>
      <c r="C1562" t="s">
        <v>40</v>
      </c>
      <c r="D1562">
        <v>4.6253909999999996</v>
      </c>
      <c r="E1562">
        <v>0.61985279999999998</v>
      </c>
      <c r="F1562" t="s">
        <v>41</v>
      </c>
      <c r="G1562">
        <v>-195.27539999999999</v>
      </c>
      <c r="H1562" s="1">
        <v>-4.1717439999999997E-6</v>
      </c>
      <c r="I1562">
        <v>315.71280000000002</v>
      </c>
      <c r="J1562">
        <v>-190.6198</v>
      </c>
      <c r="K1562">
        <v>1.110646</v>
      </c>
      <c r="L1562">
        <v>328.68130000000002</v>
      </c>
      <c r="M1562">
        <v>-6.9745440000000006E-2</v>
      </c>
      <c r="N1562">
        <v>-1.130781E-2</v>
      </c>
      <c r="O1562">
        <v>-0.99750079999999997</v>
      </c>
      <c r="P1562">
        <v>-3.6161890000000002E-2</v>
      </c>
      <c r="Q1562">
        <v>0.1650604</v>
      </c>
      <c r="R1562">
        <v>-0.98562059999999996</v>
      </c>
      <c r="S1562">
        <v>-1.081772</v>
      </c>
      <c r="T1562">
        <v>-0.25741120000000001</v>
      </c>
      <c r="U1562">
        <v>-3.047577</v>
      </c>
      <c r="V1562">
        <v>-3.2873800000000002E-2</v>
      </c>
      <c r="W1562">
        <v>0.17615929999999999</v>
      </c>
      <c r="X1562">
        <v>0.98381260000000004</v>
      </c>
      <c r="Y1562">
        <v>0.26704250000000002</v>
      </c>
      <c r="Z1562">
        <v>6.8766469999999996E-2</v>
      </c>
      <c r="AA1562">
        <v>0.96122810000000003</v>
      </c>
      <c r="AB1562">
        <v>20</v>
      </c>
      <c r="AC1562">
        <v>-4.65559999999999</v>
      </c>
      <c r="AD1562">
        <v>-1.110650171744</v>
      </c>
      <c r="AE1562">
        <v>-12.968500000000001</v>
      </c>
      <c r="AF1562">
        <v>3.7155688850174</v>
      </c>
      <c r="AG1562">
        <v>-1.110650171744</v>
      </c>
      <c r="AH1562">
        <v>13.1760351068744</v>
      </c>
      <c r="AI1562">
        <v>94.638200601742994</v>
      </c>
      <c r="AJ1562">
        <v>74.251842213262407</v>
      </c>
      <c r="AK1562">
        <v>13.7348788520646</v>
      </c>
      <c r="AL1562">
        <v>79.853870832271397</v>
      </c>
      <c r="AM1562">
        <v>91.913809044905705</v>
      </c>
      <c r="AN1562">
        <v>1.0000000088108401</v>
      </c>
    </row>
    <row r="1563" spans="1:40" x14ac:dyDescent="0.25">
      <c r="A1563" t="str">
        <f>"20190304155623808"</f>
        <v>20190304155623808</v>
      </c>
      <c r="B1563" t="str">
        <f>"1551686183795604"</f>
        <v>1551686183795604</v>
      </c>
      <c r="C1563" t="s">
        <v>40</v>
      </c>
      <c r="D1563">
        <v>4.6203110000000001</v>
      </c>
      <c r="E1563">
        <v>0.61893209999999999</v>
      </c>
      <c r="F1563" t="s">
        <v>41</v>
      </c>
      <c r="G1563">
        <v>-194.8409</v>
      </c>
      <c r="H1563" s="1">
        <v>-4.4957500000000001E-6</v>
      </c>
      <c r="I1563">
        <v>316.75720000000001</v>
      </c>
      <c r="J1563">
        <v>-190.6327</v>
      </c>
      <c r="K1563">
        <v>1.1106549999999999</v>
      </c>
      <c r="L1563">
        <v>328.48219999999998</v>
      </c>
      <c r="M1563">
        <v>-6.8824670000000004E-2</v>
      </c>
      <c r="N1563">
        <v>-1.120873E-2</v>
      </c>
      <c r="O1563">
        <v>-0.99756599999999995</v>
      </c>
      <c r="P1563">
        <v>-3.5098650000000002E-2</v>
      </c>
      <c r="Q1563">
        <v>0.16392100000000001</v>
      </c>
      <c r="R1563">
        <v>-0.98584919999999998</v>
      </c>
      <c r="S1563">
        <v>-1.080292</v>
      </c>
      <c r="T1563">
        <v>-0.28424529999999998</v>
      </c>
      <c r="U1563">
        <v>-3.0516969999999999</v>
      </c>
      <c r="V1563">
        <v>-3.3046329999999999E-2</v>
      </c>
      <c r="W1563">
        <v>0.17492279999999999</v>
      </c>
      <c r="X1563">
        <v>0.9840274</v>
      </c>
      <c r="Y1563">
        <v>0.26689629999999998</v>
      </c>
      <c r="Z1563">
        <v>7.704134E-2</v>
      </c>
      <c r="AA1563">
        <v>0.96064090000000002</v>
      </c>
      <c r="AB1563">
        <v>20</v>
      </c>
      <c r="AC1563">
        <v>-4.2081999999999997</v>
      </c>
      <c r="AD1563">
        <v>-1.11065949575</v>
      </c>
      <c r="AE1563">
        <v>-11.7249999999999</v>
      </c>
      <c r="AF1563">
        <v>3.3644562362299002</v>
      </c>
      <c r="AG1563">
        <v>-1.11065949575</v>
      </c>
      <c r="AH1563">
        <v>11.892307833260199</v>
      </c>
      <c r="AI1563">
        <v>95.135146355021504</v>
      </c>
      <c r="AJ1563">
        <v>74.203246012683806</v>
      </c>
      <c r="AK1563">
        <v>12.408872466184301</v>
      </c>
      <c r="AL1563">
        <v>79.925834268832403</v>
      </c>
      <c r="AM1563">
        <v>91.923426035464502</v>
      </c>
      <c r="AN1563">
        <v>0.99999998491853404</v>
      </c>
    </row>
    <row r="1564" spans="1:40" x14ac:dyDescent="0.25">
      <c r="A1564" t="str">
        <f>"20190304155623833"</f>
        <v>20190304155623833</v>
      </c>
      <c r="B1564" t="str">
        <f>"1551686183825859"</f>
        <v>1551686183825859</v>
      </c>
      <c r="C1564" t="s">
        <v>40</v>
      </c>
      <c r="D1564">
        <v>4.5606809999999998</v>
      </c>
      <c r="E1564">
        <v>0.61704510000000001</v>
      </c>
      <c r="F1564" t="s">
        <v>41</v>
      </c>
      <c r="G1564">
        <v>-194.54400000000001</v>
      </c>
      <c r="H1564" s="1">
        <v>-4.6592119999999997E-6</v>
      </c>
      <c r="I1564">
        <v>317.32</v>
      </c>
      <c r="J1564">
        <v>-190.64670000000001</v>
      </c>
      <c r="K1564">
        <v>1.1106560000000001</v>
      </c>
      <c r="L1564">
        <v>328.26209999999998</v>
      </c>
      <c r="M1564">
        <v>-6.7786109999999997E-2</v>
      </c>
      <c r="N1564">
        <v>-1.111269E-2</v>
      </c>
      <c r="O1564">
        <v>-0.99763800000000002</v>
      </c>
      <c r="P1564">
        <v>-3.3659849999999998E-2</v>
      </c>
      <c r="Q1564">
        <v>0.16353879999999901</v>
      </c>
      <c r="R1564">
        <v>-0.98596260000000002</v>
      </c>
      <c r="S1564">
        <v>-1.0706789999999999</v>
      </c>
      <c r="T1564">
        <v>-0.30403160000000001</v>
      </c>
      <c r="U1564">
        <v>-3.055542</v>
      </c>
      <c r="V1564">
        <v>-3.3467289999999997E-2</v>
      </c>
      <c r="W1564">
        <v>0.1744453</v>
      </c>
      <c r="X1564">
        <v>0.98409800000000003</v>
      </c>
      <c r="Y1564">
        <v>0.2646599</v>
      </c>
      <c r="Z1564">
        <v>8.3191689999999999E-2</v>
      </c>
      <c r="AA1564">
        <v>0.96074669999999895</v>
      </c>
      <c r="AB1564">
        <v>20</v>
      </c>
      <c r="AC1564">
        <v>-3.8973</v>
      </c>
      <c r="AD1564">
        <v>-1.1106606592120001</v>
      </c>
      <c r="AE1564">
        <v>-10.9420999999999</v>
      </c>
      <c r="AF1564">
        <v>3.11805786263663</v>
      </c>
      <c r="AG1564">
        <v>-1.1106606592120001</v>
      </c>
      <c r="AH1564">
        <v>11.0798243919818</v>
      </c>
      <c r="AI1564">
        <v>95.511610337545505</v>
      </c>
      <c r="AJ1564">
        <v>74.282462388684493</v>
      </c>
      <c r="AK1564">
        <v>11.5636655300915</v>
      </c>
      <c r="AL1564">
        <v>79.953620865454894</v>
      </c>
      <c r="AM1564">
        <v>91.947769165095096</v>
      </c>
      <c r="AN1564">
        <v>1.00000004789801</v>
      </c>
    </row>
    <row r="1565" spans="1:40" x14ac:dyDescent="0.25">
      <c r="A1565" t="str">
        <f>"20190304155623856"</f>
        <v>20190304155623856</v>
      </c>
      <c r="B1565" t="str">
        <f>"1551686183846355"</f>
        <v>1551686183846355</v>
      </c>
      <c r="C1565" t="s">
        <v>40</v>
      </c>
      <c r="D1565">
        <v>4.6047190000000002</v>
      </c>
      <c r="E1565">
        <v>0.61804609999999904</v>
      </c>
      <c r="F1565" t="s">
        <v>41</v>
      </c>
      <c r="G1565">
        <v>-194.2689</v>
      </c>
      <c r="H1565" s="1">
        <v>-4.7648550000000001E-6</v>
      </c>
      <c r="I1565">
        <v>317.72219999999999</v>
      </c>
      <c r="J1565">
        <v>-190.65880000000001</v>
      </c>
      <c r="K1565">
        <v>1.1106450000000001</v>
      </c>
      <c r="L1565">
        <v>328.0675</v>
      </c>
      <c r="M1565">
        <v>-6.6859689999999999E-2</v>
      </c>
      <c r="N1565">
        <v>-1.1039119999999999E-2</v>
      </c>
      <c r="O1565">
        <v>-0.99770150000000002</v>
      </c>
      <c r="P1565">
        <v>-3.339491E-2</v>
      </c>
      <c r="Q1565">
        <v>0.16253290000000001</v>
      </c>
      <c r="R1565">
        <v>-0.98613799999999996</v>
      </c>
      <c r="S1565">
        <v>-1.0517430000000001</v>
      </c>
      <c r="T1565">
        <v>-0.32248830000000001</v>
      </c>
      <c r="U1565">
        <v>-3.060333</v>
      </c>
      <c r="V1565">
        <v>-3.2826979999999999E-2</v>
      </c>
      <c r="W1565">
        <v>0.17336949999999901</v>
      </c>
      <c r="X1565">
        <v>0.98430960000000001</v>
      </c>
      <c r="Y1565">
        <v>0.2596098</v>
      </c>
      <c r="Z1565">
        <v>8.8953649999999995E-2</v>
      </c>
      <c r="AA1565">
        <v>0.96160809999999997</v>
      </c>
      <c r="AB1565">
        <v>20</v>
      </c>
      <c r="AC1565">
        <v>-3.6100999999999801</v>
      </c>
      <c r="AD1565">
        <v>-1.110649764855</v>
      </c>
      <c r="AE1565">
        <v>-10.3453</v>
      </c>
      <c r="AF1565">
        <v>2.8806975570215698</v>
      </c>
      <c r="AG1565">
        <v>-1.110649764855</v>
      </c>
      <c r="AH1565">
        <v>10.456101468401901</v>
      </c>
      <c r="AI1565">
        <v>95.846988837656497</v>
      </c>
      <c r="AJ1565">
        <v>74.596906557567905</v>
      </c>
      <c r="AK1565">
        <v>10.9023859422017</v>
      </c>
      <c r="AL1565">
        <v>80.016212880700294</v>
      </c>
      <c r="AM1565">
        <v>91.910121119797594</v>
      </c>
      <c r="AN1565">
        <v>0.99999999139916496</v>
      </c>
    </row>
    <row r="1566" spans="1:40" x14ac:dyDescent="0.25">
      <c r="A1566" t="str">
        <f>"20190304155623876"</f>
        <v>20190304155623876</v>
      </c>
      <c r="B1566" t="str">
        <f>"1551686183865876"</f>
        <v>1551686183865876</v>
      </c>
      <c r="C1566" t="s">
        <v>40</v>
      </c>
      <c r="D1566">
        <v>4.6658540000000004</v>
      </c>
      <c r="E1566">
        <v>0.6205986</v>
      </c>
      <c r="F1566" t="s">
        <v>41</v>
      </c>
      <c r="G1566">
        <v>-194.1944</v>
      </c>
      <c r="H1566" s="1">
        <v>-4.7990309999999999E-6</v>
      </c>
      <c r="I1566">
        <v>317.84559999999999</v>
      </c>
      <c r="J1566">
        <v>-190.66980000000001</v>
      </c>
      <c r="K1566">
        <v>1.1106370000000001</v>
      </c>
      <c r="L1566">
        <v>327.8897</v>
      </c>
      <c r="M1566">
        <v>-6.6011879999999995E-2</v>
      </c>
      <c r="N1566">
        <v>-1.098025E-2</v>
      </c>
      <c r="O1566">
        <v>-0.99775860000000005</v>
      </c>
      <c r="P1566">
        <v>-3.2567569999999997E-2</v>
      </c>
      <c r="Q1566">
        <v>0.1624456</v>
      </c>
      <c r="R1566">
        <v>-0.9861801</v>
      </c>
      <c r="S1566">
        <v>-1.058792</v>
      </c>
      <c r="T1566">
        <v>-0.33260499999999998</v>
      </c>
      <c r="U1566">
        <v>-3.0611269999999999</v>
      </c>
      <c r="V1566">
        <v>-3.2816560000000002E-2</v>
      </c>
      <c r="W1566">
        <v>0.17322489999999999</v>
      </c>
      <c r="X1566">
        <v>0.98433539999999997</v>
      </c>
      <c r="Y1566">
        <v>0.26223590000000002</v>
      </c>
      <c r="Z1566">
        <v>9.2021229999999996E-2</v>
      </c>
      <c r="AA1566">
        <v>0.96060630000000002</v>
      </c>
      <c r="AB1566">
        <v>20</v>
      </c>
      <c r="AC1566">
        <v>-3.5245999999999902</v>
      </c>
      <c r="AD1566">
        <v>-1.110641799031</v>
      </c>
      <c r="AE1566">
        <v>-10.0441</v>
      </c>
      <c r="AF1566">
        <v>2.8231075288837202</v>
      </c>
      <c r="AG1566">
        <v>-1.110641799031</v>
      </c>
      <c r="AH1566">
        <v>10.1444306493086</v>
      </c>
      <c r="AI1566">
        <v>96.020996962196094</v>
      </c>
      <c r="AJ1566">
        <v>74.448573749469205</v>
      </c>
      <c r="AK1566">
        <v>10.5883395546245</v>
      </c>
      <c r="AL1566">
        <v>80.024625078443506</v>
      </c>
      <c r="AM1566">
        <v>91.9094652421429</v>
      </c>
      <c r="AN1566">
        <v>0.99999998614170105</v>
      </c>
    </row>
    <row r="1567" spans="1:40" x14ac:dyDescent="0.25">
      <c r="A1567" t="str">
        <f>"20190304155623897"</f>
        <v>20190304155623897</v>
      </c>
      <c r="B1567" t="str">
        <f>"1551686183886373"</f>
        <v>1551686183886373</v>
      </c>
      <c r="C1567" t="s">
        <v>40</v>
      </c>
      <c r="D1567">
        <v>4.7309679999999998</v>
      </c>
      <c r="E1567">
        <v>0.62233349999999998</v>
      </c>
      <c r="F1567" t="s">
        <v>41</v>
      </c>
      <c r="G1567">
        <v>-194.1782</v>
      </c>
      <c r="H1567" s="1">
        <v>-4.8189380000000003E-6</v>
      </c>
      <c r="I1567">
        <v>317.9049</v>
      </c>
      <c r="J1567">
        <v>-190.6814</v>
      </c>
      <c r="K1567">
        <v>1.1106279999999999</v>
      </c>
      <c r="L1567">
        <v>327.69830000000002</v>
      </c>
      <c r="M1567">
        <v>-6.5102809999999997E-2</v>
      </c>
      <c r="N1567">
        <v>-1.0924919999999999E-2</v>
      </c>
      <c r="O1567">
        <v>-0.99781880000000001</v>
      </c>
      <c r="P1567">
        <v>-3.2241520000000003E-2</v>
      </c>
      <c r="Q1567">
        <v>0.16216559999999999</v>
      </c>
      <c r="R1567">
        <v>-0.98623689999999997</v>
      </c>
      <c r="S1567">
        <v>-1.076157</v>
      </c>
      <c r="T1567">
        <v>-0.34066940000000001</v>
      </c>
      <c r="U1567">
        <v>-3.0626530000000001</v>
      </c>
      <c r="V1567">
        <v>-3.22449E-2</v>
      </c>
      <c r="W1567">
        <v>0.172892299999999</v>
      </c>
      <c r="X1567">
        <v>0.98441279999999998</v>
      </c>
      <c r="Y1567">
        <v>0.26774189999999998</v>
      </c>
      <c r="Z1567">
        <v>9.4328389999999998E-2</v>
      </c>
      <c r="AA1567">
        <v>0.95886210000000005</v>
      </c>
      <c r="AB1567">
        <v>20</v>
      </c>
      <c r="AC1567">
        <v>-3.4967999999999999</v>
      </c>
      <c r="AD1567">
        <v>-1.1106328189379999</v>
      </c>
      <c r="AE1567">
        <v>-9.7934000000000196</v>
      </c>
      <c r="AF1567">
        <v>2.8196025163851801</v>
      </c>
      <c r="AG1567">
        <v>-1.1106328189379999</v>
      </c>
      <c r="AH1567">
        <v>9.8875023537479692</v>
      </c>
      <c r="AI1567">
        <v>96.165219177905598</v>
      </c>
      <c r="AJ1567">
        <v>74.083528493999793</v>
      </c>
      <c r="AK1567">
        <v>10.341487630137101</v>
      </c>
      <c r="AL1567">
        <v>80.043973944070899</v>
      </c>
      <c r="AM1567">
        <v>91.876079188318698</v>
      </c>
      <c r="AN1567">
        <v>1.0000000208895601</v>
      </c>
    </row>
    <row r="1568" spans="1:40" x14ac:dyDescent="0.25">
      <c r="A1568" t="str">
        <f>"20190304155623921"</f>
        <v>20190304155623921</v>
      </c>
      <c r="B1568" t="str">
        <f>"1551686183916159"</f>
        <v>1551686183916159</v>
      </c>
      <c r="C1568" t="s">
        <v>40</v>
      </c>
      <c r="D1568">
        <v>4.7131439999999998</v>
      </c>
      <c r="E1568">
        <v>0.62379869999999904</v>
      </c>
      <c r="F1568" t="s">
        <v>41</v>
      </c>
      <c r="G1568">
        <v>-194.1413</v>
      </c>
      <c r="H1568" s="1">
        <v>-4.8344550000000003E-6</v>
      </c>
      <c r="I1568">
        <v>317.9624</v>
      </c>
      <c r="J1568">
        <v>-190.6936</v>
      </c>
      <c r="K1568">
        <v>1.110614</v>
      </c>
      <c r="L1568">
        <v>327.4932</v>
      </c>
      <c r="M1568">
        <v>-6.4136310000000002E-2</v>
      </c>
      <c r="N1568">
        <v>-1.08734E-2</v>
      </c>
      <c r="O1568">
        <v>-0.99788220000000005</v>
      </c>
      <c r="P1568">
        <v>-3.1594770000000001E-2</v>
      </c>
      <c r="Q1568">
        <v>0.16230990000000001</v>
      </c>
      <c r="R1568">
        <v>-0.9862339</v>
      </c>
      <c r="S1568">
        <v>-1.0887910000000001</v>
      </c>
      <c r="T1568">
        <v>-0.3494989</v>
      </c>
      <c r="U1568">
        <v>-3.0637509999999999</v>
      </c>
      <c r="V1568">
        <v>-3.1932679999999998E-2</v>
      </c>
      <c r="W1568">
        <v>0.17298629999999901</v>
      </c>
      <c r="X1568">
        <v>0.98440649999999996</v>
      </c>
      <c r="Y1568">
        <v>0.271991599999999</v>
      </c>
      <c r="Z1568">
        <v>9.691031E-2</v>
      </c>
      <c r="AA1568">
        <v>0.95740740000000002</v>
      </c>
      <c r="AB1568">
        <v>20</v>
      </c>
      <c r="AC1568">
        <v>-3.44769999999999</v>
      </c>
      <c r="AD1568">
        <v>-1.1106188344550001</v>
      </c>
      <c r="AE1568">
        <v>-9.5307999999999993</v>
      </c>
      <c r="AF1568">
        <v>2.7957240705847402</v>
      </c>
      <c r="AG1568">
        <v>-1.1106188344550001</v>
      </c>
      <c r="AH1568">
        <v>9.6168339644668297</v>
      </c>
      <c r="AI1568">
        <v>96.328011315099005</v>
      </c>
      <c r="AJ1568">
        <v>73.790245511545194</v>
      </c>
      <c r="AK1568">
        <v>10.076360591722301</v>
      </c>
      <c r="AL1568">
        <v>80.038506108561407</v>
      </c>
      <c r="AM1568">
        <v>91.8579382178457</v>
      </c>
      <c r="AN1568">
        <v>1.0000000566409499</v>
      </c>
    </row>
    <row r="1569" spans="1:40" x14ac:dyDescent="0.25">
      <c r="A1569" t="str">
        <f>"20190304155623943"</f>
        <v>20190304155623943</v>
      </c>
      <c r="B1569" t="str">
        <f>"1551686183935679"</f>
        <v>1551686183935679</v>
      </c>
      <c r="C1569" t="s">
        <v>40</v>
      </c>
      <c r="D1569">
        <v>4.7278390000000003</v>
      </c>
      <c r="E1569">
        <v>0.62482329999999997</v>
      </c>
      <c r="F1569" t="s">
        <v>41</v>
      </c>
      <c r="G1569">
        <v>-194.09739999999999</v>
      </c>
      <c r="H1569" s="1">
        <v>-4.8372580000000004E-6</v>
      </c>
      <c r="I1569">
        <v>317.99</v>
      </c>
      <c r="J1569">
        <v>-190.70519999999999</v>
      </c>
      <c r="K1569">
        <v>1.1106119999999999</v>
      </c>
      <c r="L1569">
        <v>327.2962</v>
      </c>
      <c r="M1569">
        <v>-6.3216320000000006E-2</v>
      </c>
      <c r="N1569">
        <v>-1.083052E-2</v>
      </c>
      <c r="O1569">
        <v>-0.99794119999999997</v>
      </c>
      <c r="P1569">
        <v>-3.1438210000000001E-2</v>
      </c>
      <c r="Q1569">
        <v>0.16299149999999901</v>
      </c>
      <c r="R1569">
        <v>-0.98612690000000003</v>
      </c>
      <c r="S1569">
        <v>-1.0980379999999901</v>
      </c>
      <c r="T1569">
        <v>-0.35828100000000002</v>
      </c>
      <c r="U1569">
        <v>-3.0657040000000002</v>
      </c>
      <c r="V1569">
        <v>-3.1171959999999999E-2</v>
      </c>
      <c r="W1569">
        <v>0.1736259</v>
      </c>
      <c r="X1569">
        <v>0.98431820000000003</v>
      </c>
      <c r="Y1569">
        <v>0.27515640000000002</v>
      </c>
      <c r="Z1569">
        <v>9.9465139999999994E-2</v>
      </c>
      <c r="AA1569">
        <v>0.95624039999999999</v>
      </c>
      <c r="AB1569">
        <v>20</v>
      </c>
      <c r="AC1569">
        <v>-3.3921999999999999</v>
      </c>
      <c r="AD1569">
        <v>-1.1106168372579901</v>
      </c>
      <c r="AE1569">
        <v>-9.3061999999999898</v>
      </c>
      <c r="AF1569">
        <v>2.76234787307861</v>
      </c>
      <c r="AG1569">
        <v>-1.1106168372579901</v>
      </c>
      <c r="AH1569">
        <v>9.3840624367344905</v>
      </c>
      <c r="AI1569">
        <v>96.477317822762402</v>
      </c>
      <c r="AJ1569">
        <v>73.597369799913196</v>
      </c>
      <c r="AK1569">
        <v>9.8450324198366204</v>
      </c>
      <c r="AL1569">
        <v>80.001295918075598</v>
      </c>
      <c r="AM1569">
        <v>91.813869782869403</v>
      </c>
      <c r="AN1569">
        <v>0.999999981546145</v>
      </c>
    </row>
    <row r="1570" spans="1:40" x14ac:dyDescent="0.25">
      <c r="A1570" t="str">
        <f>"20190304155623964"</f>
        <v>20190304155623964</v>
      </c>
      <c r="B1570" t="str">
        <f>"1551686183956175"</f>
        <v>1551686183956175</v>
      </c>
      <c r="C1570" t="s">
        <v>40</v>
      </c>
      <c r="D1570">
        <v>4.6724519999999998</v>
      </c>
      <c r="E1570">
        <v>0.62659140000000002</v>
      </c>
      <c r="F1570" t="s">
        <v>41</v>
      </c>
      <c r="G1570">
        <v>-194.1011</v>
      </c>
      <c r="H1570" s="1">
        <v>-4.792789E-6</v>
      </c>
      <c r="I1570">
        <v>317.87240000000003</v>
      </c>
      <c r="J1570">
        <v>-190.71619999999999</v>
      </c>
      <c r="K1570">
        <v>1.1106100000000001</v>
      </c>
      <c r="L1570">
        <v>327.10509999999999</v>
      </c>
      <c r="M1570">
        <v>-6.2331249999999998E-2</v>
      </c>
      <c r="N1570">
        <v>-1.07911E-2</v>
      </c>
      <c r="O1570">
        <v>-0.99799720000000003</v>
      </c>
      <c r="P1570">
        <v>-3.1702029999999999E-2</v>
      </c>
      <c r="Q1570">
        <v>0.16365579999999999</v>
      </c>
      <c r="R1570">
        <v>-0.98600790000000005</v>
      </c>
      <c r="S1570">
        <v>-1.1051329999999999</v>
      </c>
      <c r="T1570">
        <v>-0.36142560000000001</v>
      </c>
      <c r="U1570">
        <v>-3.0667420000000001</v>
      </c>
      <c r="V1570">
        <v>-3.0026150000000001E-2</v>
      </c>
      <c r="W1570">
        <v>0.17425189999999999</v>
      </c>
      <c r="X1570">
        <v>0.98424319999999998</v>
      </c>
      <c r="Y1570">
        <v>0.27783229999999998</v>
      </c>
      <c r="Z1570">
        <v>0.1003474</v>
      </c>
      <c r="AA1570">
        <v>0.9553741</v>
      </c>
      <c r="AB1570">
        <v>20</v>
      </c>
      <c r="AC1570">
        <v>-3.3849000000000098</v>
      </c>
      <c r="AD1570">
        <v>-1.110614792789</v>
      </c>
      <c r="AE1570">
        <v>-9.2326999999999604</v>
      </c>
      <c r="AF1570">
        <v>2.76749718243535</v>
      </c>
      <c r="AG1570">
        <v>-1.110614792789</v>
      </c>
      <c r="AH1570">
        <v>9.3070261968474099</v>
      </c>
      <c r="AI1570">
        <v>96.525195104186494</v>
      </c>
      <c r="AJ1570">
        <v>73.439854792323601</v>
      </c>
      <c r="AK1570">
        <v>9.7730876646816807</v>
      </c>
      <c r="AL1570">
        <v>79.964873592993897</v>
      </c>
      <c r="AM1570">
        <v>91.747371249261803</v>
      </c>
      <c r="AN1570">
        <v>0.999999985541836</v>
      </c>
    </row>
    <row r="1571" spans="1:40" x14ac:dyDescent="0.25">
      <c r="A1571" t="str">
        <f>"20190304155623986"</f>
        <v>20190304155623986</v>
      </c>
      <c r="B1571" t="str">
        <f>"1551686183975695"</f>
        <v>1551686183975695</v>
      </c>
      <c r="C1571" t="s">
        <v>40</v>
      </c>
      <c r="D1571">
        <v>4.7133379999999896</v>
      </c>
      <c r="E1571">
        <v>0.62838000000000005</v>
      </c>
      <c r="F1571" t="s">
        <v>41</v>
      </c>
      <c r="G1571">
        <v>-194.1592</v>
      </c>
      <c r="H1571" s="1">
        <v>-4.7272859999999997E-6</v>
      </c>
      <c r="I1571">
        <v>317.67500000000001</v>
      </c>
      <c r="J1571">
        <v>-190.72730000000001</v>
      </c>
      <c r="K1571">
        <v>1.110603</v>
      </c>
      <c r="L1571">
        <v>326.91129999999998</v>
      </c>
      <c r="M1571">
        <v>-6.1438189999999997E-2</v>
      </c>
      <c r="N1571">
        <v>-1.0750640000000001E-2</v>
      </c>
      <c r="O1571">
        <v>-0.99805330000000003</v>
      </c>
      <c r="P1571">
        <v>-3.1612880000000003E-2</v>
      </c>
      <c r="Q1571">
        <v>0.16396459999999999</v>
      </c>
      <c r="R1571">
        <v>-0.98595949999999999</v>
      </c>
      <c r="S1571">
        <v>-1.1196140000000001</v>
      </c>
      <c r="T1571">
        <v>-0.3611605</v>
      </c>
      <c r="U1571">
        <v>-3.0665589999999998</v>
      </c>
      <c r="V1571">
        <v>-2.9229680000000001E-2</v>
      </c>
      <c r="W1571">
        <v>0.17452179999999901</v>
      </c>
      <c r="X1571">
        <v>0.98421939999999997</v>
      </c>
      <c r="Y1571">
        <v>0.28269749999999999</v>
      </c>
      <c r="Z1571">
        <v>0.100156</v>
      </c>
      <c r="AA1571">
        <v>0.95396590000000003</v>
      </c>
      <c r="AB1571">
        <v>20</v>
      </c>
      <c r="AC1571">
        <v>-3.4318999999999802</v>
      </c>
      <c r="AD1571">
        <v>-1.110607727286</v>
      </c>
      <c r="AE1571">
        <v>-9.2362999999999698</v>
      </c>
      <c r="AF1571">
        <v>2.8220687108915801</v>
      </c>
      <c r="AG1571">
        <v>-1.110607727286</v>
      </c>
      <c r="AH1571">
        <v>9.3114140625640101</v>
      </c>
      <c r="AI1571">
        <v>96.511926924071204</v>
      </c>
      <c r="AJ1571">
        <v>73.139188670879903</v>
      </c>
      <c r="AK1571">
        <v>9.7928521472253198</v>
      </c>
      <c r="AL1571">
        <v>79.949169273566397</v>
      </c>
      <c r="AM1571">
        <v>91.701089404484094</v>
      </c>
      <c r="AN1571">
        <v>1.00000003010225</v>
      </c>
    </row>
    <row r="1572" spans="1:40" x14ac:dyDescent="0.25">
      <c r="A1572" t="str">
        <f>"20190304155624009"</f>
        <v>20190304155624009</v>
      </c>
      <c r="B1572" t="str">
        <f>"1551686184006458"</f>
        <v>1551686184006458</v>
      </c>
      <c r="C1572" t="s">
        <v>40</v>
      </c>
      <c r="D1572">
        <v>4.6954219999999998</v>
      </c>
      <c r="E1572">
        <v>0.62918549999999995</v>
      </c>
      <c r="F1572" t="s">
        <v>41</v>
      </c>
      <c r="G1572">
        <v>-194.20750000000001</v>
      </c>
      <c r="H1572" s="1">
        <v>-4.6691190000000002E-6</v>
      </c>
      <c r="I1572">
        <v>317.50130000000001</v>
      </c>
      <c r="J1572">
        <v>-190.73830000000001</v>
      </c>
      <c r="K1572">
        <v>1.1105989999999999</v>
      </c>
      <c r="L1572">
        <v>326.71609999999998</v>
      </c>
      <c r="M1572">
        <v>-6.0540469999999999E-2</v>
      </c>
      <c r="N1572">
        <v>-1.0712289999999999E-2</v>
      </c>
      <c r="O1572">
        <v>-0.99810829999999995</v>
      </c>
      <c r="P1572">
        <v>-3.1459439999999998E-2</v>
      </c>
      <c r="Q1572">
        <v>0.16346550000000001</v>
      </c>
      <c r="R1572">
        <v>-0.98604720000000001</v>
      </c>
      <c r="S1572">
        <v>-1.134155</v>
      </c>
      <c r="T1572">
        <v>-0.36193340000000002</v>
      </c>
      <c r="U1572">
        <v>-3.0666199999999999</v>
      </c>
      <c r="V1572">
        <v>-2.849935E-2</v>
      </c>
      <c r="W1572">
        <v>0.173987</v>
      </c>
      <c r="X1572">
        <v>0.98433550000000003</v>
      </c>
      <c r="Y1572">
        <v>0.28752929999999999</v>
      </c>
      <c r="Z1572">
        <v>0.10026649999999999</v>
      </c>
      <c r="AA1572">
        <v>0.95250900000000005</v>
      </c>
      <c r="AB1572">
        <v>20</v>
      </c>
      <c r="AC1572">
        <v>-3.4691999999999998</v>
      </c>
      <c r="AD1572">
        <v>-1.110603669119</v>
      </c>
      <c r="AE1572">
        <v>-9.2147999999999595</v>
      </c>
      <c r="AF1572">
        <v>2.8684411903210401</v>
      </c>
      <c r="AG1572">
        <v>-1.110603669119</v>
      </c>
      <c r="AH1572">
        <v>9.2897440133883897</v>
      </c>
      <c r="AI1572">
        <v>96.5166552097714</v>
      </c>
      <c r="AJ1572">
        <v>72.840616949449995</v>
      </c>
      <c r="AK1572">
        <v>9.7857416278213893</v>
      </c>
      <c r="AL1572">
        <v>79.980287166193406</v>
      </c>
      <c r="AM1572">
        <v>91.658414671910293</v>
      </c>
      <c r="AN1572">
        <v>1.00000003283983</v>
      </c>
    </row>
    <row r="1573" spans="1:40" x14ac:dyDescent="0.25">
      <c r="A1573" t="str">
        <f>"20190304155624034"</f>
        <v>20190304155624034</v>
      </c>
      <c r="B1573" t="str">
        <f>"1551686184025978"</f>
        <v>1551686184025978</v>
      </c>
      <c r="C1573" t="s">
        <v>40</v>
      </c>
      <c r="D1573">
        <v>4.770003</v>
      </c>
      <c r="E1573">
        <v>0.62921579999999999</v>
      </c>
      <c r="F1573" t="s">
        <v>41</v>
      </c>
      <c r="G1573">
        <v>-194.2003</v>
      </c>
      <c r="H1573" s="1">
        <v>-4.6301139999999999E-6</v>
      </c>
      <c r="I1573">
        <v>317.40300000000002</v>
      </c>
      <c r="J1573">
        <v>-190.75049999999999</v>
      </c>
      <c r="K1573">
        <v>1.1105910000000001</v>
      </c>
      <c r="L1573">
        <v>326.49439999999998</v>
      </c>
      <c r="M1573">
        <v>-5.9520669999999998E-2</v>
      </c>
      <c r="N1573">
        <v>-1.067479E-2</v>
      </c>
      <c r="O1573">
        <v>-0.99817029999999995</v>
      </c>
      <c r="P1573">
        <v>-3.1652220000000002E-2</v>
      </c>
      <c r="Q1573">
        <v>0.1634999</v>
      </c>
      <c r="R1573">
        <v>-0.98603560000000001</v>
      </c>
      <c r="S1573">
        <v>-1.139999</v>
      </c>
      <c r="T1573">
        <v>-0.36571130000000002</v>
      </c>
      <c r="U1573">
        <v>-3.0667110000000002</v>
      </c>
      <c r="V1573">
        <v>-2.7298220000000002E-2</v>
      </c>
      <c r="W1573">
        <v>0.1739861</v>
      </c>
      <c r="X1573">
        <v>0.98436970000000001</v>
      </c>
      <c r="Y1573">
        <v>0.29005130000000001</v>
      </c>
      <c r="Z1573">
        <v>0.1013732</v>
      </c>
      <c r="AA1573">
        <v>0.95162690000000005</v>
      </c>
      <c r="AB1573">
        <v>20</v>
      </c>
      <c r="AC1573">
        <v>-3.44980000000001</v>
      </c>
      <c r="AD1573">
        <v>-1.1105956301140001</v>
      </c>
      <c r="AE1573">
        <v>-9.0913999999999593</v>
      </c>
      <c r="AF1573">
        <v>2.8651515781932102</v>
      </c>
      <c r="AG1573">
        <v>-1.1105956301140001</v>
      </c>
      <c r="AH1573">
        <v>9.1611231515126104</v>
      </c>
      <c r="AI1573">
        <v>96.599922046702204</v>
      </c>
      <c r="AJ1573">
        <v>72.632867969581397</v>
      </c>
      <c r="AK1573">
        <v>9.6627477260265699</v>
      </c>
      <c r="AL1573">
        <v>79.980339512873599</v>
      </c>
      <c r="AM1573">
        <v>91.588500774936307</v>
      </c>
      <c r="AN1573">
        <v>1.00000003104323</v>
      </c>
    </row>
    <row r="1574" spans="1:40" x14ac:dyDescent="0.25">
      <c r="A1574" t="str">
        <f>"20190304155624056"</f>
        <v>20190304155624056</v>
      </c>
      <c r="B1574" t="str">
        <f>"1551686184046474"</f>
        <v>1551686184046474</v>
      </c>
      <c r="C1574" t="s">
        <v>40</v>
      </c>
      <c r="D1574">
        <v>4.769406</v>
      </c>
      <c r="E1574">
        <v>0.62930799999999998</v>
      </c>
      <c r="F1574" t="s">
        <v>41</v>
      </c>
      <c r="G1574">
        <v>-194.17910000000001</v>
      </c>
      <c r="H1574" s="1">
        <v>-4.5778699999999901E-6</v>
      </c>
      <c r="I1574">
        <v>317.27670000000001</v>
      </c>
      <c r="J1574">
        <v>-190.7611</v>
      </c>
      <c r="K1574">
        <v>1.110579</v>
      </c>
      <c r="L1574">
        <v>326.2987</v>
      </c>
      <c r="M1574">
        <v>-5.8619919999999999E-2</v>
      </c>
      <c r="N1574">
        <v>-1.064067E-2</v>
      </c>
      <c r="O1574">
        <v>-0.99822379999999999</v>
      </c>
      <c r="P1574">
        <v>-3.1856099999999998E-2</v>
      </c>
      <c r="Q1574">
        <v>0.1634351</v>
      </c>
      <c r="R1574">
        <v>-0.98603969999999996</v>
      </c>
      <c r="S1574">
        <v>-1.1408689999999999</v>
      </c>
      <c r="T1574">
        <v>-0.36954550000000003</v>
      </c>
      <c r="U1574">
        <v>-3.0671390000000001</v>
      </c>
      <c r="V1574">
        <v>-2.6204990000000001E-2</v>
      </c>
      <c r="W1574">
        <v>0.1738894</v>
      </c>
      <c r="X1574">
        <v>0.98441650000000003</v>
      </c>
      <c r="Y1574">
        <v>0.29106490000000002</v>
      </c>
      <c r="Z1574">
        <v>0.10253520000000001</v>
      </c>
      <c r="AA1574">
        <v>0.95119279999999995</v>
      </c>
      <c r="AB1574">
        <v>20</v>
      </c>
      <c r="AC1574">
        <v>-3.4180000000000001</v>
      </c>
      <c r="AD1574">
        <v>-1.1105835778699999</v>
      </c>
      <c r="AE1574">
        <v>-9.0219999999999896</v>
      </c>
      <c r="AF1574">
        <v>2.8455168206825201</v>
      </c>
      <c r="AG1574">
        <v>-1.1105835778699999</v>
      </c>
      <c r="AH1574">
        <v>9.0864530709564093</v>
      </c>
      <c r="AI1574">
        <v>96.652833457760906</v>
      </c>
      <c r="AJ1574">
        <v>72.611512724736798</v>
      </c>
      <c r="AK1574">
        <v>9.5861353668157108</v>
      </c>
      <c r="AL1574">
        <v>79.985965819786202</v>
      </c>
      <c r="AM1574">
        <v>91.524843227893399</v>
      </c>
      <c r="AN1574">
        <v>1.00000003520275</v>
      </c>
    </row>
    <row r="1575" spans="1:40" x14ac:dyDescent="0.25">
      <c r="A1575" t="str">
        <f>"20190304155624076"</f>
        <v>20190304155624076</v>
      </c>
      <c r="B1575" t="str">
        <f>"1551686184065997"</f>
        <v>1551686184065997</v>
      </c>
      <c r="C1575" t="s">
        <v>40</v>
      </c>
      <c r="D1575">
        <v>4.7630220000000003</v>
      </c>
      <c r="E1575">
        <v>0.62929950000000001</v>
      </c>
      <c r="F1575" t="s">
        <v>41</v>
      </c>
      <c r="G1575">
        <v>-194.16390000000001</v>
      </c>
      <c r="H1575" s="1">
        <v>-4.5314280000000003E-6</v>
      </c>
      <c r="I1575">
        <v>317.1628</v>
      </c>
      <c r="J1575">
        <v>-190.77090000000001</v>
      </c>
      <c r="K1575">
        <v>1.110574</v>
      </c>
      <c r="L1575">
        <v>326.11430000000001</v>
      </c>
      <c r="M1575">
        <v>-5.7769790000000001E-2</v>
      </c>
      <c r="N1575">
        <v>-1.0605949999999999E-2</v>
      </c>
      <c r="O1575">
        <v>-0.99827379999999999</v>
      </c>
      <c r="P1575">
        <v>-3.198434E-2</v>
      </c>
      <c r="Q1575">
        <v>0.16343489999999999</v>
      </c>
      <c r="R1575">
        <v>-0.98603569999999996</v>
      </c>
      <c r="S1575">
        <v>-1.142487</v>
      </c>
      <c r="T1575">
        <v>-0.37287550000000003</v>
      </c>
      <c r="U1575">
        <v>-3.0673520000000001</v>
      </c>
      <c r="V1575">
        <v>-2.523721E-2</v>
      </c>
      <c r="W1575">
        <v>0.1738565</v>
      </c>
      <c r="X1575">
        <v>0.98444750000000003</v>
      </c>
      <c r="Y1575">
        <v>0.29225980000000001</v>
      </c>
      <c r="Z1575">
        <v>0.1035436</v>
      </c>
      <c r="AA1575">
        <v>0.95071700000000003</v>
      </c>
      <c r="AB1575">
        <v>20</v>
      </c>
      <c r="AC1575">
        <v>-3.3929999999999998</v>
      </c>
      <c r="AD1575">
        <v>-1.1105785314279999</v>
      </c>
      <c r="AE1575">
        <v>-8.95150000000001</v>
      </c>
      <c r="AF1575">
        <v>2.8320615391897999</v>
      </c>
      <c r="AG1575">
        <v>-1.1105785314279999</v>
      </c>
      <c r="AH1575">
        <v>9.01129180273686</v>
      </c>
      <c r="AI1575">
        <v>96.705665900813102</v>
      </c>
      <c r="AJ1575">
        <v>72.553151494362993</v>
      </c>
      <c r="AK1575">
        <v>9.5109062233995001</v>
      </c>
      <c r="AL1575">
        <v>79.9878790426542</v>
      </c>
      <c r="AM1575">
        <v>91.468507947126895</v>
      </c>
      <c r="AN1575">
        <v>0.99999993980853996</v>
      </c>
    </row>
    <row r="1576" spans="1:40" x14ac:dyDescent="0.25">
      <c r="A1576" t="str">
        <f>"20190304155624100"</f>
        <v>20190304155624100</v>
      </c>
      <c r="B1576" t="str">
        <f>"1551686184096251"</f>
        <v>1551686184096251</v>
      </c>
      <c r="C1576" t="s">
        <v>40</v>
      </c>
      <c r="D1576">
        <v>4.7242660000000001</v>
      </c>
      <c r="E1576">
        <v>0.62883999999999995</v>
      </c>
      <c r="F1576" t="s">
        <v>41</v>
      </c>
      <c r="G1576">
        <v>-194.14689999999999</v>
      </c>
      <c r="H1576" s="1">
        <v>-4.4857070000000001E-6</v>
      </c>
      <c r="I1576">
        <v>317.05169999999998</v>
      </c>
      <c r="J1576">
        <v>-190.7817</v>
      </c>
      <c r="K1576">
        <v>1.110562</v>
      </c>
      <c r="L1576">
        <v>325.90820000000002</v>
      </c>
      <c r="M1576">
        <v>-5.6818920000000002E-2</v>
      </c>
      <c r="N1576">
        <v>-1.0561920000000001E-2</v>
      </c>
      <c r="O1576">
        <v>-0.99832889999999996</v>
      </c>
      <c r="P1576">
        <v>-3.2001479999999999E-2</v>
      </c>
      <c r="Q1576">
        <v>0.16358110000000001</v>
      </c>
      <c r="R1576">
        <v>-0.98601090000000002</v>
      </c>
      <c r="S1576">
        <v>-1.1427609999999999</v>
      </c>
      <c r="T1576">
        <v>-0.37593460000000001</v>
      </c>
      <c r="U1576">
        <v>-3.0677189999999999</v>
      </c>
      <c r="V1576">
        <v>-2.4279129999999999E-2</v>
      </c>
      <c r="W1576">
        <v>0.17396020000000001</v>
      </c>
      <c r="X1576">
        <v>0.98445329999999998</v>
      </c>
      <c r="Y1576">
        <v>0.29317219999999999</v>
      </c>
      <c r="Z1576">
        <v>0.1044871</v>
      </c>
      <c r="AA1576">
        <v>0.95033290000000004</v>
      </c>
      <c r="AB1576">
        <v>20</v>
      </c>
      <c r="AC1576">
        <v>-3.3651999999999802</v>
      </c>
      <c r="AD1576">
        <v>-1.1105664857069999</v>
      </c>
      <c r="AE1576">
        <v>-8.8565000000000396</v>
      </c>
      <c r="AF1576">
        <v>2.8178008227451499</v>
      </c>
      <c r="AG1576">
        <v>-1.1105664857069999</v>
      </c>
      <c r="AH1576">
        <v>8.9109691044091193</v>
      </c>
      <c r="AI1576">
        <v>96.776656925503502</v>
      </c>
      <c r="AJ1576">
        <v>72.452154865566598</v>
      </c>
      <c r="AK1576">
        <v>9.4116273712664906</v>
      </c>
      <c r="AL1576">
        <v>79.981845771232997</v>
      </c>
      <c r="AM1576">
        <v>91.412773711324704</v>
      </c>
      <c r="AN1576">
        <v>0.99999996360924204</v>
      </c>
    </row>
    <row r="1577" spans="1:40" x14ac:dyDescent="0.25">
      <c r="A1577" t="str">
        <f>"20190304155624120"</f>
        <v>20190304155624120</v>
      </c>
      <c r="B1577" t="str">
        <f>"1551686184116746"</f>
        <v>1551686184116746</v>
      </c>
      <c r="C1577" t="s">
        <v>40</v>
      </c>
      <c r="D1577">
        <v>4.7890670000000002</v>
      </c>
      <c r="E1577">
        <v>0.62898199999999904</v>
      </c>
      <c r="F1577" t="s">
        <v>41</v>
      </c>
      <c r="G1577">
        <v>-194.11770000000001</v>
      </c>
      <c r="H1577" s="1">
        <v>-4.4303499999999999E-6</v>
      </c>
      <c r="I1577">
        <v>316.92099999999999</v>
      </c>
      <c r="J1577">
        <v>-190.79130000000001</v>
      </c>
      <c r="K1577">
        <v>1.110552</v>
      </c>
      <c r="L1577">
        <v>325.72340000000003</v>
      </c>
      <c r="M1577">
        <v>-5.5967219999999998E-2</v>
      </c>
      <c r="N1577">
        <v>-1.051859E-2</v>
      </c>
      <c r="O1577">
        <v>-0.99837730000000002</v>
      </c>
      <c r="P1577">
        <v>-3.1890410000000001E-2</v>
      </c>
      <c r="Q1577">
        <v>0.16389089999999901</v>
      </c>
      <c r="R1577">
        <v>-0.98596320000000004</v>
      </c>
      <c r="S1577">
        <v>-1.138992</v>
      </c>
      <c r="T1577">
        <v>-0.37918109999999999</v>
      </c>
      <c r="U1577">
        <v>-3.0685120000000001</v>
      </c>
      <c r="V1577">
        <v>-2.3546629999999999E-2</v>
      </c>
      <c r="W1577">
        <v>0.17422789999999999</v>
      </c>
      <c r="X1577">
        <v>0.98442379999999996</v>
      </c>
      <c r="Y1577">
        <v>0.29284310000000002</v>
      </c>
      <c r="Z1577">
        <v>0.1055176</v>
      </c>
      <c r="AA1577">
        <v>0.95032050000000001</v>
      </c>
      <c r="AB1577">
        <v>20</v>
      </c>
      <c r="AC1577">
        <v>-3.3264</v>
      </c>
      <c r="AD1577">
        <v>-1.11055643035</v>
      </c>
      <c r="AE1577">
        <v>-8.8024000000000306</v>
      </c>
      <c r="AF1577">
        <v>2.78965665758628</v>
      </c>
      <c r="AG1577">
        <v>-1.11055643035</v>
      </c>
      <c r="AH1577">
        <v>8.8514926639627394</v>
      </c>
      <c r="AI1577">
        <v>96.823749450658596</v>
      </c>
      <c r="AJ1577">
        <v>72.507114136729697</v>
      </c>
      <c r="AK1577">
        <v>9.3468947909128293</v>
      </c>
      <c r="AL1577">
        <v>79.966270315840703</v>
      </c>
      <c r="AM1577">
        <v>91.3702079518213</v>
      </c>
      <c r="AN1577">
        <v>1.0000000114645999</v>
      </c>
    </row>
    <row r="1578" spans="1:40" x14ac:dyDescent="0.25">
      <c r="A1578" t="str">
        <f>"20190304155624143"</f>
        <v>20190304155624143</v>
      </c>
      <c r="B1578" t="str">
        <f>"1551686184136267"</f>
        <v>1551686184136267</v>
      </c>
      <c r="C1578" t="s">
        <v>40</v>
      </c>
      <c r="D1578">
        <v>4.794562</v>
      </c>
      <c r="E1578">
        <v>0.62883140000000004</v>
      </c>
      <c r="F1578" t="s">
        <v>41</v>
      </c>
      <c r="G1578">
        <v>-194.1069</v>
      </c>
      <c r="H1578" s="1">
        <v>-4.3795619999999998E-6</v>
      </c>
      <c r="I1578">
        <v>316.7937</v>
      </c>
      <c r="J1578">
        <v>-190.8013</v>
      </c>
      <c r="K1578">
        <v>1.110544</v>
      </c>
      <c r="L1578">
        <v>325.5247</v>
      </c>
      <c r="M1578">
        <v>-5.505492E-2</v>
      </c>
      <c r="N1578">
        <v>-1.047029E-2</v>
      </c>
      <c r="O1578">
        <v>-0.9984286</v>
      </c>
      <c r="P1578">
        <v>-3.1735439999999997E-2</v>
      </c>
      <c r="Q1578">
        <v>0.16377269999999999</v>
      </c>
      <c r="R1578">
        <v>-0.98598770000000002</v>
      </c>
      <c r="S1578">
        <v>-1.139648</v>
      </c>
      <c r="T1578">
        <v>-0.38171660000000002</v>
      </c>
      <c r="U1578">
        <v>-3.0693049999999999</v>
      </c>
      <c r="V1578">
        <v>-2.2801410000000001E-2</v>
      </c>
      <c r="W1578">
        <v>0.17406360000000001</v>
      </c>
      <c r="X1578">
        <v>0.98447039999999997</v>
      </c>
      <c r="Y1578">
        <v>0.29378520000000002</v>
      </c>
      <c r="Z1578">
        <v>0.1062879</v>
      </c>
      <c r="AA1578">
        <v>0.9499438</v>
      </c>
      <c r="AB1578">
        <v>20</v>
      </c>
      <c r="AC1578">
        <v>-3.3055999999999899</v>
      </c>
      <c r="AD1578">
        <v>-1.1105483795619999</v>
      </c>
      <c r="AE1578">
        <v>-8.7309999999999892</v>
      </c>
      <c r="AF1578">
        <v>2.7805293611723001</v>
      </c>
      <c r="AG1578">
        <v>-1.1105483795619999</v>
      </c>
      <c r="AH1578">
        <v>8.7755774096102694</v>
      </c>
      <c r="AI1578">
        <v>96.878865102962607</v>
      </c>
      <c r="AJ1578">
        <v>72.419268063388202</v>
      </c>
      <c r="AK1578">
        <v>9.2722931415993894</v>
      </c>
      <c r="AL1578">
        <v>79.975830019284402</v>
      </c>
      <c r="AM1578">
        <v>91.326795636139806</v>
      </c>
      <c r="AN1578">
        <v>1.0000000048095501</v>
      </c>
    </row>
    <row r="1579" spans="1:40" x14ac:dyDescent="0.25">
      <c r="A1579" t="str">
        <f>"20190304155624165"</f>
        <v>20190304155624165</v>
      </c>
      <c r="B1579" t="str">
        <f>"1551686184156762"</f>
        <v>1551686184156762</v>
      </c>
      <c r="C1579" t="s">
        <v>40</v>
      </c>
      <c r="D1579">
        <v>4.771903</v>
      </c>
      <c r="E1579">
        <v>0.62862010000000001</v>
      </c>
      <c r="F1579" t="s">
        <v>41</v>
      </c>
      <c r="G1579">
        <v>-194.08860000000001</v>
      </c>
      <c r="H1579" s="1">
        <v>-4.3250509999999996E-6</v>
      </c>
      <c r="I1579">
        <v>316.66019999999997</v>
      </c>
      <c r="J1579">
        <v>-190.8115</v>
      </c>
      <c r="K1579">
        <v>1.1105309999999999</v>
      </c>
      <c r="L1579">
        <v>325.3202</v>
      </c>
      <c r="M1579">
        <v>-5.4124279999999997E-2</v>
      </c>
      <c r="N1579">
        <v>-1.0419930000000001E-2</v>
      </c>
      <c r="O1579">
        <v>-0.99848009999999998</v>
      </c>
      <c r="P1579">
        <v>-3.1119930000000001E-2</v>
      </c>
      <c r="Q1579">
        <v>0.1639166</v>
      </c>
      <c r="R1579">
        <v>-0.98598370000000002</v>
      </c>
      <c r="S1579">
        <v>-1.138428</v>
      </c>
      <c r="T1579">
        <v>-0.38459680000000002</v>
      </c>
      <c r="U1579">
        <v>-3.0698850000000002</v>
      </c>
      <c r="V1579">
        <v>-2.2494480000000001E-2</v>
      </c>
      <c r="W1579">
        <v>0.17415839999999999</v>
      </c>
      <c r="X1579">
        <v>0.98446069999999997</v>
      </c>
      <c r="Y1579">
        <v>0.29425069999999998</v>
      </c>
      <c r="Z1579">
        <v>0.10719140000000001</v>
      </c>
      <c r="AA1579">
        <v>0.94969820000000005</v>
      </c>
      <c r="AB1579">
        <v>20</v>
      </c>
      <c r="AC1579">
        <v>-3.2771000000000101</v>
      </c>
      <c r="AD1579">
        <v>-1.1105353250509999</v>
      </c>
      <c r="AE1579">
        <v>-8.6600000000000197</v>
      </c>
      <c r="AF1579">
        <v>2.7637974059505801</v>
      </c>
      <c r="AG1579">
        <v>-1.1105353250509999</v>
      </c>
      <c r="AH1579">
        <v>8.6995431101791301</v>
      </c>
      <c r="AI1579">
        <v>96.936647070644796</v>
      </c>
      <c r="AJ1579">
        <v>72.375231315715595</v>
      </c>
      <c r="AK1579">
        <v>9.19532028453553</v>
      </c>
      <c r="AL1579">
        <v>79.970314181306506</v>
      </c>
      <c r="AM1579">
        <v>91.308954775870404</v>
      </c>
      <c r="AN1579">
        <v>1.0000000098827599</v>
      </c>
    </row>
    <row r="1580" spans="1:40" x14ac:dyDescent="0.25">
      <c r="A1580" t="str">
        <f>"20190304155624187"</f>
        <v>20190304155624187</v>
      </c>
      <c r="B1580" t="str">
        <f>"1551686184176282"</f>
        <v>1551686184176282</v>
      </c>
      <c r="C1580" t="s">
        <v>40</v>
      </c>
      <c r="D1580">
        <v>4.7694700000000001</v>
      </c>
      <c r="E1580">
        <v>0.62828419999999996</v>
      </c>
      <c r="F1580" t="s">
        <v>41</v>
      </c>
      <c r="G1580">
        <v>-194.07499999999999</v>
      </c>
      <c r="H1580" s="1">
        <v>-4.2550230000000003E-6</v>
      </c>
      <c r="I1580">
        <v>316.48410000000001</v>
      </c>
      <c r="J1580">
        <v>-190.82149999999999</v>
      </c>
      <c r="K1580">
        <v>1.110522</v>
      </c>
      <c r="L1580">
        <v>325.11759999999998</v>
      </c>
      <c r="M1580">
        <v>-5.3213980000000001E-2</v>
      </c>
      <c r="N1580">
        <v>-1.0372279999999999E-2</v>
      </c>
      <c r="O1580">
        <v>-0.99852949999999996</v>
      </c>
      <c r="P1580">
        <v>-3.0817230000000001E-2</v>
      </c>
      <c r="Q1580">
        <v>0.16461149999999999</v>
      </c>
      <c r="R1580">
        <v>-0.985877</v>
      </c>
      <c r="S1580">
        <v>-1.134247</v>
      </c>
      <c r="T1580">
        <v>-0.38597429999999999</v>
      </c>
      <c r="U1580">
        <v>-3.0710449999999998</v>
      </c>
      <c r="V1580">
        <v>-2.1890590000000001E-2</v>
      </c>
      <c r="W1580">
        <v>0.1748063</v>
      </c>
      <c r="X1580">
        <v>0.9843594</v>
      </c>
      <c r="Y1580">
        <v>0.29385050000000001</v>
      </c>
      <c r="Z1580">
        <v>0.1076529</v>
      </c>
      <c r="AA1580">
        <v>0.94976989999999994</v>
      </c>
      <c r="AB1580">
        <v>20</v>
      </c>
      <c r="AC1580">
        <v>-3.2534999999999998</v>
      </c>
      <c r="AD1580">
        <v>-1.110526255023</v>
      </c>
      <c r="AE1580">
        <v>-8.6334999999999695</v>
      </c>
      <c r="AF1580">
        <v>2.74960553379983</v>
      </c>
      <c r="AG1580">
        <v>-1.110526255023</v>
      </c>
      <c r="AH1580">
        <v>8.6688120905484496</v>
      </c>
      <c r="AI1580">
        <v>96.961955976009193</v>
      </c>
      <c r="AJ1580">
        <v>72.401823435862099</v>
      </c>
      <c r="AK1580">
        <v>9.1619813477127892</v>
      </c>
      <c r="AL1580">
        <v>79.932613167259603</v>
      </c>
      <c r="AM1580">
        <v>91.273957174019301</v>
      </c>
      <c r="AN1580">
        <v>0.99999993440929602</v>
      </c>
    </row>
    <row r="1581" spans="1:40" x14ac:dyDescent="0.25">
      <c r="A1581" t="str">
        <f>"20190304155624211"</f>
        <v>20190304155624211</v>
      </c>
      <c r="B1581" t="str">
        <f>"1551686184206539"</f>
        <v>1551686184206539</v>
      </c>
      <c r="C1581" t="s">
        <v>40</v>
      </c>
      <c r="D1581">
        <v>5.5228270000000004</v>
      </c>
      <c r="E1581">
        <v>0.62782340000000003</v>
      </c>
      <c r="F1581" t="s">
        <v>41</v>
      </c>
      <c r="G1581">
        <v>-194.0694</v>
      </c>
      <c r="H1581" s="1">
        <v>-4.1793090000000004E-6</v>
      </c>
      <c r="I1581">
        <v>316.28960000000001</v>
      </c>
      <c r="J1581">
        <v>-190.83099999999999</v>
      </c>
      <c r="K1581">
        <v>1.110511</v>
      </c>
      <c r="L1581">
        <v>324.91930000000002</v>
      </c>
      <c r="M1581">
        <v>-5.2339509999999999E-2</v>
      </c>
      <c r="N1581">
        <v>-1.033003E-2</v>
      </c>
      <c r="O1581">
        <v>-0.99857589999999996</v>
      </c>
      <c r="P1581">
        <v>-3.069055E-2</v>
      </c>
      <c r="Q1581">
        <v>0.1652882</v>
      </c>
      <c r="R1581">
        <v>-0.98576779999999997</v>
      </c>
      <c r="S1581">
        <v>-1.130295</v>
      </c>
      <c r="T1581">
        <v>-0.38646380000000002</v>
      </c>
      <c r="U1581">
        <v>-3.072174</v>
      </c>
      <c r="V1581">
        <v>-2.1144659999999999E-2</v>
      </c>
      <c r="W1581">
        <v>0.1754415</v>
      </c>
      <c r="X1581">
        <v>0.98426279999999999</v>
      </c>
      <c r="Y1581">
        <v>0.29349170000000002</v>
      </c>
      <c r="Z1581">
        <v>0.1078398</v>
      </c>
      <c r="AA1581">
        <v>0.94985960000000003</v>
      </c>
      <c r="AB1581">
        <v>20</v>
      </c>
      <c r="AC1581">
        <v>-3.2384000000000102</v>
      </c>
      <c r="AD1581">
        <v>-1.110515179309</v>
      </c>
      <c r="AE1581">
        <v>-8.6297000000000104</v>
      </c>
      <c r="AF1581">
        <v>2.7424536259110699</v>
      </c>
      <c r="AG1581">
        <v>-1.110515179309</v>
      </c>
      <c r="AH1581">
        <v>8.6616453622637799</v>
      </c>
      <c r="AI1581">
        <v>96.968710129536305</v>
      </c>
      <c r="AJ1581">
        <v>72.431150500564698</v>
      </c>
      <c r="AK1581">
        <v>9.1530539294474895</v>
      </c>
      <c r="AL1581">
        <v>79.895648692384299</v>
      </c>
      <c r="AM1581">
        <v>91.230680928441302</v>
      </c>
      <c r="AN1581">
        <v>1.0000000380163001</v>
      </c>
    </row>
    <row r="1582" spans="1:40" x14ac:dyDescent="0.25">
      <c r="A1582" t="str">
        <f>"20190304155624234"</f>
        <v>20190304155624234</v>
      </c>
      <c r="B1582" t="str">
        <f>"1551686184226058"</f>
        <v>1551686184226058</v>
      </c>
      <c r="C1582" t="s">
        <v>40</v>
      </c>
      <c r="D1582">
        <v>4.7792070000000004</v>
      </c>
      <c r="E1582">
        <v>0.56166280000000002</v>
      </c>
      <c r="F1582" t="s">
        <v>41</v>
      </c>
      <c r="G1582">
        <v>-194.0771</v>
      </c>
      <c r="H1582" s="1">
        <v>-4.092899E-6</v>
      </c>
      <c r="I1582">
        <v>316.06099999999998</v>
      </c>
      <c r="J1582">
        <v>-190.84129999999999</v>
      </c>
      <c r="K1582">
        <v>1.1104989999999999</v>
      </c>
      <c r="L1582">
        <v>324.70100000000002</v>
      </c>
      <c r="M1582">
        <v>-5.1402599999999903E-2</v>
      </c>
      <c r="N1582">
        <v>-1.0288810000000001E-2</v>
      </c>
      <c r="O1582">
        <v>-0.99862499999999998</v>
      </c>
      <c r="P1582">
        <v>-3.0236699999999998E-2</v>
      </c>
      <c r="Q1582">
        <v>0.1664428</v>
      </c>
      <c r="R1582">
        <v>-0.9855872</v>
      </c>
      <c r="S1582">
        <v>-1.1260380000000001</v>
      </c>
      <c r="T1582">
        <v>-0.38522659999999997</v>
      </c>
      <c r="U1582">
        <v>-3.0728759999999999</v>
      </c>
      <c r="V1582">
        <v>-2.065941E-2</v>
      </c>
      <c r="W1582">
        <v>0.17655489999999999</v>
      </c>
      <c r="X1582">
        <v>0.98407389999999995</v>
      </c>
      <c r="Y1582">
        <v>0.29317130000000002</v>
      </c>
      <c r="Z1582">
        <v>0.1075221</v>
      </c>
      <c r="AA1582">
        <v>0.94999449999999996</v>
      </c>
      <c r="AB1582">
        <v>20</v>
      </c>
      <c r="AC1582">
        <v>-3.23580000000001</v>
      </c>
      <c r="AD1582">
        <v>-1.1105030928989901</v>
      </c>
      <c r="AE1582">
        <v>-8.6399999999999793</v>
      </c>
      <c r="AF1582">
        <v>2.7475730900488702</v>
      </c>
      <c r="AG1582">
        <v>-1.1105030928989901</v>
      </c>
      <c r="AH1582">
        <v>8.6693132954679797</v>
      </c>
      <c r="AI1582">
        <v>96.961915663178203</v>
      </c>
      <c r="AJ1582">
        <v>72.414983653593595</v>
      </c>
      <c r="AK1582">
        <v>9.1618430470881105</v>
      </c>
      <c r="AL1582">
        <v>79.830843016939994</v>
      </c>
      <c r="AM1582">
        <v>91.202677101950798</v>
      </c>
      <c r="AN1582">
        <v>0.99999994229838196</v>
      </c>
    </row>
    <row r="1583" spans="1:40" x14ac:dyDescent="0.25">
      <c r="A1583" t="str">
        <f>"20190304155624256"</f>
        <v>20190304155624256</v>
      </c>
      <c r="B1583" t="str">
        <f>"1551686184246554"</f>
        <v>1551686184246554</v>
      </c>
      <c r="C1583" t="s">
        <v>40</v>
      </c>
      <c r="D1583">
        <v>4.8071960000000002</v>
      </c>
      <c r="E1583">
        <v>0.5507687</v>
      </c>
      <c r="F1583" t="s">
        <v>54</v>
      </c>
      <c r="G1583">
        <v>-235.8546</v>
      </c>
      <c r="H1583">
        <v>38.550080000000001</v>
      </c>
      <c r="I1583">
        <v>97.150019999999998</v>
      </c>
      <c r="J1583">
        <v>-190.8502</v>
      </c>
      <c r="K1583">
        <v>1.1104830000000001</v>
      </c>
      <c r="L1583">
        <v>324.50959999999998</v>
      </c>
      <c r="M1583">
        <v>-5.0599970000000001E-2</v>
      </c>
      <c r="N1583">
        <v>-1.0255800000000001E-2</v>
      </c>
      <c r="O1583">
        <v>-0.99866650000000001</v>
      </c>
      <c r="P1583">
        <v>-3.0446899999999999E-2</v>
      </c>
      <c r="Q1583">
        <v>0.16720699999999999</v>
      </c>
      <c r="R1583">
        <v>-0.98545179999999999</v>
      </c>
      <c r="S1583">
        <v>-0.58241269999999901</v>
      </c>
      <c r="T1583">
        <v>0.48441960000000001</v>
      </c>
      <c r="U1583">
        <v>-2.9442140000000001</v>
      </c>
      <c r="V1583">
        <v>-1.9646029999999998E-2</v>
      </c>
      <c r="W1583">
        <v>0.17728659999999999</v>
      </c>
      <c r="X1583">
        <v>0.98396309999999998</v>
      </c>
      <c r="Y1583">
        <v>0.14145859999999999</v>
      </c>
      <c r="Z1583">
        <v>-0.16978509999999999</v>
      </c>
      <c r="AA1583">
        <v>0.97527560000000002</v>
      </c>
      <c r="AB1583">
        <v>20</v>
      </c>
      <c r="AC1583">
        <v>-45.004399999999997</v>
      </c>
      <c r="AD1583">
        <v>37.439596999999999</v>
      </c>
      <c r="AE1583">
        <v>-227.35957999999999</v>
      </c>
      <c r="AF1583">
        <v>32.591307439988803</v>
      </c>
      <c r="AG1583">
        <v>37.439596999999999</v>
      </c>
      <c r="AH1583">
        <v>223.51323913828199</v>
      </c>
      <c r="AI1583">
        <v>80.588662236911006</v>
      </c>
      <c r="AJ1583">
        <v>81.703952739103201</v>
      </c>
      <c r="AK1583">
        <v>228.958696743009</v>
      </c>
      <c r="AL1583">
        <v>79.788247768954506</v>
      </c>
      <c r="AM1583">
        <v>91.143828524467196</v>
      </c>
      <c r="AN1583">
        <v>0.99999994359796296</v>
      </c>
    </row>
    <row r="1584" spans="1:40" x14ac:dyDescent="0.25">
      <c r="A1584" t="str">
        <f>"20190304155624278"</f>
        <v>20190304155624278</v>
      </c>
      <c r="B1584" t="str">
        <f>"1551686184276812"</f>
        <v>1551686184276812</v>
      </c>
      <c r="C1584" t="s">
        <v>40</v>
      </c>
      <c r="D1584">
        <v>4.7712110000000001</v>
      </c>
      <c r="E1584">
        <v>0.55410459999999995</v>
      </c>
      <c r="F1584" t="s">
        <v>41</v>
      </c>
      <c r="G1584">
        <v>-200.18780000000001</v>
      </c>
      <c r="H1584">
        <v>7.9985749999999994E-2</v>
      </c>
      <c r="I1584">
        <v>268.26929999999999</v>
      </c>
      <c r="J1584">
        <v>-190.8596</v>
      </c>
      <c r="K1584">
        <v>1.110463</v>
      </c>
      <c r="L1584">
        <v>324.30509999999998</v>
      </c>
      <c r="M1584">
        <v>-4.9766100000000001E-2</v>
      </c>
      <c r="N1584">
        <v>-1.022434E-2</v>
      </c>
      <c r="O1584">
        <v>-0.99870859999999995</v>
      </c>
      <c r="P1584">
        <v>-3.0829820000000001E-2</v>
      </c>
      <c r="Q1584">
        <v>0.16706360000000001</v>
      </c>
      <c r="R1584">
        <v>-0.98546400000000001</v>
      </c>
      <c r="S1584">
        <v>-0.50442500000000001</v>
      </c>
      <c r="T1584">
        <v>-5.5668349999999998E-2</v>
      </c>
      <c r="U1584">
        <v>-3.0381469999999999</v>
      </c>
      <c r="V1584">
        <v>-1.8435610000000002E-2</v>
      </c>
      <c r="W1584">
        <v>0.17711479999999999</v>
      </c>
      <c r="X1584">
        <v>0.98401749999999999</v>
      </c>
      <c r="Y1584">
        <v>0.11446720000000001</v>
      </c>
      <c r="Z1584">
        <v>7.9202749999999992E-3</v>
      </c>
      <c r="AA1584">
        <v>0.99339540000000004</v>
      </c>
      <c r="AB1584">
        <v>20</v>
      </c>
      <c r="AC1584">
        <v>-9.3282000000000096</v>
      </c>
      <c r="AD1584">
        <v>-1.0304772499999999</v>
      </c>
      <c r="AE1584">
        <v>-56.035800000000002</v>
      </c>
      <c r="AF1584">
        <v>6.5256639861663102</v>
      </c>
      <c r="AG1584">
        <v>-1.0304772499999999</v>
      </c>
      <c r="AH1584">
        <v>56.412048247715198</v>
      </c>
      <c r="AI1584">
        <v>91.039573067380701</v>
      </c>
      <c r="AJ1584">
        <v>83.401435917597894</v>
      </c>
      <c r="AK1584">
        <v>56.797582354583199</v>
      </c>
      <c r="AL1584">
        <v>79.798249861950794</v>
      </c>
      <c r="AM1584">
        <v>91.073313316131205</v>
      </c>
      <c r="AN1584">
        <v>0.99999998220067998</v>
      </c>
    </row>
    <row r="1585" spans="1:40" x14ac:dyDescent="0.25">
      <c r="A1585" t="str">
        <f>"20190304155624300"</f>
        <v>20190304155624300</v>
      </c>
      <c r="B1585" t="str">
        <f>"1551686184296330"</f>
        <v>1551686184296330</v>
      </c>
      <c r="C1585" t="s">
        <v>40</v>
      </c>
      <c r="D1585">
        <v>4.8230810000000002</v>
      </c>
      <c r="E1585">
        <v>0.55407799999999996</v>
      </c>
      <c r="F1585" t="s">
        <v>41</v>
      </c>
      <c r="G1585">
        <v>-201.39859999999999</v>
      </c>
      <c r="H1585">
        <v>7.9985550000000002E-2</v>
      </c>
      <c r="I1585">
        <v>264.12560000000002</v>
      </c>
      <c r="J1585">
        <v>-190.86840000000001</v>
      </c>
      <c r="K1585">
        <v>1.110447</v>
      </c>
      <c r="L1585">
        <v>324.1105</v>
      </c>
      <c r="M1585">
        <v>-4.899792E-2</v>
      </c>
      <c r="N1585">
        <v>-1.019802E-2</v>
      </c>
      <c r="O1585">
        <v>-0.99874689999999999</v>
      </c>
      <c r="P1585">
        <v>-3.124126E-2</v>
      </c>
      <c r="Q1585">
        <v>0.1669757</v>
      </c>
      <c r="R1585">
        <v>-0.98546610000000001</v>
      </c>
      <c r="S1585">
        <v>-0.53175349999999999</v>
      </c>
      <c r="T1585">
        <v>-5.1993610000000003E-2</v>
      </c>
      <c r="U1585">
        <v>-3.0364070000000001</v>
      </c>
      <c r="V1585">
        <v>-1.7260560000000001E-2</v>
      </c>
      <c r="W1585">
        <v>0.1770032</v>
      </c>
      <c r="X1585">
        <v>0.98405889999999996</v>
      </c>
      <c r="Y1585">
        <v>0.12400659999999999</v>
      </c>
      <c r="Z1585">
        <v>6.7414110000000001E-3</v>
      </c>
      <c r="AA1585">
        <v>0.99225850000000004</v>
      </c>
      <c r="AB1585">
        <v>20</v>
      </c>
      <c r="AC1585">
        <v>-10.530199999999899</v>
      </c>
      <c r="AD1585">
        <v>-1.03046145</v>
      </c>
      <c r="AE1585">
        <v>-59.984899999999897</v>
      </c>
      <c r="AF1585">
        <v>7.5760938048063</v>
      </c>
      <c r="AG1585">
        <v>-1.03046145</v>
      </c>
      <c r="AH1585">
        <v>60.411533275838103</v>
      </c>
      <c r="AI1585">
        <v>90.969626603849605</v>
      </c>
      <c r="AJ1585">
        <v>82.851963812424998</v>
      </c>
      <c r="AK1585">
        <v>60.893451215026801</v>
      </c>
      <c r="AL1585">
        <v>79.804746792046998</v>
      </c>
      <c r="AM1585">
        <v>91.0048746459141</v>
      </c>
      <c r="AN1585">
        <v>0.99999998920548105</v>
      </c>
    </row>
    <row r="1586" spans="1:40" x14ac:dyDescent="0.25">
      <c r="A1586" t="str">
        <f>"20190304155624322"</f>
        <v>20190304155624322</v>
      </c>
      <c r="B1586" t="str">
        <f>"1551686184315851"</f>
        <v>1551686184315851</v>
      </c>
      <c r="C1586" t="s">
        <v>40</v>
      </c>
      <c r="D1586">
        <v>4.7820090000000004</v>
      </c>
      <c r="E1586">
        <v>0.55440219999999996</v>
      </c>
      <c r="F1586" t="s">
        <v>41</v>
      </c>
      <c r="G1586">
        <v>-201.2647</v>
      </c>
      <c r="H1586">
        <v>7.9986810000000005E-2</v>
      </c>
      <c r="I1586">
        <v>264.87189999999998</v>
      </c>
      <c r="J1586">
        <v>-190.8775</v>
      </c>
      <c r="K1586">
        <v>1.11043</v>
      </c>
      <c r="L1586">
        <v>323.90649999999999</v>
      </c>
      <c r="M1586">
        <v>-4.8221899999999998E-2</v>
      </c>
      <c r="N1586">
        <v>-1.017385E-2</v>
      </c>
      <c r="O1586">
        <v>-0.99878480000000003</v>
      </c>
      <c r="P1586">
        <v>-3.1618540000000001E-2</v>
      </c>
      <c r="Q1586">
        <v>0.1670866</v>
      </c>
      <c r="R1586">
        <v>-0.98543480000000006</v>
      </c>
      <c r="S1586">
        <v>-0.53286739999999999</v>
      </c>
      <c r="T1586">
        <v>-5.2816990000000001E-2</v>
      </c>
      <c r="U1586">
        <v>-3.0363159999999998</v>
      </c>
      <c r="V1586">
        <v>-1.611019E-2</v>
      </c>
      <c r="W1586">
        <v>0.17709229999999901</v>
      </c>
      <c r="X1586">
        <v>0.9840624</v>
      </c>
      <c r="Y1586">
        <v>0.125135199999999</v>
      </c>
      <c r="Z1586">
        <v>7.0321209999999997E-3</v>
      </c>
      <c r="AA1586">
        <v>0.99211479999999996</v>
      </c>
      <c r="AB1586">
        <v>20</v>
      </c>
      <c r="AC1586">
        <v>-10.3872</v>
      </c>
      <c r="AD1586">
        <v>-1.03044319</v>
      </c>
      <c r="AE1586">
        <v>-59.034599999999998</v>
      </c>
      <c r="AF1586">
        <v>7.5259826487072399</v>
      </c>
      <c r="AG1586">
        <v>-1.03044319</v>
      </c>
      <c r="AH1586">
        <v>59.449262576086497</v>
      </c>
      <c r="AI1586">
        <v>90.985155839481095</v>
      </c>
      <c r="AJ1586">
        <v>82.785017481843099</v>
      </c>
      <c r="AK1586">
        <v>59.9326042220505</v>
      </c>
      <c r="AL1586">
        <v>79.799560051022397</v>
      </c>
      <c r="AM1586">
        <v>90.937911502979702</v>
      </c>
      <c r="AN1586">
        <v>1.0000000140174401</v>
      </c>
    </row>
    <row r="1587" spans="1:40" x14ac:dyDescent="0.25">
      <c r="A1587" t="str">
        <f>"20190304155624344"</f>
        <v>20190304155624344</v>
      </c>
      <c r="B1587" t="str">
        <f>"1551686184336346"</f>
        <v>1551686184336346</v>
      </c>
      <c r="C1587" t="s">
        <v>40</v>
      </c>
      <c r="D1587">
        <v>4.7895589999999997</v>
      </c>
      <c r="E1587">
        <v>0.55467759999999999</v>
      </c>
      <c r="F1587" t="s">
        <v>41</v>
      </c>
      <c r="G1587">
        <v>-201.15600000000001</v>
      </c>
      <c r="H1587">
        <v>7.9986539999999995E-2</v>
      </c>
      <c r="I1587">
        <v>265.74119999999999</v>
      </c>
      <c r="J1587">
        <v>-190.8861</v>
      </c>
      <c r="K1587">
        <v>1.110409</v>
      </c>
      <c r="L1587">
        <v>323.71199999999999</v>
      </c>
      <c r="M1587">
        <v>-4.7510440000000001E-2</v>
      </c>
      <c r="N1587">
        <v>-1.015371E-2</v>
      </c>
      <c r="O1587">
        <v>-0.99881920000000002</v>
      </c>
      <c r="P1587">
        <v>-3.2286290000000002E-2</v>
      </c>
      <c r="Q1587">
        <v>0.167303799999999</v>
      </c>
      <c r="R1587">
        <v>-0.98537669999999999</v>
      </c>
      <c r="S1587">
        <v>-0.53654480000000004</v>
      </c>
      <c r="T1587">
        <v>-5.3790089999999999E-2</v>
      </c>
      <c r="U1587">
        <v>-3.0362849999999999</v>
      </c>
      <c r="V1587">
        <v>-1.4731019999999999E-2</v>
      </c>
      <c r="W1587">
        <v>0.1772918</v>
      </c>
      <c r="X1587">
        <v>0.98404809999999998</v>
      </c>
      <c r="Y1587">
        <v>0.12700799999999901</v>
      </c>
      <c r="Z1587">
        <v>7.3651369999999999E-3</v>
      </c>
      <c r="AA1587">
        <v>0.99187429999999999</v>
      </c>
      <c r="AB1587">
        <v>20</v>
      </c>
      <c r="AC1587">
        <v>-10.2698999999999</v>
      </c>
      <c r="AD1587">
        <v>-1.03042246</v>
      </c>
      <c r="AE1587">
        <v>-57.970799999999997</v>
      </c>
      <c r="AF1587">
        <v>7.5016434252637403</v>
      </c>
      <c r="AG1587">
        <v>-1.03042246</v>
      </c>
      <c r="AH1587">
        <v>58.375399604974596</v>
      </c>
      <c r="AI1587">
        <v>91.003014072111</v>
      </c>
      <c r="AJ1587">
        <v>82.677228736696804</v>
      </c>
      <c r="AK1587">
        <v>58.864451951634997</v>
      </c>
      <c r="AL1587">
        <v>79.787945867215299</v>
      </c>
      <c r="AM1587">
        <v>90.857643274753201</v>
      </c>
      <c r="AN1587">
        <v>1.00000002420554</v>
      </c>
    </row>
    <row r="1588" spans="1:40" x14ac:dyDescent="0.25">
      <c r="A1588" t="str">
        <f>"20190304155624366"</f>
        <v>20190304155624366</v>
      </c>
      <c r="B1588" t="str">
        <f>"1551686184355870"</f>
        <v>1551686184355870</v>
      </c>
      <c r="C1588" t="s">
        <v>40</v>
      </c>
      <c r="D1588">
        <v>4.7662360000000001</v>
      </c>
      <c r="E1588">
        <v>0.55480130000000005</v>
      </c>
      <c r="F1588" t="s">
        <v>41</v>
      </c>
      <c r="G1588">
        <v>-200.87690000000001</v>
      </c>
      <c r="H1588">
        <v>7.9985990000000007E-2</v>
      </c>
      <c r="I1588">
        <v>267.5829</v>
      </c>
      <c r="J1588">
        <v>-190.8948</v>
      </c>
      <c r="K1588">
        <v>1.1103829999999999</v>
      </c>
      <c r="L1588">
        <v>323.51179999999999</v>
      </c>
      <c r="M1588">
        <v>-4.6806899999999999E-2</v>
      </c>
      <c r="N1588">
        <v>-1.013563E-2</v>
      </c>
      <c r="O1588">
        <v>-0.99885250000000003</v>
      </c>
      <c r="P1588">
        <v>-3.3149369999999997E-2</v>
      </c>
      <c r="Q1588">
        <v>0.166853799999999</v>
      </c>
      <c r="R1588">
        <v>-0.98542430000000003</v>
      </c>
      <c r="S1588">
        <v>-0.54045100000000001</v>
      </c>
      <c r="T1588">
        <v>-5.5740360000000003E-2</v>
      </c>
      <c r="U1588">
        <v>-3.0362849999999999</v>
      </c>
      <c r="V1588">
        <v>-1.3168640000000001E-2</v>
      </c>
      <c r="W1588">
        <v>0.1768267</v>
      </c>
      <c r="X1588">
        <v>0.98415390000000003</v>
      </c>
      <c r="Y1588">
        <v>0.128942</v>
      </c>
      <c r="Z1588">
        <v>8.0129369999999995E-3</v>
      </c>
      <c r="AA1588">
        <v>0.99161980000000005</v>
      </c>
      <c r="AB1588">
        <v>20</v>
      </c>
      <c r="AC1588">
        <v>-9.9821000000000009</v>
      </c>
      <c r="AD1588">
        <v>-1.0303970099999999</v>
      </c>
      <c r="AE1588">
        <v>-55.928899999999999</v>
      </c>
      <c r="AF1588">
        <v>7.35074710064593</v>
      </c>
      <c r="AG1588">
        <v>-1.0303970099999999</v>
      </c>
      <c r="AH1588">
        <v>56.316323601196203</v>
      </c>
      <c r="AI1588">
        <v>91.039386079116994</v>
      </c>
      <c r="AJ1588">
        <v>82.563450500227802</v>
      </c>
      <c r="AK1588">
        <v>56.803375823013603</v>
      </c>
      <c r="AL1588">
        <v>79.8150216493313</v>
      </c>
      <c r="AM1588">
        <v>90.766610251873104</v>
      </c>
      <c r="AN1588">
        <v>0.99999999689877395</v>
      </c>
    </row>
    <row r="1589" spans="1:40" x14ac:dyDescent="0.25">
      <c r="A1589" t="str">
        <f>"20190304155624389"</f>
        <v>20190304155624389</v>
      </c>
      <c r="B1589" t="str">
        <f>"1551686184386122"</f>
        <v>1551686184386122</v>
      </c>
      <c r="C1589" t="s">
        <v>40</v>
      </c>
      <c r="D1589">
        <v>4.7689760000000003</v>
      </c>
      <c r="E1589">
        <v>0.55477359999999998</v>
      </c>
      <c r="F1589" t="s">
        <v>53</v>
      </c>
      <c r="G1589">
        <v>-200.25630000000001</v>
      </c>
      <c r="H1589">
        <v>8.0002240000000002E-2</v>
      </c>
      <c r="I1589">
        <v>271.2482</v>
      </c>
      <c r="J1589">
        <v>-190.90360000000001</v>
      </c>
      <c r="K1589">
        <v>1.11036</v>
      </c>
      <c r="L1589">
        <v>323.30619999999999</v>
      </c>
      <c r="M1589">
        <v>-4.6113990000000001E-2</v>
      </c>
      <c r="N1589">
        <v>-1.011949E-2</v>
      </c>
      <c r="O1589">
        <v>-0.99888509999999997</v>
      </c>
      <c r="P1589">
        <v>-3.3905459999999998E-2</v>
      </c>
      <c r="Q1589">
        <v>0.16610159999999999</v>
      </c>
      <c r="R1589">
        <v>-0.98552589999999995</v>
      </c>
      <c r="S1589">
        <v>-0.54385380000000005</v>
      </c>
      <c r="T1589">
        <v>-5.98594E-2</v>
      </c>
      <c r="U1589">
        <v>-3.0362239999999998</v>
      </c>
      <c r="V1589">
        <v>-1.1725340000000001E-2</v>
      </c>
      <c r="W1589">
        <v>0.17606159999999901</v>
      </c>
      <c r="X1589">
        <v>0.98430930000000005</v>
      </c>
      <c r="Y1589">
        <v>0.13070699999999999</v>
      </c>
      <c r="Z1589">
        <v>9.3634870000000002E-3</v>
      </c>
      <c r="AA1589">
        <v>0.99137679999999995</v>
      </c>
      <c r="AB1589">
        <v>20</v>
      </c>
      <c r="AC1589">
        <v>-9.3527000000000005</v>
      </c>
      <c r="AD1589">
        <v>-1.03035776</v>
      </c>
      <c r="AE1589">
        <v>-52.0579999999999</v>
      </c>
      <c r="AF1589">
        <v>6.93939137714968</v>
      </c>
      <c r="AG1589">
        <v>-1.03035776</v>
      </c>
      <c r="AH1589">
        <v>52.414035738725701</v>
      </c>
      <c r="AI1589">
        <v>91.116438469878602</v>
      </c>
      <c r="AJ1589">
        <v>82.458148841857906</v>
      </c>
      <c r="AK1589">
        <v>52.881451684113898</v>
      </c>
      <c r="AL1589">
        <v>79.859557259436599</v>
      </c>
      <c r="AM1589">
        <v>90.682489458284195</v>
      </c>
      <c r="AN1589">
        <v>0.99999998432958204</v>
      </c>
    </row>
    <row r="1590" spans="1:40" x14ac:dyDescent="0.25">
      <c r="A1590" t="str">
        <f>"20190304155624412"</f>
        <v>20190304155624412</v>
      </c>
      <c r="B1590" t="str">
        <f>"1551686184406619"</f>
        <v>1551686184406619</v>
      </c>
      <c r="C1590" t="s">
        <v>40</v>
      </c>
      <c r="D1590">
        <v>4.7788130000000004</v>
      </c>
      <c r="E1590">
        <v>0.55471490000000001</v>
      </c>
      <c r="F1590" t="s">
        <v>53</v>
      </c>
      <c r="G1590">
        <v>-199.95769999999999</v>
      </c>
      <c r="H1590">
        <v>3.0621599999999999E-2</v>
      </c>
      <c r="I1590">
        <v>272.9298</v>
      </c>
      <c r="J1590">
        <v>-190.91249999999999</v>
      </c>
      <c r="K1590">
        <v>1.1103459999999901</v>
      </c>
      <c r="L1590">
        <v>323.09530000000001</v>
      </c>
      <c r="M1590">
        <v>-4.5434759999999998E-2</v>
      </c>
      <c r="N1590">
        <v>-1.01055E-2</v>
      </c>
      <c r="O1590">
        <v>-0.99891629999999998</v>
      </c>
      <c r="P1590">
        <v>-3.4729830000000003E-2</v>
      </c>
      <c r="Q1590">
        <v>0.1657853</v>
      </c>
      <c r="R1590">
        <v>-0.98555029999999999</v>
      </c>
      <c r="S1590">
        <v>-0.54570010000000002</v>
      </c>
      <c r="T1590">
        <v>-6.5076709999999996E-2</v>
      </c>
      <c r="U1590">
        <v>-3.0362239999999998</v>
      </c>
      <c r="V1590">
        <v>-1.022494E-2</v>
      </c>
      <c r="W1590">
        <v>0.175734</v>
      </c>
      <c r="X1590">
        <v>0.98438460000000005</v>
      </c>
      <c r="Y1590">
        <v>0.13196069999999999</v>
      </c>
      <c r="Z1590">
        <v>1.1069010000000001E-2</v>
      </c>
      <c r="AA1590">
        <v>0.99119310000000005</v>
      </c>
      <c r="AB1590">
        <v>20</v>
      </c>
      <c r="AC1590">
        <v>-9.0451999999999906</v>
      </c>
      <c r="AD1590">
        <v>-1.0797243999999999</v>
      </c>
      <c r="AE1590">
        <v>-50.165500000000002</v>
      </c>
      <c r="AF1590">
        <v>6.75345451299318</v>
      </c>
      <c r="AG1590">
        <v>-1.0797243999999999</v>
      </c>
      <c r="AH1590">
        <v>50.502018218046501</v>
      </c>
      <c r="AI1590">
        <v>91.213983932606396</v>
      </c>
      <c r="AJ1590">
        <v>82.383228504657893</v>
      </c>
      <c r="AK1590">
        <v>50.963014007561597</v>
      </c>
      <c r="AL1590">
        <v>79.878624955578601</v>
      </c>
      <c r="AM1590">
        <v>90.595117842809103</v>
      </c>
      <c r="AN1590">
        <v>1.0000000144355801</v>
      </c>
    </row>
    <row r="1591" spans="1:40" x14ac:dyDescent="0.25">
      <c r="A1591" t="str">
        <f>"20190304155624435"</f>
        <v>20190304155624435</v>
      </c>
      <c r="B1591" t="str">
        <f>"1551686184426138"</f>
        <v>1551686184426138</v>
      </c>
      <c r="C1591" t="s">
        <v>40</v>
      </c>
      <c r="D1591">
        <v>4.7584429999999998</v>
      </c>
      <c r="E1591">
        <v>0.55469569999999901</v>
      </c>
      <c r="F1591" t="s">
        <v>53</v>
      </c>
      <c r="G1591">
        <v>-199.95769999999999</v>
      </c>
      <c r="H1591">
        <v>1.31781E-2</v>
      </c>
      <c r="I1591">
        <v>272.96190000000001</v>
      </c>
      <c r="J1591">
        <v>-190.92150000000001</v>
      </c>
      <c r="K1591">
        <v>1.11032999999999</v>
      </c>
      <c r="L1591">
        <v>322.88170000000002</v>
      </c>
      <c r="M1591">
        <v>-4.477573E-2</v>
      </c>
      <c r="N1591">
        <v>-1.009322E-2</v>
      </c>
      <c r="O1591">
        <v>-0.99894609999999995</v>
      </c>
      <c r="P1591">
        <v>-3.5103589999999997E-2</v>
      </c>
      <c r="Q1591">
        <v>0.1662101</v>
      </c>
      <c r="R1591">
        <v>-0.98546529999999999</v>
      </c>
      <c r="S1591">
        <v>-0.54774480000000003</v>
      </c>
      <c r="T1591">
        <v>-6.6440340000000001E-2</v>
      </c>
      <c r="U1591">
        <v>-3.0358890000000001</v>
      </c>
      <c r="V1591">
        <v>-9.1915880000000005E-3</v>
      </c>
      <c r="W1591">
        <v>0.1761471</v>
      </c>
      <c r="X1591">
        <v>0.98432090000000005</v>
      </c>
      <c r="Y1591">
        <v>0.13327890000000001</v>
      </c>
      <c r="Z1591">
        <v>1.152361E-2</v>
      </c>
      <c r="AA1591">
        <v>0.99101159999999999</v>
      </c>
      <c r="AB1591">
        <v>20</v>
      </c>
      <c r="AC1591">
        <v>-9.0361999999999796</v>
      </c>
      <c r="AD1591">
        <v>-1.0971518999999901</v>
      </c>
      <c r="AE1591">
        <v>-49.919800000000002</v>
      </c>
      <c r="AF1591">
        <v>6.7886518668272204</v>
      </c>
      <c r="AG1591">
        <v>-1.0971518999999901</v>
      </c>
      <c r="AH1591">
        <v>50.250848268636901</v>
      </c>
      <c r="AI1591">
        <v>91.239512384044403</v>
      </c>
      <c r="AJ1591">
        <v>82.306191484187394</v>
      </c>
      <c r="AK1591">
        <v>50.719200389775601</v>
      </c>
      <c r="AL1591">
        <v>79.8545804460921</v>
      </c>
      <c r="AM1591">
        <v>90.535012405901298</v>
      </c>
      <c r="AN1591">
        <v>0.99999996015258996</v>
      </c>
    </row>
    <row r="1592" spans="1:40" x14ac:dyDescent="0.25">
      <c r="A1592" t="str">
        <f>"20190304155624458"</f>
        <v>20190304155624458</v>
      </c>
      <c r="B1592" t="str">
        <f>"1551686184446634"</f>
        <v>1551686184446634</v>
      </c>
      <c r="C1592" t="s">
        <v>40</v>
      </c>
      <c r="D1592">
        <v>4.8831170000000004</v>
      </c>
      <c r="E1592">
        <v>0.55440319999999899</v>
      </c>
      <c r="F1592" t="s">
        <v>53</v>
      </c>
      <c r="G1592">
        <v>-199.95769999999999</v>
      </c>
      <c r="H1592">
        <v>2.9224679999999999E-2</v>
      </c>
      <c r="I1592">
        <v>272.86750000000001</v>
      </c>
      <c r="J1592">
        <v>-190.93010000000001</v>
      </c>
      <c r="K1592">
        <v>1.110325</v>
      </c>
      <c r="L1592">
        <v>322.67259999999999</v>
      </c>
      <c r="M1592">
        <v>-4.4149330000000001E-2</v>
      </c>
      <c r="N1592">
        <v>-1.008118E-2</v>
      </c>
      <c r="O1592">
        <v>-0.99897420000000003</v>
      </c>
      <c r="P1592">
        <v>-3.5699990000000001E-2</v>
      </c>
      <c r="Q1592">
        <v>0.1664658</v>
      </c>
      <c r="R1592">
        <v>-0.98540090000000002</v>
      </c>
      <c r="S1592">
        <v>-0.5484772</v>
      </c>
      <c r="T1592">
        <v>-6.5620299999999895E-2</v>
      </c>
      <c r="U1592">
        <v>-3.035736</v>
      </c>
      <c r="V1592">
        <v>-7.9708880000000006E-3</v>
      </c>
      <c r="W1592">
        <v>0.1763921</v>
      </c>
      <c r="X1592">
        <v>0.98428769999999999</v>
      </c>
      <c r="Y1592">
        <v>0.13414119999999999</v>
      </c>
      <c r="Z1592">
        <v>1.126913E-2</v>
      </c>
      <c r="AA1592">
        <v>0.9908981</v>
      </c>
      <c r="AB1592">
        <v>20</v>
      </c>
      <c r="AC1592">
        <v>-9.0275999999999694</v>
      </c>
      <c r="AD1592">
        <v>-1.08110032</v>
      </c>
      <c r="AE1592">
        <v>-49.805099999999896</v>
      </c>
      <c r="AF1592">
        <v>6.8167137007192498</v>
      </c>
      <c r="AG1592">
        <v>-1.08110032</v>
      </c>
      <c r="AH1592">
        <v>50.1322451608577</v>
      </c>
      <c r="AI1592">
        <v>91.224129018305206</v>
      </c>
      <c r="AJ1592">
        <v>82.256716414881893</v>
      </c>
      <c r="AK1592">
        <v>50.605121958630001</v>
      </c>
      <c r="AL1592">
        <v>79.840320012312503</v>
      </c>
      <c r="AM1592">
        <v>90.463978426621907</v>
      </c>
      <c r="AN1592">
        <v>0.999999992184604</v>
      </c>
    </row>
    <row r="1593" spans="1:40" x14ac:dyDescent="0.25">
      <c r="A1593" t="str">
        <f>"20190304155624480"</f>
        <v>20190304155624480</v>
      </c>
      <c r="B1593" t="str">
        <f>"1551686184475915"</f>
        <v>1551686184475915</v>
      </c>
      <c r="C1593" t="s">
        <v>40</v>
      </c>
      <c r="D1593">
        <v>4.7477489999999998</v>
      </c>
      <c r="E1593">
        <v>0.55435129999999999</v>
      </c>
      <c r="F1593" t="s">
        <v>53</v>
      </c>
      <c r="G1593">
        <v>-199.95769999999999</v>
      </c>
      <c r="H1593">
        <v>4.2385979999999997E-2</v>
      </c>
      <c r="I1593">
        <v>272.62</v>
      </c>
      <c r="J1593">
        <v>-190.93799999999999</v>
      </c>
      <c r="K1593">
        <v>1.110317</v>
      </c>
      <c r="L1593">
        <v>322.47789999999998</v>
      </c>
      <c r="M1593">
        <v>-4.3578499999999999E-2</v>
      </c>
      <c r="N1593">
        <v>-1.0063880000000001E-2</v>
      </c>
      <c r="O1593">
        <v>-0.99899939999999998</v>
      </c>
      <c r="P1593">
        <v>-3.6307390000000002E-2</v>
      </c>
      <c r="Q1593">
        <v>0.16738349999999999</v>
      </c>
      <c r="R1593">
        <v>-0.98522330000000002</v>
      </c>
      <c r="S1593">
        <v>-0.547500599999999</v>
      </c>
      <c r="T1593">
        <v>-6.4767599999999995E-2</v>
      </c>
      <c r="U1593">
        <v>-3.0355530000000002</v>
      </c>
      <c r="V1593">
        <v>-6.7921800000000001E-3</v>
      </c>
      <c r="W1593">
        <v>0.17729220000000001</v>
      </c>
      <c r="X1593">
        <v>0.98413479999999998</v>
      </c>
      <c r="Y1593">
        <v>0.1344098</v>
      </c>
      <c r="Z1593">
        <v>1.101121E-2</v>
      </c>
      <c r="AA1593">
        <v>0.99086459999999998</v>
      </c>
      <c r="AB1593">
        <v>21</v>
      </c>
      <c r="AC1593">
        <v>-9.0197000000000003</v>
      </c>
      <c r="AD1593">
        <v>-1.0679310200000001</v>
      </c>
      <c r="AE1593">
        <v>-49.857899999999901</v>
      </c>
      <c r="AF1593">
        <v>6.8352515256326196</v>
      </c>
      <c r="AG1593">
        <v>-1.0679310200000001</v>
      </c>
      <c r="AH1593">
        <v>50.1813220515645</v>
      </c>
      <c r="AI1593">
        <v>91.208001475209201</v>
      </c>
      <c r="AJ1593">
        <v>82.243416036530206</v>
      </c>
      <c r="AK1593">
        <v>50.655959401880601</v>
      </c>
      <c r="AL1593">
        <v>79.787922136423404</v>
      </c>
      <c r="AM1593">
        <v>90.395430655279597</v>
      </c>
      <c r="AN1593">
        <v>0.99999998123051603</v>
      </c>
    </row>
    <row r="1594" spans="1:40" x14ac:dyDescent="0.25">
      <c r="A1594" t="str">
        <f>"20190304155624500"</f>
        <v>20190304155624500</v>
      </c>
      <c r="B1594" t="str">
        <f>"1551686184496410"</f>
        <v>1551686184496410</v>
      </c>
      <c r="C1594" t="s">
        <v>40</v>
      </c>
      <c r="D1594">
        <v>4.7435739999999997</v>
      </c>
      <c r="E1594">
        <v>0.55429709999999999</v>
      </c>
      <c r="F1594" t="s">
        <v>53</v>
      </c>
      <c r="G1594">
        <v>-200.0804</v>
      </c>
      <c r="H1594">
        <v>8.0002080000000003E-2</v>
      </c>
      <c r="I1594">
        <v>271.93939999999998</v>
      </c>
      <c r="J1594">
        <v>-190.94579999999999</v>
      </c>
      <c r="K1594">
        <v>1.1103160000000001</v>
      </c>
      <c r="L1594">
        <v>322.28469999999999</v>
      </c>
      <c r="M1594">
        <v>-4.301986E-2</v>
      </c>
      <c r="N1594">
        <v>-1.0039910000000001E-2</v>
      </c>
      <c r="O1594">
        <v>-0.99902369999999996</v>
      </c>
      <c r="P1594">
        <v>-3.7570300000000001E-2</v>
      </c>
      <c r="Q1594">
        <v>0.16786499999999999</v>
      </c>
      <c r="R1594">
        <v>-0.98509369999999996</v>
      </c>
      <c r="S1594">
        <v>-0.54908749999999995</v>
      </c>
      <c r="T1594">
        <v>-6.1880110000000002E-2</v>
      </c>
      <c r="U1594">
        <v>-3.0353089999999998</v>
      </c>
      <c r="V1594">
        <v>-4.973323E-3</v>
      </c>
      <c r="W1594">
        <v>0.1777502</v>
      </c>
      <c r="X1594">
        <v>0.98406309999999997</v>
      </c>
      <c r="Y1594">
        <v>0.13548170000000001</v>
      </c>
      <c r="Z1594">
        <v>1.009709E-2</v>
      </c>
      <c r="AA1594">
        <v>0.99072839999999995</v>
      </c>
      <c r="AB1594">
        <v>21</v>
      </c>
      <c r="AC1594">
        <v>-9.1346000000000007</v>
      </c>
      <c r="AD1594">
        <v>-1.03031392</v>
      </c>
      <c r="AE1594">
        <v>-50.345300000000002</v>
      </c>
      <c r="AF1594">
        <v>6.9573644411580702</v>
      </c>
      <c r="AG1594">
        <v>-1.03031392</v>
      </c>
      <c r="AH1594">
        <v>50.671130106810701</v>
      </c>
      <c r="AI1594">
        <v>91.154030329856894</v>
      </c>
      <c r="AJ1594">
        <v>82.181928071751301</v>
      </c>
      <c r="AK1594">
        <v>51.156914420654601</v>
      </c>
      <c r="AL1594">
        <v>79.761257613000396</v>
      </c>
      <c r="AM1594">
        <v>90.289562724246295</v>
      </c>
      <c r="AN1594">
        <v>1.00000002616165</v>
      </c>
    </row>
    <row r="1595" spans="1:40" x14ac:dyDescent="0.25">
      <c r="A1595" t="str">
        <f>"20190304155624534"</f>
        <v>20190304155624534</v>
      </c>
      <c r="B1595" t="str">
        <f>"1551686184526666"</f>
        <v>1551686184526666</v>
      </c>
      <c r="C1595" t="s">
        <v>40</v>
      </c>
      <c r="D1595">
        <v>4.7262820000000003</v>
      </c>
      <c r="E1595">
        <v>0.55425069999999999</v>
      </c>
      <c r="F1595" t="s">
        <v>53</v>
      </c>
      <c r="G1595">
        <v>-200.31970000000001</v>
      </c>
      <c r="H1595">
        <v>8.0002359999999995E-2</v>
      </c>
      <c r="I1595">
        <v>270.74610000000001</v>
      </c>
      <c r="J1595">
        <v>-190.95820000000001</v>
      </c>
      <c r="K1595">
        <v>1.110314</v>
      </c>
      <c r="L1595">
        <v>321.97179999999997</v>
      </c>
      <c r="M1595">
        <v>-4.2120270000000001E-2</v>
      </c>
      <c r="N1595">
        <v>-9.9937159999999997E-3</v>
      </c>
      <c r="O1595">
        <v>-0.99906280000000003</v>
      </c>
      <c r="P1595">
        <v>-3.8645890000000002E-2</v>
      </c>
      <c r="Q1595">
        <v>0.167742899999999</v>
      </c>
      <c r="R1595">
        <v>-0.98507339999999999</v>
      </c>
      <c r="S1595">
        <v>-0.55194089999999996</v>
      </c>
      <c r="T1595">
        <v>-6.0665730000000001E-2</v>
      </c>
      <c r="U1595">
        <v>-3.034637</v>
      </c>
      <c r="V1595">
        <v>-3.0110530000000001E-3</v>
      </c>
      <c r="W1595">
        <v>0.17758460000000001</v>
      </c>
      <c r="X1595">
        <v>0.98410089999999995</v>
      </c>
      <c r="Y1595">
        <v>0.13731470000000001</v>
      </c>
      <c r="Z1595">
        <v>9.7494780000000007E-3</v>
      </c>
      <c r="AA1595">
        <v>0.99047949999999996</v>
      </c>
      <c r="AB1595">
        <v>21</v>
      </c>
      <c r="AC1595">
        <v>-9.3614999999999995</v>
      </c>
      <c r="AD1595">
        <v>-1.0303116400000001</v>
      </c>
      <c r="AE1595">
        <v>-51.225699999999897</v>
      </c>
      <c r="AF1595">
        <v>7.1926280571286103</v>
      </c>
      <c r="AG1595">
        <v>-1.0303116400000001</v>
      </c>
      <c r="AH1595">
        <v>51.5543818335845</v>
      </c>
      <c r="AI1595">
        <v>91.133921235317203</v>
      </c>
      <c r="AJ1595">
        <v>82.057625546986401</v>
      </c>
      <c r="AK1595">
        <v>52.063900417532501</v>
      </c>
      <c r="AL1595">
        <v>79.7708985944288</v>
      </c>
      <c r="AM1595">
        <v>90.175307319023403</v>
      </c>
      <c r="AN1595">
        <v>0.99999996898906796</v>
      </c>
    </row>
    <row r="1596" spans="1:40" x14ac:dyDescent="0.25">
      <c r="A1596" t="str">
        <f>"20190304155624555"</f>
        <v>20190304155624555</v>
      </c>
      <c r="B1596" t="str">
        <f>"1551686184546190"</f>
        <v>1551686184546190</v>
      </c>
      <c r="C1596" t="s">
        <v>40</v>
      </c>
      <c r="D1596">
        <v>4.6891379999999998</v>
      </c>
      <c r="E1596">
        <v>0.55427969999999904</v>
      </c>
      <c r="F1596" t="s">
        <v>53</v>
      </c>
      <c r="G1596">
        <v>-200.3254</v>
      </c>
      <c r="H1596">
        <v>8.0002359999999995E-2</v>
      </c>
      <c r="I1596">
        <v>270.7133</v>
      </c>
      <c r="J1596">
        <v>-190.96600000000001</v>
      </c>
      <c r="K1596">
        <v>1.1103050000000001</v>
      </c>
      <c r="L1596">
        <v>321.77170000000001</v>
      </c>
      <c r="M1596">
        <v>-4.1544060000000001E-2</v>
      </c>
      <c r="N1596">
        <v>-9.96265E-3</v>
      </c>
      <c r="O1596">
        <v>-0.99908719999999995</v>
      </c>
      <c r="P1596">
        <v>-3.892292E-2</v>
      </c>
      <c r="Q1596">
        <v>0.1676619</v>
      </c>
      <c r="R1596">
        <v>-0.9850759</v>
      </c>
      <c r="S1596">
        <v>-0.55447389999999996</v>
      </c>
      <c r="T1596">
        <v>-6.0987350000000003E-2</v>
      </c>
      <c r="U1596">
        <v>-3.0341490000000002</v>
      </c>
      <c r="V1596">
        <v>-2.1669039999999999E-3</v>
      </c>
      <c r="W1596">
        <v>0.17747379999999999</v>
      </c>
      <c r="X1596">
        <v>0.98412310000000003</v>
      </c>
      <c r="Y1596">
        <v>0.1387137</v>
      </c>
      <c r="Z1596">
        <v>9.8849639999999996E-3</v>
      </c>
      <c r="AA1596">
        <v>0.99028320000000003</v>
      </c>
      <c r="AB1596">
        <v>21</v>
      </c>
      <c r="AC1596">
        <v>-9.3594000000000204</v>
      </c>
      <c r="AD1596">
        <v>-1.0303026399999999</v>
      </c>
      <c r="AE1596">
        <v>-51.058399999999999</v>
      </c>
      <c r="AF1596">
        <v>7.2271937298364</v>
      </c>
      <c r="AG1596">
        <v>-1.0303026399999999</v>
      </c>
      <c r="AH1596">
        <v>51.382919891311403</v>
      </c>
      <c r="AI1596">
        <v>91.137516282428393</v>
      </c>
      <c r="AJ1596">
        <v>81.993663098015702</v>
      </c>
      <c r="AK1596">
        <v>51.898923970497698</v>
      </c>
      <c r="AL1596">
        <v>79.777349348040104</v>
      </c>
      <c r="AM1596">
        <v>90.126157239037198</v>
      </c>
      <c r="AN1596">
        <v>0.99999996055649598</v>
      </c>
    </row>
    <row r="1597" spans="1:40" x14ac:dyDescent="0.25">
      <c r="A1597" t="str">
        <f>"20190304155624578"</f>
        <v>20190304155624578</v>
      </c>
      <c r="B1597" t="str">
        <f>"1551686184566682"</f>
        <v>1551686184566682</v>
      </c>
      <c r="C1597" t="s">
        <v>40</v>
      </c>
      <c r="D1597">
        <v>4.6599789999999999</v>
      </c>
      <c r="E1597">
        <v>0.55427769999999899</v>
      </c>
      <c r="F1597" t="s">
        <v>53</v>
      </c>
      <c r="G1597">
        <v>-200.37710000000001</v>
      </c>
      <c r="H1597">
        <v>8.0002439999999994E-2</v>
      </c>
      <c r="I1597">
        <v>270.40949999999998</v>
      </c>
      <c r="J1597">
        <v>-190.97380000000001</v>
      </c>
      <c r="K1597">
        <v>1.110295</v>
      </c>
      <c r="L1597">
        <v>321.5675</v>
      </c>
      <c r="M1597">
        <v>-4.095269E-2</v>
      </c>
      <c r="N1597">
        <v>-9.9310900000000001E-3</v>
      </c>
      <c r="O1597">
        <v>-0.999112</v>
      </c>
      <c r="P1597">
        <v>-3.8668300000000003E-2</v>
      </c>
      <c r="Q1597">
        <v>0.16729369999999999</v>
      </c>
      <c r="R1597">
        <v>-0.98514900000000005</v>
      </c>
      <c r="S1597">
        <v>-0.55589290000000002</v>
      </c>
      <c r="T1597">
        <v>-6.085753E-2</v>
      </c>
      <c r="U1597">
        <v>-3.0338440000000002</v>
      </c>
      <c r="V1597">
        <v>-1.8427750000000001E-3</v>
      </c>
      <c r="W1597">
        <v>0.17707539999999999</v>
      </c>
      <c r="X1597">
        <v>0.9841955</v>
      </c>
      <c r="Y1597">
        <v>0.13976559999999999</v>
      </c>
      <c r="Z1597">
        <v>9.8742020000000003E-3</v>
      </c>
      <c r="AA1597">
        <v>0.9901354</v>
      </c>
      <c r="AB1597">
        <v>21</v>
      </c>
      <c r="AC1597">
        <v>-9.4032999999999998</v>
      </c>
      <c r="AD1597">
        <v>-1.0302925599999999</v>
      </c>
      <c r="AE1597">
        <v>-51.158000000000001</v>
      </c>
      <c r="AF1597">
        <v>7.2973871364479104</v>
      </c>
      <c r="AG1597">
        <v>-1.0302925599999999</v>
      </c>
      <c r="AH1597">
        <v>51.4799902788615</v>
      </c>
      <c r="AI1597">
        <v>91.135188271204001</v>
      </c>
      <c r="AJ1597">
        <v>81.931965695360006</v>
      </c>
      <c r="AK1597">
        <v>52.004834014638099</v>
      </c>
      <c r="AL1597">
        <v>79.800543111527702</v>
      </c>
      <c r="AM1597">
        <v>90.107278591203993</v>
      </c>
      <c r="AN1597">
        <v>0.99999993766255302</v>
      </c>
    </row>
    <row r="1598" spans="1:40" x14ac:dyDescent="0.25">
      <c r="A1598" t="str">
        <f>"20190304155624600"</f>
        <v>20190304155624600</v>
      </c>
      <c r="B1598" t="str">
        <f>"1551686184595963"</f>
        <v>1551686184595963</v>
      </c>
      <c r="C1598" t="s">
        <v>40</v>
      </c>
      <c r="D1598">
        <v>4.6490169999999997</v>
      </c>
      <c r="E1598">
        <v>0.55423319999999998</v>
      </c>
      <c r="F1598" t="s">
        <v>53</v>
      </c>
      <c r="G1598">
        <v>-200.256</v>
      </c>
      <c r="H1598">
        <v>8.0002340000000005E-2</v>
      </c>
      <c r="I1598">
        <v>270.85120000000001</v>
      </c>
      <c r="J1598">
        <v>-190.98179999999999</v>
      </c>
      <c r="K1598">
        <v>1.1102879999999999</v>
      </c>
      <c r="L1598">
        <v>321.35539999999997</v>
      </c>
      <c r="M1598">
        <v>-4.0335469999999998E-2</v>
      </c>
      <c r="N1598">
        <v>-9.8953240000000005E-3</v>
      </c>
      <c r="O1598">
        <v>-0.99913750000000001</v>
      </c>
      <c r="P1598">
        <v>-3.8545030000000001E-2</v>
      </c>
      <c r="Q1598">
        <v>0.16678959999999901</v>
      </c>
      <c r="R1598">
        <v>-0.98523930000000004</v>
      </c>
      <c r="S1598">
        <v>-0.55528259999999996</v>
      </c>
      <c r="T1598">
        <v>-6.1634540000000002E-2</v>
      </c>
      <c r="U1598">
        <v>-3.0339659999999999</v>
      </c>
      <c r="V1598">
        <v>-1.361875E-3</v>
      </c>
      <c r="W1598">
        <v>0.1765371</v>
      </c>
      <c r="X1598">
        <v>0.98429299999999997</v>
      </c>
      <c r="Y1598">
        <v>0.14017689999999999</v>
      </c>
      <c r="Z1598">
        <v>1.01613E-2</v>
      </c>
      <c r="AA1598">
        <v>0.99007429999999996</v>
      </c>
      <c r="AB1598">
        <v>21</v>
      </c>
      <c r="AC1598">
        <v>-9.2741999999999791</v>
      </c>
      <c r="AD1598">
        <v>-1.0302856600000001</v>
      </c>
      <c r="AE1598">
        <v>-50.504199999999898</v>
      </c>
      <c r="AF1598">
        <v>7.2265328107880302</v>
      </c>
      <c r="AG1598">
        <v>-1.0302856600000001</v>
      </c>
      <c r="AH1598">
        <v>50.8167347540248</v>
      </c>
      <c r="AI1598">
        <v>91.149920062854093</v>
      </c>
      <c r="AJ1598">
        <v>81.906365051475603</v>
      </c>
      <c r="AK1598">
        <v>51.338336514416902</v>
      </c>
      <c r="AL1598">
        <v>79.831879299139402</v>
      </c>
      <c r="AM1598">
        <v>90.079274809362502</v>
      </c>
      <c r="AN1598">
        <v>0.99999995611446102</v>
      </c>
    </row>
    <row r="1599" spans="1:40" x14ac:dyDescent="0.25">
      <c r="A1599" t="str">
        <f>"20190304155624623"</f>
        <v>20190304155624623</v>
      </c>
      <c r="B1599" t="str">
        <f>"1551686184616458"</f>
        <v>1551686184616458</v>
      </c>
      <c r="C1599" t="s">
        <v>40</v>
      </c>
      <c r="D1599">
        <v>4.6398609999999998</v>
      </c>
      <c r="E1599">
        <v>0.55429289999999998</v>
      </c>
      <c r="F1599" t="s">
        <v>53</v>
      </c>
      <c r="G1599">
        <v>-200.08019999999999</v>
      </c>
      <c r="H1599">
        <v>8.0002160000000003E-2</v>
      </c>
      <c r="I1599">
        <v>271.60969999999998</v>
      </c>
      <c r="J1599">
        <v>-190.98949999999999</v>
      </c>
      <c r="K1599">
        <v>1.1102879999999999</v>
      </c>
      <c r="L1599">
        <v>321.14679999999998</v>
      </c>
      <c r="M1599">
        <v>-3.9725280000000002E-2</v>
      </c>
      <c r="N1599">
        <v>-9.8595130000000003E-3</v>
      </c>
      <c r="O1599">
        <v>-0.99916229999999995</v>
      </c>
      <c r="P1599">
        <v>-3.8842910000000001E-2</v>
      </c>
      <c r="Q1599">
        <v>0.16640079999999999</v>
      </c>
      <c r="R1599">
        <v>-0.98529339999999999</v>
      </c>
      <c r="S1599">
        <v>-0.55488590000000004</v>
      </c>
      <c r="T1599">
        <v>-6.2834139999999997E-2</v>
      </c>
      <c r="U1599">
        <v>-3.0338440000000002</v>
      </c>
      <c r="V1599">
        <v>-4.6592619999999998E-4</v>
      </c>
      <c r="W1599">
        <v>0.17611470000000001</v>
      </c>
      <c r="X1599">
        <v>0.98436950000000001</v>
      </c>
      <c r="Y1599">
        <v>0.14066229999999999</v>
      </c>
      <c r="Z1599">
        <v>1.0587040000000001E-2</v>
      </c>
      <c r="AA1599">
        <v>0.99000100000000002</v>
      </c>
      <c r="AB1599">
        <v>21</v>
      </c>
      <c r="AC1599">
        <v>-9.0906999999999893</v>
      </c>
      <c r="AD1599">
        <v>-1.0302858399999999</v>
      </c>
      <c r="AE1599">
        <v>-49.537100000000002</v>
      </c>
      <c r="AF1599">
        <v>7.1125768085179999</v>
      </c>
      <c r="AG1599">
        <v>-1.0302858399999999</v>
      </c>
      <c r="AH1599">
        <v>49.838285565366903</v>
      </c>
      <c r="AI1599">
        <v>91.172407100367707</v>
      </c>
      <c r="AJ1599">
        <v>81.877985145851596</v>
      </c>
      <c r="AK1599">
        <v>50.353797730302603</v>
      </c>
      <c r="AL1599">
        <v>79.856466295573995</v>
      </c>
      <c r="AM1599">
        <v>90.027119494083195</v>
      </c>
      <c r="AN1599">
        <v>0.99999995858678103</v>
      </c>
    </row>
    <row r="1600" spans="1:40" x14ac:dyDescent="0.25">
      <c r="A1600" t="str">
        <f>"20190304155624648"</f>
        <v>20190304155624648</v>
      </c>
      <c r="B1600" t="str">
        <f>"1551686184635979"</f>
        <v>1551686184635979</v>
      </c>
      <c r="C1600" t="s">
        <v>40</v>
      </c>
      <c r="D1600">
        <v>4.590452</v>
      </c>
      <c r="E1600">
        <v>0.55425080000000004</v>
      </c>
      <c r="F1600" t="s">
        <v>53</v>
      </c>
      <c r="G1600">
        <v>-199.98660000000001</v>
      </c>
      <c r="H1600">
        <v>7.8906249999999997E-2</v>
      </c>
      <c r="I1600">
        <v>272.08449999999999</v>
      </c>
      <c r="J1600">
        <v>-190.99789999999999</v>
      </c>
      <c r="K1600">
        <v>1.1102879999999999</v>
      </c>
      <c r="L1600">
        <v>320.91460000000001</v>
      </c>
      <c r="M1600">
        <v>-3.904324E-2</v>
      </c>
      <c r="N1600">
        <v>-9.8188300000000006E-3</v>
      </c>
      <c r="O1600">
        <v>-0.99918929999999995</v>
      </c>
      <c r="P1600">
        <v>-3.8948419999999997E-2</v>
      </c>
      <c r="Q1600">
        <v>0.16635559999999999</v>
      </c>
      <c r="R1600">
        <v>-0.98529610000000001</v>
      </c>
      <c r="S1600">
        <v>-0.55632019999999904</v>
      </c>
      <c r="T1600">
        <v>-6.3773270000000007E-2</v>
      </c>
      <c r="U1600">
        <v>-3.0336609999999999</v>
      </c>
      <c r="V1600">
        <v>3.1031210000000001E-4</v>
      </c>
      <c r="W1600">
        <v>0.1760302</v>
      </c>
      <c r="X1600">
        <v>0.9843847</v>
      </c>
      <c r="Y1600">
        <v>0.1418005</v>
      </c>
      <c r="Z1600">
        <v>1.093153E-2</v>
      </c>
      <c r="AA1600">
        <v>0.98983489999999996</v>
      </c>
      <c r="AB1600">
        <v>21</v>
      </c>
      <c r="AC1600">
        <v>-8.9887000000000192</v>
      </c>
      <c r="AD1600">
        <v>-1.03138175</v>
      </c>
      <c r="AE1600">
        <v>-48.830100000000002</v>
      </c>
      <c r="AF1600">
        <v>7.0722167373360696</v>
      </c>
      <c r="AG1600">
        <v>-1.03138175</v>
      </c>
      <c r="AH1600">
        <v>49.122632500249303</v>
      </c>
      <c r="AI1600">
        <v>91.190537323419207</v>
      </c>
      <c r="AJ1600">
        <v>81.807384819515505</v>
      </c>
      <c r="AK1600">
        <v>49.639833013907598</v>
      </c>
      <c r="AL1600">
        <v>79.861384873244504</v>
      </c>
      <c r="AM1600">
        <v>89.981938389459998</v>
      </c>
      <c r="AN1600">
        <v>0.999999982599864</v>
      </c>
    </row>
    <row r="1601" spans="1:40" x14ac:dyDescent="0.25">
      <c r="A1601" t="str">
        <f>"20190304155624672"</f>
        <v>20190304155624672</v>
      </c>
      <c r="B1601" t="str">
        <f>"1551686184666235"</f>
        <v>1551686184666235</v>
      </c>
      <c r="C1601" t="s">
        <v>40</v>
      </c>
      <c r="D1601">
        <v>4.5863699999999996</v>
      </c>
      <c r="E1601">
        <v>0.55412859999999997</v>
      </c>
      <c r="F1601" t="s">
        <v>53</v>
      </c>
      <c r="G1601">
        <v>-200.05840000000001</v>
      </c>
      <c r="H1601">
        <v>8.0002180000000006E-2</v>
      </c>
      <c r="I1601">
        <v>271.53219999999999</v>
      </c>
      <c r="J1601">
        <v>-191.00559999999999</v>
      </c>
      <c r="K1601">
        <v>1.1102879999999999</v>
      </c>
      <c r="L1601">
        <v>320.7</v>
      </c>
      <c r="M1601">
        <v>-3.8411389999999997E-2</v>
      </c>
      <c r="N1601">
        <v>-9.7796640000000004E-3</v>
      </c>
      <c r="O1601">
        <v>-0.9992143</v>
      </c>
      <c r="P1601">
        <v>-3.9292109999999998E-2</v>
      </c>
      <c r="Q1601">
        <v>0.16573860000000001</v>
      </c>
      <c r="R1601">
        <v>-0.98538680000000001</v>
      </c>
      <c r="S1601">
        <v>-0.55656430000000001</v>
      </c>
      <c r="T1601">
        <v>-6.3288209999999998E-2</v>
      </c>
      <c r="U1601">
        <v>-3.0334469999999998</v>
      </c>
      <c r="V1601">
        <v>1.272722E-3</v>
      </c>
      <c r="W1601">
        <v>0.17537629999999901</v>
      </c>
      <c r="X1601">
        <v>0.98450059999999995</v>
      </c>
      <c r="Y1601">
        <v>0.14251629999999901</v>
      </c>
      <c r="Z1601">
        <v>1.081347E-2</v>
      </c>
      <c r="AA1601">
        <v>0.98973339999999999</v>
      </c>
      <c r="AB1601">
        <v>21</v>
      </c>
      <c r="AC1601">
        <v>-9.0528000000000102</v>
      </c>
      <c r="AD1601">
        <v>-1.03028582</v>
      </c>
      <c r="AE1601">
        <v>-49.1678</v>
      </c>
      <c r="AF1601">
        <v>7.1543864856847099</v>
      </c>
      <c r="AG1601">
        <v>-1.03028582</v>
      </c>
      <c r="AH1601">
        <v>49.458253837021502</v>
      </c>
      <c r="AI1601">
        <v>91.181090338081205</v>
      </c>
      <c r="AJ1601">
        <v>81.768970567876096</v>
      </c>
      <c r="AK1601">
        <v>49.983653402534401</v>
      </c>
      <c r="AL1601">
        <v>79.899442299058194</v>
      </c>
      <c r="AM1601">
        <v>89.9259304072839</v>
      </c>
      <c r="AN1601">
        <v>0.99999994891166799</v>
      </c>
    </row>
    <row r="1602" spans="1:40" x14ac:dyDescent="0.25">
      <c r="A1602" t="str">
        <f>"20190304155624692"</f>
        <v>20190304155624692</v>
      </c>
      <c r="B1602" t="str">
        <f>"1551686184686730"</f>
        <v>1551686184686730</v>
      </c>
      <c r="C1602" t="s">
        <v>40</v>
      </c>
      <c r="D1602">
        <v>4.5974810000000002</v>
      </c>
      <c r="E1602">
        <v>0.55417109999999903</v>
      </c>
      <c r="F1602" t="s">
        <v>53</v>
      </c>
      <c r="G1602">
        <v>-199.98079999999999</v>
      </c>
      <c r="H1602">
        <v>7.3056720000000006E-2</v>
      </c>
      <c r="I1602">
        <v>271.81869999999998</v>
      </c>
      <c r="J1602">
        <v>-191.01230000000001</v>
      </c>
      <c r="K1602">
        <v>1.1102829999999999</v>
      </c>
      <c r="L1602">
        <v>320.5104</v>
      </c>
      <c r="M1602">
        <v>-3.7852209999999997E-2</v>
      </c>
      <c r="N1602">
        <v>-9.7467460000000006E-3</v>
      </c>
      <c r="O1602">
        <v>-0.99923600000000001</v>
      </c>
      <c r="P1602">
        <v>-3.97495E-2</v>
      </c>
      <c r="Q1602">
        <v>0.16540070000000001</v>
      </c>
      <c r="R1602">
        <v>-0.9854252</v>
      </c>
      <c r="S1602">
        <v>-0.5569153</v>
      </c>
      <c r="T1602">
        <v>-6.436074E-2</v>
      </c>
      <c r="U1602">
        <v>-3.033112</v>
      </c>
      <c r="V1602">
        <v>2.2793029999999999E-3</v>
      </c>
      <c r="W1602">
        <v>0.17500729999999901</v>
      </c>
      <c r="X1602">
        <v>0.98456449999999995</v>
      </c>
      <c r="Y1602">
        <v>0.1431994</v>
      </c>
      <c r="Z1602">
        <v>1.1195790000000001E-2</v>
      </c>
      <c r="AA1602">
        <v>0.98963049999999997</v>
      </c>
      <c r="AB1602">
        <v>21</v>
      </c>
      <c r="AC1602">
        <v>-8.9684999999999704</v>
      </c>
      <c r="AD1602">
        <v>-1.0372262799999901</v>
      </c>
      <c r="AE1602">
        <v>-48.691699999999997</v>
      </c>
      <c r="AF1602">
        <v>7.1157734534312098</v>
      </c>
      <c r="AG1602">
        <v>-1.0372262799999901</v>
      </c>
      <c r="AH1602">
        <v>48.9748011558748</v>
      </c>
      <c r="AI1602">
        <v>91.200669586719698</v>
      </c>
      <c r="AJ1602">
        <v>81.733082497926304</v>
      </c>
      <c r="AK1602">
        <v>49.499911297435197</v>
      </c>
      <c r="AL1602">
        <v>79.920917102318299</v>
      </c>
      <c r="AM1602">
        <v>89.867358401780805</v>
      </c>
      <c r="AN1602">
        <v>1.0000000024678499</v>
      </c>
    </row>
    <row r="1603" spans="1:40" x14ac:dyDescent="0.25">
      <c r="A1603" t="str">
        <f>"20190304155624715"</f>
        <v>20190304155624715</v>
      </c>
      <c r="B1603" t="str">
        <f>"1551686184706251"</f>
        <v>1551686184706251</v>
      </c>
      <c r="C1603" t="s">
        <v>40</v>
      </c>
      <c r="D1603">
        <v>4.5845969999999996</v>
      </c>
      <c r="E1603">
        <v>0.55416679999999996</v>
      </c>
      <c r="F1603" t="s">
        <v>53</v>
      </c>
      <c r="G1603">
        <v>-199.97540000000001</v>
      </c>
      <c r="H1603">
        <v>6.7611569999999996E-2</v>
      </c>
      <c r="I1603">
        <v>271.8775</v>
      </c>
      <c r="J1603">
        <v>-191.0197</v>
      </c>
      <c r="K1603">
        <v>1.1102780000000001</v>
      </c>
      <c r="L1603">
        <v>320.29500000000002</v>
      </c>
      <c r="M1603">
        <v>-3.7217640000000003E-2</v>
      </c>
      <c r="N1603">
        <v>-9.7138999999999993E-3</v>
      </c>
      <c r="O1603">
        <v>-0.99926029999999999</v>
      </c>
      <c r="P1603">
        <v>-3.9924639999999997E-2</v>
      </c>
      <c r="Q1603">
        <v>0.1654254</v>
      </c>
      <c r="R1603">
        <v>-0.98541420000000002</v>
      </c>
      <c r="S1603">
        <v>-0.55894469999999996</v>
      </c>
      <c r="T1603">
        <v>-6.5021629999999997E-2</v>
      </c>
      <c r="U1603">
        <v>-3.0327760000000001</v>
      </c>
      <c r="V1603">
        <v>3.0799410000000001E-3</v>
      </c>
      <c r="W1603">
        <v>0.17500019999999999</v>
      </c>
      <c r="X1603">
        <v>0.98456359999999998</v>
      </c>
      <c r="Y1603">
        <v>0.14448699999999901</v>
      </c>
      <c r="Z1603">
        <v>1.1442519999999999E-2</v>
      </c>
      <c r="AA1603">
        <v>0.9894406</v>
      </c>
      <c r="AB1603">
        <v>21</v>
      </c>
      <c r="AC1603">
        <v>-8.9557000000000002</v>
      </c>
      <c r="AD1603">
        <v>-1.0426664299999999</v>
      </c>
      <c r="AE1603">
        <v>-48.417499999999997</v>
      </c>
      <c r="AF1603">
        <v>7.1442217037312599</v>
      </c>
      <c r="AG1603">
        <v>-1.0426664299999999</v>
      </c>
      <c r="AH1603">
        <v>48.695442497414597</v>
      </c>
      <c r="AI1603">
        <v>91.213641314327106</v>
      </c>
      <c r="AJ1603">
        <v>81.6535473556944</v>
      </c>
      <c r="AK1603">
        <v>49.227768353393103</v>
      </c>
      <c r="AL1603">
        <v>79.921330449398596</v>
      </c>
      <c r="AM1603">
        <v>89.820766231022702</v>
      </c>
      <c r="AN1603">
        <v>1.0000000192407801</v>
      </c>
    </row>
    <row r="1604" spans="1:40" x14ac:dyDescent="0.25">
      <c r="A1604" t="str">
        <f>"20190304155624735"</f>
        <v>20190304155624735</v>
      </c>
      <c r="B1604" t="str">
        <f>"1551686184725771"</f>
        <v>1551686184725771</v>
      </c>
      <c r="C1604" t="s">
        <v>40</v>
      </c>
      <c r="D1604">
        <v>4.5984259999999999</v>
      </c>
      <c r="E1604">
        <v>0.55412569999999906</v>
      </c>
      <c r="F1604" t="s">
        <v>53</v>
      </c>
      <c r="G1604">
        <v>-199.98570000000001</v>
      </c>
      <c r="H1604">
        <v>7.7976299999999998E-2</v>
      </c>
      <c r="I1604">
        <v>271.67739999999998</v>
      </c>
      <c r="J1604">
        <v>-191.0264</v>
      </c>
      <c r="K1604">
        <v>1.1102749999999999</v>
      </c>
      <c r="L1604">
        <v>320.09739999999999</v>
      </c>
      <c r="M1604">
        <v>-3.6637629999999997E-2</v>
      </c>
      <c r="N1604">
        <v>-9.6872499999999997E-3</v>
      </c>
      <c r="O1604">
        <v>-0.999282</v>
      </c>
      <c r="P1604">
        <v>-3.9994370000000001E-2</v>
      </c>
      <c r="Q1604">
        <v>0.1661001</v>
      </c>
      <c r="R1604">
        <v>-0.98529800000000001</v>
      </c>
      <c r="S1604">
        <v>-0.55926509999999996</v>
      </c>
      <c r="T1604">
        <v>-6.4390660000000002E-2</v>
      </c>
      <c r="U1604">
        <v>-3.032562</v>
      </c>
      <c r="V1604">
        <v>3.7252180000000002E-3</v>
      </c>
      <c r="W1604">
        <v>0.1756481</v>
      </c>
      <c r="X1604">
        <v>0.98444600000000004</v>
      </c>
      <c r="Y1604">
        <v>0.14517539999999901</v>
      </c>
      <c r="Z1604">
        <v>1.126454E-2</v>
      </c>
      <c r="AA1604">
        <v>0.98934180000000005</v>
      </c>
      <c r="AB1604">
        <v>21</v>
      </c>
      <c r="AC1604">
        <v>-8.9593000000000096</v>
      </c>
      <c r="AD1604">
        <v>-1.0322986999999999</v>
      </c>
      <c r="AE1604">
        <v>-48.42</v>
      </c>
      <c r="AF1604">
        <v>7.1760538779326497</v>
      </c>
      <c r="AG1604">
        <v>-1.0322986999999999</v>
      </c>
      <c r="AH1604">
        <v>48.694351111658698</v>
      </c>
      <c r="AI1604">
        <v>91.201490391294598</v>
      </c>
      <c r="AJ1604">
        <v>81.616700570445104</v>
      </c>
      <c r="AK1604">
        <v>49.231100130410603</v>
      </c>
      <c r="AL1604">
        <v>79.883624583007801</v>
      </c>
      <c r="AM1604">
        <v>89.783189478739203</v>
      </c>
      <c r="AN1604">
        <v>1.0000000295993701</v>
      </c>
    </row>
    <row r="1605" spans="1:40" x14ac:dyDescent="0.25">
      <c r="A1605" t="str">
        <f>"20190304155624757"</f>
        <v>20190304155624757</v>
      </c>
      <c r="B1605" t="str">
        <f>"1551686184746266"</f>
        <v>1551686184746266</v>
      </c>
      <c r="C1605" t="s">
        <v>40</v>
      </c>
      <c r="D1605">
        <v>4.5658139999999996</v>
      </c>
      <c r="E1605">
        <v>0.55403930000000001</v>
      </c>
      <c r="F1605" t="s">
        <v>53</v>
      </c>
      <c r="G1605">
        <v>-200.2885</v>
      </c>
      <c r="H1605">
        <v>8.0002569999999995E-2</v>
      </c>
      <c r="I1605">
        <v>269.83640000000003</v>
      </c>
      <c r="J1605">
        <v>-191.0335</v>
      </c>
      <c r="K1605">
        <v>1.1102749999999999</v>
      </c>
      <c r="L1605">
        <v>319.88350000000003</v>
      </c>
      <c r="M1605">
        <v>-3.6015119999999998E-2</v>
      </c>
      <c r="N1605">
        <v>-9.6609680000000007E-3</v>
      </c>
      <c r="O1605">
        <v>-0.99930490000000005</v>
      </c>
      <c r="P1605">
        <v>-3.9936890000000003E-2</v>
      </c>
      <c r="Q1605">
        <v>0.16633410000000001</v>
      </c>
      <c r="R1605">
        <v>-0.98526069999999999</v>
      </c>
      <c r="S1605">
        <v>-0.5588379</v>
      </c>
      <c r="T1605">
        <v>-6.2162160000000001E-2</v>
      </c>
      <c r="U1605">
        <v>-3.0325319999999998</v>
      </c>
      <c r="V1605">
        <v>4.2835089999999996E-3</v>
      </c>
      <c r="W1605">
        <v>0.17585599999999901</v>
      </c>
      <c r="X1605">
        <v>0.98440660000000002</v>
      </c>
      <c r="Y1605">
        <v>0.1456605</v>
      </c>
      <c r="Z1605">
        <v>1.0566809999999999E-2</v>
      </c>
      <c r="AA1605">
        <v>0.9892782</v>
      </c>
      <c r="AB1605">
        <v>21</v>
      </c>
      <c r="AC1605">
        <v>-9.2549999999999901</v>
      </c>
      <c r="AD1605">
        <v>-1.0302724299999999</v>
      </c>
      <c r="AE1605">
        <v>-50.0471</v>
      </c>
      <c r="AF1605">
        <v>7.4434093160368899</v>
      </c>
      <c r="AG1605">
        <v>-1.0302724299999999</v>
      </c>
      <c r="AH1605">
        <v>50.327341304347499</v>
      </c>
      <c r="AI1605">
        <v>91.160145895025494</v>
      </c>
      <c r="AJ1605">
        <v>81.586948942760401</v>
      </c>
      <c r="AK1605">
        <v>50.885234462369901</v>
      </c>
      <c r="AL1605">
        <v>79.871524323421895</v>
      </c>
      <c r="AM1605">
        <v>89.750686923244899</v>
      </c>
      <c r="AN1605">
        <v>1.0000000176544499</v>
      </c>
    </row>
    <row r="1606" spans="1:40" x14ac:dyDescent="0.25">
      <c r="A1606" t="str">
        <f>"20190304155624780"</f>
        <v>20190304155624780</v>
      </c>
      <c r="B1606" t="str">
        <f>"1551686184776523"</f>
        <v>1551686184776523</v>
      </c>
      <c r="C1606" t="s">
        <v>40</v>
      </c>
      <c r="D1606">
        <v>4.5740939999999997</v>
      </c>
      <c r="E1606">
        <v>0.55400780000000005</v>
      </c>
      <c r="F1606" t="s">
        <v>41</v>
      </c>
      <c r="G1606">
        <v>-200.5154</v>
      </c>
      <c r="H1606">
        <v>7.9985719999999996E-2</v>
      </c>
      <c r="I1606">
        <v>268.4101</v>
      </c>
      <c r="J1606">
        <v>-191.0403</v>
      </c>
      <c r="K1606">
        <v>1.110258</v>
      </c>
      <c r="L1606">
        <v>319.67619999999999</v>
      </c>
      <c r="M1606">
        <v>-3.5422179999999998E-2</v>
      </c>
      <c r="N1606">
        <v>-9.6381290000000005E-3</v>
      </c>
      <c r="O1606">
        <v>-0.99932619999999905</v>
      </c>
      <c r="P1606">
        <v>-3.9384959999999997E-2</v>
      </c>
      <c r="Q1606">
        <v>0.1661687</v>
      </c>
      <c r="R1606">
        <v>-0.98531080000000004</v>
      </c>
      <c r="S1606">
        <v>-0.55860900000000002</v>
      </c>
      <c r="T1606">
        <v>-6.06972E-2</v>
      </c>
      <c r="U1606">
        <v>-3.0324399999999998</v>
      </c>
      <c r="V1606">
        <v>4.3171930000000004E-3</v>
      </c>
      <c r="W1606">
        <v>0.1756683</v>
      </c>
      <c r="X1606">
        <v>0.98443999999999998</v>
      </c>
      <c r="Y1606">
        <v>0.1461819</v>
      </c>
      <c r="Z1606">
        <v>1.0113810000000001E-2</v>
      </c>
      <c r="AA1606">
        <v>0.98920600000000003</v>
      </c>
      <c r="AB1606">
        <v>21</v>
      </c>
      <c r="AC1606">
        <v>-9.4750999999999905</v>
      </c>
      <c r="AD1606">
        <v>-1.0302722799999999</v>
      </c>
      <c r="AE1606">
        <v>-51.266100000000002</v>
      </c>
      <c r="AF1606">
        <v>7.6501246806673899</v>
      </c>
      <c r="AG1606">
        <v>-1.0302722799999999</v>
      </c>
      <c r="AH1606">
        <v>51.549436879591802</v>
      </c>
      <c r="AI1606">
        <v>91.1325664194936</v>
      </c>
      <c r="AJ1606">
        <v>81.558706629687407</v>
      </c>
      <c r="AK1606">
        <v>52.124181635817699</v>
      </c>
      <c r="AL1606">
        <v>79.882449154152695</v>
      </c>
      <c r="AM1606">
        <v>89.748734963493007</v>
      </c>
      <c r="AN1606">
        <v>1.0000000516901399</v>
      </c>
    </row>
    <row r="1607" spans="1:40" x14ac:dyDescent="0.25">
      <c r="A1607" t="str">
        <f>"20190304155624802"</f>
        <v>20190304155624802</v>
      </c>
      <c r="B1607" t="str">
        <f>"1551686184796043"</f>
        <v>1551686184796043</v>
      </c>
      <c r="C1607" t="s">
        <v>40</v>
      </c>
      <c r="D1607">
        <v>4.7127919999999897</v>
      </c>
      <c r="E1607">
        <v>0.57755939999999995</v>
      </c>
      <c r="F1607" t="s">
        <v>41</v>
      </c>
      <c r="G1607">
        <v>-200.53319999999999</v>
      </c>
      <c r="H1607">
        <v>7.9985860000000006E-2</v>
      </c>
      <c r="I1607">
        <v>267.99099999999999</v>
      </c>
      <c r="J1607">
        <v>-191.0472</v>
      </c>
      <c r="K1607">
        <v>1.1102459999999901</v>
      </c>
      <c r="L1607">
        <v>319.45890000000003</v>
      </c>
      <c r="M1607">
        <v>-3.4818219999999997E-2</v>
      </c>
      <c r="N1607">
        <v>-9.6171920000000001E-3</v>
      </c>
      <c r="O1607">
        <v>-0.9993474</v>
      </c>
      <c r="P1607">
        <v>-3.9069329999999999E-2</v>
      </c>
      <c r="Q1607">
        <v>0.16593629999999901</v>
      </c>
      <c r="R1607">
        <v>-0.98536239999999997</v>
      </c>
      <c r="S1607">
        <v>-0.55700680000000002</v>
      </c>
      <c r="T1607">
        <v>-6.0451749999999999E-2</v>
      </c>
      <c r="U1607">
        <v>-3.032654</v>
      </c>
      <c r="V1607">
        <v>4.6000540000000001E-3</v>
      </c>
      <c r="W1607">
        <v>0.17541619999999999</v>
      </c>
      <c r="X1607">
        <v>0.98448360000000001</v>
      </c>
      <c r="Y1607">
        <v>0.146261999999999</v>
      </c>
      <c r="Z1607">
        <v>1.005442E-2</v>
      </c>
      <c r="AA1607">
        <v>0.98919480000000004</v>
      </c>
      <c r="AB1607">
        <v>21</v>
      </c>
      <c r="AC1607">
        <v>-9.48599999999999</v>
      </c>
      <c r="AD1607">
        <v>-1.03026013999999</v>
      </c>
      <c r="AE1607">
        <v>-51.4679</v>
      </c>
      <c r="AF1607">
        <v>7.6851659389902602</v>
      </c>
      <c r="AG1607">
        <v>-1.03026013999999</v>
      </c>
      <c r="AH1607">
        <v>51.746937227119297</v>
      </c>
      <c r="AI1607">
        <v>91.128213482639794</v>
      </c>
      <c r="AJ1607">
        <v>81.552497406759898</v>
      </c>
      <c r="AK1607">
        <v>52.3246473839367</v>
      </c>
      <c r="AL1607">
        <v>79.897120529538597</v>
      </c>
      <c r="AM1607">
        <v>89.732284253746002</v>
      </c>
      <c r="AN1607">
        <v>0.99999998119410105</v>
      </c>
    </row>
    <row r="1608" spans="1:40" x14ac:dyDescent="0.25">
      <c r="A1608" t="str">
        <f>"20190304155624825"</f>
        <v>20190304155624825</v>
      </c>
      <c r="B1608" t="str">
        <f>"1551686184816538"</f>
        <v>1551686184816538</v>
      </c>
      <c r="C1608" t="s">
        <v>40</v>
      </c>
      <c r="D1608">
        <v>4.7876839999999996</v>
      </c>
      <c r="E1608">
        <v>0.59004129999999999</v>
      </c>
      <c r="F1608" t="s">
        <v>44</v>
      </c>
      <c r="G1608">
        <v>-210.4599</v>
      </c>
      <c r="H1608">
        <v>-0.05</v>
      </c>
      <c r="I1608">
        <v>240.6208</v>
      </c>
      <c r="J1608">
        <v>-191.05369999999999</v>
      </c>
      <c r="K1608">
        <v>1.1102379999999901</v>
      </c>
      <c r="L1608">
        <v>319.25599999999997</v>
      </c>
      <c r="M1608">
        <v>-3.4276220000000003E-2</v>
      </c>
      <c r="N1608">
        <v>-9.6003779999999997E-3</v>
      </c>
      <c r="O1608">
        <v>-0.99936650000000005</v>
      </c>
      <c r="P1608">
        <v>-3.8648009999999997E-2</v>
      </c>
      <c r="Q1608">
        <v>0.1657035</v>
      </c>
      <c r="R1608">
        <v>-0.98541840000000003</v>
      </c>
      <c r="S1608">
        <v>-0.74426269999999894</v>
      </c>
      <c r="T1608">
        <v>-4.4482830000000001E-2</v>
      </c>
      <c r="U1608">
        <v>-3.022583</v>
      </c>
      <c r="V1608">
        <v>4.7178649999999999E-3</v>
      </c>
      <c r="W1608">
        <v>0.17516689999999999</v>
      </c>
      <c r="X1608">
        <v>0.9845275</v>
      </c>
      <c r="Y1608">
        <v>0.2056424</v>
      </c>
      <c r="Z1608">
        <v>4.7708610000000004E-3</v>
      </c>
      <c r="AA1608">
        <v>0.97861560000000003</v>
      </c>
      <c r="AB1608">
        <v>21</v>
      </c>
      <c r="AC1608">
        <v>-19.406199999999998</v>
      </c>
      <c r="AD1608">
        <v>-1.1602380000000001</v>
      </c>
      <c r="AE1608">
        <v>-78.635199999999898</v>
      </c>
      <c r="AF1608">
        <v>16.695928712319901</v>
      </c>
      <c r="AG1608">
        <v>-1.1602380000000001</v>
      </c>
      <c r="AH1608">
        <v>79.237931358391606</v>
      </c>
      <c r="AI1608">
        <v>90.820869345947202</v>
      </c>
      <c r="AJ1608">
        <v>78.101469458529607</v>
      </c>
      <c r="AK1608">
        <v>80.986109634558304</v>
      </c>
      <c r="AL1608">
        <v>79.911629706893606</v>
      </c>
      <c r="AM1608">
        <v>89.725440189595901</v>
      </c>
      <c r="AN1608">
        <v>1.000000049681</v>
      </c>
    </row>
    <row r="1609" spans="1:40" x14ac:dyDescent="0.25">
      <c r="A1609" t="str">
        <f>"20190304155624848"</f>
        <v>20190304155624848</v>
      </c>
      <c r="B1609" t="str">
        <f>"1551686184845819"</f>
        <v>1551686184845819</v>
      </c>
      <c r="C1609" t="s">
        <v>40</v>
      </c>
      <c r="D1609">
        <v>4.8308799999999996</v>
      </c>
      <c r="E1609">
        <v>0.59644399999999997</v>
      </c>
      <c r="F1609" t="s">
        <v>55</v>
      </c>
      <c r="G1609">
        <v>-218.4384</v>
      </c>
      <c r="H1609">
        <v>8.0000740000000001E-2</v>
      </c>
      <c r="I1609">
        <v>221.2115</v>
      </c>
      <c r="J1609">
        <v>-191.0608</v>
      </c>
      <c r="K1609">
        <v>1.1102179999999999</v>
      </c>
      <c r="L1609">
        <v>319.03019999999998</v>
      </c>
      <c r="M1609">
        <v>-3.3703900000000002E-2</v>
      </c>
      <c r="N1609">
        <v>-9.5842340000000005E-3</v>
      </c>
      <c r="O1609">
        <v>-0.999386</v>
      </c>
      <c r="P1609">
        <v>-3.8530910000000002E-2</v>
      </c>
      <c r="Q1609">
        <v>0.16545950000000001</v>
      </c>
      <c r="R1609">
        <v>-0.9854638</v>
      </c>
      <c r="S1609">
        <v>-0.84259030000000001</v>
      </c>
      <c r="T1609">
        <v>-3.1698940000000002E-2</v>
      </c>
      <c r="U1609">
        <v>-3.0166930000000001</v>
      </c>
      <c r="V1609">
        <v>5.172818E-3</v>
      </c>
      <c r="W1609">
        <v>0.17490729999999999</v>
      </c>
      <c r="X1609">
        <v>0.98457130000000004</v>
      </c>
      <c r="Y1609">
        <v>0.23637520000000001</v>
      </c>
      <c r="Z1609">
        <v>6.1511129999999999E-4</v>
      </c>
      <c r="AA1609">
        <v>0.97166160000000001</v>
      </c>
      <c r="AB1609">
        <v>21</v>
      </c>
      <c r="AC1609">
        <v>-27.377600000000001</v>
      </c>
      <c r="AD1609">
        <v>-1.0302172599999999</v>
      </c>
      <c r="AE1609">
        <v>-97.818699999999893</v>
      </c>
      <c r="AF1609">
        <v>24.062546362784602</v>
      </c>
      <c r="AG1609">
        <v>-1.0302172599999999</v>
      </c>
      <c r="AH1609">
        <v>98.675744467724797</v>
      </c>
      <c r="AI1609">
        <v>90.581142739228596</v>
      </c>
      <c r="AJ1609">
        <v>76.295619430143304</v>
      </c>
      <c r="AK1609">
        <v>101.572486586298</v>
      </c>
      <c r="AL1609">
        <v>79.926736241558501</v>
      </c>
      <c r="AM1609">
        <v>89.6989777046999</v>
      </c>
      <c r="AN1609">
        <v>0.99999998321151995</v>
      </c>
    </row>
    <row r="1610" spans="1:40" x14ac:dyDescent="0.25">
      <c r="A1610" t="str">
        <f>"20190304155624871"</f>
        <v>20190304155624871</v>
      </c>
      <c r="B1610" t="str">
        <f>"1551686184866315"</f>
        <v>1551686184866315</v>
      </c>
      <c r="C1610" t="s">
        <v>40</v>
      </c>
      <c r="D1610">
        <v>4.8152990000000004</v>
      </c>
      <c r="E1610">
        <v>0.59942249999999997</v>
      </c>
      <c r="F1610" t="s">
        <v>44</v>
      </c>
      <c r="G1610">
        <v>-221.4461</v>
      </c>
      <c r="H1610">
        <v>-0.05</v>
      </c>
      <c r="I1610">
        <v>216.51560000000001</v>
      </c>
      <c r="J1610">
        <v>-191.0675</v>
      </c>
      <c r="K1610">
        <v>1.1101859999999999</v>
      </c>
      <c r="L1610">
        <v>318.81270000000001</v>
      </c>
      <c r="M1610">
        <v>-3.3194559999999998E-2</v>
      </c>
      <c r="N1610">
        <v>-9.5710340000000008E-3</v>
      </c>
      <c r="O1610">
        <v>-0.99940329999999999</v>
      </c>
      <c r="P1610">
        <v>-3.8375010000000001E-2</v>
      </c>
      <c r="Q1610">
        <v>0.16519</v>
      </c>
      <c r="R1610">
        <v>-0.98551540000000004</v>
      </c>
      <c r="S1610">
        <v>-0.8936615</v>
      </c>
      <c r="T1610">
        <v>-3.4123059999999997E-2</v>
      </c>
      <c r="U1610">
        <v>-3.0150450000000002</v>
      </c>
      <c r="V1610">
        <v>5.5284139999999997E-3</v>
      </c>
      <c r="W1610">
        <v>0.17462559999999999</v>
      </c>
      <c r="X1610">
        <v>0.98461940000000003</v>
      </c>
      <c r="Y1610">
        <v>0.25217200000000001</v>
      </c>
      <c r="Z1610">
        <v>1.3655869999999999E-3</v>
      </c>
      <c r="AA1610">
        <v>0.96768149999999997</v>
      </c>
      <c r="AB1610">
        <v>21</v>
      </c>
      <c r="AC1610">
        <v>-30.378599999999999</v>
      </c>
      <c r="AD1610">
        <v>-1.1601859999999999</v>
      </c>
      <c r="AE1610">
        <v>-102.2971</v>
      </c>
      <c r="AF1610">
        <v>26.962808015890399</v>
      </c>
      <c r="AG1610">
        <v>-1.1601859999999999</v>
      </c>
      <c r="AH1610">
        <v>103.236967237489</v>
      </c>
      <c r="AI1610">
        <v>90.622972974513004</v>
      </c>
      <c r="AJ1610">
        <v>75.362797703712701</v>
      </c>
      <c r="AK1610">
        <v>106.706187505931</v>
      </c>
      <c r="AL1610">
        <v>79.943129049672194</v>
      </c>
      <c r="AM1610">
        <v>89.6783006093235</v>
      </c>
      <c r="AN1610">
        <v>1.0000000131965301</v>
      </c>
    </row>
    <row r="1611" spans="1:40" x14ac:dyDescent="0.25">
      <c r="A1611" t="str">
        <f>"20190304155624891"</f>
        <v>20190304155624891</v>
      </c>
      <c r="B1611" t="str">
        <f>"1551686184886810"</f>
        <v>1551686184886810</v>
      </c>
      <c r="C1611" t="s">
        <v>40</v>
      </c>
      <c r="D1611">
        <v>4.7545799999999998</v>
      </c>
      <c r="E1611">
        <v>0.60118799999999994</v>
      </c>
      <c r="F1611" t="s">
        <v>55</v>
      </c>
      <c r="G1611">
        <v>-220.06469999999999</v>
      </c>
      <c r="H1611">
        <v>7.9999650000000005E-2</v>
      </c>
      <c r="I1611">
        <v>223.54669999999999</v>
      </c>
      <c r="J1611">
        <v>-191.0735</v>
      </c>
      <c r="K1611">
        <v>1.110161</v>
      </c>
      <c r="L1611">
        <v>318.61689999999999</v>
      </c>
      <c r="M1611">
        <v>-3.2773990000000003E-2</v>
      </c>
      <c r="N1611">
        <v>-9.5608220000000001E-3</v>
      </c>
      <c r="O1611">
        <v>-0.99941709999999995</v>
      </c>
      <c r="P1611">
        <v>-3.8363019999999998E-2</v>
      </c>
      <c r="Q1611">
        <v>0.16464870000000001</v>
      </c>
      <c r="R1611">
        <v>-0.98560599999999998</v>
      </c>
      <c r="S1611">
        <v>-0.91734309999999997</v>
      </c>
      <c r="T1611">
        <v>-3.2590510000000003E-2</v>
      </c>
      <c r="U1611">
        <v>-3.0137939999999999</v>
      </c>
      <c r="V1611">
        <v>5.9392200000000003E-3</v>
      </c>
      <c r="W1611">
        <v>0.1740749</v>
      </c>
      <c r="X1611">
        <v>0.98471450000000005</v>
      </c>
      <c r="Y1611">
        <v>0.25965519999999997</v>
      </c>
      <c r="Z1611">
        <v>8.6962270000000004E-4</v>
      </c>
      <c r="AA1611">
        <v>0.96570100000000003</v>
      </c>
      <c r="AB1611">
        <v>21</v>
      </c>
      <c r="AC1611">
        <v>-28.9911999999999</v>
      </c>
      <c r="AD1611">
        <v>-1.03016135</v>
      </c>
      <c r="AE1611">
        <v>-95.0702</v>
      </c>
      <c r="AF1611">
        <v>25.856874427550299</v>
      </c>
      <c r="AG1611">
        <v>-1.03016135</v>
      </c>
      <c r="AH1611">
        <v>95.959014831662003</v>
      </c>
      <c r="AI1611">
        <v>90.593890213226302</v>
      </c>
      <c r="AJ1611">
        <v>74.919400815516497</v>
      </c>
      <c r="AK1611">
        <v>99.386979605138805</v>
      </c>
      <c r="AL1611">
        <v>79.975172448530898</v>
      </c>
      <c r="AM1611">
        <v>89.654429671430293</v>
      </c>
      <c r="AN1611">
        <v>0.99999999582723398</v>
      </c>
    </row>
    <row r="1612" spans="1:40" x14ac:dyDescent="0.25">
      <c r="A1612" t="str">
        <f>"20190304155624914"</f>
        <v>20190304155624914</v>
      </c>
      <c r="B1612" t="str">
        <f>"1551686184906331"</f>
        <v>1551686184906331</v>
      </c>
      <c r="C1612" t="s">
        <v>40</v>
      </c>
      <c r="D1612">
        <v>4.7756959999999999</v>
      </c>
      <c r="E1612">
        <v>0.60369700000000004</v>
      </c>
      <c r="F1612" t="s">
        <v>55</v>
      </c>
      <c r="G1612">
        <v>-220.2647</v>
      </c>
      <c r="H1612">
        <v>7.9999680000000004E-2</v>
      </c>
      <c r="I1612">
        <v>224.18559999999999</v>
      </c>
      <c r="J1612">
        <v>-191.07990000000001</v>
      </c>
      <c r="K1612">
        <v>1.110131</v>
      </c>
      <c r="L1612">
        <v>318.40469999999999</v>
      </c>
      <c r="M1612">
        <v>-3.2354359999999999E-2</v>
      </c>
      <c r="N1612">
        <v>-9.5513809999999994E-3</v>
      </c>
      <c r="O1612">
        <v>-0.99943090000000001</v>
      </c>
      <c r="P1612">
        <v>-3.9087410000000003E-2</v>
      </c>
      <c r="Q1612">
        <v>0.16477800000000001</v>
      </c>
      <c r="R1612">
        <v>-0.98555590000000004</v>
      </c>
      <c r="S1612">
        <v>-0.931427</v>
      </c>
      <c r="T1612">
        <v>-3.2870169999999997E-2</v>
      </c>
      <c r="U1612">
        <v>-3.0130919999999999</v>
      </c>
      <c r="V1612">
        <v>7.0893099999999997E-3</v>
      </c>
      <c r="W1612">
        <v>0.1741946</v>
      </c>
      <c r="X1612">
        <v>0.9846857</v>
      </c>
      <c r="Y1612">
        <v>0.26424550000000002</v>
      </c>
      <c r="Z1612">
        <v>9.571022E-4</v>
      </c>
      <c r="AA1612">
        <v>0.9644549</v>
      </c>
      <c r="AB1612">
        <v>21</v>
      </c>
      <c r="AC1612">
        <v>-29.184799999999999</v>
      </c>
      <c r="AD1612">
        <v>-1.03013132</v>
      </c>
      <c r="AE1612">
        <v>-94.219099999999997</v>
      </c>
      <c r="AF1612">
        <v>26.118132931987098</v>
      </c>
      <c r="AG1612">
        <v>-1.03013132</v>
      </c>
      <c r="AH1612">
        <v>95.103693377854199</v>
      </c>
      <c r="AI1612">
        <v>90.598429356173099</v>
      </c>
      <c r="AJ1612">
        <v>74.643568456892496</v>
      </c>
      <c r="AK1612">
        <v>98.630271886973404</v>
      </c>
      <c r="AL1612">
        <v>79.968207498043199</v>
      </c>
      <c r="AM1612">
        <v>89.587502362628996</v>
      </c>
      <c r="AN1612">
        <v>0.99999997238496197</v>
      </c>
    </row>
    <row r="1613" spans="1:40" x14ac:dyDescent="0.25">
      <c r="A1613" t="str">
        <f>"20190304155624935"</f>
        <v>20190304155624935</v>
      </c>
      <c r="B1613" t="str">
        <f>"1551686184926826"</f>
        <v>1551686184926826</v>
      </c>
      <c r="C1613" t="s">
        <v>40</v>
      </c>
      <c r="D1613">
        <v>4.8343030000000002</v>
      </c>
      <c r="E1613">
        <v>0.60504880000000005</v>
      </c>
      <c r="F1613" t="s">
        <v>55</v>
      </c>
      <c r="G1613">
        <v>-222.20750000000001</v>
      </c>
      <c r="H1613">
        <v>8.0000429999999997E-2</v>
      </c>
      <c r="I1613">
        <v>220.13149999999999</v>
      </c>
      <c r="J1613">
        <v>-191.08619999999999</v>
      </c>
      <c r="K1613">
        <v>1.110109</v>
      </c>
      <c r="L1613">
        <v>318.19779999999997</v>
      </c>
      <c r="M1613">
        <v>-3.198107E-2</v>
      </c>
      <c r="N1613">
        <v>-9.5434609999999996E-3</v>
      </c>
      <c r="O1613">
        <v>-0.99944299999999997</v>
      </c>
      <c r="P1613">
        <v>-3.9273370000000002E-2</v>
      </c>
      <c r="Q1613">
        <v>0.16532849999999999</v>
      </c>
      <c r="R1613">
        <v>-0.98545640000000001</v>
      </c>
      <c r="S1613">
        <v>-0.95384219999999997</v>
      </c>
      <c r="T1613">
        <v>-3.1566259999999999E-2</v>
      </c>
      <c r="U1613">
        <v>-3.0113829999999999</v>
      </c>
      <c r="V1613">
        <v>7.6556219999999999E-3</v>
      </c>
      <c r="W1613">
        <v>0.17473639999999999</v>
      </c>
      <c r="X1613">
        <v>0.9845855</v>
      </c>
      <c r="Y1613">
        <v>0.27129130000000001</v>
      </c>
      <c r="Z1613">
        <v>5.3524940000000004E-4</v>
      </c>
      <c r="AA1613">
        <v>0.96249709999999999</v>
      </c>
      <c r="AB1613">
        <v>21</v>
      </c>
      <c r="AC1613">
        <v>-31.121300000000002</v>
      </c>
      <c r="AD1613">
        <v>-1.0301085699999999</v>
      </c>
      <c r="AE1613">
        <v>-98.066299999999899</v>
      </c>
      <c r="AF1613">
        <v>27.966168055248598</v>
      </c>
      <c r="AG1613">
        <v>-1.0301085699999999</v>
      </c>
      <c r="AH1613">
        <v>99.001545570869695</v>
      </c>
      <c r="AI1613">
        <v>90.573691288747696</v>
      </c>
      <c r="AJ1613">
        <v>74.2259619363318</v>
      </c>
      <c r="AK1613">
        <v>102.88087142312401</v>
      </c>
      <c r="AL1613">
        <v>79.936681539677295</v>
      </c>
      <c r="AM1613">
        <v>89.554506956683596</v>
      </c>
      <c r="AN1613">
        <v>1.0000000124216999</v>
      </c>
    </row>
    <row r="1614" spans="1:40" x14ac:dyDescent="0.25">
      <c r="A1614" t="str">
        <f>"20190304155624958"</f>
        <v>20190304155624958</v>
      </c>
      <c r="B1614" t="str">
        <f>"1551686184956107"</f>
        <v>1551686184956107</v>
      </c>
      <c r="C1614" t="s">
        <v>40</v>
      </c>
      <c r="D1614">
        <v>4.8608310000000001</v>
      </c>
      <c r="E1614">
        <v>0.60784229999999995</v>
      </c>
      <c r="F1614" t="s">
        <v>55</v>
      </c>
      <c r="G1614">
        <v>-225.87530000000001</v>
      </c>
      <c r="H1614">
        <v>3.2961539999999998E-2</v>
      </c>
      <c r="I1614">
        <v>209.6163</v>
      </c>
      <c r="J1614">
        <v>-191.09280000000001</v>
      </c>
      <c r="K1614">
        <v>1.1100890000000001</v>
      </c>
      <c r="L1614">
        <v>317.97719999999998</v>
      </c>
      <c r="M1614">
        <v>-3.1625029999999998E-2</v>
      </c>
      <c r="N1614">
        <v>-9.536213E-3</v>
      </c>
      <c r="O1614">
        <v>-0.99945439999999997</v>
      </c>
      <c r="P1614">
        <v>-3.9771229999999998E-2</v>
      </c>
      <c r="Q1614">
        <v>0.16543629999999901</v>
      </c>
      <c r="R1614">
        <v>-0.98541860000000003</v>
      </c>
      <c r="S1614">
        <v>-0.96466059999999998</v>
      </c>
      <c r="T1614">
        <v>-2.986801E-2</v>
      </c>
      <c r="U1614">
        <v>-3.010834</v>
      </c>
      <c r="V1614">
        <v>8.5151800000000007E-3</v>
      </c>
      <c r="W1614">
        <v>0.17483689999999999</v>
      </c>
      <c r="X1614">
        <v>0.98456060000000001</v>
      </c>
      <c r="Y1614">
        <v>0.27482299999999998</v>
      </c>
      <c r="Z1614" s="1">
        <v>-5.3099069999999997E-6</v>
      </c>
      <c r="AA1614">
        <v>0.96149490000000004</v>
      </c>
      <c r="AB1614">
        <v>21</v>
      </c>
      <c r="AC1614">
        <v>-34.782499999999999</v>
      </c>
      <c r="AD1614">
        <v>-1.07712745999999</v>
      </c>
      <c r="AE1614">
        <v>-108.3609</v>
      </c>
      <c r="AF1614">
        <v>31.335221162753498</v>
      </c>
      <c r="AG1614">
        <v>-1.07712745999999</v>
      </c>
      <c r="AH1614">
        <v>109.39694133914</v>
      </c>
      <c r="AI1614">
        <v>90.542311487771002</v>
      </c>
      <c r="AJ1614">
        <v>74.016381598369705</v>
      </c>
      <c r="AK1614">
        <v>113.801349127517</v>
      </c>
      <c r="AL1614">
        <v>79.930833288469799</v>
      </c>
      <c r="AM1614">
        <v>89.504477721598604</v>
      </c>
      <c r="AN1614">
        <v>1.0000000124821999</v>
      </c>
    </row>
    <row r="1615" spans="1:40" x14ac:dyDescent="0.25">
      <c r="A1615" t="str">
        <f>"20190304155624980"</f>
        <v>20190304155624980</v>
      </c>
      <c r="B1615" t="str">
        <f>"1551686184976603"</f>
        <v>1551686184976603</v>
      </c>
      <c r="C1615" t="s">
        <v>40</v>
      </c>
      <c r="D1615">
        <v>4.3822599999999996</v>
      </c>
      <c r="E1615">
        <v>0.60803169999999995</v>
      </c>
      <c r="F1615" t="s">
        <v>55</v>
      </c>
      <c r="G1615">
        <v>-227.27260000000001</v>
      </c>
      <c r="H1615">
        <v>8.0001089999999997E-2</v>
      </c>
      <c r="I1615">
        <v>207.81290000000001</v>
      </c>
      <c r="J1615">
        <v>-191.09899999999999</v>
      </c>
      <c r="K1615">
        <v>1.1100620000000001</v>
      </c>
      <c r="L1615">
        <v>317.76900000000001</v>
      </c>
      <c r="M1615">
        <v>-3.13318E-2</v>
      </c>
      <c r="N1615">
        <v>-9.5306750000000006E-3</v>
      </c>
      <c r="O1615">
        <v>-0.99946369999999896</v>
      </c>
      <c r="P1615">
        <v>-4.0113210000000003E-2</v>
      </c>
      <c r="Q1615">
        <v>0.1655712</v>
      </c>
      <c r="R1615">
        <v>-0.98538190000000003</v>
      </c>
      <c r="S1615">
        <v>-0.98829650000000002</v>
      </c>
      <c r="T1615">
        <v>-2.8138159999999999E-2</v>
      </c>
      <c r="U1615">
        <v>-3.009277</v>
      </c>
      <c r="V1615">
        <v>9.1573220000000007E-3</v>
      </c>
      <c r="W1615">
        <v>0.1749655</v>
      </c>
      <c r="X1615">
        <v>0.98453199999999996</v>
      </c>
      <c r="Y1615">
        <v>0.2820742</v>
      </c>
      <c r="Z1615">
        <v>-5.6398419999999997E-4</v>
      </c>
      <c r="AA1615">
        <v>0.95939240000000003</v>
      </c>
      <c r="AB1615">
        <v>21</v>
      </c>
      <c r="AC1615">
        <v>-36.173599999999901</v>
      </c>
      <c r="AD1615">
        <v>-1.03006091</v>
      </c>
      <c r="AE1615">
        <v>-109.95610000000001</v>
      </c>
      <c r="AF1615">
        <v>32.707969820515999</v>
      </c>
      <c r="AG1615">
        <v>-1.03006091</v>
      </c>
      <c r="AH1615">
        <v>111.026754322854</v>
      </c>
      <c r="AI1615">
        <v>90.509887450966502</v>
      </c>
      <c r="AJ1615">
        <v>73.585269703089693</v>
      </c>
      <c r="AK1615">
        <v>115.748920041292</v>
      </c>
      <c r="AL1615">
        <v>79.923349784695404</v>
      </c>
      <c r="AM1615">
        <v>89.467096272400696</v>
      </c>
      <c r="AN1615">
        <v>1.00000002088023</v>
      </c>
    </row>
    <row r="1616" spans="1:40" x14ac:dyDescent="0.25">
      <c r="A1616" t="str">
        <f>"20190304155625002"</f>
        <v>20190304155625002</v>
      </c>
      <c r="B1616" t="str">
        <f>"1551686184996123"</f>
        <v>1551686184996123</v>
      </c>
      <c r="C1616" t="s">
        <v>40</v>
      </c>
      <c r="D1616">
        <v>4.8774490000000004</v>
      </c>
      <c r="E1616">
        <v>0.60957039999999996</v>
      </c>
      <c r="F1616" t="s">
        <v>44</v>
      </c>
      <c r="G1616">
        <v>-235.1833</v>
      </c>
      <c r="H1616">
        <v>-0.05</v>
      </c>
      <c r="I1616">
        <v>183.9529</v>
      </c>
      <c r="J1616">
        <v>-191.10550000000001</v>
      </c>
      <c r="K1616">
        <v>1.1100350000000001</v>
      </c>
      <c r="L1616">
        <v>317.55</v>
      </c>
      <c r="M1616">
        <v>-3.107335E-2</v>
      </c>
      <c r="N1616">
        <v>-9.5258289999999995E-3</v>
      </c>
      <c r="O1616">
        <v>-0.99947200000000003</v>
      </c>
      <c r="P1616">
        <v>-4.095733E-2</v>
      </c>
      <c r="Q1616">
        <v>0.16624349999999999</v>
      </c>
      <c r="R1616">
        <v>-0.98523430000000001</v>
      </c>
      <c r="S1616">
        <v>-0.99113459999999998</v>
      </c>
      <c r="T1616">
        <v>-2.6081320000000002E-2</v>
      </c>
      <c r="U1616">
        <v>-3.0085449999999998</v>
      </c>
      <c r="V1616">
        <v>1.027317E-2</v>
      </c>
      <c r="W1616">
        <v>0.1756316</v>
      </c>
      <c r="X1616">
        <v>0.98440240000000001</v>
      </c>
      <c r="Y1616">
        <v>0.28320859999999998</v>
      </c>
      <c r="Z1616">
        <v>-1.211937E-3</v>
      </c>
      <c r="AA1616">
        <v>0.95905759999999995</v>
      </c>
      <c r="AB1616">
        <v>22</v>
      </c>
      <c r="AC1616">
        <v>-44.077800000000003</v>
      </c>
      <c r="AD1616">
        <v>-1.1600349999999999</v>
      </c>
      <c r="AE1616">
        <v>-133.59710000000001</v>
      </c>
      <c r="AF1616">
        <v>39.902303459191799</v>
      </c>
      <c r="AG1616">
        <v>-1.1600349999999999</v>
      </c>
      <c r="AH1616">
        <v>134.89311573230799</v>
      </c>
      <c r="AI1616">
        <v>90.472475319934105</v>
      </c>
      <c r="AJ1616">
        <v>73.521423638241998</v>
      </c>
      <c r="AK1616">
        <v>140.67584076351</v>
      </c>
      <c r="AL1616">
        <v>79.884585008704704</v>
      </c>
      <c r="AM1616">
        <v>89.4020860612071</v>
      </c>
      <c r="AN1616">
        <v>1.00000004103308</v>
      </c>
    </row>
    <row r="1617" spans="1:40" x14ac:dyDescent="0.25">
      <c r="A1617" t="str">
        <f>"20190304155625025"</f>
        <v>20190304155625025</v>
      </c>
      <c r="B1617" t="str">
        <f>"1551686185016619"</f>
        <v>1551686185016619</v>
      </c>
      <c r="C1617" t="s">
        <v>40</v>
      </c>
      <c r="D1617">
        <v>4.8638070000000004</v>
      </c>
      <c r="E1617">
        <v>0.61133749999999998</v>
      </c>
      <c r="F1617" t="s">
        <v>56</v>
      </c>
      <c r="G1617">
        <v>-230.5471</v>
      </c>
      <c r="H1617">
        <v>0.18152389999999999</v>
      </c>
      <c r="I1617">
        <v>199.6327</v>
      </c>
      <c r="J1617">
        <v>-191.1121</v>
      </c>
      <c r="K1617">
        <v>1.1100000000000001</v>
      </c>
      <c r="L1617">
        <v>317.33069999999998</v>
      </c>
      <c r="M1617">
        <v>-3.087324E-2</v>
      </c>
      <c r="N1617">
        <v>-9.5217979999999997E-3</v>
      </c>
      <c r="O1617">
        <v>-0.99947819999999998</v>
      </c>
      <c r="P1617">
        <v>-4.0920060000000001E-2</v>
      </c>
      <c r="Q1617">
        <v>0.16630420000000001</v>
      </c>
      <c r="R1617">
        <v>-0.98522549999999998</v>
      </c>
      <c r="S1617">
        <v>-1.005844</v>
      </c>
      <c r="T1617">
        <v>-2.3679140000000001E-2</v>
      </c>
      <c r="U1617">
        <v>-3.0071409999999998</v>
      </c>
      <c r="V1617">
        <v>1.044952E-2</v>
      </c>
      <c r="W1617">
        <v>0.17568710000000001</v>
      </c>
      <c r="X1617">
        <v>0.9843906</v>
      </c>
      <c r="Y1617">
        <v>0.28775610000000001</v>
      </c>
      <c r="Z1617">
        <v>-1.976331E-3</v>
      </c>
      <c r="AA1617">
        <v>0.95770169999999999</v>
      </c>
      <c r="AB1617">
        <v>22</v>
      </c>
      <c r="AC1617">
        <v>-39.435000000000002</v>
      </c>
      <c r="AD1617">
        <v>-0.92847610000000003</v>
      </c>
      <c r="AE1617">
        <v>-117.697999999999</v>
      </c>
      <c r="AF1617">
        <v>35.780315617469697</v>
      </c>
      <c r="AG1617">
        <v>-0.92847610000000003</v>
      </c>
      <c r="AH1617">
        <v>118.85278058280301</v>
      </c>
      <c r="AI1617">
        <v>90.428585320510606</v>
      </c>
      <c r="AJ1617">
        <v>73.2457173288051</v>
      </c>
      <c r="AK1617">
        <v>124.125245239709</v>
      </c>
      <c r="AL1617">
        <v>79.881354463123699</v>
      </c>
      <c r="AM1617">
        <v>89.3918157007829</v>
      </c>
      <c r="AN1617">
        <v>1.0000000014715</v>
      </c>
    </row>
    <row r="1618" spans="1:40" x14ac:dyDescent="0.25">
      <c r="A1618" t="str">
        <f>"20190304155625049"</f>
        <v>20190304155625049</v>
      </c>
      <c r="B1618" t="str">
        <f>"1551686185045899"</f>
        <v>1551686185045899</v>
      </c>
      <c r="C1618" t="s">
        <v>40</v>
      </c>
      <c r="D1618">
        <v>4.7788830000000004</v>
      </c>
      <c r="E1618">
        <v>0.61506340000000004</v>
      </c>
      <c r="F1618" t="s">
        <v>56</v>
      </c>
      <c r="G1618">
        <v>-230.94730000000001</v>
      </c>
      <c r="H1618">
        <v>0.21789990000000001</v>
      </c>
      <c r="I1618">
        <v>199.8931</v>
      </c>
      <c r="J1618">
        <v>-191.1191</v>
      </c>
      <c r="K1618">
        <v>1.109953</v>
      </c>
      <c r="L1618">
        <v>317.09660000000002</v>
      </c>
      <c r="M1618">
        <v>-3.0732490000000001E-2</v>
      </c>
      <c r="N1618">
        <v>-9.5184480000000005E-3</v>
      </c>
      <c r="O1618">
        <v>-0.99948239999999999</v>
      </c>
      <c r="P1618">
        <v>-4.1302239999999997E-2</v>
      </c>
      <c r="Q1618">
        <v>0.16652069999999999</v>
      </c>
      <c r="R1618">
        <v>-0.98517270000000001</v>
      </c>
      <c r="S1618">
        <v>-1.019806</v>
      </c>
      <c r="T1618">
        <v>-2.283835E-2</v>
      </c>
      <c r="U1618">
        <v>-3.0064700000000002</v>
      </c>
      <c r="V1618">
        <v>1.099256E-2</v>
      </c>
      <c r="W1618">
        <v>0.17589920000000001</v>
      </c>
      <c r="X1618">
        <v>0.98434679999999997</v>
      </c>
      <c r="Y1618">
        <v>0.2919466</v>
      </c>
      <c r="Z1618">
        <v>-2.247125E-3</v>
      </c>
      <c r="AA1618">
        <v>0.95643199999999995</v>
      </c>
      <c r="AB1618">
        <v>22</v>
      </c>
      <c r="AC1618">
        <v>-39.828200000000002</v>
      </c>
      <c r="AD1618">
        <v>-0.89205309999999904</v>
      </c>
      <c r="AE1618">
        <v>-117.20350000000001</v>
      </c>
      <c r="AF1618">
        <v>36.205386737038303</v>
      </c>
      <c r="AG1618">
        <v>-0.89205309999999904</v>
      </c>
      <c r="AH1618">
        <v>118.366061458568</v>
      </c>
      <c r="AI1618">
        <v>90.412911748057795</v>
      </c>
      <c r="AJ1618">
        <v>72.992364066639396</v>
      </c>
      <c r="AK1618">
        <v>123.782673637005</v>
      </c>
      <c r="AL1618">
        <v>79.869009707687695</v>
      </c>
      <c r="AM1618">
        <v>89.360183713632196</v>
      </c>
      <c r="AN1618">
        <v>0.99999999380311599</v>
      </c>
    </row>
    <row r="1619" spans="1:40" x14ac:dyDescent="0.25">
      <c r="A1619" t="str">
        <f>"20190304155625072"</f>
        <v>20190304155625072</v>
      </c>
      <c r="B1619" t="str">
        <f>"1551686185066395"</f>
        <v>1551686185066395</v>
      </c>
      <c r="C1619" t="s">
        <v>40</v>
      </c>
      <c r="D1619">
        <v>4.8462769999999997</v>
      </c>
      <c r="E1619">
        <v>0.61536380000000002</v>
      </c>
      <c r="F1619" t="s">
        <v>56</v>
      </c>
      <c r="G1619">
        <v>-232.36670000000001</v>
      </c>
      <c r="H1619">
        <v>0.44320310000000002</v>
      </c>
      <c r="I1619">
        <v>199.18680000000001</v>
      </c>
      <c r="J1619">
        <v>-191.12549999999999</v>
      </c>
      <c r="K1619">
        <v>1.1099079999999999</v>
      </c>
      <c r="L1619">
        <v>316.88409999999999</v>
      </c>
      <c r="M1619">
        <v>-3.0674280000000002E-2</v>
      </c>
      <c r="N1619">
        <v>-9.5160130000000002E-3</v>
      </c>
      <c r="O1619">
        <v>-0.99948429999999999</v>
      </c>
      <c r="P1619">
        <v>-4.1689099999999903E-2</v>
      </c>
      <c r="Q1619">
        <v>0.16669059999999999</v>
      </c>
      <c r="R1619">
        <v>-0.98512789999999995</v>
      </c>
      <c r="S1619">
        <v>-1.0508580000000001</v>
      </c>
      <c r="T1619">
        <v>-1.6986729999999998E-2</v>
      </c>
      <c r="U1619">
        <v>-3.0039669999999998</v>
      </c>
      <c r="V1619">
        <v>1.145698E-2</v>
      </c>
      <c r="W1619">
        <v>0.1760649</v>
      </c>
      <c r="X1619">
        <v>0.98431190000000002</v>
      </c>
      <c r="Y1619">
        <v>0.3010679</v>
      </c>
      <c r="Z1619">
        <v>-4.1063870000000004E-3</v>
      </c>
      <c r="AA1619">
        <v>0.95359389999999999</v>
      </c>
      <c r="AB1619">
        <v>22</v>
      </c>
      <c r="AC1619">
        <v>-41.241199999999999</v>
      </c>
      <c r="AD1619">
        <v>-0.66670489999999905</v>
      </c>
      <c r="AE1619">
        <v>-117.697299999999</v>
      </c>
      <c r="AF1619">
        <v>37.610273867657</v>
      </c>
      <c r="AG1619">
        <v>-0.66670489999999905</v>
      </c>
      <c r="AH1619">
        <v>118.903613702822</v>
      </c>
      <c r="AI1619">
        <v>90.306302549886993</v>
      </c>
      <c r="AJ1619">
        <v>72.447372309284106</v>
      </c>
      <c r="AK1619">
        <v>124.71185407736399</v>
      </c>
      <c r="AL1619">
        <v>79.859365486371701</v>
      </c>
      <c r="AM1619">
        <v>89.333131136865902</v>
      </c>
      <c r="AN1619">
        <v>1.0000000139421701</v>
      </c>
    </row>
    <row r="1620" spans="1:40" x14ac:dyDescent="0.25">
      <c r="A1620" t="str">
        <f>"20190304155625092"</f>
        <v>20190304155625092</v>
      </c>
      <c r="B1620" t="str">
        <f>"1551686185085915"</f>
        <v>1551686185085915</v>
      </c>
      <c r="C1620" t="s">
        <v>40</v>
      </c>
      <c r="D1620">
        <v>5.0684079999999998</v>
      </c>
      <c r="E1620">
        <v>0.61472490000000002</v>
      </c>
      <c r="F1620" t="s">
        <v>56</v>
      </c>
      <c r="G1620">
        <v>-232.50219999999999</v>
      </c>
      <c r="H1620">
        <v>0.68788830000000001</v>
      </c>
      <c r="I1620">
        <v>199.01429999999999</v>
      </c>
      <c r="J1620">
        <v>-191.1319</v>
      </c>
      <c r="K1620">
        <v>1.1098680000000001</v>
      </c>
      <c r="L1620">
        <v>316.6755</v>
      </c>
      <c r="M1620">
        <v>-3.0675870000000001E-2</v>
      </c>
      <c r="N1620">
        <v>-9.5141710000000001E-3</v>
      </c>
      <c r="O1620">
        <v>-0.99948429999999999</v>
      </c>
      <c r="P1620">
        <v>-4.1893670000000001E-2</v>
      </c>
      <c r="Q1620">
        <v>0.16656099999999999</v>
      </c>
      <c r="R1620">
        <v>-0.98514100000000004</v>
      </c>
      <c r="S1620">
        <v>-1.054001</v>
      </c>
      <c r="T1620">
        <v>-1.0750289999999999E-2</v>
      </c>
      <c r="U1620">
        <v>-3.0025330000000001</v>
      </c>
      <c r="V1620">
        <v>1.167637E-2</v>
      </c>
      <c r="W1620">
        <v>0.17593259999999999</v>
      </c>
      <c r="X1620">
        <v>0.98433300000000001</v>
      </c>
      <c r="Y1620">
        <v>0.30209659999999999</v>
      </c>
      <c r="Z1620">
        <v>-6.0719019999999997E-3</v>
      </c>
      <c r="AA1620">
        <v>0.95325800000000005</v>
      </c>
      <c r="AB1620">
        <v>22</v>
      </c>
      <c r="AC1620">
        <v>-41.370299999999901</v>
      </c>
      <c r="AD1620">
        <v>-0.42197970000000001</v>
      </c>
      <c r="AE1620">
        <v>-117.66119999999999</v>
      </c>
      <c r="AF1620">
        <v>37.740874395217702</v>
      </c>
      <c r="AG1620">
        <v>-0.42197970000000001</v>
      </c>
      <c r="AH1620">
        <v>118.873588234708</v>
      </c>
      <c r="AI1620">
        <v>90.193853340244701</v>
      </c>
      <c r="AJ1620">
        <v>72.386009043156307</v>
      </c>
      <c r="AK1620">
        <v>124.721616597836</v>
      </c>
      <c r="AL1620">
        <v>79.867066145783497</v>
      </c>
      <c r="AM1620">
        <v>89.3203770019323</v>
      </c>
      <c r="AN1620">
        <v>1.00000003612406</v>
      </c>
    </row>
    <row r="1621" spans="1:40" x14ac:dyDescent="0.25">
      <c r="A1621" t="str">
        <f>"20190304155625115"</f>
        <v>20190304155625115</v>
      </c>
      <c r="B1621" t="str">
        <f>"1551686185106411"</f>
        <v>1551686185106411</v>
      </c>
      <c r="C1621" t="s">
        <v>40</v>
      </c>
      <c r="D1621">
        <v>4.7671960000000002</v>
      </c>
      <c r="E1621">
        <v>0.5432922</v>
      </c>
      <c r="F1621" t="s">
        <v>56</v>
      </c>
      <c r="G1621">
        <v>-232.27109999999999</v>
      </c>
      <c r="H1621">
        <v>0.74922999999999995</v>
      </c>
      <c r="I1621">
        <v>198.971</v>
      </c>
      <c r="J1621">
        <v>-191.1386</v>
      </c>
      <c r="K1621">
        <v>1.109829</v>
      </c>
      <c r="L1621">
        <v>316.45769999999999</v>
      </c>
      <c r="M1621">
        <v>-3.07324E-2</v>
      </c>
      <c r="N1621">
        <v>-9.5127219999999995E-3</v>
      </c>
      <c r="O1621">
        <v>-0.99948239999999999</v>
      </c>
      <c r="P1621">
        <v>-4.210937E-2</v>
      </c>
      <c r="Q1621">
        <v>0.16657069999999999</v>
      </c>
      <c r="R1621">
        <v>-0.98513010000000001</v>
      </c>
      <c r="S1621">
        <v>-1.0493159999999999</v>
      </c>
      <c r="T1621">
        <v>-9.1986659999999994E-3</v>
      </c>
      <c r="U1621">
        <v>-3.0022280000000001</v>
      </c>
      <c r="V1621">
        <v>1.185048E-2</v>
      </c>
      <c r="W1621">
        <v>0.17594009999999999</v>
      </c>
      <c r="X1621">
        <v>0.98432949999999997</v>
      </c>
      <c r="Y1621">
        <v>0.3007475</v>
      </c>
      <c r="Z1621">
        <v>-6.5586150000000003E-3</v>
      </c>
      <c r="AA1621">
        <v>0.95368120000000001</v>
      </c>
      <c r="AB1621">
        <v>22</v>
      </c>
      <c r="AC1621">
        <v>-41.132499999999901</v>
      </c>
      <c r="AD1621">
        <v>-0.360599</v>
      </c>
      <c r="AE1621">
        <v>-117.4867</v>
      </c>
      <c r="AF1621">
        <v>37.501942958041901</v>
      </c>
      <c r="AG1621">
        <v>-0.360599</v>
      </c>
      <c r="AH1621">
        <v>118.69436148152801</v>
      </c>
      <c r="AI1621">
        <v>90.165979208186897</v>
      </c>
      <c r="AJ1621">
        <v>72.465866906732202</v>
      </c>
      <c r="AK1621">
        <v>124.478420638979</v>
      </c>
      <c r="AL1621">
        <v>79.866628824600397</v>
      </c>
      <c r="AM1621">
        <v>89.310241450702094</v>
      </c>
      <c r="AN1621">
        <v>0.999999958617244</v>
      </c>
    </row>
    <row r="1622" spans="1:40" x14ac:dyDescent="0.25">
      <c r="A1622" t="str">
        <f>"20190304155625138"</f>
        <v>20190304155625138</v>
      </c>
      <c r="B1622" t="str">
        <f>"1551686185125931"</f>
        <v>1551686185125931</v>
      </c>
      <c r="C1622" t="s">
        <v>40</v>
      </c>
      <c r="D1622">
        <v>4.8610939999999996</v>
      </c>
      <c r="E1622">
        <v>0.53562460000000001</v>
      </c>
      <c r="F1622" t="s">
        <v>41</v>
      </c>
      <c r="G1622">
        <v>-201.54580000000001</v>
      </c>
      <c r="H1622">
        <v>7.9986509999999997E-2</v>
      </c>
      <c r="I1622">
        <v>250.9024</v>
      </c>
      <c r="J1622">
        <v>-191.1455</v>
      </c>
      <c r="K1622">
        <v>1.1097889999999999</v>
      </c>
      <c r="L1622">
        <v>316.23719999999997</v>
      </c>
      <c r="M1622">
        <v>-3.0853040000000002E-2</v>
      </c>
      <c r="N1622">
        <v>-9.5117269999999993E-3</v>
      </c>
      <c r="O1622">
        <v>-0.9994788</v>
      </c>
      <c r="P1622">
        <v>-4.2255050000000002E-2</v>
      </c>
      <c r="Q1622">
        <v>0.16571529999999901</v>
      </c>
      <c r="R1622">
        <v>-0.98526840000000004</v>
      </c>
      <c r="S1622">
        <v>-0.48146060000000002</v>
      </c>
      <c r="T1622">
        <v>-4.7642950000000003E-2</v>
      </c>
      <c r="U1622">
        <v>-3.0327449999999998</v>
      </c>
      <c r="V1622">
        <v>1.188578E-2</v>
      </c>
      <c r="W1622">
        <v>0.17508379999999901</v>
      </c>
      <c r="X1622">
        <v>0.98448179999999996</v>
      </c>
      <c r="Y1622">
        <v>0.12622529999999901</v>
      </c>
      <c r="Z1622">
        <v>6.0481459999999999E-3</v>
      </c>
      <c r="AA1622">
        <v>0.99198319999999995</v>
      </c>
      <c r="AB1622">
        <v>22</v>
      </c>
      <c r="AC1622">
        <v>-10.4003</v>
      </c>
      <c r="AD1622">
        <v>-1.02980249</v>
      </c>
      <c r="AE1622">
        <v>-65.334799999999902</v>
      </c>
      <c r="AF1622">
        <v>8.3774503208310591</v>
      </c>
      <c r="AG1622">
        <v>-1.02980249</v>
      </c>
      <c r="AH1622">
        <v>65.608691813922803</v>
      </c>
      <c r="AI1622">
        <v>90.892006933313397</v>
      </c>
      <c r="AJ1622">
        <v>82.723385901730794</v>
      </c>
      <c r="AK1622">
        <v>66.1493961316406</v>
      </c>
      <c r="AL1622">
        <v>79.916465333594402</v>
      </c>
      <c r="AM1622">
        <v>89.308294023083207</v>
      </c>
      <c r="AN1622">
        <v>1.0000000116599399</v>
      </c>
    </row>
    <row r="1623" spans="1:40" x14ac:dyDescent="0.25">
      <c r="A1623" t="str">
        <f>"20190304155625160"</f>
        <v>20190304155625160</v>
      </c>
      <c r="B1623" t="str">
        <f>"1551686185156188"</f>
        <v>1551686185156188</v>
      </c>
      <c r="C1623" t="s">
        <v>40</v>
      </c>
      <c r="D1623">
        <v>4.8823970000000001</v>
      </c>
      <c r="E1623">
        <v>0.53126309999999999</v>
      </c>
      <c r="F1623" t="s">
        <v>41</v>
      </c>
      <c r="G1623">
        <v>-198.01300000000001</v>
      </c>
      <c r="H1623" s="1">
        <v>-4.7350999999999998E-6</v>
      </c>
      <c r="I1623">
        <v>266.72430000000003</v>
      </c>
      <c r="J1623">
        <v>-191.15209999999999</v>
      </c>
      <c r="K1623">
        <v>1.1097509999999999</v>
      </c>
      <c r="L1623">
        <v>316.02859999999998</v>
      </c>
      <c r="M1623">
        <v>-3.1033459999999999E-2</v>
      </c>
      <c r="N1623">
        <v>-9.5112140000000005E-3</v>
      </c>
      <c r="O1623">
        <v>-0.9994731</v>
      </c>
      <c r="P1623">
        <v>-4.2398169999999999E-2</v>
      </c>
      <c r="Q1623">
        <v>0.16530520000000001</v>
      </c>
      <c r="R1623">
        <v>-0.98533099999999996</v>
      </c>
      <c r="S1623">
        <v>-0.421402</v>
      </c>
      <c r="T1623">
        <v>-6.8099140000000002E-2</v>
      </c>
      <c r="U1623">
        <v>-3.038208</v>
      </c>
      <c r="V1623">
        <v>1.186331E-2</v>
      </c>
      <c r="W1623">
        <v>0.17467299999999999</v>
      </c>
      <c r="X1623">
        <v>0.98455499999999996</v>
      </c>
      <c r="Y1623">
        <v>0.1065517</v>
      </c>
      <c r="Z1623">
        <v>1.273284E-2</v>
      </c>
      <c r="AA1623">
        <v>0.99422560000000004</v>
      </c>
      <c r="AB1623">
        <v>22</v>
      </c>
      <c r="AC1623">
        <v>-6.8609000000000098</v>
      </c>
      <c r="AD1623">
        <v>-1.1097557351</v>
      </c>
      <c r="AE1623">
        <v>-49.304299999999898</v>
      </c>
      <c r="AF1623">
        <v>5.3247964790535001</v>
      </c>
      <c r="AG1623">
        <v>-1.1097557351</v>
      </c>
      <c r="AH1623">
        <v>49.468891327866402</v>
      </c>
      <c r="AI1623">
        <v>91.277745609640903</v>
      </c>
      <c r="AJ1623">
        <v>83.856377061547903</v>
      </c>
      <c r="AK1623">
        <v>49.767019446046604</v>
      </c>
      <c r="AL1623">
        <v>79.940370414567994</v>
      </c>
      <c r="AM1623">
        <v>89.309652887622406</v>
      </c>
      <c r="AN1623">
        <v>0.99999997153907705</v>
      </c>
    </row>
    <row r="1624" spans="1:40" x14ac:dyDescent="0.25">
      <c r="A1624" t="str">
        <f>"20190304155625181"</f>
        <v>20190304155625181</v>
      </c>
      <c r="B1624" t="str">
        <f>"1551686185176683"</f>
        <v>1551686185176683</v>
      </c>
      <c r="C1624" t="s">
        <v>40</v>
      </c>
      <c r="D1624">
        <v>4.8750119999999999</v>
      </c>
      <c r="E1624">
        <v>0.5300726</v>
      </c>
      <c r="F1624" t="s">
        <v>53</v>
      </c>
      <c r="G1624">
        <v>-196.3682</v>
      </c>
      <c r="H1624" s="1">
        <v>4.6027129999999997E-6</v>
      </c>
      <c r="I1624">
        <v>275.048</v>
      </c>
      <c r="J1624">
        <v>-191.1593</v>
      </c>
      <c r="K1624">
        <v>1.1097049999999999</v>
      </c>
      <c r="L1624">
        <v>315.80520000000001</v>
      </c>
      <c r="M1624">
        <v>-3.130339E-2</v>
      </c>
      <c r="N1624">
        <v>-9.5111439999999992E-3</v>
      </c>
      <c r="O1624">
        <v>-0.99946480000000004</v>
      </c>
      <c r="P1624">
        <v>-4.272683E-2</v>
      </c>
      <c r="Q1624">
        <v>0.16552839999999999</v>
      </c>
      <c r="R1624">
        <v>-0.98527929999999997</v>
      </c>
      <c r="S1624">
        <v>-0.38716129999999999</v>
      </c>
      <c r="T1624">
        <v>-8.2370760000000001E-2</v>
      </c>
      <c r="U1624">
        <v>-3.041779</v>
      </c>
      <c r="V1624">
        <v>1.1947070000000001E-2</v>
      </c>
      <c r="W1624">
        <v>0.17489460000000001</v>
      </c>
      <c r="X1624">
        <v>0.98451469999999996</v>
      </c>
      <c r="Y1624">
        <v>9.5110959999999994E-2</v>
      </c>
      <c r="Z1624">
        <v>1.7390249999999999E-2</v>
      </c>
      <c r="AA1624">
        <v>0.99531480000000006</v>
      </c>
      <c r="AB1624">
        <v>22</v>
      </c>
      <c r="AC1624">
        <v>-5.2088999999999999</v>
      </c>
      <c r="AD1624">
        <v>-1.1097003972870001</v>
      </c>
      <c r="AE1624">
        <v>-40.757199999999997</v>
      </c>
      <c r="AF1624">
        <v>3.9275861732144999</v>
      </c>
      <c r="AG1624">
        <v>-1.1097003972870001</v>
      </c>
      <c r="AH1624">
        <v>40.870476874766602</v>
      </c>
      <c r="AI1624">
        <v>91.548163510695403</v>
      </c>
      <c r="AJ1624">
        <v>84.510824940145795</v>
      </c>
      <c r="AK1624">
        <v>41.073753761868403</v>
      </c>
      <c r="AL1624">
        <v>79.927475705305099</v>
      </c>
      <c r="AM1624">
        <v>89.304750765663897</v>
      </c>
      <c r="AN1624">
        <v>1.0000000240534099</v>
      </c>
    </row>
    <row r="1625" spans="1:40" x14ac:dyDescent="0.25">
      <c r="A1625" t="str">
        <f>"20190304155625204"</f>
        <v>20190304155625204</v>
      </c>
      <c r="B1625" t="str">
        <f>"1551686185196203"</f>
        <v>1551686185196203</v>
      </c>
      <c r="C1625" t="s">
        <v>40</v>
      </c>
      <c r="D1625">
        <v>4.8633170000000003</v>
      </c>
      <c r="E1625">
        <v>0.52906999999999904</v>
      </c>
      <c r="F1625" t="s">
        <v>53</v>
      </c>
      <c r="G1625">
        <v>-196.02860000000001</v>
      </c>
      <c r="H1625" s="1">
        <v>4.1011140000000004E-6</v>
      </c>
      <c r="I1625">
        <v>276.71319999999997</v>
      </c>
      <c r="J1625">
        <v>-191.16630000000001</v>
      </c>
      <c r="K1625">
        <v>1.1096549999999901</v>
      </c>
      <c r="L1625">
        <v>315.59300000000002</v>
      </c>
      <c r="M1625">
        <v>-3.163759E-2</v>
      </c>
      <c r="N1625">
        <v>-9.5115249999999998E-3</v>
      </c>
      <c r="O1625">
        <v>-0.99945439999999997</v>
      </c>
      <c r="P1625">
        <v>-4.3310229999999998E-2</v>
      </c>
      <c r="Q1625">
        <v>0.1657401</v>
      </c>
      <c r="R1625">
        <v>-0.98521829999999999</v>
      </c>
      <c r="S1625">
        <v>-0.37902829999999998</v>
      </c>
      <c r="T1625">
        <v>-8.6378689999999994E-2</v>
      </c>
      <c r="U1625">
        <v>-3.0429080000000002</v>
      </c>
      <c r="V1625">
        <v>1.2225690000000001E-2</v>
      </c>
      <c r="W1625">
        <v>0.17510400000000001</v>
      </c>
      <c r="X1625">
        <v>0.98447399999999996</v>
      </c>
      <c r="Y1625">
        <v>9.2109709999999997E-2</v>
      </c>
      <c r="Z1625">
        <v>1.8694700000000002E-2</v>
      </c>
      <c r="AA1625">
        <v>0.99557329999999999</v>
      </c>
      <c r="AB1625">
        <v>22</v>
      </c>
      <c r="AC1625">
        <v>-4.8623000000000003</v>
      </c>
      <c r="AD1625">
        <v>-1.1096508988860001</v>
      </c>
      <c r="AE1625">
        <v>-38.879800000000003</v>
      </c>
      <c r="AF1625">
        <v>3.62683844153073</v>
      </c>
      <c r="AG1625">
        <v>-1.1096508988860001</v>
      </c>
      <c r="AH1625">
        <v>38.982908581703803</v>
      </c>
      <c r="AI1625">
        <v>91.623480266028594</v>
      </c>
      <c r="AJ1625">
        <v>84.684694621340995</v>
      </c>
      <c r="AK1625">
        <v>39.1669815493592</v>
      </c>
      <c r="AL1625">
        <v>79.915289348836794</v>
      </c>
      <c r="AM1625">
        <v>89.288508957265506</v>
      </c>
      <c r="AN1625">
        <v>0.99999996749398701</v>
      </c>
    </row>
    <row r="1626" spans="1:40" x14ac:dyDescent="0.25">
      <c r="A1626" t="str">
        <f>"20190304155625227"</f>
        <v>20190304155625227</v>
      </c>
      <c r="B1626" t="str">
        <f>"1551686185216702"</f>
        <v>1551686185216702</v>
      </c>
      <c r="C1626" t="s">
        <v>40</v>
      </c>
      <c r="D1626">
        <v>4.9611460000000003</v>
      </c>
      <c r="E1626">
        <v>0.52837250000000002</v>
      </c>
      <c r="F1626" t="s">
        <v>53</v>
      </c>
      <c r="G1626">
        <v>-195.89179999999999</v>
      </c>
      <c r="H1626" s="1">
        <v>4.0359650000000001E-6</v>
      </c>
      <c r="I1626">
        <v>277.05079999999998</v>
      </c>
      <c r="J1626">
        <v>-191.17400000000001</v>
      </c>
      <c r="K1626">
        <v>1.1095820000000001</v>
      </c>
      <c r="L1626">
        <v>315.36270000000002</v>
      </c>
      <c r="M1626">
        <v>-3.209447E-2</v>
      </c>
      <c r="N1626">
        <v>-9.5161940000000004E-3</v>
      </c>
      <c r="O1626">
        <v>-0.99943970000000004</v>
      </c>
      <c r="P1626">
        <v>-4.3962269999999998E-2</v>
      </c>
      <c r="Q1626">
        <v>0.16623389999999999</v>
      </c>
      <c r="R1626">
        <v>-0.98510629999999999</v>
      </c>
      <c r="S1626">
        <v>-0.37313839999999998</v>
      </c>
      <c r="T1626">
        <v>-8.7619420000000003E-2</v>
      </c>
      <c r="U1626">
        <v>-3.0433349999999999</v>
      </c>
      <c r="V1626">
        <v>1.245951E-2</v>
      </c>
      <c r="W1626">
        <v>0.175599799999999</v>
      </c>
      <c r="X1626">
        <v>0.9843828</v>
      </c>
      <c r="Y1626">
        <v>8.973863E-2</v>
      </c>
      <c r="Z1626">
        <v>1.9096490000000001E-2</v>
      </c>
      <c r="AA1626">
        <v>0.99578230000000001</v>
      </c>
      <c r="AB1626">
        <v>22</v>
      </c>
      <c r="AC1626">
        <v>-4.71779999999998</v>
      </c>
      <c r="AD1626">
        <v>-1.1095779640350001</v>
      </c>
      <c r="AE1626">
        <v>-38.311900000000001</v>
      </c>
      <c r="AF1626">
        <v>3.4828360574623898</v>
      </c>
      <c r="AG1626">
        <v>-1.1095779640350001</v>
      </c>
      <c r="AH1626">
        <v>38.411845742192597</v>
      </c>
      <c r="AI1626">
        <v>91.647849702550999</v>
      </c>
      <c r="AJ1626">
        <v>84.819107691450995</v>
      </c>
      <c r="AK1626">
        <v>38.585375514350403</v>
      </c>
      <c r="AL1626">
        <v>79.886435491528204</v>
      </c>
      <c r="AM1626">
        <v>89.274835745386596</v>
      </c>
      <c r="AN1626">
        <v>1.0000000130426501</v>
      </c>
    </row>
    <row r="1627" spans="1:40" x14ac:dyDescent="0.25">
      <c r="A1627" t="str">
        <f>"20190304155625249"</f>
        <v>20190304155625249</v>
      </c>
      <c r="B1627" t="str">
        <f>"1551686185245981"</f>
        <v>1551686185245981</v>
      </c>
      <c r="C1627" t="s">
        <v>40</v>
      </c>
      <c r="D1627">
        <v>4.9062530000000004</v>
      </c>
      <c r="E1627">
        <v>0.52759</v>
      </c>
      <c r="F1627" t="s">
        <v>53</v>
      </c>
      <c r="G1627">
        <v>-195.85239999999999</v>
      </c>
      <c r="H1627" s="1">
        <v>4.0948969999999997E-6</v>
      </c>
      <c r="I1627">
        <v>276.85469999999998</v>
      </c>
      <c r="J1627">
        <v>-191.18170000000001</v>
      </c>
      <c r="K1627">
        <v>1.1095189999999999</v>
      </c>
      <c r="L1627">
        <v>315.1413</v>
      </c>
      <c r="M1627">
        <v>-3.2643150000000003E-2</v>
      </c>
      <c r="N1627">
        <v>-9.5268179999999994E-3</v>
      </c>
      <c r="O1627">
        <v>-0.99942169999999997</v>
      </c>
      <c r="P1627">
        <v>-4.494049E-2</v>
      </c>
      <c r="Q1627">
        <v>0.166791299999999</v>
      </c>
      <c r="R1627">
        <v>-0.98496779999999995</v>
      </c>
      <c r="S1627">
        <v>-0.36978149999999999</v>
      </c>
      <c r="T1627">
        <v>-8.7701799999999996E-2</v>
      </c>
      <c r="U1627">
        <v>-3.043701</v>
      </c>
      <c r="V1627">
        <v>1.2931669999999999E-2</v>
      </c>
      <c r="W1627">
        <v>0.17616399999999999</v>
      </c>
      <c r="X1627">
        <v>0.98427589999999998</v>
      </c>
      <c r="Y1627">
        <v>8.8095359999999998E-2</v>
      </c>
      <c r="Z1627">
        <v>1.9112730000000001E-2</v>
      </c>
      <c r="AA1627">
        <v>0.99592860000000005</v>
      </c>
      <c r="AB1627">
        <v>22</v>
      </c>
      <c r="AC1627">
        <v>-4.6706999999999796</v>
      </c>
      <c r="AD1627">
        <v>-1.109514905103</v>
      </c>
      <c r="AE1627">
        <v>-38.2866</v>
      </c>
      <c r="AF1627">
        <v>3.4155324354798098</v>
      </c>
      <c r="AG1627">
        <v>-1.109514905103</v>
      </c>
      <c r="AH1627">
        <v>38.386903002882498</v>
      </c>
      <c r="AI1627">
        <v>91.649074996351999</v>
      </c>
      <c r="AJ1627">
        <v>84.915411545252894</v>
      </c>
      <c r="AK1627">
        <v>38.554522527132498</v>
      </c>
      <c r="AL1627">
        <v>79.853597328872496</v>
      </c>
      <c r="AM1627">
        <v>89.247276616361106</v>
      </c>
      <c r="AN1627">
        <v>1.0000000151528901</v>
      </c>
    </row>
    <row r="1628" spans="1:40" x14ac:dyDescent="0.25">
      <c r="A1628" t="str">
        <f>"20190304155625273"</f>
        <v>20190304155625273</v>
      </c>
      <c r="B1628" t="str">
        <f>"1551686185266475"</f>
        <v>1551686185266475</v>
      </c>
      <c r="C1628" t="s">
        <v>40</v>
      </c>
      <c r="D1628">
        <v>4.8236160000000003</v>
      </c>
      <c r="E1628">
        <v>0.52725369999999905</v>
      </c>
      <c r="F1628" t="s">
        <v>53</v>
      </c>
      <c r="G1628">
        <v>-195.7953</v>
      </c>
      <c r="H1628" s="1">
        <v>4.1071869999999997E-6</v>
      </c>
      <c r="I1628">
        <v>276.84649999999999</v>
      </c>
      <c r="J1628">
        <v>-191.18979999999999</v>
      </c>
      <c r="K1628">
        <v>1.109443</v>
      </c>
      <c r="L1628">
        <v>314.91460000000001</v>
      </c>
      <c r="M1628">
        <v>-3.334165E-2</v>
      </c>
      <c r="N1628">
        <v>-9.5396890000000005E-3</v>
      </c>
      <c r="O1628">
        <v>-0.99939869999999997</v>
      </c>
      <c r="P1628">
        <v>-4.6309110000000001E-2</v>
      </c>
      <c r="Q1628">
        <v>0.16717839999999901</v>
      </c>
      <c r="R1628">
        <v>-0.98483889999999996</v>
      </c>
      <c r="S1628">
        <v>-0.36672969999999999</v>
      </c>
      <c r="T1628">
        <v>-8.8194010000000003E-2</v>
      </c>
      <c r="U1628">
        <v>-3.044006</v>
      </c>
      <c r="V1628">
        <v>1.364929E-2</v>
      </c>
      <c r="W1628">
        <v>0.17655960000000001</v>
      </c>
      <c r="X1628">
        <v>0.9841953</v>
      </c>
      <c r="Y1628">
        <v>8.6402889999999996E-2</v>
      </c>
      <c r="Z1628">
        <v>1.9260659999999999E-2</v>
      </c>
      <c r="AA1628">
        <v>0.99607409999999996</v>
      </c>
      <c r="AB1628">
        <v>22</v>
      </c>
      <c r="AC1628">
        <v>-4.6055000000000001</v>
      </c>
      <c r="AD1628">
        <v>-1.1094388928129999</v>
      </c>
      <c r="AE1628">
        <v>-38.068100000000001</v>
      </c>
      <c r="AF1628">
        <v>3.3308401932379899</v>
      </c>
      <c r="AG1628">
        <v>-1.1094388928129999</v>
      </c>
      <c r="AH1628">
        <v>38.168543982294203</v>
      </c>
      <c r="AI1628">
        <v>91.658638236837106</v>
      </c>
      <c r="AJ1628">
        <v>85.012625210437193</v>
      </c>
      <c r="AK1628">
        <v>38.329663457668097</v>
      </c>
      <c r="AL1628">
        <v>79.830569939665196</v>
      </c>
      <c r="AM1628">
        <v>89.205445730225904</v>
      </c>
      <c r="AN1628">
        <v>0.99999999200587697</v>
      </c>
    </row>
    <row r="1629" spans="1:40" x14ac:dyDescent="0.25">
      <c r="A1629" t="str">
        <f>"20190304155625293"</f>
        <v>20190304155625293</v>
      </c>
      <c r="B1629" t="str">
        <f>"1551686185285995"</f>
        <v>1551686185285995</v>
      </c>
      <c r="C1629" t="s">
        <v>40</v>
      </c>
      <c r="D1629">
        <v>4.8554690000000003</v>
      </c>
      <c r="E1629">
        <v>0.52709010000000001</v>
      </c>
      <c r="F1629" t="s">
        <v>53</v>
      </c>
      <c r="G1629">
        <v>-195.7285</v>
      </c>
      <c r="H1629" s="1">
        <v>3.989328E-6</v>
      </c>
      <c r="I1629">
        <v>277.33629999999999</v>
      </c>
      <c r="J1629">
        <v>-191.1978</v>
      </c>
      <c r="K1629">
        <v>1.109364</v>
      </c>
      <c r="L1629">
        <v>314.70269999999999</v>
      </c>
      <c r="M1629">
        <v>-3.4113289999999998E-2</v>
      </c>
      <c r="N1629">
        <v>-9.5503319999999999E-3</v>
      </c>
      <c r="O1629">
        <v>-0.9993727</v>
      </c>
      <c r="P1629">
        <v>-4.8093129999999998E-2</v>
      </c>
      <c r="Q1629">
        <v>0.16737579999999999</v>
      </c>
      <c r="R1629">
        <v>-0.98471960000000003</v>
      </c>
      <c r="S1629">
        <v>-0.3676758</v>
      </c>
      <c r="T1629">
        <v>-8.9874739999999995E-2</v>
      </c>
      <c r="U1629">
        <v>-3.0441889999999998</v>
      </c>
      <c r="V1629">
        <v>1.4708000000000001E-2</v>
      </c>
      <c r="W1629">
        <v>0.17676329999999901</v>
      </c>
      <c r="X1629">
        <v>0.98414349999999995</v>
      </c>
      <c r="Y1629">
        <v>8.5930229999999996E-2</v>
      </c>
      <c r="Z1629">
        <v>1.9795790000000001E-2</v>
      </c>
      <c r="AA1629">
        <v>0.99610449999999995</v>
      </c>
      <c r="AB1629">
        <v>22</v>
      </c>
      <c r="AC1629">
        <v>-4.5306999999999897</v>
      </c>
      <c r="AD1629">
        <v>-1.1093600106720001</v>
      </c>
      <c r="AE1629">
        <v>-37.366399999999999</v>
      </c>
      <c r="AF1629">
        <v>3.2504907178110098</v>
      </c>
      <c r="AG1629">
        <v>-1.1093600106720001</v>
      </c>
      <c r="AH1629">
        <v>37.466668462123799</v>
      </c>
      <c r="AI1629">
        <v>91.689646477988902</v>
      </c>
      <c r="AJ1629">
        <v>85.041613075642999</v>
      </c>
      <c r="AK1629">
        <v>37.623763968940601</v>
      </c>
      <c r="AL1629">
        <v>79.818712463569994</v>
      </c>
      <c r="AM1629">
        <v>89.143779750250502</v>
      </c>
      <c r="AN1629">
        <v>1.0000000090415699</v>
      </c>
    </row>
    <row r="1630" spans="1:40" x14ac:dyDescent="0.25">
      <c r="A1630" t="str">
        <f>"20190304155625316"</f>
        <v>20190304155625316</v>
      </c>
      <c r="B1630" t="str">
        <f>"1551686185306494"</f>
        <v>1551686185306494</v>
      </c>
      <c r="C1630" t="s">
        <v>40</v>
      </c>
      <c r="D1630">
        <v>4.8673209999999996</v>
      </c>
      <c r="E1630">
        <v>0.52677280000000004</v>
      </c>
      <c r="F1630" t="s">
        <v>53</v>
      </c>
      <c r="G1630">
        <v>-195.77549999999999</v>
      </c>
      <c r="H1630" s="1">
        <v>4.0188880000000003E-6</v>
      </c>
      <c r="I1630">
        <v>277.19319999999999</v>
      </c>
      <c r="J1630">
        <v>-191.2064</v>
      </c>
      <c r="K1630">
        <v>1.109294</v>
      </c>
      <c r="L1630">
        <v>314.47879999999998</v>
      </c>
      <c r="M1630">
        <v>-3.503481E-2</v>
      </c>
      <c r="N1630">
        <v>-9.5609470000000002E-3</v>
      </c>
      <c r="O1630">
        <v>-0.99934049999999996</v>
      </c>
      <c r="P1630">
        <v>-4.9829089999999999E-2</v>
      </c>
      <c r="Q1630">
        <v>0.16689570000000001</v>
      </c>
      <c r="R1630">
        <v>-0.98471500000000001</v>
      </c>
      <c r="S1630">
        <v>-0.37146000000000001</v>
      </c>
      <c r="T1630">
        <v>-9.0018870000000001E-2</v>
      </c>
      <c r="U1630">
        <v>-3.043701</v>
      </c>
      <c r="V1630">
        <v>1.5564120000000001E-2</v>
      </c>
      <c r="W1630">
        <v>0.17629069999999999</v>
      </c>
      <c r="X1630">
        <v>0.98421510000000001</v>
      </c>
      <c r="Y1630">
        <v>8.6250809999999997E-2</v>
      </c>
      <c r="Z1630">
        <v>1.9833590000000002E-2</v>
      </c>
      <c r="AA1630">
        <v>0.99607599999999996</v>
      </c>
      <c r="AB1630">
        <v>22</v>
      </c>
      <c r="AC1630">
        <v>-4.5690999999999899</v>
      </c>
      <c r="AD1630">
        <v>-1.1092899811120001</v>
      </c>
      <c r="AE1630">
        <v>-37.285599999999903</v>
      </c>
      <c r="AF1630">
        <v>3.2571009938855999</v>
      </c>
      <c r="AG1630">
        <v>-1.1092899811120001</v>
      </c>
      <c r="AH1630">
        <v>37.390187244897</v>
      </c>
      <c r="AI1630">
        <v>91.692942088748197</v>
      </c>
      <c r="AJ1630">
        <v>85.021468179642895</v>
      </c>
      <c r="AK1630">
        <v>37.548173502249398</v>
      </c>
      <c r="AL1630">
        <v>79.846222460037097</v>
      </c>
      <c r="AM1630">
        <v>89.094015054537905</v>
      </c>
      <c r="AN1630">
        <v>1.0000000079029301</v>
      </c>
    </row>
    <row r="1631" spans="1:40" x14ac:dyDescent="0.25">
      <c r="A1631" t="str">
        <f>"20190304155625338"</f>
        <v>20190304155625338</v>
      </c>
      <c r="B1631" t="str">
        <f>"1551686185336750"</f>
        <v>1551686185336750</v>
      </c>
      <c r="C1631" t="s">
        <v>40</v>
      </c>
      <c r="D1631">
        <v>4.8965860000000001</v>
      </c>
      <c r="E1631">
        <v>0.52650269999999899</v>
      </c>
      <c r="F1631" t="s">
        <v>53</v>
      </c>
      <c r="G1631">
        <v>-195.7397</v>
      </c>
      <c r="H1631" s="1">
        <v>3.9135979999999996E-6</v>
      </c>
      <c r="I1631">
        <v>277.6148</v>
      </c>
      <c r="J1631">
        <v>-191.21530000000001</v>
      </c>
      <c r="K1631">
        <v>1.1092229999999901</v>
      </c>
      <c r="L1631">
        <v>314.2561</v>
      </c>
      <c r="M1631">
        <v>-3.6057779999999998E-2</v>
      </c>
      <c r="N1631">
        <v>-9.573514E-3</v>
      </c>
      <c r="O1631">
        <v>-0.99930410000000003</v>
      </c>
      <c r="P1631">
        <v>-5.149455E-2</v>
      </c>
      <c r="Q1631">
        <v>0.16598209999999999</v>
      </c>
      <c r="R1631">
        <v>-0.98478350000000003</v>
      </c>
      <c r="S1631">
        <v>-0.37423709999999999</v>
      </c>
      <c r="T1631">
        <v>-9.1574669999999997E-2</v>
      </c>
      <c r="U1631">
        <v>-3.0432130000000002</v>
      </c>
      <c r="V1631">
        <v>1.6243319999999999E-2</v>
      </c>
      <c r="W1631">
        <v>0.1753876</v>
      </c>
      <c r="X1631">
        <v>0.9843655</v>
      </c>
      <c r="Y1631">
        <v>8.614426E-2</v>
      </c>
      <c r="Z1631">
        <v>2.033072E-2</v>
      </c>
      <c r="AA1631">
        <v>0.99607520000000005</v>
      </c>
      <c r="AB1631">
        <v>22</v>
      </c>
      <c r="AC1631">
        <v>-4.5243999999999804</v>
      </c>
      <c r="AD1631">
        <v>-1.109219086402</v>
      </c>
      <c r="AE1631">
        <v>-36.641300000000001</v>
      </c>
      <c r="AF1631">
        <v>3.1973073294580101</v>
      </c>
      <c r="AG1631">
        <v>-1.109219086402</v>
      </c>
      <c r="AH1631">
        <v>36.747447267925999</v>
      </c>
      <c r="AI1631">
        <v>91.722440584990096</v>
      </c>
      <c r="AJ1631">
        <v>85.027354467611502</v>
      </c>
      <c r="AK1631">
        <v>36.902954107356301</v>
      </c>
      <c r="AL1631">
        <v>79.898785661148196</v>
      </c>
      <c r="AM1631">
        <v>89.054630395891394</v>
      </c>
      <c r="AN1631">
        <v>1.00000004663431</v>
      </c>
    </row>
    <row r="1632" spans="1:40" x14ac:dyDescent="0.25">
      <c r="A1632" t="str">
        <f>"20190304155625360"</f>
        <v>20190304155625360</v>
      </c>
      <c r="B1632" t="str">
        <f>"1551686185356271"</f>
        <v>1551686185356271</v>
      </c>
      <c r="C1632" t="s">
        <v>40</v>
      </c>
      <c r="D1632">
        <v>4.9755060000000002</v>
      </c>
      <c r="E1632">
        <v>0.52646819999999905</v>
      </c>
      <c r="F1632" t="s">
        <v>53</v>
      </c>
      <c r="G1632">
        <v>-195.58500000000001</v>
      </c>
      <c r="H1632" s="1">
        <v>3.5774689999999998E-6</v>
      </c>
      <c r="I1632">
        <v>278.98779999999999</v>
      </c>
      <c r="J1632">
        <v>-191.2243</v>
      </c>
      <c r="K1632">
        <v>1.1091549999999999</v>
      </c>
      <c r="L1632">
        <v>314.04000000000002</v>
      </c>
      <c r="M1632">
        <v>-3.7157839999999998E-2</v>
      </c>
      <c r="N1632">
        <v>-9.5908320000000005E-3</v>
      </c>
      <c r="O1632">
        <v>-0.99926360000000003</v>
      </c>
      <c r="P1632">
        <v>-5.342653E-2</v>
      </c>
      <c r="Q1632">
        <v>0.16462889999999999</v>
      </c>
      <c r="R1632">
        <v>-0.98490759999999999</v>
      </c>
      <c r="S1632">
        <v>-0.37699890000000003</v>
      </c>
      <c r="T1632">
        <v>-9.5698119999999998E-2</v>
      </c>
      <c r="U1632">
        <v>-3.042786</v>
      </c>
      <c r="V1632">
        <v>1.7107959999999998E-2</v>
      </c>
      <c r="W1632">
        <v>0.17404900000000001</v>
      </c>
      <c r="X1632">
        <v>0.98458840000000003</v>
      </c>
      <c r="Y1632">
        <v>8.5951009999999994E-2</v>
      </c>
      <c r="Z1632">
        <v>2.165974E-2</v>
      </c>
      <c r="AA1632">
        <v>0.9960639</v>
      </c>
      <c r="AB1632">
        <v>22</v>
      </c>
      <c r="AC1632">
        <v>-4.3606999999999996</v>
      </c>
      <c r="AD1632">
        <v>-1.109151422531</v>
      </c>
      <c r="AE1632">
        <v>-35.052199999999999</v>
      </c>
      <c r="AF1632">
        <v>3.0521551446755502</v>
      </c>
      <c r="AG1632">
        <v>-1.109151422531</v>
      </c>
      <c r="AH1632">
        <v>35.155369131684402</v>
      </c>
      <c r="AI1632">
        <v>91.800313886564595</v>
      </c>
      <c r="AJ1632">
        <v>85.0380777838092</v>
      </c>
      <c r="AK1632">
        <v>35.305039961601302</v>
      </c>
      <c r="AL1632">
        <v>79.976679729736006</v>
      </c>
      <c r="AM1632">
        <v>89.004543142777806</v>
      </c>
      <c r="AN1632">
        <v>1.0000000270554601</v>
      </c>
    </row>
    <row r="1633" spans="1:40" x14ac:dyDescent="0.25">
      <c r="A1633" t="str">
        <f>"20190304155625383"</f>
        <v>20190304155625383</v>
      </c>
      <c r="B1633" t="str">
        <f>"1551686185376766"</f>
        <v>1551686185376766</v>
      </c>
      <c r="C1633" t="s">
        <v>40</v>
      </c>
      <c r="D1633">
        <v>4.9557120000000001</v>
      </c>
      <c r="E1633">
        <v>0.52648009999999901</v>
      </c>
      <c r="F1633" t="s">
        <v>53</v>
      </c>
      <c r="G1633">
        <v>-195.48339999999999</v>
      </c>
      <c r="H1633" s="1">
        <v>3.3799520000000002E-6</v>
      </c>
      <c r="I1633">
        <v>280.178</v>
      </c>
      <c r="J1633">
        <v>-191.23429999999999</v>
      </c>
      <c r="K1633">
        <v>1.1090880000000001</v>
      </c>
      <c r="L1633">
        <v>313.80849999999998</v>
      </c>
      <c r="M1633">
        <v>-3.8450999999999999E-2</v>
      </c>
      <c r="N1633">
        <v>-9.6119699999999992E-3</v>
      </c>
      <c r="O1633">
        <v>-0.99921450000000001</v>
      </c>
      <c r="P1633">
        <v>-5.4996150000000001E-2</v>
      </c>
      <c r="Q1633">
        <v>0.1631562</v>
      </c>
      <c r="R1633">
        <v>-0.98506640000000001</v>
      </c>
      <c r="S1633">
        <v>-0.38259890000000002</v>
      </c>
      <c r="T1633">
        <v>-9.9636669999999997E-2</v>
      </c>
      <c r="U1633">
        <v>-3.0418699999999999</v>
      </c>
      <c r="V1633">
        <v>1.7420560000000002E-2</v>
      </c>
      <c r="W1633">
        <v>0.172596</v>
      </c>
      <c r="X1633">
        <v>0.98483869999999896</v>
      </c>
      <c r="Y1633">
        <v>8.6499580000000006E-2</v>
      </c>
      <c r="Z1633">
        <v>2.2926720000000001E-2</v>
      </c>
      <c r="AA1633">
        <v>0.99598810000000004</v>
      </c>
      <c r="AB1633">
        <v>22</v>
      </c>
      <c r="AC1633">
        <v>-4.2490999999999897</v>
      </c>
      <c r="AD1633">
        <v>-1.10908462004799</v>
      </c>
      <c r="AE1633">
        <v>-33.630499999999898</v>
      </c>
      <c r="AF1633">
        <v>2.9496141176891499</v>
      </c>
      <c r="AG1633">
        <v>-1.10908462004799</v>
      </c>
      <c r="AH1633">
        <v>33.732906262935103</v>
      </c>
      <c r="AI1633">
        <v>91.875963467148793</v>
      </c>
      <c r="AJ1633">
        <v>85.002752223233003</v>
      </c>
      <c r="AK1633">
        <v>33.879776520538996</v>
      </c>
      <c r="AL1633">
        <v>80.061210187823704</v>
      </c>
      <c r="AM1633">
        <v>88.986615287690597</v>
      </c>
      <c r="AN1633">
        <v>1.0000000600721899</v>
      </c>
    </row>
    <row r="1634" spans="1:40" x14ac:dyDescent="0.25">
      <c r="A1634" t="str">
        <f>"20190304155625405"</f>
        <v>20190304155625405</v>
      </c>
      <c r="B1634" t="str">
        <f>"1551686185396286"</f>
        <v>1551686185396286</v>
      </c>
      <c r="C1634" t="s">
        <v>40</v>
      </c>
      <c r="D1634">
        <v>4.8876850000000003</v>
      </c>
      <c r="E1634">
        <v>0.52602890000000002</v>
      </c>
      <c r="F1634" t="s">
        <v>53</v>
      </c>
      <c r="G1634">
        <v>-195.42769999999999</v>
      </c>
      <c r="H1634" s="1">
        <v>3.3258E-6</v>
      </c>
      <c r="I1634">
        <v>280.91039999999998</v>
      </c>
      <c r="J1634">
        <v>-191.2439</v>
      </c>
      <c r="K1634">
        <v>1.1090199999999999</v>
      </c>
      <c r="L1634">
        <v>313.5951</v>
      </c>
      <c r="M1634">
        <v>-3.9742680000000002E-2</v>
      </c>
      <c r="N1634">
        <v>-9.6302260000000004E-3</v>
      </c>
      <c r="O1634">
        <v>-0.99916369999999999</v>
      </c>
      <c r="P1634">
        <v>-5.6488549999999998E-2</v>
      </c>
      <c r="Q1634">
        <v>0.162745899999999</v>
      </c>
      <c r="R1634">
        <v>-0.98504979999999998</v>
      </c>
      <c r="S1634">
        <v>-0.3876038</v>
      </c>
      <c r="T1634">
        <v>-0.1025146</v>
      </c>
      <c r="U1634">
        <v>-3.0408330000000001</v>
      </c>
      <c r="V1634">
        <v>1.7664180000000002E-2</v>
      </c>
      <c r="W1634">
        <v>0.17220139999999901</v>
      </c>
      <c r="X1634">
        <v>0.98490339999999998</v>
      </c>
      <c r="Y1634">
        <v>8.6863930000000006E-2</v>
      </c>
      <c r="Z1634">
        <v>2.3852709999999999E-2</v>
      </c>
      <c r="AA1634">
        <v>0.9959346</v>
      </c>
      <c r="AB1634">
        <v>22</v>
      </c>
      <c r="AC1634">
        <v>-4.18379999999999</v>
      </c>
      <c r="AD1634">
        <v>-1.1090166742000001</v>
      </c>
      <c r="AE1634">
        <v>-32.684699999999999</v>
      </c>
      <c r="AF1634">
        <v>2.8781964328287302</v>
      </c>
      <c r="AG1634">
        <v>-1.1090166742000001</v>
      </c>
      <c r="AH1634">
        <v>32.788017919223201</v>
      </c>
      <c r="AI1634">
        <v>91.929809418504405</v>
      </c>
      <c r="AJ1634">
        <v>84.983323502632999</v>
      </c>
      <c r="AK1634">
        <v>32.932780808199297</v>
      </c>
      <c r="AL1634">
        <v>80.084162426796993</v>
      </c>
      <c r="AM1634">
        <v>88.972513987356507</v>
      </c>
      <c r="AN1634">
        <v>1.0000000263742901</v>
      </c>
    </row>
    <row r="1635" spans="1:40" x14ac:dyDescent="0.25">
      <c r="A1635" t="str">
        <f>"20190304155625427"</f>
        <v>20190304155625427</v>
      </c>
      <c r="B1635" t="str">
        <f>"1551686185416786"</f>
        <v>1551686185416786</v>
      </c>
      <c r="C1635" t="s">
        <v>40</v>
      </c>
      <c r="D1635">
        <v>4.9000139999999996</v>
      </c>
      <c r="E1635">
        <v>0.52570950000000005</v>
      </c>
      <c r="F1635" t="s">
        <v>53</v>
      </c>
      <c r="G1635">
        <v>-195.3913</v>
      </c>
      <c r="H1635" s="1">
        <v>3.308763E-6</v>
      </c>
      <c r="I1635">
        <v>281.17919999999998</v>
      </c>
      <c r="J1635">
        <v>-191.25470000000001</v>
      </c>
      <c r="K1635">
        <v>1.1089530000000001</v>
      </c>
      <c r="L1635">
        <v>313.36500000000001</v>
      </c>
      <c r="M1635">
        <v>-4.1227109999999997E-2</v>
      </c>
      <c r="N1635">
        <v>-9.6480320000000008E-3</v>
      </c>
      <c r="O1635">
        <v>-0.99910350000000003</v>
      </c>
      <c r="P1635">
        <v>-5.8227069999999999E-2</v>
      </c>
      <c r="Q1635">
        <v>0.16259770000000001</v>
      </c>
      <c r="R1635">
        <v>-0.98497319999999999</v>
      </c>
      <c r="S1635">
        <v>-0.38899230000000001</v>
      </c>
      <c r="T1635">
        <v>-0.1040175</v>
      </c>
      <c r="U1635">
        <v>-3.040375</v>
      </c>
      <c r="V1635">
        <v>1.7966880000000001E-2</v>
      </c>
      <c r="W1635">
        <v>0.1720671</v>
      </c>
      <c r="X1635">
        <v>0.98492139999999995</v>
      </c>
      <c r="Y1635">
        <v>8.5848649999999999E-2</v>
      </c>
      <c r="Z1635">
        <v>2.4328499999999999E-2</v>
      </c>
      <c r="AA1635">
        <v>0.99601110000000004</v>
      </c>
      <c r="AB1635">
        <v>22</v>
      </c>
      <c r="AC1635">
        <v>-4.1365999999999801</v>
      </c>
      <c r="AD1635">
        <v>-1.1089496912369901</v>
      </c>
      <c r="AE1635">
        <v>-32.1858</v>
      </c>
      <c r="AF1635">
        <v>2.8028206156568598</v>
      </c>
      <c r="AG1635">
        <v>-1.1089496912369901</v>
      </c>
      <c r="AH1635">
        <v>32.291270348972603</v>
      </c>
      <c r="AI1635">
        <v>91.959521984952005</v>
      </c>
      <c r="AJ1635">
        <v>85.039268696149094</v>
      </c>
      <c r="AK1635">
        <v>32.431646790930699</v>
      </c>
      <c r="AL1635">
        <v>80.091973882519497</v>
      </c>
      <c r="AM1635">
        <v>88.954929570090897</v>
      </c>
      <c r="AN1635">
        <v>1.00000002992865</v>
      </c>
    </row>
    <row r="1636" spans="1:40" x14ac:dyDescent="0.25">
      <c r="A1636" t="str">
        <f>"20190304155625451"</f>
        <v>20190304155625451</v>
      </c>
      <c r="B1636" t="str">
        <f>"1551686185446063"</f>
        <v>1551686185446063</v>
      </c>
      <c r="C1636" t="s">
        <v>40</v>
      </c>
      <c r="D1636">
        <v>4.8779399999999997</v>
      </c>
      <c r="E1636">
        <v>0.52500249999999904</v>
      </c>
      <c r="F1636" t="s">
        <v>53</v>
      </c>
      <c r="G1636">
        <v>-195.38159999999999</v>
      </c>
      <c r="H1636" s="1">
        <v>3.2961640000000002E-6</v>
      </c>
      <c r="I1636">
        <v>281.34289999999999</v>
      </c>
      <c r="J1636">
        <v>-191.26609999999999</v>
      </c>
      <c r="K1636">
        <v>1.1088990000000001</v>
      </c>
      <c r="L1636">
        <v>313.13220000000001</v>
      </c>
      <c r="M1636">
        <v>-4.2818620000000002E-2</v>
      </c>
      <c r="N1636">
        <v>-9.6649049999999997E-3</v>
      </c>
      <c r="O1636">
        <v>-0.99903640000000005</v>
      </c>
      <c r="P1636">
        <v>-6.0569610000000003E-2</v>
      </c>
      <c r="Q1636">
        <v>0.16302039999999901</v>
      </c>
      <c r="R1636">
        <v>-0.98476200000000003</v>
      </c>
      <c r="S1636">
        <v>-0.39178469999999999</v>
      </c>
      <c r="T1636">
        <v>-0.1052768</v>
      </c>
      <c r="U1636">
        <v>-3.0399780000000001</v>
      </c>
      <c r="V1636">
        <v>1.8770780000000001E-2</v>
      </c>
      <c r="W1636">
        <v>0.17250109999999999</v>
      </c>
      <c r="X1636">
        <v>0.98483039999999999</v>
      </c>
      <c r="Y1636">
        <v>8.5176619999999995E-2</v>
      </c>
      <c r="Z1636">
        <v>2.4723459999999999E-2</v>
      </c>
      <c r="AA1636">
        <v>0.99605909999999998</v>
      </c>
      <c r="AB1636">
        <v>22</v>
      </c>
      <c r="AC1636">
        <v>-4.1154999999999902</v>
      </c>
      <c r="AD1636">
        <v>-1.1088957038359999</v>
      </c>
      <c r="AE1636">
        <v>-31.789300000000001</v>
      </c>
      <c r="AF1636">
        <v>2.7472003317313698</v>
      </c>
      <c r="AG1636">
        <v>-1.1088957038359999</v>
      </c>
      <c r="AH1636">
        <v>31.898196397338101</v>
      </c>
      <c r="AI1636">
        <v>91.983667705350797</v>
      </c>
      <c r="AJ1636">
        <v>85.077604555020301</v>
      </c>
      <c r="AK1636">
        <v>32.0354755349098</v>
      </c>
      <c r="AL1636">
        <v>80.066729191432202</v>
      </c>
      <c r="AM1636">
        <v>88.908079740198005</v>
      </c>
      <c r="AN1636">
        <v>0.99999994422358696</v>
      </c>
    </row>
    <row r="1637" spans="1:40" x14ac:dyDescent="0.25">
      <c r="A1637" t="str">
        <f>"20190304155625474"</f>
        <v>20190304155625474</v>
      </c>
      <c r="B1637" t="str">
        <f>"1551686185466559"</f>
        <v>1551686185466559</v>
      </c>
      <c r="C1637" t="s">
        <v>40</v>
      </c>
      <c r="D1637">
        <v>5.0023099999999996</v>
      </c>
      <c r="E1637">
        <v>0.51066290000000003</v>
      </c>
      <c r="F1637" t="s">
        <v>53</v>
      </c>
      <c r="G1637">
        <v>-195.4136</v>
      </c>
      <c r="H1637" s="1">
        <v>3.3157969999999998E-6</v>
      </c>
      <c r="I1637">
        <v>281.05329999999998</v>
      </c>
      <c r="J1637">
        <v>-191.27799999999999</v>
      </c>
      <c r="K1637">
        <v>1.1088559999999901</v>
      </c>
      <c r="L1637">
        <v>312.89780000000002</v>
      </c>
      <c r="M1637">
        <v>-4.4506509999999999E-2</v>
      </c>
      <c r="N1637">
        <v>-9.6810969999999996E-3</v>
      </c>
      <c r="O1637">
        <v>-0.99896220000000002</v>
      </c>
      <c r="P1637">
        <v>-6.2847600000000003E-2</v>
      </c>
      <c r="Q1637">
        <v>0.1638394</v>
      </c>
      <c r="R1637">
        <v>-0.9844832</v>
      </c>
      <c r="S1637">
        <v>-0.3930054</v>
      </c>
      <c r="T1637">
        <v>-0.1050749</v>
      </c>
      <c r="U1637">
        <v>-3.0396730000000001</v>
      </c>
      <c r="V1637">
        <v>1.9413960000000001E-2</v>
      </c>
      <c r="W1637">
        <v>0.17333100000000001</v>
      </c>
      <c r="X1637">
        <v>0.9846722</v>
      </c>
      <c r="Y1637">
        <v>8.3899719999999997E-2</v>
      </c>
      <c r="Z1637">
        <v>2.4643189999999999E-2</v>
      </c>
      <c r="AA1637">
        <v>0.99616939999999998</v>
      </c>
      <c r="AB1637">
        <v>22</v>
      </c>
      <c r="AC1637">
        <v>-4.1356000000000099</v>
      </c>
      <c r="AD1637">
        <v>-1.10885268420299</v>
      </c>
      <c r="AE1637">
        <v>-31.8445</v>
      </c>
      <c r="AF1637">
        <v>2.7109152239032599</v>
      </c>
      <c r="AG1637">
        <v>-1.10885268420299</v>
      </c>
      <c r="AH1637">
        <v>31.958904690537398</v>
      </c>
      <c r="AI1637">
        <v>91.980043896133793</v>
      </c>
      <c r="AJ1637">
        <v>85.151490047929101</v>
      </c>
      <c r="AK1637">
        <v>32.092837279450798</v>
      </c>
      <c r="AL1637">
        <v>80.0184521541685</v>
      </c>
      <c r="AM1637">
        <v>88.870493273555894</v>
      </c>
      <c r="AN1637">
        <v>0.99999993942835896</v>
      </c>
    </row>
    <row r="1638" spans="1:40" x14ac:dyDescent="0.25">
      <c r="A1638" t="str">
        <f>"20190304155625494"</f>
        <v>20190304155625494</v>
      </c>
      <c r="B1638" t="str">
        <f>"1551686185486078"</f>
        <v>1551686185486078</v>
      </c>
      <c r="C1638" t="s">
        <v>40</v>
      </c>
      <c r="D1638">
        <v>4.9257710000000001</v>
      </c>
      <c r="E1638">
        <v>0.52647119999999903</v>
      </c>
      <c r="F1638" t="s">
        <v>54</v>
      </c>
      <c r="G1638">
        <v>-211.3595</v>
      </c>
      <c r="H1638">
        <v>2.5809120000000001</v>
      </c>
      <c r="I1638">
        <v>98.089290000000005</v>
      </c>
      <c r="J1638">
        <v>-191.28870000000001</v>
      </c>
      <c r="K1638">
        <v>1.1088309999999999</v>
      </c>
      <c r="L1638">
        <v>312.69560000000001</v>
      </c>
      <c r="M1638">
        <v>-4.6008319999999998E-2</v>
      </c>
      <c r="N1638">
        <v>-9.6938849999999993E-3</v>
      </c>
      <c r="O1638">
        <v>-0.99889419999999995</v>
      </c>
      <c r="P1638">
        <v>-6.5099500000000005E-2</v>
      </c>
      <c r="Q1638">
        <v>0.16412889999999999</v>
      </c>
      <c r="R1638">
        <v>-0.98428890000000002</v>
      </c>
      <c r="S1638">
        <v>-0.28286739999999999</v>
      </c>
      <c r="T1638">
        <v>2.0735739999999999E-2</v>
      </c>
      <c r="U1638">
        <v>-3.0257869999999998</v>
      </c>
      <c r="V1638">
        <v>2.0202370000000001E-2</v>
      </c>
      <c r="W1638">
        <v>0.1736287</v>
      </c>
      <c r="X1638">
        <v>0.98460389999999998</v>
      </c>
      <c r="Y1638">
        <v>4.7157079999999997E-2</v>
      </c>
      <c r="Z1638">
        <v>-1.6495820000000001E-2</v>
      </c>
      <c r="AA1638">
        <v>0.99875130000000001</v>
      </c>
      <c r="AB1638">
        <v>22</v>
      </c>
      <c r="AC1638">
        <v>-20.070799999999899</v>
      </c>
      <c r="AD1638">
        <v>1.472081</v>
      </c>
      <c r="AE1638">
        <v>-214.60631000000001</v>
      </c>
      <c r="AF1638">
        <v>10.1749316044456</v>
      </c>
      <c r="AG1638">
        <v>1.472081</v>
      </c>
      <c r="AH1638">
        <v>215.292457669973</v>
      </c>
      <c r="AI1638">
        <v>89.608677975035405</v>
      </c>
      <c r="AJ1638">
        <v>87.294158948442501</v>
      </c>
      <c r="AK1638">
        <v>215.53778922778901</v>
      </c>
      <c r="AL1638">
        <v>80.001132702587299</v>
      </c>
      <c r="AM1638">
        <v>88.824554583749403</v>
      </c>
      <c r="AN1638">
        <v>0.99999995055625701</v>
      </c>
    </row>
    <row r="1639" spans="1:40" x14ac:dyDescent="0.25">
      <c r="A1639" t="str">
        <f>"20190304155625517"</f>
        <v>20190304155625517</v>
      </c>
      <c r="B1639" t="str">
        <f>"1551686185506574"</f>
        <v>1551686185506574</v>
      </c>
      <c r="C1639" t="s">
        <v>40</v>
      </c>
      <c r="D1639">
        <v>4.8651660000000003</v>
      </c>
      <c r="E1639">
        <v>0.57731580000000005</v>
      </c>
      <c r="F1639" t="s">
        <v>41</v>
      </c>
      <c r="G1639">
        <v>-198.38470000000001</v>
      </c>
      <c r="H1639" s="1">
        <v>-2.883247E-6</v>
      </c>
      <c r="I1639">
        <v>261.1096</v>
      </c>
      <c r="J1639">
        <v>-191.3013</v>
      </c>
      <c r="K1639">
        <v>1.1088039999999999</v>
      </c>
      <c r="L1639">
        <v>312.46589999999998</v>
      </c>
      <c r="M1639">
        <v>-4.7759839999999998E-2</v>
      </c>
      <c r="N1639">
        <v>-9.7069830000000006E-3</v>
      </c>
      <c r="O1639">
        <v>-0.99881180000000003</v>
      </c>
      <c r="P1639">
        <v>-6.7931439999999996E-2</v>
      </c>
      <c r="Q1639">
        <v>0.16424040000000001</v>
      </c>
      <c r="R1639">
        <v>-0.98407849999999997</v>
      </c>
      <c r="S1639">
        <v>-0.41696169999999999</v>
      </c>
      <c r="T1639">
        <v>-6.5155030000000003E-2</v>
      </c>
      <c r="U1639">
        <v>-3.0311889999999999</v>
      </c>
      <c r="V1639">
        <v>2.1321710000000001E-2</v>
      </c>
      <c r="W1639">
        <v>0.17374899999999999</v>
      </c>
      <c r="X1639">
        <v>0.98455910000000002</v>
      </c>
      <c r="Y1639">
        <v>8.8779319999999995E-2</v>
      </c>
      <c r="Z1639">
        <v>1.163638E-2</v>
      </c>
      <c r="AA1639">
        <v>0.99598339999999996</v>
      </c>
      <c r="AB1639">
        <v>23</v>
      </c>
      <c r="AC1639">
        <v>-7.0834000000000099</v>
      </c>
      <c r="AD1639">
        <v>-1.1088068832469999</v>
      </c>
      <c r="AE1639">
        <v>-51.356299999999898</v>
      </c>
      <c r="AF1639">
        <v>4.6203185125123998</v>
      </c>
      <c r="AG1639">
        <v>-1.1088068832469999</v>
      </c>
      <c r="AH1639">
        <v>51.612397182085303</v>
      </c>
      <c r="AI1639">
        <v>91.225815242629594</v>
      </c>
      <c r="AJ1639">
        <v>84.884543248866905</v>
      </c>
      <c r="AK1639">
        <v>51.830650572250498</v>
      </c>
      <c r="AL1639">
        <v>79.994133893987495</v>
      </c>
      <c r="AM1639">
        <v>88.759390807031394</v>
      </c>
      <c r="AN1639">
        <v>0.99999997585556599</v>
      </c>
    </row>
    <row r="1640" spans="1:40" x14ac:dyDescent="0.25">
      <c r="A1640" t="str">
        <f>"20190304155625538"</f>
        <v>20190304155625538</v>
      </c>
      <c r="B1640" t="str">
        <f>"1551686185526098"</f>
        <v>1551686185526098</v>
      </c>
      <c r="C1640" t="s">
        <v>40</v>
      </c>
      <c r="D1640">
        <v>4.8336430000000004</v>
      </c>
      <c r="E1640">
        <v>0.59942930000000005</v>
      </c>
      <c r="F1640" t="s">
        <v>44</v>
      </c>
      <c r="G1640">
        <v>-214.4359</v>
      </c>
      <c r="H1640">
        <v>-0.05</v>
      </c>
      <c r="I1640">
        <v>228.85050000000001</v>
      </c>
      <c r="J1640">
        <v>-191.3135</v>
      </c>
      <c r="K1640">
        <v>1.108781</v>
      </c>
      <c r="L1640">
        <v>312.24880000000002</v>
      </c>
      <c r="M1640">
        <v>-4.9450729999999998E-2</v>
      </c>
      <c r="N1640">
        <v>-9.7201760000000005E-3</v>
      </c>
      <c r="O1640">
        <v>-0.99872930000000004</v>
      </c>
      <c r="P1640">
        <v>-7.1014330000000001E-2</v>
      </c>
      <c r="Q1640">
        <v>0.16351099999999999</v>
      </c>
      <c r="R1640">
        <v>-0.98398229999999998</v>
      </c>
      <c r="S1640">
        <v>-0.82952879999999996</v>
      </c>
      <c r="T1640">
        <v>-4.1550869999999997E-2</v>
      </c>
      <c r="U1640">
        <v>-2.9981689999999999</v>
      </c>
      <c r="V1640">
        <v>2.2741600000000001E-2</v>
      </c>
      <c r="W1640">
        <v>0.1730286</v>
      </c>
      <c r="X1640">
        <v>0.98465420000000003</v>
      </c>
      <c r="Y1640">
        <v>0.21864549999999999</v>
      </c>
      <c r="Z1640">
        <v>3.757673E-3</v>
      </c>
      <c r="AA1640">
        <v>0.97579709999999997</v>
      </c>
      <c r="AB1640">
        <v>23</v>
      </c>
      <c r="AC1640">
        <v>-23.122399999999999</v>
      </c>
      <c r="AD1640">
        <v>-1.1587809999999901</v>
      </c>
      <c r="AE1640">
        <v>-83.398300000000006</v>
      </c>
      <c r="AF1640">
        <v>18.9664068000314</v>
      </c>
      <c r="AG1640">
        <v>-1.1587809999999901</v>
      </c>
      <c r="AH1640">
        <v>84.424596018860598</v>
      </c>
      <c r="AI1640">
        <v>90.767250619046095</v>
      </c>
      <c r="AJ1640">
        <v>77.338432983548998</v>
      </c>
      <c r="AK1640">
        <v>86.536580549834795</v>
      </c>
      <c r="AL1640">
        <v>80.036044671607002</v>
      </c>
      <c r="AM1640">
        <v>88.6769303487321</v>
      </c>
      <c r="AN1640">
        <v>0.99999998518307998</v>
      </c>
    </row>
    <row r="1641" spans="1:40" x14ac:dyDescent="0.25">
      <c r="A1641" t="str">
        <f>"20190304155625573"</f>
        <v>20190304155625573</v>
      </c>
      <c r="B1641" t="str">
        <f>"1551686185566110"</f>
        <v>1551686185566110</v>
      </c>
      <c r="C1641" t="s">
        <v>40</v>
      </c>
      <c r="D1641">
        <v>4.7310089999999896</v>
      </c>
      <c r="E1641">
        <v>0.6107901</v>
      </c>
      <c r="F1641" t="s">
        <v>44</v>
      </c>
      <c r="G1641">
        <v>-209.35939999999999</v>
      </c>
      <c r="H1641">
        <v>-0.05</v>
      </c>
      <c r="I1641">
        <v>259.16809999999998</v>
      </c>
      <c r="J1641">
        <v>-191.33430000000001</v>
      </c>
      <c r="K1641">
        <v>1.1087499999999999</v>
      </c>
      <c r="L1641">
        <v>311.89710000000002</v>
      </c>
      <c r="M1641">
        <v>-5.225084E-2</v>
      </c>
      <c r="N1641">
        <v>-9.7498040000000008E-3</v>
      </c>
      <c r="O1641">
        <v>-0.99858659999999999</v>
      </c>
      <c r="P1641">
        <v>-7.4925030000000004E-2</v>
      </c>
      <c r="Q1641">
        <v>0.1617545</v>
      </c>
      <c r="R1641">
        <v>-0.98398289999999999</v>
      </c>
      <c r="S1641">
        <v>-1.015274</v>
      </c>
      <c r="T1641">
        <v>-6.5193890000000004E-2</v>
      </c>
      <c r="U1641">
        <v>-2.9863590000000002</v>
      </c>
      <c r="V1641">
        <v>2.3889259999999999E-2</v>
      </c>
      <c r="W1641">
        <v>0.17129900000000001</v>
      </c>
      <c r="X1641">
        <v>0.98492939999999995</v>
      </c>
      <c r="Y1641">
        <v>0.2719066</v>
      </c>
      <c r="Z1641">
        <v>1.112105E-2</v>
      </c>
      <c r="AA1641">
        <v>0.96225939999999999</v>
      </c>
      <c r="AB1641">
        <v>23</v>
      </c>
      <c r="AC1641">
        <v>-18.025099999999899</v>
      </c>
      <c r="AD1641">
        <v>-1.1587499999999999</v>
      </c>
      <c r="AE1641">
        <v>-52.728999999999999</v>
      </c>
      <c r="AF1641">
        <v>15.238621158999599</v>
      </c>
      <c r="AG1641">
        <v>-1.1587499999999999</v>
      </c>
      <c r="AH1641">
        <v>53.5756701665441</v>
      </c>
      <c r="AI1641">
        <v>91.191760772465202</v>
      </c>
      <c r="AJ1641">
        <v>74.122565480226498</v>
      </c>
      <c r="AK1641">
        <v>55.712751773578098</v>
      </c>
      <c r="AL1641">
        <v>80.136645590528403</v>
      </c>
      <c r="AM1641">
        <v>88.610575074681904</v>
      </c>
      <c r="AN1641">
        <v>0.99999998356435305</v>
      </c>
    </row>
    <row r="1642" spans="1:40" x14ac:dyDescent="0.25">
      <c r="A1642" t="str">
        <f>"20190304155625594"</f>
        <v>20190304155625594</v>
      </c>
      <c r="B1642" t="str">
        <f>"1551686185586607"</f>
        <v>1551686185586607</v>
      </c>
      <c r="C1642" t="s">
        <v>40</v>
      </c>
      <c r="D1642">
        <v>4.6802359999999998</v>
      </c>
      <c r="E1642">
        <v>0.61347379999999996</v>
      </c>
      <c r="F1642" t="s">
        <v>53</v>
      </c>
      <c r="G1642">
        <v>-204.49289999999999</v>
      </c>
      <c r="H1642">
        <v>8.0001340000000004E-2</v>
      </c>
      <c r="I1642">
        <v>276.85309999999998</v>
      </c>
      <c r="J1642">
        <v>-191.3475</v>
      </c>
      <c r="K1642">
        <v>1.108725</v>
      </c>
      <c r="L1642">
        <v>311.68180000000001</v>
      </c>
      <c r="M1642">
        <v>-5.4000039999999999E-2</v>
      </c>
      <c r="N1642">
        <v>-9.768779E-3</v>
      </c>
      <c r="O1642">
        <v>-0.99849330000000003</v>
      </c>
      <c r="P1642">
        <v>-7.718593E-2</v>
      </c>
      <c r="Q1642">
        <v>0.16088089999999999</v>
      </c>
      <c r="R1642">
        <v>-0.98395109999999997</v>
      </c>
      <c r="S1642">
        <v>-1.118225</v>
      </c>
      <c r="T1642">
        <v>-8.7423559999999997E-2</v>
      </c>
      <c r="U1642">
        <v>-2.9780579999999999</v>
      </c>
      <c r="V1642">
        <v>2.442654E-2</v>
      </c>
      <c r="W1642">
        <v>0.1704426</v>
      </c>
      <c r="X1642">
        <v>0.98506479999999996</v>
      </c>
      <c r="Y1642">
        <v>0.30034549999999999</v>
      </c>
      <c r="Z1642">
        <v>1.79890999999999E-2</v>
      </c>
      <c r="AA1642">
        <v>0.95366079999999998</v>
      </c>
      <c r="AB1642">
        <v>23</v>
      </c>
      <c r="AC1642">
        <v>-13.145399999999899</v>
      </c>
      <c r="AD1642">
        <v>-1.02872366</v>
      </c>
      <c r="AE1642">
        <v>-34.828699999999998</v>
      </c>
      <c r="AF1642">
        <v>11.236796723553301</v>
      </c>
      <c r="AG1642">
        <v>-1.02872366</v>
      </c>
      <c r="AH1642">
        <v>35.460684728776101</v>
      </c>
      <c r="AI1642">
        <v>91.584111213306599</v>
      </c>
      <c r="AJ1642">
        <v>72.417610853944495</v>
      </c>
      <c r="AK1642">
        <v>37.212686471266203</v>
      </c>
      <c r="AL1642">
        <v>80.186446235336604</v>
      </c>
      <c r="AM1642">
        <v>88.579534154452901</v>
      </c>
      <c r="AN1642">
        <v>0.99999999797508499</v>
      </c>
    </row>
    <row r="1643" spans="1:40" x14ac:dyDescent="0.25">
      <c r="A1643" t="str">
        <f>"20190304155625617"</f>
        <v>20190304155625617</v>
      </c>
      <c r="B1643" t="str">
        <f>"1551686185606269"</f>
        <v>1551686185606269</v>
      </c>
      <c r="C1643" t="s">
        <v>40</v>
      </c>
      <c r="D1643">
        <v>4.4469820000000002</v>
      </c>
      <c r="E1643">
        <v>0.61179759999999905</v>
      </c>
      <c r="F1643" t="s">
        <v>53</v>
      </c>
      <c r="G1643">
        <v>-203.7945</v>
      </c>
      <c r="H1643">
        <v>8.0001260000000005E-2</v>
      </c>
      <c r="I1643">
        <v>279.39440000000002</v>
      </c>
      <c r="J1643">
        <v>-191.36259999999999</v>
      </c>
      <c r="K1643">
        <v>1.1087039999999999</v>
      </c>
      <c r="L1643">
        <v>311.44400000000002</v>
      </c>
      <c r="M1643">
        <v>-5.5957809999999997E-2</v>
      </c>
      <c r="N1643">
        <v>-9.7871490000000002E-3</v>
      </c>
      <c r="O1643">
        <v>-0.99838550000000004</v>
      </c>
      <c r="P1643">
        <v>-7.9755409999999999E-2</v>
      </c>
      <c r="Q1643">
        <v>0.16007469999999999</v>
      </c>
      <c r="R1643">
        <v>-0.98387780000000002</v>
      </c>
      <c r="S1643">
        <v>-1.146698</v>
      </c>
      <c r="T1643">
        <v>-9.4772460000000003E-2</v>
      </c>
      <c r="U1643">
        <v>-2.9745180000000002</v>
      </c>
      <c r="V1643">
        <v>2.506767E-2</v>
      </c>
      <c r="W1643">
        <v>0.16965269999999999</v>
      </c>
      <c r="X1643">
        <v>0.98518499999999998</v>
      </c>
      <c r="Y1643">
        <v>0.30679459999999997</v>
      </c>
      <c r="Z1643">
        <v>2.0247950000000001E-2</v>
      </c>
      <c r="AA1643">
        <v>0.95156030000000003</v>
      </c>
      <c r="AB1643">
        <v>23</v>
      </c>
      <c r="AC1643">
        <v>-12.431900000000001</v>
      </c>
      <c r="AD1643">
        <v>-1.0287027399999999</v>
      </c>
      <c r="AE1643">
        <v>-32.049599999999998</v>
      </c>
      <c r="AF1643">
        <v>10.6094076570047</v>
      </c>
      <c r="AG1643">
        <v>-1.0287027399999999</v>
      </c>
      <c r="AH1643">
        <v>32.665820788727203</v>
      </c>
      <c r="AI1643">
        <v>91.715586019553797</v>
      </c>
      <c r="AJ1643">
        <v>72.006918882516501</v>
      </c>
      <c r="AK1643">
        <v>34.360931418706301</v>
      </c>
      <c r="AL1643">
        <v>80.232372639209402</v>
      </c>
      <c r="AM1643">
        <v>88.542444462598795</v>
      </c>
      <c r="AN1643">
        <v>0.99999995546075804</v>
      </c>
    </row>
    <row r="1644" spans="1:40" x14ac:dyDescent="0.25">
      <c r="A1644" t="str">
        <f>"20190304155625640"</f>
        <v>20190304155625640</v>
      </c>
      <c r="B1644" t="str">
        <f>"1551686185636525"</f>
        <v>1551686185636525</v>
      </c>
      <c r="C1644" t="s">
        <v>40</v>
      </c>
      <c r="D1644">
        <v>4.8228839999999904</v>
      </c>
      <c r="E1644">
        <v>0.61387049999999999</v>
      </c>
      <c r="F1644" t="s">
        <v>53</v>
      </c>
      <c r="G1644">
        <v>-203.59049999999999</v>
      </c>
      <c r="H1644">
        <v>4.9841089999999998E-2</v>
      </c>
      <c r="I1644">
        <v>279.6046</v>
      </c>
      <c r="J1644">
        <v>-191.3776</v>
      </c>
      <c r="K1644">
        <v>1.1086800000000001</v>
      </c>
      <c r="L1644">
        <v>311.21559999999999</v>
      </c>
      <c r="M1644">
        <v>-5.7864110000000003E-2</v>
      </c>
      <c r="N1644">
        <v>-9.8032090000000002E-3</v>
      </c>
      <c r="O1644">
        <v>-0.99827659999999996</v>
      </c>
      <c r="P1644">
        <v>-8.1799339999999998E-2</v>
      </c>
      <c r="Q1644">
        <v>0.1593899</v>
      </c>
      <c r="R1644">
        <v>-0.98382130000000001</v>
      </c>
      <c r="S1644">
        <v>-1.1416470000000001</v>
      </c>
      <c r="T1644">
        <v>-9.8859909999999995E-2</v>
      </c>
      <c r="U1644">
        <v>-2.9726560000000002</v>
      </c>
      <c r="V1644">
        <v>2.523243E-2</v>
      </c>
      <c r="W1644">
        <v>0.16898299999999999</v>
      </c>
      <c r="X1644">
        <v>0.98529599999999995</v>
      </c>
      <c r="Y1644">
        <v>0.30375639999999998</v>
      </c>
      <c r="Z1644">
        <v>2.1562910000000001E-2</v>
      </c>
      <c r="AA1644">
        <v>0.95250570000000001</v>
      </c>
      <c r="AB1644">
        <v>23</v>
      </c>
      <c r="AC1644">
        <v>-12.2128999999999</v>
      </c>
      <c r="AD1644">
        <v>-1.05883891</v>
      </c>
      <c r="AE1644">
        <v>-31.610999999999901</v>
      </c>
      <c r="AF1644">
        <v>10.3530978978125</v>
      </c>
      <c r="AG1644">
        <v>-1.05883891</v>
      </c>
      <c r="AH1644">
        <v>32.233284209582798</v>
      </c>
      <c r="AI1644">
        <v>91.791373835314701</v>
      </c>
      <c r="AJ1644">
        <v>72.193357124211104</v>
      </c>
      <c r="AK1644">
        <v>33.871704811756402</v>
      </c>
      <c r="AL1644">
        <v>80.271306873808399</v>
      </c>
      <c r="AM1644">
        <v>88.533033902610697</v>
      </c>
      <c r="AN1644">
        <v>1.00000006871435</v>
      </c>
    </row>
    <row r="1645" spans="1:40" x14ac:dyDescent="0.25">
      <c r="A1645" t="str">
        <f>"20190304155625666"</f>
        <v>20190304155625666</v>
      </c>
      <c r="B1645" t="str">
        <f>"1551686185656045"</f>
        <v>1551686185656045</v>
      </c>
      <c r="C1645" t="s">
        <v>40</v>
      </c>
      <c r="D1645">
        <v>4.7283759999999999</v>
      </c>
      <c r="E1645">
        <v>0.61392780000000002</v>
      </c>
      <c r="F1645" t="s">
        <v>53</v>
      </c>
      <c r="G1645">
        <v>-203.7698</v>
      </c>
      <c r="H1645">
        <v>2.5753020000000001E-2</v>
      </c>
      <c r="I1645">
        <v>279.61559999999997</v>
      </c>
      <c r="J1645">
        <v>-191.3955</v>
      </c>
      <c r="K1645">
        <v>1.1086640000000001</v>
      </c>
      <c r="L1645">
        <v>310.95100000000002</v>
      </c>
      <c r="M1645">
        <v>-6.0105020000000002E-2</v>
      </c>
      <c r="N1645">
        <v>-9.8208240000000006E-3</v>
      </c>
      <c r="O1645">
        <v>-0.99814369999999997</v>
      </c>
      <c r="P1645">
        <v>-8.4609470000000006E-2</v>
      </c>
      <c r="Q1645">
        <v>0.15870999999999999</v>
      </c>
      <c r="R1645">
        <v>-0.98369340000000005</v>
      </c>
      <c r="S1645">
        <v>-1.164337</v>
      </c>
      <c r="T1645">
        <v>-0.1017489</v>
      </c>
      <c r="U1645">
        <v>-2.969055</v>
      </c>
      <c r="V1645">
        <v>2.5834449999999998E-2</v>
      </c>
      <c r="W1645">
        <v>0.16831840000000001</v>
      </c>
      <c r="X1645">
        <v>0.98539410000000005</v>
      </c>
      <c r="Y1645">
        <v>0.3083167</v>
      </c>
      <c r="Z1645">
        <v>2.2427160000000002E-2</v>
      </c>
      <c r="AA1645">
        <v>0.95101930000000001</v>
      </c>
      <c r="AB1645">
        <v>23</v>
      </c>
      <c r="AC1645">
        <v>-12.3743</v>
      </c>
      <c r="AD1645">
        <v>-1.0829109800000001</v>
      </c>
      <c r="AE1645">
        <v>-31.3354</v>
      </c>
      <c r="AF1645">
        <v>10.4576154220434</v>
      </c>
      <c r="AG1645">
        <v>-1.0829109800000001</v>
      </c>
      <c r="AH1645">
        <v>31.989484378272401</v>
      </c>
      <c r="AI1645">
        <v>91.842936068095</v>
      </c>
      <c r="AJ1645">
        <v>71.897022154079394</v>
      </c>
      <c r="AK1645">
        <v>33.672860396671098</v>
      </c>
      <c r="AL1645">
        <v>80.309938516875704</v>
      </c>
      <c r="AM1645">
        <v>88.498198892448599</v>
      </c>
      <c r="AN1645">
        <v>1.00000001745008</v>
      </c>
    </row>
    <row r="1646" spans="1:40" x14ac:dyDescent="0.25">
      <c r="A1646" t="str">
        <f>"20190304155625688"</f>
        <v>20190304155625688</v>
      </c>
      <c r="B1646" t="str">
        <f>"1551686185676541"</f>
        <v>1551686185676541</v>
      </c>
      <c r="C1646" t="s">
        <v>40</v>
      </c>
      <c r="D1646">
        <v>4.9747070000000004</v>
      </c>
      <c r="E1646">
        <v>0.61401609999999995</v>
      </c>
      <c r="F1646" t="s">
        <v>53</v>
      </c>
      <c r="G1646">
        <v>-203.7911</v>
      </c>
      <c r="H1646">
        <v>1.698846E-2</v>
      </c>
      <c r="I1646">
        <v>279.61559999999997</v>
      </c>
      <c r="J1646">
        <v>-191.41120000000001</v>
      </c>
      <c r="K1646">
        <v>1.1086549999999999</v>
      </c>
      <c r="L1646">
        <v>310.72669999999999</v>
      </c>
      <c r="M1646">
        <v>-6.2027039999999999E-2</v>
      </c>
      <c r="N1646">
        <v>-9.8345910000000002E-3</v>
      </c>
      <c r="O1646">
        <v>-0.99802599999999997</v>
      </c>
      <c r="P1646">
        <v>-8.6748859999999997E-2</v>
      </c>
      <c r="Q1646">
        <v>0.15849240000000001</v>
      </c>
      <c r="R1646">
        <v>-0.98354189999999997</v>
      </c>
      <c r="S1646">
        <v>-1.1730799999999999</v>
      </c>
      <c r="T1646">
        <v>-0.10331269999999999</v>
      </c>
      <c r="U1646">
        <v>-2.9654850000000001</v>
      </c>
      <c r="V1646">
        <v>2.6082169999999998E-2</v>
      </c>
      <c r="W1646">
        <v>0.16811389999999901</v>
      </c>
      <c r="X1646">
        <v>0.98542240000000003</v>
      </c>
      <c r="Y1646">
        <v>0.30929570000000001</v>
      </c>
      <c r="Z1646">
        <v>2.2919800000000001E-2</v>
      </c>
      <c r="AA1646">
        <v>0.95068969999999997</v>
      </c>
      <c r="AB1646">
        <v>23</v>
      </c>
      <c r="AC1646">
        <v>-12.3798999999999</v>
      </c>
      <c r="AD1646">
        <v>-1.0916665400000001</v>
      </c>
      <c r="AE1646">
        <v>-31.1111</v>
      </c>
      <c r="AF1646">
        <v>10.4151662471881</v>
      </c>
      <c r="AG1646">
        <v>-1.0916665400000001</v>
      </c>
      <c r="AH1646">
        <v>31.785328415326699</v>
      </c>
      <c r="AI1646">
        <v>91.869328423469</v>
      </c>
      <c r="AJ1646">
        <v>71.857472059073103</v>
      </c>
      <c r="AK1646">
        <v>33.466020472432902</v>
      </c>
      <c r="AL1646">
        <v>80.321824074078904</v>
      </c>
      <c r="AM1646">
        <v>88.483848714536705</v>
      </c>
      <c r="AN1646">
        <v>0.99999993469343695</v>
      </c>
    </row>
    <row r="1647" spans="1:40" x14ac:dyDescent="0.25">
      <c r="A1647" t="str">
        <f>"20190304155625709"</f>
        <v>20190304155625709</v>
      </c>
      <c r="B1647" t="str">
        <f>"1551686185706305"</f>
        <v>1551686185706305</v>
      </c>
      <c r="C1647" t="s">
        <v>40</v>
      </c>
      <c r="D1647">
        <v>4.793361</v>
      </c>
      <c r="E1647">
        <v>0.61526669999999895</v>
      </c>
      <c r="F1647" t="s">
        <v>53</v>
      </c>
      <c r="G1647">
        <v>-203.80250000000001</v>
      </c>
      <c r="H1647">
        <v>3.0529790000000001E-2</v>
      </c>
      <c r="I1647">
        <v>279.61559999999997</v>
      </c>
      <c r="J1647">
        <v>-191.42660000000001</v>
      </c>
      <c r="K1647">
        <v>1.1086450000000001</v>
      </c>
      <c r="L1647">
        <v>310.51249999999999</v>
      </c>
      <c r="M1647">
        <v>-6.387495E-2</v>
      </c>
      <c r="N1647">
        <v>-9.8506689999999994E-3</v>
      </c>
      <c r="O1647">
        <v>-0.99790959999999995</v>
      </c>
      <c r="P1647">
        <v>-8.9141289999999998E-2</v>
      </c>
      <c r="Q1647">
        <v>0.15818699999999999</v>
      </c>
      <c r="R1647">
        <v>-0.98337750000000002</v>
      </c>
      <c r="S1647">
        <v>-1.1800079999999999</v>
      </c>
      <c r="T1647">
        <v>-0.10266889999999899</v>
      </c>
      <c r="U1647">
        <v>-2.9626769999999998</v>
      </c>
      <c r="V1647">
        <v>2.6654710000000002E-2</v>
      </c>
      <c r="W1647">
        <v>0.16782250000000001</v>
      </c>
      <c r="X1647">
        <v>0.98545680000000002</v>
      </c>
      <c r="Y1647">
        <v>0.30976500000000001</v>
      </c>
      <c r="Z1647">
        <v>2.2711619999999998E-2</v>
      </c>
      <c r="AA1647">
        <v>0.95054190000000005</v>
      </c>
      <c r="AB1647">
        <v>23</v>
      </c>
      <c r="AC1647">
        <v>-12.3759</v>
      </c>
      <c r="AD1647">
        <v>-1.07811521</v>
      </c>
      <c r="AE1647">
        <v>-30.896899999999999</v>
      </c>
      <c r="AF1647">
        <v>10.3661151885472</v>
      </c>
      <c r="AG1647">
        <v>-1.07811521</v>
      </c>
      <c r="AH1647">
        <v>31.591200912646698</v>
      </c>
      <c r="AI1647">
        <v>91.857223127985193</v>
      </c>
      <c r="AJ1647">
        <v>71.833630216640202</v>
      </c>
      <c r="AK1647">
        <v>33.2659383095002</v>
      </c>
      <c r="AL1647">
        <v>80.338761183301003</v>
      </c>
      <c r="AM1647">
        <v>88.4506371891638</v>
      </c>
      <c r="AN1647">
        <v>0.99999998486883601</v>
      </c>
    </row>
    <row r="1648" spans="1:40" x14ac:dyDescent="0.25">
      <c r="A1648" t="str">
        <f>"20190304155625730"</f>
        <v>20190304155625730</v>
      </c>
      <c r="B1648" t="str">
        <f>"1551686185725824"</f>
        <v>1551686185725824</v>
      </c>
      <c r="C1648" t="s">
        <v>40</v>
      </c>
      <c r="D1648">
        <v>4.7532589999999999</v>
      </c>
      <c r="E1648">
        <v>0.6157705</v>
      </c>
      <c r="F1648" t="s">
        <v>53</v>
      </c>
      <c r="G1648">
        <v>-203.92740000000001</v>
      </c>
      <c r="H1648">
        <v>2.4101520000000001E-2</v>
      </c>
      <c r="I1648">
        <v>279.6157</v>
      </c>
      <c r="J1648">
        <v>-191.4427</v>
      </c>
      <c r="K1648">
        <v>1.1086389999999999</v>
      </c>
      <c r="L1648">
        <v>310.29520000000002</v>
      </c>
      <c r="M1648">
        <v>-6.5759590000000007E-2</v>
      </c>
      <c r="N1648">
        <v>-9.8710110000000007E-3</v>
      </c>
      <c r="O1648">
        <v>-0.99778659999999997</v>
      </c>
      <c r="P1648">
        <v>-9.1189569999999998E-2</v>
      </c>
      <c r="Q1648">
        <v>0.1585772</v>
      </c>
      <c r="R1648">
        <v>-0.98312650000000001</v>
      </c>
      <c r="S1648">
        <v>-1.1971889999999901</v>
      </c>
      <c r="T1648">
        <v>-0.1038656</v>
      </c>
      <c r="U1648">
        <v>-2.9589539999999999</v>
      </c>
      <c r="V1648">
        <v>2.6854550000000001E-2</v>
      </c>
      <c r="W1648">
        <v>0.16823099999999999</v>
      </c>
      <c r="X1648">
        <v>0.98538170000000003</v>
      </c>
      <c r="Y1648">
        <v>0.31312659999999998</v>
      </c>
      <c r="Z1648">
        <v>2.3054069999999999E-2</v>
      </c>
      <c r="AA1648">
        <v>0.94943149999999998</v>
      </c>
      <c r="AB1648">
        <v>23</v>
      </c>
      <c r="AC1648">
        <v>-12.4847</v>
      </c>
      <c r="AD1648">
        <v>-1.0845374799999901</v>
      </c>
      <c r="AE1648">
        <v>-30.679500000000001</v>
      </c>
      <c r="AF1648">
        <v>10.428923343595001</v>
      </c>
      <c r="AG1648">
        <v>-1.0845374799999901</v>
      </c>
      <c r="AH1648">
        <v>31.400451380374001</v>
      </c>
      <c r="AI1648">
        <v>91.877388262780002</v>
      </c>
      <c r="AJ1648">
        <v>71.627303319902694</v>
      </c>
      <c r="AK1648">
        <v>33.104788332555998</v>
      </c>
      <c r="AL1648">
        <v>80.315018100904297</v>
      </c>
      <c r="AM1648">
        <v>88.438907872310097</v>
      </c>
      <c r="AN1648">
        <v>0.99999996545579495</v>
      </c>
    </row>
    <row r="1649" spans="1:40" x14ac:dyDescent="0.25">
      <c r="A1649" t="str">
        <f>"20190304155625752"</f>
        <v>20190304155625752</v>
      </c>
      <c r="B1649" t="str">
        <f>"1551686185746321"</f>
        <v>1551686185746321</v>
      </c>
      <c r="C1649" t="s">
        <v>40</v>
      </c>
      <c r="D1649">
        <v>4.7305869999999999</v>
      </c>
      <c r="E1649">
        <v>0.61557589999999995</v>
      </c>
      <c r="F1649" t="s">
        <v>53</v>
      </c>
      <c r="G1649">
        <v>-203.98419999999999</v>
      </c>
      <c r="H1649">
        <v>6.5497440000000004E-2</v>
      </c>
      <c r="I1649">
        <v>279.60019999999997</v>
      </c>
      <c r="J1649">
        <v>-191.46010000000001</v>
      </c>
      <c r="K1649">
        <v>1.108635</v>
      </c>
      <c r="L1649">
        <v>310.06630000000001</v>
      </c>
      <c r="M1649">
        <v>-6.7754229999999999E-2</v>
      </c>
      <c r="N1649">
        <v>-9.8922279999999994E-3</v>
      </c>
      <c r="O1649">
        <v>-0.99765320000000002</v>
      </c>
      <c r="P1649">
        <v>-9.3705910000000003E-2</v>
      </c>
      <c r="Q1649">
        <v>0.15872539999999999</v>
      </c>
      <c r="R1649">
        <v>-0.98286589999999996</v>
      </c>
      <c r="S1649">
        <v>-1.207657</v>
      </c>
      <c r="T1649">
        <v>-0.10044649999999999</v>
      </c>
      <c r="U1649">
        <v>-2.9556879999999999</v>
      </c>
      <c r="V1649">
        <v>2.7412679999999998E-2</v>
      </c>
      <c r="W1649">
        <v>0.1683974</v>
      </c>
      <c r="X1649">
        <v>0.98533800000000005</v>
      </c>
      <c r="Y1649">
        <v>0.31448779999999998</v>
      </c>
      <c r="Z1649">
        <v>2.1957629999999999E-2</v>
      </c>
      <c r="AA1649">
        <v>0.9490075</v>
      </c>
      <c r="AB1649">
        <v>23</v>
      </c>
      <c r="AC1649">
        <v>-12.524099999999899</v>
      </c>
      <c r="AD1649">
        <v>-1.0431375599999999</v>
      </c>
      <c r="AE1649">
        <v>-30.466100000000001</v>
      </c>
      <c r="AF1649">
        <v>10.420559266724</v>
      </c>
      <c r="AG1649">
        <v>-1.0431375599999999</v>
      </c>
      <c r="AH1649">
        <v>31.213382899197999</v>
      </c>
      <c r="AI1649">
        <v>91.815649382193797</v>
      </c>
      <c r="AJ1649">
        <v>71.5384600279951</v>
      </c>
      <c r="AK1649">
        <v>32.923418161125603</v>
      </c>
      <c r="AL1649">
        <v>80.305346990268703</v>
      </c>
      <c r="AM1649">
        <v>88.406408925343598</v>
      </c>
      <c r="AN1649">
        <v>1.0000000567977601</v>
      </c>
    </row>
    <row r="1650" spans="1:40" x14ac:dyDescent="0.25">
      <c r="A1650" t="str">
        <f>"20190304155625773"</f>
        <v>20190304155625773</v>
      </c>
      <c r="B1650" t="str">
        <f>"1551686185765841"</f>
        <v>1551686185765841</v>
      </c>
      <c r="C1650" t="s">
        <v>40</v>
      </c>
      <c r="D1650">
        <v>4.7744730000000004</v>
      </c>
      <c r="E1650">
        <v>0.61574410000000002</v>
      </c>
      <c r="F1650" t="s">
        <v>53</v>
      </c>
      <c r="G1650">
        <v>-204.2902</v>
      </c>
      <c r="H1650">
        <v>8.0001409999999995E-2</v>
      </c>
      <c r="I1650">
        <v>278.86110000000002</v>
      </c>
      <c r="J1650">
        <v>-191.47710000000001</v>
      </c>
      <c r="K1650">
        <v>1.108636</v>
      </c>
      <c r="L1650">
        <v>309.8476</v>
      </c>
      <c r="M1650">
        <v>-6.9665320000000003E-2</v>
      </c>
      <c r="N1650">
        <v>-9.9100679999999993E-3</v>
      </c>
      <c r="O1650">
        <v>-0.99752130000000006</v>
      </c>
      <c r="P1650">
        <v>-9.5557230000000007E-2</v>
      </c>
      <c r="Q1650">
        <v>0.15941</v>
      </c>
      <c r="R1650">
        <v>-0.98257740000000005</v>
      </c>
      <c r="S1650">
        <v>-1.2138370000000001</v>
      </c>
      <c r="T1650">
        <v>-9.7317340000000002E-2</v>
      </c>
      <c r="U1650">
        <v>-2.9522710000000001</v>
      </c>
      <c r="V1650">
        <v>2.7393279999999999E-2</v>
      </c>
      <c r="W1650">
        <v>0.1690981</v>
      </c>
      <c r="X1650">
        <v>0.9852185</v>
      </c>
      <c r="Y1650">
        <v>0.31476369999999998</v>
      </c>
      <c r="Z1650">
        <v>2.097073E-2</v>
      </c>
      <c r="AA1650">
        <v>0.94893839999999996</v>
      </c>
      <c r="AB1650">
        <v>23</v>
      </c>
      <c r="AC1650">
        <v>-12.813099999999899</v>
      </c>
      <c r="AD1650">
        <v>-1.02863459</v>
      </c>
      <c r="AE1650">
        <v>-30.9864999999999</v>
      </c>
      <c r="AF1650">
        <v>10.6131884493721</v>
      </c>
      <c r="AG1650">
        <v>-1.02863459</v>
      </c>
      <c r="AH1650">
        <v>31.773979134572102</v>
      </c>
      <c r="AI1650">
        <v>91.758762718139195</v>
      </c>
      <c r="AJ1650">
        <v>71.529578403340906</v>
      </c>
      <c r="AK1650">
        <v>33.515423437961402</v>
      </c>
      <c r="AL1650">
        <v>80.264615419921697</v>
      </c>
      <c r="AM1650">
        <v>88.407343076452506</v>
      </c>
      <c r="AN1650">
        <v>1.0000000259774999</v>
      </c>
    </row>
    <row r="1651" spans="1:40" x14ac:dyDescent="0.25">
      <c r="A1651" t="str">
        <f>"20190304155625797"</f>
        <v>20190304155625797</v>
      </c>
      <c r="B1651" t="str">
        <f>"1551686185786337"</f>
        <v>1551686185786337</v>
      </c>
      <c r="C1651" t="s">
        <v>40</v>
      </c>
      <c r="D1651">
        <v>4.2212350000000001</v>
      </c>
      <c r="E1651">
        <v>0.61548809999999998</v>
      </c>
      <c r="F1651" t="s">
        <v>53</v>
      </c>
      <c r="G1651">
        <v>-204.96180000000001</v>
      </c>
      <c r="H1651">
        <v>8.0001340000000004E-2</v>
      </c>
      <c r="I1651">
        <v>277.28410000000002</v>
      </c>
      <c r="J1651">
        <v>-191.49610000000001</v>
      </c>
      <c r="K1651">
        <v>1.1086290000000001</v>
      </c>
      <c r="L1651">
        <v>309.61</v>
      </c>
      <c r="M1651">
        <v>-7.1748030000000004E-2</v>
      </c>
      <c r="N1651">
        <v>-9.9276099999999999E-3</v>
      </c>
      <c r="O1651">
        <v>-0.99737339999999997</v>
      </c>
      <c r="P1651">
        <v>-9.8252829999999999E-2</v>
      </c>
      <c r="Q1651">
        <v>0.1592797</v>
      </c>
      <c r="R1651">
        <v>-0.98233210000000004</v>
      </c>
      <c r="S1651">
        <v>-1.2214050000000001</v>
      </c>
      <c r="T1651">
        <v>-9.3170290000000003E-2</v>
      </c>
      <c r="U1651">
        <v>-2.9494929999999999</v>
      </c>
      <c r="V1651">
        <v>2.8041320000000002E-2</v>
      </c>
      <c r="W1651">
        <v>0.16898250000000001</v>
      </c>
      <c r="X1651">
        <v>0.98522010000000004</v>
      </c>
      <c r="Y1651">
        <v>0.31518839999999998</v>
      </c>
      <c r="Z1651">
        <v>1.9652220000000001E-2</v>
      </c>
      <c r="AA1651">
        <v>0.94882560000000005</v>
      </c>
      <c r="AB1651">
        <v>23</v>
      </c>
      <c r="AC1651">
        <v>-13.465699999999901</v>
      </c>
      <c r="AD1651">
        <v>-1.0286276599999999</v>
      </c>
      <c r="AE1651">
        <v>-32.325899999999898</v>
      </c>
      <c r="AF1651">
        <v>11.101979639651599</v>
      </c>
      <c r="AG1651">
        <v>-1.0286276599999999</v>
      </c>
      <c r="AH1651">
        <v>33.180137451695501</v>
      </c>
      <c r="AI1651">
        <v>91.683968324088895</v>
      </c>
      <c r="AJ1651">
        <v>71.499905351012004</v>
      </c>
      <c r="AK1651">
        <v>35.003336242357797</v>
      </c>
      <c r="AL1651">
        <v>80.271335492483502</v>
      </c>
      <c r="AM1651">
        <v>88.369688500972103</v>
      </c>
      <c r="AN1651">
        <v>1.0000000231888</v>
      </c>
    </row>
    <row r="1652" spans="1:40" x14ac:dyDescent="0.25">
      <c r="A1652" t="str">
        <f>"20190304155625820"</f>
        <v>20190304155625820</v>
      </c>
      <c r="B1652" t="str">
        <f>"1551686185816592"</f>
        <v>1551686185816592</v>
      </c>
      <c r="C1652" t="s">
        <v>40</v>
      </c>
      <c r="D1652">
        <v>4.5758900000000002</v>
      </c>
      <c r="E1652">
        <v>0.61549580000000004</v>
      </c>
      <c r="F1652" t="s">
        <v>53</v>
      </c>
      <c r="G1652">
        <v>-205.59379999999999</v>
      </c>
      <c r="H1652">
        <v>8.0001130000000004E-2</v>
      </c>
      <c r="I1652">
        <v>275.77749999999997</v>
      </c>
      <c r="J1652">
        <v>-191.51570000000001</v>
      </c>
      <c r="K1652">
        <v>1.1086229999999999</v>
      </c>
      <c r="L1652">
        <v>309.37119999999999</v>
      </c>
      <c r="M1652">
        <v>-7.385282E-2</v>
      </c>
      <c r="N1652">
        <v>-9.944329E-3</v>
      </c>
      <c r="O1652">
        <v>-0.99721959999999998</v>
      </c>
      <c r="P1652">
        <v>-0.1004202</v>
      </c>
      <c r="Q1652">
        <v>0.15887670000000001</v>
      </c>
      <c r="R1652">
        <v>-0.9821782</v>
      </c>
      <c r="S1652">
        <v>-1.227463</v>
      </c>
      <c r="T1652">
        <v>-8.9560749999999995E-2</v>
      </c>
      <c r="U1652">
        <v>-2.9457399999999998</v>
      </c>
      <c r="V1652">
        <v>2.8133829999999999E-2</v>
      </c>
      <c r="W1652">
        <v>0.16859569999999999</v>
      </c>
      <c r="X1652">
        <v>0.98528369999999998</v>
      </c>
      <c r="Y1652">
        <v>0.31528650000000003</v>
      </c>
      <c r="Z1652">
        <v>1.8516410000000001E-2</v>
      </c>
      <c r="AA1652">
        <v>0.94881590000000005</v>
      </c>
      <c r="AB1652">
        <v>23</v>
      </c>
      <c r="AC1652">
        <v>-14.0780999999999</v>
      </c>
      <c r="AD1652">
        <v>-1.0286218699999901</v>
      </c>
      <c r="AE1652">
        <v>-33.593699999999998</v>
      </c>
      <c r="AF1652">
        <v>11.549328397335399</v>
      </c>
      <c r="AG1652">
        <v>-1.0286218699999901</v>
      </c>
      <c r="AH1652">
        <v>34.514185426935498</v>
      </c>
      <c r="AI1652">
        <v>91.618891702526199</v>
      </c>
      <c r="AJ1652">
        <v>71.498442150679693</v>
      </c>
      <c r="AK1652">
        <v>36.409806990230301</v>
      </c>
      <c r="AL1652">
        <v>80.293819837792796</v>
      </c>
      <c r="AM1652">
        <v>88.364418448521405</v>
      </c>
      <c r="AN1652">
        <v>0.99999999596732403</v>
      </c>
    </row>
    <row r="1653" spans="1:40" x14ac:dyDescent="0.25">
      <c r="A1653" t="str">
        <f>"20190304155625840"</f>
        <v>20190304155625840</v>
      </c>
      <c r="B1653" t="str">
        <f>"1551686185836113"</f>
        <v>1551686185836113</v>
      </c>
      <c r="C1653" t="s">
        <v>40</v>
      </c>
      <c r="D1653">
        <v>4.4326210000000001</v>
      </c>
      <c r="E1653">
        <v>0.61541069999999998</v>
      </c>
      <c r="F1653" t="s">
        <v>53</v>
      </c>
      <c r="G1653">
        <v>-205.6069</v>
      </c>
      <c r="H1653">
        <v>8.0001130000000004E-2</v>
      </c>
      <c r="I1653">
        <v>275.78769999999997</v>
      </c>
      <c r="J1653">
        <v>-191.53399999999999</v>
      </c>
      <c r="K1653">
        <v>1.1086149999999999</v>
      </c>
      <c r="L1653">
        <v>309.15300000000002</v>
      </c>
      <c r="M1653">
        <v>-7.5789499999999996E-2</v>
      </c>
      <c r="N1653">
        <v>-9.9586599999999994E-3</v>
      </c>
      <c r="O1653">
        <v>-0.99707429999999997</v>
      </c>
      <c r="P1653">
        <v>-0.10273110000000001</v>
      </c>
      <c r="Q1653">
        <v>0.158917</v>
      </c>
      <c r="R1653">
        <v>-0.9819329</v>
      </c>
      <c r="S1653">
        <v>-1.234756</v>
      </c>
      <c r="T1653">
        <v>-9.0133669999999999E-2</v>
      </c>
      <c r="U1653">
        <v>-2.94278</v>
      </c>
      <c r="V1653">
        <v>2.8544509999999999E-2</v>
      </c>
      <c r="W1653">
        <v>0.1686484</v>
      </c>
      <c r="X1653">
        <v>0.98526290000000005</v>
      </c>
      <c r="Y1653">
        <v>0.3157818</v>
      </c>
      <c r="Z1653">
        <v>1.869266E-2</v>
      </c>
      <c r="AA1653">
        <v>0.94864769999999998</v>
      </c>
      <c r="AB1653">
        <v>23</v>
      </c>
      <c r="AC1653">
        <v>-14.072899999999899</v>
      </c>
      <c r="AD1653">
        <v>-1.02861386999999</v>
      </c>
      <c r="AE1653">
        <v>-33.365299999999998</v>
      </c>
      <c r="AF1653">
        <v>11.4942813111572</v>
      </c>
      <c r="AG1653">
        <v>-1.02861386999999</v>
      </c>
      <c r="AH1653">
        <v>34.308274818664998</v>
      </c>
      <c r="AI1653">
        <v>91.628392146312095</v>
      </c>
      <c r="AJ1653">
        <v>71.477635131620204</v>
      </c>
      <c r="AK1653">
        <v>36.197158319219199</v>
      </c>
      <c r="AL1653">
        <v>80.290756789561996</v>
      </c>
      <c r="AM1653">
        <v>88.340521495507105</v>
      </c>
      <c r="AN1653">
        <v>1.00000002699505</v>
      </c>
    </row>
    <row r="1654" spans="1:40" x14ac:dyDescent="0.25">
      <c r="A1654" t="str">
        <f>"20190304155625866"</f>
        <v>20190304155625866</v>
      </c>
      <c r="B1654" t="str">
        <f>"1551686185856609"</f>
        <v>1551686185856609</v>
      </c>
      <c r="C1654" t="s">
        <v>40</v>
      </c>
      <c r="D1654">
        <v>4.8315590000000004</v>
      </c>
      <c r="E1654">
        <v>0.61582369999999897</v>
      </c>
      <c r="F1654" t="s">
        <v>53</v>
      </c>
      <c r="G1654">
        <v>-206.05789999999999</v>
      </c>
      <c r="H1654">
        <v>8.0001089999999997E-2</v>
      </c>
      <c r="I1654">
        <v>274.77440000000001</v>
      </c>
      <c r="J1654">
        <v>-191.55670000000001</v>
      </c>
      <c r="K1654">
        <v>1.1085989999999999</v>
      </c>
      <c r="L1654">
        <v>308.89089999999999</v>
      </c>
      <c r="M1654">
        <v>-7.8137650000000003E-2</v>
      </c>
      <c r="N1654">
        <v>-9.9744359999999997E-3</v>
      </c>
      <c r="O1654">
        <v>-0.99689280000000002</v>
      </c>
      <c r="P1654">
        <v>-0.1052905</v>
      </c>
      <c r="Q1654">
        <v>0.15878919999999999</v>
      </c>
      <c r="R1654">
        <v>-0.98168259999999996</v>
      </c>
      <c r="S1654">
        <v>-1.2418670000000001</v>
      </c>
      <c r="T1654">
        <v>-8.7951660000000001E-2</v>
      </c>
      <c r="U1654">
        <v>-2.9395449999999999</v>
      </c>
      <c r="V1654">
        <v>2.8797960000000001E-2</v>
      </c>
      <c r="W1654">
        <v>0.16853370000000001</v>
      </c>
      <c r="X1654">
        <v>0.98527509999999996</v>
      </c>
      <c r="Y1654">
        <v>0.31587419999999999</v>
      </c>
      <c r="Z1654">
        <v>1.8000780000000001E-2</v>
      </c>
      <c r="AA1654">
        <v>0.94863030000000004</v>
      </c>
      <c r="AB1654">
        <v>23</v>
      </c>
      <c r="AC1654">
        <v>-14.5011999999999</v>
      </c>
      <c r="AD1654">
        <v>-1.02859790999999</v>
      </c>
      <c r="AE1654">
        <v>-34.116499999999903</v>
      </c>
      <c r="AF1654">
        <v>11.7818730167065</v>
      </c>
      <c r="AG1654">
        <v>-1.02859790999999</v>
      </c>
      <c r="AH1654">
        <v>35.1182894768314</v>
      </c>
      <c r="AI1654">
        <v>91.590606396522205</v>
      </c>
      <c r="AJ1654">
        <v>71.453856272775596</v>
      </c>
      <c r="AK1654">
        <v>37.056238357674403</v>
      </c>
      <c r="AL1654">
        <v>80.297423556279895</v>
      </c>
      <c r="AM1654">
        <v>88.325815862017095</v>
      </c>
      <c r="AN1654">
        <v>0.99999997660793005</v>
      </c>
    </row>
    <row r="1655" spans="1:40" x14ac:dyDescent="0.25">
      <c r="A1655" t="str">
        <f>"20190304155625888"</f>
        <v>20190304155625888</v>
      </c>
      <c r="B1655" t="str">
        <f>"1551686185876129"</f>
        <v>1551686185876129</v>
      </c>
      <c r="C1655" t="s">
        <v>40</v>
      </c>
      <c r="D1655">
        <v>4.8326909999999996</v>
      </c>
      <c r="E1655">
        <v>0.61625640000000004</v>
      </c>
      <c r="F1655" t="s">
        <v>44</v>
      </c>
      <c r="G1655">
        <v>-208.0779</v>
      </c>
      <c r="H1655">
        <v>-0.05</v>
      </c>
      <c r="I1655">
        <v>270.19740000000002</v>
      </c>
      <c r="J1655">
        <v>-191.577</v>
      </c>
      <c r="K1655">
        <v>1.1085700000000001</v>
      </c>
      <c r="L1655">
        <v>308.66109999999998</v>
      </c>
      <c r="M1655">
        <v>-8.0223639999999999E-2</v>
      </c>
      <c r="N1655">
        <v>-9.9869260000000001E-3</v>
      </c>
      <c r="O1655">
        <v>-0.99672689999999997</v>
      </c>
      <c r="P1655">
        <v>-0.107585</v>
      </c>
      <c r="Q1655">
        <v>0.15850810000000001</v>
      </c>
      <c r="R1655">
        <v>-0.98147879999999998</v>
      </c>
      <c r="S1655">
        <v>-1.253479</v>
      </c>
      <c r="T1655">
        <v>-8.7903620000000002E-2</v>
      </c>
      <c r="U1655">
        <v>-2.9356990000000001</v>
      </c>
      <c r="V1655">
        <v>2.9043469999999998E-2</v>
      </c>
      <c r="W1655">
        <v>0.16826340000000001</v>
      </c>
      <c r="X1655">
        <v>0.98531409999999997</v>
      </c>
      <c r="Y1655">
        <v>0.3175116</v>
      </c>
      <c r="Z1655">
        <v>1.797704E-2</v>
      </c>
      <c r="AA1655">
        <v>0.94808389999999998</v>
      </c>
      <c r="AB1655">
        <v>23</v>
      </c>
      <c r="AC1655">
        <v>-16.500900000000001</v>
      </c>
      <c r="AD1655">
        <v>-1.1585700000000001</v>
      </c>
      <c r="AE1655">
        <v>-38.463699999999903</v>
      </c>
      <c r="AF1655">
        <v>13.3516278700613</v>
      </c>
      <c r="AG1655">
        <v>-1.1585700000000001</v>
      </c>
      <c r="AH1655">
        <v>39.6331737979067</v>
      </c>
      <c r="AI1655">
        <v>91.586836523494696</v>
      </c>
      <c r="AJ1655">
        <v>71.382352496080898</v>
      </c>
      <c r="AK1655">
        <v>41.837742727357799</v>
      </c>
      <c r="AL1655">
        <v>80.313135065863094</v>
      </c>
      <c r="AM1655">
        <v>88.311618031762805</v>
      </c>
      <c r="AN1655">
        <v>0.99999998529400502</v>
      </c>
    </row>
    <row r="1656" spans="1:40" x14ac:dyDescent="0.25">
      <c r="A1656" t="str">
        <f>"20190304155625909"</f>
        <v>20190304155625909</v>
      </c>
      <c r="B1656" t="str">
        <f>"1551686185906385"</f>
        <v>1551686185906385</v>
      </c>
      <c r="C1656" t="s">
        <v>40</v>
      </c>
      <c r="D1656">
        <v>4.8856380000000001</v>
      </c>
      <c r="E1656">
        <v>0.61701810000000001</v>
      </c>
      <c r="F1656" t="s">
        <v>53</v>
      </c>
      <c r="G1656">
        <v>-206.2157</v>
      </c>
      <c r="H1656">
        <v>8.0001080000000002E-2</v>
      </c>
      <c r="I1656">
        <v>274.71089999999998</v>
      </c>
      <c r="J1656">
        <v>-191.59620000000001</v>
      </c>
      <c r="K1656">
        <v>1.1085499999999999</v>
      </c>
      <c r="L1656">
        <v>308.45030000000003</v>
      </c>
      <c r="M1656">
        <v>-8.2166260000000005E-2</v>
      </c>
      <c r="N1656">
        <v>-9.997644E-3</v>
      </c>
      <c r="O1656">
        <v>-0.99656860000000003</v>
      </c>
      <c r="P1656">
        <v>-0.10994080000000001</v>
      </c>
      <c r="Q1656">
        <v>0.15833410000000001</v>
      </c>
      <c r="R1656">
        <v>-0.98124599999999995</v>
      </c>
      <c r="S1656">
        <v>-1.264389</v>
      </c>
      <c r="T1656">
        <v>-8.8840370000000002E-2</v>
      </c>
      <c r="U1656">
        <v>-2.9323730000000001</v>
      </c>
      <c r="V1656">
        <v>2.9495540000000001E-2</v>
      </c>
      <c r="W1656">
        <v>0.168097</v>
      </c>
      <c r="X1656">
        <v>0.98532909999999996</v>
      </c>
      <c r="Y1656">
        <v>0.3190269</v>
      </c>
      <c r="Z1656">
        <v>1.8263339999999999E-2</v>
      </c>
      <c r="AA1656">
        <v>0.94756969999999996</v>
      </c>
      <c r="AB1656">
        <v>23</v>
      </c>
      <c r="AC1656">
        <v>-14.619499999999899</v>
      </c>
      <c r="AD1656">
        <v>-1.02854892</v>
      </c>
      <c r="AE1656">
        <v>-33.739400000000003</v>
      </c>
      <c r="AF1656">
        <v>11.788458940238</v>
      </c>
      <c r="AG1656">
        <v>-1.02854892</v>
      </c>
      <c r="AH1656">
        <v>34.799364697076598</v>
      </c>
      <c r="AI1656">
        <v>91.603515477420999</v>
      </c>
      <c r="AJ1656">
        <v>71.285932393981</v>
      </c>
      <c r="AK1656">
        <v>36.756243828588602</v>
      </c>
      <c r="AL1656">
        <v>80.322807104922305</v>
      </c>
      <c r="AM1656">
        <v>88.285379533508802</v>
      </c>
      <c r="AN1656">
        <v>1.00000001179785</v>
      </c>
    </row>
    <row r="1657" spans="1:40" x14ac:dyDescent="0.25">
      <c r="A1657" t="str">
        <f>"20190304155625930"</f>
        <v>20190304155625930</v>
      </c>
      <c r="B1657" t="str">
        <f>"1551686185925905"</f>
        <v>1551686185925905</v>
      </c>
      <c r="C1657" t="s">
        <v>40</v>
      </c>
      <c r="D1657">
        <v>4.8766339999999904</v>
      </c>
      <c r="E1657">
        <v>0.61748819999999904</v>
      </c>
      <c r="F1657" t="s">
        <v>53</v>
      </c>
      <c r="G1657">
        <v>-206.0771</v>
      </c>
      <c r="H1657">
        <v>8.0001050000000004E-2</v>
      </c>
      <c r="I1657">
        <v>275.25420000000003</v>
      </c>
      <c r="J1657">
        <v>-191.61670000000001</v>
      </c>
      <c r="K1657">
        <v>1.1085240000000001</v>
      </c>
      <c r="L1657">
        <v>308.2296</v>
      </c>
      <c r="M1657">
        <v>-8.4232660000000001E-2</v>
      </c>
      <c r="N1657">
        <v>-1.000764E-2</v>
      </c>
      <c r="O1657">
        <v>-0.9963959</v>
      </c>
      <c r="P1657">
        <v>-0.1124206</v>
      </c>
      <c r="Q1657">
        <v>0.15883710000000001</v>
      </c>
      <c r="R1657">
        <v>-0.98088370000000003</v>
      </c>
      <c r="S1657">
        <v>-1.2776179999999999</v>
      </c>
      <c r="T1657">
        <v>-9.0746160000000006E-2</v>
      </c>
      <c r="U1657">
        <v>-2.9288020000000001</v>
      </c>
      <c r="V1657">
        <v>2.996308E-2</v>
      </c>
      <c r="W1657">
        <v>0.16860510000000001</v>
      </c>
      <c r="X1657">
        <v>0.9852282</v>
      </c>
      <c r="Y1657">
        <v>0.3210769</v>
      </c>
      <c r="Z1657">
        <v>1.8851340000000001E-2</v>
      </c>
      <c r="AA1657">
        <v>0.94686550000000003</v>
      </c>
      <c r="AB1657">
        <v>23</v>
      </c>
      <c r="AC1657">
        <v>-14.4603999999999</v>
      </c>
      <c r="AD1657">
        <v>-1.0285229499999999</v>
      </c>
      <c r="AE1657">
        <v>-32.975399999999901</v>
      </c>
      <c r="AF1657">
        <v>11.621776840154901</v>
      </c>
      <c r="AG1657">
        <v>-1.0285229499999999</v>
      </c>
      <c r="AH1657">
        <v>34.048514565816298</v>
      </c>
      <c r="AI1657">
        <v>91.637531356418094</v>
      </c>
      <c r="AJ1657">
        <v>71.153691372781495</v>
      </c>
      <c r="AK1657">
        <v>35.992011620908897</v>
      </c>
      <c r="AL1657">
        <v>80.293273827702507</v>
      </c>
      <c r="AM1657">
        <v>88.258039064648202</v>
      </c>
      <c r="AN1657">
        <v>1.0000000359921599</v>
      </c>
    </row>
    <row r="1658" spans="1:40" x14ac:dyDescent="0.25">
      <c r="A1658" t="str">
        <f>"20190304155625953"</f>
        <v>20190304155625953</v>
      </c>
      <c r="B1658" t="str">
        <f>"1551686185946401"</f>
        <v>1551686185946401</v>
      </c>
      <c r="C1658" t="s">
        <v>40</v>
      </c>
      <c r="D1658">
        <v>4.9317890000000002</v>
      </c>
      <c r="E1658">
        <v>0.61796430000000002</v>
      </c>
      <c r="F1658" t="s">
        <v>44</v>
      </c>
      <c r="G1658">
        <v>-208.40979999999999</v>
      </c>
      <c r="H1658">
        <v>-0.05</v>
      </c>
      <c r="I1658">
        <v>270.11900000000003</v>
      </c>
      <c r="J1658">
        <v>-191.6395</v>
      </c>
      <c r="K1658">
        <v>1.1084909999999999</v>
      </c>
      <c r="L1658">
        <v>307.99110000000002</v>
      </c>
      <c r="M1658">
        <v>-8.6505429999999994E-2</v>
      </c>
      <c r="N1658">
        <v>-1.001756E-2</v>
      </c>
      <c r="O1658">
        <v>-0.99620120000000001</v>
      </c>
      <c r="P1658">
        <v>-0.1150497</v>
      </c>
      <c r="Q1658">
        <v>0.15951219999999999</v>
      </c>
      <c r="R1658">
        <v>-0.98046900000000003</v>
      </c>
      <c r="S1658">
        <v>-1.28894</v>
      </c>
      <c r="T1658">
        <v>-8.8921310000000003E-2</v>
      </c>
      <c r="U1658">
        <v>-2.9251399999999999</v>
      </c>
      <c r="V1658">
        <v>3.0381229999999999E-2</v>
      </c>
      <c r="W1658">
        <v>0.16928570000000001</v>
      </c>
      <c r="X1658">
        <v>0.98509869999999999</v>
      </c>
      <c r="Y1658">
        <v>0.32242890000000002</v>
      </c>
      <c r="Z1658">
        <v>1.8267769999999999E-2</v>
      </c>
      <c r="AA1658">
        <v>0.94641739999999996</v>
      </c>
      <c r="AB1658">
        <v>23</v>
      </c>
      <c r="AC1658">
        <v>-16.770299999999899</v>
      </c>
      <c r="AD1658">
        <v>-1.1584909999999999</v>
      </c>
      <c r="AE1658">
        <v>-37.872099999999897</v>
      </c>
      <c r="AF1658">
        <v>13.4206228959747</v>
      </c>
      <c r="AG1658">
        <v>-1.1584909999999999</v>
      </c>
      <c r="AH1658">
        <v>39.150284103287099</v>
      </c>
      <c r="AI1658">
        <v>91.603397648566002</v>
      </c>
      <c r="AJ1658">
        <v>71.078409044708707</v>
      </c>
      <c r="AK1658">
        <v>41.402898034813198</v>
      </c>
      <c r="AL1658">
        <v>80.253709818386298</v>
      </c>
      <c r="AM1658">
        <v>88.233512364516997</v>
      </c>
      <c r="AN1658">
        <v>1.00000005805124</v>
      </c>
    </row>
    <row r="1659" spans="1:40" x14ac:dyDescent="0.25">
      <c r="A1659" t="str">
        <f>"20190304155625975"</f>
        <v>20190304155625975</v>
      </c>
      <c r="B1659" t="str">
        <f>"1551686185965921"</f>
        <v>1551686185965921</v>
      </c>
      <c r="C1659" t="s">
        <v>40</v>
      </c>
      <c r="D1659">
        <v>4.9058669999999998</v>
      </c>
      <c r="E1659">
        <v>0.61840530000000005</v>
      </c>
      <c r="F1659" t="s">
        <v>44</v>
      </c>
      <c r="G1659">
        <v>-208.8219</v>
      </c>
      <c r="H1659">
        <v>-0.05</v>
      </c>
      <c r="I1659">
        <v>269.41120000000001</v>
      </c>
      <c r="J1659">
        <v>-191.6626</v>
      </c>
      <c r="K1659">
        <v>1.108471</v>
      </c>
      <c r="L1659">
        <v>307.75510000000003</v>
      </c>
      <c r="M1659">
        <v>-8.8785630000000004E-2</v>
      </c>
      <c r="N1659">
        <v>-1.0026490000000001E-2</v>
      </c>
      <c r="O1659">
        <v>-0.99600029999999995</v>
      </c>
      <c r="P1659">
        <v>-0.1178747</v>
      </c>
      <c r="Q1659">
        <v>0.1603648</v>
      </c>
      <c r="R1659">
        <v>-0.97999440000000004</v>
      </c>
      <c r="S1659">
        <v>-1.301102</v>
      </c>
      <c r="T1659">
        <v>-8.7724449999999995E-2</v>
      </c>
      <c r="U1659">
        <v>-2.9213870000000002</v>
      </c>
      <c r="V1659">
        <v>3.0991640000000001E-2</v>
      </c>
      <c r="W1659">
        <v>0.17014089999999901</v>
      </c>
      <c r="X1659">
        <v>0.98493229999999998</v>
      </c>
      <c r="Y1659">
        <v>0.32400610000000002</v>
      </c>
      <c r="Z1659">
        <v>1.7881520000000001E-2</v>
      </c>
      <c r="AA1659">
        <v>0.945886</v>
      </c>
      <c r="AB1659">
        <v>23</v>
      </c>
      <c r="AC1659">
        <v>-17.159300000000002</v>
      </c>
      <c r="AD1659">
        <v>-1.15847099999999</v>
      </c>
      <c r="AE1659">
        <v>-38.343899999999998</v>
      </c>
      <c r="AF1659">
        <v>13.676567457808799</v>
      </c>
      <c r="AG1659">
        <v>-1.15847099999999</v>
      </c>
      <c r="AH1659">
        <v>39.6858500597031</v>
      </c>
      <c r="AI1659">
        <v>91.580857593146703</v>
      </c>
      <c r="AJ1659">
        <v>70.984986031964198</v>
      </c>
      <c r="AK1659">
        <v>41.992347486739398</v>
      </c>
      <c r="AL1659">
        <v>80.203988835043802</v>
      </c>
      <c r="AM1659">
        <v>88.197739594101193</v>
      </c>
      <c r="AN1659">
        <v>1.0000000215929901</v>
      </c>
    </row>
    <row r="1660" spans="1:40" x14ac:dyDescent="0.25">
      <c r="A1660" t="str">
        <f>"20190304155625997"</f>
        <v>20190304155625997</v>
      </c>
      <c r="B1660" t="str">
        <f>"1551686185986420"</f>
        <v>1551686185986420</v>
      </c>
      <c r="C1660" t="s">
        <v>40</v>
      </c>
      <c r="D1660">
        <v>5.0738940000000001</v>
      </c>
      <c r="E1660">
        <v>0.61909559999999997</v>
      </c>
      <c r="F1660" t="s">
        <v>44</v>
      </c>
      <c r="G1660">
        <v>-209.0343</v>
      </c>
      <c r="H1660">
        <v>-0.05</v>
      </c>
      <c r="I1660">
        <v>269.15030000000002</v>
      </c>
      <c r="J1660">
        <v>-191.6848</v>
      </c>
      <c r="K1660">
        <v>1.1084540000000001</v>
      </c>
      <c r="L1660">
        <v>307.53359999999998</v>
      </c>
      <c r="M1660">
        <v>-9.0951660000000004E-2</v>
      </c>
      <c r="N1660">
        <v>-1.0035779999999999E-2</v>
      </c>
      <c r="O1660">
        <v>-0.99580489999999999</v>
      </c>
      <c r="P1660">
        <v>-0.12127499999999999</v>
      </c>
      <c r="Q1660">
        <v>0.16143289999999999</v>
      </c>
      <c r="R1660">
        <v>-0.97940400000000005</v>
      </c>
      <c r="S1660">
        <v>-1.3129120000000001</v>
      </c>
      <c r="T1660">
        <v>-8.7554569999999998E-2</v>
      </c>
      <c r="U1660">
        <v>-2.9176639999999998</v>
      </c>
      <c r="V1660">
        <v>3.2297699999999999E-2</v>
      </c>
      <c r="W1660">
        <v>0.17121029999999901</v>
      </c>
      <c r="X1660">
        <v>0.98470500000000005</v>
      </c>
      <c r="Y1660">
        <v>0.32558569999999998</v>
      </c>
      <c r="Z1660">
        <v>1.7819439999999999E-2</v>
      </c>
      <c r="AA1660">
        <v>0.94534459999999998</v>
      </c>
      <c r="AB1660">
        <v>23</v>
      </c>
      <c r="AC1660">
        <v>-17.349499999999999</v>
      </c>
      <c r="AD1660">
        <v>-1.1584540000000001</v>
      </c>
      <c r="AE1660">
        <v>-38.383299999999899</v>
      </c>
      <c r="AF1660">
        <v>13.7759645955285</v>
      </c>
      <c r="AG1660">
        <v>-1.1584540000000001</v>
      </c>
      <c r="AH1660">
        <v>39.772159601642997</v>
      </c>
      <c r="AI1660">
        <v>91.576553576292198</v>
      </c>
      <c r="AJ1660">
        <v>70.895344158909793</v>
      </c>
      <c r="AK1660">
        <v>42.1063403252519</v>
      </c>
      <c r="AL1660">
        <v>80.141804320512506</v>
      </c>
      <c r="AM1660">
        <v>88.121408208748804</v>
      </c>
      <c r="AN1660">
        <v>1.00000002263818</v>
      </c>
    </row>
    <row r="1661" spans="1:40" x14ac:dyDescent="0.25">
      <c r="A1661" t="str">
        <f>"20190304155626020"</f>
        <v>20190304155626020</v>
      </c>
      <c r="B1661" t="str">
        <f>"1551686186016673"</f>
        <v>1551686186016673</v>
      </c>
      <c r="C1661" t="s">
        <v>40</v>
      </c>
      <c r="D1661">
        <v>4.9476709999999997</v>
      </c>
      <c r="E1661">
        <v>0.6214672</v>
      </c>
      <c r="F1661" t="s">
        <v>44</v>
      </c>
      <c r="G1661">
        <v>-209.8897</v>
      </c>
      <c r="H1661">
        <v>-0.05</v>
      </c>
      <c r="I1661">
        <v>267.60680000000002</v>
      </c>
      <c r="J1661">
        <v>-191.7097</v>
      </c>
      <c r="K1661">
        <v>1.108441</v>
      </c>
      <c r="L1661">
        <v>307.2912</v>
      </c>
      <c r="M1661">
        <v>-9.3353409999999998E-2</v>
      </c>
      <c r="N1661">
        <v>-1.005111E-2</v>
      </c>
      <c r="O1661">
        <v>-0.99558230000000003</v>
      </c>
      <c r="P1661">
        <v>-0.12461750000000001</v>
      </c>
      <c r="Q1661">
        <v>0.16214120000000001</v>
      </c>
      <c r="R1661">
        <v>-0.9788673</v>
      </c>
      <c r="S1661">
        <v>-1.3280179999999999</v>
      </c>
      <c r="T1661">
        <v>-8.4507470000000001E-2</v>
      </c>
      <c r="U1661">
        <v>-2.912598</v>
      </c>
      <c r="V1661">
        <v>3.3307360000000001E-2</v>
      </c>
      <c r="W1661">
        <v>0.1719271</v>
      </c>
      <c r="X1661">
        <v>0.98454640000000004</v>
      </c>
      <c r="Y1661">
        <v>0.32799420000000001</v>
      </c>
      <c r="Z1661">
        <v>1.684428E-2</v>
      </c>
      <c r="AA1661">
        <v>0.94452950000000002</v>
      </c>
      <c r="AB1661">
        <v>23</v>
      </c>
      <c r="AC1661">
        <v>-18.18</v>
      </c>
      <c r="AD1661">
        <v>-1.1584410000000001</v>
      </c>
      <c r="AE1661">
        <v>-39.684399999999897</v>
      </c>
      <c r="AF1661">
        <v>14.385607263971799</v>
      </c>
      <c r="AG1661">
        <v>-1.1584410000000001</v>
      </c>
      <c r="AH1661">
        <v>41.179329387523701</v>
      </c>
      <c r="AI1661">
        <v>91.521287425334293</v>
      </c>
      <c r="AJ1661">
        <v>70.743623881055697</v>
      </c>
      <c r="AK1661">
        <v>43.635133215218801</v>
      </c>
      <c r="AL1661">
        <v>80.100115948431096</v>
      </c>
      <c r="AM1661">
        <v>88.062413692596294</v>
      </c>
      <c r="AN1661">
        <v>0.99999996084876897</v>
      </c>
    </row>
    <row r="1662" spans="1:40" x14ac:dyDescent="0.25">
      <c r="A1662" t="str">
        <f>"20190304155626043"</f>
        <v>20190304155626043</v>
      </c>
      <c r="B1662" t="str">
        <f>"1551686186036193"</f>
        <v>1551686186036193</v>
      </c>
      <c r="C1662" t="s">
        <v>40</v>
      </c>
      <c r="D1662">
        <v>4.8489740000000001</v>
      </c>
      <c r="E1662">
        <v>0.62422169999999999</v>
      </c>
      <c r="F1662" t="s">
        <v>44</v>
      </c>
      <c r="G1662">
        <v>-211.9282</v>
      </c>
      <c r="H1662">
        <v>-0.05</v>
      </c>
      <c r="I1662">
        <v>264.00709999999998</v>
      </c>
      <c r="J1662">
        <v>-191.73410000000001</v>
      </c>
      <c r="K1662">
        <v>1.1084270000000001</v>
      </c>
      <c r="L1662">
        <v>307.05919999999998</v>
      </c>
      <c r="M1662">
        <v>-9.5680070000000006E-2</v>
      </c>
      <c r="N1662">
        <v>-1.006833E-2</v>
      </c>
      <c r="O1662">
        <v>-0.99536119999999995</v>
      </c>
      <c r="P1662">
        <v>-0.12794269999999999</v>
      </c>
      <c r="Q1662">
        <v>0.16214419999999999</v>
      </c>
      <c r="R1662">
        <v>-0.97843749999999996</v>
      </c>
      <c r="S1662">
        <v>-1.356903</v>
      </c>
      <c r="T1662">
        <v>-7.77452E-2</v>
      </c>
      <c r="U1662">
        <v>-2.9048769999999999</v>
      </c>
      <c r="V1662">
        <v>3.4362129999999998E-2</v>
      </c>
      <c r="W1662">
        <v>0.17194119999999999</v>
      </c>
      <c r="X1662">
        <v>0.98450769999999999</v>
      </c>
      <c r="Y1662">
        <v>0.33448149999999999</v>
      </c>
      <c r="Z1662">
        <v>1.467543E-2</v>
      </c>
      <c r="AA1662">
        <v>0.94228800000000001</v>
      </c>
      <c r="AB1662">
        <v>23</v>
      </c>
      <c r="AC1662">
        <v>-20.194099999999899</v>
      </c>
      <c r="AD1662">
        <v>-1.1584270000000001</v>
      </c>
      <c r="AE1662">
        <v>-43.052100000000003</v>
      </c>
      <c r="AF1662">
        <v>15.972527170784</v>
      </c>
      <c r="AG1662">
        <v>-1.1584270000000001</v>
      </c>
      <c r="AH1662">
        <v>44.760270843858798</v>
      </c>
      <c r="AI1662">
        <v>91.396321155493894</v>
      </c>
      <c r="AJ1662">
        <v>70.3612579211037</v>
      </c>
      <c r="AK1662">
        <v>47.538883278337103</v>
      </c>
      <c r="AL1662">
        <v>80.099295975090101</v>
      </c>
      <c r="AM1662">
        <v>88.001025146156806</v>
      </c>
      <c r="AN1662">
        <v>0.99999997179743205</v>
      </c>
    </row>
    <row r="1663" spans="1:40" x14ac:dyDescent="0.25">
      <c r="A1663" t="str">
        <f>"20190304155626066"</f>
        <v>20190304155626066</v>
      </c>
      <c r="B1663" t="str">
        <f>"1551686186055713"</f>
        <v>1551686186055713</v>
      </c>
      <c r="C1663" t="s">
        <v>40</v>
      </c>
      <c r="D1663">
        <v>4.7238470000000001</v>
      </c>
      <c r="E1663">
        <v>0.62700250000000002</v>
      </c>
      <c r="F1663" t="s">
        <v>44</v>
      </c>
      <c r="G1663">
        <v>-214.3656</v>
      </c>
      <c r="H1663">
        <v>-0.05</v>
      </c>
      <c r="I1663">
        <v>259.8689</v>
      </c>
      <c r="J1663">
        <v>-191.76060000000001</v>
      </c>
      <c r="K1663">
        <v>1.1084000000000001</v>
      </c>
      <c r="L1663">
        <v>306.81319999999999</v>
      </c>
      <c r="M1663">
        <v>-9.8182930000000002E-2</v>
      </c>
      <c r="N1663">
        <v>-1.0085469999999999E-2</v>
      </c>
      <c r="O1663">
        <v>-0.99511749999999999</v>
      </c>
      <c r="P1663">
        <v>-0.13144129999999901</v>
      </c>
      <c r="Q1663">
        <v>0.16174149999999901</v>
      </c>
      <c r="R1663">
        <v>-0.97804060000000004</v>
      </c>
      <c r="S1663">
        <v>-1.388992</v>
      </c>
      <c r="T1663">
        <v>-7.1097610000000006E-2</v>
      </c>
      <c r="U1663">
        <v>-2.896271</v>
      </c>
      <c r="V1663">
        <v>3.541217E-2</v>
      </c>
      <c r="W1663">
        <v>0.17154949999999999</v>
      </c>
      <c r="X1663">
        <v>0.98453889999999999</v>
      </c>
      <c r="Y1663">
        <v>0.34171380000000001</v>
      </c>
      <c r="Z1663">
        <v>1.254385E-2</v>
      </c>
      <c r="AA1663">
        <v>0.93972040000000001</v>
      </c>
      <c r="AB1663">
        <v>23</v>
      </c>
      <c r="AC1663">
        <v>-22.604999999999901</v>
      </c>
      <c r="AD1663">
        <v>-1.1584000000000001</v>
      </c>
      <c r="AE1663">
        <v>-46.944299999999998</v>
      </c>
      <c r="AF1663">
        <v>17.8775710944509</v>
      </c>
      <c r="AG1663">
        <v>-1.1584000000000001</v>
      </c>
      <c r="AH1663">
        <v>48.91282026927</v>
      </c>
      <c r="AI1663">
        <v>91.274262783003195</v>
      </c>
      <c r="AJ1663">
        <v>69.9227088314897</v>
      </c>
      <c r="AK1663">
        <v>52.090435067208503</v>
      </c>
      <c r="AL1663">
        <v>80.122078002786196</v>
      </c>
      <c r="AM1663">
        <v>87.940057429119307</v>
      </c>
      <c r="AN1663">
        <v>1.0000000491737799</v>
      </c>
    </row>
    <row r="1664" spans="1:40" x14ac:dyDescent="0.25">
      <c r="A1664" t="str">
        <f>"20190304155626088"</f>
        <v>20190304155626088</v>
      </c>
      <c r="B1664" t="str">
        <f>"1551686186085969"</f>
        <v>1551686186085969</v>
      </c>
      <c r="C1664" t="s">
        <v>40</v>
      </c>
      <c r="D1664">
        <v>4.8284289999999999</v>
      </c>
      <c r="E1664">
        <v>0.63073020000000002</v>
      </c>
      <c r="F1664" t="s">
        <v>44</v>
      </c>
      <c r="G1664">
        <v>-216.62799999999999</v>
      </c>
      <c r="H1664">
        <v>-0.05</v>
      </c>
      <c r="I1664">
        <v>256.29500000000002</v>
      </c>
      <c r="J1664">
        <v>-191.7869</v>
      </c>
      <c r="K1664">
        <v>1.1083639999999999</v>
      </c>
      <c r="L1664">
        <v>306.57459999999998</v>
      </c>
      <c r="M1664">
        <v>-0.1006504</v>
      </c>
      <c r="N1664">
        <v>-1.0100609999999999E-2</v>
      </c>
      <c r="O1664">
        <v>-0.99487049999999999</v>
      </c>
      <c r="P1664">
        <v>-0.13518949999999999</v>
      </c>
      <c r="Q1664">
        <v>0.16195000000000001</v>
      </c>
      <c r="R1664">
        <v>-0.97749470000000005</v>
      </c>
      <c r="S1664">
        <v>-1.421249</v>
      </c>
      <c r="T1664">
        <v>-6.6206100000000004E-2</v>
      </c>
      <c r="U1664">
        <v>-2.8872680000000002</v>
      </c>
      <c r="V1664">
        <v>3.6764659999999998E-2</v>
      </c>
      <c r="W1664">
        <v>0.1717641</v>
      </c>
      <c r="X1664">
        <v>0.98445179999999999</v>
      </c>
      <c r="Y1664">
        <v>0.3490124</v>
      </c>
      <c r="Z1664">
        <v>1.0972269999999999E-2</v>
      </c>
      <c r="AA1664">
        <v>0.9370539</v>
      </c>
      <c r="AB1664">
        <v>23</v>
      </c>
      <c r="AC1664">
        <v>-24.841099999999901</v>
      </c>
      <c r="AD1664">
        <v>-1.1583639999999999</v>
      </c>
      <c r="AE1664">
        <v>-50.279599999999903</v>
      </c>
      <c r="AF1664">
        <v>19.645638474696799</v>
      </c>
      <c r="AG1664">
        <v>-1.1583639999999999</v>
      </c>
      <c r="AH1664">
        <v>52.502242012836398</v>
      </c>
      <c r="AI1664">
        <v>91.183784433022794</v>
      </c>
      <c r="AJ1664">
        <v>69.484821430015302</v>
      </c>
      <c r="AK1664">
        <v>56.069406405003299</v>
      </c>
      <c r="AL1664">
        <v>80.1095960455864</v>
      </c>
      <c r="AM1664">
        <v>87.861265124304396</v>
      </c>
      <c r="AN1664">
        <v>0.999999946398481</v>
      </c>
    </row>
    <row r="1665" spans="1:40" x14ac:dyDescent="0.25">
      <c r="A1665" t="str">
        <f>"20190304155626109"</f>
        <v>20190304155626109</v>
      </c>
      <c r="B1665" t="str">
        <f>"1551686186106465"</f>
        <v>1551686186106465</v>
      </c>
      <c r="C1665" t="s">
        <v>40</v>
      </c>
      <c r="D1665">
        <v>4.6438119999999996</v>
      </c>
      <c r="E1665">
        <v>0.63326949999999904</v>
      </c>
      <c r="F1665" t="s">
        <v>44</v>
      </c>
      <c r="G1665">
        <v>-221.51339999999999</v>
      </c>
      <c r="H1665">
        <v>-0.05</v>
      </c>
      <c r="I1665">
        <v>248.08279999999999</v>
      </c>
      <c r="J1665">
        <v>-191.8107</v>
      </c>
      <c r="K1665">
        <v>1.108333</v>
      </c>
      <c r="L1665">
        <v>306.36439999999999</v>
      </c>
      <c r="M1665">
        <v>-0.1028675</v>
      </c>
      <c r="N1665">
        <v>-1.011362E-2</v>
      </c>
      <c r="O1665">
        <v>-0.99464379999999997</v>
      </c>
      <c r="P1665">
        <v>-0.13882729999999999</v>
      </c>
      <c r="Q1665">
        <v>0.16221259999999901</v>
      </c>
      <c r="R1665">
        <v>-0.97694139999999996</v>
      </c>
      <c r="S1665">
        <v>-1.4618070000000001</v>
      </c>
      <c r="T1665">
        <v>-5.6962730000000003E-2</v>
      </c>
      <c r="U1665">
        <v>-2.8763429999999999</v>
      </c>
      <c r="V1665">
        <v>3.8257729999999997E-2</v>
      </c>
      <c r="W1665">
        <v>0.17202999999999999</v>
      </c>
      <c r="X1665">
        <v>0.98434849999999996</v>
      </c>
      <c r="Y1665">
        <v>0.35888989999999998</v>
      </c>
      <c r="Z1665">
        <v>8.0293859999999995E-3</v>
      </c>
      <c r="AA1665">
        <v>0.93334539999999999</v>
      </c>
      <c r="AB1665">
        <v>23</v>
      </c>
      <c r="AC1665">
        <v>-29.7027</v>
      </c>
      <c r="AD1665">
        <v>-1.1583330000000001</v>
      </c>
      <c r="AE1665">
        <v>-58.281599999999997</v>
      </c>
      <c r="AF1665">
        <v>23.5421428829859</v>
      </c>
      <c r="AG1665">
        <v>-1.1583330000000001</v>
      </c>
      <c r="AH1665">
        <v>61.0088566134309</v>
      </c>
      <c r="AI1665">
        <v>91.014789347841599</v>
      </c>
      <c r="AJ1665">
        <v>68.899358843914897</v>
      </c>
      <c r="AK1665">
        <v>65.403782858027398</v>
      </c>
      <c r="AL1665">
        <v>80.094131154384499</v>
      </c>
      <c r="AM1665">
        <v>87.774260095685193</v>
      </c>
      <c r="AN1665">
        <v>0.999999972128501</v>
      </c>
    </row>
    <row r="1666" spans="1:40" x14ac:dyDescent="0.25">
      <c r="A1666" t="str">
        <f>"20190304155626131"</f>
        <v>20190304155626131</v>
      </c>
      <c r="B1666" t="str">
        <f>"1551686186125985"</f>
        <v>1551686186125985</v>
      </c>
      <c r="C1666" t="s">
        <v>40</v>
      </c>
      <c r="D1666">
        <v>4.681044</v>
      </c>
      <c r="E1666">
        <v>0.63579169999999996</v>
      </c>
      <c r="F1666" t="s">
        <v>44</v>
      </c>
      <c r="G1666">
        <v>-226.26910000000001</v>
      </c>
      <c r="H1666">
        <v>-0.05</v>
      </c>
      <c r="I1666">
        <v>240.1816</v>
      </c>
      <c r="J1666">
        <v>-191.83879999999999</v>
      </c>
      <c r="K1666">
        <v>1.1082829999999999</v>
      </c>
      <c r="L1666">
        <v>306.1216</v>
      </c>
      <c r="M1666">
        <v>-0.1054949</v>
      </c>
      <c r="N1666">
        <v>-1.012856E-2</v>
      </c>
      <c r="O1666">
        <v>-0.99436840000000004</v>
      </c>
      <c r="P1666">
        <v>-0.1427012</v>
      </c>
      <c r="Q1666">
        <v>0.1623647</v>
      </c>
      <c r="R1666">
        <v>-0.9763579</v>
      </c>
      <c r="S1666">
        <v>-1.4927520000000001</v>
      </c>
      <c r="T1666">
        <v>-5.0179479999999999E-2</v>
      </c>
      <c r="U1666">
        <v>-2.8670650000000002</v>
      </c>
      <c r="V1666">
        <v>3.9587490000000003E-2</v>
      </c>
      <c r="W1666">
        <v>0.1721859</v>
      </c>
      <c r="X1666">
        <v>0.9842687</v>
      </c>
      <c r="Y1666">
        <v>0.36560359999999997</v>
      </c>
      <c r="Z1666">
        <v>5.8763900000000004E-3</v>
      </c>
      <c r="AA1666">
        <v>0.93075209999999997</v>
      </c>
      <c r="AB1666">
        <v>23</v>
      </c>
      <c r="AC1666">
        <v>-34.430300000000003</v>
      </c>
      <c r="AD1666">
        <v>-1.158283</v>
      </c>
      <c r="AE1666">
        <v>-65.94</v>
      </c>
      <c r="AF1666">
        <v>27.274851387835898</v>
      </c>
      <c r="AG1666">
        <v>-1.158283</v>
      </c>
      <c r="AH1666">
        <v>69.187638898635996</v>
      </c>
      <c r="AI1666">
        <v>90.892290736950002</v>
      </c>
      <c r="AJ1666">
        <v>68.484864073020702</v>
      </c>
      <c r="AK1666">
        <v>74.378683196899004</v>
      </c>
      <c r="AL1666">
        <v>80.085063850394803</v>
      </c>
      <c r="AM1666">
        <v>87.696793341308705</v>
      </c>
      <c r="AN1666">
        <v>1.0000000136614999</v>
      </c>
    </row>
    <row r="1667" spans="1:40" x14ac:dyDescent="0.25">
      <c r="A1667" t="str">
        <f>"20190304155626155"</f>
        <v>20190304155626155</v>
      </c>
      <c r="B1667" t="str">
        <f>"1551686186146481"</f>
        <v>1551686186146481</v>
      </c>
      <c r="C1667" t="s">
        <v>40</v>
      </c>
      <c r="D1667">
        <v>4.9856819999999997</v>
      </c>
      <c r="E1667">
        <v>0.63676029999999995</v>
      </c>
      <c r="F1667" t="s">
        <v>44</v>
      </c>
      <c r="G1667">
        <v>-232.15989999999999</v>
      </c>
      <c r="H1667">
        <v>-0.05</v>
      </c>
      <c r="I1667">
        <v>230.53049999999999</v>
      </c>
      <c r="J1667">
        <v>-191.86689999999999</v>
      </c>
      <c r="K1667">
        <v>1.108231</v>
      </c>
      <c r="L1667">
        <v>305.8845</v>
      </c>
      <c r="M1667">
        <v>-0.10813730000000001</v>
      </c>
      <c r="N1667">
        <v>-1.014263E-2</v>
      </c>
      <c r="O1667">
        <v>-0.99408439999999998</v>
      </c>
      <c r="P1667">
        <v>-0.14636109999999999</v>
      </c>
      <c r="Q1667">
        <v>0.16243640000000001</v>
      </c>
      <c r="R1667">
        <v>-0.975804</v>
      </c>
      <c r="S1667">
        <v>-1.524033</v>
      </c>
      <c r="T1667">
        <v>-4.3780090000000001E-2</v>
      </c>
      <c r="U1667">
        <v>-2.8571469999999999</v>
      </c>
      <c r="V1667">
        <v>4.0688380000000003E-2</v>
      </c>
      <c r="W1667">
        <v>0.1722611</v>
      </c>
      <c r="X1667">
        <v>0.98421060000000005</v>
      </c>
      <c r="Y1667">
        <v>0.37241859999999999</v>
      </c>
      <c r="Z1667">
        <v>3.8508050000000001E-3</v>
      </c>
      <c r="AA1667">
        <v>0.92805680000000002</v>
      </c>
      <c r="AB1667">
        <v>24</v>
      </c>
      <c r="AC1667">
        <v>-40.292999999999999</v>
      </c>
      <c r="AD1667">
        <v>-1.158231</v>
      </c>
      <c r="AE1667">
        <v>-75.353999999999999</v>
      </c>
      <c r="AF1667">
        <v>31.901839316505701</v>
      </c>
      <c r="AG1667">
        <v>-1.158231</v>
      </c>
      <c r="AH1667">
        <v>79.254915016902302</v>
      </c>
      <c r="AI1667">
        <v>90.7767074681407</v>
      </c>
      <c r="AJ1667">
        <v>68.0741347392009</v>
      </c>
      <c r="AK1667">
        <v>85.442439133968506</v>
      </c>
      <c r="AL1667">
        <v>80.080689393551694</v>
      </c>
      <c r="AM1667">
        <v>87.632675677349397</v>
      </c>
      <c r="AN1667">
        <v>0.99999996799629598</v>
      </c>
    </row>
    <row r="1668" spans="1:40" x14ac:dyDescent="0.25">
      <c r="A1668" t="str">
        <f>"20190304155626176"</f>
        <v>20190304155626176</v>
      </c>
      <c r="B1668" t="str">
        <f>"1551686186166004"</f>
        <v>1551686186166004</v>
      </c>
      <c r="C1668" t="s">
        <v>40</v>
      </c>
      <c r="D1668">
        <v>4.9756669999999996</v>
      </c>
      <c r="E1668">
        <v>0.63765629999999995</v>
      </c>
      <c r="F1668" t="s">
        <v>44</v>
      </c>
      <c r="G1668">
        <v>-235.47130000000001</v>
      </c>
      <c r="H1668">
        <v>-0.05</v>
      </c>
      <c r="I1668">
        <v>225.34989999999999</v>
      </c>
      <c r="J1668">
        <v>-191.8947</v>
      </c>
      <c r="K1668">
        <v>1.1081780000000001</v>
      </c>
      <c r="L1668">
        <v>305.65660000000003</v>
      </c>
      <c r="M1668">
        <v>-0.1107403</v>
      </c>
      <c r="N1668">
        <v>-1.015522E-2</v>
      </c>
      <c r="O1668">
        <v>-0.99379740000000005</v>
      </c>
      <c r="P1668">
        <v>-0.14998010000000001</v>
      </c>
      <c r="Q1668">
        <v>0.1622854</v>
      </c>
      <c r="R1668">
        <v>-0.97527929999999996</v>
      </c>
      <c r="S1668">
        <v>-1.5429839999999999</v>
      </c>
      <c r="T1668">
        <v>-4.0985109999999998E-2</v>
      </c>
      <c r="U1668">
        <v>-2.8497919999999999</v>
      </c>
      <c r="V1668">
        <v>4.1781869999999999E-2</v>
      </c>
      <c r="W1668">
        <v>0.17211270000000001</v>
      </c>
      <c r="X1668">
        <v>0.98419080000000003</v>
      </c>
      <c r="Y1668">
        <v>0.37576809999999999</v>
      </c>
      <c r="Z1668">
        <v>2.9682129999999999E-3</v>
      </c>
      <c r="AA1668">
        <v>0.926709</v>
      </c>
      <c r="AB1668">
        <v>24</v>
      </c>
      <c r="AC1668">
        <v>-43.576599999999999</v>
      </c>
      <c r="AD1668">
        <v>-1.1581779999999999</v>
      </c>
      <c r="AE1668">
        <v>-80.306700000000006</v>
      </c>
      <c r="AF1668">
        <v>34.409372620414501</v>
      </c>
      <c r="AG1668">
        <v>-1.1581779999999999</v>
      </c>
      <c r="AH1668">
        <v>84.625050086965501</v>
      </c>
      <c r="AI1668">
        <v>90.726358450023596</v>
      </c>
      <c r="AJ1668">
        <v>67.872860375378806</v>
      </c>
      <c r="AK1668">
        <v>91.360524312372604</v>
      </c>
      <c r="AL1668">
        <v>80.089321512132798</v>
      </c>
      <c r="AM1668">
        <v>87.569080906868606</v>
      </c>
      <c r="AN1668">
        <v>1.00000001848331</v>
      </c>
    </row>
    <row r="1669" spans="1:40" x14ac:dyDescent="0.25">
      <c r="A1669" t="str">
        <f>"20190304155626198"</f>
        <v>20190304155626198</v>
      </c>
      <c r="B1669" t="str">
        <f>"1551686186186497"</f>
        <v>1551686186186497</v>
      </c>
      <c r="C1669" t="s">
        <v>40</v>
      </c>
      <c r="D1669">
        <v>4.6674170000000004</v>
      </c>
      <c r="E1669">
        <v>0.63907269999999905</v>
      </c>
      <c r="F1669" t="s">
        <v>44</v>
      </c>
      <c r="G1669">
        <v>-238.94149999999999</v>
      </c>
      <c r="H1669">
        <v>-0.05</v>
      </c>
      <c r="I1669">
        <v>219.9915</v>
      </c>
      <c r="J1669">
        <v>-191.92339999999999</v>
      </c>
      <c r="K1669">
        <v>1.1081299999999901</v>
      </c>
      <c r="L1669">
        <v>305.42599999999999</v>
      </c>
      <c r="M1669">
        <v>-0.113443</v>
      </c>
      <c r="N1669">
        <v>-1.0166990000000001E-2</v>
      </c>
      <c r="O1669">
        <v>-0.9934925</v>
      </c>
      <c r="P1669">
        <v>-0.15363729999999901</v>
      </c>
      <c r="Q1669">
        <v>0.1624013</v>
      </c>
      <c r="R1669">
        <v>-0.97469039999999996</v>
      </c>
      <c r="S1669">
        <v>-1.561035</v>
      </c>
      <c r="T1669">
        <v>-3.8428900000000002E-2</v>
      </c>
      <c r="U1669">
        <v>-2.8424070000000001</v>
      </c>
      <c r="V1669">
        <v>4.2822199999999998E-2</v>
      </c>
      <c r="W1669">
        <v>0.1722301</v>
      </c>
      <c r="X1669">
        <v>0.98412560000000004</v>
      </c>
      <c r="Y1669">
        <v>0.37878849999999997</v>
      </c>
      <c r="Z1669">
        <v>2.1632259999999999E-3</v>
      </c>
      <c r="AA1669">
        <v>0.92548070000000004</v>
      </c>
      <c r="AB1669">
        <v>24</v>
      </c>
      <c r="AC1669">
        <v>-47.018099999999997</v>
      </c>
      <c r="AD1669">
        <v>-1.1581300000000001</v>
      </c>
      <c r="AE1669">
        <v>-85.4344999999999</v>
      </c>
      <c r="AF1669">
        <v>37.016875782601197</v>
      </c>
      <c r="AG1669">
        <v>-1.1581300000000001</v>
      </c>
      <c r="AH1669">
        <v>90.204348356245703</v>
      </c>
      <c r="AI1669">
        <v>90.680512480910295</v>
      </c>
      <c r="AJ1669">
        <v>67.688378205321101</v>
      </c>
      <c r="AK1669">
        <v>97.511101009968897</v>
      </c>
      <c r="AL1669">
        <v>80.082493557682199</v>
      </c>
      <c r="AM1669">
        <v>87.508463756716793</v>
      </c>
      <c r="AN1669">
        <v>1.0000000723671001</v>
      </c>
    </row>
    <row r="1670" spans="1:40" x14ac:dyDescent="0.25">
      <c r="A1670" t="str">
        <f>"20190304155626221"</f>
        <v>20190304155626221</v>
      </c>
      <c r="B1670" t="str">
        <f>"1551686186215777"</f>
        <v>1551686186215777</v>
      </c>
      <c r="C1670" t="s">
        <v>40</v>
      </c>
      <c r="D1670">
        <v>4.9532910000000001</v>
      </c>
      <c r="E1670">
        <v>0.64028219999999902</v>
      </c>
      <c r="F1670" t="s">
        <v>57</v>
      </c>
      <c r="G1670">
        <v>-232.8366</v>
      </c>
      <c r="H1670">
        <v>0.2177634</v>
      </c>
      <c r="I1670">
        <v>232.1901</v>
      </c>
      <c r="J1670">
        <v>-191.95490000000001</v>
      </c>
      <c r="K1670">
        <v>1.1080730000000001</v>
      </c>
      <c r="L1670">
        <v>305.18</v>
      </c>
      <c r="M1670">
        <v>-0.1164174</v>
      </c>
      <c r="N1670">
        <v>-1.0178950000000001E-2</v>
      </c>
      <c r="O1670">
        <v>-0.99314829999999998</v>
      </c>
      <c r="P1670">
        <v>-0.1575801</v>
      </c>
      <c r="Q1670">
        <v>0.16312660000000001</v>
      </c>
      <c r="R1670">
        <v>-0.97393969999999996</v>
      </c>
      <c r="S1670">
        <v>-1.5832520000000001</v>
      </c>
      <c r="T1670">
        <v>-3.445542E-2</v>
      </c>
      <c r="U1670">
        <v>-2.834076</v>
      </c>
      <c r="V1670">
        <v>4.3900689999999999E-2</v>
      </c>
      <c r="W1670">
        <v>0.17295479999999899</v>
      </c>
      <c r="X1670">
        <v>0.98395089999999996</v>
      </c>
      <c r="Y1670">
        <v>0.38271139999999998</v>
      </c>
      <c r="Z1670">
        <v>9.1282240000000001E-4</v>
      </c>
      <c r="AA1670">
        <v>0.92386749999999995</v>
      </c>
      <c r="AB1670">
        <v>24</v>
      </c>
      <c r="AC1670">
        <v>-40.881700000000002</v>
      </c>
      <c r="AD1670">
        <v>-0.89030959999999904</v>
      </c>
      <c r="AE1670">
        <v>-72.989900000000006</v>
      </c>
      <c r="AF1670">
        <v>32.102321348230703</v>
      </c>
      <c r="AG1670">
        <v>-0.89030959999999904</v>
      </c>
      <c r="AH1670">
        <v>77.244383794945904</v>
      </c>
      <c r="AI1670">
        <v>90.609794461021593</v>
      </c>
      <c r="AJ1670">
        <v>67.432510692265197</v>
      </c>
      <c r="AK1670">
        <v>83.6543275329485</v>
      </c>
      <c r="AL1670">
        <v>80.040338011364696</v>
      </c>
      <c r="AM1670">
        <v>87.445342853594198</v>
      </c>
      <c r="AN1670">
        <v>1.00000000351816</v>
      </c>
    </row>
    <row r="1671" spans="1:40" x14ac:dyDescent="0.25">
      <c r="A1671" t="str">
        <f>"20190304155626244"</f>
        <v>20190304155626244</v>
      </c>
      <c r="B1671" t="str">
        <f>"1551686186236273"</f>
        <v>1551686186236273</v>
      </c>
      <c r="C1671" t="s">
        <v>40</v>
      </c>
      <c r="D1671">
        <v>4.9556990000000001</v>
      </c>
      <c r="E1671">
        <v>0.64095690000000005</v>
      </c>
      <c r="F1671" t="s">
        <v>57</v>
      </c>
      <c r="G1671">
        <v>-233.15010000000001</v>
      </c>
      <c r="H1671">
        <v>0.33732289999999998</v>
      </c>
      <c r="I1671">
        <v>232.6155</v>
      </c>
      <c r="J1671">
        <v>-191.9855</v>
      </c>
      <c r="K1671">
        <v>1.108015</v>
      </c>
      <c r="L1671">
        <v>304.94659999999999</v>
      </c>
      <c r="M1671">
        <v>-0.11933000000000001</v>
      </c>
      <c r="N1671">
        <v>-1.0189999999999999E-2</v>
      </c>
      <c r="O1671">
        <v>-0.99280230000000003</v>
      </c>
      <c r="P1671">
        <v>-0.1617036</v>
      </c>
      <c r="Q1671">
        <v>0.16358629999999999</v>
      </c>
      <c r="R1671">
        <v>-0.97318629999999995</v>
      </c>
      <c r="S1671">
        <v>-1.604187</v>
      </c>
      <c r="T1671">
        <v>-3.0014039999999999E-2</v>
      </c>
      <c r="U1671">
        <v>-2.825745</v>
      </c>
      <c r="V1671">
        <v>4.5220650000000001E-2</v>
      </c>
      <c r="W1671">
        <v>0.1734118</v>
      </c>
      <c r="X1671">
        <v>0.98381070000000004</v>
      </c>
      <c r="Y1671">
        <v>0.38635259999999999</v>
      </c>
      <c r="Z1671">
        <v>-4.8064290000000002E-4</v>
      </c>
      <c r="AA1671">
        <v>0.92235109999999998</v>
      </c>
      <c r="AB1671">
        <v>24</v>
      </c>
      <c r="AC1671">
        <v>-41.1646</v>
      </c>
      <c r="AD1671">
        <v>-0.77069209999999999</v>
      </c>
      <c r="AE1671">
        <v>-72.331099999999907</v>
      </c>
      <c r="AF1671">
        <v>32.235950557275203</v>
      </c>
      <c r="AG1671">
        <v>-0.77069209999999999</v>
      </c>
      <c r="AH1671">
        <v>76.720062775015194</v>
      </c>
      <c r="AI1671">
        <v>90.530612320273903</v>
      </c>
      <c r="AJ1671">
        <v>67.209009223007399</v>
      </c>
      <c r="AK1671">
        <v>83.220901862731395</v>
      </c>
      <c r="AL1671">
        <v>80.013752348594494</v>
      </c>
      <c r="AM1671">
        <v>87.368264023662803</v>
      </c>
      <c r="AN1671">
        <v>1.0000000265000699</v>
      </c>
    </row>
    <row r="1672" spans="1:40" x14ac:dyDescent="0.25">
      <c r="A1672" t="str">
        <f>"20190304155626267"</f>
        <v>20190304155626267</v>
      </c>
      <c r="B1672" t="str">
        <f>"1551686186256769"</f>
        <v>1551686186256769</v>
      </c>
      <c r="C1672" t="s">
        <v>40</v>
      </c>
      <c r="D1672">
        <v>4.9336399999999996</v>
      </c>
      <c r="E1672">
        <v>0.64159180000000005</v>
      </c>
      <c r="F1672" t="s">
        <v>57</v>
      </c>
      <c r="G1672">
        <v>-233.15010000000001</v>
      </c>
      <c r="H1672">
        <v>0.42213010000000001</v>
      </c>
      <c r="I1672">
        <v>233.42830000000001</v>
      </c>
      <c r="J1672">
        <v>-192.0189</v>
      </c>
      <c r="K1672">
        <v>1.107947</v>
      </c>
      <c r="L1672">
        <v>304.69900000000001</v>
      </c>
      <c r="M1672">
        <v>-0.122514899999999</v>
      </c>
      <c r="N1672">
        <v>-1.0201480000000001E-2</v>
      </c>
      <c r="O1672">
        <v>-0.99241440000000003</v>
      </c>
      <c r="P1672">
        <v>-0.166312299999999</v>
      </c>
      <c r="Q1672">
        <v>0.16382920000000001</v>
      </c>
      <c r="R1672">
        <v>-0.97236860000000003</v>
      </c>
      <c r="S1672">
        <v>-1.6218410000000001</v>
      </c>
      <c r="T1672">
        <v>-2.702332E-2</v>
      </c>
      <c r="U1672">
        <v>-2.8177490000000001</v>
      </c>
      <c r="V1672">
        <v>4.6763140000000002E-2</v>
      </c>
      <c r="W1672">
        <v>0.17364939999999901</v>
      </c>
      <c r="X1672">
        <v>0.98369660000000003</v>
      </c>
      <c r="Y1672">
        <v>0.38886809999999999</v>
      </c>
      <c r="Z1672">
        <v>-1.4165339999999999E-3</v>
      </c>
      <c r="AA1672">
        <v>0.92129240000000001</v>
      </c>
      <c r="AB1672">
        <v>24</v>
      </c>
      <c r="AC1672">
        <v>-41.1312</v>
      </c>
      <c r="AD1672">
        <v>-0.68581689999999995</v>
      </c>
      <c r="AE1672">
        <v>-71.270700000000005</v>
      </c>
      <c r="AF1672">
        <v>32.0869084711657</v>
      </c>
      <c r="AG1672">
        <v>-0.68581689999999995</v>
      </c>
      <c r="AH1672">
        <v>75.767922005662001</v>
      </c>
      <c r="AI1672">
        <v>90.477546066366799</v>
      </c>
      <c r="AJ1672">
        <v>67.047859470699507</v>
      </c>
      <c r="AK1672">
        <v>82.284980677602206</v>
      </c>
      <c r="AL1672">
        <v>79.999928411420896</v>
      </c>
      <c r="AM1672">
        <v>87.278312265158505</v>
      </c>
      <c r="AN1672">
        <v>0.99999995311728795</v>
      </c>
    </row>
    <row r="1673" spans="1:40" x14ac:dyDescent="0.25">
      <c r="A1673" t="str">
        <f>"20190304155626290"</f>
        <v>20190304155626290</v>
      </c>
      <c r="B1673" t="str">
        <f>"1551686186286049"</f>
        <v>1551686186286049</v>
      </c>
      <c r="C1673" t="s">
        <v>40</v>
      </c>
      <c r="D1673">
        <v>5.0071349999999999</v>
      </c>
      <c r="E1673">
        <v>0.64317009999999997</v>
      </c>
      <c r="F1673" t="s">
        <v>57</v>
      </c>
      <c r="G1673">
        <v>-232.83670000000001</v>
      </c>
      <c r="H1673">
        <v>0.48758509999999999</v>
      </c>
      <c r="I1673">
        <v>234.80289999999999</v>
      </c>
      <c r="J1673">
        <v>-192.0532</v>
      </c>
      <c r="K1673">
        <v>1.1078709999999901</v>
      </c>
      <c r="L1673">
        <v>304.4511</v>
      </c>
      <c r="M1673">
        <v>-0.12581019999999901</v>
      </c>
      <c r="N1673">
        <v>-1.021268E-2</v>
      </c>
      <c r="O1673">
        <v>-0.9920021</v>
      </c>
      <c r="P1673">
        <v>-0.17105719999999999</v>
      </c>
      <c r="Q1673">
        <v>0.1641803</v>
      </c>
      <c r="R1673">
        <v>-0.97148599999999996</v>
      </c>
      <c r="S1673">
        <v>-1.6403350000000001</v>
      </c>
      <c r="T1673">
        <v>-2.4930480000000001E-2</v>
      </c>
      <c r="U1673">
        <v>-2.8088989999999998</v>
      </c>
      <c r="V1673">
        <v>4.83419E-2</v>
      </c>
      <c r="W1673">
        <v>0.17399400000000001</v>
      </c>
      <c r="X1673">
        <v>0.98355939999999997</v>
      </c>
      <c r="Y1673">
        <v>0.39159709999999998</v>
      </c>
      <c r="Z1673">
        <v>-2.0695990000000001E-3</v>
      </c>
      <c r="AA1673">
        <v>0.92013440000000002</v>
      </c>
      <c r="AB1673">
        <v>24</v>
      </c>
      <c r="AC1673">
        <v>-40.783499999999997</v>
      </c>
      <c r="AD1673">
        <v>-0.62028589999999895</v>
      </c>
      <c r="AE1673">
        <v>-69.648200000000003</v>
      </c>
      <c r="AF1673">
        <v>31.694634004694901</v>
      </c>
      <c r="AG1673">
        <v>-0.62028589999999895</v>
      </c>
      <c r="AH1673">
        <v>74.221603120475393</v>
      </c>
      <c r="AI1673">
        <v>90.440354300760603</v>
      </c>
      <c r="AJ1673">
        <v>66.876205837600395</v>
      </c>
      <c r="AK1673">
        <v>80.707998048908706</v>
      </c>
      <c r="AL1673">
        <v>79.9798792710301</v>
      </c>
      <c r="AM1673">
        <v>87.186179371126599</v>
      </c>
      <c r="AN1673">
        <v>0.99999997232998405</v>
      </c>
    </row>
    <row r="1674" spans="1:40" x14ac:dyDescent="0.25">
      <c r="A1674" t="str">
        <f>"20190304155626311"</f>
        <v>20190304155626311</v>
      </c>
      <c r="B1674" t="str">
        <f>"1551686186306546"</f>
        <v>1551686186306546</v>
      </c>
      <c r="C1674" t="s">
        <v>40</v>
      </c>
      <c r="D1674">
        <v>4.9400779999999997</v>
      </c>
      <c r="E1674">
        <v>0.64381089999999996</v>
      </c>
      <c r="F1674" t="s">
        <v>57</v>
      </c>
      <c r="G1674">
        <v>-232.83670000000001</v>
      </c>
      <c r="H1674">
        <v>0.59832929999999995</v>
      </c>
      <c r="I1674">
        <v>235.9691</v>
      </c>
      <c r="J1674">
        <v>-192.08359999999999</v>
      </c>
      <c r="K1674">
        <v>1.107807</v>
      </c>
      <c r="L1674">
        <v>304.23719999999997</v>
      </c>
      <c r="M1674">
        <v>-0.12874059999999901</v>
      </c>
      <c r="N1674">
        <v>-1.022207E-2</v>
      </c>
      <c r="O1674">
        <v>-0.99162570000000005</v>
      </c>
      <c r="P1674">
        <v>-0.1755932</v>
      </c>
      <c r="Q1674">
        <v>0.16454569999999999</v>
      </c>
      <c r="R1674">
        <v>-0.97061439999999999</v>
      </c>
      <c r="S1674">
        <v>-1.6663669999999999</v>
      </c>
      <c r="T1674">
        <v>-2.081943E-2</v>
      </c>
      <c r="U1674">
        <v>-2.7980960000000001</v>
      </c>
      <c r="V1674">
        <v>5.0070650000000001E-2</v>
      </c>
      <c r="W1674">
        <v>0.17435049999999999</v>
      </c>
      <c r="X1674">
        <v>0.9834098</v>
      </c>
      <c r="Y1674">
        <v>0.39676270000000002</v>
      </c>
      <c r="Z1674">
        <v>-3.3550540000000001E-3</v>
      </c>
      <c r="AA1674">
        <v>0.91791509999999998</v>
      </c>
      <c r="AB1674">
        <v>24</v>
      </c>
      <c r="AC1674">
        <v>-40.753100000000003</v>
      </c>
      <c r="AD1674">
        <v>-0.50947769999999903</v>
      </c>
      <c r="AE1674">
        <v>-68.268099999999905</v>
      </c>
      <c r="AF1674">
        <v>31.623296366854301</v>
      </c>
      <c r="AG1674">
        <v>-0.50947769999999903</v>
      </c>
      <c r="AH1674">
        <v>72.943791106809599</v>
      </c>
      <c r="AI1674">
        <v>90.367159549421302</v>
      </c>
      <c r="AJ1674">
        <v>66.561837894982602</v>
      </c>
      <c r="AK1674">
        <v>79.505277193822593</v>
      </c>
      <c r="AL1674">
        <v>79.959136561079404</v>
      </c>
      <c r="AM1674">
        <v>87.085282513920603</v>
      </c>
      <c r="AN1674">
        <v>1.0000000007888501</v>
      </c>
    </row>
    <row r="1675" spans="1:40" x14ac:dyDescent="0.25">
      <c r="A1675" t="str">
        <f>"20190304155626333"</f>
        <v>20190304155626333</v>
      </c>
      <c r="B1675" t="str">
        <f>"1551686186326065"</f>
        <v>1551686186326065</v>
      </c>
      <c r="C1675" t="s">
        <v>40</v>
      </c>
      <c r="D1675">
        <v>4.9347820000000002</v>
      </c>
      <c r="E1675">
        <v>0.64435430000000005</v>
      </c>
      <c r="F1675" t="s">
        <v>57</v>
      </c>
      <c r="G1675">
        <v>-233.0163</v>
      </c>
      <c r="H1675">
        <v>0.6413856</v>
      </c>
      <c r="I1675">
        <v>236.47399999999999</v>
      </c>
      <c r="J1675">
        <v>-192.119</v>
      </c>
      <c r="K1675">
        <v>1.1077429999999999</v>
      </c>
      <c r="L1675">
        <v>303.99509999999998</v>
      </c>
      <c r="M1675">
        <v>-0.13213829999999999</v>
      </c>
      <c r="N1675">
        <v>-1.0232079999999999E-2</v>
      </c>
      <c r="O1675">
        <v>-0.99117860000000002</v>
      </c>
      <c r="P1675">
        <v>-0.18085280000000001</v>
      </c>
      <c r="Q1675">
        <v>0.16425519999999999</v>
      </c>
      <c r="R1675">
        <v>-0.96969749999999999</v>
      </c>
      <c r="S1675">
        <v>-1.6848749999999999</v>
      </c>
      <c r="T1675">
        <v>-1.9199009999999999E-2</v>
      </c>
      <c r="U1675">
        <v>-2.7892760000000001</v>
      </c>
      <c r="V1675">
        <v>5.205477E-2</v>
      </c>
      <c r="W1675">
        <v>0.17405090000000001</v>
      </c>
      <c r="X1675">
        <v>0.98335989999999995</v>
      </c>
      <c r="Y1675">
        <v>0.39936579999999999</v>
      </c>
      <c r="Z1675">
        <v>-3.8585339999999998E-3</v>
      </c>
      <c r="AA1675">
        <v>0.91678360000000003</v>
      </c>
      <c r="AB1675">
        <v>24</v>
      </c>
      <c r="AC1675">
        <v>-40.897299999999902</v>
      </c>
      <c r="AD1675">
        <v>-0.46635739999999898</v>
      </c>
      <c r="AE1675">
        <v>-67.521099999999905</v>
      </c>
      <c r="AF1675">
        <v>31.614953043370399</v>
      </c>
      <c r="AG1675">
        <v>-0.46635739999999898</v>
      </c>
      <c r="AH1675">
        <v>72.330822481752605</v>
      </c>
      <c r="AI1675">
        <v>90.338492269744606</v>
      </c>
      <c r="AJ1675">
        <v>66.390426402549295</v>
      </c>
      <c r="AK1675">
        <v>78.939664466260894</v>
      </c>
      <c r="AL1675">
        <v>79.976569452270596</v>
      </c>
      <c r="AM1675">
        <v>86.969840393732198</v>
      </c>
      <c r="AN1675">
        <v>1.0000000538992799</v>
      </c>
    </row>
    <row r="1676" spans="1:40" x14ac:dyDescent="0.25">
      <c r="A1676" t="str">
        <f>"20190304155626355"</f>
        <v>20190304155626355</v>
      </c>
      <c r="B1676" t="str">
        <f>"1551686186346562"</f>
        <v>1551686186346562</v>
      </c>
      <c r="C1676" t="s">
        <v>40</v>
      </c>
      <c r="D1676">
        <v>4.9581400000000002</v>
      </c>
      <c r="E1676">
        <v>0.64490749999999997</v>
      </c>
      <c r="F1676" t="s">
        <v>57</v>
      </c>
      <c r="G1676">
        <v>-233.15010000000001</v>
      </c>
      <c r="H1676">
        <v>0.64061499999999905</v>
      </c>
      <c r="I1676">
        <v>237.07820000000001</v>
      </c>
      <c r="J1676">
        <v>-192.1524</v>
      </c>
      <c r="K1676">
        <v>1.107693</v>
      </c>
      <c r="L1676">
        <v>303.7713</v>
      </c>
      <c r="M1676">
        <v>-0.1353502</v>
      </c>
      <c r="N1676">
        <v>-1.0240630000000001E-2</v>
      </c>
      <c r="O1676">
        <v>-0.99074490000000004</v>
      </c>
      <c r="P1676">
        <v>-0.1860619</v>
      </c>
      <c r="Q1676">
        <v>0.16432920000000001</v>
      </c>
      <c r="R1676">
        <v>-0.96869890000000003</v>
      </c>
      <c r="S1676">
        <v>-1.704132</v>
      </c>
      <c r="T1676">
        <v>-1.9401189999999999E-2</v>
      </c>
      <c r="U1676">
        <v>-2.779236</v>
      </c>
      <c r="V1676">
        <v>5.4180390000000002E-2</v>
      </c>
      <c r="W1676">
        <v>0.17411380000000001</v>
      </c>
      <c r="X1676">
        <v>0.98323389999999999</v>
      </c>
      <c r="Y1676">
        <v>0.40248679999999998</v>
      </c>
      <c r="Z1676">
        <v>-3.7896480000000001E-3</v>
      </c>
      <c r="AA1676">
        <v>0.91541799999999995</v>
      </c>
      <c r="AB1676">
        <v>24</v>
      </c>
      <c r="AC1676">
        <v>-40.997700000000002</v>
      </c>
      <c r="AD1676">
        <v>-0.46707799999999999</v>
      </c>
      <c r="AE1676">
        <v>-66.693099999999902</v>
      </c>
      <c r="AF1676">
        <v>31.5918697763375</v>
      </c>
      <c r="AG1676">
        <v>-0.46707799999999999</v>
      </c>
      <c r="AH1676">
        <v>71.626101782205794</v>
      </c>
      <c r="AI1676">
        <v>90.341849775254403</v>
      </c>
      <c r="AJ1676">
        <v>66.199333820547494</v>
      </c>
      <c r="AK1676">
        <v>78.285138144721103</v>
      </c>
      <c r="AL1676">
        <v>79.972909283698399</v>
      </c>
      <c r="AM1676">
        <v>86.845947506100003</v>
      </c>
      <c r="AN1676">
        <v>1.0000000160600999</v>
      </c>
    </row>
    <row r="1677" spans="1:40" x14ac:dyDescent="0.25">
      <c r="A1677" t="str">
        <f>"20190304155626377"</f>
        <v>20190304155626377</v>
      </c>
      <c r="B1677" t="str">
        <f>"1551686186366085"</f>
        <v>1551686186366085</v>
      </c>
      <c r="C1677" t="s">
        <v>40</v>
      </c>
      <c r="D1677">
        <v>4.9749549999999996</v>
      </c>
      <c r="E1677">
        <v>0.64531700000000003</v>
      </c>
      <c r="F1677" t="s">
        <v>57</v>
      </c>
      <c r="G1677">
        <v>-233.15020000000001</v>
      </c>
      <c r="H1677">
        <v>0.65141800000000005</v>
      </c>
      <c r="I1677">
        <v>237.89240000000001</v>
      </c>
      <c r="J1677">
        <v>-192.18979999999999</v>
      </c>
      <c r="K1677">
        <v>1.1076490000000001</v>
      </c>
      <c r="L1677">
        <v>303.52769999999998</v>
      </c>
      <c r="M1677">
        <v>-0.13892479999999999</v>
      </c>
      <c r="N1677">
        <v>-1.024945E-2</v>
      </c>
      <c r="O1677">
        <v>-0.99024999999999996</v>
      </c>
      <c r="P1677">
        <v>-0.1924911</v>
      </c>
      <c r="Q1677">
        <v>0.164018</v>
      </c>
      <c r="R1677">
        <v>-0.96749470000000004</v>
      </c>
      <c r="S1677">
        <v>-1.7233430000000001</v>
      </c>
      <c r="T1677">
        <v>-1.9179700000000001E-2</v>
      </c>
      <c r="U1677">
        <v>-2.7692260000000002</v>
      </c>
      <c r="V1677">
        <v>5.7179309999999997E-2</v>
      </c>
      <c r="W1677">
        <v>0.17378750000000001</v>
      </c>
      <c r="X1677">
        <v>0.98312180000000005</v>
      </c>
      <c r="Y1677">
        <v>0.405246</v>
      </c>
      <c r="Z1677">
        <v>-3.8524729999999999E-3</v>
      </c>
      <c r="AA1677">
        <v>0.9141996</v>
      </c>
      <c r="AB1677">
        <v>24</v>
      </c>
      <c r="AC1677">
        <v>-40.9604</v>
      </c>
      <c r="AD1677">
        <v>-0.456230999999999</v>
      </c>
      <c r="AE1677">
        <v>-65.635299999999901</v>
      </c>
      <c r="AF1677">
        <v>31.4432200905838</v>
      </c>
      <c r="AG1677">
        <v>-0.456230999999999</v>
      </c>
      <c r="AH1677">
        <v>70.687018701084597</v>
      </c>
      <c r="AI1677">
        <v>90.337876754562402</v>
      </c>
      <c r="AJ1677">
        <v>66.019395942210707</v>
      </c>
      <c r="AK1677">
        <v>77.366264283844899</v>
      </c>
      <c r="AL1677">
        <v>79.991894386772202</v>
      </c>
      <c r="AM1677">
        <v>86.671372192043805</v>
      </c>
      <c r="AN1677">
        <v>1.0000000211417801</v>
      </c>
    </row>
    <row r="1678" spans="1:40" x14ac:dyDescent="0.25">
      <c r="A1678" t="str">
        <f>"20190304155626400"</f>
        <v>20190304155626400</v>
      </c>
      <c r="B1678" t="str">
        <f>"1551686186396337"</f>
        <v>1551686186396337</v>
      </c>
      <c r="C1678" t="s">
        <v>40</v>
      </c>
      <c r="D1678">
        <v>4.898504</v>
      </c>
      <c r="E1678">
        <v>0.64591659999999995</v>
      </c>
      <c r="F1678" t="s">
        <v>57</v>
      </c>
      <c r="G1678">
        <v>-232.83670000000001</v>
      </c>
      <c r="H1678">
        <v>0.65124510000000002</v>
      </c>
      <c r="I1678">
        <v>239.29669999999999</v>
      </c>
      <c r="J1678">
        <v>-192.227</v>
      </c>
      <c r="K1678">
        <v>1.1076010000000001</v>
      </c>
      <c r="L1678">
        <v>303.29140000000001</v>
      </c>
      <c r="M1678">
        <v>-0.14246439999999999</v>
      </c>
      <c r="N1678">
        <v>-1.025773E-2</v>
      </c>
      <c r="O1678">
        <v>-0.98974680000000004</v>
      </c>
      <c r="P1678">
        <v>-0.1987237</v>
      </c>
      <c r="Q1678">
        <v>0.16395940000000001</v>
      </c>
      <c r="R1678">
        <v>-0.96624359999999998</v>
      </c>
      <c r="S1678">
        <v>-1.7446900000000001</v>
      </c>
      <c r="T1678">
        <v>-1.9590380000000001E-2</v>
      </c>
      <c r="U1678">
        <v>-2.7569889999999999</v>
      </c>
      <c r="V1678">
        <v>6.0025149999999999E-2</v>
      </c>
      <c r="W1678">
        <v>0.17371229999999999</v>
      </c>
      <c r="X1678">
        <v>0.98296539999999999</v>
      </c>
      <c r="Y1678">
        <v>0.40886410000000001</v>
      </c>
      <c r="Z1678">
        <v>-3.7147650000000001E-3</v>
      </c>
      <c r="AA1678">
        <v>0.9125877</v>
      </c>
      <c r="AB1678">
        <v>24</v>
      </c>
      <c r="AC1678">
        <v>-40.609699999999997</v>
      </c>
      <c r="AD1678">
        <v>-0.45635589999999998</v>
      </c>
      <c r="AE1678">
        <v>-63.994700000000002</v>
      </c>
      <c r="AF1678">
        <v>31.0768616473671</v>
      </c>
      <c r="AG1678">
        <v>-0.45635589999999998</v>
      </c>
      <c r="AH1678">
        <v>69.125115070901003</v>
      </c>
      <c r="AI1678">
        <v>90.344994236203505</v>
      </c>
      <c r="AJ1678">
        <v>65.792550692375698</v>
      </c>
      <c r="AK1678">
        <v>75.790903966916503</v>
      </c>
      <c r="AL1678">
        <v>79.996269157932403</v>
      </c>
      <c r="AM1678">
        <v>86.505551048446804</v>
      </c>
      <c r="AN1678">
        <v>0.99999997970048604</v>
      </c>
    </row>
    <row r="1679" spans="1:40" x14ac:dyDescent="0.25">
      <c r="A1679" t="str">
        <f>"20190304155626421"</f>
        <v>20190304155626421</v>
      </c>
      <c r="B1679" t="str">
        <f>"1551686186416833"</f>
        <v>1551686186416833</v>
      </c>
      <c r="C1679" t="s">
        <v>40</v>
      </c>
      <c r="D1679">
        <v>4.9687570000000001</v>
      </c>
      <c r="E1679">
        <v>0.64629609999999904</v>
      </c>
      <c r="F1679" t="s">
        <v>57</v>
      </c>
      <c r="G1679">
        <v>-232.83670000000001</v>
      </c>
      <c r="H1679">
        <v>0.68531850000000005</v>
      </c>
      <c r="I1679">
        <v>240.24860000000001</v>
      </c>
      <c r="J1679">
        <v>-192.26410000000001</v>
      </c>
      <c r="K1679">
        <v>1.1075569999999999</v>
      </c>
      <c r="L1679">
        <v>303.06169999999997</v>
      </c>
      <c r="M1679">
        <v>-0.14597260000000001</v>
      </c>
      <c r="N1679">
        <v>-1.0265959999999999E-2</v>
      </c>
      <c r="O1679">
        <v>-0.98923550000000005</v>
      </c>
      <c r="P1679">
        <v>-0.2047977</v>
      </c>
      <c r="Q1679">
        <v>0.16412479999999999</v>
      </c>
      <c r="R1679">
        <v>-0.96494639999999998</v>
      </c>
      <c r="S1679">
        <v>-1.7678069999999999</v>
      </c>
      <c r="T1679">
        <v>-1.838279E-2</v>
      </c>
      <c r="U1679">
        <v>-2.744354</v>
      </c>
      <c r="V1679">
        <v>6.2753740000000002E-2</v>
      </c>
      <c r="W1679">
        <v>0.17386070000000001</v>
      </c>
      <c r="X1679">
        <v>0.9827688</v>
      </c>
      <c r="Y1679">
        <v>0.4129736</v>
      </c>
      <c r="Z1679">
        <v>-4.0836539999999999E-3</v>
      </c>
      <c r="AA1679">
        <v>0.91073389999999999</v>
      </c>
      <c r="AB1679">
        <v>24</v>
      </c>
      <c r="AC1679">
        <v>-40.572600000000001</v>
      </c>
      <c r="AD1679">
        <v>-0.42223849999999902</v>
      </c>
      <c r="AE1679">
        <v>-62.813099999999899</v>
      </c>
      <c r="AF1679">
        <v>30.967505180000401</v>
      </c>
      <c r="AG1679">
        <v>-0.42223849999999902</v>
      </c>
      <c r="AH1679">
        <v>68.060843894618998</v>
      </c>
      <c r="AI1679">
        <v>90.323534660833303</v>
      </c>
      <c r="AJ1679">
        <v>65.534589586816494</v>
      </c>
      <c r="AK1679">
        <v>74.775952913165398</v>
      </c>
      <c r="AL1679">
        <v>79.987635738586405</v>
      </c>
      <c r="AM1679">
        <v>86.346394339800796</v>
      </c>
      <c r="AN1679">
        <v>1.00000004457095</v>
      </c>
    </row>
    <row r="1680" spans="1:40" x14ac:dyDescent="0.25">
      <c r="A1680" t="str">
        <f>"20190304155626444"</f>
        <v>20190304155626444</v>
      </c>
      <c r="B1680" t="str">
        <f>"1551686186436354"</f>
        <v>1551686186436354</v>
      </c>
      <c r="C1680" t="s">
        <v>40</v>
      </c>
      <c r="D1680">
        <v>4.9608679999999996</v>
      </c>
      <c r="E1680">
        <v>0.64657039999999999</v>
      </c>
      <c r="F1680" t="s">
        <v>57</v>
      </c>
      <c r="G1680">
        <v>-233.0258</v>
      </c>
      <c r="H1680">
        <v>0.73238369999999997</v>
      </c>
      <c r="I1680">
        <v>240.78229999999999</v>
      </c>
      <c r="J1680">
        <v>-192.30350000000001</v>
      </c>
      <c r="K1680">
        <v>1.1074930000000001</v>
      </c>
      <c r="L1680">
        <v>302.8227</v>
      </c>
      <c r="M1680">
        <v>-0.14968909999999999</v>
      </c>
      <c r="N1680">
        <v>-1.0274480000000001E-2</v>
      </c>
      <c r="O1680">
        <v>-0.9886798</v>
      </c>
      <c r="P1680">
        <v>-0.21157790000000001</v>
      </c>
      <c r="Q1680">
        <v>0.164405</v>
      </c>
      <c r="R1680">
        <v>-0.96343449999999997</v>
      </c>
      <c r="S1680">
        <v>-1.788208</v>
      </c>
      <c r="T1680">
        <v>-1.645887E-2</v>
      </c>
      <c r="U1680">
        <v>-2.7321780000000002</v>
      </c>
      <c r="V1680">
        <v>6.6008159999999996E-2</v>
      </c>
      <c r="W1680">
        <v>0.17411940000000001</v>
      </c>
      <c r="X1680">
        <v>0.98250970000000004</v>
      </c>
      <c r="Y1680">
        <v>0.4161705</v>
      </c>
      <c r="Z1680">
        <v>-4.6754090000000002E-3</v>
      </c>
      <c r="AA1680">
        <v>0.90927460000000004</v>
      </c>
      <c r="AB1680">
        <v>24</v>
      </c>
      <c r="AC1680">
        <v>-40.722299999999898</v>
      </c>
      <c r="AD1680">
        <v>-0.37510929999999998</v>
      </c>
      <c r="AE1680">
        <v>-62.040399999999998</v>
      </c>
      <c r="AF1680">
        <v>30.975385283348</v>
      </c>
      <c r="AG1680">
        <v>-0.37510929999999998</v>
      </c>
      <c r="AH1680">
        <v>67.435606713432094</v>
      </c>
      <c r="AI1680">
        <v>90.289612848678402</v>
      </c>
      <c r="AJ1680">
        <v>65.329129758260706</v>
      </c>
      <c r="AK1680">
        <v>74.210351388788695</v>
      </c>
      <c r="AL1680">
        <v>79.9725830506612</v>
      </c>
      <c r="AM1680">
        <v>86.156461119044593</v>
      </c>
      <c r="AN1680">
        <v>0.99999997661851703</v>
      </c>
    </row>
    <row r="1681" spans="1:40" x14ac:dyDescent="0.25">
      <c r="A1681" t="str">
        <f>"20190304155626469"</f>
        <v>20190304155626469</v>
      </c>
      <c r="B1681" t="str">
        <f>"1551686186466609"</f>
        <v>1551686186466609</v>
      </c>
      <c r="C1681" t="s">
        <v>40</v>
      </c>
      <c r="D1681">
        <v>4.9956759999999996</v>
      </c>
      <c r="E1681">
        <v>0.64679739999999997</v>
      </c>
      <c r="F1681" t="s">
        <v>57</v>
      </c>
      <c r="G1681">
        <v>-233.15020000000001</v>
      </c>
      <c r="H1681">
        <v>0.77071519999999905</v>
      </c>
      <c r="I1681">
        <v>241.45089999999999</v>
      </c>
      <c r="J1681">
        <v>-192.34889999999999</v>
      </c>
      <c r="K1681">
        <v>1.1074299999999999</v>
      </c>
      <c r="L1681">
        <v>302.55500000000001</v>
      </c>
      <c r="M1681">
        <v>-0.15393119999999999</v>
      </c>
      <c r="N1681">
        <v>-1.0283789999999999E-2</v>
      </c>
      <c r="O1681">
        <v>-0.98802829999999997</v>
      </c>
      <c r="P1681">
        <v>-0.2189352</v>
      </c>
      <c r="Q1681">
        <v>0.16441120000000001</v>
      </c>
      <c r="R1681">
        <v>-0.96178869999999905</v>
      </c>
      <c r="S1681">
        <v>-1.809677</v>
      </c>
      <c r="T1681">
        <v>-1.492083E-2</v>
      </c>
      <c r="U1681">
        <v>-2.7190249999999998</v>
      </c>
      <c r="V1681">
        <v>6.9332350000000001E-2</v>
      </c>
      <c r="W1681">
        <v>0.17410210000000001</v>
      </c>
      <c r="X1681">
        <v>0.98228380000000004</v>
      </c>
      <c r="Y1681">
        <v>0.4192708</v>
      </c>
      <c r="Z1681">
        <v>-5.1450369999999999E-3</v>
      </c>
      <c r="AA1681">
        <v>0.90784659999999995</v>
      </c>
      <c r="AB1681">
        <v>24</v>
      </c>
      <c r="AC1681">
        <v>-40.801299999999998</v>
      </c>
      <c r="AD1681">
        <v>-0.33671479999999998</v>
      </c>
      <c r="AE1681">
        <v>-61.104100000000003</v>
      </c>
      <c r="AF1681">
        <v>30.907989345381399</v>
      </c>
      <c r="AG1681">
        <v>-0.33671479999999998</v>
      </c>
      <c r="AH1681">
        <v>66.6552816103558</v>
      </c>
      <c r="AI1681">
        <v>90.262576642412796</v>
      </c>
      <c r="AJ1681">
        <v>65.122890954874293</v>
      </c>
      <c r="AK1681">
        <v>73.4734220571397</v>
      </c>
      <c r="AL1681">
        <v>79.973589776427104</v>
      </c>
      <c r="AM1681">
        <v>85.962598732099707</v>
      </c>
      <c r="AN1681">
        <v>0.99999998986168603</v>
      </c>
    </row>
    <row r="1682" spans="1:40" x14ac:dyDescent="0.25">
      <c r="A1682" t="str">
        <f>"20190304155626491"</f>
        <v>20190304155626491</v>
      </c>
      <c r="B1682" t="str">
        <f>"1551686186486131"</f>
        <v>1551686186486131</v>
      </c>
      <c r="C1682" t="s">
        <v>40</v>
      </c>
      <c r="D1682">
        <v>4.9522240000000002</v>
      </c>
      <c r="E1682">
        <v>0.64696030000000004</v>
      </c>
      <c r="F1682" t="s">
        <v>57</v>
      </c>
      <c r="G1682">
        <v>-233.15020000000001</v>
      </c>
      <c r="H1682">
        <v>0.78282830000000003</v>
      </c>
      <c r="I1682">
        <v>242.32990000000001</v>
      </c>
      <c r="J1682">
        <v>-192.39</v>
      </c>
      <c r="K1682">
        <v>1.107375</v>
      </c>
      <c r="L1682">
        <v>302.31909999999999</v>
      </c>
      <c r="M1682">
        <v>-0.15774659999999999</v>
      </c>
      <c r="N1682">
        <v>-1.029163E-2</v>
      </c>
      <c r="O1682">
        <v>-0.98742620000000003</v>
      </c>
      <c r="P1682">
        <v>-0.22584570000000001</v>
      </c>
      <c r="Q1682">
        <v>0.16445209999999999</v>
      </c>
      <c r="R1682">
        <v>-0.96018219999999999</v>
      </c>
      <c r="S1682">
        <v>-1.832306</v>
      </c>
      <c r="T1682">
        <v>-1.4577390000000001E-2</v>
      </c>
      <c r="U1682">
        <v>-2.70459</v>
      </c>
      <c r="V1682">
        <v>7.263124E-2</v>
      </c>
      <c r="W1682">
        <v>0.17411849999999901</v>
      </c>
      <c r="X1682">
        <v>0.98204250000000004</v>
      </c>
      <c r="Y1682">
        <v>0.42321730000000002</v>
      </c>
      <c r="Z1682">
        <v>-5.2396639999999998E-3</v>
      </c>
      <c r="AA1682">
        <v>0.90601310000000002</v>
      </c>
      <c r="AB1682">
        <v>24</v>
      </c>
      <c r="AC1682">
        <v>-40.760199999999998</v>
      </c>
      <c r="AD1682">
        <v>-0.32454670000000002</v>
      </c>
      <c r="AE1682">
        <v>-59.989199999999897</v>
      </c>
      <c r="AF1682">
        <v>30.785604761743102</v>
      </c>
      <c r="AG1682">
        <v>-0.32454670000000002</v>
      </c>
      <c r="AH1682">
        <v>65.6668402265569</v>
      </c>
      <c r="AI1682">
        <v>90.256394502428904</v>
      </c>
      <c r="AJ1682">
        <v>64.882108241680996</v>
      </c>
      <c r="AK1682">
        <v>72.525807106483896</v>
      </c>
      <c r="AL1682">
        <v>79.972635759383394</v>
      </c>
      <c r="AM1682">
        <v>85.770141719272203</v>
      </c>
      <c r="AN1682">
        <v>1.0000000104362099</v>
      </c>
    </row>
    <row r="1683" spans="1:40" x14ac:dyDescent="0.25">
      <c r="A1683" t="str">
        <f>"20190304155626513"</f>
        <v>20190304155626513</v>
      </c>
      <c r="B1683" t="str">
        <f>"1551686186506627"</f>
        <v>1551686186506627</v>
      </c>
      <c r="C1683" t="s">
        <v>40</v>
      </c>
      <c r="D1683">
        <v>5.1016110000000001</v>
      </c>
      <c r="E1683">
        <v>0.64724979999999999</v>
      </c>
      <c r="F1683" t="s">
        <v>57</v>
      </c>
      <c r="G1683">
        <v>-232.83680000000001</v>
      </c>
      <c r="H1683">
        <v>0.79515080000000005</v>
      </c>
      <c r="I1683">
        <v>243.59139999999999</v>
      </c>
      <c r="J1683">
        <v>-192.4315</v>
      </c>
      <c r="K1683">
        <v>1.107318</v>
      </c>
      <c r="L1683">
        <v>302.08699999999999</v>
      </c>
      <c r="M1683">
        <v>-0.16157360000000001</v>
      </c>
      <c r="N1683">
        <v>-1.029944E-2</v>
      </c>
      <c r="O1683">
        <v>-0.98680699999999999</v>
      </c>
      <c r="P1683">
        <v>-0.23326469999999999</v>
      </c>
      <c r="Q1683">
        <v>0.16438839999999999</v>
      </c>
      <c r="R1683">
        <v>-0.95841759999999998</v>
      </c>
      <c r="S1683">
        <v>-1.853302</v>
      </c>
      <c r="T1683">
        <v>-1.4306549999999999E-2</v>
      </c>
      <c r="U1683">
        <v>-2.6909480000000001</v>
      </c>
      <c r="V1683">
        <v>7.6445139999999995E-2</v>
      </c>
      <c r="W1683">
        <v>0.1740264</v>
      </c>
      <c r="X1683">
        <v>0.98176929999999996</v>
      </c>
      <c r="Y1683">
        <v>0.42664299999999999</v>
      </c>
      <c r="Z1683">
        <v>-5.3118109999999996E-3</v>
      </c>
      <c r="AA1683">
        <v>0.90440449999999994</v>
      </c>
      <c r="AB1683">
        <v>24</v>
      </c>
      <c r="AC1683">
        <v>-40.405299999999997</v>
      </c>
      <c r="AD1683">
        <v>-0.31216719999999998</v>
      </c>
      <c r="AE1683">
        <v>-58.495600000000003</v>
      </c>
      <c r="AF1683">
        <v>30.421912825926398</v>
      </c>
      <c r="AG1683">
        <v>-0.31216719999999998</v>
      </c>
      <c r="AH1683">
        <v>64.254461451143897</v>
      </c>
      <c r="AI1683">
        <v>90.251584549452403</v>
      </c>
      <c r="AJ1683">
        <v>64.664320368290802</v>
      </c>
      <c r="AK1683">
        <v>71.0930801465625</v>
      </c>
      <c r="AL1683">
        <v>79.977994436969695</v>
      </c>
      <c r="AM1683">
        <v>85.547666710201298</v>
      </c>
      <c r="AN1683">
        <v>1.0000000028745299</v>
      </c>
    </row>
    <row r="1684" spans="1:40" x14ac:dyDescent="0.25">
      <c r="A1684" t="str">
        <f>"20190304155627059"</f>
        <v>20190304155627059</v>
      </c>
      <c r="B1684" t="str">
        <f>"1551686187056114"</f>
        <v>1551686187056114</v>
      </c>
      <c r="C1684" t="s">
        <v>40</v>
      </c>
      <c r="D1684">
        <v>4.6910360000000004</v>
      </c>
      <c r="E1684">
        <v>0.76447149999999997</v>
      </c>
      <c r="F1684" t="s">
        <v>57</v>
      </c>
      <c r="G1684">
        <v>-232.83680000000001</v>
      </c>
      <c r="H1684">
        <v>0.82397369999999903</v>
      </c>
      <c r="I1684">
        <v>244.4812</v>
      </c>
      <c r="J1684">
        <v>-193.89859999999999</v>
      </c>
      <c r="K1684">
        <v>1.104862</v>
      </c>
      <c r="L1684">
        <v>296.25139999999999</v>
      </c>
      <c r="M1684">
        <v>-0.2958828</v>
      </c>
      <c r="N1684">
        <v>-1.074571E-2</v>
      </c>
      <c r="O1684">
        <v>-0.95516389999999995</v>
      </c>
      <c r="P1684">
        <v>-0.42944209999999999</v>
      </c>
      <c r="Q1684">
        <v>0.15629029999999999</v>
      </c>
      <c r="R1684">
        <v>-0.88946780000000003</v>
      </c>
      <c r="S1684">
        <v>-1.876755</v>
      </c>
      <c r="T1684">
        <v>-1.316106E-2</v>
      </c>
      <c r="U1684">
        <v>-2.6756899999999999</v>
      </c>
      <c r="V1684">
        <v>0.1490602</v>
      </c>
      <c r="W1684">
        <v>0.1649543</v>
      </c>
      <c r="X1684">
        <v>0.97497239999999996</v>
      </c>
      <c r="Y1684">
        <v>0.30623889999999998</v>
      </c>
      <c r="Z1684">
        <v>-5.7321789999999996E-3</v>
      </c>
      <c r="AA1684">
        <v>0.95193740000000004</v>
      </c>
      <c r="AB1684">
        <v>25</v>
      </c>
      <c r="AC1684">
        <v>-38.938200000000002</v>
      </c>
      <c r="AD1684">
        <v>-0.28088829999999998</v>
      </c>
      <c r="AE1684">
        <v>-51.770199999999903</v>
      </c>
      <c r="AF1684">
        <v>21.875301038166899</v>
      </c>
      <c r="AG1684">
        <v>-0.28088829999999998</v>
      </c>
      <c r="AH1684">
        <v>60.972538406610198</v>
      </c>
      <c r="AI1684">
        <v>90.248442874261301</v>
      </c>
      <c r="AJ1684">
        <v>70.263383657712396</v>
      </c>
      <c r="AK1684">
        <v>64.778531424331206</v>
      </c>
      <c r="AL1684">
        <v>80.505420542187096</v>
      </c>
      <c r="AM1684">
        <v>81.307553557323303</v>
      </c>
      <c r="AN1684">
        <v>1.0000000225371399</v>
      </c>
    </row>
    <row r="1685" spans="1:40" x14ac:dyDescent="0.25">
      <c r="A1685" t="str">
        <f>"20190304155627084"</f>
        <v>20190304155627084</v>
      </c>
      <c r="B1685" t="str">
        <f>"1551686187076610"</f>
        <v>1551686187076610</v>
      </c>
      <c r="C1685" t="s">
        <v>40</v>
      </c>
      <c r="D1685">
        <v>4.683929</v>
      </c>
      <c r="E1685">
        <v>0.76420940000000004</v>
      </c>
      <c r="F1685" t="s">
        <v>58</v>
      </c>
      <c r="G1685">
        <v>-242.5359</v>
      </c>
      <c r="H1685">
        <v>2.6093120000000001</v>
      </c>
      <c r="I1685">
        <v>269.1576</v>
      </c>
      <c r="J1685">
        <v>-193.9914</v>
      </c>
      <c r="K1685">
        <v>1.1047370000000001</v>
      </c>
      <c r="L1685">
        <v>295.98439999999999</v>
      </c>
      <c r="M1685">
        <v>-0.30417889999999997</v>
      </c>
      <c r="N1685">
        <v>-1.0772749999999999E-2</v>
      </c>
      <c r="O1685">
        <v>-0.95255420000000002</v>
      </c>
      <c r="P1685">
        <v>-0.43839990000000001</v>
      </c>
      <c r="Q1685">
        <v>0.1562616</v>
      </c>
      <c r="R1685">
        <v>-0.88509230000000005</v>
      </c>
      <c r="S1685">
        <v>-3.226639</v>
      </c>
      <c r="T1685">
        <v>9.9806549999999994E-2</v>
      </c>
      <c r="U1685">
        <v>-1.7974239999999999</v>
      </c>
      <c r="V1685">
        <v>0.1504712</v>
      </c>
      <c r="W1685">
        <v>0.16488949999999999</v>
      </c>
      <c r="X1685">
        <v>0.97476660000000004</v>
      </c>
      <c r="Y1685">
        <v>0.68355819999999901</v>
      </c>
      <c r="Z1685">
        <v>-3.7943360000000002E-2</v>
      </c>
      <c r="AA1685">
        <v>0.72890909999999998</v>
      </c>
      <c r="AB1685">
        <v>25</v>
      </c>
      <c r="AC1685">
        <v>-48.544499999999999</v>
      </c>
      <c r="AD1685">
        <v>1.504575</v>
      </c>
      <c r="AE1685">
        <v>-26.826799999999899</v>
      </c>
      <c r="AF1685">
        <v>38.055319768181498</v>
      </c>
      <c r="AG1685">
        <v>1.504575</v>
      </c>
      <c r="AH1685">
        <v>40.292875506762797</v>
      </c>
      <c r="AI1685">
        <v>88.444969956825005</v>
      </c>
      <c r="AJ1685">
        <v>46.635872553958599</v>
      </c>
      <c r="AK1685">
        <v>55.443547191649401</v>
      </c>
      <c r="AL1685">
        <v>80.509184896125802</v>
      </c>
      <c r="AM1685">
        <v>81.224721932528396</v>
      </c>
      <c r="AN1685">
        <v>1.0000000268576199</v>
      </c>
    </row>
    <row r="1686" spans="1:40" x14ac:dyDescent="0.25">
      <c r="A1686" t="str">
        <f>"20190304155627106"</f>
        <v>20190304155627106</v>
      </c>
      <c r="B1686" t="str">
        <f>"1551686187096130"</f>
        <v>1551686187096130</v>
      </c>
      <c r="C1686" t="s">
        <v>40</v>
      </c>
      <c r="D1686">
        <v>4.7201259999999996</v>
      </c>
      <c r="E1686">
        <v>0.76297669999999995</v>
      </c>
      <c r="F1686" t="s">
        <v>58</v>
      </c>
      <c r="G1686">
        <v>-243.25319999999999</v>
      </c>
      <c r="H1686">
        <v>2.6320440000000001</v>
      </c>
      <c r="I1686">
        <v>269.1576</v>
      </c>
      <c r="J1686">
        <v>-194.07640000000001</v>
      </c>
      <c r="K1686">
        <v>1.104617</v>
      </c>
      <c r="L1686">
        <v>295.74680000000001</v>
      </c>
      <c r="M1686">
        <v>-0.31171759999999998</v>
      </c>
      <c r="N1686">
        <v>-1.0798220000000001E-2</v>
      </c>
      <c r="O1686">
        <v>-0.95011350000000006</v>
      </c>
      <c r="P1686">
        <v>-0.4459632</v>
      </c>
      <c r="Q1686">
        <v>0.1569836</v>
      </c>
      <c r="R1686">
        <v>-0.88117730000000005</v>
      </c>
      <c r="S1686">
        <v>-3.242432</v>
      </c>
      <c r="T1686">
        <v>0.1005281</v>
      </c>
      <c r="U1686">
        <v>-1.765747</v>
      </c>
      <c r="V1686">
        <v>0.15119150000000001</v>
      </c>
      <c r="W1686">
        <v>0.16558310000000001</v>
      </c>
      <c r="X1686">
        <v>0.97453749999999995</v>
      </c>
      <c r="Y1686">
        <v>0.68475129999999995</v>
      </c>
      <c r="Z1686">
        <v>-3.8146409999999999E-2</v>
      </c>
      <c r="AA1686">
        <v>0.72777780000000003</v>
      </c>
      <c r="AB1686">
        <v>25</v>
      </c>
      <c r="AC1686">
        <v>-49.176799999999901</v>
      </c>
      <c r="AD1686">
        <v>1.5274270000000001</v>
      </c>
      <c r="AE1686">
        <v>-26.589200000000002</v>
      </c>
      <c r="AF1686">
        <v>38.408786799497797</v>
      </c>
      <c r="AG1686">
        <v>1.5274270000000001</v>
      </c>
      <c r="AH1686">
        <v>40.564115478377197</v>
      </c>
      <c r="AI1686">
        <v>88.433789538774306</v>
      </c>
      <c r="AJ1686">
        <v>46.563328508145098</v>
      </c>
      <c r="AK1686">
        <v>55.883945826979101</v>
      </c>
      <c r="AL1686">
        <v>80.468890264293293</v>
      </c>
      <c r="AM1686">
        <v>81.181333365542997</v>
      </c>
      <c r="AN1686">
        <v>0.99999998579205496</v>
      </c>
    </row>
    <row r="1687" spans="1:40" x14ac:dyDescent="0.25">
      <c r="A1687" t="str">
        <f>"20190304155627128"</f>
        <v>20190304155627128</v>
      </c>
      <c r="B1687" t="str">
        <f>"1551686187116626"</f>
        <v>1551686187116626</v>
      </c>
      <c r="C1687" t="s">
        <v>40</v>
      </c>
      <c r="D1687">
        <v>4.6686019999999999</v>
      </c>
      <c r="E1687">
        <v>0.76338919999999999</v>
      </c>
      <c r="F1687" t="s">
        <v>58</v>
      </c>
      <c r="G1687">
        <v>-244.2158</v>
      </c>
      <c r="H1687">
        <v>2.7006950000000001</v>
      </c>
      <c r="I1687">
        <v>268.85500000000002</v>
      </c>
      <c r="J1687">
        <v>-194.15989999999999</v>
      </c>
      <c r="K1687">
        <v>1.1044959999999999</v>
      </c>
      <c r="L1687">
        <v>295.51909999999998</v>
      </c>
      <c r="M1687">
        <v>-0.31909130000000002</v>
      </c>
      <c r="N1687">
        <v>-1.082324E-2</v>
      </c>
      <c r="O1687">
        <v>-0.94766220000000001</v>
      </c>
      <c r="P1687">
        <v>-0.45299919999999999</v>
      </c>
      <c r="Q1687">
        <v>0.15715870000000001</v>
      </c>
      <c r="R1687">
        <v>-0.87754929999999998</v>
      </c>
      <c r="S1687">
        <v>-3.24823</v>
      </c>
      <c r="T1687">
        <v>0.10340050000000001</v>
      </c>
      <c r="U1687">
        <v>-1.742157</v>
      </c>
      <c r="V1687">
        <v>0.15147759999999999</v>
      </c>
      <c r="W1687">
        <v>0.16573360000000001</v>
      </c>
      <c r="X1687">
        <v>0.97446750000000004</v>
      </c>
      <c r="Y1687">
        <v>0.68370109999999995</v>
      </c>
      <c r="Z1687">
        <v>-3.9001679999999997E-2</v>
      </c>
      <c r="AA1687">
        <v>0.72871919999999901</v>
      </c>
      <c r="AB1687">
        <v>25</v>
      </c>
      <c r="AC1687">
        <v>-50.055900000000001</v>
      </c>
      <c r="AD1687">
        <v>1.5961989999999999</v>
      </c>
      <c r="AE1687">
        <v>-26.664099999999902</v>
      </c>
      <c r="AF1687">
        <v>38.899269137563799</v>
      </c>
      <c r="AG1687">
        <v>1.5961989999999999</v>
      </c>
      <c r="AH1687">
        <v>41.210733550601198</v>
      </c>
      <c r="AI1687">
        <v>88.386598707006897</v>
      </c>
      <c r="AJ1687">
        <v>46.652732699336397</v>
      </c>
      <c r="AK1687">
        <v>56.692376475703298</v>
      </c>
      <c r="AL1687">
        <v>80.460146564978501</v>
      </c>
      <c r="AM1687">
        <v>81.164284171770205</v>
      </c>
      <c r="AN1687">
        <v>0.99999999901348502</v>
      </c>
    </row>
    <row r="1688" spans="1:40" x14ac:dyDescent="0.25">
      <c r="A1688" t="str">
        <f>"20190304155627149"</f>
        <v>20190304155627149</v>
      </c>
      <c r="B1688" t="str">
        <f>"1551686187145906"</f>
        <v>1551686187145906</v>
      </c>
      <c r="C1688" t="s">
        <v>40</v>
      </c>
      <c r="D1688">
        <v>5.2738899999999997</v>
      </c>
      <c r="E1688">
        <v>0.76153839999999995</v>
      </c>
      <c r="F1688" t="s">
        <v>58</v>
      </c>
      <c r="G1688">
        <v>-244.95949999999999</v>
      </c>
      <c r="H1688">
        <v>2.8230520000000001</v>
      </c>
      <c r="I1688">
        <v>268.85500000000002</v>
      </c>
      <c r="J1688">
        <v>-194.2448</v>
      </c>
      <c r="K1688">
        <v>1.104374</v>
      </c>
      <c r="L1688">
        <v>295.29379999999998</v>
      </c>
      <c r="M1688">
        <v>-0.32653589999999999</v>
      </c>
      <c r="N1688">
        <v>-1.084824E-2</v>
      </c>
      <c r="O1688">
        <v>-0.94512249999999998</v>
      </c>
      <c r="P1688">
        <v>-0.45918609999999999</v>
      </c>
      <c r="Q1688">
        <v>0.15691820000000001</v>
      </c>
      <c r="R1688">
        <v>-0.87437140000000002</v>
      </c>
      <c r="S1688">
        <v>-3.2646790000000001</v>
      </c>
      <c r="T1688">
        <v>0.1104448</v>
      </c>
      <c r="U1688">
        <v>-1.7135929999999999</v>
      </c>
      <c r="V1688">
        <v>0.15072679999999899</v>
      </c>
      <c r="W1688">
        <v>0.1654844</v>
      </c>
      <c r="X1688">
        <v>0.9746262</v>
      </c>
      <c r="Y1688">
        <v>0.68440719999999899</v>
      </c>
      <c r="Z1688">
        <v>-4.1017999999999999E-2</v>
      </c>
      <c r="AA1688">
        <v>0.72794530000000002</v>
      </c>
      <c r="AB1688">
        <v>25</v>
      </c>
      <c r="AC1688">
        <v>-50.714699999999901</v>
      </c>
      <c r="AD1688">
        <v>1.7186779999999999</v>
      </c>
      <c r="AE1688">
        <v>-26.438799999999901</v>
      </c>
      <c r="AF1688">
        <v>39.265242603584497</v>
      </c>
      <c r="AG1688">
        <v>1.7186779999999999</v>
      </c>
      <c r="AH1688">
        <v>41.513033488854703</v>
      </c>
      <c r="AI1688">
        <v>88.277185270770502</v>
      </c>
      <c r="AJ1688">
        <v>46.593939746792898</v>
      </c>
      <c r="AK1688">
        <v>57.166817999892203</v>
      </c>
      <c r="AL1688">
        <v>80.4746240480452</v>
      </c>
      <c r="AM1688">
        <v>81.208801819839096</v>
      </c>
      <c r="AN1688">
        <v>0.99999994230401801</v>
      </c>
    </row>
    <row r="1689" spans="1:40" x14ac:dyDescent="0.25">
      <c r="A1689" t="str">
        <f>"20190304155627172"</f>
        <v>20190304155627172</v>
      </c>
      <c r="B1689" t="str">
        <f>"1551686187166402"</f>
        <v>1551686187166402</v>
      </c>
      <c r="C1689" t="s">
        <v>40</v>
      </c>
      <c r="D1689">
        <v>4.7637580000000002</v>
      </c>
      <c r="E1689">
        <v>0.7632293</v>
      </c>
      <c r="F1689" t="s">
        <v>58</v>
      </c>
      <c r="G1689">
        <v>-245.0719</v>
      </c>
      <c r="H1689">
        <v>2.647621</v>
      </c>
      <c r="I1689">
        <v>268.85500000000002</v>
      </c>
      <c r="J1689">
        <v>-194.334</v>
      </c>
      <c r="K1689">
        <v>1.1042430000000001</v>
      </c>
      <c r="L1689">
        <v>295.06330000000003</v>
      </c>
      <c r="M1689">
        <v>-0.33432230000000002</v>
      </c>
      <c r="N1689">
        <v>-1.0874490000000001E-2</v>
      </c>
      <c r="O1689">
        <v>-0.94239620000000002</v>
      </c>
      <c r="P1689">
        <v>-0.46626990000000001</v>
      </c>
      <c r="Q1689">
        <v>0.15673529999999999</v>
      </c>
      <c r="R1689">
        <v>-0.87064739999999996</v>
      </c>
      <c r="S1689">
        <v>-3.265244</v>
      </c>
      <c r="T1689">
        <v>9.9141599999999996E-2</v>
      </c>
      <c r="U1689">
        <v>-1.6984859999999999</v>
      </c>
      <c r="V1689">
        <v>0.1506371</v>
      </c>
      <c r="W1689">
        <v>0.16528209999999999</v>
      </c>
      <c r="X1689">
        <v>0.9746745</v>
      </c>
      <c r="Y1689">
        <v>0.68119589999999997</v>
      </c>
      <c r="Z1689">
        <v>-3.7733570000000001E-2</v>
      </c>
      <c r="AA1689">
        <v>0.73112809999999995</v>
      </c>
      <c r="AB1689">
        <v>25</v>
      </c>
      <c r="AC1689">
        <v>-50.737900000000003</v>
      </c>
      <c r="AD1689">
        <v>1.5433779999999999</v>
      </c>
      <c r="AE1689">
        <v>-26.208300000000001</v>
      </c>
      <c r="AF1689">
        <v>39.026983753875797</v>
      </c>
      <c r="AG1689">
        <v>1.5433779999999999</v>
      </c>
      <c r="AH1689">
        <v>41.633462593555301</v>
      </c>
      <c r="AI1689">
        <v>88.450766685078094</v>
      </c>
      <c r="AJ1689">
        <v>46.850823984152001</v>
      </c>
      <c r="AK1689">
        <v>57.0861864561396</v>
      </c>
      <c r="AL1689">
        <v>80.486377811413007</v>
      </c>
      <c r="AM1689">
        <v>81.2143805510904</v>
      </c>
      <c r="AN1689">
        <v>1.00000004471353</v>
      </c>
    </row>
    <row r="1690" spans="1:40" x14ac:dyDescent="0.25">
      <c r="A1690" t="str">
        <f>"20190304155627195"</f>
        <v>20190304155627195</v>
      </c>
      <c r="B1690" t="str">
        <f>"1551686187186898"</f>
        <v>1551686187186898</v>
      </c>
      <c r="C1690" t="s">
        <v>40</v>
      </c>
      <c r="D1690">
        <v>4.6992149999999997</v>
      </c>
      <c r="E1690">
        <v>0.7628142</v>
      </c>
      <c r="F1690" t="s">
        <v>58</v>
      </c>
      <c r="G1690">
        <v>-245.6523</v>
      </c>
      <c r="H1690">
        <v>2.6557119999999999</v>
      </c>
      <c r="I1690">
        <v>269.09070000000003</v>
      </c>
      <c r="J1690">
        <v>-194.43219999999999</v>
      </c>
      <c r="K1690">
        <v>1.1041160000000001</v>
      </c>
      <c r="L1690">
        <v>294.81670000000003</v>
      </c>
      <c r="M1690">
        <v>-0.34282459999999998</v>
      </c>
      <c r="N1690">
        <v>-1.090236E-2</v>
      </c>
      <c r="O1690">
        <v>-0.93933619999999995</v>
      </c>
      <c r="P1690">
        <v>-0.47395369999999998</v>
      </c>
      <c r="Q1690">
        <v>0.15665789999999999</v>
      </c>
      <c r="R1690">
        <v>-0.86650260000000001</v>
      </c>
      <c r="S1690">
        <v>-3.2907410000000001</v>
      </c>
      <c r="T1690">
        <v>9.9486829999999998E-2</v>
      </c>
      <c r="U1690">
        <v>-1.6654659999999999</v>
      </c>
      <c r="V1690">
        <v>0.1504981</v>
      </c>
      <c r="W1690">
        <v>0.16518759999999999</v>
      </c>
      <c r="X1690">
        <v>0.97471200000000002</v>
      </c>
      <c r="Y1690">
        <v>0.6827221</v>
      </c>
      <c r="Z1690">
        <v>-3.7741530000000002E-2</v>
      </c>
      <c r="AA1690">
        <v>0.72970279999999998</v>
      </c>
      <c r="AB1690">
        <v>25</v>
      </c>
      <c r="AC1690">
        <v>-51.220100000000002</v>
      </c>
      <c r="AD1690">
        <v>1.551596</v>
      </c>
      <c r="AE1690">
        <v>-25.725999999999999</v>
      </c>
      <c r="AF1690">
        <v>39.266948231486602</v>
      </c>
      <c r="AG1690">
        <v>1.551596</v>
      </c>
      <c r="AH1690">
        <v>41.696797042376197</v>
      </c>
      <c r="AI1690">
        <v>88.448242001241297</v>
      </c>
      <c r="AJ1690">
        <v>46.719020106913398</v>
      </c>
      <c r="AK1690">
        <v>57.296802329227603</v>
      </c>
      <c r="AL1690">
        <v>80.491867796399902</v>
      </c>
      <c r="AM1690">
        <v>81.222693593462594</v>
      </c>
      <c r="AN1690">
        <v>1.00000005212068</v>
      </c>
    </row>
    <row r="1691" spans="1:40" x14ac:dyDescent="0.25">
      <c r="A1691" t="str">
        <f>"20190304155627216"</f>
        <v>20190304155627216</v>
      </c>
      <c r="B1691" t="str">
        <f>"1551686187206418"</f>
        <v>1551686187206418</v>
      </c>
      <c r="C1691" t="s">
        <v>40</v>
      </c>
      <c r="D1691">
        <v>4.7788300000000001</v>
      </c>
      <c r="E1691">
        <v>0.76259279999999996</v>
      </c>
      <c r="F1691" t="s">
        <v>58</v>
      </c>
      <c r="G1691">
        <v>-246.1788</v>
      </c>
      <c r="H1691">
        <v>2.7051910000000001</v>
      </c>
      <c r="I1691">
        <v>269.1576</v>
      </c>
      <c r="J1691">
        <v>-194.5222</v>
      </c>
      <c r="K1691">
        <v>1.104015</v>
      </c>
      <c r="L1691">
        <v>294.59640000000002</v>
      </c>
      <c r="M1691">
        <v>-0.35054099999999999</v>
      </c>
      <c r="N1691">
        <v>-1.0925829999999999E-2</v>
      </c>
      <c r="O1691">
        <v>-0.93648370000000003</v>
      </c>
      <c r="P1691">
        <v>-0.48072540000000002</v>
      </c>
      <c r="Q1691">
        <v>0.15694420000000001</v>
      </c>
      <c r="R1691">
        <v>-0.86271200000000003</v>
      </c>
      <c r="S1691">
        <v>-3.3023069999999999</v>
      </c>
      <c r="T1691">
        <v>0.10217569999999999</v>
      </c>
      <c r="U1691">
        <v>-1.6374820000000001</v>
      </c>
      <c r="V1691">
        <v>0.1501749</v>
      </c>
      <c r="W1691">
        <v>0.1654651</v>
      </c>
      <c r="X1691">
        <v>0.97471470000000004</v>
      </c>
      <c r="Y1691">
        <v>0.682666</v>
      </c>
      <c r="Z1691">
        <v>-3.8501359999999998E-2</v>
      </c>
      <c r="AA1691">
        <v>0.72971560000000002</v>
      </c>
      <c r="AB1691">
        <v>25</v>
      </c>
      <c r="AC1691">
        <v>-51.656599999999997</v>
      </c>
      <c r="AD1691">
        <v>1.6011759999999999</v>
      </c>
      <c r="AE1691">
        <v>-25.438800000000001</v>
      </c>
      <c r="AF1691">
        <v>39.430085523446799</v>
      </c>
      <c r="AG1691">
        <v>1.6011759999999999</v>
      </c>
      <c r="AH1691">
        <v>41.900878710050499</v>
      </c>
      <c r="AI1691">
        <v>88.405926327368107</v>
      </c>
      <c r="AJ1691">
        <v>46.740081357908501</v>
      </c>
      <c r="AK1691">
        <v>57.558483698266997</v>
      </c>
      <c r="AL1691">
        <v>80.475745610944102</v>
      </c>
      <c r="AM1691">
        <v>81.241274455411798</v>
      </c>
      <c r="AN1691">
        <v>0.99999997315205402</v>
      </c>
    </row>
    <row r="1692" spans="1:40" x14ac:dyDescent="0.25">
      <c r="A1692" t="str">
        <f>"20190304155627240"</f>
        <v>20190304155627240</v>
      </c>
      <c r="B1692" t="str">
        <f>"1551686187236251"</f>
        <v>1551686187236251</v>
      </c>
      <c r="C1692" t="s">
        <v>40</v>
      </c>
      <c r="D1692">
        <v>4.7483230000000001</v>
      </c>
      <c r="E1692">
        <v>0.75900500000000004</v>
      </c>
      <c r="F1692" t="s">
        <v>58</v>
      </c>
      <c r="G1692">
        <v>-246.82820000000001</v>
      </c>
      <c r="H1692">
        <v>2.7803710000000001</v>
      </c>
      <c r="I1692">
        <v>269.1576</v>
      </c>
      <c r="J1692">
        <v>-194.62389999999999</v>
      </c>
      <c r="K1692">
        <v>1.1039209999999999</v>
      </c>
      <c r="L1692">
        <v>294.35390000000001</v>
      </c>
      <c r="M1692">
        <v>-0.35916160000000003</v>
      </c>
      <c r="N1692">
        <v>-1.0949510000000001E-2</v>
      </c>
      <c r="O1692">
        <v>-0.93321140000000002</v>
      </c>
      <c r="P1692">
        <v>-0.48855510000000002</v>
      </c>
      <c r="Q1692">
        <v>0.15729960000000001</v>
      </c>
      <c r="R1692">
        <v>-0.85823709999999898</v>
      </c>
      <c r="S1692">
        <v>-3.313644</v>
      </c>
      <c r="T1692">
        <v>0.1061991</v>
      </c>
      <c r="U1692">
        <v>-1.611572</v>
      </c>
      <c r="V1692">
        <v>0.15012239999999999</v>
      </c>
      <c r="W1692">
        <v>0.16580980000000001</v>
      </c>
      <c r="X1692">
        <v>0.97466419999999998</v>
      </c>
      <c r="Y1692">
        <v>0.68148679999999995</v>
      </c>
      <c r="Z1692">
        <v>-3.9627210000000003E-2</v>
      </c>
      <c r="AA1692">
        <v>0.73075679999999998</v>
      </c>
      <c r="AB1692">
        <v>25</v>
      </c>
      <c r="AC1692">
        <v>-52.204300000000003</v>
      </c>
      <c r="AD1692">
        <v>1.67644999999999</v>
      </c>
      <c r="AE1692">
        <v>-25.196300000000001</v>
      </c>
      <c r="AF1692">
        <v>39.637320040998297</v>
      </c>
      <c r="AG1692">
        <v>1.67644999999999</v>
      </c>
      <c r="AH1692">
        <v>42.230455921147701</v>
      </c>
      <c r="AI1692">
        <v>88.342031599758798</v>
      </c>
      <c r="AJ1692">
        <v>46.814219108979302</v>
      </c>
      <c r="AK1692">
        <v>57.942549408384103</v>
      </c>
      <c r="AL1692">
        <v>80.455719033014404</v>
      </c>
      <c r="AM1692">
        <v>81.243842355900497</v>
      </c>
      <c r="AN1692">
        <v>0.999999963759719</v>
      </c>
    </row>
    <row r="1693" spans="1:40" x14ac:dyDescent="0.25">
      <c r="A1693" t="str">
        <f>"20190304155627260"</f>
        <v>20190304155627260</v>
      </c>
      <c r="B1693" t="str">
        <f>"1551686187256746"</f>
        <v>1551686187256746</v>
      </c>
      <c r="C1693" t="s">
        <v>40</v>
      </c>
      <c r="D1693">
        <v>5.3113929999999998</v>
      </c>
      <c r="E1693">
        <v>0.75253649999999905</v>
      </c>
      <c r="F1693" t="s">
        <v>58</v>
      </c>
      <c r="G1693">
        <v>-246.791</v>
      </c>
      <c r="H1693">
        <v>2.691802</v>
      </c>
      <c r="I1693">
        <v>269.1576</v>
      </c>
      <c r="J1693">
        <v>-194.71860000000001</v>
      </c>
      <c r="K1693">
        <v>1.103847</v>
      </c>
      <c r="L1693">
        <v>294.1336</v>
      </c>
      <c r="M1693">
        <v>-0.36709829999999999</v>
      </c>
      <c r="N1693">
        <v>-1.097018E-2</v>
      </c>
      <c r="O1693">
        <v>-0.93011759999999999</v>
      </c>
      <c r="P1693">
        <v>-0.49588890000000002</v>
      </c>
      <c r="Q1693">
        <v>0.15778539999999999</v>
      </c>
      <c r="R1693">
        <v>-0.8539312</v>
      </c>
      <c r="S1693">
        <v>-3.3044280000000001</v>
      </c>
      <c r="T1693">
        <v>0.1005814</v>
      </c>
      <c r="U1693">
        <v>-1.5960080000000001</v>
      </c>
      <c r="V1693">
        <v>0.1502407</v>
      </c>
      <c r="W1693">
        <v>0.16628509999999999</v>
      </c>
      <c r="X1693">
        <v>0.97456500000000001</v>
      </c>
      <c r="Y1693">
        <v>0.67728279999999996</v>
      </c>
      <c r="Z1693">
        <v>-3.8040379999999999E-2</v>
      </c>
      <c r="AA1693">
        <v>0.73473880000000003</v>
      </c>
      <c r="AB1693">
        <v>25</v>
      </c>
      <c r="AC1693">
        <v>-52.072399999999902</v>
      </c>
      <c r="AD1693">
        <v>1.587955</v>
      </c>
      <c r="AE1693">
        <v>-24.975999999999999</v>
      </c>
      <c r="AF1693">
        <v>39.237501827182903</v>
      </c>
      <c r="AG1693">
        <v>1.587955</v>
      </c>
      <c r="AH1693">
        <v>42.316856917637203</v>
      </c>
      <c r="AI1693">
        <v>88.423805875662694</v>
      </c>
      <c r="AJ1693">
        <v>47.162364806735503</v>
      </c>
      <c r="AK1693">
        <v>57.730577081023497</v>
      </c>
      <c r="AL1693">
        <v>80.428103043308397</v>
      </c>
      <c r="AM1693">
        <v>81.236171229233904</v>
      </c>
      <c r="AN1693">
        <v>0.99999997082174896</v>
      </c>
    </row>
    <row r="1694" spans="1:40" x14ac:dyDescent="0.25">
      <c r="A1694" t="str">
        <f>"20190304155627285"</f>
        <v>20190304155627285</v>
      </c>
      <c r="B1694" t="str">
        <f>"1551686187276267"</f>
        <v>1551686187276267</v>
      </c>
      <c r="C1694" t="s">
        <v>40</v>
      </c>
      <c r="D1694">
        <v>5.3319869999999998</v>
      </c>
      <c r="E1694">
        <v>0.74682230000000005</v>
      </c>
      <c r="F1694" t="s">
        <v>58</v>
      </c>
      <c r="G1694">
        <v>-246.0061</v>
      </c>
      <c r="H1694">
        <v>2.4432049999999998</v>
      </c>
      <c r="I1694">
        <v>269.1576</v>
      </c>
      <c r="J1694">
        <v>-194.83009999999999</v>
      </c>
      <c r="K1694">
        <v>1.1037619999999999</v>
      </c>
      <c r="L1694">
        <v>293.8809</v>
      </c>
      <c r="M1694">
        <v>-0.37631500000000001</v>
      </c>
      <c r="N1694">
        <v>-1.0993799999999899E-2</v>
      </c>
      <c r="O1694">
        <v>-0.92642670000000005</v>
      </c>
      <c r="P1694">
        <v>-0.50496660000000004</v>
      </c>
      <c r="Q1694">
        <v>0.1586697</v>
      </c>
      <c r="R1694">
        <v>-0.84842989999999996</v>
      </c>
      <c r="S1694">
        <v>-3.275665</v>
      </c>
      <c r="T1694">
        <v>8.5543270000000005E-2</v>
      </c>
      <c r="U1694">
        <v>-1.5951839999999999</v>
      </c>
      <c r="V1694">
        <v>0.15106800000000001</v>
      </c>
      <c r="W1694">
        <v>0.1671465</v>
      </c>
      <c r="X1694">
        <v>0.97428979999999998</v>
      </c>
      <c r="Y1694">
        <v>0.66768430000000001</v>
      </c>
      <c r="Z1694">
        <v>-3.3727310000000003E-2</v>
      </c>
      <c r="AA1694">
        <v>0.74368009999999996</v>
      </c>
      <c r="AB1694">
        <v>25</v>
      </c>
      <c r="AC1694">
        <v>-51.176000000000002</v>
      </c>
      <c r="AD1694">
        <v>1.3394429999999899</v>
      </c>
      <c r="AE1694">
        <v>-24.723299999999899</v>
      </c>
      <c r="AF1694">
        <v>38.088207366778398</v>
      </c>
      <c r="AG1694">
        <v>1.3394429999999899</v>
      </c>
      <c r="AH1694">
        <v>42.141758038465397</v>
      </c>
      <c r="AI1694">
        <v>88.6491995866336</v>
      </c>
      <c r="AJ1694">
        <v>47.892361035251596</v>
      </c>
      <c r="AK1694">
        <v>56.819304981119998</v>
      </c>
      <c r="AL1694">
        <v>80.378048739312007</v>
      </c>
      <c r="AM1694">
        <v>81.186218701905702</v>
      </c>
      <c r="AN1694">
        <v>1.0000000537351399</v>
      </c>
    </row>
    <row r="1695" spans="1:40" x14ac:dyDescent="0.25">
      <c r="A1695" t="str">
        <f>"20190304155627307"</f>
        <v>20190304155627307</v>
      </c>
      <c r="B1695" t="str">
        <f>"1551686187296763"</f>
        <v>1551686187296763</v>
      </c>
      <c r="C1695" t="s">
        <v>40</v>
      </c>
      <c r="D1695">
        <v>5.3654630000000001</v>
      </c>
      <c r="E1695">
        <v>0.74544440000000001</v>
      </c>
      <c r="F1695" t="s">
        <v>58</v>
      </c>
      <c r="G1695">
        <v>-245.65209999999999</v>
      </c>
      <c r="H1695">
        <v>2.2509229999999998</v>
      </c>
      <c r="I1695">
        <v>269.13639999999998</v>
      </c>
      <c r="J1695">
        <v>-194.93350000000001</v>
      </c>
      <c r="K1695">
        <v>1.1036859999999999</v>
      </c>
      <c r="L1695">
        <v>293.65260000000001</v>
      </c>
      <c r="M1695">
        <v>-0.38472430000000002</v>
      </c>
      <c r="N1695">
        <v>-1.101457E-2</v>
      </c>
      <c r="O1695">
        <v>-0.92296599999999995</v>
      </c>
      <c r="P1695">
        <v>-0.51402320000000001</v>
      </c>
      <c r="Q1695">
        <v>0.15906519999999999</v>
      </c>
      <c r="R1695">
        <v>-0.84289879999999995</v>
      </c>
      <c r="S1695">
        <v>-3.2550659999999998</v>
      </c>
      <c r="T1695">
        <v>7.3473930000000007E-2</v>
      </c>
      <c r="U1695">
        <v>-1.5848390000000001</v>
      </c>
      <c r="V1695">
        <v>0.15270810000000001</v>
      </c>
      <c r="W1695">
        <v>0.16750799999999999</v>
      </c>
      <c r="X1695">
        <v>0.9739719</v>
      </c>
      <c r="Y1695">
        <v>0.66104419999999897</v>
      </c>
      <c r="Z1695">
        <v>-3.024083E-2</v>
      </c>
      <c r="AA1695">
        <v>0.74973730000000005</v>
      </c>
      <c r="AB1695">
        <v>25</v>
      </c>
      <c r="AC1695">
        <v>-50.718599999999903</v>
      </c>
      <c r="AD1695">
        <v>1.1472369999999901</v>
      </c>
      <c r="AE1695">
        <v>-24.516200000000001</v>
      </c>
      <c r="AF1695">
        <v>37.366329291570302</v>
      </c>
      <c r="AG1695">
        <v>1.1472369999999901</v>
      </c>
      <c r="AH1695">
        <v>42.125374952567597</v>
      </c>
      <c r="AI1695">
        <v>88.832835758491299</v>
      </c>
      <c r="AJ1695">
        <v>48.426120468295103</v>
      </c>
      <c r="AK1695">
        <v>56.321451795516097</v>
      </c>
      <c r="AL1695">
        <v>80.357039386227797</v>
      </c>
      <c r="AM1695">
        <v>81.089195766917001</v>
      </c>
      <c r="AN1695">
        <v>0.99999997792960904</v>
      </c>
    </row>
    <row r="1696" spans="1:40" x14ac:dyDescent="0.25">
      <c r="A1696" t="str">
        <f>"20190304155627330"</f>
        <v>20190304155627330</v>
      </c>
      <c r="B1696" t="str">
        <f>"1551686187326042"</f>
        <v>1551686187326042</v>
      </c>
      <c r="C1696" t="s">
        <v>40</v>
      </c>
      <c r="D1696">
        <v>5.3247280000000003</v>
      </c>
      <c r="E1696">
        <v>0.73946610000000002</v>
      </c>
      <c r="F1696" t="s">
        <v>58</v>
      </c>
      <c r="G1696">
        <v>-246.30090000000001</v>
      </c>
      <c r="H1696">
        <v>2.215058</v>
      </c>
      <c r="I1696">
        <v>269.1576</v>
      </c>
      <c r="J1696">
        <v>-195.0472</v>
      </c>
      <c r="K1696">
        <v>1.103613</v>
      </c>
      <c r="L1696">
        <v>293.40789999999998</v>
      </c>
      <c r="M1696">
        <v>-0.39381640000000001</v>
      </c>
      <c r="N1696">
        <v>-1.1035079999999999E-2</v>
      </c>
      <c r="O1696">
        <v>-0.91912320000000003</v>
      </c>
      <c r="P1696">
        <v>-0.52326220000000001</v>
      </c>
      <c r="Q1696">
        <v>0.15890489999999999</v>
      </c>
      <c r="R1696">
        <v>-0.83722549999999996</v>
      </c>
      <c r="S1696">
        <v>-3.2629549999999998</v>
      </c>
      <c r="T1696">
        <v>7.0596690000000004E-2</v>
      </c>
      <c r="U1696">
        <v>-1.5559689999999999</v>
      </c>
      <c r="V1696">
        <v>0.15382119999999999</v>
      </c>
      <c r="W1696">
        <v>0.16732330000000001</v>
      </c>
      <c r="X1696">
        <v>0.97382849999999999</v>
      </c>
      <c r="Y1696">
        <v>0.65976119999999905</v>
      </c>
      <c r="Z1696">
        <v>-2.9348039999999999E-2</v>
      </c>
      <c r="AA1696">
        <v>0.75090199999999996</v>
      </c>
      <c r="AB1696">
        <v>25</v>
      </c>
      <c r="AC1696">
        <v>-51.253700000000002</v>
      </c>
      <c r="AD1696">
        <v>1.111445</v>
      </c>
      <c r="AE1696">
        <v>-24.2502999999999</v>
      </c>
      <c r="AF1696">
        <v>37.546148498381903</v>
      </c>
      <c r="AG1696">
        <v>1.111445</v>
      </c>
      <c r="AH1696">
        <v>42.459820418196998</v>
      </c>
      <c r="AI1696">
        <v>88.876611353798907</v>
      </c>
      <c r="AJ1696">
        <v>48.514481340176197</v>
      </c>
      <c r="AK1696">
        <v>56.6902542505862</v>
      </c>
      <c r="AL1696">
        <v>80.367773606410097</v>
      </c>
      <c r="AM1696">
        <v>81.023997732180703</v>
      </c>
      <c r="AN1696">
        <v>0.99999999785228999</v>
      </c>
    </row>
    <row r="1697" spans="1:40" x14ac:dyDescent="0.25">
      <c r="A1697" t="str">
        <f>"20190304155627350"</f>
        <v>20190304155627350</v>
      </c>
      <c r="B1697" t="str">
        <f>"1551686187346540"</f>
        <v>1551686187346540</v>
      </c>
      <c r="C1697" t="s">
        <v>40</v>
      </c>
      <c r="D1697">
        <v>5.3288000000000002</v>
      </c>
      <c r="E1697">
        <v>0.73544500000000002</v>
      </c>
      <c r="F1697" t="s">
        <v>58</v>
      </c>
      <c r="G1697">
        <v>-245.83619999999999</v>
      </c>
      <c r="H1697">
        <v>1.9557009999999999</v>
      </c>
      <c r="I1697">
        <v>269.1576</v>
      </c>
      <c r="J1697">
        <v>-195.14570000000001</v>
      </c>
      <c r="K1697">
        <v>1.103556</v>
      </c>
      <c r="L1697">
        <v>293.20139999999998</v>
      </c>
      <c r="M1697">
        <v>-0.40154040000000002</v>
      </c>
      <c r="N1697">
        <v>-1.105041E-2</v>
      </c>
      <c r="O1697">
        <v>-0.91577470000000005</v>
      </c>
      <c r="P1697">
        <v>-0.53129169999999903</v>
      </c>
      <c r="Q1697">
        <v>0.15830830000000001</v>
      </c>
      <c r="R1697">
        <v>-0.83226659999999997</v>
      </c>
      <c r="S1697">
        <v>-3.240875</v>
      </c>
      <c r="T1697">
        <v>5.4372429999999999E-2</v>
      </c>
      <c r="U1697">
        <v>-1.5474239999999999</v>
      </c>
      <c r="V1697">
        <v>0.1549577</v>
      </c>
      <c r="W1697">
        <v>0.16670550000000001</v>
      </c>
      <c r="X1697">
        <v>0.97375429999999996</v>
      </c>
      <c r="Y1697">
        <v>0.65314659999999902</v>
      </c>
      <c r="Z1697">
        <v>-2.4592719999999998E-2</v>
      </c>
      <c r="AA1697">
        <v>0.75683199999999995</v>
      </c>
      <c r="AB1697">
        <v>25</v>
      </c>
      <c r="AC1697">
        <v>-50.690499999999901</v>
      </c>
      <c r="AD1697">
        <v>0.85214499999999904</v>
      </c>
      <c r="AE1697">
        <v>-24.043799999999901</v>
      </c>
      <c r="AF1697">
        <v>36.7602829233698</v>
      </c>
      <c r="AG1697">
        <v>0.85214499999999904</v>
      </c>
      <c r="AH1697">
        <v>42.365798803884999</v>
      </c>
      <c r="AI1697">
        <v>89.129615820978799</v>
      </c>
      <c r="AJ1697">
        <v>49.052225473517296</v>
      </c>
      <c r="AK1697">
        <v>56.097285674072403</v>
      </c>
      <c r="AL1697">
        <v>80.4036754565888</v>
      </c>
      <c r="AM1697">
        <v>80.958092978013696</v>
      </c>
      <c r="AN1697">
        <v>1.0000000246440099</v>
      </c>
    </row>
    <row r="1698" spans="1:40" x14ac:dyDescent="0.25">
      <c r="A1698" t="str">
        <f>"20190304155627371"</f>
        <v>20190304155627371</v>
      </c>
      <c r="B1698" t="str">
        <f>"1551686187366059"</f>
        <v>1551686187366059</v>
      </c>
      <c r="C1698" t="s">
        <v>40</v>
      </c>
      <c r="D1698">
        <v>5.3799989999999998</v>
      </c>
      <c r="E1698">
        <v>0.73216340000000002</v>
      </c>
      <c r="F1698" t="s">
        <v>58</v>
      </c>
      <c r="G1698">
        <v>-245.7439</v>
      </c>
      <c r="H1698">
        <v>1.7795510000000001</v>
      </c>
      <c r="I1698">
        <v>269.1576</v>
      </c>
      <c r="J1698">
        <v>-195.25129999999999</v>
      </c>
      <c r="K1698">
        <v>1.1035109999999999</v>
      </c>
      <c r="L1698">
        <v>292.98480000000001</v>
      </c>
      <c r="M1698">
        <v>-0.40967209999999898</v>
      </c>
      <c r="N1698">
        <v>-1.106482E-2</v>
      </c>
      <c r="O1698">
        <v>-0.91216580000000003</v>
      </c>
      <c r="P1698">
        <v>-0.53947109999999998</v>
      </c>
      <c r="Q1698">
        <v>0.15767909999999999</v>
      </c>
      <c r="R1698">
        <v>-0.82710839999999997</v>
      </c>
      <c r="S1698">
        <v>-3.22966</v>
      </c>
      <c r="T1698">
        <v>4.3148640000000002E-2</v>
      </c>
      <c r="U1698">
        <v>-1.5346979999999999</v>
      </c>
      <c r="V1698">
        <v>0.15585289999999999</v>
      </c>
      <c r="W1698">
        <v>0.1660613</v>
      </c>
      <c r="X1698">
        <v>0.97372139999999996</v>
      </c>
      <c r="Y1698">
        <v>0.64786809999999995</v>
      </c>
      <c r="Z1698">
        <v>-2.1250080000000001E-2</v>
      </c>
      <c r="AA1698">
        <v>0.76145609999999997</v>
      </c>
      <c r="AB1698">
        <v>25</v>
      </c>
      <c r="AC1698">
        <v>-50.492600000000003</v>
      </c>
      <c r="AD1698">
        <v>0.67603999999999898</v>
      </c>
      <c r="AE1698">
        <v>-23.827200000000001</v>
      </c>
      <c r="AF1698">
        <v>36.293182884234199</v>
      </c>
      <c r="AG1698">
        <v>0.67603999999999898</v>
      </c>
      <c r="AH1698">
        <v>42.416142346396498</v>
      </c>
      <c r="AI1698">
        <v>89.306170955255794</v>
      </c>
      <c r="AJ1698">
        <v>49.448197451966401</v>
      </c>
      <c r="AK1698">
        <v>55.828140623701898</v>
      </c>
      <c r="AL1698">
        <v>80.441106175088393</v>
      </c>
      <c r="AM1698">
        <v>80.906425521186705</v>
      </c>
      <c r="AN1698">
        <v>0.99999992330702703</v>
      </c>
    </row>
    <row r="1699" spans="1:40" x14ac:dyDescent="0.25">
      <c r="A1699" t="str">
        <f>"20190304155627395"</f>
        <v>20190304155627395</v>
      </c>
      <c r="B1699" t="str">
        <f>"1551686187386556"</f>
        <v>1551686187386556</v>
      </c>
      <c r="C1699" t="s">
        <v>40</v>
      </c>
      <c r="D1699">
        <v>5.2891309999999896</v>
      </c>
      <c r="E1699">
        <v>0.73064180000000001</v>
      </c>
      <c r="F1699" t="s">
        <v>58</v>
      </c>
      <c r="G1699">
        <v>-245.84460000000001</v>
      </c>
      <c r="H1699">
        <v>1.635238</v>
      </c>
      <c r="I1699">
        <v>269.1576</v>
      </c>
      <c r="J1699">
        <v>-195.37090000000001</v>
      </c>
      <c r="K1699">
        <v>1.103475</v>
      </c>
      <c r="L1699">
        <v>292.74540000000002</v>
      </c>
      <c r="M1699">
        <v>-0.41869040000000002</v>
      </c>
      <c r="N1699">
        <v>-1.1078650000000001E-2</v>
      </c>
      <c r="O1699">
        <v>-0.90806140000000002</v>
      </c>
      <c r="P1699">
        <v>-0.54868430000000001</v>
      </c>
      <c r="Q1699">
        <v>0.15683159999999999</v>
      </c>
      <c r="R1699">
        <v>-0.82118780000000002</v>
      </c>
      <c r="S1699">
        <v>-3.2235109999999998</v>
      </c>
      <c r="T1699">
        <v>3.3878680000000001E-2</v>
      </c>
      <c r="U1699">
        <v>-1.518127</v>
      </c>
      <c r="V1699">
        <v>0.15702339999999901</v>
      </c>
      <c r="W1699">
        <v>0.1651975</v>
      </c>
      <c r="X1699">
        <v>0.9736804</v>
      </c>
      <c r="Y1699">
        <v>0.64298929999999999</v>
      </c>
      <c r="Z1699">
        <v>-1.845428E-2</v>
      </c>
      <c r="AA1699">
        <v>0.76565280000000002</v>
      </c>
      <c r="AB1699">
        <v>25</v>
      </c>
      <c r="AC1699">
        <v>-50.473700000000001</v>
      </c>
      <c r="AD1699">
        <v>0.53176299999999999</v>
      </c>
      <c r="AE1699">
        <v>-23.587800000000001</v>
      </c>
      <c r="AF1699">
        <v>35.956166414627504</v>
      </c>
      <c r="AG1699">
        <v>0.53176299999999999</v>
      </c>
      <c r="AH1699">
        <v>42.550761812090798</v>
      </c>
      <c r="AI1699">
        <v>89.453100212685399</v>
      </c>
      <c r="AJ1699">
        <v>49.801583080061398</v>
      </c>
      <c r="AK1699">
        <v>55.710824854007001</v>
      </c>
      <c r="AL1699">
        <v>80.491292567162006</v>
      </c>
      <c r="AM1699">
        <v>80.838904724186605</v>
      </c>
      <c r="AN1699">
        <v>1.0000000417489801</v>
      </c>
    </row>
    <row r="1700" spans="1:40" x14ac:dyDescent="0.25">
      <c r="A1700" t="str">
        <f>"20190304155627417"</f>
        <v>20190304155627417</v>
      </c>
      <c r="B1700" t="str">
        <f>"1551686187407051"</f>
        <v>1551686187407051</v>
      </c>
      <c r="C1700" t="s">
        <v>40</v>
      </c>
      <c r="D1700">
        <v>5.169969</v>
      </c>
      <c r="E1700">
        <v>0.67236700000000005</v>
      </c>
      <c r="F1700" t="s">
        <v>58</v>
      </c>
      <c r="G1700">
        <v>-246.52369999999999</v>
      </c>
      <c r="H1700">
        <v>1.5457399999999999</v>
      </c>
      <c r="I1700">
        <v>269.1576</v>
      </c>
      <c r="J1700">
        <v>-195.4888</v>
      </c>
      <c r="K1700">
        <v>1.1034569999999999</v>
      </c>
      <c r="L1700">
        <v>292.51490000000001</v>
      </c>
      <c r="M1700">
        <v>-0.4273903</v>
      </c>
      <c r="N1700">
        <v>-1.1090300000000001E-2</v>
      </c>
      <c r="O1700">
        <v>-0.90399910000000006</v>
      </c>
      <c r="P1700">
        <v>-0.55789919999999904</v>
      </c>
      <c r="Q1700">
        <v>0.15552769999999999</v>
      </c>
      <c r="R1700">
        <v>-0.81520550000000003</v>
      </c>
      <c r="S1700">
        <v>-3.230286</v>
      </c>
      <c r="T1700">
        <v>2.792907E-2</v>
      </c>
      <c r="U1700">
        <v>-1.489563</v>
      </c>
      <c r="V1700">
        <v>0.15852449999999901</v>
      </c>
      <c r="W1700">
        <v>0.16387389999999999</v>
      </c>
      <c r="X1700">
        <v>0.97366079999999999</v>
      </c>
      <c r="Y1700">
        <v>0.64184609999999997</v>
      </c>
      <c r="Z1700">
        <v>-1.6620300000000001E-2</v>
      </c>
      <c r="AA1700">
        <v>0.76665340000000004</v>
      </c>
      <c r="AB1700">
        <v>25</v>
      </c>
      <c r="AC1700">
        <v>-51.034899999999901</v>
      </c>
      <c r="AD1700">
        <v>0.44228299999999998</v>
      </c>
      <c r="AE1700">
        <v>-23.357299999999999</v>
      </c>
      <c r="AF1700">
        <v>36.152801694913499</v>
      </c>
      <c r="AG1700">
        <v>0.44228299999999998</v>
      </c>
      <c r="AH1700">
        <v>42.926777410404398</v>
      </c>
      <c r="AI1700">
        <v>89.548479993286307</v>
      </c>
      <c r="AJ1700">
        <v>49.896018425837603</v>
      </c>
      <c r="AK1700">
        <v>56.124227419949797</v>
      </c>
      <c r="AL1700">
        <v>80.568176838167702</v>
      </c>
      <c r="AM1700">
        <v>80.752650205607395</v>
      </c>
      <c r="AN1700">
        <v>1.00000001282905</v>
      </c>
    </row>
    <row r="1701" spans="1:40" x14ac:dyDescent="0.25">
      <c r="A1701" t="str">
        <f>"20190304155627439"</f>
        <v>20190304155627439</v>
      </c>
      <c r="B1701" t="str">
        <f>"1551686187436922"</f>
        <v>1551686187436922</v>
      </c>
      <c r="C1701" t="s">
        <v>40</v>
      </c>
      <c r="D1701">
        <v>5.2288169999999896</v>
      </c>
      <c r="E1701">
        <v>0.67106160000000004</v>
      </c>
      <c r="F1701" t="s">
        <v>44</v>
      </c>
      <c r="G1701">
        <v>-241.76220000000001</v>
      </c>
      <c r="H1701">
        <v>-0.05</v>
      </c>
      <c r="I1701">
        <v>264.72269999999997</v>
      </c>
      <c r="J1701">
        <v>-195.60339999999999</v>
      </c>
      <c r="K1701">
        <v>1.1034389999999901</v>
      </c>
      <c r="L1701">
        <v>292.2962</v>
      </c>
      <c r="M1701">
        <v>-0.43565369999999998</v>
      </c>
      <c r="N1701">
        <v>-1.110013E-2</v>
      </c>
      <c r="O1701">
        <v>-0.90004589999999995</v>
      </c>
      <c r="P1701">
        <v>-0.56641009999999903</v>
      </c>
      <c r="Q1701">
        <v>0.15417259999999999</v>
      </c>
      <c r="R1701">
        <v>-0.80957449999999997</v>
      </c>
      <c r="S1701">
        <v>-2.8745270000000001</v>
      </c>
      <c r="T1701">
        <v>-7.1653369999999994E-2</v>
      </c>
      <c r="U1701">
        <v>-1.7264710000000001</v>
      </c>
      <c r="V1701">
        <v>0.1596795</v>
      </c>
      <c r="W1701">
        <v>0.16250590000000001</v>
      </c>
      <c r="X1701">
        <v>0.97370140000000005</v>
      </c>
      <c r="Y1701">
        <v>0.54714209999999996</v>
      </c>
      <c r="Z1701">
        <v>1.345332E-2</v>
      </c>
      <c r="AA1701">
        <v>0.836931599999999</v>
      </c>
      <c r="AB1701">
        <v>25</v>
      </c>
      <c r="AC1701">
        <v>-46.158799999999999</v>
      </c>
      <c r="AD1701">
        <v>-1.1534390000000001</v>
      </c>
      <c r="AE1701">
        <v>-27.573499999999999</v>
      </c>
      <c r="AF1701">
        <v>29.520775624025799</v>
      </c>
      <c r="AG1701">
        <v>-1.1534390000000001</v>
      </c>
      <c r="AH1701">
        <v>44.908768841571899</v>
      </c>
      <c r="AI1701">
        <v>91.229508175230094</v>
      </c>
      <c r="AJ1701">
        <v>56.6810842055229</v>
      </c>
      <c r="AK1701">
        <v>53.755038218166497</v>
      </c>
      <c r="AL1701">
        <v>80.647622940933005</v>
      </c>
      <c r="AM1701">
        <v>80.686832552958606</v>
      </c>
      <c r="AN1701">
        <v>1.0000000633085</v>
      </c>
    </row>
    <row r="1702" spans="1:40" x14ac:dyDescent="0.25">
      <c r="A1702" t="str">
        <f>"20190304155627461"</f>
        <v>20190304155627461</v>
      </c>
      <c r="B1702" t="str">
        <f>"1551686187456441"</f>
        <v>1551686187456441</v>
      </c>
      <c r="C1702" t="s">
        <v>40</v>
      </c>
      <c r="D1702">
        <v>5.2719880000000003</v>
      </c>
      <c r="E1702">
        <v>0.66915579999999997</v>
      </c>
      <c r="F1702" t="s">
        <v>44</v>
      </c>
      <c r="G1702">
        <v>-235.6163</v>
      </c>
      <c r="H1702">
        <v>-0.05</v>
      </c>
      <c r="I1702">
        <v>268.66050000000001</v>
      </c>
      <c r="J1702">
        <v>-195.7217</v>
      </c>
      <c r="K1702">
        <v>1.103426</v>
      </c>
      <c r="L1702">
        <v>292.07499999999999</v>
      </c>
      <c r="M1702">
        <v>-0.44401220000000002</v>
      </c>
      <c r="N1702">
        <v>-1.11092E-2</v>
      </c>
      <c r="O1702">
        <v>-0.89595190000000002</v>
      </c>
      <c r="P1702">
        <v>-0.57497399999999999</v>
      </c>
      <c r="Q1702">
        <v>0.15334700000000001</v>
      </c>
      <c r="R1702">
        <v>-0.80367259999999996</v>
      </c>
      <c r="S1702">
        <v>-2.8841549999999998</v>
      </c>
      <c r="T1702">
        <v>-8.3140489999999997E-2</v>
      </c>
      <c r="U1702">
        <v>-1.7036739999999999</v>
      </c>
      <c r="V1702">
        <v>0.16087839999999901</v>
      </c>
      <c r="W1702">
        <v>0.16166549999999999</v>
      </c>
      <c r="X1702">
        <v>0.97364379999999995</v>
      </c>
      <c r="Y1702">
        <v>0.54541479999999998</v>
      </c>
      <c r="Z1702">
        <v>1.7013919999999998E-2</v>
      </c>
      <c r="AA1702">
        <v>0.83799360000000001</v>
      </c>
      <c r="AB1702">
        <v>25</v>
      </c>
      <c r="AC1702">
        <v>-39.894599999999997</v>
      </c>
      <c r="AD1702">
        <v>-1.1534260000000001</v>
      </c>
      <c r="AE1702">
        <v>-23.414499999999901</v>
      </c>
      <c r="AF1702">
        <v>25.333132170842699</v>
      </c>
      <c r="AG1702">
        <v>-1.1534260000000001</v>
      </c>
      <c r="AH1702">
        <v>38.670299069595302</v>
      </c>
      <c r="AI1702">
        <v>91.429235507916005</v>
      </c>
      <c r="AJ1702">
        <v>56.770964648270301</v>
      </c>
      <c r="AK1702">
        <v>46.2438104750766</v>
      </c>
      <c r="AL1702">
        <v>80.696418233427806</v>
      </c>
      <c r="AM1702">
        <v>80.617601305751407</v>
      </c>
      <c r="AN1702">
        <v>0.99999992137762095</v>
      </c>
    </row>
    <row r="1703" spans="1:40" x14ac:dyDescent="0.25">
      <c r="A1703" t="str">
        <f>"20190304155627944"</f>
        <v>20190304155627944</v>
      </c>
      <c r="B1703" t="str">
        <f>"1551686187936165"</f>
        <v>1551686187936165</v>
      </c>
      <c r="C1703" t="s">
        <v>40</v>
      </c>
      <c r="D1703">
        <v>4.212593</v>
      </c>
      <c r="E1703">
        <v>0.66915579999999997</v>
      </c>
      <c r="F1703" t="s">
        <v>44</v>
      </c>
      <c r="G1703">
        <v>-233.3383</v>
      </c>
      <c r="H1703">
        <v>-0.05</v>
      </c>
      <c r="I1703">
        <v>270.17559999999997</v>
      </c>
      <c r="J1703">
        <v>-198.9221</v>
      </c>
      <c r="K1703">
        <v>1.1011569999999999</v>
      </c>
      <c r="L1703">
        <v>287.49599999999998</v>
      </c>
      <c r="M1703">
        <v>-0.63856020000000002</v>
      </c>
      <c r="N1703">
        <v>-1.190863E-2</v>
      </c>
      <c r="O1703">
        <v>-0.76947959999999904</v>
      </c>
      <c r="P1703">
        <v>-0.76649599999999996</v>
      </c>
      <c r="Q1703">
        <v>0.15664510000000001</v>
      </c>
      <c r="R1703">
        <v>-0.6228534</v>
      </c>
      <c r="S1703">
        <v>-2.8897550000000001</v>
      </c>
      <c r="T1703">
        <v>-8.8607790000000006E-2</v>
      </c>
      <c r="U1703">
        <v>-1.6823429999999999</v>
      </c>
      <c r="V1703">
        <v>0.1956311</v>
      </c>
      <c r="W1703">
        <v>0.1640353</v>
      </c>
      <c r="X1703">
        <v>0.96686139999999998</v>
      </c>
      <c r="Y1703">
        <v>0.34355069999999999</v>
      </c>
      <c r="Z1703">
        <v>1.5568419999999999E-2</v>
      </c>
      <c r="AA1703">
        <v>0.93900510000000004</v>
      </c>
      <c r="AB1703">
        <v>26</v>
      </c>
      <c r="AC1703">
        <v>-34.416200000000003</v>
      </c>
      <c r="AD1703">
        <v>-1.151157</v>
      </c>
      <c r="AE1703">
        <v>-17.320399999999999</v>
      </c>
      <c r="AF1703">
        <v>15.4097848997831</v>
      </c>
      <c r="AG1703">
        <v>-1.151157</v>
      </c>
      <c r="AH1703">
        <v>35.275527319895403</v>
      </c>
      <c r="AI1703">
        <v>91.712889808468006</v>
      </c>
      <c r="AJ1703">
        <v>66.402337829007607</v>
      </c>
      <c r="AK1703">
        <v>38.511679537419802</v>
      </c>
      <c r="AL1703">
        <v>80.558802673158894</v>
      </c>
      <c r="AM1703">
        <v>78.561417200064696</v>
      </c>
      <c r="AN1703">
        <v>1.00000003687162</v>
      </c>
    </row>
    <row r="1704" spans="1:40" x14ac:dyDescent="0.25">
      <c r="A1704" t="str">
        <f>"20190304155627965"</f>
        <v>20190304155627965</v>
      </c>
      <c r="B1704" t="str">
        <f>"1551686187956661"</f>
        <v>1551686187956661</v>
      </c>
      <c r="C1704" t="s">
        <v>40</v>
      </c>
      <c r="D1704">
        <v>5.2971459999999997</v>
      </c>
      <c r="E1704">
        <v>0.66798080000000004</v>
      </c>
      <c r="F1704" t="s">
        <v>44</v>
      </c>
      <c r="G1704">
        <v>-256.1277</v>
      </c>
      <c r="H1704">
        <v>-0.05</v>
      </c>
      <c r="I1704">
        <v>272.39400000000001</v>
      </c>
      <c r="J1704">
        <v>-199.08619999999999</v>
      </c>
      <c r="K1704">
        <v>1.1010470000000001</v>
      </c>
      <c r="L1704">
        <v>287.31830000000002</v>
      </c>
      <c r="M1704">
        <v>-0.64768870000000001</v>
      </c>
      <c r="N1704">
        <v>-1.2047769999999999E-2</v>
      </c>
      <c r="O1704">
        <v>-0.76180979999999998</v>
      </c>
      <c r="P1704">
        <v>-0.77359309999999903</v>
      </c>
      <c r="Q1704">
        <v>0.15633269999999999</v>
      </c>
      <c r="R1704">
        <v>-0.61409609999999903</v>
      </c>
      <c r="S1704">
        <v>-3.233536</v>
      </c>
      <c r="T1704">
        <v>-6.5068959999999995E-2</v>
      </c>
      <c r="U1704">
        <v>-0.85363770000000005</v>
      </c>
      <c r="V1704">
        <v>0.19519249999999999</v>
      </c>
      <c r="W1704">
        <v>0.1638095</v>
      </c>
      <c r="X1704">
        <v>0.96698830000000002</v>
      </c>
      <c r="Y1704">
        <v>0.57113809999999998</v>
      </c>
      <c r="Z1704">
        <v>1.2043720000000001E-2</v>
      </c>
      <c r="AA1704">
        <v>0.82076569999999904</v>
      </c>
      <c r="AB1704">
        <v>26</v>
      </c>
      <c r="AC1704">
        <v>-57.041499999999999</v>
      </c>
      <c r="AD1704">
        <v>-1.1510469999999999</v>
      </c>
      <c r="AE1704">
        <v>-14.924300000000001</v>
      </c>
      <c r="AF1704">
        <v>33.778053072054703</v>
      </c>
      <c r="AG1704">
        <v>-1.1510469999999999</v>
      </c>
      <c r="AH1704">
        <v>48.299713032685098</v>
      </c>
      <c r="AI1704">
        <v>91.118811401117995</v>
      </c>
      <c r="AJ1704">
        <v>55.033262045367202</v>
      </c>
      <c r="AK1704">
        <v>58.950352480493997</v>
      </c>
      <c r="AL1704">
        <v>80.571917284039003</v>
      </c>
      <c r="AM1704">
        <v>78.587846941207303</v>
      </c>
      <c r="AN1704">
        <v>1.0000000183416899</v>
      </c>
    </row>
    <row r="1705" spans="1:40" x14ac:dyDescent="0.25">
      <c r="A1705" t="str">
        <f>"20190304155627987"</f>
        <v>20190304155627987</v>
      </c>
      <c r="B1705" t="str">
        <f>"1551686187976181"</f>
        <v>1551686187976181</v>
      </c>
      <c r="C1705" t="s">
        <v>40</v>
      </c>
      <c r="D1705">
        <v>5.0474389999999998</v>
      </c>
      <c r="E1705">
        <v>0.58073249999999998</v>
      </c>
      <c r="F1705" t="s">
        <v>44</v>
      </c>
      <c r="G1705">
        <v>-263.87520000000001</v>
      </c>
      <c r="H1705">
        <v>-0.05</v>
      </c>
      <c r="I1705">
        <v>270.83800000000002</v>
      </c>
      <c r="J1705">
        <v>-199.27</v>
      </c>
      <c r="K1705">
        <v>1.100932</v>
      </c>
      <c r="L1705">
        <v>287.12419999999997</v>
      </c>
      <c r="M1705">
        <v>-0.65781060000000002</v>
      </c>
      <c r="N1705">
        <v>-1.2255830000000001E-2</v>
      </c>
      <c r="O1705">
        <v>-0.75308379999999997</v>
      </c>
      <c r="P1705">
        <v>-0.78180569999999905</v>
      </c>
      <c r="Q1705">
        <v>0.155645799999999</v>
      </c>
      <c r="R1705">
        <v>-0.60378319999999996</v>
      </c>
      <c r="S1705">
        <v>-3.2361759999999999</v>
      </c>
      <c r="T1705">
        <v>-5.7494160000000002E-2</v>
      </c>
      <c r="U1705">
        <v>-0.82318119999999995</v>
      </c>
      <c r="V1705">
        <v>0.1952411</v>
      </c>
      <c r="W1705">
        <v>0.16325770000000001</v>
      </c>
      <c r="X1705">
        <v>0.96707180000000004</v>
      </c>
      <c r="Y1705">
        <v>0.56759869999999901</v>
      </c>
      <c r="Z1705">
        <v>9.7719980000000005E-3</v>
      </c>
      <c r="AA1705">
        <v>0.82324730000000002</v>
      </c>
      <c r="AB1705">
        <v>26</v>
      </c>
      <c r="AC1705">
        <v>-64.605199999999996</v>
      </c>
      <c r="AD1705">
        <v>-1.1509320000000001</v>
      </c>
      <c r="AE1705">
        <v>-16.286200000000001</v>
      </c>
      <c r="AF1705">
        <v>37.931421470947903</v>
      </c>
      <c r="AG1705">
        <v>-1.1509320000000001</v>
      </c>
      <c r="AH1705">
        <v>54.750628664051199</v>
      </c>
      <c r="AI1705">
        <v>90.989948386384995</v>
      </c>
      <c r="AJ1705">
        <v>55.285651353886202</v>
      </c>
      <c r="AK1705">
        <v>66.616429793138394</v>
      </c>
      <c r="AL1705">
        <v>80.603964491242394</v>
      </c>
      <c r="AM1705">
        <v>78.586039800481402</v>
      </c>
      <c r="AN1705">
        <v>1.00000001504686</v>
      </c>
    </row>
    <row r="1706" spans="1:40" x14ac:dyDescent="0.25">
      <c r="A1706" t="str">
        <f>"20190304155628010"</f>
        <v>20190304155628010</v>
      </c>
      <c r="B1706" t="str">
        <f>"1551686188006437"</f>
        <v>1551686188006437</v>
      </c>
      <c r="C1706" t="s">
        <v>40</v>
      </c>
      <c r="D1706">
        <v>4.9216089999999904</v>
      </c>
      <c r="E1706">
        <v>0.5845399</v>
      </c>
      <c r="F1706" t="s">
        <v>55</v>
      </c>
      <c r="G1706">
        <v>-216.1566</v>
      </c>
      <c r="H1706">
        <v>8.0001119999999995E-2</v>
      </c>
      <c r="I1706">
        <v>279.1705</v>
      </c>
      <c r="J1706">
        <v>-199.44900000000001</v>
      </c>
      <c r="K1706">
        <v>1.1008450000000001</v>
      </c>
      <c r="L1706">
        <v>286.94060000000002</v>
      </c>
      <c r="M1706">
        <v>-0.66755439999999999</v>
      </c>
      <c r="N1706">
        <v>-1.251275E-2</v>
      </c>
      <c r="O1706">
        <v>-0.74445589999999995</v>
      </c>
      <c r="P1706">
        <v>-0.78960350000000001</v>
      </c>
      <c r="Q1706">
        <v>0.15470110000000001</v>
      </c>
      <c r="R1706">
        <v>-0.59379609999999905</v>
      </c>
      <c r="S1706">
        <v>-2.8387910000000001</v>
      </c>
      <c r="T1706">
        <v>-0.17162810000000001</v>
      </c>
      <c r="U1706">
        <v>-1.337097</v>
      </c>
      <c r="V1706">
        <v>0.19512299999999999</v>
      </c>
      <c r="W1706">
        <v>0.16250400000000001</v>
      </c>
      <c r="X1706">
        <v>0.96722260000000004</v>
      </c>
      <c r="Y1706">
        <v>0.38799400000000001</v>
      </c>
      <c r="Z1706">
        <v>4.0421319999999997E-2</v>
      </c>
      <c r="AA1706">
        <v>0.92077509999999996</v>
      </c>
      <c r="AB1706">
        <v>26</v>
      </c>
      <c r="AC1706">
        <v>-16.7075999999999</v>
      </c>
      <c r="AD1706">
        <v>-1.0208438799999999</v>
      </c>
      <c r="AE1706">
        <v>-7.77010000000001</v>
      </c>
      <c r="AF1706">
        <v>7.2294842707253899</v>
      </c>
      <c r="AG1706">
        <v>-1.0208438799999999</v>
      </c>
      <c r="AH1706">
        <v>16.887220656000402</v>
      </c>
      <c r="AI1706">
        <v>93.180788882873102</v>
      </c>
      <c r="AJ1706">
        <v>66.824046219977106</v>
      </c>
      <c r="AK1706">
        <v>18.3979832191587</v>
      </c>
      <c r="AL1706">
        <v>80.647733111266305</v>
      </c>
      <c r="AM1706">
        <v>78.594494856756697</v>
      </c>
      <c r="AN1706">
        <v>1.00000004654787</v>
      </c>
    </row>
    <row r="1707" spans="1:40" x14ac:dyDescent="0.25">
      <c r="A1707" t="str">
        <f>"20190304155628032"</f>
        <v>20190304155628032</v>
      </c>
      <c r="B1707" t="str">
        <f>"1551686188025956"</f>
        <v>1551686188025956</v>
      </c>
      <c r="C1707" t="s">
        <v>40</v>
      </c>
      <c r="D1707">
        <v>4.9827170000000001</v>
      </c>
      <c r="E1707">
        <v>0.58435819999999905</v>
      </c>
      <c r="F1707" t="s">
        <v>55</v>
      </c>
      <c r="G1707">
        <v>-220.57560000000001</v>
      </c>
      <c r="H1707">
        <v>8.0001290000000003E-2</v>
      </c>
      <c r="I1707">
        <v>277.55119999999999</v>
      </c>
      <c r="J1707">
        <v>-199.6369</v>
      </c>
      <c r="K1707">
        <v>1.1007579999999999</v>
      </c>
      <c r="L1707">
        <v>286.75349999999997</v>
      </c>
      <c r="M1707">
        <v>-0.67767239999999995</v>
      </c>
      <c r="N1707">
        <v>-1.282079E-2</v>
      </c>
      <c r="O1707">
        <v>-0.73525209999999996</v>
      </c>
      <c r="P1707">
        <v>-0.79776230000000004</v>
      </c>
      <c r="Q1707">
        <v>0.15430329999999901</v>
      </c>
      <c r="R1707">
        <v>-0.58289449999999998</v>
      </c>
      <c r="S1707">
        <v>-2.8679809999999999</v>
      </c>
      <c r="T1707">
        <v>-0.1385815</v>
      </c>
      <c r="U1707">
        <v>-1.2746280000000001</v>
      </c>
      <c r="V1707">
        <v>0.19528680000000001</v>
      </c>
      <c r="W1707">
        <v>0.16233699999999901</v>
      </c>
      <c r="X1707">
        <v>0.96721760000000001</v>
      </c>
      <c r="Y1707">
        <v>0.3960168</v>
      </c>
      <c r="Z1707">
        <v>3.099118E-2</v>
      </c>
      <c r="AA1707">
        <v>0.91772010000000004</v>
      </c>
      <c r="AB1707">
        <v>26</v>
      </c>
      <c r="AC1707">
        <v>-20.938700000000001</v>
      </c>
      <c r="AD1707">
        <v>-1.0207567099999999</v>
      </c>
      <c r="AE1707">
        <v>-9.2022999999999797</v>
      </c>
      <c r="AF1707">
        <v>9.1416232250232099</v>
      </c>
      <c r="AG1707">
        <v>-1.0207567099999999</v>
      </c>
      <c r="AH1707">
        <v>20.915652724074</v>
      </c>
      <c r="AI1707">
        <v>92.560487621933703</v>
      </c>
      <c r="AJ1707">
        <v>66.3912611697058</v>
      </c>
      <c r="AK1707">
        <v>22.8489769644804</v>
      </c>
      <c r="AL1707">
        <v>80.657430402627497</v>
      </c>
      <c r="AM1707">
        <v>78.585114058454295</v>
      </c>
      <c r="AN1707">
        <v>1.0000000607864901</v>
      </c>
    </row>
    <row r="1708" spans="1:40" x14ac:dyDescent="0.25">
      <c r="A1708" t="str">
        <f>"20190304155628055"</f>
        <v>20190304155628055</v>
      </c>
      <c r="B1708" t="str">
        <f>"1551686188046454"</f>
        <v>1551686188046454</v>
      </c>
      <c r="C1708" t="s">
        <v>40</v>
      </c>
      <c r="D1708">
        <v>4.9967199999999998</v>
      </c>
      <c r="E1708">
        <v>0.58404999999999996</v>
      </c>
      <c r="F1708" t="s">
        <v>55</v>
      </c>
      <c r="G1708">
        <v>-221.9572</v>
      </c>
      <c r="H1708">
        <v>8.0000879999999996E-2</v>
      </c>
      <c r="I1708">
        <v>277.19279999999998</v>
      </c>
      <c r="J1708">
        <v>-199.82409999999999</v>
      </c>
      <c r="K1708">
        <v>1.100676</v>
      </c>
      <c r="L1708">
        <v>286.57240000000002</v>
      </c>
      <c r="M1708">
        <v>-0.6876314</v>
      </c>
      <c r="N1708">
        <v>-1.3127750000000001E-2</v>
      </c>
      <c r="O1708">
        <v>-0.72594139999999996</v>
      </c>
      <c r="P1708">
        <v>-0.80559519999999996</v>
      </c>
      <c r="Q1708">
        <v>0.15401699999999999</v>
      </c>
      <c r="R1708">
        <v>-0.57209759999999998</v>
      </c>
      <c r="S1708">
        <v>-2.8835449999999998</v>
      </c>
      <c r="T1708">
        <v>-0.1318706</v>
      </c>
      <c r="U1708">
        <v>-1.2351379999999901</v>
      </c>
      <c r="V1708">
        <v>0.19521520000000001</v>
      </c>
      <c r="W1708">
        <v>0.16229180000000001</v>
      </c>
      <c r="X1708">
        <v>0.96723959999999998</v>
      </c>
      <c r="Y1708">
        <v>0.39598139999999998</v>
      </c>
      <c r="Z1708">
        <v>2.880189E-2</v>
      </c>
      <c r="AA1708">
        <v>0.91780669999999998</v>
      </c>
      <c r="AB1708">
        <v>25</v>
      </c>
      <c r="AC1708">
        <v>-22.133099999999999</v>
      </c>
      <c r="AD1708">
        <v>-1.0206751199999999</v>
      </c>
      <c r="AE1708">
        <v>-9.3796000000000301</v>
      </c>
      <c r="AF1708">
        <v>9.6011446170583596</v>
      </c>
      <c r="AG1708">
        <v>-1.0206751199999999</v>
      </c>
      <c r="AH1708">
        <v>21.990704840882401</v>
      </c>
      <c r="AI1708">
        <v>92.435694179284795</v>
      </c>
      <c r="AJ1708">
        <v>66.413912055440093</v>
      </c>
      <c r="AK1708">
        <v>24.016970147315899</v>
      </c>
      <c r="AL1708">
        <v>80.660054622039496</v>
      </c>
      <c r="AM1708">
        <v>78.589442137955899</v>
      </c>
      <c r="AN1708">
        <v>1.00000002323321</v>
      </c>
    </row>
    <row r="1709" spans="1:40" x14ac:dyDescent="0.25">
      <c r="A1709" t="str">
        <f>"20190304155628077"</f>
        <v>20190304155628077</v>
      </c>
      <c r="B1709" t="str">
        <f>"1551686188065973"</f>
        <v>1551686188065973</v>
      </c>
      <c r="C1709" t="s">
        <v>40</v>
      </c>
      <c r="D1709">
        <v>5.0363350000000002</v>
      </c>
      <c r="E1709">
        <v>0.58339909999999995</v>
      </c>
      <c r="F1709" t="s">
        <v>55</v>
      </c>
      <c r="G1709">
        <v>-222.5351</v>
      </c>
      <c r="H1709">
        <v>8.0000710000000003E-2</v>
      </c>
      <c r="I1709">
        <v>277.18700000000001</v>
      </c>
      <c r="J1709">
        <v>-200.01070000000001</v>
      </c>
      <c r="K1709">
        <v>1.1005860000000001</v>
      </c>
      <c r="L1709">
        <v>286.39710000000002</v>
      </c>
      <c r="M1709">
        <v>-0.69741819999999999</v>
      </c>
      <c r="N1709">
        <v>-1.341528E-2</v>
      </c>
      <c r="O1709">
        <v>-0.71653880000000003</v>
      </c>
      <c r="P1709">
        <v>-0.81324980000000002</v>
      </c>
      <c r="Q1709">
        <v>0.15417220000000001</v>
      </c>
      <c r="R1709">
        <v>-0.56112019999999996</v>
      </c>
      <c r="S1709">
        <v>-2.898285</v>
      </c>
      <c r="T1709">
        <v>-0.1302546</v>
      </c>
      <c r="U1709">
        <v>-1.1977230000000001</v>
      </c>
      <c r="V1709">
        <v>0.1952402</v>
      </c>
      <c r="W1709">
        <v>0.1626687</v>
      </c>
      <c r="X1709">
        <v>0.96717120000000001</v>
      </c>
      <c r="Y1709">
        <v>0.39530530000000003</v>
      </c>
      <c r="Z1709">
        <v>2.803048E-2</v>
      </c>
      <c r="AA1709">
        <v>0.91812199999999999</v>
      </c>
      <c r="AB1709">
        <v>25</v>
      </c>
      <c r="AC1709">
        <v>-22.524399999999901</v>
      </c>
      <c r="AD1709">
        <v>-1.0205852900000001</v>
      </c>
      <c r="AE1709">
        <v>-9.2101000000000095</v>
      </c>
      <c r="AF1709">
        <v>9.7001279223125199</v>
      </c>
      <c r="AG1709">
        <v>-1.0205852900000001</v>
      </c>
      <c r="AH1709">
        <v>22.271155120677498</v>
      </c>
      <c r="AI1709">
        <v>92.405774750844699</v>
      </c>
      <c r="AJ1709">
        <v>66.464625957935596</v>
      </c>
      <c r="AK1709">
        <v>24.3133384472941</v>
      </c>
      <c r="AL1709">
        <v>80.638168669991302</v>
      </c>
      <c r="AM1709">
        <v>78.587233301837003</v>
      </c>
      <c r="AN1709">
        <v>0.99999998588258399</v>
      </c>
    </row>
    <row r="1710" spans="1:40" x14ac:dyDescent="0.25">
      <c r="A1710" t="str">
        <f>"20190304155628099"</f>
        <v>20190304155628099</v>
      </c>
      <c r="B1710" t="str">
        <f>"1551686188096229"</f>
        <v>1551686188096229</v>
      </c>
      <c r="C1710" t="s">
        <v>40</v>
      </c>
      <c r="D1710">
        <v>5.1954669999999998</v>
      </c>
      <c r="E1710">
        <v>0.58091599999999999</v>
      </c>
      <c r="F1710" t="s">
        <v>55</v>
      </c>
      <c r="G1710">
        <v>-222.20079999999999</v>
      </c>
      <c r="H1710">
        <v>8.000082E-2</v>
      </c>
      <c r="I1710">
        <v>277.53989999999999</v>
      </c>
      <c r="J1710">
        <v>-200.1996</v>
      </c>
      <c r="K1710">
        <v>1.1004969999999901</v>
      </c>
      <c r="L1710">
        <v>286.22449999999998</v>
      </c>
      <c r="M1710">
        <v>-0.70720369999999999</v>
      </c>
      <c r="N1710">
        <v>-1.3684709999999999E-2</v>
      </c>
      <c r="O1710">
        <v>-0.70687730000000004</v>
      </c>
      <c r="P1710">
        <v>-0.82105309999999898</v>
      </c>
      <c r="Q1710">
        <v>0.1541642</v>
      </c>
      <c r="R1710">
        <v>-0.54964109999999999</v>
      </c>
      <c r="S1710">
        <v>-2.9122469999999998</v>
      </c>
      <c r="T1710">
        <v>-0.13394220000000001</v>
      </c>
      <c r="U1710">
        <v>-1.162415</v>
      </c>
      <c r="V1710">
        <v>0.19557920000000001</v>
      </c>
      <c r="W1710">
        <v>0.1628578</v>
      </c>
      <c r="X1710">
        <v>0.96707089999999996</v>
      </c>
      <c r="Y1710">
        <v>0.39375830000000001</v>
      </c>
      <c r="Z1710">
        <v>2.8689050000000001E-2</v>
      </c>
      <c r="AA1710">
        <v>0.91876619999999998</v>
      </c>
      <c r="AB1710">
        <v>25</v>
      </c>
      <c r="AC1710">
        <v>-22.001199999999901</v>
      </c>
      <c r="AD1710">
        <v>-1.0204961800000001</v>
      </c>
      <c r="AE1710">
        <v>-8.6845999999999801</v>
      </c>
      <c r="AF1710">
        <v>9.3937638744855203</v>
      </c>
      <c r="AG1710">
        <v>-1.0204961800000001</v>
      </c>
      <c r="AH1710">
        <v>21.659992037167498</v>
      </c>
      <c r="AI1710">
        <v>92.475033259332093</v>
      </c>
      <c r="AJ1710">
        <v>66.554011266127404</v>
      </c>
      <c r="AK1710">
        <v>23.631323856973001</v>
      </c>
      <c r="AL1710">
        <v>80.627187797944501</v>
      </c>
      <c r="AM1710">
        <v>78.566783932396305</v>
      </c>
      <c r="AN1710">
        <v>1.0000000060601399</v>
      </c>
    </row>
    <row r="1711" spans="1:40" x14ac:dyDescent="0.25">
      <c r="A1711" t="str">
        <f>"20190304155628123"</f>
        <v>20190304155628123</v>
      </c>
      <c r="B1711" t="str">
        <f>"1551686188116725"</f>
        <v>1551686188116725</v>
      </c>
      <c r="C1711" t="s">
        <v>40</v>
      </c>
      <c r="D1711">
        <v>5.0648939999999998</v>
      </c>
      <c r="E1711">
        <v>0.57977100000000004</v>
      </c>
      <c r="F1711" t="s">
        <v>55</v>
      </c>
      <c r="G1711">
        <v>-221.48750000000001</v>
      </c>
      <c r="H1711">
        <v>8.0001030000000001E-2</v>
      </c>
      <c r="I1711">
        <v>277.92399999999998</v>
      </c>
      <c r="J1711">
        <v>-200.4084</v>
      </c>
      <c r="K1711">
        <v>1.100393</v>
      </c>
      <c r="L1711">
        <v>286.03960000000001</v>
      </c>
      <c r="M1711">
        <v>-0.71786559999999999</v>
      </c>
      <c r="N1711">
        <v>-1.395861E-2</v>
      </c>
      <c r="O1711">
        <v>-0.69604180000000004</v>
      </c>
      <c r="P1711">
        <v>-0.82931239999999995</v>
      </c>
      <c r="Q1711">
        <v>0.15497079999999999</v>
      </c>
      <c r="R1711">
        <v>-0.53686599999999995</v>
      </c>
      <c r="S1711">
        <v>-2.9183500000000002</v>
      </c>
      <c r="T1711">
        <v>-0.1399</v>
      </c>
      <c r="U1711">
        <v>-1.1379090000000001</v>
      </c>
      <c r="V1711">
        <v>0.19581699999999999</v>
      </c>
      <c r="W1711">
        <v>0.16386410000000001</v>
      </c>
      <c r="X1711">
        <v>0.96685279999999996</v>
      </c>
      <c r="Y1711">
        <v>0.38706170000000001</v>
      </c>
      <c r="Z1711">
        <v>2.9828299999999999E-2</v>
      </c>
      <c r="AA1711">
        <v>0.92157129999999998</v>
      </c>
      <c r="AB1711">
        <v>25</v>
      </c>
      <c r="AC1711">
        <v>-21.0791</v>
      </c>
      <c r="AD1711">
        <v>-1.0203919699999999</v>
      </c>
      <c r="AE1711">
        <v>-8.1155999999999704</v>
      </c>
      <c r="AF1711">
        <v>8.8288683667220695</v>
      </c>
      <c r="AG1711">
        <v>-1.0203919699999999</v>
      </c>
      <c r="AH1711">
        <v>20.740454704148799</v>
      </c>
      <c r="AI1711">
        <v>92.591863434731295</v>
      </c>
      <c r="AJ1711">
        <v>66.941348171364893</v>
      </c>
      <c r="AK1711">
        <v>22.564498171778499</v>
      </c>
      <c r="AL1711">
        <v>80.568746278384694</v>
      </c>
      <c r="AM1711">
        <v>78.550735365599095</v>
      </c>
      <c r="AN1711">
        <v>1.0000000388128201</v>
      </c>
    </row>
    <row r="1712" spans="1:40" x14ac:dyDescent="0.25">
      <c r="A1712" t="str">
        <f>"20190304155628146"</f>
        <v>20190304155628146</v>
      </c>
      <c r="B1712" t="str">
        <f>"1551686188136245"</f>
        <v>1551686188136245</v>
      </c>
      <c r="C1712" t="s">
        <v>40</v>
      </c>
      <c r="D1712">
        <v>4.9509589999999903</v>
      </c>
      <c r="E1712">
        <v>0.57905519999999999</v>
      </c>
      <c r="F1712" t="s">
        <v>55</v>
      </c>
      <c r="G1712">
        <v>-221.91630000000001</v>
      </c>
      <c r="H1712">
        <v>8.0000899999999903E-2</v>
      </c>
      <c r="I1712">
        <v>277.96420000000001</v>
      </c>
      <c r="J1712">
        <v>-200.6103</v>
      </c>
      <c r="K1712">
        <v>1.1002959999999999</v>
      </c>
      <c r="L1712">
        <v>285.86630000000002</v>
      </c>
      <c r="M1712">
        <v>-0.72803399999999996</v>
      </c>
      <c r="N1712">
        <v>-1.420077E-2</v>
      </c>
      <c r="O1712">
        <v>-0.6853939</v>
      </c>
      <c r="P1712">
        <v>-0.83738169999999901</v>
      </c>
      <c r="Q1712">
        <v>0.156667</v>
      </c>
      <c r="R1712">
        <v>-0.52368649999999906</v>
      </c>
      <c r="S1712">
        <v>-2.9310459999999998</v>
      </c>
      <c r="T1712">
        <v>-0.13905680000000001</v>
      </c>
      <c r="U1712">
        <v>-1.1004940000000001</v>
      </c>
      <c r="V1712">
        <v>0.19674530000000001</v>
      </c>
      <c r="W1712">
        <v>0.16571340000000001</v>
      </c>
      <c r="X1712">
        <v>0.96634900000000001</v>
      </c>
      <c r="Y1712">
        <v>0.38512000000000002</v>
      </c>
      <c r="Z1712">
        <v>2.9238980000000001E-2</v>
      </c>
      <c r="AA1712">
        <v>0.92240319999999998</v>
      </c>
      <c r="AB1712">
        <v>25</v>
      </c>
      <c r="AC1712">
        <v>-21.306000000000001</v>
      </c>
      <c r="AD1712">
        <v>-1.0202951</v>
      </c>
      <c r="AE1712">
        <v>-7.9021000000000097</v>
      </c>
      <c r="AF1712">
        <v>8.8330907405308299</v>
      </c>
      <c r="AG1712">
        <v>-1.0202951</v>
      </c>
      <c r="AH1712">
        <v>20.887546602455899</v>
      </c>
      <c r="AI1712">
        <v>92.575976435193496</v>
      </c>
      <c r="AJ1712">
        <v>67.077086122231705</v>
      </c>
      <c r="AK1712">
        <v>22.701411788505698</v>
      </c>
      <c r="AL1712">
        <v>80.461320340274796</v>
      </c>
      <c r="AM1712">
        <v>78.492065066885203</v>
      </c>
      <c r="AN1712">
        <v>1.0000000169063199</v>
      </c>
    </row>
    <row r="1713" spans="1:40" x14ac:dyDescent="0.25">
      <c r="A1713" t="str">
        <f>"20190304155628188"</f>
        <v>20190304155628188</v>
      </c>
      <c r="B1713" t="str">
        <f>"1551686188186021"</f>
        <v>1551686188186021</v>
      </c>
      <c r="C1713" t="s">
        <v>40</v>
      </c>
      <c r="D1713">
        <v>4.9753059999999998</v>
      </c>
      <c r="E1713">
        <v>0.57687040000000001</v>
      </c>
      <c r="F1713" t="s">
        <v>55</v>
      </c>
      <c r="G1713">
        <v>-222.90129999999999</v>
      </c>
      <c r="H1713">
        <v>8.000061E-2</v>
      </c>
      <c r="I1713">
        <v>277.84899999999999</v>
      </c>
      <c r="J1713">
        <v>-200.98650000000001</v>
      </c>
      <c r="K1713">
        <v>1.1001179999999999</v>
      </c>
      <c r="L1713">
        <v>285.55770000000001</v>
      </c>
      <c r="M1713">
        <v>-0.74662459999999997</v>
      </c>
      <c r="N1713">
        <v>-1.459294E-2</v>
      </c>
      <c r="O1713">
        <v>-0.6650857</v>
      </c>
      <c r="P1713">
        <v>-0.85223199999999999</v>
      </c>
      <c r="Q1713">
        <v>0.15686069999999999</v>
      </c>
      <c r="R1713">
        <v>-0.49909480000000001</v>
      </c>
      <c r="S1713">
        <v>-2.9453279999999999</v>
      </c>
      <c r="T1713">
        <v>-0.1348125</v>
      </c>
      <c r="U1713">
        <v>-1.059326</v>
      </c>
      <c r="V1713">
        <v>0.19833680000000001</v>
      </c>
      <c r="W1713">
        <v>0.1661483</v>
      </c>
      <c r="X1713">
        <v>0.9659489</v>
      </c>
      <c r="Y1713">
        <v>0.3725792</v>
      </c>
      <c r="Z1713">
        <v>2.7245490000000001E-2</v>
      </c>
      <c r="AA1713">
        <v>0.92760039999999999</v>
      </c>
      <c r="AB1713">
        <v>25</v>
      </c>
      <c r="AC1713">
        <v>-21.9147999999999</v>
      </c>
      <c r="AD1713">
        <v>-1.02011739</v>
      </c>
      <c r="AE1713">
        <v>-7.7087000000000199</v>
      </c>
      <c r="AF1713">
        <v>8.8036776143447693</v>
      </c>
      <c r="AG1713">
        <v>-1.02011739</v>
      </c>
      <c r="AH1713">
        <v>21.450000013853501</v>
      </c>
      <c r="AI1713">
        <v>92.519186059590496</v>
      </c>
      <c r="AJ1713">
        <v>67.685387259045797</v>
      </c>
      <c r="AK1713">
        <v>23.208788844336699</v>
      </c>
      <c r="AL1713">
        <v>80.436052061849693</v>
      </c>
      <c r="AM1713">
        <v>78.3968145629171</v>
      </c>
      <c r="AN1713">
        <v>1.00000001061917</v>
      </c>
    </row>
    <row r="1714" spans="1:40" x14ac:dyDescent="0.25">
      <c r="A1714" t="str">
        <f>"20190304155628211"</f>
        <v>20190304155628211</v>
      </c>
      <c r="B1714" t="str">
        <f>"1551686188206517"</f>
        <v>1551686188206517</v>
      </c>
      <c r="C1714" t="s">
        <v>40</v>
      </c>
      <c r="D1714">
        <v>4.9563860000000002</v>
      </c>
      <c r="E1714">
        <v>0.55667659999999997</v>
      </c>
      <c r="F1714" t="s">
        <v>55</v>
      </c>
      <c r="G1714">
        <v>-222.6173</v>
      </c>
      <c r="H1714">
        <v>8.0000689999999999E-2</v>
      </c>
      <c r="I1714">
        <v>278.34739999999999</v>
      </c>
      <c r="J1714">
        <v>-201.18790000000001</v>
      </c>
      <c r="K1714">
        <v>1.100036</v>
      </c>
      <c r="L1714">
        <v>285.39999999999998</v>
      </c>
      <c r="M1714">
        <v>-0.75635949999999996</v>
      </c>
      <c r="N1714">
        <v>-1.477346E-2</v>
      </c>
      <c r="O1714">
        <v>-0.65398940000000005</v>
      </c>
      <c r="P1714">
        <v>-0.85952379999999995</v>
      </c>
      <c r="Q1714">
        <v>0.157223</v>
      </c>
      <c r="R1714">
        <v>-0.48631259999999998</v>
      </c>
      <c r="S1714">
        <v>-2.9667819999999998</v>
      </c>
      <c r="T1714">
        <v>-0.13991479999999901</v>
      </c>
      <c r="U1714">
        <v>-0.98892210000000003</v>
      </c>
      <c r="V1714">
        <v>0.1985104</v>
      </c>
      <c r="W1714">
        <v>0.16663499999999901</v>
      </c>
      <c r="X1714">
        <v>0.96582939999999995</v>
      </c>
      <c r="Y1714">
        <v>0.38061450000000002</v>
      </c>
      <c r="Z1714">
        <v>2.8483649999999999E-2</v>
      </c>
      <c r="AA1714">
        <v>0.92429499999999998</v>
      </c>
      <c r="AB1714">
        <v>25</v>
      </c>
      <c r="AC1714">
        <v>-21.429399999999902</v>
      </c>
      <c r="AD1714">
        <v>-1.0200353099999999</v>
      </c>
      <c r="AE1714">
        <v>-7.0525999999999804</v>
      </c>
      <c r="AF1714">
        <v>8.6635354805039704</v>
      </c>
      <c r="AG1714">
        <v>-1.0200353099999999</v>
      </c>
      <c r="AH1714">
        <v>20.780445708514598</v>
      </c>
      <c r="AI1714">
        <v>92.594100232007904</v>
      </c>
      <c r="AJ1714">
        <v>67.3683508127328</v>
      </c>
      <c r="AK1714">
        <v>22.537174687616002</v>
      </c>
      <c r="AL1714">
        <v>80.407772026582407</v>
      </c>
      <c r="AM1714">
        <v>78.385536477419606</v>
      </c>
      <c r="AN1714">
        <v>1.0000000160187501</v>
      </c>
    </row>
    <row r="1715" spans="1:40" x14ac:dyDescent="0.25">
      <c r="A1715" t="str">
        <f>"20190304155628232"</f>
        <v>20190304155628232</v>
      </c>
      <c r="B1715" t="str">
        <f>"1551686188226037"</f>
        <v>1551686188226037</v>
      </c>
      <c r="C1715" t="s">
        <v>40</v>
      </c>
      <c r="D1715">
        <v>5.0267150000000003</v>
      </c>
      <c r="E1715">
        <v>0.55579659999999997</v>
      </c>
      <c r="F1715" t="s">
        <v>55</v>
      </c>
      <c r="G1715">
        <v>-218.63079999999999</v>
      </c>
      <c r="H1715">
        <v>8.0000390000000005E-2</v>
      </c>
      <c r="I1715">
        <v>278.89109999999999</v>
      </c>
      <c r="J1715">
        <v>-201.38990000000001</v>
      </c>
      <c r="K1715">
        <v>1.0999509999999999</v>
      </c>
      <c r="L1715">
        <v>285.24700000000001</v>
      </c>
      <c r="M1715">
        <v>-0.76597269999999995</v>
      </c>
      <c r="N1715">
        <v>-1.4934309999999999E-2</v>
      </c>
      <c r="O1715">
        <v>-0.64269980000000004</v>
      </c>
      <c r="P1715">
        <v>-0.86661460000000001</v>
      </c>
      <c r="Q1715">
        <v>0.15778429999999999</v>
      </c>
      <c r="R1715">
        <v>-0.47337469999999998</v>
      </c>
      <c r="S1715">
        <v>-2.9075470000000001</v>
      </c>
      <c r="T1715">
        <v>-0.17002919999999999</v>
      </c>
      <c r="U1715">
        <v>-1.0849610000000001</v>
      </c>
      <c r="V1715">
        <v>0.19865379999999999</v>
      </c>
      <c r="W1715">
        <v>0.16730400000000001</v>
      </c>
      <c r="X1715">
        <v>0.96568419999999999</v>
      </c>
      <c r="Y1715">
        <v>0.33342300000000002</v>
      </c>
      <c r="Z1715">
        <v>3.4749049999999997E-2</v>
      </c>
      <c r="AA1715">
        <v>0.94213670000000005</v>
      </c>
      <c r="AB1715">
        <v>25</v>
      </c>
      <c r="AC1715">
        <v>-17.2408999999999</v>
      </c>
      <c r="AD1715">
        <v>-1.01995061</v>
      </c>
      <c r="AE1715">
        <v>-6.3559000000000099</v>
      </c>
      <c r="AF1715">
        <v>6.1938856550810097</v>
      </c>
      <c r="AG1715">
        <v>-1.01995061</v>
      </c>
      <c r="AH1715">
        <v>17.239804403232601</v>
      </c>
      <c r="AI1715">
        <v>93.186828921528104</v>
      </c>
      <c r="AJ1715">
        <v>70.237744041302093</v>
      </c>
      <c r="AK1715">
        <v>18.347080820031699</v>
      </c>
      <c r="AL1715">
        <v>80.368894929534207</v>
      </c>
      <c r="AM1715">
        <v>78.375674599861696</v>
      </c>
      <c r="AN1715">
        <v>0.99999996740003905</v>
      </c>
    </row>
    <row r="1716" spans="1:40" x14ac:dyDescent="0.25">
      <c r="A1716" t="str">
        <f>"20190304155628255"</f>
        <v>20190304155628255</v>
      </c>
      <c r="B1716" t="str">
        <f>"1551686188246534"</f>
        <v>1551686188246534</v>
      </c>
      <c r="C1716" t="s">
        <v>40</v>
      </c>
      <c r="D1716">
        <v>5.0266010000000003</v>
      </c>
      <c r="E1716">
        <v>0.55381819999999904</v>
      </c>
      <c r="F1716" t="s">
        <v>55</v>
      </c>
      <c r="G1716">
        <v>-218.56399999999999</v>
      </c>
      <c r="H1716">
        <v>8.0000420000000003E-2</v>
      </c>
      <c r="I1716">
        <v>279.08429999999998</v>
      </c>
      <c r="J1716">
        <v>-201.59960000000001</v>
      </c>
      <c r="K1716">
        <v>1.0998730000000001</v>
      </c>
      <c r="L1716">
        <v>285.0933</v>
      </c>
      <c r="M1716">
        <v>-0.77577489999999905</v>
      </c>
      <c r="N1716">
        <v>-1.508293E-2</v>
      </c>
      <c r="O1716">
        <v>-0.63082959999999999</v>
      </c>
      <c r="P1716">
        <v>-0.87362299999999904</v>
      </c>
      <c r="Q1716">
        <v>0.15765409999999999</v>
      </c>
      <c r="R1716">
        <v>-0.46035690000000001</v>
      </c>
      <c r="S1716">
        <v>-2.9208219999999998</v>
      </c>
      <c r="T1716">
        <v>-0.17346439999999999</v>
      </c>
      <c r="U1716">
        <v>-1.0480959999999999</v>
      </c>
      <c r="V1716">
        <v>0.1982816</v>
      </c>
      <c r="W1716">
        <v>0.16728899999999999</v>
      </c>
      <c r="X1716">
        <v>0.96576329999999999</v>
      </c>
      <c r="Y1716">
        <v>0.3307736</v>
      </c>
      <c r="Z1716">
        <v>3.5087050000000002E-2</v>
      </c>
      <c r="AA1716">
        <v>0.9430577</v>
      </c>
      <c r="AB1716">
        <v>25</v>
      </c>
      <c r="AC1716">
        <v>-16.964400000000001</v>
      </c>
      <c r="AD1716">
        <v>-1.0198725799999999</v>
      </c>
      <c r="AE1716">
        <v>-6.0090000000000101</v>
      </c>
      <c r="AF1716">
        <v>6.0213644475095904</v>
      </c>
      <c r="AG1716">
        <v>-1.0198725799999999</v>
      </c>
      <c r="AH1716">
        <v>16.8988702668332</v>
      </c>
      <c r="AI1716">
        <v>93.253785935028802</v>
      </c>
      <c r="AJ1716">
        <v>70.388123159363502</v>
      </c>
      <c r="AK1716">
        <v>17.968549918800601</v>
      </c>
      <c r="AL1716">
        <v>80.369766745316696</v>
      </c>
      <c r="AM1716">
        <v>78.397787506319801</v>
      </c>
      <c r="AN1716">
        <v>0.99999997702322396</v>
      </c>
    </row>
    <row r="1717" spans="1:40" x14ac:dyDescent="0.25">
      <c r="A1717" t="str">
        <f>"20190304155628278"</f>
        <v>20190304155628278</v>
      </c>
      <c r="B1717" t="str">
        <f>"1551686188266066"</f>
        <v>1551686188266066</v>
      </c>
      <c r="C1717" t="s">
        <v>40</v>
      </c>
      <c r="D1717">
        <v>5.0357129999999897</v>
      </c>
      <c r="E1717">
        <v>0.55131549999999996</v>
      </c>
      <c r="F1717" t="s">
        <v>55</v>
      </c>
      <c r="G1717">
        <v>-218.07599999999999</v>
      </c>
      <c r="H1717">
        <v>8.0000559999999998E-2</v>
      </c>
      <c r="I1717">
        <v>279.36399999999998</v>
      </c>
      <c r="J1717">
        <v>-201.81270000000001</v>
      </c>
      <c r="K1717">
        <v>1.0997980000000001</v>
      </c>
      <c r="L1717">
        <v>284.94240000000002</v>
      </c>
      <c r="M1717">
        <v>-0.78554860000000004</v>
      </c>
      <c r="N1717">
        <v>-1.521721E-2</v>
      </c>
      <c r="O1717">
        <v>-0.61861299999999997</v>
      </c>
      <c r="P1717">
        <v>-0.88070669999999995</v>
      </c>
      <c r="Q1717">
        <v>0.1578986</v>
      </c>
      <c r="R1717">
        <v>-0.4465692</v>
      </c>
      <c r="S1717">
        <v>-2.9298549999999999</v>
      </c>
      <c r="T1717">
        <v>-0.1813555</v>
      </c>
      <c r="U1717">
        <v>-1.018799</v>
      </c>
      <c r="V1717">
        <v>0.19836329999999999</v>
      </c>
      <c r="W1717">
        <v>0.1676241</v>
      </c>
      <c r="X1717">
        <v>0.9656884</v>
      </c>
      <c r="Y1717">
        <v>0.32522970000000001</v>
      </c>
      <c r="Z1717">
        <v>3.6393330000000002E-2</v>
      </c>
      <c r="AA1717">
        <v>0.94493450000000001</v>
      </c>
      <c r="AB1717">
        <v>25</v>
      </c>
      <c r="AC1717">
        <v>-16.263299999999902</v>
      </c>
      <c r="AD1717">
        <v>-1.0197974400000001</v>
      </c>
      <c r="AE1717">
        <v>-5.5783999999999798</v>
      </c>
      <c r="AF1717">
        <v>5.6593316011808596</v>
      </c>
      <c r="AG1717">
        <v>-1.0197974400000001</v>
      </c>
      <c r="AH1717">
        <v>16.171468411890501</v>
      </c>
      <c r="AI1717">
        <v>93.406336403255906</v>
      </c>
      <c r="AJ1717">
        <v>70.712107530699299</v>
      </c>
      <c r="AK1717">
        <v>17.1634615269626</v>
      </c>
      <c r="AL1717">
        <v>80.350291785749206</v>
      </c>
      <c r="AM1717">
        <v>78.392260810582201</v>
      </c>
      <c r="AN1717">
        <v>0.99999996179112904</v>
      </c>
    </row>
    <row r="1718" spans="1:40" x14ac:dyDescent="0.25">
      <c r="A1718" t="str">
        <f>"20190304155628300"</f>
        <v>20190304155628300</v>
      </c>
      <c r="B1718" t="str">
        <f>"1551686188296309"</f>
        <v>1551686188296309</v>
      </c>
      <c r="C1718" t="s">
        <v>40</v>
      </c>
      <c r="D1718">
        <v>5.114363</v>
      </c>
      <c r="E1718">
        <v>0.54829519999999998</v>
      </c>
      <c r="F1718" t="s">
        <v>55</v>
      </c>
      <c r="G1718">
        <v>-218.02109999999999</v>
      </c>
      <c r="H1718">
        <v>8.0000569999999993E-2</v>
      </c>
      <c r="I1718">
        <v>279.47370000000001</v>
      </c>
      <c r="J1718">
        <v>-202.01509999999999</v>
      </c>
      <c r="K1718">
        <v>1.0997330000000001</v>
      </c>
      <c r="L1718">
        <v>284.80369999999999</v>
      </c>
      <c r="M1718">
        <v>-0.79464639999999997</v>
      </c>
      <c r="N1718">
        <v>-1.533091E-2</v>
      </c>
      <c r="O1718">
        <v>-0.60687919999999995</v>
      </c>
      <c r="P1718">
        <v>-0.88731280000000001</v>
      </c>
      <c r="Q1718">
        <v>0.15799739999999901</v>
      </c>
      <c r="R1718">
        <v>-0.43325920000000001</v>
      </c>
      <c r="S1718">
        <v>-2.9370120000000002</v>
      </c>
      <c r="T1718">
        <v>-0.18479129999999999</v>
      </c>
      <c r="U1718">
        <v>-0.99093629999999999</v>
      </c>
      <c r="V1718">
        <v>0.19858580000000001</v>
      </c>
      <c r="W1718">
        <v>0.16779430000000001</v>
      </c>
      <c r="X1718">
        <v>0.96561319999999995</v>
      </c>
      <c r="Y1718">
        <v>0.31989580000000001</v>
      </c>
      <c r="Z1718">
        <v>3.6621790000000001E-2</v>
      </c>
      <c r="AA1718">
        <v>0.94674469999999999</v>
      </c>
      <c r="AB1718">
        <v>25</v>
      </c>
      <c r="AC1718">
        <v>-16.006</v>
      </c>
      <c r="AD1718">
        <v>-1.0197324299999999</v>
      </c>
      <c r="AE1718">
        <v>-5.3299999999999796</v>
      </c>
      <c r="AF1718">
        <v>5.4589407644250496</v>
      </c>
      <c r="AG1718">
        <v>-1.0197324299999999</v>
      </c>
      <c r="AH1718">
        <v>15.8975638394661</v>
      </c>
      <c r="AI1718">
        <v>93.471703663937305</v>
      </c>
      <c r="AJ1718">
        <v>71.048439713289994</v>
      </c>
      <c r="AK1718">
        <v>16.839608799737402</v>
      </c>
      <c r="AL1718">
        <v>80.340400796411799</v>
      </c>
      <c r="AM1718">
        <v>78.378714221489702</v>
      </c>
      <c r="AN1718">
        <v>1.0000000495441801</v>
      </c>
    </row>
    <row r="1719" spans="1:40" x14ac:dyDescent="0.25">
      <c r="A1719" t="str">
        <f>"20190304155628326"</f>
        <v>20190304155628326</v>
      </c>
      <c r="B1719" t="str">
        <f>"1551686188316805"</f>
        <v>1551686188316805</v>
      </c>
      <c r="C1719" t="s">
        <v>40</v>
      </c>
      <c r="D1719">
        <v>5.0469780000000002</v>
      </c>
      <c r="E1719">
        <v>0.54697090000000004</v>
      </c>
      <c r="F1719" t="s">
        <v>55</v>
      </c>
      <c r="G1719">
        <v>-217.85339999999999</v>
      </c>
      <c r="H1719">
        <v>7.7554869999999998E-2</v>
      </c>
      <c r="I1719">
        <v>279.58879999999999</v>
      </c>
      <c r="J1719">
        <v>-202.2543</v>
      </c>
      <c r="K1719">
        <v>1.0996649999999999</v>
      </c>
      <c r="L1719">
        <v>284.64550000000003</v>
      </c>
      <c r="M1719">
        <v>-0.8051758</v>
      </c>
      <c r="N1719">
        <v>-1.545116E-2</v>
      </c>
      <c r="O1719">
        <v>-0.592835</v>
      </c>
      <c r="P1719">
        <v>-0.89470229999999995</v>
      </c>
      <c r="Q1719">
        <v>0.1585782</v>
      </c>
      <c r="R1719">
        <v>-0.41756589999999999</v>
      </c>
      <c r="S1719">
        <v>-2.9418489999999999</v>
      </c>
      <c r="T1719">
        <v>-0.18986169999999999</v>
      </c>
      <c r="U1719">
        <v>-0.96862789999999999</v>
      </c>
      <c r="V1719">
        <v>0.19862869999999999</v>
      </c>
      <c r="W1719">
        <v>0.1684524</v>
      </c>
      <c r="X1719">
        <v>0.96548970000000001</v>
      </c>
      <c r="Y1719">
        <v>0.31014320000000001</v>
      </c>
      <c r="Z1719">
        <v>3.69675E-2</v>
      </c>
      <c r="AA1719">
        <v>0.9499708</v>
      </c>
      <c r="AB1719">
        <v>25</v>
      </c>
      <c r="AC1719">
        <v>-15.5990999999999</v>
      </c>
      <c r="AD1719">
        <v>-1.02211013</v>
      </c>
      <c r="AE1719">
        <v>-5.0567000000000304</v>
      </c>
      <c r="AF1719">
        <v>5.1567431775372903</v>
      </c>
      <c r="AG1719">
        <v>-1.02211013</v>
      </c>
      <c r="AH1719">
        <v>15.4994461469852</v>
      </c>
      <c r="AI1719">
        <v>93.580480886332396</v>
      </c>
      <c r="AJ1719">
        <v>71.597458221347296</v>
      </c>
      <c r="AK1719">
        <v>16.3667205077933</v>
      </c>
      <c r="AL1719">
        <v>80.302149165284305</v>
      </c>
      <c r="AM1719">
        <v>78.374825643245302</v>
      </c>
      <c r="AN1719">
        <v>0.99999996616776898</v>
      </c>
    </row>
    <row r="1720" spans="1:40" x14ac:dyDescent="0.25">
      <c r="A1720" t="str">
        <f>"20190304155628349"</f>
        <v>20190304155628349</v>
      </c>
      <c r="B1720" t="str">
        <f>"1551686188336325"</f>
        <v>1551686188336325</v>
      </c>
      <c r="C1720" t="s">
        <v>40</v>
      </c>
      <c r="D1720">
        <v>5.1587500000000004</v>
      </c>
      <c r="E1720">
        <v>0.53344159999999996</v>
      </c>
      <c r="F1720" t="s">
        <v>55</v>
      </c>
      <c r="G1720">
        <v>-218.3306</v>
      </c>
      <c r="H1720">
        <v>5.8454369999999999E-2</v>
      </c>
      <c r="I1720">
        <v>279.60789999999997</v>
      </c>
      <c r="J1720">
        <v>-202.48060000000001</v>
      </c>
      <c r="K1720">
        <v>1.0996030000000001</v>
      </c>
      <c r="L1720">
        <v>284.50139999999999</v>
      </c>
      <c r="M1720">
        <v>-0.81490050000000003</v>
      </c>
      <c r="N1720">
        <v>-1.555307E-2</v>
      </c>
      <c r="O1720">
        <v>-0.57939219999999902</v>
      </c>
      <c r="P1720">
        <v>-0.90143430000000002</v>
      </c>
      <c r="Q1720">
        <v>0.15937970000000001</v>
      </c>
      <c r="R1720">
        <v>-0.40250970000000003</v>
      </c>
      <c r="S1720">
        <v>-2.9548800000000002</v>
      </c>
      <c r="T1720">
        <v>-0.1913782</v>
      </c>
      <c r="U1720">
        <v>-0.92593380000000003</v>
      </c>
      <c r="V1720">
        <v>0.19876360000000001</v>
      </c>
      <c r="W1720">
        <v>0.1693124</v>
      </c>
      <c r="X1720">
        <v>0.96531149999999999</v>
      </c>
      <c r="Y1720">
        <v>0.30805700000000003</v>
      </c>
      <c r="Z1720">
        <v>3.6709760000000001E-2</v>
      </c>
      <c r="AA1720">
        <v>0.95065940000000004</v>
      </c>
      <c r="AB1720">
        <v>25</v>
      </c>
      <c r="AC1720">
        <v>-15.8499999999999</v>
      </c>
      <c r="AD1720">
        <v>-1.0411486299999999</v>
      </c>
      <c r="AE1720">
        <v>-4.8935000000000102</v>
      </c>
      <c r="AF1720">
        <v>5.1758894637553796</v>
      </c>
      <c r="AG1720">
        <v>-1.0411486299999999</v>
      </c>
      <c r="AH1720">
        <v>15.6915191524959</v>
      </c>
      <c r="AI1720">
        <v>93.605532566753098</v>
      </c>
      <c r="AJ1720">
        <v>71.744722871178894</v>
      </c>
      <c r="AK1720">
        <v>16.555893075394899</v>
      </c>
      <c r="AL1720">
        <v>80.252156794801195</v>
      </c>
      <c r="AM1720">
        <v>78.365056529133398</v>
      </c>
      <c r="AN1720">
        <v>0.99999997475548397</v>
      </c>
    </row>
    <row r="1721" spans="1:40" x14ac:dyDescent="0.25">
      <c r="A1721" t="str">
        <f>"20190304155628368"</f>
        <v>20190304155628368</v>
      </c>
      <c r="B1721" t="str">
        <f>"1551686188356822"</f>
        <v>1551686188356822</v>
      </c>
      <c r="C1721" t="s">
        <v>40</v>
      </c>
      <c r="D1721">
        <v>4.9596309999999999</v>
      </c>
      <c r="E1721">
        <v>0.53527499999999995</v>
      </c>
      <c r="F1721" t="s">
        <v>55</v>
      </c>
      <c r="G1721">
        <v>-216.73050000000001</v>
      </c>
      <c r="H1721" s="1">
        <v>2.0448490000000002E-6</v>
      </c>
      <c r="I1721">
        <v>279.75979999999998</v>
      </c>
      <c r="J1721">
        <v>-202.67949999999999</v>
      </c>
      <c r="K1721">
        <v>1.0995509999999999</v>
      </c>
      <c r="L1721">
        <v>284.37950000000001</v>
      </c>
      <c r="M1721">
        <v>-0.82325879999999996</v>
      </c>
      <c r="N1721">
        <v>-1.5633930000000001E-2</v>
      </c>
      <c r="O1721">
        <v>-0.56745100000000004</v>
      </c>
      <c r="P1721">
        <v>-0.90716249999999998</v>
      </c>
      <c r="Q1721">
        <v>0.16084789999999999</v>
      </c>
      <c r="R1721">
        <v>-0.388824</v>
      </c>
      <c r="S1721">
        <v>-2.9323429999999999</v>
      </c>
      <c r="T1721">
        <v>-0.22627630000000001</v>
      </c>
      <c r="U1721">
        <v>-0.97573849999999995</v>
      </c>
      <c r="V1721">
        <v>0.1992188</v>
      </c>
      <c r="W1721">
        <v>0.170812299999999</v>
      </c>
      <c r="X1721">
        <v>0.96495339999999996</v>
      </c>
      <c r="Y1721">
        <v>0.27690949999999998</v>
      </c>
      <c r="Z1721">
        <v>4.294046E-2</v>
      </c>
      <c r="AA1721">
        <v>0.95993609999999896</v>
      </c>
      <c r="AB1721">
        <v>25</v>
      </c>
      <c r="AC1721">
        <v>-14.051</v>
      </c>
      <c r="AD1721">
        <v>-1.099548955151</v>
      </c>
      <c r="AE1721">
        <v>-4.6197000000000203</v>
      </c>
      <c r="AF1721">
        <v>4.14763361049308</v>
      </c>
      <c r="AG1721">
        <v>-1.099548955151</v>
      </c>
      <c r="AH1721">
        <v>14.1128043339786</v>
      </c>
      <c r="AI1721">
        <v>94.2749163520471</v>
      </c>
      <c r="AJ1721">
        <v>73.622384634442497</v>
      </c>
      <c r="AK1721">
        <v>14.750698920418399</v>
      </c>
      <c r="AL1721">
        <v>80.164948938157806</v>
      </c>
      <c r="AM1721">
        <v>78.334930753485494</v>
      </c>
      <c r="AN1721">
        <v>1.0000000181381401</v>
      </c>
    </row>
    <row r="1722" spans="1:40" x14ac:dyDescent="0.25">
      <c r="A1722" t="str">
        <f>"20190304155628390"</f>
        <v>20190304155628390</v>
      </c>
      <c r="B1722" t="str">
        <f>"1551686188386102"</f>
        <v>1551686188386102</v>
      </c>
      <c r="C1722" t="s">
        <v>40</v>
      </c>
      <c r="D1722">
        <v>5.0012489999999996</v>
      </c>
      <c r="E1722">
        <v>0.54401860000000002</v>
      </c>
      <c r="F1722" t="s">
        <v>55</v>
      </c>
      <c r="G1722">
        <v>-218.00229999999999</v>
      </c>
      <c r="H1722">
        <v>7.76552199999999E-3</v>
      </c>
      <c r="I1722">
        <v>279.61630000000002</v>
      </c>
      <c r="J1722">
        <v>-202.88669999999999</v>
      </c>
      <c r="K1722">
        <v>1.0994919999999999</v>
      </c>
      <c r="L1722">
        <v>284.25670000000002</v>
      </c>
      <c r="M1722">
        <v>-0.83178030000000003</v>
      </c>
      <c r="N1722">
        <v>-1.57108E-2</v>
      </c>
      <c r="O1722">
        <v>-0.55488280000000001</v>
      </c>
      <c r="P1722">
        <v>-0.91303179999999995</v>
      </c>
      <c r="Q1722">
        <v>0.1623088</v>
      </c>
      <c r="R1722">
        <v>-0.37420500000000001</v>
      </c>
      <c r="S1722">
        <v>-2.9510800000000001</v>
      </c>
      <c r="T1722">
        <v>-0.21027090000000001</v>
      </c>
      <c r="U1722">
        <v>-0.91735840000000002</v>
      </c>
      <c r="V1722">
        <v>0.19998740000000001</v>
      </c>
      <c r="W1722">
        <v>0.17229159999999999</v>
      </c>
      <c r="X1722">
        <v>0.96453129999999998</v>
      </c>
      <c r="Y1722">
        <v>0.28161079999999999</v>
      </c>
      <c r="Z1722">
        <v>3.8998030000000003E-2</v>
      </c>
      <c r="AA1722">
        <v>0.95873589999999997</v>
      </c>
      <c r="AB1722">
        <v>25</v>
      </c>
      <c r="AC1722">
        <v>-15.115600000000001</v>
      </c>
      <c r="AD1722">
        <v>-1.091726478</v>
      </c>
      <c r="AE1722">
        <v>-4.6403999999999996</v>
      </c>
      <c r="AF1722">
        <v>4.5066674014123604</v>
      </c>
      <c r="AG1722">
        <v>-1.091726478</v>
      </c>
      <c r="AH1722">
        <v>15.0777262509277</v>
      </c>
      <c r="AI1722">
        <v>93.968477303967603</v>
      </c>
      <c r="AJ1722">
        <v>73.358821343328799</v>
      </c>
      <c r="AK1722">
        <v>15.7746551996433</v>
      </c>
      <c r="AL1722">
        <v>80.078915589755098</v>
      </c>
      <c r="AM1722">
        <v>78.286183909941897</v>
      </c>
      <c r="AN1722">
        <v>0.99999999213450497</v>
      </c>
    </row>
    <row r="1723" spans="1:40" x14ac:dyDescent="0.25">
      <c r="A1723" t="str">
        <f>"20190304155628411"</f>
        <v>20190304155628411</v>
      </c>
      <c r="B1723" t="str">
        <f>"1551686188406597"</f>
        <v>1551686188406597</v>
      </c>
      <c r="C1723" t="s">
        <v>40</v>
      </c>
      <c r="D1723">
        <v>5.7198880000000001</v>
      </c>
      <c r="E1723">
        <v>0.53930199999999995</v>
      </c>
      <c r="F1723" t="s">
        <v>55</v>
      </c>
      <c r="G1723">
        <v>-223.30510000000001</v>
      </c>
      <c r="H1723">
        <v>8.0000489999999994E-2</v>
      </c>
      <c r="I1723">
        <v>278.74020000000002</v>
      </c>
      <c r="J1723">
        <v>-203.09569999999999</v>
      </c>
      <c r="K1723">
        <v>1.0994349999999999</v>
      </c>
      <c r="L1723">
        <v>284.13749999999999</v>
      </c>
      <c r="M1723">
        <v>-0.84016880000000005</v>
      </c>
      <c r="N1723">
        <v>-1.578106E-2</v>
      </c>
      <c r="O1723">
        <v>-0.54209529999999995</v>
      </c>
      <c r="P1723">
        <v>-0.91900720000000002</v>
      </c>
      <c r="Q1723">
        <v>0.16173080000000001</v>
      </c>
      <c r="R1723">
        <v>-0.35954009999999997</v>
      </c>
      <c r="S1723">
        <v>-2.9820250000000001</v>
      </c>
      <c r="T1723">
        <v>-0.14889279999999999</v>
      </c>
      <c r="U1723">
        <v>-0.80566409999999999</v>
      </c>
      <c r="V1723">
        <v>0.20074500000000001</v>
      </c>
      <c r="W1723">
        <v>0.17173169999999999</v>
      </c>
      <c r="X1723">
        <v>0.96447380000000005</v>
      </c>
      <c r="Y1723">
        <v>0.30356030000000001</v>
      </c>
      <c r="Z1723">
        <v>2.5915959999999998E-2</v>
      </c>
      <c r="AA1723">
        <v>0.95245979999999997</v>
      </c>
      <c r="AB1723">
        <v>25</v>
      </c>
      <c r="AC1723">
        <v>-20.209399999999999</v>
      </c>
      <c r="AD1723">
        <v>-1.01943451</v>
      </c>
      <c r="AE1723">
        <v>-5.3972999999999702</v>
      </c>
      <c r="AF1723">
        <v>6.4063614201271699</v>
      </c>
      <c r="AG1723">
        <v>-1.01943451</v>
      </c>
      <c r="AH1723">
        <v>19.860466189656801</v>
      </c>
      <c r="AI1723">
        <v>92.796745499791896</v>
      </c>
      <c r="AJ1723">
        <v>72.121932035460802</v>
      </c>
      <c r="AK1723">
        <v>20.893033064540301</v>
      </c>
      <c r="AL1723">
        <v>80.111481177714296</v>
      </c>
      <c r="AM1723">
        <v>78.242360719206005</v>
      </c>
      <c r="AN1723">
        <v>1.0000000213481599</v>
      </c>
    </row>
    <row r="1724" spans="1:40" x14ac:dyDescent="0.25">
      <c r="A1724" t="str">
        <f>"20190304155628433"</f>
        <v>20190304155628433</v>
      </c>
      <c r="B1724" t="str">
        <f>"1551686188426453"</f>
        <v>1551686188426453</v>
      </c>
      <c r="C1724" t="s">
        <v>40</v>
      </c>
      <c r="D1724">
        <v>6.0530390000000001</v>
      </c>
      <c r="E1724">
        <v>0.54731730000000001</v>
      </c>
      <c r="F1724" t="s">
        <v>55</v>
      </c>
      <c r="G1724">
        <v>-221.36109999999999</v>
      </c>
      <c r="H1724">
        <v>8.0001059999999999E-2</v>
      </c>
      <c r="I1724">
        <v>279.2826</v>
      </c>
      <c r="J1724">
        <v>-203.3186</v>
      </c>
      <c r="K1724">
        <v>1.09938799999999</v>
      </c>
      <c r="L1724">
        <v>284.01530000000002</v>
      </c>
      <c r="M1724">
        <v>-0.84889349999999997</v>
      </c>
      <c r="N1724">
        <v>-1.58487E-2</v>
      </c>
      <c r="O1724">
        <v>-0.52832650000000003</v>
      </c>
      <c r="P1724">
        <v>-0.92501429999999996</v>
      </c>
      <c r="Q1724">
        <v>0.16236729999999899</v>
      </c>
      <c r="R1724">
        <v>-0.34349069999999998</v>
      </c>
      <c r="S1724">
        <v>-2.983444</v>
      </c>
      <c r="T1724">
        <v>-0.16651279999999999</v>
      </c>
      <c r="U1724">
        <v>-0.79299929999999996</v>
      </c>
      <c r="V1724">
        <v>0.20179440000000001</v>
      </c>
      <c r="W1724">
        <v>0.17237379999999999</v>
      </c>
      <c r="X1724">
        <v>0.9641402</v>
      </c>
      <c r="Y1724">
        <v>0.29172920000000002</v>
      </c>
      <c r="Z1724">
        <v>2.893596E-2</v>
      </c>
      <c r="AA1724">
        <v>0.9560632</v>
      </c>
      <c r="AB1724">
        <v>25</v>
      </c>
      <c r="AC1724">
        <v>-18.042499999999901</v>
      </c>
      <c r="AD1724">
        <v>-1.01938693999999</v>
      </c>
      <c r="AE1724">
        <v>-4.7327000000000199</v>
      </c>
      <c r="AF1724">
        <v>5.4990408928273196</v>
      </c>
      <c r="AG1724">
        <v>-1.01938693999999</v>
      </c>
      <c r="AH1724">
        <v>17.765747357108701</v>
      </c>
      <c r="AI1724">
        <v>93.137446812628497</v>
      </c>
      <c r="AJ1724">
        <v>72.801108280776802</v>
      </c>
      <c r="AK1724">
        <v>18.625261867448899</v>
      </c>
      <c r="AL1724">
        <v>80.074134583018903</v>
      </c>
      <c r="AM1724">
        <v>78.178647503612595</v>
      </c>
      <c r="AN1724">
        <v>1.00000001602691</v>
      </c>
    </row>
    <row r="1725" spans="1:40" x14ac:dyDescent="0.25">
      <c r="A1725" t="str">
        <f>"20190304155628590"</f>
        <v>20190304155628590</v>
      </c>
      <c r="B1725" t="str">
        <f>"1551686188586516"</f>
        <v>1551686188586516</v>
      </c>
      <c r="C1725" t="s">
        <v>40</v>
      </c>
      <c r="D1725">
        <v>5.2114419999999999</v>
      </c>
      <c r="E1725">
        <v>0.63257640000000004</v>
      </c>
      <c r="F1725" t="s">
        <v>55</v>
      </c>
      <c r="G1725">
        <v>-227.67099999999999</v>
      </c>
      <c r="H1725">
        <v>8.0000680000000005E-2</v>
      </c>
      <c r="I1725">
        <v>278.5197</v>
      </c>
      <c r="J1725">
        <v>-204.91759999999999</v>
      </c>
      <c r="K1725">
        <v>1.0994159999999999</v>
      </c>
      <c r="L1725">
        <v>283.27190000000002</v>
      </c>
      <c r="M1725">
        <v>-0.9040842</v>
      </c>
      <c r="N1725">
        <v>-1.6124019999999999E-2</v>
      </c>
      <c r="O1725">
        <v>-0.4270506</v>
      </c>
      <c r="P1725">
        <v>-0.95520689999999997</v>
      </c>
      <c r="Q1725">
        <v>0.17019189999999901</v>
      </c>
      <c r="R1725">
        <v>-0.2421055</v>
      </c>
      <c r="S1725">
        <v>-3.012848</v>
      </c>
      <c r="T1725">
        <v>-0.12611729999999999</v>
      </c>
      <c r="U1725">
        <v>-0.67990109999999904</v>
      </c>
      <c r="V1725">
        <v>0.1939476</v>
      </c>
      <c r="W1725">
        <v>0.1806574</v>
      </c>
      <c r="X1725">
        <v>0.96423409999999998</v>
      </c>
      <c r="Y1725">
        <v>0.2172277</v>
      </c>
      <c r="Z1725">
        <v>1.620599E-2</v>
      </c>
      <c r="AA1725">
        <v>0.97598640000000003</v>
      </c>
      <c r="AB1725">
        <v>24</v>
      </c>
      <c r="AC1725">
        <v>-22.753399999999999</v>
      </c>
      <c r="AD1725">
        <v>-1.01941532</v>
      </c>
      <c r="AE1725">
        <v>-4.75220000000001</v>
      </c>
      <c r="AF1725">
        <v>5.4107607581461998</v>
      </c>
      <c r="AG1725">
        <v>-1.01941532</v>
      </c>
      <c r="AH1725">
        <v>22.559961220829699</v>
      </c>
      <c r="AI1725">
        <v>92.516003806650403</v>
      </c>
      <c r="AJ1725">
        <v>76.512983929571007</v>
      </c>
      <c r="AK1725">
        <v>23.2221314668117</v>
      </c>
      <c r="AL1725">
        <v>79.591947052057094</v>
      </c>
      <c r="AM1725">
        <v>78.627187628045306</v>
      </c>
      <c r="AN1725">
        <v>1.00000008366166</v>
      </c>
    </row>
    <row r="1726" spans="1:40" x14ac:dyDescent="0.25">
      <c r="A1726" t="str">
        <f>"20190304155628611"</f>
        <v>20190304155628611</v>
      </c>
      <c r="B1726" t="str">
        <f>"1551686188606036"</f>
        <v>1551686188606036</v>
      </c>
      <c r="C1726" t="s">
        <v>40</v>
      </c>
      <c r="D1726">
        <v>4.5912439999999997</v>
      </c>
      <c r="E1726">
        <v>0.63608180000000003</v>
      </c>
      <c r="F1726" t="s">
        <v>55</v>
      </c>
      <c r="G1726">
        <v>-241.94399999999999</v>
      </c>
      <c r="H1726" s="1">
        <v>-5.0228219999999996E-7</v>
      </c>
      <c r="I1726">
        <v>286.75990000000002</v>
      </c>
      <c r="J1726">
        <v>-205.13849999999999</v>
      </c>
      <c r="K1726">
        <v>1.0994600000000001</v>
      </c>
      <c r="L1726">
        <v>283.18669999999997</v>
      </c>
      <c r="M1726">
        <v>-0.91063709999999998</v>
      </c>
      <c r="N1726">
        <v>-1.6137080000000002E-2</v>
      </c>
      <c r="O1726">
        <v>-0.41289179999999998</v>
      </c>
      <c r="P1726">
        <v>-0.95818499999999995</v>
      </c>
      <c r="Q1726">
        <v>0.17159559999999999</v>
      </c>
      <c r="R1726">
        <v>-0.22899069999999999</v>
      </c>
      <c r="S1726">
        <v>-3.2350310000000002</v>
      </c>
      <c r="T1726">
        <v>-9.605706E-2</v>
      </c>
      <c r="U1726">
        <v>0.30474849999999998</v>
      </c>
      <c r="V1726">
        <v>0.19203120000000001</v>
      </c>
      <c r="W1726">
        <v>0.18214340000000001</v>
      </c>
      <c r="X1726">
        <v>0.96433800000000003</v>
      </c>
      <c r="Y1726">
        <v>0.49618180000000001</v>
      </c>
      <c r="Z1726">
        <v>1.6595660000000002E-2</v>
      </c>
      <c r="AA1726">
        <v>0.86806000000000005</v>
      </c>
      <c r="AB1726">
        <v>24</v>
      </c>
      <c r="AC1726">
        <v>-36.805500000000002</v>
      </c>
      <c r="AD1726">
        <v>-1.0994605022821999</v>
      </c>
      <c r="AE1726">
        <v>3.5732000000000399</v>
      </c>
      <c r="AF1726">
        <v>18.4366823692719</v>
      </c>
      <c r="AG1726">
        <v>-1.0994605022821999</v>
      </c>
      <c r="AH1726">
        <v>32.016978417175203</v>
      </c>
      <c r="AI1726">
        <v>91.704543462870703</v>
      </c>
      <c r="AJ1726">
        <v>60.0649071862548</v>
      </c>
      <c r="AK1726">
        <v>36.962237177251097</v>
      </c>
      <c r="AL1726">
        <v>79.5053681320816</v>
      </c>
      <c r="AM1726">
        <v>78.737858554797796</v>
      </c>
      <c r="AN1726">
        <v>0.99999998909049903</v>
      </c>
    </row>
    <row r="1727" spans="1:40" x14ac:dyDescent="0.25">
      <c r="A1727" t="str">
        <f>"20190304155628635"</f>
        <v>20190304155628635</v>
      </c>
      <c r="B1727" t="str">
        <f>"1551686188626532"</f>
        <v>1551686188626532</v>
      </c>
      <c r="C1727" t="s">
        <v>40</v>
      </c>
      <c r="D1727">
        <v>4.5731010000000003</v>
      </c>
      <c r="E1727">
        <v>0.64133229999999997</v>
      </c>
      <c r="F1727" t="s">
        <v>59</v>
      </c>
      <c r="G1727">
        <v>-366.47570000000002</v>
      </c>
      <c r="H1727">
        <v>0.89782499999999998</v>
      </c>
      <c r="I1727">
        <v>301.88839999999999</v>
      </c>
      <c r="J1727">
        <v>-205.3853</v>
      </c>
      <c r="K1727">
        <v>1.0995140000000001</v>
      </c>
      <c r="L1727">
        <v>283.09629999999999</v>
      </c>
      <c r="M1727">
        <v>-0.91764869999999998</v>
      </c>
      <c r="N1727">
        <v>-1.614575E-2</v>
      </c>
      <c r="O1727">
        <v>-0.39706469999999999</v>
      </c>
      <c r="P1727">
        <v>-0.96141710000000002</v>
      </c>
      <c r="Q1727">
        <v>0.17174329999999999</v>
      </c>
      <c r="R1727">
        <v>-0.2148986</v>
      </c>
      <c r="S1727">
        <v>-3.2208709999999998</v>
      </c>
      <c r="T1727">
        <v>-4.0237900000000002E-3</v>
      </c>
      <c r="U1727">
        <v>0.37335210000000002</v>
      </c>
      <c r="V1727">
        <v>0.1894585</v>
      </c>
      <c r="W1727">
        <v>0.18239749999999999</v>
      </c>
      <c r="X1727">
        <v>0.96479870000000001</v>
      </c>
      <c r="Y1727">
        <v>0.50010500000000002</v>
      </c>
      <c r="Z1727">
        <v>-1.6415469999999999E-3</v>
      </c>
      <c r="AA1727">
        <v>0.86596319999999904</v>
      </c>
      <c r="AB1727">
        <v>24</v>
      </c>
      <c r="AC1727">
        <v>-161.09039999999999</v>
      </c>
      <c r="AD1727">
        <v>-0.20168899999999901</v>
      </c>
      <c r="AE1727">
        <v>18.792100000000001</v>
      </c>
      <c r="AF1727">
        <v>81.218310757319799</v>
      </c>
      <c r="AG1727">
        <v>-0.20168899999999901</v>
      </c>
      <c r="AH1727">
        <v>140.380784424296</v>
      </c>
      <c r="AI1727">
        <v>90.071252565160805</v>
      </c>
      <c r="AJ1727">
        <v>59.948163933964103</v>
      </c>
      <c r="AK1727">
        <v>162.18267267592401</v>
      </c>
      <c r="AL1727">
        <v>79.490560834721705</v>
      </c>
      <c r="AM1727">
        <v>78.890134724926298</v>
      </c>
      <c r="AN1727">
        <v>0.99999995137509301</v>
      </c>
    </row>
    <row r="1728" spans="1:40" x14ac:dyDescent="0.25">
      <c r="A1728" t="str">
        <f>"20190304155628657"</f>
        <v>20190304155628657</v>
      </c>
      <c r="B1728" t="str">
        <f>"1551686188647029"</f>
        <v>1551686188647029</v>
      </c>
      <c r="C1728" t="s">
        <v>40</v>
      </c>
      <c r="D1728">
        <v>4.5504280000000001</v>
      </c>
      <c r="E1728">
        <v>0.63918769999999903</v>
      </c>
      <c r="F1728" t="s">
        <v>60</v>
      </c>
      <c r="G1728">
        <v>-440.20049999999998</v>
      </c>
      <c r="H1728">
        <v>7.8186239999999998</v>
      </c>
      <c r="I1728">
        <v>316.70280000000002</v>
      </c>
      <c r="J1728">
        <v>-205.62200000000001</v>
      </c>
      <c r="K1728">
        <v>1.099577</v>
      </c>
      <c r="L1728">
        <v>283.01400000000001</v>
      </c>
      <c r="M1728">
        <v>-0.92406710000000003</v>
      </c>
      <c r="N1728">
        <v>-1.6149119999999999E-2</v>
      </c>
      <c r="O1728">
        <v>-0.38188929999999999</v>
      </c>
      <c r="P1728">
        <v>-0.96415119999999999</v>
      </c>
      <c r="Q1728">
        <v>0.1714319</v>
      </c>
      <c r="R1728">
        <v>-0.202544</v>
      </c>
      <c r="S1728">
        <v>-3.2065890000000001</v>
      </c>
      <c r="T1728">
        <v>9.1754909999999995E-2</v>
      </c>
      <c r="U1728">
        <v>0.45892329999999998</v>
      </c>
      <c r="V1728">
        <v>0.18591840000000001</v>
      </c>
      <c r="W1728">
        <v>0.18221889999999999</v>
      </c>
      <c r="X1728">
        <v>0.96552090000000002</v>
      </c>
      <c r="Y1728">
        <v>0.50855740000000005</v>
      </c>
      <c r="Z1728">
        <v>-2.005438E-2</v>
      </c>
      <c r="AA1728">
        <v>0.86079450000000002</v>
      </c>
      <c r="AB1728">
        <v>24</v>
      </c>
      <c r="AC1728">
        <v>-234.57849999999999</v>
      </c>
      <c r="AD1728">
        <v>6.7190469999999998</v>
      </c>
      <c r="AE1728">
        <v>33.688800000000001</v>
      </c>
      <c r="AF1728">
        <v>120.63249045349799</v>
      </c>
      <c r="AG1728">
        <v>6.7190469999999998</v>
      </c>
      <c r="AH1728">
        <v>203.76365653180599</v>
      </c>
      <c r="AI1728">
        <v>88.374670384939506</v>
      </c>
      <c r="AJ1728">
        <v>59.373549937265402</v>
      </c>
      <c r="AK1728">
        <v>236.890208891827</v>
      </c>
      <c r="AL1728">
        <v>79.500968724185299</v>
      </c>
      <c r="AM1728">
        <v>79.100664851210198</v>
      </c>
      <c r="AN1728">
        <v>0.99999999365629</v>
      </c>
    </row>
    <row r="1729" spans="1:40" x14ac:dyDescent="0.25">
      <c r="A1729" t="str">
        <f>"20190304155628681"</f>
        <v>20190304155628681</v>
      </c>
      <c r="B1729" t="str">
        <f>"1551686188676309"</f>
        <v>1551686188676309</v>
      </c>
      <c r="C1729" t="s">
        <v>40</v>
      </c>
      <c r="D1729">
        <v>4.5006589999999997</v>
      </c>
      <c r="E1729">
        <v>0.6403896</v>
      </c>
      <c r="F1729" t="s">
        <v>60</v>
      </c>
      <c r="G1729">
        <v>-439.93630000000002</v>
      </c>
      <c r="H1729">
        <v>7.6079499999999998</v>
      </c>
      <c r="I1729">
        <v>318.46140000000003</v>
      </c>
      <c r="J1729">
        <v>-205.8663</v>
      </c>
      <c r="K1729">
        <v>1.099647</v>
      </c>
      <c r="L1729">
        <v>282.93340000000001</v>
      </c>
      <c r="M1729">
        <v>-0.93037530000000002</v>
      </c>
      <c r="N1729">
        <v>-1.614705E-2</v>
      </c>
      <c r="O1729">
        <v>-0.366253</v>
      </c>
      <c r="P1729">
        <v>-0.96650170000000002</v>
      </c>
      <c r="Q1729">
        <v>0.17221789999999901</v>
      </c>
      <c r="R1729">
        <v>-0.19030520000000001</v>
      </c>
      <c r="S1729">
        <v>-3.1973720000000001</v>
      </c>
      <c r="T1729">
        <v>8.881116E-2</v>
      </c>
      <c r="U1729">
        <v>0.48370360000000001</v>
      </c>
      <c r="V1729">
        <v>0.1818033</v>
      </c>
      <c r="W1729">
        <v>0.18315129999999999</v>
      </c>
      <c r="X1729">
        <v>0.96612790000000004</v>
      </c>
      <c r="Y1729">
        <v>0.50093869999999996</v>
      </c>
      <c r="Z1729">
        <v>-1.879546E-2</v>
      </c>
      <c r="AA1729">
        <v>0.86527869999999996</v>
      </c>
      <c r="AB1729">
        <v>24</v>
      </c>
      <c r="AC1729">
        <v>-234.07</v>
      </c>
      <c r="AD1729">
        <v>6.5083029999999997</v>
      </c>
      <c r="AE1729">
        <v>35.527999999999999</v>
      </c>
      <c r="AF1729">
        <v>118.708981412386</v>
      </c>
      <c r="AG1729">
        <v>6.5083029999999997</v>
      </c>
      <c r="AH1729">
        <v>204.63274746218801</v>
      </c>
      <c r="AI1729">
        <v>88.424141405146997</v>
      </c>
      <c r="AJ1729">
        <v>59.881660315660298</v>
      </c>
      <c r="AK1729">
        <v>236.66166062509899</v>
      </c>
      <c r="AL1729">
        <v>79.446631567573803</v>
      </c>
      <c r="AM1729">
        <v>79.342863123089998</v>
      </c>
      <c r="AN1729">
        <v>0.99999997887049397</v>
      </c>
    </row>
    <row r="1730" spans="1:40" x14ac:dyDescent="0.25">
      <c r="A1730" t="str">
        <f>"20190304155628702"</f>
        <v>20190304155628702</v>
      </c>
      <c r="B1730" t="str">
        <f>"1551686188696827"</f>
        <v>1551686188696827</v>
      </c>
      <c r="C1730" t="s">
        <v>40</v>
      </c>
      <c r="D1730">
        <v>5.0434070000000002</v>
      </c>
      <c r="E1730">
        <v>0.63398599999999905</v>
      </c>
      <c r="F1730" t="s">
        <v>61</v>
      </c>
      <c r="G1730">
        <v>-385.16579999999999</v>
      </c>
      <c r="H1730">
        <v>9.0818879999999993</v>
      </c>
      <c r="I1730">
        <v>312.95069999999998</v>
      </c>
      <c r="J1730">
        <v>-206.09559999999999</v>
      </c>
      <c r="K1730">
        <v>1.0997319999999999</v>
      </c>
      <c r="L1730">
        <v>282.86189999999999</v>
      </c>
      <c r="M1730">
        <v>-0.93599900000000003</v>
      </c>
      <c r="N1730">
        <v>-1.613877E-2</v>
      </c>
      <c r="O1730">
        <v>-0.35163270000000002</v>
      </c>
      <c r="P1730">
        <v>-0.96872230000000004</v>
      </c>
      <c r="Q1730">
        <v>0.1730583</v>
      </c>
      <c r="R1730">
        <v>-0.1778431</v>
      </c>
      <c r="S1730">
        <v>-3.1836549999999999</v>
      </c>
      <c r="T1730">
        <v>0.14173559999999999</v>
      </c>
      <c r="U1730">
        <v>0.5329895</v>
      </c>
      <c r="V1730">
        <v>0.17903379999999999</v>
      </c>
      <c r="W1730">
        <v>0.18409629999999999</v>
      </c>
      <c r="X1730">
        <v>0.96646549999999998</v>
      </c>
      <c r="Y1730">
        <v>0.50048230000000005</v>
      </c>
      <c r="Z1730">
        <v>-2.8072199999999999E-2</v>
      </c>
      <c r="AA1730">
        <v>0.86529149999999999</v>
      </c>
      <c r="AB1730">
        <v>24</v>
      </c>
      <c r="AC1730">
        <v>-179.0702</v>
      </c>
      <c r="AD1730">
        <v>7.9821559999999998</v>
      </c>
      <c r="AE1730">
        <v>30.0887999999999</v>
      </c>
      <c r="AF1730">
        <v>90.966103315220906</v>
      </c>
      <c r="AG1730">
        <v>7.9821559999999998</v>
      </c>
      <c r="AH1730">
        <v>156.74686362001</v>
      </c>
      <c r="AI1730">
        <v>87.478078814490104</v>
      </c>
      <c r="AJ1730">
        <v>59.871793690383299</v>
      </c>
      <c r="AK1730">
        <v>181.40597019247701</v>
      </c>
      <c r="AL1730">
        <v>79.391551313557102</v>
      </c>
      <c r="AM1730">
        <v>79.505158022003101</v>
      </c>
      <c r="AN1730">
        <v>1.0000000559531801</v>
      </c>
    </row>
    <row r="1731" spans="1:40" x14ac:dyDescent="0.25">
      <c r="A1731" t="str">
        <f>"20190304155628723"</f>
        <v>20190304155628723</v>
      </c>
      <c r="B1731" t="str">
        <f>"1551686188716326"</f>
        <v>1551686188716326</v>
      </c>
      <c r="C1731" t="s">
        <v>40</v>
      </c>
      <c r="D1731">
        <v>4.950901</v>
      </c>
      <c r="E1731">
        <v>0.62809440000000005</v>
      </c>
      <c r="F1731" t="s">
        <v>62</v>
      </c>
      <c r="G1731">
        <v>-459.875</v>
      </c>
      <c r="H1731">
        <v>9.1144599999999993</v>
      </c>
      <c r="I1731">
        <v>324.7473</v>
      </c>
      <c r="J1731">
        <v>-206.32149999999999</v>
      </c>
      <c r="K1731">
        <v>1.099842</v>
      </c>
      <c r="L1731">
        <v>282.79520000000002</v>
      </c>
      <c r="M1731">
        <v>-0.94125530000000002</v>
      </c>
      <c r="N1731">
        <v>-1.612355E-2</v>
      </c>
      <c r="O1731">
        <v>-0.33731109999999997</v>
      </c>
      <c r="P1731">
        <v>-0.97045590000000004</v>
      </c>
      <c r="Q1731">
        <v>0.17378750000000001</v>
      </c>
      <c r="R1731">
        <v>-0.16737179999999999</v>
      </c>
      <c r="S1731">
        <v>-3.1751559999999999</v>
      </c>
      <c r="T1731">
        <v>0.10027610000000001</v>
      </c>
      <c r="U1731">
        <v>0.52404790000000001</v>
      </c>
      <c r="V1731">
        <v>0.17464060000000001</v>
      </c>
      <c r="W1731">
        <v>0.1849769</v>
      </c>
      <c r="X1731">
        <v>0.96710090000000004</v>
      </c>
      <c r="Y1731">
        <v>0.48565960000000002</v>
      </c>
      <c r="Z1731">
        <v>-1.9611E-2</v>
      </c>
      <c r="AA1731">
        <v>0.87392800000000004</v>
      </c>
      <c r="AB1731">
        <v>24</v>
      </c>
      <c r="AC1731">
        <v>-253.55350000000001</v>
      </c>
      <c r="AD1731">
        <v>8.0146179999999898</v>
      </c>
      <c r="AE1731">
        <v>41.952099999999902</v>
      </c>
      <c r="AF1731">
        <v>124.908805678945</v>
      </c>
      <c r="AG1731">
        <v>8.0146179999999898</v>
      </c>
      <c r="AH1731">
        <v>224.31866904171</v>
      </c>
      <c r="AI1731">
        <v>88.212062560305597</v>
      </c>
      <c r="AJ1731">
        <v>60.889346581199398</v>
      </c>
      <c r="AK1731">
        <v>256.87605789265598</v>
      </c>
      <c r="AL1731">
        <v>79.340214074484606</v>
      </c>
      <c r="AM1731">
        <v>79.763753717722494</v>
      </c>
      <c r="AN1731">
        <v>0.99999997174138899</v>
      </c>
    </row>
    <row r="1732" spans="1:40" x14ac:dyDescent="0.25">
      <c r="A1732" t="str">
        <f>"20190304155628747"</f>
        <v>20190304155628747</v>
      </c>
      <c r="B1732" t="str">
        <f>"1551686188736821"</f>
        <v>1551686188736821</v>
      </c>
      <c r="C1732" t="s">
        <v>40</v>
      </c>
      <c r="D1732">
        <v>4.6549569999999996</v>
      </c>
      <c r="E1732">
        <v>0.58473719999999996</v>
      </c>
      <c r="F1732" t="s">
        <v>63</v>
      </c>
      <c r="G1732">
        <v>-454.08600000000001</v>
      </c>
      <c r="H1732">
        <v>6.2888979999999997</v>
      </c>
      <c r="I1732">
        <v>322.81240000000003</v>
      </c>
      <c r="J1732">
        <v>-206.5752</v>
      </c>
      <c r="K1732">
        <v>1.0999920000000001</v>
      </c>
      <c r="L1732">
        <v>282.7244</v>
      </c>
      <c r="M1732">
        <v>-0.94682880000000003</v>
      </c>
      <c r="N1732">
        <v>-1.6098080000000001E-2</v>
      </c>
      <c r="O1732">
        <v>-0.32133509999999998</v>
      </c>
      <c r="P1732">
        <v>-0.97229310000000002</v>
      </c>
      <c r="Q1732">
        <v>0.17408219999999999</v>
      </c>
      <c r="R1732">
        <v>-0.15601799999999999</v>
      </c>
      <c r="S1732">
        <v>-3.1677089999999999</v>
      </c>
      <c r="T1732">
        <v>6.6342830000000005E-2</v>
      </c>
      <c r="U1732">
        <v>0.51162719999999995</v>
      </c>
      <c r="V1732">
        <v>0.16949029999999901</v>
      </c>
      <c r="W1732">
        <v>0.18544869999999999</v>
      </c>
      <c r="X1732">
        <v>0.96792659999999997</v>
      </c>
      <c r="Y1732">
        <v>0.4680163</v>
      </c>
      <c r="Z1732">
        <v>-1.289146E-2</v>
      </c>
      <c r="AA1732">
        <v>0.88362580000000002</v>
      </c>
      <c r="AB1732">
        <v>24</v>
      </c>
      <c r="AC1732">
        <v>-247.51079999999999</v>
      </c>
      <c r="AD1732">
        <v>5.1889059999999896</v>
      </c>
      <c r="AE1732">
        <v>40.088000000000001</v>
      </c>
      <c r="AF1732">
        <v>117.45529464925301</v>
      </c>
      <c r="AG1732">
        <v>5.1889059999999896</v>
      </c>
      <c r="AH1732">
        <v>221.40253544612199</v>
      </c>
      <c r="AI1732">
        <v>88.813943699331205</v>
      </c>
      <c r="AJ1732">
        <v>62.053797118114602</v>
      </c>
      <c r="AK1732">
        <v>250.682575558396</v>
      </c>
      <c r="AL1732">
        <v>79.312706757540496</v>
      </c>
      <c r="AM1732">
        <v>80.067830427805703</v>
      </c>
      <c r="AN1732">
        <v>1.00000004255666</v>
      </c>
    </row>
    <row r="1733" spans="1:40" x14ac:dyDescent="0.25">
      <c r="A1733" t="str">
        <f>"20190304155628770"</f>
        <v>20190304155628770</v>
      </c>
      <c r="B1733" t="str">
        <f>"1551686188767076"</f>
        <v>1551686188767076</v>
      </c>
      <c r="C1733" t="s">
        <v>40</v>
      </c>
      <c r="D1733">
        <v>4.735563</v>
      </c>
      <c r="E1733">
        <v>0.59002880000000002</v>
      </c>
      <c r="F1733" t="s">
        <v>55</v>
      </c>
      <c r="G1733">
        <v>-236.6439</v>
      </c>
      <c r="H1733" s="1">
        <v>1.9940790000000002E-6</v>
      </c>
      <c r="I1733">
        <v>284.72329999999999</v>
      </c>
      <c r="J1733">
        <v>-206.81569999999999</v>
      </c>
      <c r="K1733">
        <v>1.1001540000000001</v>
      </c>
      <c r="L1733">
        <v>282.66129999999998</v>
      </c>
      <c r="M1733">
        <v>-0.95178249999999998</v>
      </c>
      <c r="N1733">
        <v>-1.6065599999999999E-2</v>
      </c>
      <c r="O1733">
        <v>-0.30635279999999998</v>
      </c>
      <c r="P1733">
        <v>-0.97391689999999997</v>
      </c>
      <c r="Q1733">
        <v>0.17409649999999999</v>
      </c>
      <c r="R1733">
        <v>-0.14552209999999999</v>
      </c>
      <c r="S1733">
        <v>-3.1395420000000001</v>
      </c>
      <c r="T1733">
        <v>-0.1148527</v>
      </c>
      <c r="U1733">
        <v>0.2087097</v>
      </c>
      <c r="V1733">
        <v>0.16456770000000001</v>
      </c>
      <c r="W1733">
        <v>0.18562960000000001</v>
      </c>
      <c r="X1733">
        <v>0.96874099999999996</v>
      </c>
      <c r="Y1733">
        <v>0.36844710000000003</v>
      </c>
      <c r="Z1733">
        <v>1.5812199999999998E-2</v>
      </c>
      <c r="AA1733">
        <v>0.92951419999999996</v>
      </c>
      <c r="AB1733">
        <v>24</v>
      </c>
      <c r="AC1733">
        <v>-29.828199999999999</v>
      </c>
      <c r="AD1733">
        <v>-1.1001520059209999</v>
      </c>
      <c r="AE1733">
        <v>2.06200000000001</v>
      </c>
      <c r="AF1733">
        <v>11.086950119329099</v>
      </c>
      <c r="AG1733">
        <v>-1.1001520059209999</v>
      </c>
      <c r="AH1733">
        <v>27.724305843611099</v>
      </c>
      <c r="AI1733">
        <v>92.110105719730697</v>
      </c>
      <c r="AJ1733">
        <v>68.203529596743905</v>
      </c>
      <c r="AK1733">
        <v>29.879222411145701</v>
      </c>
      <c r="AL1733">
        <v>79.3021583527768</v>
      </c>
      <c r="AM1733">
        <v>80.358753372346698</v>
      </c>
      <c r="AN1733">
        <v>1.0000000006802201</v>
      </c>
    </row>
    <row r="1734" spans="1:40" x14ac:dyDescent="0.25">
      <c r="A1734" t="str">
        <f>"20190304155628790"</f>
        <v>20190304155628790</v>
      </c>
      <c r="B1734" t="str">
        <f>"1551686188786598"</f>
        <v>1551686188786598</v>
      </c>
      <c r="C1734" t="s">
        <v>40</v>
      </c>
      <c r="D1734">
        <v>4.6855909999999996</v>
      </c>
      <c r="E1734">
        <v>0.59027079999999998</v>
      </c>
      <c r="F1734" t="s">
        <v>55</v>
      </c>
      <c r="G1734">
        <v>-257.61860000000001</v>
      </c>
      <c r="H1734" s="1">
        <v>2.5174339999999999E-6</v>
      </c>
      <c r="I1734">
        <v>287.24360000000001</v>
      </c>
      <c r="J1734">
        <v>-207.03200000000001</v>
      </c>
      <c r="K1734">
        <v>1.100328</v>
      </c>
      <c r="L1734">
        <v>282.608</v>
      </c>
      <c r="M1734">
        <v>-0.95596400000000004</v>
      </c>
      <c r="N1734">
        <v>-1.6029089999999999E-2</v>
      </c>
      <c r="O1734">
        <v>-0.29304609999999998</v>
      </c>
      <c r="P1734">
        <v>-0.97524109999999997</v>
      </c>
      <c r="Q1734">
        <v>0.17383709999999999</v>
      </c>
      <c r="R1734">
        <v>-0.13669510000000001</v>
      </c>
      <c r="S1734">
        <v>-3.134735</v>
      </c>
      <c r="T1734">
        <v>-6.7883609999999997E-2</v>
      </c>
      <c r="U1734">
        <v>0.28274539999999998</v>
      </c>
      <c r="V1734">
        <v>0.15974530000000001</v>
      </c>
      <c r="W1734">
        <v>0.1855308</v>
      </c>
      <c r="X1734">
        <v>0.96956679999999995</v>
      </c>
      <c r="Y1734">
        <v>0.37763170000000001</v>
      </c>
      <c r="Z1734">
        <v>8.6708089999999998E-3</v>
      </c>
      <c r="AA1734">
        <v>0.9259153</v>
      </c>
      <c r="AB1734">
        <v>24</v>
      </c>
      <c r="AC1734">
        <v>-50.586599999999997</v>
      </c>
      <c r="AD1734">
        <v>-1.100325482566</v>
      </c>
      <c r="AE1734">
        <v>4.6356000000000099</v>
      </c>
      <c r="AF1734">
        <v>19.249114296659201</v>
      </c>
      <c r="AG1734">
        <v>-1.100325482566</v>
      </c>
      <c r="AH1734">
        <v>46.984516135059899</v>
      </c>
      <c r="AI1734">
        <v>91.241447087932897</v>
      </c>
      <c r="AJ1734">
        <v>67.721549007028102</v>
      </c>
      <c r="AK1734">
        <v>50.786650547354803</v>
      </c>
      <c r="AL1734">
        <v>79.3079193391319</v>
      </c>
      <c r="AM1734">
        <v>80.644032218140495</v>
      </c>
      <c r="AN1734">
        <v>1.00000000914148</v>
      </c>
    </row>
    <row r="1735" spans="1:40" x14ac:dyDescent="0.25">
      <c r="A1735" t="str">
        <f>"20190304155628813"</f>
        <v>20190304155628813</v>
      </c>
      <c r="B1735" t="str">
        <f>"1551686188807093"</f>
        <v>1551686188807093</v>
      </c>
      <c r="C1735" t="s">
        <v>40</v>
      </c>
      <c r="D1735">
        <v>4.6925129999999999</v>
      </c>
      <c r="E1735">
        <v>0.58996019999999905</v>
      </c>
      <c r="F1735" t="s">
        <v>55</v>
      </c>
      <c r="G1735">
        <v>-263.50240000000002</v>
      </c>
      <c r="H1735" s="1">
        <v>3.2703819999999998E-7</v>
      </c>
      <c r="I1735">
        <v>288.25650000000002</v>
      </c>
      <c r="J1735">
        <v>-207.2861</v>
      </c>
      <c r="K1735">
        <v>1.100549</v>
      </c>
      <c r="L1735">
        <v>282.54930000000002</v>
      </c>
      <c r="M1735">
        <v>-0.9605437</v>
      </c>
      <c r="N1735">
        <v>-1.5976589999999999E-2</v>
      </c>
      <c r="O1735">
        <v>-0.27766999999999997</v>
      </c>
      <c r="P1735">
        <v>-0.97677619999999998</v>
      </c>
      <c r="Q1735">
        <v>0.17357979999999901</v>
      </c>
      <c r="R1735">
        <v>-0.12561249999999999</v>
      </c>
      <c r="S1735">
        <v>-3.1309049999999998</v>
      </c>
      <c r="T1735">
        <v>-6.1005709999999998E-2</v>
      </c>
      <c r="U1735">
        <v>0.31317139999999999</v>
      </c>
      <c r="V1735">
        <v>0.15508939999999999</v>
      </c>
      <c r="W1735">
        <v>0.1854305</v>
      </c>
      <c r="X1735">
        <v>0.97034160000000003</v>
      </c>
      <c r="Y1735">
        <v>0.37181360000000002</v>
      </c>
      <c r="Z1735">
        <v>7.4979130000000001E-3</v>
      </c>
      <c r="AA1735">
        <v>0.92827709999999997</v>
      </c>
      <c r="AB1735">
        <v>24</v>
      </c>
      <c r="AC1735">
        <v>-56.216299999999997</v>
      </c>
      <c r="AD1735">
        <v>-1.1005486729617999</v>
      </c>
      <c r="AE1735">
        <v>5.7072000000000003</v>
      </c>
      <c r="AF1735">
        <v>21.086287432498199</v>
      </c>
      <c r="AG1735">
        <v>-1.1005486729617999</v>
      </c>
      <c r="AH1735">
        <v>52.400304987668697</v>
      </c>
      <c r="AI1735">
        <v>91.116227637063801</v>
      </c>
      <c r="AJ1735">
        <v>68.079764868628999</v>
      </c>
      <c r="AK1735">
        <v>56.4945544974751</v>
      </c>
      <c r="AL1735">
        <v>79.313767556526003</v>
      </c>
      <c r="AM1735">
        <v>80.919237639875206</v>
      </c>
      <c r="AN1735">
        <v>1.0000000065065799</v>
      </c>
    </row>
    <row r="1736" spans="1:40" x14ac:dyDescent="0.25">
      <c r="A1736" t="str">
        <f>"20190304155628834"</f>
        <v>20190304155628834</v>
      </c>
      <c r="B1736" t="str">
        <f>"1551686188826613"</f>
        <v>1551686188826613</v>
      </c>
      <c r="C1736" t="s">
        <v>40</v>
      </c>
      <c r="D1736">
        <v>4.736529</v>
      </c>
      <c r="E1736">
        <v>0.58946109999999996</v>
      </c>
      <c r="F1736" t="s">
        <v>55</v>
      </c>
      <c r="G1736">
        <v>-266.36250000000001</v>
      </c>
      <c r="H1736" s="1">
        <v>1.8490110000000001E-6</v>
      </c>
      <c r="I1736">
        <v>289.0994</v>
      </c>
      <c r="J1736">
        <v>-207.51070000000001</v>
      </c>
      <c r="K1736">
        <v>1.1007610000000001</v>
      </c>
      <c r="L1736">
        <v>282.50069999999999</v>
      </c>
      <c r="M1736">
        <v>-0.96430899999999997</v>
      </c>
      <c r="N1736">
        <v>-1.5923799999999998E-2</v>
      </c>
      <c r="O1736">
        <v>-0.26430009999999998</v>
      </c>
      <c r="P1736">
        <v>-0.9779717</v>
      </c>
      <c r="Q1736">
        <v>0.1731731</v>
      </c>
      <c r="R1736">
        <v>-0.1165451</v>
      </c>
      <c r="S1736">
        <v>-3.1262509999999999</v>
      </c>
      <c r="T1736">
        <v>-5.8239579999999999E-2</v>
      </c>
      <c r="U1736">
        <v>0.3466187</v>
      </c>
      <c r="V1736">
        <v>0.15051199999999901</v>
      </c>
      <c r="W1736">
        <v>0.185169</v>
      </c>
      <c r="X1736">
        <v>0.97111199999999998</v>
      </c>
      <c r="Y1736">
        <v>0.36888549999999998</v>
      </c>
      <c r="Z1736">
        <v>7.0350359999999997E-3</v>
      </c>
      <c r="AA1736">
        <v>0.92944819999999995</v>
      </c>
      <c r="AB1736">
        <v>24</v>
      </c>
      <c r="AC1736">
        <v>-58.851799999999997</v>
      </c>
      <c r="AD1736">
        <v>-1.100759150989</v>
      </c>
      <c r="AE1736">
        <v>6.5987</v>
      </c>
      <c r="AF1736">
        <v>21.912931460332299</v>
      </c>
      <c r="AG1736">
        <v>-1.100759150989</v>
      </c>
      <c r="AH1736">
        <v>54.995259374066599</v>
      </c>
      <c r="AI1736">
        <v>91.065227209379202</v>
      </c>
      <c r="AJ1736">
        <v>68.275127162719002</v>
      </c>
      <c r="AK1736">
        <v>59.210360491341099</v>
      </c>
      <c r="AL1736">
        <v>79.329014038806093</v>
      </c>
      <c r="AM1736">
        <v>81.189863916255405</v>
      </c>
      <c r="AN1736">
        <v>0.99999996862449902</v>
      </c>
    </row>
    <row r="1737" spans="1:40" x14ac:dyDescent="0.25">
      <c r="A1737" t="str">
        <f>"20190304155628857"</f>
        <v>20190304155628857</v>
      </c>
      <c r="B1737" t="str">
        <f>"1551686188847108"</f>
        <v>1551686188847108</v>
      </c>
      <c r="C1737" t="s">
        <v>40</v>
      </c>
      <c r="D1737">
        <v>4.7599769999999904</v>
      </c>
      <c r="E1737">
        <v>0.58856529999999996</v>
      </c>
      <c r="F1737" t="s">
        <v>55</v>
      </c>
      <c r="G1737">
        <v>-267.10039999999998</v>
      </c>
      <c r="H1737" s="1">
        <v>2.2416840000000001E-6</v>
      </c>
      <c r="I1737">
        <v>289.589</v>
      </c>
      <c r="J1737">
        <v>-207.76009999999999</v>
      </c>
      <c r="K1737">
        <v>1.1009739999999999</v>
      </c>
      <c r="L1737">
        <v>282.4502</v>
      </c>
      <c r="M1737">
        <v>-0.96819440000000001</v>
      </c>
      <c r="N1737">
        <v>-1.5861670000000001E-2</v>
      </c>
      <c r="O1737">
        <v>-0.24969669999999999</v>
      </c>
      <c r="P1737">
        <v>-0.97914449999999997</v>
      </c>
      <c r="Q1737">
        <v>0.17298559999999999</v>
      </c>
      <c r="R1737">
        <v>-0.106547699999999</v>
      </c>
      <c r="S1737">
        <v>-3.1220249999999998</v>
      </c>
      <c r="T1737">
        <v>-5.7670949999999999E-2</v>
      </c>
      <c r="U1737">
        <v>0.37136839999999999</v>
      </c>
      <c r="V1737">
        <v>0.14564270000000001</v>
      </c>
      <c r="W1737">
        <v>0.18512500000000001</v>
      </c>
      <c r="X1737">
        <v>0.97186260000000002</v>
      </c>
      <c r="Y1737">
        <v>0.36224269999999997</v>
      </c>
      <c r="Z1737">
        <v>6.8292519999999897E-3</v>
      </c>
      <c r="AA1737">
        <v>0.93205879999999997</v>
      </c>
      <c r="AB1737">
        <v>24</v>
      </c>
      <c r="AC1737">
        <v>-59.3402999999999</v>
      </c>
      <c r="AD1737">
        <v>-1.1009717583159999</v>
      </c>
      <c r="AE1737">
        <v>7.1387999999999998</v>
      </c>
      <c r="AF1737">
        <v>21.7241810085327</v>
      </c>
      <c r="AG1737">
        <v>-1.1009717583159999</v>
      </c>
      <c r="AH1737">
        <v>55.658517630033202</v>
      </c>
      <c r="AI1737">
        <v>91.055667312136293</v>
      </c>
      <c r="AJ1737">
        <v>68.678707411076203</v>
      </c>
      <c r="AK1737">
        <v>59.758035142370801</v>
      </c>
      <c r="AL1737">
        <v>79.331579609797402</v>
      </c>
      <c r="AM1737">
        <v>81.477115731584206</v>
      </c>
      <c r="AN1737">
        <v>0.99999998748352503</v>
      </c>
    </row>
    <row r="1738" spans="1:40" x14ac:dyDescent="0.25">
      <c r="A1738" t="str">
        <f>"20190304155628879"</f>
        <v>20190304155628879</v>
      </c>
      <c r="B1738" t="str">
        <f>"1551686188866629"</f>
        <v>1551686188866629</v>
      </c>
      <c r="C1738" t="s">
        <v>40</v>
      </c>
      <c r="D1738">
        <v>4.7348019999999904</v>
      </c>
      <c r="E1738">
        <v>0.58767460000000005</v>
      </c>
      <c r="F1738" t="s">
        <v>55</v>
      </c>
      <c r="G1738">
        <v>-264.31029999999998</v>
      </c>
      <c r="H1738">
        <v>3.9401560000000002E-2</v>
      </c>
      <c r="I1738">
        <v>289.61630000000002</v>
      </c>
      <c r="J1738">
        <v>-207.9871</v>
      </c>
      <c r="K1738">
        <v>1.101181</v>
      </c>
      <c r="L1738">
        <v>282.40730000000002</v>
      </c>
      <c r="M1738">
        <v>-0.97146790000000005</v>
      </c>
      <c r="N1738">
        <v>-1.580409E-2</v>
      </c>
      <c r="O1738">
        <v>-0.23664379999999999</v>
      </c>
      <c r="P1738">
        <v>-0.98003969999999896</v>
      </c>
      <c r="Q1738">
        <v>0.17237069999999999</v>
      </c>
      <c r="R1738">
        <v>-9.9047079999999996E-2</v>
      </c>
      <c r="S1738">
        <v>-3.1172179999999998</v>
      </c>
      <c r="T1738">
        <v>-5.8517100000000002E-2</v>
      </c>
      <c r="U1738">
        <v>0.39501950000000002</v>
      </c>
      <c r="V1738">
        <v>0.139904799999999</v>
      </c>
      <c r="W1738">
        <v>0.1846681</v>
      </c>
      <c r="X1738">
        <v>0.97279199999999999</v>
      </c>
      <c r="Y1738">
        <v>0.35682589999999997</v>
      </c>
      <c r="Z1738">
        <v>6.8379540000000003E-3</v>
      </c>
      <c r="AA1738">
        <v>0.93414589999999997</v>
      </c>
      <c r="AB1738">
        <v>24</v>
      </c>
      <c r="AC1738">
        <v>-56.3231999999999</v>
      </c>
      <c r="AD1738">
        <v>-1.06177944</v>
      </c>
      <c r="AE1738">
        <v>7.2089999999999996</v>
      </c>
      <c r="AF1738">
        <v>20.3272809196332</v>
      </c>
      <c r="AG1738">
        <v>-1.06177944</v>
      </c>
      <c r="AH1738">
        <v>52.998307713685897</v>
      </c>
      <c r="AI1738">
        <v>91.071623557832694</v>
      </c>
      <c r="AJ1738">
        <v>69.015891088718504</v>
      </c>
      <c r="AK1738">
        <v>56.7727605959005</v>
      </c>
      <c r="AL1738">
        <v>79.358217127552905</v>
      </c>
      <c r="AM1738">
        <v>81.815964453248696</v>
      </c>
      <c r="AN1738">
        <v>0.99999996774232403</v>
      </c>
    </row>
    <row r="1739" spans="1:40" x14ac:dyDescent="0.25">
      <c r="A1739" t="str">
        <f>"20190304155628900"</f>
        <v>20190304155628900</v>
      </c>
      <c r="B1739" t="str">
        <f>"1551686188896885"</f>
        <v>1551686188896885</v>
      </c>
      <c r="C1739" t="s">
        <v>40</v>
      </c>
      <c r="D1739">
        <v>4.7497540000000003</v>
      </c>
      <c r="E1739">
        <v>0.58656189999999997</v>
      </c>
      <c r="F1739" t="s">
        <v>55</v>
      </c>
      <c r="G1739">
        <v>-262.75119999999998</v>
      </c>
      <c r="H1739">
        <v>6.0352629999999997E-2</v>
      </c>
      <c r="I1739">
        <v>289.62670000000003</v>
      </c>
      <c r="J1739">
        <v>-208.22800000000001</v>
      </c>
      <c r="K1739">
        <v>1.101415</v>
      </c>
      <c r="L1739">
        <v>282.36500000000001</v>
      </c>
      <c r="M1739">
        <v>-0.97467009999999998</v>
      </c>
      <c r="N1739">
        <v>-1.5739070000000001E-2</v>
      </c>
      <c r="O1739">
        <v>-0.22309290000000001</v>
      </c>
      <c r="P1739">
        <v>-0.98072519999999996</v>
      </c>
      <c r="Q1739">
        <v>0.17249049999999999</v>
      </c>
      <c r="R1739">
        <v>-9.1787380000000002E-2</v>
      </c>
      <c r="S1739">
        <v>-3.1129609999999999</v>
      </c>
      <c r="T1739">
        <v>-5.9163930000000003E-2</v>
      </c>
      <c r="U1739">
        <v>0.41036990000000001</v>
      </c>
      <c r="V1739">
        <v>0.1334352</v>
      </c>
      <c r="W1739">
        <v>0.18495629999999999</v>
      </c>
      <c r="X1739">
        <v>0.97364589999999995</v>
      </c>
      <c r="Y1739">
        <v>0.34849360000000001</v>
      </c>
      <c r="Z1739">
        <v>6.7562280000000004E-3</v>
      </c>
      <c r="AA1739">
        <v>0.93728679999999998</v>
      </c>
      <c r="AB1739">
        <v>24</v>
      </c>
      <c r="AC1739">
        <v>-54.523200000000003</v>
      </c>
      <c r="AD1739">
        <v>-1.0410623699999999</v>
      </c>
      <c r="AE1739">
        <v>7.26170000000001</v>
      </c>
      <c r="AF1739">
        <v>19.236993541472</v>
      </c>
      <c r="AG1739">
        <v>-1.0410623699999999</v>
      </c>
      <c r="AH1739">
        <v>51.510030548272802</v>
      </c>
      <c r="AI1739">
        <v>91.084684983498505</v>
      </c>
      <c r="AJ1739">
        <v>69.521294908204993</v>
      </c>
      <c r="AK1739">
        <v>54.994808650061302</v>
      </c>
      <c r="AL1739">
        <v>79.341416065151506</v>
      </c>
      <c r="AM1739">
        <v>82.196401295872704</v>
      </c>
      <c r="AN1739">
        <v>1.00000006204776</v>
      </c>
    </row>
    <row r="1740" spans="1:40" x14ac:dyDescent="0.25">
      <c r="A1740" t="str">
        <f>"20190304155628923"</f>
        <v>20190304155628923</v>
      </c>
      <c r="B1740" t="str">
        <f>"1551686188916405"</f>
        <v>1551686188916405</v>
      </c>
      <c r="C1740" t="s">
        <v>40</v>
      </c>
      <c r="D1740">
        <v>4.7976409999999996</v>
      </c>
      <c r="E1740">
        <v>0.58579340000000002</v>
      </c>
      <c r="F1740" t="s">
        <v>55</v>
      </c>
      <c r="G1740">
        <v>-264.79090000000002</v>
      </c>
      <c r="H1740">
        <v>8.0001420000000004E-2</v>
      </c>
      <c r="I1740">
        <v>290.06950000000001</v>
      </c>
      <c r="J1740">
        <v>-208.47149999999999</v>
      </c>
      <c r="K1740">
        <v>1.101683</v>
      </c>
      <c r="L1740">
        <v>282.32530000000003</v>
      </c>
      <c r="M1740">
        <v>-0.97763219999999995</v>
      </c>
      <c r="N1740">
        <v>-1.5665310000000002E-2</v>
      </c>
      <c r="O1740">
        <v>-0.20973810000000001</v>
      </c>
      <c r="P1740">
        <v>-0.98128769999999998</v>
      </c>
      <c r="Q1740">
        <v>0.17283589999999999</v>
      </c>
      <c r="R1740">
        <v>-8.4867059999999994E-2</v>
      </c>
      <c r="S1740">
        <v>-3.1084290000000001</v>
      </c>
      <c r="T1740">
        <v>-5.6131960000000002E-2</v>
      </c>
      <c r="U1740">
        <v>0.42340090000000002</v>
      </c>
      <c r="V1740">
        <v>0.1268396</v>
      </c>
      <c r="W1740">
        <v>0.18546370000000001</v>
      </c>
      <c r="X1740">
        <v>0.97443060000000004</v>
      </c>
      <c r="Y1740">
        <v>0.33970420000000001</v>
      </c>
      <c r="Z1740">
        <v>6.2110280000000004E-3</v>
      </c>
      <c r="AA1740">
        <v>0.94051180000000001</v>
      </c>
      <c r="AB1740">
        <v>24</v>
      </c>
      <c r="AC1740">
        <v>-56.319400000000002</v>
      </c>
      <c r="AD1740">
        <v>-1.0216815800000001</v>
      </c>
      <c r="AE1740">
        <v>7.74419999999997</v>
      </c>
      <c r="AF1740">
        <v>19.379420936145198</v>
      </c>
      <c r="AG1740">
        <v>-1.0216815800000001</v>
      </c>
      <c r="AH1740">
        <v>53.424702513585302</v>
      </c>
      <c r="AI1740">
        <v>91.029926508860299</v>
      </c>
      <c r="AJ1740">
        <v>70.062129581951694</v>
      </c>
      <c r="AK1740">
        <v>56.840167379559198</v>
      </c>
      <c r="AL1740">
        <v>79.3118320256212</v>
      </c>
      <c r="AM1740">
        <v>82.583627115505905</v>
      </c>
      <c r="AN1740">
        <v>1.0000000311810999</v>
      </c>
    </row>
    <row r="1741" spans="1:40" x14ac:dyDescent="0.25">
      <c r="A1741" t="str">
        <f>"20190304155628947"</f>
        <v>20190304155628947</v>
      </c>
      <c r="B1741" t="str">
        <f>"1551686188936631"</f>
        <v>1551686188936631</v>
      </c>
      <c r="C1741" t="s">
        <v>40</v>
      </c>
      <c r="D1741">
        <v>4.7009369999999997</v>
      </c>
      <c r="E1741">
        <v>0.58497949999999999</v>
      </c>
      <c r="F1741" t="s">
        <v>55</v>
      </c>
      <c r="G1741">
        <v>-269.05259999999998</v>
      </c>
      <c r="H1741">
        <v>8.0001210000000003E-2</v>
      </c>
      <c r="I1741">
        <v>290.89620000000002</v>
      </c>
      <c r="J1741">
        <v>-208.7242</v>
      </c>
      <c r="K1741">
        <v>1.101987</v>
      </c>
      <c r="L1741">
        <v>282.28710000000001</v>
      </c>
      <c r="M1741">
        <v>-0.98042240000000003</v>
      </c>
      <c r="N1741">
        <v>-1.55801E-2</v>
      </c>
      <c r="O1741">
        <v>-0.1962882</v>
      </c>
      <c r="P1741">
        <v>-0.98171419999999998</v>
      </c>
      <c r="Q1741">
        <v>0.17377300000000001</v>
      </c>
      <c r="R1741">
        <v>-7.7719490000000002E-2</v>
      </c>
      <c r="S1741">
        <v>-3.1044160000000001</v>
      </c>
      <c r="T1741">
        <v>-5.235505E-2</v>
      </c>
      <c r="U1741">
        <v>0.43920900000000002</v>
      </c>
      <c r="V1741">
        <v>0.1203756</v>
      </c>
      <c r="W1741">
        <v>0.18655260000000001</v>
      </c>
      <c r="X1741">
        <v>0.97504250000000003</v>
      </c>
      <c r="Y1741">
        <v>0.33164519999999997</v>
      </c>
      <c r="Z1741">
        <v>5.6207109999999996E-3</v>
      </c>
      <c r="AA1741">
        <v>0.94338739999999999</v>
      </c>
      <c r="AB1741">
        <v>24</v>
      </c>
      <c r="AC1741">
        <v>-60.328399999999903</v>
      </c>
      <c r="AD1741">
        <v>-1.02198579</v>
      </c>
      <c r="AE1741">
        <v>8.6091000000000104</v>
      </c>
      <c r="AF1741">
        <v>20.279067394296899</v>
      </c>
      <c r="AG1741">
        <v>-1.02198579</v>
      </c>
      <c r="AH1741">
        <v>57.448271044502498</v>
      </c>
      <c r="AI1741">
        <v>90.961057617808706</v>
      </c>
      <c r="AJ1741">
        <v>70.557121005594297</v>
      </c>
      <c r="AK1741">
        <v>60.931017350279198</v>
      </c>
      <c r="AL1741">
        <v>79.248334351981697</v>
      </c>
      <c r="AM1741">
        <v>82.962060237213095</v>
      </c>
      <c r="AN1741">
        <v>1.0000000172241801</v>
      </c>
    </row>
    <row r="1742" spans="1:40" x14ac:dyDescent="0.25">
      <c r="A1742" t="str">
        <f>"20190304155628970"</f>
        <v>20190304155628970</v>
      </c>
      <c r="B1742" t="str">
        <f>"1551686188966889"</f>
        <v>1551686188966889</v>
      </c>
      <c r="C1742" t="s">
        <v>40</v>
      </c>
      <c r="D1742">
        <v>4.6933189999999998</v>
      </c>
      <c r="E1742">
        <v>0.58399529999999999</v>
      </c>
      <c r="F1742" t="s">
        <v>55</v>
      </c>
      <c r="G1742">
        <v>-275.7253</v>
      </c>
      <c r="H1742">
        <v>7.9999909999999994E-2</v>
      </c>
      <c r="I1742">
        <v>292.11410000000001</v>
      </c>
      <c r="J1742">
        <v>-208.97669999999999</v>
      </c>
      <c r="K1742">
        <v>1.10233799999999</v>
      </c>
      <c r="L1742">
        <v>282.25209999999998</v>
      </c>
      <c r="M1742">
        <v>-0.98293059999999999</v>
      </c>
      <c r="N1742">
        <v>-1.548771E-2</v>
      </c>
      <c r="O1742">
        <v>-0.18332409999999999</v>
      </c>
      <c r="P1742">
        <v>-0.98213300000000003</v>
      </c>
      <c r="Q1742">
        <v>0.17427400000000001</v>
      </c>
      <c r="R1742">
        <v>-7.101992E-2</v>
      </c>
      <c r="S1742">
        <v>-3.100266</v>
      </c>
      <c r="T1742">
        <v>-4.7289249999999998E-2</v>
      </c>
      <c r="U1742">
        <v>0.4547119</v>
      </c>
      <c r="V1742">
        <v>0.1139647</v>
      </c>
      <c r="W1742">
        <v>0.187199</v>
      </c>
      <c r="X1742">
        <v>0.97568880000000002</v>
      </c>
      <c r="Y1742">
        <v>0.32398700000000002</v>
      </c>
      <c r="Z1742">
        <v>4.9321499999999997E-3</v>
      </c>
      <c r="AA1742">
        <v>0.94604869999999996</v>
      </c>
      <c r="AB1742">
        <v>24</v>
      </c>
      <c r="AC1742">
        <v>-66.748599999999996</v>
      </c>
      <c r="AD1742">
        <v>-1.0223380900000001</v>
      </c>
      <c r="AE1742">
        <v>9.8620000000000196</v>
      </c>
      <c r="AF1742">
        <v>21.927883411773099</v>
      </c>
      <c r="AG1742">
        <v>-1.0223380900000001</v>
      </c>
      <c r="AH1742">
        <v>63.794301817011402</v>
      </c>
      <c r="AI1742">
        <v>90.868264851210398</v>
      </c>
      <c r="AJ1742">
        <v>71.030723004504793</v>
      </c>
      <c r="AK1742">
        <v>67.465474062000894</v>
      </c>
      <c r="AL1742">
        <v>79.210634318107097</v>
      </c>
      <c r="AM1742">
        <v>83.337792108500295</v>
      </c>
      <c r="AN1742">
        <v>1.0000000264462601</v>
      </c>
    </row>
    <row r="1743" spans="1:40" x14ac:dyDescent="0.25">
      <c r="A1743" t="str">
        <f>"20190304155628990"</f>
        <v>20190304155628990</v>
      </c>
      <c r="B1743" t="str">
        <f>"1551686188986408"</f>
        <v>1551686188986408</v>
      </c>
      <c r="C1743" t="s">
        <v>40</v>
      </c>
      <c r="D1743">
        <v>4.7102539999999999</v>
      </c>
      <c r="E1743">
        <v>0.58323659999999999</v>
      </c>
      <c r="F1743" t="s">
        <v>64</v>
      </c>
      <c r="G1743">
        <v>-281.42840000000001</v>
      </c>
      <c r="H1743">
        <v>7.9999249999999994E-2</v>
      </c>
      <c r="I1743">
        <v>293.19189999999998</v>
      </c>
      <c r="J1743">
        <v>-209.1891</v>
      </c>
      <c r="K1743">
        <v>1.1026689999999999</v>
      </c>
      <c r="L1743">
        <v>282.22480000000002</v>
      </c>
      <c r="M1743">
        <v>-0.98483050000000005</v>
      </c>
      <c r="N1743">
        <v>-1.540555E-2</v>
      </c>
      <c r="O1743">
        <v>-0.17283509999999999</v>
      </c>
      <c r="P1743">
        <v>-0.98267170000000004</v>
      </c>
      <c r="Q1743">
        <v>0.17294399999999999</v>
      </c>
      <c r="R1743">
        <v>-6.6685439999999999E-2</v>
      </c>
      <c r="S1743">
        <v>-3.09613</v>
      </c>
      <c r="T1743">
        <v>-4.3688299999999999E-2</v>
      </c>
      <c r="U1743">
        <v>0.46749879999999999</v>
      </c>
      <c r="V1743">
        <v>0.10771360000000001</v>
      </c>
      <c r="W1743">
        <v>0.18600910000000001</v>
      </c>
      <c r="X1743">
        <v>0.97662599999999999</v>
      </c>
      <c r="Y1743">
        <v>0.31790780000000002</v>
      </c>
      <c r="Z1743">
        <v>4.4676339999999998E-3</v>
      </c>
      <c r="AA1743">
        <v>0.94811109999999998</v>
      </c>
      <c r="AB1743">
        <v>24</v>
      </c>
      <c r="AC1743">
        <v>-72.2393</v>
      </c>
      <c r="AD1743">
        <v>-1.0226697499999999</v>
      </c>
      <c r="AE1743">
        <v>10.967099999999901</v>
      </c>
      <c r="AF1743">
        <v>23.284418781030801</v>
      </c>
      <c r="AG1743">
        <v>-1.0226697499999999</v>
      </c>
      <c r="AH1743">
        <v>69.242606078717401</v>
      </c>
      <c r="AI1743">
        <v>90.802034724587301</v>
      </c>
      <c r="AJ1743">
        <v>71.413597722194098</v>
      </c>
      <c r="AK1743">
        <v>73.059896714684896</v>
      </c>
      <c r="AL1743">
        <v>79.280028916205296</v>
      </c>
      <c r="AM1743">
        <v>83.706196886486097</v>
      </c>
      <c r="AN1743">
        <v>0.99999997439188404</v>
      </c>
    </row>
    <row r="1744" spans="1:40" x14ac:dyDescent="0.25">
      <c r="A1744" t="str">
        <f>"20190304155629013"</f>
        <v>20190304155629013</v>
      </c>
      <c r="B1744" t="str">
        <f>"1551686189006904"</f>
        <v>1551686189006904</v>
      </c>
      <c r="C1744" t="s">
        <v>40</v>
      </c>
      <c r="D1744">
        <v>4.7229830000000002</v>
      </c>
      <c r="E1744">
        <v>0.58242209999999905</v>
      </c>
      <c r="F1744" t="s">
        <v>55</v>
      </c>
      <c r="G1744">
        <v>-275.28699999999998</v>
      </c>
      <c r="H1744">
        <v>7.9999769999999998E-2</v>
      </c>
      <c r="I1744">
        <v>292.36290000000002</v>
      </c>
      <c r="J1744">
        <v>-209.4392</v>
      </c>
      <c r="K1744">
        <v>1.103035</v>
      </c>
      <c r="L1744">
        <v>282.1952</v>
      </c>
      <c r="M1744">
        <v>-0.98684620000000001</v>
      </c>
      <c r="N1744">
        <v>-1.5308469999999999E-2</v>
      </c>
      <c r="O1744">
        <v>-0.16093579999999999</v>
      </c>
      <c r="P1744">
        <v>-0.98328269999999995</v>
      </c>
      <c r="Q1744">
        <v>0.17120079999999999</v>
      </c>
      <c r="R1744">
        <v>-6.2015760000000003E-2</v>
      </c>
      <c r="S1744">
        <v>-3.093521</v>
      </c>
      <c r="T1744">
        <v>-4.7863129999999997E-2</v>
      </c>
      <c r="U1744">
        <v>0.4744873</v>
      </c>
      <c r="V1744">
        <v>0.1003922</v>
      </c>
      <c r="W1744">
        <v>0.18441260000000001</v>
      </c>
      <c r="X1744">
        <v>0.97770820000000003</v>
      </c>
      <c r="Y1744">
        <v>0.30865330000000002</v>
      </c>
      <c r="Z1744">
        <v>4.7753090000000002E-3</v>
      </c>
      <c r="AA1744">
        <v>0.95116259999999997</v>
      </c>
      <c r="AB1744">
        <v>24</v>
      </c>
      <c r="AC1744">
        <v>-65.847800000000007</v>
      </c>
      <c r="AD1744">
        <v>-1.0230352300000001</v>
      </c>
      <c r="AE1744">
        <v>10.1677</v>
      </c>
      <c r="AF1744">
        <v>20.6287779068087</v>
      </c>
      <c r="AG1744">
        <v>-1.0230352300000001</v>
      </c>
      <c r="AH1744">
        <v>63.337792415247399</v>
      </c>
      <c r="AI1744">
        <v>90.879880069527005</v>
      </c>
      <c r="AJ1744">
        <v>71.959849365119396</v>
      </c>
      <c r="AK1744">
        <v>66.620334936468396</v>
      </c>
      <c r="AL1744">
        <v>79.373111965213099</v>
      </c>
      <c r="AM1744">
        <v>84.137350117176197</v>
      </c>
      <c r="AN1744">
        <v>0.99999996260341895</v>
      </c>
    </row>
    <row r="1745" spans="1:40" x14ac:dyDescent="0.25">
      <c r="A1745" t="str">
        <f>"20190304155629035"</f>
        <v>20190304155629035</v>
      </c>
      <c r="B1745" t="str">
        <f>"1551686189026493"</f>
        <v>1551686189026493</v>
      </c>
      <c r="C1745" t="s">
        <v>40</v>
      </c>
      <c r="D1745">
        <v>4.7571919999999999</v>
      </c>
      <c r="E1745">
        <v>0.58197200000000004</v>
      </c>
      <c r="F1745" t="s">
        <v>55</v>
      </c>
      <c r="G1745">
        <v>-268.72910000000002</v>
      </c>
      <c r="H1745">
        <v>8.0001119999999995E-2</v>
      </c>
      <c r="I1745">
        <v>291.46710000000002</v>
      </c>
      <c r="J1745">
        <v>-209.66659999999999</v>
      </c>
      <c r="K1745">
        <v>1.1033550000000001</v>
      </c>
      <c r="L1745">
        <v>282.17039999999997</v>
      </c>
      <c r="M1745">
        <v>-0.98848789999999997</v>
      </c>
      <c r="N1745">
        <v>-1.5222940000000001E-2</v>
      </c>
      <c r="O1745">
        <v>-0.15053129999999901</v>
      </c>
      <c r="P1745">
        <v>-0.98352550000000005</v>
      </c>
      <c r="Q1745">
        <v>0.17093749999999999</v>
      </c>
      <c r="R1745">
        <v>-5.8807690000000003E-2</v>
      </c>
      <c r="S1745">
        <v>-3.0907439999999999</v>
      </c>
      <c r="T1745">
        <v>-5.3330179999999998E-2</v>
      </c>
      <c r="U1745">
        <v>0.48333739999999997</v>
      </c>
      <c r="V1745">
        <v>9.3117859999999997E-2</v>
      </c>
      <c r="W1745">
        <v>0.1842781</v>
      </c>
      <c r="X1745">
        <v>0.97845320000000002</v>
      </c>
      <c r="Y1745">
        <v>0.30140129999999998</v>
      </c>
      <c r="Z1745">
        <v>5.1969119999999997E-3</v>
      </c>
      <c r="AA1745">
        <v>0.95348319999999998</v>
      </c>
      <c r="AB1745">
        <v>24</v>
      </c>
      <c r="AC1745">
        <v>-59.0625</v>
      </c>
      <c r="AD1745">
        <v>-1.0233538799999999</v>
      </c>
      <c r="AE1745">
        <v>9.2967000000000404</v>
      </c>
      <c r="AF1745">
        <v>18.077232262116599</v>
      </c>
      <c r="AG1745">
        <v>-1.0233538799999999</v>
      </c>
      <c r="AH1745">
        <v>56.973042964061698</v>
      </c>
      <c r="AI1745">
        <v>90.980859767410493</v>
      </c>
      <c r="AJ1745">
        <v>72.396054226854801</v>
      </c>
      <c r="AK1745">
        <v>59.780943485420501</v>
      </c>
      <c r="AL1745">
        <v>79.380953126278897</v>
      </c>
      <c r="AM1745">
        <v>84.563623342690406</v>
      </c>
      <c r="AN1745">
        <v>1.00000000929041</v>
      </c>
    </row>
    <row r="1746" spans="1:40" x14ac:dyDescent="0.25">
      <c r="A1746" t="str">
        <f>"20190304155629058"</f>
        <v>20190304155629058</v>
      </c>
      <c r="B1746" t="str">
        <f>"1551686189046992"</f>
        <v>1551686189046992</v>
      </c>
      <c r="C1746" t="s">
        <v>40</v>
      </c>
      <c r="D1746">
        <v>4.7719060000000004</v>
      </c>
      <c r="E1746">
        <v>0.56575439999999999</v>
      </c>
      <c r="F1746" t="s">
        <v>55</v>
      </c>
      <c r="G1746">
        <v>-267.90600000000001</v>
      </c>
      <c r="H1746">
        <v>8.0000870000000002E-2</v>
      </c>
      <c r="I1746">
        <v>291.40010000000001</v>
      </c>
      <c r="J1746">
        <v>-209.92060000000001</v>
      </c>
      <c r="K1746">
        <v>1.10371</v>
      </c>
      <c r="L1746">
        <v>282.14510000000001</v>
      </c>
      <c r="M1746">
        <v>-0.9901143</v>
      </c>
      <c r="N1746">
        <v>-1.5127410000000001E-2</v>
      </c>
      <c r="O1746">
        <v>-0.13944379999999901</v>
      </c>
      <c r="P1746">
        <v>-0.98381730000000001</v>
      </c>
      <c r="Q1746">
        <v>0.17099230000000001</v>
      </c>
      <c r="R1746">
        <v>-5.3527669999999999E-2</v>
      </c>
      <c r="S1746">
        <v>-3.088959</v>
      </c>
      <c r="T1746">
        <v>-5.4277659999999998E-2</v>
      </c>
      <c r="U1746">
        <v>0.48953249999999998</v>
      </c>
      <c r="V1746">
        <v>8.7226979999999996E-2</v>
      </c>
      <c r="W1746">
        <v>0.18442059999999999</v>
      </c>
      <c r="X1746">
        <v>0.97896910000000004</v>
      </c>
      <c r="Y1746">
        <v>0.29265289999999999</v>
      </c>
      <c r="Z1746">
        <v>5.1225560000000003E-3</v>
      </c>
      <c r="AA1746">
        <v>0.95620499999999997</v>
      </c>
      <c r="AB1746">
        <v>24</v>
      </c>
      <c r="AC1746">
        <v>-57.985399999999998</v>
      </c>
      <c r="AD1746">
        <v>-1.0237091300000001</v>
      </c>
      <c r="AE1746">
        <v>9.2549999999999901</v>
      </c>
      <c r="AF1746">
        <v>17.245946832515799</v>
      </c>
      <c r="AG1746">
        <v>-1.0237091300000001</v>
      </c>
      <c r="AH1746">
        <v>56.110996697911297</v>
      </c>
      <c r="AI1746">
        <v>90.999093090700399</v>
      </c>
      <c r="AJ1746">
        <v>72.914972850392502</v>
      </c>
      <c r="AK1746">
        <v>58.7104301889011</v>
      </c>
      <c r="AL1746">
        <v>79.372646015421296</v>
      </c>
      <c r="AM1746">
        <v>84.908343030530403</v>
      </c>
      <c r="AN1746">
        <v>1.00000000124954</v>
      </c>
    </row>
    <row r="1747" spans="1:40" x14ac:dyDescent="0.25">
      <c r="A1747" t="str">
        <f>"20190304155629080"</f>
        <v>20190304155629080</v>
      </c>
      <c r="B1747" t="str">
        <f>"1551686189076269"</f>
        <v>1551686189076269</v>
      </c>
      <c r="C1747" t="s">
        <v>40</v>
      </c>
      <c r="D1747">
        <v>4.8427879999999996</v>
      </c>
      <c r="E1747">
        <v>0.5640773</v>
      </c>
      <c r="F1747" t="s">
        <v>55</v>
      </c>
      <c r="G1747">
        <v>-262.62729999999999</v>
      </c>
      <c r="H1747" s="1">
        <v>-1.3868039999999999E-7</v>
      </c>
      <c r="I1747">
        <v>288.57060000000001</v>
      </c>
      <c r="J1747">
        <v>-210.14400000000001</v>
      </c>
      <c r="K1747">
        <v>1.104028</v>
      </c>
      <c r="L1747">
        <v>282.12450000000001</v>
      </c>
      <c r="M1747">
        <v>-0.99137730000000002</v>
      </c>
      <c r="N1747">
        <v>-1.504048E-2</v>
      </c>
      <c r="O1747">
        <v>-0.13017280000000001</v>
      </c>
      <c r="P1747">
        <v>-0.98424699999999998</v>
      </c>
      <c r="Q1747">
        <v>0.1697565</v>
      </c>
      <c r="R1747">
        <v>-4.9405070000000002E-2</v>
      </c>
      <c r="S1747">
        <v>-3.0810089999999999</v>
      </c>
      <c r="T1747">
        <v>-6.4518210000000006E-2</v>
      </c>
      <c r="U1747">
        <v>0.37561040000000001</v>
      </c>
      <c r="V1747">
        <v>8.2015190000000002E-2</v>
      </c>
      <c r="W1747">
        <v>0.1832568</v>
      </c>
      <c r="X1747">
        <v>0.97963789999999995</v>
      </c>
      <c r="Y1747">
        <v>0.24912119999999999</v>
      </c>
      <c r="Z1747">
        <v>5.2434350000000003E-3</v>
      </c>
      <c r="AA1747">
        <v>0.96845809999999999</v>
      </c>
      <c r="AB1747">
        <v>24</v>
      </c>
      <c r="AC1747">
        <v>-52.4832999999999</v>
      </c>
      <c r="AD1747">
        <v>-1.1040281386804001</v>
      </c>
      <c r="AE1747">
        <v>6.4461000000000004</v>
      </c>
      <c r="AF1747">
        <v>13.2181481462889</v>
      </c>
      <c r="AG1747">
        <v>-1.1040281386804001</v>
      </c>
      <c r="AH1747">
        <v>51.175124626392403</v>
      </c>
      <c r="AI1747">
        <v>91.196620715965196</v>
      </c>
      <c r="AJ1747">
        <v>75.517462539324995</v>
      </c>
      <c r="AK1747">
        <v>52.866167811512902</v>
      </c>
      <c r="AL1747">
        <v>79.440482812905501</v>
      </c>
      <c r="AM1747">
        <v>85.214362951916101</v>
      </c>
      <c r="AN1747">
        <v>0.99999998062669204</v>
      </c>
    </row>
    <row r="1748" spans="1:40" x14ac:dyDescent="0.25">
      <c r="A1748" t="str">
        <f>"20190304155629102"</f>
        <v>20190304155629102</v>
      </c>
      <c r="B1748" t="str">
        <f>"1551686189096765"</f>
        <v>1551686189096765</v>
      </c>
      <c r="C1748" t="s">
        <v>40</v>
      </c>
      <c r="D1748">
        <v>4.8449730000000004</v>
      </c>
      <c r="E1748">
        <v>0.56328540000000005</v>
      </c>
      <c r="F1748" t="s">
        <v>55</v>
      </c>
      <c r="G1748">
        <v>-260.37459999999999</v>
      </c>
      <c r="H1748" s="1">
        <v>-1.337456E-6</v>
      </c>
      <c r="I1748">
        <v>288.22149999999999</v>
      </c>
      <c r="J1748">
        <v>-210.39230000000001</v>
      </c>
      <c r="K1748">
        <v>1.104422</v>
      </c>
      <c r="L1748">
        <v>282.10359999999997</v>
      </c>
      <c r="M1748">
        <v>-0.99260950000000003</v>
      </c>
      <c r="N1748">
        <v>-1.494083E-2</v>
      </c>
      <c r="O1748">
        <v>-0.1204292</v>
      </c>
      <c r="P1748">
        <v>-0.98455369999999998</v>
      </c>
      <c r="Q1748">
        <v>0.16919879999999901</v>
      </c>
      <c r="R1748">
        <v>-4.5012450000000002E-2</v>
      </c>
      <c r="S1748">
        <v>-3.07843</v>
      </c>
      <c r="T1748">
        <v>-6.7661520000000003E-2</v>
      </c>
      <c r="U1748">
        <v>0.37365720000000002</v>
      </c>
      <c r="V1748">
        <v>7.6577909999999999E-2</v>
      </c>
      <c r="W1748">
        <v>0.18276410000000001</v>
      </c>
      <c r="X1748">
        <v>0.98016999999999999</v>
      </c>
      <c r="Y1748">
        <v>0.23908380000000001</v>
      </c>
      <c r="Z1748">
        <v>5.2547490000000004E-3</v>
      </c>
      <c r="AA1748">
        <v>0.97098470000000003</v>
      </c>
      <c r="AB1748">
        <v>24</v>
      </c>
      <c r="AC1748">
        <v>-49.982299999999903</v>
      </c>
      <c r="AD1748">
        <v>-1.104423337456</v>
      </c>
      <c r="AE1748">
        <v>6.1179000000000103</v>
      </c>
      <c r="AF1748">
        <v>12.0875491044567</v>
      </c>
      <c r="AG1748">
        <v>-1.104423337456</v>
      </c>
      <c r="AH1748">
        <v>48.858084567916798</v>
      </c>
      <c r="AI1748">
        <v>91.257048269371694</v>
      </c>
      <c r="AJ1748">
        <v>76.103983041116294</v>
      </c>
      <c r="AK1748">
        <v>50.343232136074498</v>
      </c>
      <c r="AL1748">
        <v>79.469198259170398</v>
      </c>
      <c r="AM1748">
        <v>85.532717257565196</v>
      </c>
      <c r="AN1748">
        <v>1.00000006072438</v>
      </c>
    </row>
    <row r="1749" spans="1:40" x14ac:dyDescent="0.25">
      <c r="A1749" t="str">
        <f>"20190304155629125"</f>
        <v>20190304155629125</v>
      </c>
      <c r="B1749" t="str">
        <f>"1551686189116285"</f>
        <v>1551686189116285</v>
      </c>
      <c r="C1749" t="s">
        <v>40</v>
      </c>
      <c r="D1749">
        <v>4.8898519999999897</v>
      </c>
      <c r="E1749">
        <v>0.56181789999999998</v>
      </c>
      <c r="F1749" t="s">
        <v>55</v>
      </c>
      <c r="G1749">
        <v>-254.72470000000001</v>
      </c>
      <c r="H1749" s="1">
        <v>9.7745439999999993E-7</v>
      </c>
      <c r="I1749">
        <v>287.58229999999998</v>
      </c>
      <c r="J1749">
        <v>-210.62450000000001</v>
      </c>
      <c r="K1749">
        <v>1.1048199999999999</v>
      </c>
      <c r="L1749">
        <v>282.08569999999997</v>
      </c>
      <c r="M1749">
        <v>-0.99361469999999996</v>
      </c>
      <c r="N1749">
        <v>-1.4847859999999999E-2</v>
      </c>
      <c r="O1749">
        <v>-0.1118465</v>
      </c>
      <c r="P1749">
        <v>-0.98454680000000006</v>
      </c>
      <c r="Q1749">
        <v>0.1702446</v>
      </c>
      <c r="R1749">
        <v>-4.1044629999999999E-2</v>
      </c>
      <c r="S1749">
        <v>-3.0776370000000002</v>
      </c>
      <c r="T1749">
        <v>-7.6670890000000005E-2</v>
      </c>
      <c r="U1749">
        <v>0.38034059999999997</v>
      </c>
      <c r="V1749">
        <v>7.1863659999999996E-2</v>
      </c>
      <c r="W1749">
        <v>0.1838554</v>
      </c>
      <c r="X1749">
        <v>0.98032280000000005</v>
      </c>
      <c r="Y1749">
        <v>0.23277390000000001</v>
      </c>
      <c r="Z1749">
        <v>5.7448639999999997E-3</v>
      </c>
      <c r="AA1749">
        <v>0.97251390000000004</v>
      </c>
      <c r="AB1749">
        <v>24</v>
      </c>
      <c r="AC1749">
        <v>-44.100200000000001</v>
      </c>
      <c r="AD1749">
        <v>-1.1048190225456</v>
      </c>
      <c r="AE1749">
        <v>5.4965999999999999</v>
      </c>
      <c r="AF1749">
        <v>10.388679614419599</v>
      </c>
      <c r="AG1749">
        <v>-1.1048190225456</v>
      </c>
      <c r="AH1749">
        <v>43.181901285055503</v>
      </c>
      <c r="AI1749">
        <v>91.424966213862007</v>
      </c>
      <c r="AJ1749">
        <v>76.472877033551995</v>
      </c>
      <c r="AK1749">
        <v>44.427715311457497</v>
      </c>
      <c r="AL1749">
        <v>79.405592881447106</v>
      </c>
      <c r="AM1749">
        <v>85.807368131015096</v>
      </c>
      <c r="AN1749">
        <v>0.99999999296879705</v>
      </c>
    </row>
    <row r="1750" spans="1:40" x14ac:dyDescent="0.25">
      <c r="A1750" t="str">
        <f>"20190304155629149"</f>
        <v>20190304155629149</v>
      </c>
      <c r="B1750" t="str">
        <f>"1551686189136784"</f>
        <v>1551686189136784</v>
      </c>
      <c r="C1750" t="s">
        <v>40</v>
      </c>
      <c r="D1750">
        <v>4.9025600000000003</v>
      </c>
      <c r="E1750">
        <v>0.56081910000000001</v>
      </c>
      <c r="F1750" t="s">
        <v>55</v>
      </c>
      <c r="G1750">
        <v>-255.642</v>
      </c>
      <c r="H1750" s="1">
        <v>1.465608E-6</v>
      </c>
      <c r="I1750">
        <v>287.64760000000001</v>
      </c>
      <c r="J1750">
        <v>-210.88030000000001</v>
      </c>
      <c r="K1750">
        <v>1.1052770000000001</v>
      </c>
      <c r="L1750">
        <v>282.0675</v>
      </c>
      <c r="M1750">
        <v>-0.99457450000000003</v>
      </c>
      <c r="N1750">
        <v>-1.474894E-2</v>
      </c>
      <c r="O1750">
        <v>-0.10297630000000001</v>
      </c>
      <c r="P1750">
        <v>-0.98437209999999997</v>
      </c>
      <c r="Q1750">
        <v>0.17228060000000001</v>
      </c>
      <c r="R1750">
        <v>-3.6484750000000003E-2</v>
      </c>
      <c r="S1750">
        <v>-3.075974</v>
      </c>
      <c r="T1750">
        <v>-7.5490470000000004E-2</v>
      </c>
      <c r="U1750">
        <v>0.38003540000000002</v>
      </c>
      <c r="V1750">
        <v>6.7434830000000001E-2</v>
      </c>
      <c r="W1750">
        <v>0.1859239</v>
      </c>
      <c r="X1750">
        <v>0.98024730000000004</v>
      </c>
      <c r="Y1750">
        <v>0.22406400000000001</v>
      </c>
      <c r="Z1750">
        <v>5.4030619999999897E-3</v>
      </c>
      <c r="AA1750">
        <v>0.97455950000000002</v>
      </c>
      <c r="AB1750">
        <v>24</v>
      </c>
      <c r="AC1750">
        <v>-44.761699999999898</v>
      </c>
      <c r="AD1750">
        <v>-1.105275534392</v>
      </c>
      <c r="AE1750">
        <v>5.5801000000000096</v>
      </c>
      <c r="AF1750">
        <v>10.1542276768458</v>
      </c>
      <c r="AG1750">
        <v>-1.105275534392</v>
      </c>
      <c r="AH1750">
        <v>43.922635323590001</v>
      </c>
      <c r="AI1750">
        <v>91.404467255092996</v>
      </c>
      <c r="AJ1750">
        <v>76.982801070913396</v>
      </c>
      <c r="AK1750">
        <v>45.094654533427999</v>
      </c>
      <c r="AL1750">
        <v>79.284997037825605</v>
      </c>
      <c r="AM1750">
        <v>86.064612193548797</v>
      </c>
      <c r="AN1750">
        <v>0.99999996102281297</v>
      </c>
    </row>
    <row r="1751" spans="1:40" x14ac:dyDescent="0.25">
      <c r="A1751" t="str">
        <f>"20190304155629171"</f>
        <v>20190304155629171</v>
      </c>
      <c r="B1751" t="str">
        <f>"1551686189166061"</f>
        <v>1551686189166061</v>
      </c>
      <c r="C1751" t="s">
        <v>40</v>
      </c>
      <c r="D1751">
        <v>4.9093650000000002</v>
      </c>
      <c r="E1751">
        <v>0.55902929999999995</v>
      </c>
      <c r="F1751" t="s">
        <v>55</v>
      </c>
      <c r="G1751">
        <v>-257.74849999999998</v>
      </c>
      <c r="H1751" s="1">
        <v>2.586579E-6</v>
      </c>
      <c r="I1751">
        <v>287.93</v>
      </c>
      <c r="J1751">
        <v>-211.1148</v>
      </c>
      <c r="K1751">
        <v>1.1056790000000001</v>
      </c>
      <c r="L1751">
        <v>282.05220000000003</v>
      </c>
      <c r="M1751">
        <v>-0.99532810000000005</v>
      </c>
      <c r="N1751">
        <v>-1.466203E-2</v>
      </c>
      <c r="O1751">
        <v>-9.5430559999999998E-2</v>
      </c>
      <c r="P1751">
        <v>-0.98440559999999999</v>
      </c>
      <c r="Q1751">
        <v>0.172652</v>
      </c>
      <c r="R1751">
        <v>-3.3723639999999999E-2</v>
      </c>
      <c r="S1751">
        <v>-3.07457</v>
      </c>
      <c r="T1751">
        <v>-7.2506429999999997E-2</v>
      </c>
      <c r="U1751">
        <v>0.38458249999999999</v>
      </c>
      <c r="V1751">
        <v>6.2554719999999994E-2</v>
      </c>
      <c r="W1751">
        <v>0.1863329</v>
      </c>
      <c r="X1751">
        <v>0.98049319999999895</v>
      </c>
      <c r="Y1751">
        <v>0.21815290000000001</v>
      </c>
      <c r="Z1751">
        <v>5.0168529999999999E-3</v>
      </c>
      <c r="AA1751">
        <v>0.97590169999999998</v>
      </c>
      <c r="AB1751">
        <v>24</v>
      </c>
      <c r="AC1751">
        <v>-46.633699999999898</v>
      </c>
      <c r="AD1751">
        <v>-1.105676413421</v>
      </c>
      <c r="AE1751">
        <v>5.8777999999999704</v>
      </c>
      <c r="AF1751">
        <v>10.2960295572394</v>
      </c>
      <c r="AG1751">
        <v>-1.105676413421</v>
      </c>
      <c r="AH1751">
        <v>45.834476883945797</v>
      </c>
      <c r="AI1751">
        <v>91.348305404287004</v>
      </c>
      <c r="AJ1751">
        <v>77.339521126899697</v>
      </c>
      <c r="AK1751">
        <v>46.989679890372798</v>
      </c>
      <c r="AL1751">
        <v>79.261146475733398</v>
      </c>
      <c r="AM1751">
        <v>86.349520406084693</v>
      </c>
      <c r="AN1751">
        <v>0.99999997893146397</v>
      </c>
    </row>
    <row r="1752" spans="1:40" x14ac:dyDescent="0.25">
      <c r="A1752" t="str">
        <f>"20190304155629191"</f>
        <v>20190304155629191</v>
      </c>
      <c r="B1752" t="str">
        <f>"1551686189186558"</f>
        <v>1551686189186558</v>
      </c>
      <c r="C1752" t="s">
        <v>40</v>
      </c>
      <c r="D1752">
        <v>4.9319430000000004</v>
      </c>
      <c r="E1752">
        <v>0.55784549999999999</v>
      </c>
      <c r="F1752" t="s">
        <v>55</v>
      </c>
      <c r="G1752">
        <v>-255.05600000000001</v>
      </c>
      <c r="H1752" s="1">
        <v>1.1537550000000001E-6</v>
      </c>
      <c r="I1752">
        <v>287.45569999999998</v>
      </c>
      <c r="J1752">
        <v>-211.3356</v>
      </c>
      <c r="K1752">
        <v>1.1060399999999999</v>
      </c>
      <c r="L1752">
        <v>282.03890000000001</v>
      </c>
      <c r="M1752">
        <v>-0.99594050000000001</v>
      </c>
      <c r="N1752">
        <v>-1.458333E-2</v>
      </c>
      <c r="O1752">
        <v>-8.882487E-2</v>
      </c>
      <c r="P1752">
        <v>-0.98436049999999997</v>
      </c>
      <c r="Q1752">
        <v>0.1731116</v>
      </c>
      <c r="R1752">
        <v>-3.2661719999999998E-2</v>
      </c>
      <c r="S1752">
        <v>-3.0740509999999999</v>
      </c>
      <c r="T1752">
        <v>-7.7351329999999996E-2</v>
      </c>
      <c r="U1752">
        <v>0.3780212</v>
      </c>
      <c r="V1752">
        <v>5.6929760000000003E-2</v>
      </c>
      <c r="W1752">
        <v>0.18683130000000001</v>
      </c>
      <c r="X1752">
        <v>0.98074110000000003</v>
      </c>
      <c r="Y1752">
        <v>0.20963119999999999</v>
      </c>
      <c r="Z1752">
        <v>5.0990569999999997E-3</v>
      </c>
      <c r="AA1752">
        <v>0.97776719999999895</v>
      </c>
      <c r="AB1752">
        <v>23</v>
      </c>
      <c r="AC1752">
        <v>-43.720399999999898</v>
      </c>
      <c r="AD1752">
        <v>-1.1060388462449999</v>
      </c>
      <c r="AE1752">
        <v>5.4167999999999603</v>
      </c>
      <c r="AF1752">
        <v>9.2734109201404191</v>
      </c>
      <c r="AG1752">
        <v>-1.1060388462449999</v>
      </c>
      <c r="AH1752">
        <v>43.039221830021397</v>
      </c>
      <c r="AI1752">
        <v>91.439074408266606</v>
      </c>
      <c r="AJ1752">
        <v>77.840701405887302</v>
      </c>
      <c r="AK1752">
        <v>44.040822968661402</v>
      </c>
      <c r="AL1752">
        <v>79.232080263386905</v>
      </c>
      <c r="AM1752">
        <v>86.677840111414099</v>
      </c>
      <c r="AN1752">
        <v>1.0000000187312701</v>
      </c>
    </row>
    <row r="1753" spans="1:40" x14ac:dyDescent="0.25">
      <c r="A1753" t="str">
        <f>"20190304155629213"</f>
        <v>20190304155629213</v>
      </c>
      <c r="B1753" t="str">
        <f>"1551686189206076"</f>
        <v>1551686189206076</v>
      </c>
      <c r="C1753" t="s">
        <v>40</v>
      </c>
      <c r="D1753">
        <v>4.9686680000000001</v>
      </c>
      <c r="E1753">
        <v>0.54327579999999998</v>
      </c>
      <c r="F1753" t="s">
        <v>55</v>
      </c>
      <c r="G1753">
        <v>-254.94649999999999</v>
      </c>
      <c r="H1753" s="1">
        <v>1.095496E-6</v>
      </c>
      <c r="I1753">
        <v>287.31630000000001</v>
      </c>
      <c r="J1753">
        <v>-211.57220000000001</v>
      </c>
      <c r="K1753">
        <v>1.106352</v>
      </c>
      <c r="L1753">
        <v>282.0258</v>
      </c>
      <c r="M1753">
        <v>-0.99651290000000003</v>
      </c>
      <c r="N1753">
        <v>-1.450485E-2</v>
      </c>
      <c r="O1753">
        <v>-8.2169309999999995E-2</v>
      </c>
      <c r="P1753">
        <v>-0.98404840000000005</v>
      </c>
      <c r="Q1753">
        <v>0.174507</v>
      </c>
      <c r="R1753">
        <v>-3.4587850000000003E-2</v>
      </c>
      <c r="S1753">
        <v>-3.073715</v>
      </c>
      <c r="T1753">
        <v>-7.7954049999999997E-2</v>
      </c>
      <c r="U1753">
        <v>0.37194820000000001</v>
      </c>
      <c r="V1753">
        <v>4.8287150000000001E-2</v>
      </c>
      <c r="W1753">
        <v>0.18828049999999999</v>
      </c>
      <c r="X1753">
        <v>0.98092749999999995</v>
      </c>
      <c r="Y1753">
        <v>0.20120389999999999</v>
      </c>
      <c r="Z1753">
        <v>4.8965220000000004E-3</v>
      </c>
      <c r="AA1753">
        <v>0.97953710000000005</v>
      </c>
      <c r="AB1753">
        <v>23</v>
      </c>
      <c r="AC1753">
        <v>-43.374299999999899</v>
      </c>
      <c r="AD1753">
        <v>-1.1063509045039901</v>
      </c>
      <c r="AE1753">
        <v>5.2904999999999998</v>
      </c>
      <c r="AF1753">
        <v>8.8313552765883792</v>
      </c>
      <c r="AG1753">
        <v>-1.1063509045039901</v>
      </c>
      <c r="AH1753">
        <v>42.765415724656599</v>
      </c>
      <c r="AI1753">
        <v>91.451314968771399</v>
      </c>
      <c r="AJ1753">
        <v>78.332039067326704</v>
      </c>
      <c r="AK1753">
        <v>43.681776869169703</v>
      </c>
      <c r="AL1753">
        <v>79.147546632723902</v>
      </c>
      <c r="AM1753">
        <v>87.181832064536707</v>
      </c>
      <c r="AN1753">
        <v>0.99999997789581097</v>
      </c>
    </row>
    <row r="1754" spans="1:40" x14ac:dyDescent="0.25">
      <c r="A1754" t="str">
        <f>"20190304155629248"</f>
        <v>20190304155629248</v>
      </c>
      <c r="B1754" t="str">
        <f>"1551686189236336"</f>
        <v>1551686189236336</v>
      </c>
      <c r="C1754" t="s">
        <v>40</v>
      </c>
      <c r="D1754">
        <v>4.9819589999999998</v>
      </c>
      <c r="E1754">
        <v>0.54417320000000002</v>
      </c>
      <c r="F1754" t="s">
        <v>55</v>
      </c>
      <c r="G1754">
        <v>-242.69370000000001</v>
      </c>
      <c r="H1754" s="1">
        <v>-1.0334799999999999E-7</v>
      </c>
      <c r="I1754">
        <v>284.56959999999998</v>
      </c>
      <c r="J1754">
        <v>-211.9271</v>
      </c>
      <c r="K1754">
        <v>1.1067279999999999</v>
      </c>
      <c r="L1754">
        <v>282.00819999999999</v>
      </c>
      <c r="M1754">
        <v>-0.99723669999999998</v>
      </c>
      <c r="N1754">
        <v>-1.4400420000000001E-2</v>
      </c>
      <c r="O1754">
        <v>-7.2882089999999997E-2</v>
      </c>
      <c r="P1754">
        <v>-0.98375270000000004</v>
      </c>
      <c r="Q1754">
        <v>0.17615159999999999</v>
      </c>
      <c r="R1754">
        <v>-3.466197E-2</v>
      </c>
      <c r="S1754">
        <v>-3.076889</v>
      </c>
      <c r="T1754">
        <v>-0.1093819</v>
      </c>
      <c r="U1754">
        <v>0.25149539999999998</v>
      </c>
      <c r="V1754">
        <v>3.8876790000000001E-2</v>
      </c>
      <c r="W1754">
        <v>0.1899506</v>
      </c>
      <c r="X1754">
        <v>0.9810236</v>
      </c>
      <c r="Y1754">
        <v>0.15374380000000001</v>
      </c>
      <c r="Z1754">
        <v>5.3751679999999996E-3</v>
      </c>
      <c r="AA1754">
        <v>0.98809610000000003</v>
      </c>
      <c r="AB1754">
        <v>23</v>
      </c>
      <c r="AC1754">
        <v>-30.7666</v>
      </c>
      <c r="AD1754">
        <v>-1.1067281033480001</v>
      </c>
      <c r="AE1754">
        <v>2.5613999999999901</v>
      </c>
      <c r="AF1754">
        <v>4.7909964064463404</v>
      </c>
      <c r="AG1754">
        <v>-1.1067281033480001</v>
      </c>
      <c r="AH1754">
        <v>30.458920182591399</v>
      </c>
      <c r="AI1754">
        <v>92.055680139358401</v>
      </c>
      <c r="AJ1754">
        <v>81.060975432533297</v>
      </c>
      <c r="AK1754">
        <v>30.853270691302601</v>
      </c>
      <c r="AL1754">
        <v>79.050098375603895</v>
      </c>
      <c r="AM1754">
        <v>87.7306243754702</v>
      </c>
      <c r="AN1754">
        <v>0.99999996949901104</v>
      </c>
    </row>
    <row r="1755" spans="1:40" x14ac:dyDescent="0.25">
      <c r="A1755" t="str">
        <f>"20190304155629269"</f>
        <v>20190304155629269</v>
      </c>
      <c r="B1755" t="str">
        <f>"1551686189266589"</f>
        <v>1551686189266589</v>
      </c>
      <c r="C1755" t="s">
        <v>40</v>
      </c>
      <c r="D1755">
        <v>5.0785679999999997</v>
      </c>
      <c r="E1755">
        <v>0.54274029999999995</v>
      </c>
      <c r="F1755" t="s">
        <v>55</v>
      </c>
      <c r="G1755">
        <v>-247.79650000000001</v>
      </c>
      <c r="H1755" s="1">
        <v>2.6121139999999999E-6</v>
      </c>
      <c r="I1755">
        <v>285.02769999999998</v>
      </c>
      <c r="J1755">
        <v>-212.15819999999999</v>
      </c>
      <c r="K1755">
        <v>1.106938</v>
      </c>
      <c r="L1755">
        <v>281.99810000000002</v>
      </c>
      <c r="M1755">
        <v>-0.99763239999999997</v>
      </c>
      <c r="N1755">
        <v>-1.433886E-2</v>
      </c>
      <c r="O1755">
        <v>-6.7261730000000006E-2</v>
      </c>
      <c r="P1755">
        <v>-0.98353369999999996</v>
      </c>
      <c r="Q1755">
        <v>0.17738280000000001</v>
      </c>
      <c r="R1755">
        <v>-3.4600499999999999E-2</v>
      </c>
      <c r="S1755">
        <v>-3.0756839999999999</v>
      </c>
      <c r="T1755">
        <v>-9.4898099999999999E-2</v>
      </c>
      <c r="U1755">
        <v>0.25891110000000001</v>
      </c>
      <c r="V1755">
        <v>3.3296840000000001E-2</v>
      </c>
      <c r="W1755">
        <v>0.19118740000000001</v>
      </c>
      <c r="X1755">
        <v>0.98098859999999999</v>
      </c>
      <c r="Y1755">
        <v>0.150611299999999</v>
      </c>
      <c r="Z1755">
        <v>4.5098919999999997E-3</v>
      </c>
      <c r="AA1755">
        <v>0.98858279999999998</v>
      </c>
      <c r="AB1755">
        <v>23</v>
      </c>
      <c r="AC1755">
        <v>-35.638300000000001</v>
      </c>
      <c r="AD1755">
        <v>-1.106935387886</v>
      </c>
      <c r="AE1755">
        <v>3.0295999999999501</v>
      </c>
      <c r="AF1755">
        <v>5.4148911637939898</v>
      </c>
      <c r="AG1755">
        <v>-1.106935387886</v>
      </c>
      <c r="AH1755">
        <v>35.319948488080797</v>
      </c>
      <c r="AI1755">
        <v>91.774357930701797</v>
      </c>
      <c r="AJ1755">
        <v>81.283865301052899</v>
      </c>
      <c r="AK1755">
        <v>35.749756830912403</v>
      </c>
      <c r="AL1755">
        <v>78.977912023784697</v>
      </c>
      <c r="AM1755">
        <v>88.056005663254894</v>
      </c>
      <c r="AN1755">
        <v>0.999999967401352</v>
      </c>
    </row>
    <row r="1756" spans="1:40" x14ac:dyDescent="0.25">
      <c r="A1756" t="str">
        <f>"20190304155629292"</f>
        <v>20190304155629292</v>
      </c>
      <c r="B1756" t="str">
        <f>"1551686189286109"</f>
        <v>1551686189286109</v>
      </c>
      <c r="C1756" t="s">
        <v>40</v>
      </c>
      <c r="D1756">
        <v>5.1624930000000004</v>
      </c>
      <c r="E1756">
        <v>0.54175379999999995</v>
      </c>
      <c r="F1756" t="s">
        <v>55</v>
      </c>
      <c r="G1756">
        <v>-248.78649999999999</v>
      </c>
      <c r="H1756" s="1">
        <v>3.138963E-6</v>
      </c>
      <c r="I1756">
        <v>284.93830000000003</v>
      </c>
      <c r="J1756">
        <v>-212.3982</v>
      </c>
      <c r="K1756">
        <v>1.1071770000000001</v>
      </c>
      <c r="L1756">
        <v>281.98860000000002</v>
      </c>
      <c r="M1756">
        <v>-0.9979846</v>
      </c>
      <c r="N1756">
        <v>-1.42773E-2</v>
      </c>
      <c r="O1756">
        <v>-6.1831400000000002E-2</v>
      </c>
      <c r="P1756">
        <v>-0.9836317</v>
      </c>
      <c r="Q1756">
        <v>0.17684520000000001</v>
      </c>
      <c r="R1756">
        <v>-3.4566909999999999E-2</v>
      </c>
      <c r="S1756">
        <v>-3.0756679999999998</v>
      </c>
      <c r="T1756">
        <v>-9.2948909999999996E-2</v>
      </c>
      <c r="U1756">
        <v>0.2468872</v>
      </c>
      <c r="V1756">
        <v>2.7867220000000002E-2</v>
      </c>
      <c r="W1756">
        <v>0.1906552</v>
      </c>
      <c r="X1756">
        <v>0.98126139999999995</v>
      </c>
      <c r="Y1756">
        <v>0.14139760000000001</v>
      </c>
      <c r="Z1756">
        <v>4.128296E-3</v>
      </c>
      <c r="AA1756">
        <v>0.9899443</v>
      </c>
      <c r="AB1756">
        <v>23</v>
      </c>
      <c r="AC1756">
        <v>-36.388300000000001</v>
      </c>
      <c r="AD1756">
        <v>-1.1071738610369899</v>
      </c>
      <c r="AE1756">
        <v>2.9497</v>
      </c>
      <c r="AF1756">
        <v>5.1894506178608903</v>
      </c>
      <c r="AG1756">
        <v>-1.1071738610369899</v>
      </c>
      <c r="AH1756">
        <v>36.1030527731305</v>
      </c>
      <c r="AI1756">
        <v>91.738682954679703</v>
      </c>
      <c r="AJ1756">
        <v>81.820334877843095</v>
      </c>
      <c r="AK1756">
        <v>36.490911898899299</v>
      </c>
      <c r="AL1756">
        <v>79.0089761856525</v>
      </c>
      <c r="AM1756">
        <v>88.3732723535106</v>
      </c>
      <c r="AN1756">
        <v>0.999999961183763</v>
      </c>
    </row>
    <row r="1757" spans="1:40" x14ac:dyDescent="0.25">
      <c r="A1757" t="str">
        <f>"20190304155629314"</f>
        <v>20190304155629314</v>
      </c>
      <c r="B1757" t="str">
        <f>"1551686189306605"</f>
        <v>1551686189306605</v>
      </c>
      <c r="C1757" t="s">
        <v>40</v>
      </c>
      <c r="D1757">
        <v>4.9705279999999998</v>
      </c>
      <c r="E1757">
        <v>0.54218789999999994</v>
      </c>
      <c r="F1757" t="s">
        <v>55</v>
      </c>
      <c r="G1757">
        <v>-247.31299999999999</v>
      </c>
      <c r="H1757" s="1">
        <v>2.3548119999999998E-6</v>
      </c>
      <c r="I1757">
        <v>284.69060000000002</v>
      </c>
      <c r="J1757">
        <v>-212.6335</v>
      </c>
      <c r="K1757">
        <v>1.107443</v>
      </c>
      <c r="L1757">
        <v>281.98020000000002</v>
      </c>
      <c r="M1757">
        <v>-0.99828030000000001</v>
      </c>
      <c r="N1757">
        <v>-1.42197E-2</v>
      </c>
      <c r="O1757">
        <v>-5.6872440000000003E-2</v>
      </c>
      <c r="P1757">
        <v>-0.98383149999999997</v>
      </c>
      <c r="Q1757">
        <v>0.17551929999999999</v>
      </c>
      <c r="R1757">
        <v>-3.561653E-2</v>
      </c>
      <c r="S1757">
        <v>-3.075806</v>
      </c>
      <c r="T1757">
        <v>-9.7536209999999998E-2</v>
      </c>
      <c r="U1757">
        <v>0.2380371</v>
      </c>
      <c r="V1757">
        <v>2.1808890000000001E-2</v>
      </c>
      <c r="W1757">
        <v>0.1893406</v>
      </c>
      <c r="X1757">
        <v>0.98166920000000002</v>
      </c>
      <c r="Y1757">
        <v>0.1336376</v>
      </c>
      <c r="Z1757">
        <v>4.0604120000000002E-3</v>
      </c>
      <c r="AA1757">
        <v>0.99102190000000001</v>
      </c>
      <c r="AB1757">
        <v>23</v>
      </c>
      <c r="AC1757">
        <v>-34.679499999999898</v>
      </c>
      <c r="AD1757">
        <v>-1.1074406451879999</v>
      </c>
      <c r="AE1757">
        <v>2.7103999999999902</v>
      </c>
      <c r="AF1757">
        <v>4.6737820179007601</v>
      </c>
      <c r="AG1757">
        <v>-1.1074406451879999</v>
      </c>
      <c r="AH1757">
        <v>34.434294310106999</v>
      </c>
      <c r="AI1757">
        <v>91.825327918254402</v>
      </c>
      <c r="AJ1757">
        <v>82.270454009289793</v>
      </c>
      <c r="AK1757">
        <v>34.767675904042498</v>
      </c>
      <c r="AL1757">
        <v>79.085694617522705</v>
      </c>
      <c r="AM1757">
        <v>88.727318899235499</v>
      </c>
      <c r="AN1757">
        <v>0.99999995436001499</v>
      </c>
    </row>
    <row r="1758" spans="1:40" x14ac:dyDescent="0.25">
      <c r="A1758" t="str">
        <f>"20190304155629336"</f>
        <v>20190304155629336</v>
      </c>
      <c r="B1758" t="str">
        <f>"1551686189326125"</f>
        <v>1551686189326125</v>
      </c>
      <c r="C1758" t="s">
        <v>40</v>
      </c>
      <c r="D1758">
        <v>4.9504799999999998</v>
      </c>
      <c r="E1758">
        <v>0.58571269999999998</v>
      </c>
      <c r="F1758" t="s">
        <v>55</v>
      </c>
      <c r="G1758">
        <v>-246.23560000000001</v>
      </c>
      <c r="H1758" s="1">
        <v>1.7815119999999999E-6</v>
      </c>
      <c r="I1758">
        <v>284.5908</v>
      </c>
      <c r="J1758">
        <v>-212.86340000000001</v>
      </c>
      <c r="K1758">
        <v>1.107696</v>
      </c>
      <c r="L1758">
        <v>281.97250000000003</v>
      </c>
      <c r="M1758">
        <v>-0.99853069999999999</v>
      </c>
      <c r="N1758">
        <v>-1.41686E-2</v>
      </c>
      <c r="O1758">
        <v>-5.2303240000000001E-2</v>
      </c>
      <c r="P1758">
        <v>-0.98392029999999997</v>
      </c>
      <c r="Q1758">
        <v>0.17482410000000001</v>
      </c>
      <c r="R1758">
        <v>-3.6571550000000001E-2</v>
      </c>
      <c r="S1758">
        <v>-3.0760350000000001</v>
      </c>
      <c r="T1758">
        <v>-0.1013783</v>
      </c>
      <c r="U1758">
        <v>0.23898320000000001</v>
      </c>
      <c r="V1758">
        <v>1.623629E-2</v>
      </c>
      <c r="W1758">
        <v>0.1886486</v>
      </c>
      <c r="X1758">
        <v>0.98191050000000002</v>
      </c>
      <c r="Y1758">
        <v>0.1293946</v>
      </c>
      <c r="Z1758">
        <v>4.0281839999999998E-3</v>
      </c>
      <c r="AA1758">
        <v>0.99158500000000005</v>
      </c>
      <c r="AB1758">
        <v>23</v>
      </c>
      <c r="AC1758">
        <v>-33.3721999999999</v>
      </c>
      <c r="AD1758">
        <v>-1.1076942184880001</v>
      </c>
      <c r="AE1758">
        <v>2.6182999999999699</v>
      </c>
      <c r="AF1758">
        <v>4.35559567035983</v>
      </c>
      <c r="AG1758">
        <v>-1.1076942184880001</v>
      </c>
      <c r="AH1758">
        <v>33.153251210283102</v>
      </c>
      <c r="AI1758">
        <v>91.897324476946196</v>
      </c>
      <c r="AJ1758">
        <v>82.5154808209668</v>
      </c>
      <c r="AK1758">
        <v>33.456483167503897</v>
      </c>
      <c r="AL1758">
        <v>79.126072237523402</v>
      </c>
      <c r="AM1758">
        <v>89.052677284678197</v>
      </c>
      <c r="AN1758">
        <v>1.00000007070258</v>
      </c>
    </row>
    <row r="1759" spans="1:40" x14ac:dyDescent="0.25">
      <c r="A1759" t="str">
        <f>"20190304155629361"</f>
        <v>20190304155629361</v>
      </c>
      <c r="B1759" t="str">
        <f>"1551686189356381"</f>
        <v>1551686189356381</v>
      </c>
      <c r="C1759" t="s">
        <v>40</v>
      </c>
      <c r="D1759">
        <v>5.0810550000000001</v>
      </c>
      <c r="E1759">
        <v>0.58581499999999997</v>
      </c>
      <c r="F1759" t="s">
        <v>55</v>
      </c>
      <c r="G1759">
        <v>-263.83620000000002</v>
      </c>
      <c r="H1759">
        <v>8.0001149999999993E-2</v>
      </c>
      <c r="I1759">
        <v>291.6182</v>
      </c>
      <c r="J1759">
        <v>-213.11789999999999</v>
      </c>
      <c r="K1759">
        <v>1.1079460000000001</v>
      </c>
      <c r="L1759">
        <v>281.9649</v>
      </c>
      <c r="M1759">
        <v>-0.99876759999999998</v>
      </c>
      <c r="N1759">
        <v>-1.4118489999999999E-2</v>
      </c>
      <c r="O1759">
        <v>-4.7579589999999998E-2</v>
      </c>
      <c r="P1759">
        <v>-0.98399420000000004</v>
      </c>
      <c r="Q1759">
        <v>0.17461740000000001</v>
      </c>
      <c r="R1759">
        <v>-3.5553420000000002E-2</v>
      </c>
      <c r="S1759">
        <v>-3.0817260000000002</v>
      </c>
      <c r="T1759">
        <v>-6.2132600000000003E-2</v>
      </c>
      <c r="U1759">
        <v>0.58316040000000002</v>
      </c>
      <c r="V1759">
        <v>1.2486209999999999E-2</v>
      </c>
      <c r="W1759">
        <v>0.1884266</v>
      </c>
      <c r="X1759">
        <v>0.98200790000000004</v>
      </c>
      <c r="Y1759">
        <v>0.23239660000000001</v>
      </c>
      <c r="Z1759">
        <v>4.2634969999999998E-3</v>
      </c>
      <c r="AA1759">
        <v>0.97261180000000003</v>
      </c>
      <c r="AB1759">
        <v>23</v>
      </c>
      <c r="AC1759">
        <v>-50.718299999999999</v>
      </c>
      <c r="AD1759">
        <v>-1.0279448499999999</v>
      </c>
      <c r="AE1759">
        <v>9.6532999999999998</v>
      </c>
      <c r="AF1759">
        <v>12.0509843437535</v>
      </c>
      <c r="AG1759">
        <v>-1.0279448499999999</v>
      </c>
      <c r="AH1759">
        <v>50.181608651875202</v>
      </c>
      <c r="AI1759">
        <v>91.141077626503105</v>
      </c>
      <c r="AJ1759">
        <v>76.496279932298094</v>
      </c>
      <c r="AK1759">
        <v>51.618569731812499</v>
      </c>
      <c r="AL1759">
        <v>79.139023428723405</v>
      </c>
      <c r="AM1759">
        <v>89.271524612584997</v>
      </c>
      <c r="AN1759">
        <v>1.0000000023450599</v>
      </c>
    </row>
    <row r="1760" spans="1:40" x14ac:dyDescent="0.25">
      <c r="A1760" t="str">
        <f>"20190304155629383"</f>
        <v>20190304155629383</v>
      </c>
      <c r="B1760" t="str">
        <f>"1551686189376877"</f>
        <v>1551686189376877</v>
      </c>
      <c r="C1760" t="s">
        <v>40</v>
      </c>
      <c r="D1760">
        <v>5.0807200000000003</v>
      </c>
      <c r="E1760">
        <v>0.58458599999999905</v>
      </c>
      <c r="F1760" t="s">
        <v>55</v>
      </c>
      <c r="G1760">
        <v>-257.73829999999998</v>
      </c>
      <c r="H1760">
        <v>8.0000829999999995E-2</v>
      </c>
      <c r="I1760">
        <v>290.47969999999998</v>
      </c>
      <c r="J1760">
        <v>-213.3545</v>
      </c>
      <c r="K1760">
        <v>1.108144</v>
      </c>
      <c r="L1760">
        <v>281.95850000000002</v>
      </c>
      <c r="M1760">
        <v>-0.99895270000000003</v>
      </c>
      <c r="N1760">
        <v>-1.4075890000000001E-2</v>
      </c>
      <c r="O1760">
        <v>-4.3536390000000001E-2</v>
      </c>
      <c r="P1760">
        <v>-0.98408010000000001</v>
      </c>
      <c r="Q1760">
        <v>0.17438970000000001</v>
      </c>
      <c r="R1760">
        <v>-3.4273999999999999E-2</v>
      </c>
      <c r="S1760">
        <v>-3.0826570000000002</v>
      </c>
      <c r="T1760">
        <v>-7.1016789999999996E-2</v>
      </c>
      <c r="U1760">
        <v>0.58825680000000002</v>
      </c>
      <c r="V1760">
        <v>9.6881250000000006E-3</v>
      </c>
      <c r="W1760">
        <v>0.18817929999999999</v>
      </c>
      <c r="X1760">
        <v>0.98208689999999998</v>
      </c>
      <c r="Y1760">
        <v>0.2299389</v>
      </c>
      <c r="Z1760">
        <v>4.6455960000000001E-3</v>
      </c>
      <c r="AA1760">
        <v>0.973194</v>
      </c>
      <c r="AB1760">
        <v>23</v>
      </c>
      <c r="AC1760">
        <v>-44.383799999999901</v>
      </c>
      <c r="AD1760">
        <v>-1.0281431700000001</v>
      </c>
      <c r="AE1760">
        <v>8.5211999999999595</v>
      </c>
      <c r="AF1760">
        <v>10.4402176310144</v>
      </c>
      <c r="AG1760">
        <v>-1.0281431700000001</v>
      </c>
      <c r="AH1760">
        <v>43.947945242396202</v>
      </c>
      <c r="AI1760">
        <v>91.303891506183206</v>
      </c>
      <c r="AJ1760">
        <v>76.636596814343605</v>
      </c>
      <c r="AK1760">
        <v>45.182708125892802</v>
      </c>
      <c r="AL1760">
        <v>79.153450673416401</v>
      </c>
      <c r="AM1760">
        <v>89.434804935488401</v>
      </c>
      <c r="AN1760">
        <v>0.99999999393305705</v>
      </c>
    </row>
    <row r="1761" spans="1:40" x14ac:dyDescent="0.25">
      <c r="A1761" t="str">
        <f>"20190304155629404"</f>
        <v>20190304155629404</v>
      </c>
      <c r="B1761" t="str">
        <f>"1551686189396398"</f>
        <v>1551686189396398</v>
      </c>
      <c r="C1761" t="s">
        <v>40</v>
      </c>
      <c r="D1761">
        <v>5.0499549999999997</v>
      </c>
      <c r="E1761">
        <v>0.58428080000000004</v>
      </c>
      <c r="F1761" t="s">
        <v>55</v>
      </c>
      <c r="G1761">
        <v>-254.59719999999999</v>
      </c>
      <c r="H1761">
        <v>8.0001370000000002E-2</v>
      </c>
      <c r="I1761">
        <v>289.75619999999998</v>
      </c>
      <c r="J1761">
        <v>-213.5643</v>
      </c>
      <c r="K1761">
        <v>1.108311</v>
      </c>
      <c r="L1761">
        <v>281.95319999999998</v>
      </c>
      <c r="M1761">
        <v>-0.99909119999999996</v>
      </c>
      <c r="N1761">
        <v>-1.404004E-2</v>
      </c>
      <c r="O1761">
        <v>-4.0244700000000001E-2</v>
      </c>
      <c r="P1761">
        <v>-0.98421930000000002</v>
      </c>
      <c r="Q1761">
        <v>0.17389540000000001</v>
      </c>
      <c r="R1761">
        <v>-3.2755729999999997E-2</v>
      </c>
      <c r="S1761">
        <v>-3.0824280000000002</v>
      </c>
      <c r="T1761">
        <v>-7.6842069999999998E-2</v>
      </c>
      <c r="U1761">
        <v>0.58279419999999904</v>
      </c>
      <c r="V1761">
        <v>7.8853940000000004E-3</v>
      </c>
      <c r="W1761">
        <v>0.18766459999999999</v>
      </c>
      <c r="X1761">
        <v>0.98220149999999995</v>
      </c>
      <c r="Y1761">
        <v>0.22506680000000001</v>
      </c>
      <c r="Z1761">
        <v>4.8099969999999999E-3</v>
      </c>
      <c r="AA1761">
        <v>0.97433139999999996</v>
      </c>
      <c r="AB1761">
        <v>23</v>
      </c>
      <c r="AC1761">
        <v>-41.032899999999898</v>
      </c>
      <c r="AD1761">
        <v>-1.0283096300000001</v>
      </c>
      <c r="AE1761">
        <v>7.8029999999999902</v>
      </c>
      <c r="AF1761">
        <v>9.4424734994138895</v>
      </c>
      <c r="AG1761">
        <v>-1.0283096300000001</v>
      </c>
      <c r="AH1761">
        <v>40.660945210823101</v>
      </c>
      <c r="AI1761">
        <v>91.411158212815394</v>
      </c>
      <c r="AJ1761">
        <v>76.926235797102805</v>
      </c>
      <c r="AK1761">
        <v>41.755600725170297</v>
      </c>
      <c r="AL1761">
        <v>79.183475631319894</v>
      </c>
      <c r="AM1761">
        <v>89.540023009840198</v>
      </c>
      <c r="AN1761">
        <v>0.99999998406697199</v>
      </c>
    </row>
    <row r="1762" spans="1:40" x14ac:dyDescent="0.25">
      <c r="A1762" t="str">
        <f>"20190304155629425"</f>
        <v>20190304155629425</v>
      </c>
      <c r="B1762" t="str">
        <f>"1551686189416893"</f>
        <v>1551686189416893</v>
      </c>
      <c r="C1762" t="s">
        <v>40</v>
      </c>
      <c r="D1762">
        <v>5.1016269999999997</v>
      </c>
      <c r="E1762">
        <v>0.58426239999999996</v>
      </c>
      <c r="F1762" t="s">
        <v>55</v>
      </c>
      <c r="G1762">
        <v>-253.9452</v>
      </c>
      <c r="H1762">
        <v>3.9498569999999997E-2</v>
      </c>
      <c r="I1762">
        <v>289.61630000000002</v>
      </c>
      <c r="J1762">
        <v>-213.79140000000001</v>
      </c>
      <c r="K1762">
        <v>1.1084909999999999</v>
      </c>
      <c r="L1762">
        <v>281.94819999999999</v>
      </c>
      <c r="M1762">
        <v>-0.99921839999999995</v>
      </c>
      <c r="N1762">
        <v>-1.4003410000000001E-2</v>
      </c>
      <c r="O1762">
        <v>-3.6964669999999998E-2</v>
      </c>
      <c r="P1762">
        <v>-0.98442439999999998</v>
      </c>
      <c r="Q1762">
        <v>0.1729666</v>
      </c>
      <c r="R1762">
        <v>-3.1485810000000003E-2</v>
      </c>
      <c r="S1762">
        <v>-3.081985</v>
      </c>
      <c r="T1762">
        <v>-8.1574919999999995E-2</v>
      </c>
      <c r="U1762">
        <v>0.58486939999999998</v>
      </c>
      <c r="V1762">
        <v>5.8410559999999999E-3</v>
      </c>
      <c r="W1762">
        <v>0.18671560000000001</v>
      </c>
      <c r="X1762">
        <v>0.98239670000000001</v>
      </c>
      <c r="Y1762">
        <v>0.2225164</v>
      </c>
      <c r="Z1762">
        <v>4.948109E-3</v>
      </c>
      <c r="AA1762">
        <v>0.97491640000000002</v>
      </c>
      <c r="AB1762">
        <v>23</v>
      </c>
      <c r="AC1762">
        <v>-40.153799999999897</v>
      </c>
      <c r="AD1762">
        <v>-1.06899243</v>
      </c>
      <c r="AE1762">
        <v>7.6681000000000301</v>
      </c>
      <c r="AF1762">
        <v>9.1410251958847795</v>
      </c>
      <c r="AG1762">
        <v>-1.06899243</v>
      </c>
      <c r="AH1762">
        <v>39.815649221577999</v>
      </c>
      <c r="AI1762">
        <v>91.498960740461996</v>
      </c>
      <c r="AJ1762">
        <v>77.069889846102896</v>
      </c>
      <c r="AK1762">
        <v>40.8654745400435</v>
      </c>
      <c r="AL1762">
        <v>79.238828518650806</v>
      </c>
      <c r="AM1762">
        <v>89.659339335013001</v>
      </c>
      <c r="AN1762">
        <v>1.0000000546947201</v>
      </c>
    </row>
    <row r="1763" spans="1:40" x14ac:dyDescent="0.25">
      <c r="A1763" t="str">
        <f>"20190304155629448"</f>
        <v>20190304155629448</v>
      </c>
      <c r="B1763" t="str">
        <f>"1551686189436416"</f>
        <v>1551686189436416</v>
      </c>
      <c r="C1763" t="s">
        <v>40</v>
      </c>
      <c r="D1763">
        <v>5.0970550000000001</v>
      </c>
      <c r="E1763">
        <v>0.58446260000000005</v>
      </c>
      <c r="F1763" t="s">
        <v>55</v>
      </c>
      <c r="G1763">
        <v>-253.83609999999999</v>
      </c>
      <c r="H1763">
        <v>1.8199050000000001E-2</v>
      </c>
      <c r="I1763">
        <v>289.61630000000002</v>
      </c>
      <c r="J1763">
        <v>-214.0266</v>
      </c>
      <c r="K1763">
        <v>1.1086849999999999</v>
      </c>
      <c r="L1763">
        <v>281.94330000000002</v>
      </c>
      <c r="M1763">
        <v>-0.99932949999999998</v>
      </c>
      <c r="N1763">
        <v>-1.396873E-2</v>
      </c>
      <c r="O1763">
        <v>-3.3846689999999999E-2</v>
      </c>
      <c r="P1763">
        <v>-0.98436120000000005</v>
      </c>
      <c r="Q1763">
        <v>0.17370250000000001</v>
      </c>
      <c r="R1763">
        <v>-2.933297E-2</v>
      </c>
      <c r="S1763">
        <v>-3.08107</v>
      </c>
      <c r="T1763">
        <v>-8.3887929999999999E-2</v>
      </c>
      <c r="U1763">
        <v>0.58999630000000003</v>
      </c>
      <c r="V1763">
        <v>4.8342150000000002E-3</v>
      </c>
      <c r="W1763">
        <v>0.18742239999999999</v>
      </c>
      <c r="X1763">
        <v>0.98226749999999996</v>
      </c>
      <c r="Y1763">
        <v>0.2210879</v>
      </c>
      <c r="Z1763">
        <v>4.986168E-3</v>
      </c>
      <c r="AA1763">
        <v>0.97524109999999997</v>
      </c>
      <c r="AB1763">
        <v>23</v>
      </c>
      <c r="AC1763">
        <v>-39.8094999999999</v>
      </c>
      <c r="AD1763">
        <v>-1.0904859499999999</v>
      </c>
      <c r="AE1763">
        <v>7.673</v>
      </c>
      <c r="AF1763">
        <v>9.0096356893023302</v>
      </c>
      <c r="AG1763">
        <v>-1.0904859499999999</v>
      </c>
      <c r="AH1763">
        <v>39.4983789956745</v>
      </c>
      <c r="AI1763">
        <v>91.541858315938498</v>
      </c>
      <c r="AJ1763">
        <v>77.150594377794206</v>
      </c>
      <c r="AK1763">
        <v>40.527578735313597</v>
      </c>
      <c r="AL1763">
        <v>79.197603342329202</v>
      </c>
      <c r="AM1763">
        <v>89.718021943569696</v>
      </c>
      <c r="AN1763">
        <v>0.99999998360633702</v>
      </c>
    </row>
    <row r="1764" spans="1:40" x14ac:dyDescent="0.25">
      <c r="A1764" t="str">
        <f>"20190304155629470"</f>
        <v>20190304155629470</v>
      </c>
      <c r="B1764" t="str">
        <f>"1551686189466669"</f>
        <v>1551686189466669</v>
      </c>
      <c r="C1764" t="s">
        <v>40</v>
      </c>
      <c r="D1764">
        <v>5.0168629999999999</v>
      </c>
      <c r="E1764">
        <v>0.58480350000000003</v>
      </c>
      <c r="F1764" t="s">
        <v>55</v>
      </c>
      <c r="G1764">
        <v>-253.542</v>
      </c>
      <c r="H1764">
        <v>6.2943620000000006E-2</v>
      </c>
      <c r="I1764">
        <v>289.6293</v>
      </c>
      <c r="J1764">
        <v>-214.25620000000001</v>
      </c>
      <c r="K1764">
        <v>1.1088690000000001</v>
      </c>
      <c r="L1764">
        <v>281.93889999999999</v>
      </c>
      <c r="M1764">
        <v>-0.99942030000000004</v>
      </c>
      <c r="N1764">
        <v>-1.393847E-2</v>
      </c>
      <c r="O1764">
        <v>-3.1063779999999999E-2</v>
      </c>
      <c r="P1764">
        <v>-0.98418950000000005</v>
      </c>
      <c r="Q1764">
        <v>0.17522760000000001</v>
      </c>
      <c r="R1764">
        <v>-2.581663E-2</v>
      </c>
      <c r="S1764">
        <v>-3.079895</v>
      </c>
      <c r="T1764">
        <v>-8.1506729999999999E-2</v>
      </c>
      <c r="U1764">
        <v>0.59906009999999998</v>
      </c>
      <c r="V1764">
        <v>5.5261299999999998E-3</v>
      </c>
      <c r="W1764">
        <v>0.18891260000000001</v>
      </c>
      <c r="X1764">
        <v>0.98197840000000003</v>
      </c>
      <c r="Y1764">
        <v>0.22121399999999999</v>
      </c>
      <c r="Z1764">
        <v>4.8420759999999998E-3</v>
      </c>
      <c r="AA1764">
        <v>0.97521329999999995</v>
      </c>
      <c r="AB1764">
        <v>23</v>
      </c>
      <c r="AC1764">
        <v>-39.285800000000002</v>
      </c>
      <c r="AD1764">
        <v>-1.0459253799999999</v>
      </c>
      <c r="AE1764">
        <v>7.6904000000000101</v>
      </c>
      <c r="AF1764">
        <v>8.9010954863691403</v>
      </c>
      <c r="AG1764">
        <v>-1.0459253799999999</v>
      </c>
      <c r="AH1764">
        <v>39.0012967923318</v>
      </c>
      <c r="AI1764">
        <v>91.497681766573095</v>
      </c>
      <c r="AJ1764">
        <v>77.143828992404394</v>
      </c>
      <c r="AK1764">
        <v>40.017803690876597</v>
      </c>
      <c r="AL1764">
        <v>79.110668893203894</v>
      </c>
      <c r="AM1764">
        <v>89.677568688185104</v>
      </c>
      <c r="AN1764">
        <v>1.0000000433090399</v>
      </c>
    </row>
    <row r="1765" spans="1:40" x14ac:dyDescent="0.25">
      <c r="A1765" t="str">
        <f>"20190304155629493"</f>
        <v>20190304155629493</v>
      </c>
      <c r="B1765" t="str">
        <f>"1551686189486190"</f>
        <v>1551686189486190</v>
      </c>
      <c r="C1765" t="s">
        <v>40</v>
      </c>
      <c r="D1765">
        <v>5.0530400000000002</v>
      </c>
      <c r="E1765">
        <v>0.58508689999999997</v>
      </c>
      <c r="F1765" t="s">
        <v>55</v>
      </c>
      <c r="G1765">
        <v>-255.643</v>
      </c>
      <c r="H1765">
        <v>8.0000210000000002E-2</v>
      </c>
      <c r="I1765">
        <v>290.16609999999997</v>
      </c>
      <c r="J1765">
        <v>-214.48660000000001</v>
      </c>
      <c r="K1765">
        <v>1.1090370000000001</v>
      </c>
      <c r="L1765">
        <v>281.93490000000003</v>
      </c>
      <c r="M1765">
        <v>-0.99949639999999995</v>
      </c>
      <c r="N1765">
        <v>-1.39112E-2</v>
      </c>
      <c r="O1765">
        <v>-2.8526800000000001E-2</v>
      </c>
      <c r="P1765">
        <v>-0.98412100000000002</v>
      </c>
      <c r="Q1765">
        <v>0.17602479999999901</v>
      </c>
      <c r="R1765">
        <v>-2.284541E-2</v>
      </c>
      <c r="S1765">
        <v>-3.0778810000000001</v>
      </c>
      <c r="T1765">
        <v>-7.6515559999999996E-2</v>
      </c>
      <c r="U1765">
        <v>0.61184689999999997</v>
      </c>
      <c r="V1765">
        <v>5.9239920000000003E-3</v>
      </c>
      <c r="W1765">
        <v>0.1896814</v>
      </c>
      <c r="X1765">
        <v>0.98182780000000003</v>
      </c>
      <c r="Y1765">
        <v>0.22276969999999999</v>
      </c>
      <c r="Z1765">
        <v>4.6165850000000003E-3</v>
      </c>
      <c r="AA1765">
        <v>0.97486010000000001</v>
      </c>
      <c r="AB1765">
        <v>23</v>
      </c>
      <c r="AC1765">
        <v>-41.156399999999898</v>
      </c>
      <c r="AD1765">
        <v>-1.0290367899999999</v>
      </c>
      <c r="AE1765">
        <v>8.2311999999999408</v>
      </c>
      <c r="AF1765">
        <v>9.3963750323974704</v>
      </c>
      <c r="AG1765">
        <v>-1.0290367899999999</v>
      </c>
      <c r="AH1765">
        <v>40.8802412574518</v>
      </c>
      <c r="AI1765">
        <v>91.405314496795995</v>
      </c>
      <c r="AJ1765">
        <v>77.055329657584295</v>
      </c>
      <c r="AK1765">
        <v>41.9588477645908</v>
      </c>
      <c r="AL1765">
        <v>79.065808100400901</v>
      </c>
      <c r="AM1765">
        <v>89.654302291372403</v>
      </c>
      <c r="AN1765">
        <v>0.99999997802000695</v>
      </c>
    </row>
    <row r="1766" spans="1:40" x14ac:dyDescent="0.25">
      <c r="A1766" t="str">
        <f>"20190304155629514"</f>
        <v>20190304155629514</v>
      </c>
      <c r="B1766" t="str">
        <f>"1551686189506685"</f>
        <v>1551686189506685</v>
      </c>
      <c r="C1766" t="s">
        <v>40</v>
      </c>
      <c r="D1766">
        <v>5.0782449999999999</v>
      </c>
      <c r="E1766">
        <v>0.58475639999999995</v>
      </c>
      <c r="F1766" t="s">
        <v>55</v>
      </c>
      <c r="G1766">
        <v>-256.22239999999999</v>
      </c>
      <c r="H1766">
        <v>8.0000379999999996E-2</v>
      </c>
      <c r="I1766">
        <v>290.37200000000001</v>
      </c>
      <c r="J1766">
        <v>-214.714</v>
      </c>
      <c r="K1766">
        <v>1.1091629999999999</v>
      </c>
      <c r="L1766">
        <v>281.93119999999999</v>
      </c>
      <c r="M1766">
        <v>-0.99956009999999995</v>
      </c>
      <c r="N1766">
        <v>-1.388701E-2</v>
      </c>
      <c r="O1766">
        <v>-2.6203150000000001E-2</v>
      </c>
      <c r="P1766">
        <v>-0.98408070000000003</v>
      </c>
      <c r="Q1766">
        <v>0.17660989999999999</v>
      </c>
      <c r="R1766">
        <v>-1.984992E-2</v>
      </c>
      <c r="S1766">
        <v>-3.076416</v>
      </c>
      <c r="T1766">
        <v>-7.5851920000000003E-2</v>
      </c>
      <c r="U1766">
        <v>0.62191770000000002</v>
      </c>
      <c r="V1766">
        <v>6.5738589999999996E-3</v>
      </c>
      <c r="W1766">
        <v>0.19024089999999999</v>
      </c>
      <c r="X1766">
        <v>0.98171540000000002</v>
      </c>
      <c r="Y1766">
        <v>0.22366130000000001</v>
      </c>
      <c r="Z1766">
        <v>4.5780980000000001E-3</v>
      </c>
      <c r="AA1766">
        <v>0.97465619999999997</v>
      </c>
      <c r="AB1766">
        <v>23</v>
      </c>
      <c r="AC1766">
        <v>-41.508399999999902</v>
      </c>
      <c r="AD1766">
        <v>-1.0291626199999999</v>
      </c>
      <c r="AE1766">
        <v>8.4408000000000207</v>
      </c>
      <c r="AF1766">
        <v>9.5200369897178891</v>
      </c>
      <c r="AG1766">
        <v>-1.0291626199999999</v>
      </c>
      <c r="AH1766">
        <v>41.2485974773397</v>
      </c>
      <c r="AI1766">
        <v>91.392652155597801</v>
      </c>
      <c r="AJ1766">
        <v>77.003893127708494</v>
      </c>
      <c r="AK1766">
        <v>42.345449269450398</v>
      </c>
      <c r="AL1766">
        <v>79.033156502303299</v>
      </c>
      <c r="AM1766">
        <v>89.616336113106797</v>
      </c>
      <c r="AN1766">
        <v>0.99999997112605998</v>
      </c>
    </row>
    <row r="1767" spans="1:40" x14ac:dyDescent="0.25">
      <c r="A1767" t="str">
        <f>"20190304155629537"</f>
        <v>20190304155629537</v>
      </c>
      <c r="B1767" t="str">
        <f>"1551686189526205"</f>
        <v>1551686189526205</v>
      </c>
      <c r="C1767" t="s">
        <v>40</v>
      </c>
      <c r="D1767">
        <v>5.1387519999999904</v>
      </c>
      <c r="E1767">
        <v>0.58450489999999999</v>
      </c>
      <c r="F1767" t="s">
        <v>55</v>
      </c>
      <c r="G1767">
        <v>-256.24149999999997</v>
      </c>
      <c r="H1767">
        <v>8.0000390000000005E-2</v>
      </c>
      <c r="I1767">
        <v>290.41090000000003</v>
      </c>
      <c r="J1767">
        <v>-214.9521</v>
      </c>
      <c r="K1767">
        <v>1.109262</v>
      </c>
      <c r="L1767">
        <v>281.92779999999999</v>
      </c>
      <c r="M1767">
        <v>-0.99961739999999999</v>
      </c>
      <c r="N1767">
        <v>-1.386455E-2</v>
      </c>
      <c r="O1767">
        <v>-2.3933869999999999E-2</v>
      </c>
      <c r="P1767">
        <v>-0.98408070000000003</v>
      </c>
      <c r="Q1767">
        <v>0.17684169999999999</v>
      </c>
      <c r="R1767">
        <v>-1.7668150000000001E-2</v>
      </c>
      <c r="S1767">
        <v>-3.0748440000000001</v>
      </c>
      <c r="T1767">
        <v>-7.6202870000000006E-2</v>
      </c>
      <c r="U1767">
        <v>0.62786869999999995</v>
      </c>
      <c r="V1767">
        <v>6.4781750000000001E-3</v>
      </c>
      <c r="W1767">
        <v>0.1904515</v>
      </c>
      <c r="X1767">
        <v>0.98167519999999997</v>
      </c>
      <c r="Y1767">
        <v>0.22335630000000001</v>
      </c>
      <c r="Z1767">
        <v>4.5626829999999997E-3</v>
      </c>
      <c r="AA1767">
        <v>0.97472619999999999</v>
      </c>
      <c r="AB1767">
        <v>23</v>
      </c>
      <c r="AC1767">
        <v>-41.289399999999901</v>
      </c>
      <c r="AD1767">
        <v>-1.02926161</v>
      </c>
      <c r="AE1767">
        <v>8.4831000000000305</v>
      </c>
      <c r="AF1767">
        <v>9.4633372355572405</v>
      </c>
      <c r="AG1767">
        <v>-1.02926161</v>
      </c>
      <c r="AH1767">
        <v>41.050041666592598</v>
      </c>
      <c r="AI1767">
        <v>91.399601340132506</v>
      </c>
      <c r="AJ1767">
        <v>77.018303486959297</v>
      </c>
      <c r="AK1767">
        <v>42.139293443586503</v>
      </c>
      <c r="AL1767">
        <v>79.020865272245103</v>
      </c>
      <c r="AM1767">
        <v>89.621904782115905</v>
      </c>
      <c r="AN1767">
        <v>0.99999996944930902</v>
      </c>
    </row>
    <row r="1768" spans="1:40" x14ac:dyDescent="0.25">
      <c r="A1768" t="str">
        <f>"20190304155629562"</f>
        <v>20190304155629562</v>
      </c>
      <c r="B1768" t="str">
        <f>"1551686189556462"</f>
        <v>1551686189556462</v>
      </c>
      <c r="C1768" t="s">
        <v>40</v>
      </c>
      <c r="D1768">
        <v>4.9678339999999999</v>
      </c>
      <c r="E1768">
        <v>0.58430369999999998</v>
      </c>
      <c r="F1768" t="s">
        <v>55</v>
      </c>
      <c r="G1768">
        <v>-256.67090000000002</v>
      </c>
      <c r="H1768">
        <v>8.0000500000000002E-2</v>
      </c>
      <c r="I1768">
        <v>290.51240000000001</v>
      </c>
      <c r="J1768">
        <v>-215.19739999999999</v>
      </c>
      <c r="K1768">
        <v>1.109324</v>
      </c>
      <c r="L1768">
        <v>281.9246</v>
      </c>
      <c r="M1768">
        <v>-0.99966820000000001</v>
      </c>
      <c r="N1768">
        <v>-1.3840420000000001E-2</v>
      </c>
      <c r="O1768">
        <v>-2.1722490000000001E-2</v>
      </c>
      <c r="P1768">
        <v>-0.98399000000000003</v>
      </c>
      <c r="Q1768">
        <v>0.17758280000000001</v>
      </c>
      <c r="R1768">
        <v>-1.510455E-2</v>
      </c>
      <c r="S1768">
        <v>-3.0735169999999998</v>
      </c>
      <c r="T1768">
        <v>-7.5827839999999994E-2</v>
      </c>
      <c r="U1768">
        <v>0.63244630000000002</v>
      </c>
      <c r="V1768">
        <v>6.8354779999999999E-3</v>
      </c>
      <c r="W1768">
        <v>0.1911668</v>
      </c>
      <c r="X1768">
        <v>0.98153380000000001</v>
      </c>
      <c r="Y1768">
        <v>0.22267709999999999</v>
      </c>
      <c r="Z1768">
        <v>4.5085489999999997E-3</v>
      </c>
      <c r="AA1768">
        <v>0.97488180000000002</v>
      </c>
      <c r="AB1768">
        <v>23</v>
      </c>
      <c r="AC1768">
        <v>-41.473500000000001</v>
      </c>
      <c r="AD1768">
        <v>-1.0293235000000001</v>
      </c>
      <c r="AE1768">
        <v>8.5878000000000103</v>
      </c>
      <c r="AF1768">
        <v>9.4811672026566303</v>
      </c>
      <c r="AG1768">
        <v>-1.0293235000000001</v>
      </c>
      <c r="AH1768">
        <v>41.252779806241101</v>
      </c>
      <c r="AI1768">
        <v>91.393022667011707</v>
      </c>
      <c r="AJ1768">
        <v>77.056432889568299</v>
      </c>
      <c r="AK1768">
        <v>42.340806323623497</v>
      </c>
      <c r="AL1768">
        <v>78.979115248590205</v>
      </c>
      <c r="AM1768">
        <v>89.600994169358998</v>
      </c>
      <c r="AN1768">
        <v>1.0000000348620799</v>
      </c>
    </row>
    <row r="1769" spans="1:40" x14ac:dyDescent="0.25">
      <c r="A1769" t="str">
        <f>"20190304155629583"</f>
        <v>20190304155629583</v>
      </c>
      <c r="B1769" t="str">
        <f>"1551686189576957"</f>
        <v>1551686189576957</v>
      </c>
      <c r="C1769" t="s">
        <v>40</v>
      </c>
      <c r="D1769">
        <v>5.021585</v>
      </c>
      <c r="E1769">
        <v>0.58423400000000003</v>
      </c>
      <c r="F1769" t="s">
        <v>55</v>
      </c>
      <c r="G1769">
        <v>-258.88350000000003</v>
      </c>
      <c r="H1769">
        <v>8.0001160000000002E-2</v>
      </c>
      <c r="I1769">
        <v>291.02519999999998</v>
      </c>
      <c r="J1769">
        <v>-215.42320000000001</v>
      </c>
      <c r="K1769">
        <v>1.1093580000000001</v>
      </c>
      <c r="L1769">
        <v>281.9221</v>
      </c>
      <c r="M1769">
        <v>-0.99970979999999998</v>
      </c>
      <c r="N1769">
        <v>-1.380291E-2</v>
      </c>
      <c r="O1769">
        <v>-1.9747830000000001E-2</v>
      </c>
      <c r="P1769">
        <v>-0.98380869999999998</v>
      </c>
      <c r="Q1769">
        <v>0.17865899999999901</v>
      </c>
      <c r="R1769">
        <v>-1.420978E-2</v>
      </c>
      <c r="S1769">
        <v>-3.0717159999999999</v>
      </c>
      <c r="T1769">
        <v>-7.2375179999999997E-2</v>
      </c>
      <c r="U1769">
        <v>0.63989259999999903</v>
      </c>
      <c r="V1769">
        <v>5.772119E-3</v>
      </c>
      <c r="W1769">
        <v>0.19220709999999999</v>
      </c>
      <c r="X1769">
        <v>0.98133740000000003</v>
      </c>
      <c r="Y1769">
        <v>0.2231379</v>
      </c>
      <c r="Z1769">
        <v>4.3481830000000003E-3</v>
      </c>
      <c r="AA1769">
        <v>0.97477720000000001</v>
      </c>
      <c r="AB1769">
        <v>23</v>
      </c>
      <c r="AC1769">
        <v>-43.460299999999997</v>
      </c>
      <c r="AD1769">
        <v>-1.0293568399999999</v>
      </c>
      <c r="AE1769">
        <v>9.10309999999998</v>
      </c>
      <c r="AF1769">
        <v>9.9543033379464205</v>
      </c>
      <c r="AG1769">
        <v>-1.0293568399999999</v>
      </c>
      <c r="AH1769">
        <v>43.248797749505599</v>
      </c>
      <c r="AI1769">
        <v>91.328701996543501</v>
      </c>
      <c r="AJ1769">
        <v>77.038327689208103</v>
      </c>
      <c r="AK1769">
        <v>44.391510868921202</v>
      </c>
      <c r="AL1769">
        <v>78.918383752535902</v>
      </c>
      <c r="AM1769">
        <v>89.662996392763702</v>
      </c>
      <c r="AN1769">
        <v>0.99999998964346004</v>
      </c>
    </row>
    <row r="1770" spans="1:40" x14ac:dyDescent="0.25">
      <c r="A1770" t="str">
        <f>"20190304155629605"</f>
        <v>20190304155629605</v>
      </c>
      <c r="B1770" t="str">
        <f>"1551686189596478"</f>
        <v>1551686189596478</v>
      </c>
      <c r="C1770" t="s">
        <v>40</v>
      </c>
      <c r="D1770">
        <v>5.033785</v>
      </c>
      <c r="E1770">
        <v>0.58416749999999995</v>
      </c>
      <c r="F1770" t="s">
        <v>55</v>
      </c>
      <c r="G1770">
        <v>-262.267</v>
      </c>
      <c r="H1770">
        <v>8.0000680000000005E-2</v>
      </c>
      <c r="I1770">
        <v>291.73689999999999</v>
      </c>
      <c r="J1770">
        <v>-215.64519999999999</v>
      </c>
      <c r="K1770">
        <v>1.109348</v>
      </c>
      <c r="L1770">
        <v>281.92</v>
      </c>
      <c r="M1770">
        <v>-0.99974689999999999</v>
      </c>
      <c r="N1770">
        <v>-1.3730630000000001E-2</v>
      </c>
      <c r="O1770">
        <v>-1.7820329999999999E-2</v>
      </c>
      <c r="P1770">
        <v>-0.98377170000000003</v>
      </c>
      <c r="Q1770">
        <v>0.17891299999999999</v>
      </c>
      <c r="R1770">
        <v>-1.353861E-2</v>
      </c>
      <c r="S1770">
        <v>-3.0709379999999999</v>
      </c>
      <c r="T1770">
        <v>-6.7481639999999996E-2</v>
      </c>
      <c r="U1770">
        <v>0.64343260000000002</v>
      </c>
      <c r="V1770">
        <v>4.5438190000000002E-3</v>
      </c>
      <c r="W1770">
        <v>0.19239290000000001</v>
      </c>
      <c r="X1770">
        <v>0.98130740000000005</v>
      </c>
      <c r="Y1770">
        <v>0.22239539999999999</v>
      </c>
      <c r="Z1770">
        <v>4.1060890000000003E-3</v>
      </c>
      <c r="AA1770">
        <v>0.97494789999999998</v>
      </c>
      <c r="AB1770">
        <v>23</v>
      </c>
      <c r="AC1770">
        <v>-46.6218</v>
      </c>
      <c r="AD1770">
        <v>-1.0293473200000001</v>
      </c>
      <c r="AE1770">
        <v>9.8168999999999702</v>
      </c>
      <c r="AF1770">
        <v>10.641267993143099</v>
      </c>
      <c r="AG1770">
        <v>-1.0293473200000001</v>
      </c>
      <c r="AH1770">
        <v>46.417771891038399</v>
      </c>
      <c r="AI1770">
        <v>91.238255188072998</v>
      </c>
      <c r="AJ1770">
        <v>77.088062288890896</v>
      </c>
      <c r="AK1770">
        <v>47.63303147749</v>
      </c>
      <c r="AL1770">
        <v>78.907535215903906</v>
      </c>
      <c r="AM1770">
        <v>89.734701082464198</v>
      </c>
      <c r="AN1770">
        <v>0.99999994377813495</v>
      </c>
    </row>
    <row r="1771" spans="1:40" x14ac:dyDescent="0.25">
      <c r="A1771" t="str">
        <f>"20190304155629627"</f>
        <v>20190304155629627</v>
      </c>
      <c r="B1771" t="str">
        <f>"1551686189616977"</f>
        <v>1551686189616977</v>
      </c>
      <c r="C1771" t="s">
        <v>40</v>
      </c>
      <c r="D1771">
        <v>5.0514419999999998</v>
      </c>
      <c r="E1771">
        <v>0.58370559999999905</v>
      </c>
      <c r="F1771" t="s">
        <v>55</v>
      </c>
      <c r="G1771">
        <v>-264.09010000000001</v>
      </c>
      <c r="H1771">
        <v>8.0001219999999998E-2</v>
      </c>
      <c r="I1771">
        <v>292.11779999999999</v>
      </c>
      <c r="J1771">
        <v>-215.87440000000001</v>
      </c>
      <c r="K1771">
        <v>1.1093029999999999</v>
      </c>
      <c r="L1771">
        <v>281.91829999999999</v>
      </c>
      <c r="M1771">
        <v>-0.99978239999999996</v>
      </c>
      <c r="N1771">
        <v>-1.36095E-2</v>
      </c>
      <c r="O1771">
        <v>-1.581722E-2</v>
      </c>
      <c r="P1771">
        <v>-0.98381669999999999</v>
      </c>
      <c r="Q1771">
        <v>0.17871689999999901</v>
      </c>
      <c r="R1771">
        <v>-1.2863899999999999E-2</v>
      </c>
      <c r="S1771">
        <v>-3.0702669999999999</v>
      </c>
      <c r="T1771">
        <v>-6.5236450000000001E-2</v>
      </c>
      <c r="U1771">
        <v>0.64630129999999997</v>
      </c>
      <c r="V1771">
        <v>3.2541639999999999E-3</v>
      </c>
      <c r="W1771">
        <v>0.19208220000000001</v>
      </c>
      <c r="X1771">
        <v>0.98137339999999995</v>
      </c>
      <c r="Y1771">
        <v>0.22136239999999999</v>
      </c>
      <c r="Z1771">
        <v>3.9686529999999999E-3</v>
      </c>
      <c r="AA1771">
        <v>0.97518349999999998</v>
      </c>
      <c r="AB1771">
        <v>23</v>
      </c>
      <c r="AC1771">
        <v>-48.215699999999998</v>
      </c>
      <c r="AD1771">
        <v>-1.0293017799999999</v>
      </c>
      <c r="AE1771">
        <v>10.1995</v>
      </c>
      <c r="AF1771">
        <v>10.956153487083601</v>
      </c>
      <c r="AG1771">
        <v>-1.0293017799999999</v>
      </c>
      <c r="AH1771">
        <v>48.0273743696251</v>
      </c>
      <c r="AI1771">
        <v>91.197008304662205</v>
      </c>
      <c r="AJ1771">
        <v>77.149412796625896</v>
      </c>
      <c r="AK1771">
        <v>49.271953992377497</v>
      </c>
      <c r="AL1771">
        <v>78.925675491519996</v>
      </c>
      <c r="AM1771">
        <v>89.810011989640699</v>
      </c>
      <c r="AN1771">
        <v>0.99999995568386801</v>
      </c>
    </row>
    <row r="1772" spans="1:40" x14ac:dyDescent="0.25">
      <c r="A1772" t="str">
        <f>"20190304155629651"</f>
        <v>20190304155629651</v>
      </c>
      <c r="B1772" t="str">
        <f>"1551686189646254"</f>
        <v>1551686189646254</v>
      </c>
      <c r="C1772" t="s">
        <v>40</v>
      </c>
      <c r="D1772">
        <v>4.9678589999999998</v>
      </c>
      <c r="E1772">
        <v>0.58372100000000005</v>
      </c>
      <c r="F1772" t="s">
        <v>55</v>
      </c>
      <c r="G1772">
        <v>-264.14170000000001</v>
      </c>
      <c r="H1772">
        <v>8.0001240000000001E-2</v>
      </c>
      <c r="I1772">
        <v>292.07920000000001</v>
      </c>
      <c r="J1772">
        <v>-216.10640000000001</v>
      </c>
      <c r="K1772">
        <v>1.1092329999999999</v>
      </c>
      <c r="L1772">
        <v>281.91699999999997</v>
      </c>
      <c r="M1772">
        <v>-0.99981500000000001</v>
      </c>
      <c r="N1772">
        <v>-1.344485E-2</v>
      </c>
      <c r="O1772">
        <v>-1.375999E-2</v>
      </c>
      <c r="P1772">
        <v>-0.98402999999999996</v>
      </c>
      <c r="Q1772">
        <v>0.17749619999999999</v>
      </c>
      <c r="R1772">
        <v>-1.3417810000000001E-2</v>
      </c>
      <c r="S1772">
        <v>-3.0696870000000001</v>
      </c>
      <c r="T1772">
        <v>-6.5461160000000004E-2</v>
      </c>
      <c r="U1772">
        <v>0.6462097</v>
      </c>
      <c r="V1772">
        <v>6.8702270000000005E-4</v>
      </c>
      <c r="W1772">
        <v>0.1907104</v>
      </c>
      <c r="X1772">
        <v>0.98164609999999997</v>
      </c>
      <c r="Y1772">
        <v>0.21936530000000001</v>
      </c>
      <c r="Z1772">
        <v>3.9117450000000003E-3</v>
      </c>
      <c r="AA1772">
        <v>0.97563489999999997</v>
      </c>
      <c r="AB1772">
        <v>23</v>
      </c>
      <c r="AC1772">
        <v>-48.035299999999999</v>
      </c>
      <c r="AD1772">
        <v>-1.0292317599999901</v>
      </c>
      <c r="AE1772">
        <v>10.162199999999901</v>
      </c>
      <c r="AF1772">
        <v>10.8175091441204</v>
      </c>
      <c r="AG1772">
        <v>-1.0292317599999901</v>
      </c>
      <c r="AH1772">
        <v>47.869871636425898</v>
      </c>
      <c r="AI1772">
        <v>91.201420232120597</v>
      </c>
      <c r="AJ1772">
        <v>77.266325205184202</v>
      </c>
      <c r="AK1772">
        <v>49.087701439228198</v>
      </c>
      <c r="AL1772">
        <v>79.005754743601898</v>
      </c>
      <c r="AM1772">
        <v>89.959900523505596</v>
      </c>
      <c r="AN1772">
        <v>0.99999999715678001</v>
      </c>
    </row>
    <row r="1773" spans="1:40" x14ac:dyDescent="0.25">
      <c r="A1773" t="str">
        <f>"20190304155629673"</f>
        <v>20190304155629673</v>
      </c>
      <c r="B1773" t="str">
        <f>"1551686189666749"</f>
        <v>1551686189666749</v>
      </c>
      <c r="C1773" t="s">
        <v>40</v>
      </c>
      <c r="D1773">
        <v>4.9516099999999996</v>
      </c>
      <c r="E1773">
        <v>0.58379219999999998</v>
      </c>
      <c r="F1773" t="s">
        <v>55</v>
      </c>
      <c r="G1773">
        <v>-261.22309999999999</v>
      </c>
      <c r="H1773">
        <v>8.0000370000000001E-2</v>
      </c>
      <c r="I1773">
        <v>291.39400000000001</v>
      </c>
      <c r="J1773">
        <v>-216.34630000000001</v>
      </c>
      <c r="K1773">
        <v>1.1091519999999999</v>
      </c>
      <c r="L1773">
        <v>281.91629999999998</v>
      </c>
      <c r="M1773">
        <v>-0.99984530000000005</v>
      </c>
      <c r="N1773">
        <v>-1.3249739999999999E-2</v>
      </c>
      <c r="O1773">
        <v>-1.158431E-2</v>
      </c>
      <c r="P1773">
        <v>-0.98452689999999998</v>
      </c>
      <c r="Q1773">
        <v>0.17470629999999901</v>
      </c>
      <c r="R1773">
        <v>-1.3597440000000001E-2</v>
      </c>
      <c r="S1773">
        <v>-3.0701139999999998</v>
      </c>
      <c r="T1773">
        <v>-7.0037360000000007E-2</v>
      </c>
      <c r="U1773">
        <v>0.64489750000000001</v>
      </c>
      <c r="V1773">
        <v>-1.6226890000000001E-3</v>
      </c>
      <c r="W1773">
        <v>0.18774279999999999</v>
      </c>
      <c r="X1773">
        <v>0.98221689999999995</v>
      </c>
      <c r="Y1773">
        <v>0.21680720000000001</v>
      </c>
      <c r="Z1773">
        <v>4.0078140000000002E-3</v>
      </c>
      <c r="AA1773">
        <v>0.97620620000000002</v>
      </c>
      <c r="AB1773">
        <v>23</v>
      </c>
      <c r="AC1773">
        <v>-44.876799999999903</v>
      </c>
      <c r="AD1773">
        <v>-1.0291516300000001</v>
      </c>
      <c r="AE1773">
        <v>9.47770000000002</v>
      </c>
      <c r="AF1773">
        <v>9.9919457042518491</v>
      </c>
      <c r="AG1773">
        <v>-1.0291516300000001</v>
      </c>
      <c r="AH1773">
        <v>44.741460515547303</v>
      </c>
      <c r="AI1773">
        <v>91.286027269018504</v>
      </c>
      <c r="AJ1773">
        <v>77.410923239003594</v>
      </c>
      <c r="AK1773">
        <v>45.855167877770597</v>
      </c>
      <c r="AL1773">
        <v>79.178914364553506</v>
      </c>
      <c r="AM1773">
        <v>90.094656431362097</v>
      </c>
      <c r="AN1773">
        <v>1.00000001535852</v>
      </c>
    </row>
    <row r="1774" spans="1:40" x14ac:dyDescent="0.25">
      <c r="A1774" t="str">
        <f>"20190304155629696"</f>
        <v>20190304155629696</v>
      </c>
      <c r="B1774" t="str">
        <f>"1551686189686270"</f>
        <v>1551686189686270</v>
      </c>
      <c r="C1774" t="s">
        <v>40</v>
      </c>
      <c r="D1774">
        <v>4.9923010000000003</v>
      </c>
      <c r="E1774">
        <v>0.58390929999999996</v>
      </c>
      <c r="F1774" t="s">
        <v>55</v>
      </c>
      <c r="G1774">
        <v>-257.12119999999999</v>
      </c>
      <c r="H1774">
        <v>8.0000639999999998E-2</v>
      </c>
      <c r="I1774">
        <v>290.4898</v>
      </c>
      <c r="J1774">
        <v>-216.56960000000001</v>
      </c>
      <c r="K1774">
        <v>1.109084</v>
      </c>
      <c r="L1774">
        <v>281.916</v>
      </c>
      <c r="M1774">
        <v>-0.99986940000000002</v>
      </c>
      <c r="N1774">
        <v>-1.3070429999999999E-2</v>
      </c>
      <c r="O1774">
        <v>-9.5215679999999994E-3</v>
      </c>
      <c r="P1774">
        <v>-0.98499669999999895</v>
      </c>
      <c r="Q1774">
        <v>0.1719629</v>
      </c>
      <c r="R1774">
        <v>-1.4507890000000001E-2</v>
      </c>
      <c r="S1774">
        <v>-3.0698240000000001</v>
      </c>
      <c r="T1774">
        <v>-7.7481990000000001E-2</v>
      </c>
      <c r="U1774">
        <v>0.64547730000000003</v>
      </c>
      <c r="V1774">
        <v>-4.5566799999999996E-3</v>
      </c>
      <c r="W1774">
        <v>0.18483869999999999</v>
      </c>
      <c r="X1774">
        <v>0.98275829999999997</v>
      </c>
      <c r="Y1774">
        <v>0.21497359999999999</v>
      </c>
      <c r="Z1774">
        <v>4.2183539999999997E-3</v>
      </c>
      <c r="AA1774">
        <v>0.9766108</v>
      </c>
      <c r="AB1774">
        <v>23</v>
      </c>
      <c r="AC1774">
        <v>-40.551599999999901</v>
      </c>
      <c r="AD1774">
        <v>-1.02908336</v>
      </c>
      <c r="AE1774">
        <v>8.5738000000000003</v>
      </c>
      <c r="AF1774">
        <v>8.9540393652912904</v>
      </c>
      <c r="AG1774">
        <v>-1.02908336</v>
      </c>
      <c r="AH1774">
        <v>40.443187557035799</v>
      </c>
      <c r="AI1774">
        <v>91.423138639208602</v>
      </c>
      <c r="AJ1774">
        <v>77.516204255028597</v>
      </c>
      <c r="AK1774">
        <v>41.435314084613701</v>
      </c>
      <c r="AL1774">
        <v>79.348271512497803</v>
      </c>
      <c r="AM1774">
        <v>90.265657040701697</v>
      </c>
      <c r="AN1774">
        <v>0.99999999228460101</v>
      </c>
    </row>
    <row r="1775" spans="1:40" x14ac:dyDescent="0.25">
      <c r="A1775" t="str">
        <f>"20190304155629716"</f>
        <v>20190304155629716</v>
      </c>
      <c r="B1775" t="str">
        <f>"1551686189706768"</f>
        <v>1551686189706768</v>
      </c>
      <c r="C1775" t="s">
        <v>40</v>
      </c>
      <c r="D1775">
        <v>4.97248</v>
      </c>
      <c r="E1775">
        <v>0.58404599999999995</v>
      </c>
      <c r="F1775" t="s">
        <v>55</v>
      </c>
      <c r="G1775">
        <v>-253.79640000000001</v>
      </c>
      <c r="H1775">
        <v>8.0001139999999998E-2</v>
      </c>
      <c r="I1775">
        <v>289.73070000000001</v>
      </c>
      <c r="J1775">
        <v>-216.785</v>
      </c>
      <c r="K1775">
        <v>1.109035</v>
      </c>
      <c r="L1775">
        <v>281.9162</v>
      </c>
      <c r="M1775">
        <v>-0.99988869999999996</v>
      </c>
      <c r="N1775">
        <v>-1.290232E-2</v>
      </c>
      <c r="O1775">
        <v>-7.5029249999999997E-3</v>
      </c>
      <c r="P1775">
        <v>-0.98529259999999996</v>
      </c>
      <c r="Q1775">
        <v>0.1701664</v>
      </c>
      <c r="R1775">
        <v>-1.5559450000000001E-2</v>
      </c>
      <c r="S1775">
        <v>-3.0700379999999998</v>
      </c>
      <c r="T1775">
        <v>-8.4866759999999999E-2</v>
      </c>
      <c r="U1775">
        <v>0.64447019999999899</v>
      </c>
      <c r="V1775">
        <v>-7.5904750000000002E-3</v>
      </c>
      <c r="W1775">
        <v>0.18289069999999999</v>
      </c>
      <c r="X1775">
        <v>0.98310390000000003</v>
      </c>
      <c r="Y1775">
        <v>0.21266599999999999</v>
      </c>
      <c r="Z1775">
        <v>4.4037950000000003E-3</v>
      </c>
      <c r="AA1775">
        <v>0.97711499999999996</v>
      </c>
      <c r="AB1775">
        <v>23</v>
      </c>
      <c r="AC1775">
        <v>-37.011400000000002</v>
      </c>
      <c r="AD1775">
        <v>-1.02903386</v>
      </c>
      <c r="AE1775">
        <v>7.8144999999999998</v>
      </c>
      <c r="AF1775">
        <v>8.0860129969066108</v>
      </c>
      <c r="AG1775">
        <v>-1.02903386</v>
      </c>
      <c r="AH1775">
        <v>36.924396558381403</v>
      </c>
      <c r="AI1775">
        <v>91.559409348625294</v>
      </c>
      <c r="AJ1775">
        <v>77.647880087982998</v>
      </c>
      <c r="AK1775">
        <v>37.813404740538502</v>
      </c>
      <c r="AL1775">
        <v>79.461819086548303</v>
      </c>
      <c r="AM1775">
        <v>90.442367831523498</v>
      </c>
      <c r="AN1775">
        <v>0.99999995082621096</v>
      </c>
    </row>
    <row r="1776" spans="1:40" x14ac:dyDescent="0.25">
      <c r="A1776" t="str">
        <f>"20190304155629737"</f>
        <v>20190304155629737</v>
      </c>
      <c r="B1776" t="str">
        <f>"1551686189726285"</f>
        <v>1551686189726285</v>
      </c>
      <c r="C1776" t="s">
        <v>40</v>
      </c>
      <c r="D1776">
        <v>4.9377570000000004</v>
      </c>
      <c r="E1776">
        <v>0.584092099999999</v>
      </c>
      <c r="F1776" t="s">
        <v>55</v>
      </c>
      <c r="G1776">
        <v>-253.58940000000001</v>
      </c>
      <c r="H1776">
        <v>3.1083989999999999E-2</v>
      </c>
      <c r="I1776">
        <v>289.61630000000002</v>
      </c>
      <c r="J1776">
        <v>-217.011</v>
      </c>
      <c r="K1776">
        <v>1.108989</v>
      </c>
      <c r="L1776">
        <v>281.91699999999997</v>
      </c>
      <c r="M1776">
        <v>-0.99990460000000003</v>
      </c>
      <c r="N1776">
        <v>-1.272685E-2</v>
      </c>
      <c r="O1776">
        <v>-5.3660369999999997E-3</v>
      </c>
      <c r="P1776">
        <v>-0.98531060000000004</v>
      </c>
      <c r="Q1776">
        <v>0.17008679999999901</v>
      </c>
      <c r="R1776">
        <v>-1.528795E-2</v>
      </c>
      <c r="S1776">
        <v>-3.070465</v>
      </c>
      <c r="T1776">
        <v>-8.992994E-2</v>
      </c>
      <c r="U1776">
        <v>0.64239499999999905</v>
      </c>
      <c r="V1776">
        <v>-9.4153899999999992E-3</v>
      </c>
      <c r="W1776">
        <v>0.182645</v>
      </c>
      <c r="X1776">
        <v>0.98313390000000001</v>
      </c>
      <c r="Y1776">
        <v>0.2099076</v>
      </c>
      <c r="Z1776">
        <v>4.478821E-3</v>
      </c>
      <c r="AA1776">
        <v>0.977711</v>
      </c>
      <c r="AB1776">
        <v>23</v>
      </c>
      <c r="AC1776">
        <v>-36.578400000000002</v>
      </c>
      <c r="AD1776">
        <v>-1.0779050100000001</v>
      </c>
      <c r="AE1776">
        <v>7.6992999999999903</v>
      </c>
      <c r="AF1776">
        <v>7.8889261076719102</v>
      </c>
      <c r="AG1776">
        <v>-1.0779050100000001</v>
      </c>
      <c r="AH1776">
        <v>36.506198771447501</v>
      </c>
      <c r="AI1776">
        <v>91.653123050551997</v>
      </c>
      <c r="AJ1776">
        <v>77.805987872066794</v>
      </c>
      <c r="AK1776">
        <v>37.364416000833202</v>
      </c>
      <c r="AL1776">
        <v>79.476138957800401</v>
      </c>
      <c r="AM1776">
        <v>90.548700047579402</v>
      </c>
      <c r="AN1776">
        <v>1.00000005546152</v>
      </c>
    </row>
    <row r="1777" spans="1:40" x14ac:dyDescent="0.25">
      <c r="A1777" t="str">
        <f>"20190304155629764"</f>
        <v>20190304155629764</v>
      </c>
      <c r="B1777" t="str">
        <f>"1551686189756541"</f>
        <v>1551686189756541</v>
      </c>
      <c r="C1777" t="s">
        <v>40</v>
      </c>
      <c r="D1777">
        <v>5.028327</v>
      </c>
      <c r="E1777">
        <v>0.58411409999999997</v>
      </c>
      <c r="F1777" t="s">
        <v>55</v>
      </c>
      <c r="G1777">
        <v>-253.7627</v>
      </c>
      <c r="H1777">
        <v>2.763111E-2</v>
      </c>
      <c r="I1777">
        <v>289.61630000000002</v>
      </c>
      <c r="J1777">
        <v>-217.27269999999999</v>
      </c>
      <c r="K1777">
        <v>1.108943</v>
      </c>
      <c r="L1777">
        <v>281.91840000000002</v>
      </c>
      <c r="M1777">
        <v>-0.99991739999999996</v>
      </c>
      <c r="N1777">
        <v>-1.2527170000000001E-2</v>
      </c>
      <c r="O1777">
        <v>-2.8798069999999999E-3</v>
      </c>
      <c r="P1777">
        <v>-0.98521110000000001</v>
      </c>
      <c r="Q1777">
        <v>0.17064409999999999</v>
      </c>
      <c r="R1777">
        <v>-1.5488689999999999E-2</v>
      </c>
      <c r="S1777">
        <v>-3.0702970000000001</v>
      </c>
      <c r="T1777">
        <v>-9.0338470000000004E-2</v>
      </c>
      <c r="U1777">
        <v>0.64321899999999999</v>
      </c>
      <c r="V1777">
        <v>-1.205617E-2</v>
      </c>
      <c r="W1777">
        <v>0.18301300000000001</v>
      </c>
      <c r="X1777">
        <v>0.98303660000000004</v>
      </c>
      <c r="Y1777">
        <v>0.20773939999999999</v>
      </c>
      <c r="Z1777">
        <v>4.3864819999999997E-3</v>
      </c>
      <c r="AA1777">
        <v>0.9781744</v>
      </c>
      <c r="AB1777">
        <v>23</v>
      </c>
      <c r="AC1777">
        <v>-36.49</v>
      </c>
      <c r="AD1777">
        <v>-1.0813118900000001</v>
      </c>
      <c r="AE1777">
        <v>7.6978999999999997</v>
      </c>
      <c r="AF1777">
        <v>7.7964059903467797</v>
      </c>
      <c r="AG1777">
        <v>-1.0813118900000001</v>
      </c>
      <c r="AH1777">
        <v>36.437045611366202</v>
      </c>
      <c r="AI1777">
        <v>91.662217450203897</v>
      </c>
      <c r="AJ1777">
        <v>77.922582074289707</v>
      </c>
      <c r="AK1777">
        <v>37.2774928697539</v>
      </c>
      <c r="AL1777">
        <v>79.454692390560197</v>
      </c>
      <c r="AM1777">
        <v>90.702652401974703</v>
      </c>
      <c r="AN1777">
        <v>1.00000003317181</v>
      </c>
    </row>
    <row r="1778" spans="1:40" x14ac:dyDescent="0.25">
      <c r="A1778" t="str">
        <f>"20190304155629783"</f>
        <v>20190304155629783</v>
      </c>
      <c r="B1778" t="str">
        <f>"1551686189777037"</f>
        <v>1551686189777037</v>
      </c>
      <c r="C1778" t="s">
        <v>40</v>
      </c>
      <c r="D1778">
        <v>5.0813050000000004</v>
      </c>
      <c r="E1778">
        <v>0.58419989999999999</v>
      </c>
      <c r="F1778" t="s">
        <v>55</v>
      </c>
      <c r="G1778">
        <v>-254.03809999999999</v>
      </c>
      <c r="H1778">
        <v>5.3242499999999998E-2</v>
      </c>
      <c r="I1778">
        <v>289.61959999999999</v>
      </c>
      <c r="J1778">
        <v>-217.48650000000001</v>
      </c>
      <c r="K1778">
        <v>1.1089230000000001</v>
      </c>
      <c r="L1778">
        <v>281.92</v>
      </c>
      <c r="M1778">
        <v>-0.99992320000000001</v>
      </c>
      <c r="N1778">
        <v>-1.237626E-2</v>
      </c>
      <c r="O1778">
        <v>-8.4784779999999896E-4</v>
      </c>
      <c r="P1778">
        <v>-0.98498079999999999</v>
      </c>
      <c r="Q1778">
        <v>0.17197899999999999</v>
      </c>
      <c r="R1778">
        <v>-1.537267E-2</v>
      </c>
      <c r="S1778">
        <v>-3.0704349999999998</v>
      </c>
      <c r="T1778">
        <v>-8.8165999999999994E-2</v>
      </c>
      <c r="U1778">
        <v>0.64315800000000001</v>
      </c>
      <c r="V1778">
        <v>-1.393315E-2</v>
      </c>
      <c r="W1778">
        <v>0.18420320000000001</v>
      </c>
      <c r="X1778">
        <v>0.98278949999999998</v>
      </c>
      <c r="Y1778">
        <v>0.20573069999999999</v>
      </c>
      <c r="Z1778">
        <v>4.222305E-3</v>
      </c>
      <c r="AA1778">
        <v>0.97859949999999996</v>
      </c>
      <c r="AB1778">
        <v>23</v>
      </c>
      <c r="AC1778">
        <v>-36.551599999999901</v>
      </c>
      <c r="AD1778">
        <v>-1.05568049999999</v>
      </c>
      <c r="AE1778">
        <v>7.69959999999997</v>
      </c>
      <c r="AF1778">
        <v>7.7244201202392899</v>
      </c>
      <c r="AG1778">
        <v>-1.05568049999999</v>
      </c>
      <c r="AH1778">
        <v>36.515892177072701</v>
      </c>
      <c r="AI1778">
        <v>91.620137192043799</v>
      </c>
      <c r="AJ1778">
        <v>78.055966288059906</v>
      </c>
      <c r="AK1778">
        <v>37.3388739653412</v>
      </c>
      <c r="AL1778">
        <v>79.385320045334794</v>
      </c>
      <c r="AM1778">
        <v>90.812236203406101</v>
      </c>
      <c r="AN1778">
        <v>1.0000000764346999</v>
      </c>
    </row>
    <row r="1779" spans="1:40" x14ac:dyDescent="0.25">
      <c r="A1779" t="str">
        <f>"20190304155629806"</f>
        <v>20190304155629806</v>
      </c>
      <c r="B1779" t="str">
        <f>"1551686189796557"</f>
        <v>1551686189796557</v>
      </c>
      <c r="C1779" t="s">
        <v>40</v>
      </c>
      <c r="D1779">
        <v>5.1110980000000001</v>
      </c>
      <c r="E1779">
        <v>0.54430710000000004</v>
      </c>
      <c r="F1779" t="s">
        <v>55</v>
      </c>
      <c r="G1779">
        <v>-255.10239999999999</v>
      </c>
      <c r="H1779">
        <v>8.0000050000000003E-2</v>
      </c>
      <c r="I1779">
        <v>289.81270000000001</v>
      </c>
      <c r="J1779">
        <v>-217.715</v>
      </c>
      <c r="K1779">
        <v>1.1089150000000001</v>
      </c>
      <c r="L1779">
        <v>281.92230000000001</v>
      </c>
      <c r="M1779">
        <v>-0.99992429999999999</v>
      </c>
      <c r="N1779">
        <v>-1.223117E-2</v>
      </c>
      <c r="O1779">
        <v>1.319195E-3</v>
      </c>
      <c r="P1779">
        <v>-0.98463590000000001</v>
      </c>
      <c r="Q1779">
        <v>0.17399000000000001</v>
      </c>
      <c r="R1779">
        <v>-1.481678E-2</v>
      </c>
      <c r="S1779">
        <v>-3.0704799999999999</v>
      </c>
      <c r="T1779">
        <v>-8.3987950000000006E-2</v>
      </c>
      <c r="U1779">
        <v>0.64425659999999996</v>
      </c>
      <c r="V1779">
        <v>-1.550264E-2</v>
      </c>
      <c r="W1779">
        <v>0.18607190000000001</v>
      </c>
      <c r="X1779">
        <v>0.9824138</v>
      </c>
      <c r="Y1779">
        <v>0.20395289999999999</v>
      </c>
      <c r="Z1779">
        <v>4.0002290000000001E-3</v>
      </c>
      <c r="AA1779">
        <v>0.97897259999999997</v>
      </c>
      <c r="AB1779">
        <v>23</v>
      </c>
      <c r="AC1779">
        <v>-37.3873999999999</v>
      </c>
      <c r="AD1779">
        <v>-1.0289149500000001</v>
      </c>
      <c r="AE1779">
        <v>7.8903999999999996</v>
      </c>
      <c r="AF1779">
        <v>7.83538692095218</v>
      </c>
      <c r="AG1779">
        <v>-1.0289149500000001</v>
      </c>
      <c r="AH1779">
        <v>37.3706806385104</v>
      </c>
      <c r="AI1779">
        <v>91.5435619449011</v>
      </c>
      <c r="AJ1779">
        <v>78.158512731400705</v>
      </c>
      <c r="AK1779">
        <v>38.1971167179003</v>
      </c>
      <c r="AL1779">
        <v>79.276366859698797</v>
      </c>
      <c r="AM1779">
        <v>90.904061126618103</v>
      </c>
      <c r="AN1779">
        <v>0.99999997912350902</v>
      </c>
    </row>
    <row r="1780" spans="1:40" x14ac:dyDescent="0.25">
      <c r="A1780" t="str">
        <f>"20190304155629828"</f>
        <v>20190304155629828</v>
      </c>
      <c r="B1780" t="str">
        <f>"1551686189826814"</f>
        <v>1551686189826814</v>
      </c>
      <c r="C1780" t="s">
        <v>40</v>
      </c>
      <c r="D1780">
        <v>4.9723550000000003</v>
      </c>
      <c r="E1780">
        <v>0.53225169999999999</v>
      </c>
      <c r="F1780" t="s">
        <v>55</v>
      </c>
      <c r="G1780">
        <v>-253.2936</v>
      </c>
      <c r="H1780" s="1">
        <v>2.1587839999999999E-7</v>
      </c>
      <c r="I1780">
        <v>285.72070000000002</v>
      </c>
      <c r="J1780">
        <v>-217.94820000000001</v>
      </c>
      <c r="K1780">
        <v>1.1089150000000001</v>
      </c>
      <c r="L1780">
        <v>281.92509999999999</v>
      </c>
      <c r="M1780">
        <v>-0.99992080000000005</v>
      </c>
      <c r="N1780">
        <v>-1.209462E-2</v>
      </c>
      <c r="O1780">
        <v>3.5137050000000002E-3</v>
      </c>
      <c r="P1780">
        <v>-0.98432050000000004</v>
      </c>
      <c r="Q1780">
        <v>0.17584269999999999</v>
      </c>
      <c r="R1780">
        <v>-1.38827E-2</v>
      </c>
      <c r="S1780">
        <v>-3.068619</v>
      </c>
      <c r="T1780">
        <v>-9.5642920000000006E-2</v>
      </c>
      <c r="U1780">
        <v>0.32760620000000001</v>
      </c>
      <c r="V1780">
        <v>-1.6722999999999998E-2</v>
      </c>
      <c r="W1780">
        <v>0.18779009999999999</v>
      </c>
      <c r="X1780">
        <v>0.98206680000000002</v>
      </c>
      <c r="Y1780">
        <v>0.1025942</v>
      </c>
      <c r="Z1780">
        <v>2.1495249999999998E-3</v>
      </c>
      <c r="AA1780">
        <v>0.99472099999999997</v>
      </c>
      <c r="AB1780">
        <v>23</v>
      </c>
      <c r="AC1780">
        <v>-35.345399999999898</v>
      </c>
      <c r="AD1780">
        <v>-1.1089147841215901</v>
      </c>
      <c r="AE1780">
        <v>3.7956000000000301</v>
      </c>
      <c r="AF1780">
        <v>3.66780509908582</v>
      </c>
      <c r="AG1780">
        <v>-1.1089147841215901</v>
      </c>
      <c r="AH1780">
        <v>35.324145954473003</v>
      </c>
      <c r="AI1780">
        <v>91.788460955526205</v>
      </c>
      <c r="AJ1780">
        <v>84.072061223028101</v>
      </c>
      <c r="AK1780">
        <v>35.531363239485103</v>
      </c>
      <c r="AL1780">
        <v>79.176154921368706</v>
      </c>
      <c r="AM1780">
        <v>90.975559632045901</v>
      </c>
      <c r="AN1780">
        <v>0.99999999002462503</v>
      </c>
    </row>
    <row r="1781" spans="1:40" x14ac:dyDescent="0.25">
      <c r="A1781" t="str">
        <f>"20190304155629851"</f>
        <v>20190304155629851</v>
      </c>
      <c r="B1781" t="str">
        <f>"1551686189846334"</f>
        <v>1551686189846334</v>
      </c>
      <c r="C1781" t="s">
        <v>40</v>
      </c>
      <c r="D1781">
        <v>4.9571829999999997</v>
      </c>
      <c r="E1781">
        <v>0.53061639999999999</v>
      </c>
      <c r="F1781" t="s">
        <v>55</v>
      </c>
      <c r="G1781">
        <v>-260.82799999999997</v>
      </c>
      <c r="H1781" s="1">
        <v>-1.096148E-6</v>
      </c>
      <c r="I1781">
        <v>285.1986</v>
      </c>
      <c r="J1781">
        <v>-218.1705</v>
      </c>
      <c r="K1781">
        <v>1.108914</v>
      </c>
      <c r="L1781">
        <v>281.92829999999998</v>
      </c>
      <c r="M1781">
        <v>-0.99991300000000005</v>
      </c>
      <c r="N1781">
        <v>-1.197257E-2</v>
      </c>
      <c r="O1781">
        <v>5.576559E-3</v>
      </c>
      <c r="P1781">
        <v>-0.98411170000000003</v>
      </c>
      <c r="Q1781">
        <v>0.1771307</v>
      </c>
      <c r="R1781">
        <v>-1.2224479999999999E-2</v>
      </c>
      <c r="S1781">
        <v>-3.0652620000000002</v>
      </c>
      <c r="T1781">
        <v>-7.9270839999999995E-2</v>
      </c>
      <c r="U1781">
        <v>0.23400879999999999</v>
      </c>
      <c r="V1781">
        <v>-1.7095140000000002E-2</v>
      </c>
      <c r="W1781">
        <v>0.18895619999999999</v>
      </c>
      <c r="X1781">
        <v>0.98183670000000001</v>
      </c>
      <c r="Y1781">
        <v>7.052493E-2</v>
      </c>
      <c r="Z1781">
        <v>1.256056E-3</v>
      </c>
      <c r="AA1781">
        <v>0.99750919999999998</v>
      </c>
      <c r="AB1781">
        <v>23</v>
      </c>
      <c r="AC1781">
        <v>-42.657499999999899</v>
      </c>
      <c r="AD1781">
        <v>-1.1089150961480001</v>
      </c>
      <c r="AE1781">
        <v>3.2703000000000202</v>
      </c>
      <c r="AF1781">
        <v>3.0303142167038501</v>
      </c>
      <c r="AG1781">
        <v>-1.1089150961480001</v>
      </c>
      <c r="AH1781">
        <v>42.646423706213497</v>
      </c>
      <c r="AI1781">
        <v>91.485755412201797</v>
      </c>
      <c r="AJ1781">
        <v>85.935582178291199</v>
      </c>
      <c r="AK1781">
        <v>42.7683288412385</v>
      </c>
      <c r="AL1781">
        <v>79.108124474566097</v>
      </c>
      <c r="AM1781">
        <v>90.997498272056106</v>
      </c>
      <c r="AN1781">
        <v>0.99999999739847401</v>
      </c>
    </row>
    <row r="1782" spans="1:40" x14ac:dyDescent="0.25">
      <c r="A1782" t="str">
        <f>"20190304155629872"</f>
        <v>20190304155629872</v>
      </c>
      <c r="B1782" t="str">
        <f>"1551686189866830"</f>
        <v>1551686189866830</v>
      </c>
      <c r="C1782" t="s">
        <v>40</v>
      </c>
      <c r="D1782">
        <v>5.2389539999999997</v>
      </c>
      <c r="E1782">
        <v>0.52865649999999997</v>
      </c>
      <c r="F1782" t="s">
        <v>55</v>
      </c>
      <c r="G1782">
        <v>-266.2867</v>
      </c>
      <c r="H1782" s="1">
        <v>1.8086980000000001E-6</v>
      </c>
      <c r="I1782">
        <v>285.4776</v>
      </c>
      <c r="J1782">
        <v>-218.40170000000001</v>
      </c>
      <c r="K1782">
        <v>1.108938</v>
      </c>
      <c r="L1782">
        <v>281.93200000000002</v>
      </c>
      <c r="M1782">
        <v>-0.99990029999999996</v>
      </c>
      <c r="N1782">
        <v>-1.185808E-2</v>
      </c>
      <c r="O1782">
        <v>7.6806219999999998E-3</v>
      </c>
      <c r="P1782">
        <v>-0.98395719999999998</v>
      </c>
      <c r="Q1782">
        <v>0.178091</v>
      </c>
      <c r="R1782">
        <v>-1.0585570000000001E-2</v>
      </c>
      <c r="S1782">
        <v>-3.0639340000000002</v>
      </c>
      <c r="T1782">
        <v>-7.0613029999999993E-2</v>
      </c>
      <c r="U1782">
        <v>0.2260132</v>
      </c>
      <c r="V1782">
        <v>-1.7533239999999999E-2</v>
      </c>
      <c r="W1782">
        <v>0.18980269999999999</v>
      </c>
      <c r="X1782">
        <v>0.98166569999999997</v>
      </c>
      <c r="Y1782">
        <v>6.5877379999999999E-2</v>
      </c>
      <c r="Z1782">
        <v>1.0634279999999999E-3</v>
      </c>
      <c r="AA1782">
        <v>0.99782720000000003</v>
      </c>
      <c r="AB1782">
        <v>23</v>
      </c>
      <c r="AC1782">
        <v>-47.884999999999899</v>
      </c>
      <c r="AD1782">
        <v>-1.1089361913019999</v>
      </c>
      <c r="AE1782">
        <v>3.5455999999999701</v>
      </c>
      <c r="AF1782">
        <v>3.17598897715096</v>
      </c>
      <c r="AG1782">
        <v>-1.1089361913019999</v>
      </c>
      <c r="AH1782">
        <v>47.885280471081202</v>
      </c>
      <c r="AI1782">
        <v>91.323721853982306</v>
      </c>
      <c r="AJ1782">
        <v>86.205417725698695</v>
      </c>
      <c r="AK1782">
        <v>48.003299170509898</v>
      </c>
      <c r="AL1782">
        <v>79.058729920129494</v>
      </c>
      <c r="AM1782">
        <v>91.0232341332066</v>
      </c>
      <c r="AN1782">
        <v>1.0000000129943301</v>
      </c>
    </row>
    <row r="1783" spans="1:40" x14ac:dyDescent="0.25">
      <c r="A1783" t="str">
        <f>"20190304155629895"</f>
        <v>20190304155629895</v>
      </c>
      <c r="B1783" t="str">
        <f>"1551686189886350"</f>
        <v>1551686189886350</v>
      </c>
      <c r="C1783" t="s">
        <v>40</v>
      </c>
      <c r="D1783">
        <v>5.2127670000000004</v>
      </c>
      <c r="E1783">
        <v>0.52747270000000002</v>
      </c>
      <c r="F1783" t="s">
        <v>55</v>
      </c>
      <c r="G1783">
        <v>-269.28609999999998</v>
      </c>
      <c r="H1783" s="1">
        <v>3.404793E-6</v>
      </c>
      <c r="I1783">
        <v>285.51240000000001</v>
      </c>
      <c r="J1783">
        <v>-218.63149999999999</v>
      </c>
      <c r="K1783">
        <v>1.1089629999999999</v>
      </c>
      <c r="L1783">
        <v>281.93610000000001</v>
      </c>
      <c r="M1783">
        <v>-0.99988359999999998</v>
      </c>
      <c r="N1783">
        <v>-1.1758080000000001E-2</v>
      </c>
      <c r="O1783">
        <v>9.7343350000000002E-3</v>
      </c>
      <c r="P1783">
        <v>-0.98380800000000002</v>
      </c>
      <c r="Q1783">
        <v>0.1789965</v>
      </c>
      <c r="R1783">
        <v>-9.0706160000000001E-3</v>
      </c>
      <c r="S1783">
        <v>-3.0633089999999998</v>
      </c>
      <c r="T1783">
        <v>-6.6759349999999995E-2</v>
      </c>
      <c r="U1783">
        <v>0.21554570000000001</v>
      </c>
      <c r="V1783">
        <v>-1.8046679999999999E-2</v>
      </c>
      <c r="W1783">
        <v>0.19060840000000001</v>
      </c>
      <c r="X1783">
        <v>0.98150029999999999</v>
      </c>
      <c r="Y1783">
        <v>6.0454269999999997E-2</v>
      </c>
      <c r="Z1783">
        <v>9.1627430000000001E-4</v>
      </c>
      <c r="AA1783">
        <v>0.99817060000000002</v>
      </c>
      <c r="AB1783">
        <v>23</v>
      </c>
      <c r="AC1783">
        <v>-50.654599999999903</v>
      </c>
      <c r="AD1783">
        <v>-1.1089595952069999</v>
      </c>
      <c r="AE1783">
        <v>3.5762999999999998</v>
      </c>
      <c r="AF1783">
        <v>3.0815380438625102</v>
      </c>
      <c r="AG1783">
        <v>-1.1089595952069999</v>
      </c>
      <c r="AH1783">
        <v>50.662853470161998</v>
      </c>
      <c r="AI1783">
        <v>91.251635118673605</v>
      </c>
      <c r="AJ1783">
        <v>86.519306334488903</v>
      </c>
      <c r="AK1783">
        <v>50.768596492700901</v>
      </c>
      <c r="AL1783">
        <v>79.011708617654506</v>
      </c>
      <c r="AM1783">
        <v>91.053369111185205</v>
      </c>
      <c r="AN1783">
        <v>1.00000004185483</v>
      </c>
    </row>
    <row r="1784" spans="1:40" x14ac:dyDescent="0.25">
      <c r="A1784" t="str">
        <f>"20190304155629918"</f>
        <v>20190304155629918</v>
      </c>
      <c r="B1784" t="str">
        <f>"1551686189906849"</f>
        <v>1551686189906849</v>
      </c>
      <c r="C1784" t="s">
        <v>40</v>
      </c>
      <c r="D1784">
        <v>4.9534320000000003</v>
      </c>
      <c r="E1784">
        <v>0.52726629999999997</v>
      </c>
      <c r="F1784" t="s">
        <v>55</v>
      </c>
      <c r="G1784">
        <v>-272.17540000000002</v>
      </c>
      <c r="H1784" s="1">
        <v>-4.2319369999999999E-7</v>
      </c>
      <c r="I1784">
        <v>285.62360000000001</v>
      </c>
      <c r="J1784">
        <v>-218.87139999999999</v>
      </c>
      <c r="K1784">
        <v>1.1089899999999999</v>
      </c>
      <c r="L1784">
        <v>281.9409</v>
      </c>
      <c r="M1784">
        <v>-0.99986189999999997</v>
      </c>
      <c r="N1784">
        <v>-1.1666670000000001E-2</v>
      </c>
      <c r="O1784">
        <v>1.183185E-2</v>
      </c>
      <c r="P1784">
        <v>-0.98374499999999998</v>
      </c>
      <c r="Q1784">
        <v>0.1794202</v>
      </c>
      <c r="R1784">
        <v>-7.3579719999999999E-3</v>
      </c>
      <c r="S1784">
        <v>-3.062881</v>
      </c>
      <c r="T1784">
        <v>-6.3436270000000003E-2</v>
      </c>
      <c r="U1784">
        <v>0.2109375</v>
      </c>
      <c r="V1784">
        <v>-1.8410050000000001E-2</v>
      </c>
      <c r="W1784">
        <v>0.19094069999999999</v>
      </c>
      <c r="X1784">
        <v>0.98142890000000005</v>
      </c>
      <c r="Y1784">
        <v>5.68781999999999E-2</v>
      </c>
      <c r="Z1784">
        <v>8.1368199999999895E-4</v>
      </c>
      <c r="AA1784">
        <v>0.99838079999999996</v>
      </c>
      <c r="AB1784">
        <v>23</v>
      </c>
      <c r="AC1784">
        <v>-53.304000000000002</v>
      </c>
      <c r="AD1784">
        <v>-1.1089904231937</v>
      </c>
      <c r="AE1784">
        <v>3.6827000000000099</v>
      </c>
      <c r="AF1784">
        <v>3.0504002087053399</v>
      </c>
      <c r="AG1784">
        <v>-1.1089904231937</v>
      </c>
      <c r="AH1784">
        <v>53.320874175777803</v>
      </c>
      <c r="AI1784">
        <v>91.1895460059214</v>
      </c>
      <c r="AJ1784">
        <v>86.7257707936093</v>
      </c>
      <c r="AK1784">
        <v>53.419569673118197</v>
      </c>
      <c r="AL1784">
        <v>78.992312356203101</v>
      </c>
      <c r="AM1784">
        <v>91.074651937868396</v>
      </c>
      <c r="AN1784">
        <v>0.99999998330635098</v>
      </c>
    </row>
    <row r="1785" spans="1:40" x14ac:dyDescent="0.25">
      <c r="A1785" t="str">
        <f>"20190304155629939"</f>
        <v>20190304155629939</v>
      </c>
      <c r="B1785" t="str">
        <f>"1551686189936126"</f>
        <v>1551686189936126</v>
      </c>
      <c r="C1785" t="s">
        <v>40</v>
      </c>
      <c r="D1785">
        <v>5.0465010000000001</v>
      </c>
      <c r="E1785">
        <v>0.52724950000000004</v>
      </c>
      <c r="F1785" t="s">
        <v>55</v>
      </c>
      <c r="G1785">
        <v>-273.9633</v>
      </c>
      <c r="H1785" s="1">
        <v>5.2098119999999996E-7</v>
      </c>
      <c r="I1785">
        <v>285.79000000000002</v>
      </c>
      <c r="J1785">
        <v>-219.09010000000001</v>
      </c>
      <c r="K1785">
        <v>1.109008</v>
      </c>
      <c r="L1785">
        <v>281.94560000000001</v>
      </c>
      <c r="M1785">
        <v>-0.99983909999999998</v>
      </c>
      <c r="N1785">
        <v>-1.159083E-2</v>
      </c>
      <c r="O1785">
        <v>1.36965E-2</v>
      </c>
      <c r="P1785">
        <v>-0.98378010000000005</v>
      </c>
      <c r="Q1785">
        <v>0.17929320000000001</v>
      </c>
      <c r="R1785">
        <v>-5.5358930000000001E-3</v>
      </c>
      <c r="S1785">
        <v>-3.062408</v>
      </c>
      <c r="T1785">
        <v>-6.1645749999999999E-2</v>
      </c>
      <c r="U1785">
        <v>0.2139587</v>
      </c>
      <c r="V1785">
        <v>-1.843653E-2</v>
      </c>
      <c r="W1785">
        <v>0.19073850000000001</v>
      </c>
      <c r="X1785">
        <v>0.98146770000000005</v>
      </c>
      <c r="Y1785">
        <v>5.6008309999999999E-2</v>
      </c>
      <c r="Z1785">
        <v>7.7130129999999995E-4</v>
      </c>
      <c r="AA1785">
        <v>0.99843000000000004</v>
      </c>
      <c r="AB1785">
        <v>23</v>
      </c>
      <c r="AC1785">
        <v>-54.873199999999997</v>
      </c>
      <c r="AD1785">
        <v>-1.1090074790188</v>
      </c>
      <c r="AE1785">
        <v>3.8443999999999998</v>
      </c>
      <c r="AF1785">
        <v>3.09116168408395</v>
      </c>
      <c r="AG1785">
        <v>-1.1090074790188</v>
      </c>
      <c r="AH1785">
        <v>54.898396267834002</v>
      </c>
      <c r="AI1785">
        <v>91.155450114775704</v>
      </c>
      <c r="AJ1785">
        <v>86.777251962925007</v>
      </c>
      <c r="AK1785">
        <v>54.996537081218101</v>
      </c>
      <c r="AL1785">
        <v>79.004114251767305</v>
      </c>
      <c r="AM1785">
        <v>91.076154759733797</v>
      </c>
      <c r="AN1785">
        <v>0.99999996358198895</v>
      </c>
    </row>
    <row r="1786" spans="1:40" x14ac:dyDescent="0.25">
      <c r="A1786" t="str">
        <f>"20190304155629964"</f>
        <v>20190304155629964</v>
      </c>
      <c r="B1786" t="str">
        <f>"1551686189956622"</f>
        <v>1551686189956622</v>
      </c>
      <c r="C1786" t="s">
        <v>40</v>
      </c>
      <c r="D1786">
        <v>4.955578</v>
      </c>
      <c r="E1786">
        <v>0.52699269999999998</v>
      </c>
      <c r="F1786" t="s">
        <v>55</v>
      </c>
      <c r="G1786">
        <v>-274.16910000000001</v>
      </c>
      <c r="H1786" s="1">
        <v>6.2599230000000004E-7</v>
      </c>
      <c r="I1786">
        <v>285.89269999999999</v>
      </c>
      <c r="J1786">
        <v>-219.34639999999999</v>
      </c>
      <c r="K1786">
        <v>1.1090260000000001</v>
      </c>
      <c r="L1786">
        <v>281.95170000000002</v>
      </c>
      <c r="M1786">
        <v>-0.99980869999999999</v>
      </c>
      <c r="N1786">
        <v>-1.1506199999999999E-2</v>
      </c>
      <c r="O1786">
        <v>1.582482E-2</v>
      </c>
      <c r="P1786">
        <v>-0.98393759999999997</v>
      </c>
      <c r="Q1786">
        <v>0.178457</v>
      </c>
      <c r="R1786">
        <v>-4.4985290000000002E-3</v>
      </c>
      <c r="S1786">
        <v>-3.0619350000000001</v>
      </c>
      <c r="T1786">
        <v>-6.1651589999999999E-2</v>
      </c>
      <c r="U1786">
        <v>0.21942139999999999</v>
      </c>
      <c r="V1786">
        <v>-1.951317E-2</v>
      </c>
      <c r="W1786">
        <v>0.1898224</v>
      </c>
      <c r="X1786">
        <v>0.98162450000000001</v>
      </c>
      <c r="Y1786">
        <v>5.5666309999999997E-2</v>
      </c>
      <c r="Z1786">
        <v>7.441123E-4</v>
      </c>
      <c r="AA1786">
        <v>0.99844909999999998</v>
      </c>
      <c r="AB1786">
        <v>23</v>
      </c>
      <c r="AC1786">
        <v>-54.822699999999998</v>
      </c>
      <c r="AD1786">
        <v>-1.1090253740076901</v>
      </c>
      <c r="AE1786">
        <v>3.9409999999999701</v>
      </c>
      <c r="AF1786">
        <v>3.0716392282923102</v>
      </c>
      <c r="AG1786">
        <v>-1.1090253740076901</v>
      </c>
      <c r="AH1786">
        <v>54.855870930704498</v>
      </c>
      <c r="AI1786">
        <v>91.156384457530905</v>
      </c>
      <c r="AJ1786">
        <v>86.795085545955203</v>
      </c>
      <c r="AK1786">
        <v>54.952993370653502</v>
      </c>
      <c r="AL1786">
        <v>79.057579963129101</v>
      </c>
      <c r="AM1786">
        <v>91.138801097239295</v>
      </c>
      <c r="AN1786">
        <v>0.99999998317272898</v>
      </c>
    </row>
    <row r="1787" spans="1:40" x14ac:dyDescent="0.25">
      <c r="A1787" t="str">
        <f>"20190304155629985"</f>
        <v>20190304155629985</v>
      </c>
      <c r="B1787" t="str">
        <f>"1551686189976142"</f>
        <v>1551686189976142</v>
      </c>
      <c r="C1787" t="s">
        <v>40</v>
      </c>
      <c r="D1787">
        <v>4.9468249999999996</v>
      </c>
      <c r="E1787">
        <v>0.52674019999999899</v>
      </c>
      <c r="F1787" t="s">
        <v>55</v>
      </c>
      <c r="G1787">
        <v>-271.66070000000002</v>
      </c>
      <c r="H1787" s="1">
        <v>-7.0177859999999998E-7</v>
      </c>
      <c r="I1787">
        <v>285.73099999999999</v>
      </c>
      <c r="J1787">
        <v>-219.5729</v>
      </c>
      <c r="K1787">
        <v>1.1090439999999999</v>
      </c>
      <c r="L1787">
        <v>281.95740000000001</v>
      </c>
      <c r="M1787">
        <v>-0.99977870000000002</v>
      </c>
      <c r="N1787">
        <v>-1.14339E-2</v>
      </c>
      <c r="O1787">
        <v>1.7660430000000001E-2</v>
      </c>
      <c r="P1787">
        <v>-0.98408010000000001</v>
      </c>
      <c r="Q1787">
        <v>0.17768429999999999</v>
      </c>
      <c r="R1787">
        <v>-3.8433650000000001E-3</v>
      </c>
      <c r="S1787">
        <v>-3.0617679999999998</v>
      </c>
      <c r="T1787">
        <v>-6.4907309999999996E-2</v>
      </c>
      <c r="U1787">
        <v>0.22119140000000001</v>
      </c>
      <c r="V1787">
        <v>-2.0682079999999999E-2</v>
      </c>
      <c r="W1787">
        <v>0.18898200000000001</v>
      </c>
      <c r="X1787">
        <v>0.98176280000000005</v>
      </c>
      <c r="Y1787">
        <v>5.4410439999999997E-2</v>
      </c>
      <c r="Z1787">
        <v>7.1536250000000005E-4</v>
      </c>
      <c r="AA1787">
        <v>0.99851840000000003</v>
      </c>
      <c r="AB1787">
        <v>23</v>
      </c>
      <c r="AC1787">
        <v>-52.087800000000001</v>
      </c>
      <c r="AD1787">
        <v>-1.1090447017786</v>
      </c>
      <c r="AE1787">
        <v>3.7735999999999801</v>
      </c>
      <c r="AF1787">
        <v>2.8517722748550098</v>
      </c>
      <c r="AG1787">
        <v>-1.1090447017786</v>
      </c>
      <c r="AH1787">
        <v>52.122817109810001</v>
      </c>
      <c r="AI1787">
        <v>91.217108851425294</v>
      </c>
      <c r="AJ1787">
        <v>86.868324118920697</v>
      </c>
      <c r="AK1787">
        <v>52.212552597252703</v>
      </c>
      <c r="AL1787">
        <v>79.106619923320295</v>
      </c>
      <c r="AM1787">
        <v>91.206829843899598</v>
      </c>
      <c r="AN1787">
        <v>1.0000000701104801</v>
      </c>
    </row>
    <row r="1788" spans="1:40" x14ac:dyDescent="0.25">
      <c r="A1788" t="str">
        <f>"20190304155630006"</f>
        <v>20190304155630006</v>
      </c>
      <c r="B1788" t="str">
        <f>"1551686189996637"</f>
        <v>1551686189996637</v>
      </c>
      <c r="C1788" t="s">
        <v>40</v>
      </c>
      <c r="D1788">
        <v>4.9702449999999896</v>
      </c>
      <c r="E1788">
        <v>0.5264839</v>
      </c>
      <c r="F1788" t="s">
        <v>55</v>
      </c>
      <c r="G1788">
        <v>-269.4359</v>
      </c>
      <c r="H1788" s="1">
        <v>3.4845010000000001E-6</v>
      </c>
      <c r="I1788">
        <v>285.5677</v>
      </c>
      <c r="J1788">
        <v>-219.79249999999999</v>
      </c>
      <c r="K1788">
        <v>1.109054</v>
      </c>
      <c r="L1788">
        <v>281.9633</v>
      </c>
      <c r="M1788">
        <v>-0.99974700000000005</v>
      </c>
      <c r="N1788">
        <v>-1.1363150000000001E-2</v>
      </c>
      <c r="O1788">
        <v>1.94083E-2</v>
      </c>
      <c r="P1788">
        <v>-0.9841067</v>
      </c>
      <c r="Q1788">
        <v>0.17754979999999901</v>
      </c>
      <c r="R1788">
        <v>-3.1947339999999999E-3</v>
      </c>
      <c r="S1788">
        <v>-3.061661</v>
      </c>
      <c r="T1788">
        <v>-6.8096760000000006E-2</v>
      </c>
      <c r="U1788">
        <v>0.22167970000000001</v>
      </c>
      <c r="V1788">
        <v>-2.1764800000000001E-2</v>
      </c>
      <c r="W1788">
        <v>0.18878010000000001</v>
      </c>
      <c r="X1788">
        <v>0.98177809999999999</v>
      </c>
      <c r="Y1788">
        <v>5.2824990000000002E-2</v>
      </c>
      <c r="Z1788">
        <v>6.7654009999999895E-4</v>
      </c>
      <c r="AA1788">
        <v>0.99860360000000004</v>
      </c>
      <c r="AB1788">
        <v>23</v>
      </c>
      <c r="AC1788">
        <v>-49.6434</v>
      </c>
      <c r="AD1788">
        <v>-1.109050515499</v>
      </c>
      <c r="AE1788">
        <v>3.6043999999999898</v>
      </c>
      <c r="AF1788">
        <v>2.6388545960886902</v>
      </c>
      <c r="AG1788">
        <v>-1.109050515499</v>
      </c>
      <c r="AH1788">
        <v>49.679343333163203</v>
      </c>
      <c r="AI1788">
        <v>91.277069017902605</v>
      </c>
      <c r="AJ1788">
        <v>86.959435001159605</v>
      </c>
      <c r="AK1788">
        <v>49.761739324902301</v>
      </c>
      <c r="AL1788">
        <v>79.118398495322396</v>
      </c>
      <c r="AM1788">
        <v>91.269968189451603</v>
      </c>
      <c r="AN1788">
        <v>0.99999993515732699</v>
      </c>
    </row>
    <row r="1789" spans="1:40" x14ac:dyDescent="0.25">
      <c r="A1789" t="str">
        <f>"20190304155630028"</f>
        <v>20190304155630028</v>
      </c>
      <c r="B1789" t="str">
        <f>"1551686190016158"</f>
        <v>1551686190016158</v>
      </c>
      <c r="C1789" t="s">
        <v>40</v>
      </c>
      <c r="D1789">
        <v>4.9676169999999997</v>
      </c>
      <c r="E1789">
        <v>0.52618940000000003</v>
      </c>
      <c r="F1789" t="s">
        <v>55</v>
      </c>
      <c r="G1789">
        <v>-268.80309999999997</v>
      </c>
      <c r="H1789" s="1">
        <v>3.147785E-6</v>
      </c>
      <c r="I1789">
        <v>285.5163</v>
      </c>
      <c r="J1789">
        <v>-220.01759999999999</v>
      </c>
      <c r="K1789">
        <v>1.1090580000000001</v>
      </c>
      <c r="L1789">
        <v>281.96969999999999</v>
      </c>
      <c r="M1789">
        <v>-0.99971209999999999</v>
      </c>
      <c r="N1789">
        <v>-1.128731E-2</v>
      </c>
      <c r="O1789">
        <v>2.1177540000000002E-2</v>
      </c>
      <c r="P1789">
        <v>-0.98411700000000002</v>
      </c>
      <c r="Q1789">
        <v>0.17750869999999999</v>
      </c>
      <c r="R1789">
        <v>-2.221284E-3</v>
      </c>
      <c r="S1789">
        <v>-3.0616759999999998</v>
      </c>
      <c r="T1789">
        <v>-6.9282049999999998E-2</v>
      </c>
      <c r="U1789">
        <v>0.22195429999999999</v>
      </c>
      <c r="V1789">
        <v>-2.2540549999999999E-2</v>
      </c>
      <c r="W1789">
        <v>0.18866540000000001</v>
      </c>
      <c r="X1789">
        <v>0.98178270000000001</v>
      </c>
      <c r="Y1789">
        <v>5.1146780000000003E-2</v>
      </c>
      <c r="Z1789">
        <v>6.2732140000000005E-4</v>
      </c>
      <c r="AA1789">
        <v>0.998691</v>
      </c>
      <c r="AB1789">
        <v>23</v>
      </c>
      <c r="AC1789">
        <v>-48.7854999999999</v>
      </c>
      <c r="AD1789">
        <v>-1.1090548522149899</v>
      </c>
      <c r="AE1789">
        <v>3.54660000000001</v>
      </c>
      <c r="AF1789">
        <v>2.5112908796214399</v>
      </c>
      <c r="AG1789">
        <v>-1.1090548522149899</v>
      </c>
      <c r="AH1789">
        <v>48.824570559069798</v>
      </c>
      <c r="AI1789">
        <v>91.299538134426101</v>
      </c>
      <c r="AJ1789">
        <v>87.055587353405201</v>
      </c>
      <c r="AK1789">
        <v>48.9016898974348</v>
      </c>
      <c r="AL1789">
        <v>79.125091176939804</v>
      </c>
      <c r="AM1789">
        <v>91.315211134955007</v>
      </c>
      <c r="AN1789">
        <v>0.99999998978537596</v>
      </c>
    </row>
    <row r="1790" spans="1:40" x14ac:dyDescent="0.25">
      <c r="A1790" t="str">
        <f>"20190304155630052"</f>
        <v>20190304155630052</v>
      </c>
      <c r="B1790" t="str">
        <f>"1551686190046414"</f>
        <v>1551686190046414</v>
      </c>
      <c r="C1790" t="s">
        <v>40</v>
      </c>
      <c r="D1790">
        <v>4.9801099999999998</v>
      </c>
      <c r="E1790">
        <v>0.52569960000000004</v>
      </c>
      <c r="F1790" t="s">
        <v>55</v>
      </c>
      <c r="G1790">
        <v>-268.7672</v>
      </c>
      <c r="H1790" s="1">
        <v>3.1286669999999999E-6</v>
      </c>
      <c r="I1790">
        <v>285.5215</v>
      </c>
      <c r="J1790">
        <v>-220.25739999999999</v>
      </c>
      <c r="K1790">
        <v>1.1090530000000001</v>
      </c>
      <c r="L1790">
        <v>281.9769</v>
      </c>
      <c r="M1790">
        <v>-0.99967159999999999</v>
      </c>
      <c r="N1790">
        <v>-1.120205E-2</v>
      </c>
      <c r="O1790">
        <v>2.304757E-2</v>
      </c>
      <c r="P1790">
        <v>-0.98408549999999995</v>
      </c>
      <c r="Q1790">
        <v>0.17768719999999999</v>
      </c>
      <c r="R1790">
        <v>-1.707531E-3</v>
      </c>
      <c r="S1790">
        <v>-3.0614780000000001</v>
      </c>
      <c r="T1790">
        <v>-6.9648740000000001E-2</v>
      </c>
      <c r="U1790">
        <v>0.223053</v>
      </c>
      <c r="V1790">
        <v>-2.3869620000000001E-2</v>
      </c>
      <c r="W1790">
        <v>0.18876319999999999</v>
      </c>
      <c r="X1790">
        <v>0.98173250000000001</v>
      </c>
      <c r="Y1790">
        <v>4.9640379999999998E-2</v>
      </c>
      <c r="Z1790">
        <v>5.7678129999999897E-4</v>
      </c>
      <c r="AA1790">
        <v>0.99876699999999996</v>
      </c>
      <c r="AB1790">
        <v>23</v>
      </c>
      <c r="AC1790">
        <v>-48.509799999999998</v>
      </c>
      <c r="AD1790">
        <v>-1.1090498713329999</v>
      </c>
      <c r="AE1790">
        <v>3.5446</v>
      </c>
      <c r="AF1790">
        <v>2.4242947305245099</v>
      </c>
      <c r="AG1790">
        <v>-1.1090498713329999</v>
      </c>
      <c r="AH1790">
        <v>48.553368721044599</v>
      </c>
      <c r="AI1790">
        <v>91.3068878721418</v>
      </c>
      <c r="AJ1790">
        <v>87.141566026932793</v>
      </c>
      <c r="AK1790">
        <v>48.626503171822598</v>
      </c>
      <c r="AL1790">
        <v>79.119385268937094</v>
      </c>
      <c r="AM1790">
        <v>91.392802096910998</v>
      </c>
      <c r="AN1790">
        <v>1.00000000299471</v>
      </c>
    </row>
    <row r="1791" spans="1:40" x14ac:dyDescent="0.25">
      <c r="A1791" t="str">
        <f>"20190304155630073"</f>
        <v>20190304155630073</v>
      </c>
      <c r="B1791" t="str">
        <f>"1551686190066910"</f>
        <v>1551686190066910</v>
      </c>
      <c r="C1791" t="s">
        <v>40</v>
      </c>
      <c r="D1791">
        <v>4.9588169999999998</v>
      </c>
      <c r="E1791">
        <v>0.52539169999999902</v>
      </c>
      <c r="F1791" t="s">
        <v>55</v>
      </c>
      <c r="G1791">
        <v>-269.00580000000002</v>
      </c>
      <c r="H1791" s="1">
        <v>3.2556429999999999E-6</v>
      </c>
      <c r="I1791">
        <v>285.49610000000001</v>
      </c>
      <c r="J1791">
        <v>-220.48699999999999</v>
      </c>
      <c r="K1791">
        <v>1.109046</v>
      </c>
      <c r="L1791">
        <v>281.98430000000002</v>
      </c>
      <c r="M1791">
        <v>-0.99962989999999996</v>
      </c>
      <c r="N1791">
        <v>-1.111203E-2</v>
      </c>
      <c r="O1791">
        <v>2.4832779999999999E-2</v>
      </c>
      <c r="P1791">
        <v>-0.98408450000000003</v>
      </c>
      <c r="Q1791">
        <v>0.1776981</v>
      </c>
      <c r="R1791">
        <v>-1.27826E-3</v>
      </c>
      <c r="S1791">
        <v>-3.0614780000000001</v>
      </c>
      <c r="T1791">
        <v>-6.9650050000000005E-2</v>
      </c>
      <c r="U1791">
        <v>0.22100829999999999</v>
      </c>
      <c r="V1791">
        <v>-2.5197580000000001E-2</v>
      </c>
      <c r="W1791">
        <v>0.18868879999999999</v>
      </c>
      <c r="X1791">
        <v>0.98171359999999996</v>
      </c>
      <c r="Y1791">
        <v>4.7194220000000002E-2</v>
      </c>
      <c r="Z1791">
        <v>5.1036629999999896E-4</v>
      </c>
      <c r="AA1791">
        <v>0.99888560000000004</v>
      </c>
      <c r="AB1791">
        <v>23</v>
      </c>
      <c r="AC1791">
        <v>-48.518799999999999</v>
      </c>
      <c r="AD1791">
        <v>-1.1090427443569999</v>
      </c>
      <c r="AE1791">
        <v>3.5117999999999898</v>
      </c>
      <c r="AF1791">
        <v>2.30458801877985</v>
      </c>
      <c r="AG1791">
        <v>-1.1090427443569999</v>
      </c>
      <c r="AH1791">
        <v>48.565806198328502</v>
      </c>
      <c r="AI1791">
        <v>91.306702110003599</v>
      </c>
      <c r="AJ1791">
        <v>87.283187484806106</v>
      </c>
      <c r="AK1791">
        <v>48.633102239510897</v>
      </c>
      <c r="AL1791">
        <v>79.123725902548003</v>
      </c>
      <c r="AM1791">
        <v>91.470284283963693</v>
      </c>
      <c r="AN1791">
        <v>0.99999998685412805</v>
      </c>
    </row>
    <row r="1792" spans="1:40" x14ac:dyDescent="0.25">
      <c r="A1792" t="str">
        <f>"20190304155630095"</f>
        <v>20190304155630095</v>
      </c>
      <c r="B1792" t="str">
        <f>"1551686190086429"</f>
        <v>1551686190086429</v>
      </c>
      <c r="C1792" t="s">
        <v>40</v>
      </c>
      <c r="D1792">
        <v>4.9419940000000002</v>
      </c>
      <c r="E1792">
        <v>0.52509910000000004</v>
      </c>
      <c r="F1792" t="s">
        <v>55</v>
      </c>
      <c r="G1792">
        <v>-269.01139999999998</v>
      </c>
      <c r="H1792" s="1">
        <v>3.2586099999999999E-6</v>
      </c>
      <c r="I1792">
        <v>285.47519999999997</v>
      </c>
      <c r="J1792">
        <v>-220.71469999999999</v>
      </c>
      <c r="K1792">
        <v>1.109024</v>
      </c>
      <c r="L1792">
        <v>281.99189999999999</v>
      </c>
      <c r="M1792">
        <v>-0.99958539999999996</v>
      </c>
      <c r="N1792">
        <v>-1.1020769999999999E-2</v>
      </c>
      <c r="O1792">
        <v>2.6602830000000001E-2</v>
      </c>
      <c r="P1792">
        <v>-0.98404659999999999</v>
      </c>
      <c r="Q1792">
        <v>0.17790989999999901</v>
      </c>
      <c r="R1792">
        <v>-6.68766E-4</v>
      </c>
      <c r="S1792">
        <v>-3.0614319999999999</v>
      </c>
      <c r="T1792">
        <v>-6.9970130000000005E-2</v>
      </c>
      <c r="U1792">
        <v>0.22024540000000001</v>
      </c>
      <c r="V1792">
        <v>-2.6326479999999999E-2</v>
      </c>
      <c r="W1792">
        <v>0.18881339999999999</v>
      </c>
      <c r="X1792">
        <v>0.98166010000000004</v>
      </c>
      <c r="Y1792">
        <v>4.5179669999999998E-2</v>
      </c>
      <c r="Z1792">
        <v>4.5083539999999999E-4</v>
      </c>
      <c r="AA1792">
        <v>0.99897879999999994</v>
      </c>
      <c r="AB1792">
        <v>23</v>
      </c>
      <c r="AC1792">
        <v>-48.296699999999902</v>
      </c>
      <c r="AD1792">
        <v>-1.10902074139</v>
      </c>
      <c r="AE1792">
        <v>3.4832999999999799</v>
      </c>
      <c r="AF1792">
        <v>2.1960082776700798</v>
      </c>
      <c r="AG1792">
        <v>-1.10902074139</v>
      </c>
      <c r="AH1792">
        <v>48.346915491639699</v>
      </c>
      <c r="AI1792">
        <v>91.312713599611797</v>
      </c>
      <c r="AJ1792">
        <v>87.399304961779194</v>
      </c>
      <c r="AK1792">
        <v>48.409468256903899</v>
      </c>
      <c r="AL1792">
        <v>79.116457065851705</v>
      </c>
      <c r="AM1792">
        <v>91.536208638009199</v>
      </c>
      <c r="AN1792">
        <v>1.00000006775037</v>
      </c>
    </row>
    <row r="1793" spans="1:40" x14ac:dyDescent="0.25">
      <c r="A1793" t="str">
        <f>"20190304155630117"</f>
        <v>20190304155630117</v>
      </c>
      <c r="B1793" t="str">
        <f>"1551686190106929"</f>
        <v>1551686190106929</v>
      </c>
      <c r="C1793" t="s">
        <v>40</v>
      </c>
      <c r="D1793">
        <v>5.0602900000000002</v>
      </c>
      <c r="E1793">
        <v>0.52502320000000002</v>
      </c>
      <c r="F1793" t="s">
        <v>55</v>
      </c>
      <c r="G1793">
        <v>-269.41800000000001</v>
      </c>
      <c r="H1793" s="1">
        <v>3.4750089999999998E-6</v>
      </c>
      <c r="I1793">
        <v>285.4905</v>
      </c>
      <c r="J1793">
        <v>-220.95349999999999</v>
      </c>
      <c r="K1793">
        <v>1.109002</v>
      </c>
      <c r="L1793">
        <v>282.00040000000001</v>
      </c>
      <c r="M1793">
        <v>-0.99953510000000001</v>
      </c>
      <c r="N1793">
        <v>-1.092519E-2</v>
      </c>
      <c r="O1793">
        <v>2.8465899999999999E-2</v>
      </c>
      <c r="P1793">
        <v>-0.98409769999999996</v>
      </c>
      <c r="Q1793">
        <v>0.17762790000000001</v>
      </c>
      <c r="R1793">
        <v>-1.7355380000000001E-4</v>
      </c>
      <c r="S1793">
        <v>-3.0613709999999998</v>
      </c>
      <c r="T1793">
        <v>-6.9710250000000001E-2</v>
      </c>
      <c r="U1793">
        <v>0.21990970000000001</v>
      </c>
      <c r="V1793">
        <v>-2.7663469999999999E-2</v>
      </c>
      <c r="W1793">
        <v>0.188442</v>
      </c>
      <c r="X1793">
        <v>0.98169459999999997</v>
      </c>
      <c r="Y1793">
        <v>4.3211100000000002E-2</v>
      </c>
      <c r="Z1793">
        <v>3.9133069999999998E-4</v>
      </c>
      <c r="AA1793">
        <v>0.99906589999999995</v>
      </c>
      <c r="AB1793">
        <v>23</v>
      </c>
      <c r="AC1793">
        <v>-48.464500000000001</v>
      </c>
      <c r="AD1793">
        <v>-1.1089985249909999</v>
      </c>
      <c r="AE1793">
        <v>3.49009999999998</v>
      </c>
      <c r="AF1793">
        <v>2.1079195737943199</v>
      </c>
      <c r="AG1793">
        <v>-1.1089985249909999</v>
      </c>
      <c r="AH1793">
        <v>48.518938555269699</v>
      </c>
      <c r="AI1793">
        <v>91.308149441226803</v>
      </c>
      <c r="AJ1793">
        <v>87.512332351369807</v>
      </c>
      <c r="AK1793">
        <v>48.577367170196098</v>
      </c>
      <c r="AL1793">
        <v>79.138124637430494</v>
      </c>
      <c r="AM1793">
        <v>91.614128000834697</v>
      </c>
      <c r="AN1793">
        <v>0.99999997130280005</v>
      </c>
    </row>
    <row r="1794" spans="1:40" x14ac:dyDescent="0.25">
      <c r="A1794" t="str">
        <f>"20190304155630140"</f>
        <v>20190304155630140</v>
      </c>
      <c r="B1794" t="str">
        <f>"1551686190136206"</f>
        <v>1551686190136206</v>
      </c>
      <c r="C1794" t="s">
        <v>40</v>
      </c>
      <c r="D1794">
        <v>4.9137069999999996</v>
      </c>
      <c r="E1794">
        <v>0.52456689999999995</v>
      </c>
      <c r="F1794" t="s">
        <v>55</v>
      </c>
      <c r="G1794">
        <v>-269.26459999999997</v>
      </c>
      <c r="H1794" s="1">
        <v>3.3933799999999999E-6</v>
      </c>
      <c r="I1794">
        <v>285.48689999999999</v>
      </c>
      <c r="J1794">
        <v>-221.18520000000001</v>
      </c>
      <c r="K1794">
        <v>1.108973</v>
      </c>
      <c r="L1794">
        <v>282.00909999999999</v>
      </c>
      <c r="M1794">
        <v>-0.99948289999999995</v>
      </c>
      <c r="N1794">
        <v>-1.0832680000000001E-2</v>
      </c>
      <c r="O1794">
        <v>3.0280020000000001E-2</v>
      </c>
      <c r="P1794">
        <v>-0.98414190000000001</v>
      </c>
      <c r="Q1794">
        <v>0.17738300000000001</v>
      </c>
      <c r="R1794">
        <v>4.2519349999999999E-4</v>
      </c>
      <c r="S1794">
        <v>-3.0612029999999999</v>
      </c>
      <c r="T1794">
        <v>-7.0271020000000003E-2</v>
      </c>
      <c r="U1794">
        <v>0.22091669999999999</v>
      </c>
      <c r="V1794">
        <v>-2.8849159999999999E-2</v>
      </c>
      <c r="W1794">
        <v>0.18811050000000001</v>
      </c>
      <c r="X1794">
        <v>0.98172409999999999</v>
      </c>
      <c r="Y1794">
        <v>4.1729280000000001E-2</v>
      </c>
      <c r="Z1794">
        <v>3.3851040000000001E-4</v>
      </c>
      <c r="AA1794">
        <v>0.99912889999999999</v>
      </c>
      <c r="AB1794">
        <v>23</v>
      </c>
      <c r="AC1794">
        <v>-48.0793999999999</v>
      </c>
      <c r="AD1794">
        <v>-1.1089696066200001</v>
      </c>
      <c r="AE1794">
        <v>3.4777999999999998</v>
      </c>
      <c r="AF1794">
        <v>2.0192060292767899</v>
      </c>
      <c r="AG1794">
        <v>-1.1089696066200001</v>
      </c>
      <c r="AH1794">
        <v>48.137188620303903</v>
      </c>
      <c r="AI1794">
        <v>91.318569817484502</v>
      </c>
      <c r="AJ1794">
        <v>87.598027568534604</v>
      </c>
      <c r="AK1794">
        <v>48.192280863679699</v>
      </c>
      <c r="AL1794">
        <v>79.157464602543101</v>
      </c>
      <c r="AM1794">
        <v>91.683221955692403</v>
      </c>
      <c r="AN1794">
        <v>1.00000002138188</v>
      </c>
    </row>
    <row r="1795" spans="1:40" x14ac:dyDescent="0.25">
      <c r="A1795" t="str">
        <f>"20190304155630155"</f>
        <v>20190304155630155</v>
      </c>
      <c r="B1795" t="str">
        <f>"1551686190146942"</f>
        <v>1551686190146942</v>
      </c>
      <c r="C1795" t="s">
        <v>40</v>
      </c>
      <c r="D1795">
        <v>4.9091420000000001</v>
      </c>
      <c r="E1795">
        <v>0.52440290000000001</v>
      </c>
      <c r="F1795" t="s">
        <v>55</v>
      </c>
      <c r="G1795">
        <v>-268.45929999999998</v>
      </c>
      <c r="H1795" s="1">
        <v>2.9648240000000002E-6</v>
      </c>
      <c r="I1795">
        <v>285.3929</v>
      </c>
      <c r="J1795">
        <v>-221.33709999999999</v>
      </c>
      <c r="K1795">
        <v>1.1089580000000001</v>
      </c>
      <c r="L1795">
        <v>282.01499999999999</v>
      </c>
      <c r="M1795">
        <v>-0.99944650000000002</v>
      </c>
      <c r="N1795">
        <v>-1.077292E-2</v>
      </c>
      <c r="O1795">
        <v>3.1473389999999997E-2</v>
      </c>
      <c r="P1795">
        <v>-0.98418879999999997</v>
      </c>
      <c r="Q1795">
        <v>0.177119</v>
      </c>
      <c r="R1795">
        <v>1.1790850000000001E-3</v>
      </c>
      <c r="S1795">
        <v>-3.0612029999999999</v>
      </c>
      <c r="T1795">
        <v>-7.1810600000000002E-2</v>
      </c>
      <c r="U1795">
        <v>0.21911620000000001</v>
      </c>
      <c r="V1795">
        <v>-2.927043E-2</v>
      </c>
      <c r="W1795">
        <v>0.1877896</v>
      </c>
      <c r="X1795">
        <v>0.98177300000000001</v>
      </c>
      <c r="Y1795">
        <v>3.9952069999999999E-2</v>
      </c>
      <c r="Z1795">
        <v>2.8524550000000001E-4</v>
      </c>
      <c r="AA1795">
        <v>0.99920149999999996</v>
      </c>
      <c r="AB1795">
        <v>23</v>
      </c>
      <c r="AC1795">
        <v>-47.1221999999999</v>
      </c>
      <c r="AD1795">
        <v>-1.10895503517599</v>
      </c>
      <c r="AE1795">
        <v>3.3779000000000101</v>
      </c>
      <c r="AF1795">
        <v>1.8920023754259401</v>
      </c>
      <c r="AG1795">
        <v>-1.10895503517599</v>
      </c>
      <c r="AH1795">
        <v>47.179176943368397</v>
      </c>
      <c r="AI1795">
        <v>91.345418631321706</v>
      </c>
      <c r="AJ1795">
        <v>87.703527234103106</v>
      </c>
      <c r="AK1795">
        <v>47.230119535232198</v>
      </c>
      <c r="AL1795">
        <v>79.176183734441096</v>
      </c>
      <c r="AM1795">
        <v>91.707701751023194</v>
      </c>
      <c r="AN1795">
        <v>0.99999995773477102</v>
      </c>
    </row>
    <row r="1796" spans="1:40" x14ac:dyDescent="0.25">
      <c r="A1796" t="str">
        <f>"20190304155630175"</f>
        <v>20190304155630175</v>
      </c>
      <c r="B1796" t="str">
        <f>"1551686190166463"</f>
        <v>1551686190166463</v>
      </c>
      <c r="C1796" t="s">
        <v>40</v>
      </c>
      <c r="D1796">
        <v>4.9219419999999996</v>
      </c>
      <c r="E1796">
        <v>0.52408920000000003</v>
      </c>
      <c r="F1796" t="s">
        <v>55</v>
      </c>
      <c r="G1796">
        <v>-267.94029999999998</v>
      </c>
      <c r="H1796" s="1">
        <v>2.6886369999999999E-6</v>
      </c>
      <c r="I1796">
        <v>285.3691</v>
      </c>
      <c r="J1796">
        <v>-221.55090000000001</v>
      </c>
      <c r="K1796">
        <v>1.108943</v>
      </c>
      <c r="L1796">
        <v>282.02359999999999</v>
      </c>
      <c r="M1796">
        <v>-0.99939319999999998</v>
      </c>
      <c r="N1796">
        <v>-1.069035E-2</v>
      </c>
      <c r="O1796">
        <v>3.3154900000000001E-2</v>
      </c>
      <c r="P1796">
        <v>-0.98422310000000002</v>
      </c>
      <c r="Q1796">
        <v>0.17692910000000001</v>
      </c>
      <c r="R1796">
        <v>1.223174E-3</v>
      </c>
      <c r="S1796">
        <v>-3.0610659999999998</v>
      </c>
      <c r="T1796">
        <v>-7.2840210000000002E-2</v>
      </c>
      <c r="U1796">
        <v>0.22030640000000001</v>
      </c>
      <c r="V1796">
        <v>-3.088053E-2</v>
      </c>
      <c r="W1796">
        <v>0.18752360000000001</v>
      </c>
      <c r="X1796">
        <v>0.98177460000000005</v>
      </c>
      <c r="Y1796">
        <v>3.866112E-2</v>
      </c>
      <c r="Z1796">
        <v>2.3293660000000001E-4</v>
      </c>
      <c r="AA1796">
        <v>0.99925240000000004</v>
      </c>
      <c r="AB1796">
        <v>23</v>
      </c>
      <c r="AC1796">
        <v>-46.389399999999902</v>
      </c>
      <c r="AD1796">
        <v>-1.1089403113630001</v>
      </c>
      <c r="AE1796">
        <v>3.3455000000000101</v>
      </c>
      <c r="AF1796">
        <v>1.8045110831632301</v>
      </c>
      <c r="AG1796">
        <v>-1.1089403113630001</v>
      </c>
      <c r="AH1796">
        <v>46.448413760408698</v>
      </c>
      <c r="AI1796">
        <v>91.366627168805493</v>
      </c>
      <c r="AJ1796">
        <v>87.775189900349901</v>
      </c>
      <c r="AK1796">
        <v>46.4966789106658</v>
      </c>
      <c r="AL1796">
        <v>79.1917009258066</v>
      </c>
      <c r="AM1796">
        <v>91.801575327073706</v>
      </c>
      <c r="AN1796">
        <v>1.0000000364475901</v>
      </c>
    </row>
    <row r="1797" spans="1:40" x14ac:dyDescent="0.25">
      <c r="A1797" t="str">
        <f>"20190304155630197"</f>
        <v>20190304155630197</v>
      </c>
      <c r="B1797" t="str">
        <f>"1551686190185982"</f>
        <v>1551686190185982</v>
      </c>
      <c r="C1797" t="s">
        <v>40</v>
      </c>
      <c r="D1797">
        <v>4.9294520000000004</v>
      </c>
      <c r="E1797">
        <v>0.52387150000000005</v>
      </c>
      <c r="F1797" t="s">
        <v>55</v>
      </c>
      <c r="G1797">
        <v>-267.59620000000001</v>
      </c>
      <c r="H1797" s="1">
        <v>2.5055099999999998E-6</v>
      </c>
      <c r="I1797">
        <v>285.30169999999998</v>
      </c>
      <c r="J1797">
        <v>-221.78729999999999</v>
      </c>
      <c r="K1797">
        <v>1.1089290000000001</v>
      </c>
      <c r="L1797">
        <v>282.03359999999998</v>
      </c>
      <c r="M1797">
        <v>-0.99933079999999996</v>
      </c>
      <c r="N1797">
        <v>-1.0603960000000001E-2</v>
      </c>
      <c r="O1797">
        <v>3.5010779999999998E-2</v>
      </c>
      <c r="P1797">
        <v>-0.98429049999999996</v>
      </c>
      <c r="Q1797">
        <v>0.17654990000000001</v>
      </c>
      <c r="R1797">
        <v>1.59885E-3</v>
      </c>
      <c r="S1797">
        <v>-3.0610499999999998</v>
      </c>
      <c r="T1797">
        <v>-7.3721410000000001E-2</v>
      </c>
      <c r="U1797">
        <v>0.21792600000000001</v>
      </c>
      <c r="V1797">
        <v>-3.2334630000000003E-2</v>
      </c>
      <c r="W1797">
        <v>0.18706410000000001</v>
      </c>
      <c r="X1797">
        <v>0.9818154</v>
      </c>
      <c r="Y1797">
        <v>3.6033750000000003E-2</v>
      </c>
      <c r="Z1797">
        <v>1.5396499999999999E-4</v>
      </c>
      <c r="AA1797">
        <v>0.99935050000000003</v>
      </c>
      <c r="AB1797">
        <v>23</v>
      </c>
      <c r="AC1797">
        <v>-45.808900000000001</v>
      </c>
      <c r="AD1797">
        <v>-1.1089264944899999</v>
      </c>
      <c r="AE1797">
        <v>3.2681</v>
      </c>
      <c r="AF1797">
        <v>1.66123234674644</v>
      </c>
      <c r="AG1797">
        <v>-1.1089264944899999</v>
      </c>
      <c r="AH1797">
        <v>45.868494822003399</v>
      </c>
      <c r="AI1797">
        <v>91.384018127208705</v>
      </c>
      <c r="AJ1797">
        <v>87.925809010223801</v>
      </c>
      <c r="AK1797">
        <v>45.911961710606697</v>
      </c>
      <c r="AL1797">
        <v>79.218502143531396</v>
      </c>
      <c r="AM1797">
        <v>91.886269523061202</v>
      </c>
      <c r="AN1797">
        <v>0.99999999274160301</v>
      </c>
    </row>
    <row r="1798" spans="1:40" x14ac:dyDescent="0.25">
      <c r="A1798" t="str">
        <f>"20190304155630219"</f>
        <v>20190304155630219</v>
      </c>
      <c r="B1798" t="str">
        <f>"1551686190206478"</f>
        <v>1551686190206478</v>
      </c>
      <c r="C1798" t="s">
        <v>40</v>
      </c>
      <c r="D1798">
        <v>4.9099120000000003</v>
      </c>
      <c r="E1798">
        <v>0.52361489999999999</v>
      </c>
      <c r="F1798" t="s">
        <v>55</v>
      </c>
      <c r="G1798">
        <v>-267.09800000000001</v>
      </c>
      <c r="H1798" s="1">
        <v>2.2404179999999998E-6</v>
      </c>
      <c r="I1798">
        <v>285.25720000000001</v>
      </c>
      <c r="J1798">
        <v>-222.0104</v>
      </c>
      <c r="K1798">
        <v>1.1089249999999999</v>
      </c>
      <c r="L1798">
        <v>282.04340000000002</v>
      </c>
      <c r="M1798">
        <v>-0.99926910000000002</v>
      </c>
      <c r="N1798">
        <v>-1.052989E-2</v>
      </c>
      <c r="O1798">
        <v>3.6748780000000002E-2</v>
      </c>
      <c r="P1798">
        <v>-0.98427549999999997</v>
      </c>
      <c r="Q1798">
        <v>0.17662510000000001</v>
      </c>
      <c r="R1798">
        <v>2.3589919999999999E-3</v>
      </c>
      <c r="S1798">
        <v>-3.060959</v>
      </c>
      <c r="T1798">
        <v>-7.4913380000000002E-2</v>
      </c>
      <c r="U1798">
        <v>0.21777340000000001</v>
      </c>
      <c r="V1798">
        <v>-3.3286370000000003E-2</v>
      </c>
      <c r="W1798">
        <v>0.18706880000000001</v>
      </c>
      <c r="X1798">
        <v>0.98178270000000001</v>
      </c>
      <c r="Y1798">
        <v>3.4248960000000002E-2</v>
      </c>
      <c r="Z1798" s="1">
        <v>8.8072730000000003E-5</v>
      </c>
      <c r="AA1798">
        <v>0.99941329999999995</v>
      </c>
      <c r="AB1798">
        <v>23</v>
      </c>
      <c r="AC1798">
        <v>-45.087600000000002</v>
      </c>
      <c r="AD1798">
        <v>-1.1089227595819999</v>
      </c>
      <c r="AE1798">
        <v>3.2137999999999902</v>
      </c>
      <c r="AF1798">
        <v>1.5536877782882601</v>
      </c>
      <c r="AG1798">
        <v>-1.1089227595819999</v>
      </c>
      <c r="AH1798">
        <v>45.148079002675303</v>
      </c>
      <c r="AI1798">
        <v>91.406178445803405</v>
      </c>
      <c r="AJ1798">
        <v>88.029049335104702</v>
      </c>
      <c r="AK1798">
        <v>45.188413260823097</v>
      </c>
      <c r="AL1798">
        <v>79.218228030039</v>
      </c>
      <c r="AM1798">
        <v>91.941812855346896</v>
      </c>
      <c r="AN1798">
        <v>0.99999999419025298</v>
      </c>
    </row>
    <row r="1799" spans="1:40" x14ac:dyDescent="0.25">
      <c r="A1799" t="str">
        <f>"20190304155630241"</f>
        <v>20190304155630241</v>
      </c>
      <c r="B1799" t="str">
        <f>"1551686190236734"</f>
        <v>1551686190236734</v>
      </c>
      <c r="C1799" t="s">
        <v>40</v>
      </c>
      <c r="D1799">
        <v>4.9232550000000002</v>
      </c>
      <c r="E1799">
        <v>0.52330739999999998</v>
      </c>
      <c r="F1799" t="s">
        <v>55</v>
      </c>
      <c r="G1799">
        <v>-267.4667</v>
      </c>
      <c r="H1799" s="1">
        <v>2.4366090000000001E-6</v>
      </c>
      <c r="I1799">
        <v>285.2867</v>
      </c>
      <c r="J1799">
        <v>-222.2456</v>
      </c>
      <c r="K1799">
        <v>1.108924</v>
      </c>
      <c r="L1799">
        <v>282.05410000000001</v>
      </c>
      <c r="M1799">
        <v>-0.99920189999999998</v>
      </c>
      <c r="N1799">
        <v>-1.0459990000000001E-2</v>
      </c>
      <c r="O1799">
        <v>3.8551879999999997E-2</v>
      </c>
      <c r="P1799">
        <v>-0.98436690000000004</v>
      </c>
      <c r="Q1799">
        <v>0.17611160000000001</v>
      </c>
      <c r="R1799">
        <v>2.6157210000000001E-3</v>
      </c>
      <c r="S1799">
        <v>-3.060791</v>
      </c>
      <c r="T1799">
        <v>-7.4669120000000005E-2</v>
      </c>
      <c r="U1799">
        <v>0.21838379999999999</v>
      </c>
      <c r="V1799">
        <v>-3.4815459999999999E-2</v>
      </c>
      <c r="W1799">
        <v>0.1864903</v>
      </c>
      <c r="X1799">
        <v>0.98183969999999998</v>
      </c>
      <c r="Y1799">
        <v>3.2648650000000001E-2</v>
      </c>
      <c r="Z1799" s="1">
        <v>3.295667E-5</v>
      </c>
      <c r="AA1799">
        <v>0.99946690000000005</v>
      </c>
      <c r="AB1799">
        <v>23</v>
      </c>
      <c r="AC1799">
        <v>-45.2211</v>
      </c>
      <c r="AD1799">
        <v>-1.1089215633909999</v>
      </c>
      <c r="AE1799">
        <v>3.2325999999999899</v>
      </c>
      <c r="AF1799">
        <v>1.48585394615753</v>
      </c>
      <c r="AG1799">
        <v>-1.1089215633909999</v>
      </c>
      <c r="AH1799">
        <v>45.285015372946198</v>
      </c>
      <c r="AI1799">
        <v>91.402001896750804</v>
      </c>
      <c r="AJ1799">
        <v>88.120733129091803</v>
      </c>
      <c r="AK1799">
        <v>45.322953194943501</v>
      </c>
      <c r="AL1799">
        <v>79.2519671521558</v>
      </c>
      <c r="AM1799">
        <v>92.030823862167395</v>
      </c>
      <c r="AN1799">
        <v>0.99999997237259497</v>
      </c>
    </row>
    <row r="1800" spans="1:40" x14ac:dyDescent="0.25">
      <c r="A1800" t="str">
        <f>"20190304155630273"</f>
        <v>20190304155630273</v>
      </c>
      <c r="B1800" t="str">
        <f>"1551686190266014"</f>
        <v>1551686190266014</v>
      </c>
      <c r="C1800" t="s">
        <v>40</v>
      </c>
      <c r="D1800">
        <v>4.9328779999999997</v>
      </c>
      <c r="E1800">
        <v>0.52317369999999996</v>
      </c>
      <c r="F1800" t="s">
        <v>55</v>
      </c>
      <c r="G1800">
        <v>-266.77190000000002</v>
      </c>
      <c r="H1800" s="1">
        <v>2.0669009999999999E-6</v>
      </c>
      <c r="I1800">
        <v>285.20269999999999</v>
      </c>
      <c r="J1800">
        <v>-222.59209999999999</v>
      </c>
      <c r="K1800">
        <v>1.108948</v>
      </c>
      <c r="L1800">
        <v>282.07049999999998</v>
      </c>
      <c r="M1800">
        <v>-0.99910060000000001</v>
      </c>
      <c r="N1800">
        <v>-1.0369939999999999E-2</v>
      </c>
      <c r="O1800">
        <v>4.1113749999999998E-2</v>
      </c>
      <c r="P1800">
        <v>-0.98455409999999999</v>
      </c>
      <c r="Q1800">
        <v>0.175020799999999</v>
      </c>
      <c r="R1800">
        <v>4.6085079999999999E-3</v>
      </c>
      <c r="S1800">
        <v>-3.0606990000000001</v>
      </c>
      <c r="T1800">
        <v>-7.6226349999999998E-2</v>
      </c>
      <c r="U1800">
        <v>0.2164307</v>
      </c>
      <c r="V1800">
        <v>-3.5377350000000002E-2</v>
      </c>
      <c r="W1800">
        <v>0.18531049999999999</v>
      </c>
      <c r="X1800">
        <v>0.982043</v>
      </c>
      <c r="Y1800">
        <v>2.9454910000000001E-2</v>
      </c>
      <c r="Z1800" s="1">
        <v>-7.6655109999999998E-5</v>
      </c>
      <c r="AA1800">
        <v>0.99956610000000001</v>
      </c>
      <c r="AB1800">
        <v>24</v>
      </c>
      <c r="AC1800">
        <v>-44.1798</v>
      </c>
      <c r="AD1800">
        <v>-1.1089459330989999</v>
      </c>
      <c r="AE1800">
        <v>3.1322000000000099</v>
      </c>
      <c r="AF1800">
        <v>1.3122336900048099</v>
      </c>
      <c r="AG1800">
        <v>-1.1089459330989999</v>
      </c>
      <c r="AH1800">
        <v>44.243488066885597</v>
      </c>
      <c r="AI1800">
        <v>91.435165114315595</v>
      </c>
      <c r="AJ1800">
        <v>88.301141687515297</v>
      </c>
      <c r="AK1800">
        <v>44.276833159840699</v>
      </c>
      <c r="AL1800">
        <v>79.320764200198894</v>
      </c>
      <c r="AM1800">
        <v>92.063144583001602</v>
      </c>
      <c r="AN1800">
        <v>0.99999999607613599</v>
      </c>
    </row>
    <row r="1801" spans="1:40" x14ac:dyDescent="0.25">
      <c r="A1801" t="str">
        <f>"20190304155630296"</f>
        <v>20190304155630296</v>
      </c>
      <c r="B1801" t="str">
        <f>"1551686190286510"</f>
        <v>1551686190286510</v>
      </c>
      <c r="C1801" t="s">
        <v>40</v>
      </c>
      <c r="D1801">
        <v>4.9103830000000004</v>
      </c>
      <c r="E1801">
        <v>0.52299379999999995</v>
      </c>
      <c r="F1801" t="s">
        <v>55</v>
      </c>
      <c r="G1801">
        <v>-265.25450000000001</v>
      </c>
      <c r="H1801" s="1">
        <v>1.2594110000000001E-6</v>
      </c>
      <c r="I1801">
        <v>285.15249999999997</v>
      </c>
      <c r="J1801">
        <v>-222.828</v>
      </c>
      <c r="K1801">
        <v>1.108986</v>
      </c>
      <c r="L1801">
        <v>282.08210000000003</v>
      </c>
      <c r="M1801">
        <v>-0.99903209999999998</v>
      </c>
      <c r="N1801">
        <v>-1.031724E-2</v>
      </c>
      <c r="O1801">
        <v>4.276129E-2</v>
      </c>
      <c r="P1801">
        <v>-0.98470630000000003</v>
      </c>
      <c r="Q1801">
        <v>0.17411470000000001</v>
      </c>
      <c r="R1801">
        <v>6.1345610000000002E-3</v>
      </c>
      <c r="S1801">
        <v>-3.060181</v>
      </c>
      <c r="T1801">
        <v>-7.9544900000000002E-2</v>
      </c>
      <c r="U1801">
        <v>0.2210693</v>
      </c>
      <c r="V1801">
        <v>-3.5506080000000002E-2</v>
      </c>
      <c r="W1801">
        <v>0.18435029999999999</v>
      </c>
      <c r="X1801">
        <v>0.98221899999999995</v>
      </c>
      <c r="Y1801">
        <v>2.932597E-2</v>
      </c>
      <c r="Z1801">
        <v>-1.3625899999999901E-4</v>
      </c>
      <c r="AA1801">
        <v>0.99956990000000001</v>
      </c>
      <c r="AB1801">
        <v>24</v>
      </c>
      <c r="AC1801">
        <v>-42.426499999999997</v>
      </c>
      <c r="AD1801">
        <v>-1.1089847405890001</v>
      </c>
      <c r="AE1801">
        <v>3.0703999999999398</v>
      </c>
      <c r="AF1801">
        <v>1.2524316656876799</v>
      </c>
      <c r="AG1801">
        <v>-1.1089847405890001</v>
      </c>
      <c r="AH1801">
        <v>42.4901104314958</v>
      </c>
      <c r="AI1801">
        <v>91.494422035177607</v>
      </c>
      <c r="AJ1801">
        <v>88.311647659892898</v>
      </c>
      <c r="AK1801">
        <v>42.5230280755355</v>
      </c>
      <c r="AL1801">
        <v>79.376743510988803</v>
      </c>
      <c r="AM1801">
        <v>92.070274658126806</v>
      </c>
      <c r="AN1801">
        <v>0.99999993939402598</v>
      </c>
    </row>
    <row r="1802" spans="1:40" x14ac:dyDescent="0.25">
      <c r="A1802" t="str">
        <f>"20190304155630318"</f>
        <v>20190304155630318</v>
      </c>
      <c r="B1802" t="str">
        <f>"1551686190307006"</f>
        <v>1551686190307006</v>
      </c>
      <c r="C1802" t="s">
        <v>40</v>
      </c>
      <c r="D1802">
        <v>4.9187969999999996</v>
      </c>
      <c r="E1802">
        <v>0.52293559999999994</v>
      </c>
      <c r="F1802" t="s">
        <v>55</v>
      </c>
      <c r="G1802">
        <v>-264.08890000000002</v>
      </c>
      <c r="H1802" s="1">
        <v>6.3912159999999995E-7</v>
      </c>
      <c r="I1802">
        <v>285.10149999999999</v>
      </c>
      <c r="J1802">
        <v>-223.0652</v>
      </c>
      <c r="K1802">
        <v>1.1090390000000001</v>
      </c>
      <c r="L1802">
        <v>282.09410000000003</v>
      </c>
      <c r="M1802">
        <v>-0.99896410000000002</v>
      </c>
      <c r="N1802">
        <v>-1.027057E-2</v>
      </c>
      <c r="O1802">
        <v>4.43338E-2</v>
      </c>
      <c r="P1802">
        <v>-0.98482630000000004</v>
      </c>
      <c r="Q1802">
        <v>0.173391299999999</v>
      </c>
      <c r="R1802">
        <v>7.2694589999999998E-3</v>
      </c>
      <c r="S1802">
        <v>-3.0597530000000002</v>
      </c>
      <c r="T1802">
        <v>-8.2238199999999997E-2</v>
      </c>
      <c r="U1802">
        <v>0.22390750000000001</v>
      </c>
      <c r="V1802">
        <v>-3.5953970000000002E-2</v>
      </c>
      <c r="W1802">
        <v>0.1835784</v>
      </c>
      <c r="X1802">
        <v>0.98234730000000003</v>
      </c>
      <c r="Y1802">
        <v>2.8685269999999999E-2</v>
      </c>
      <c r="Z1802">
        <v>-2.015613E-4</v>
      </c>
      <c r="AA1802">
        <v>0.99958849999999999</v>
      </c>
      <c r="AB1802">
        <v>24</v>
      </c>
      <c r="AC1802">
        <v>-41.023699999999998</v>
      </c>
      <c r="AD1802">
        <v>-1.10903836087839</v>
      </c>
      <c r="AE1802">
        <v>3.0073999999999601</v>
      </c>
      <c r="AF1802">
        <v>1.1847492763362799</v>
      </c>
      <c r="AG1802">
        <v>-1.10903836087839</v>
      </c>
      <c r="AH1802">
        <v>41.086829193187903</v>
      </c>
      <c r="AI1802">
        <v>91.545541755695794</v>
      </c>
      <c r="AJ1802">
        <v>88.3483191506064</v>
      </c>
      <c r="AK1802">
        <v>41.118865865729802</v>
      </c>
      <c r="AL1802">
        <v>79.421738352090401</v>
      </c>
      <c r="AM1802">
        <v>92.096093344318405</v>
      </c>
      <c r="AN1802">
        <v>0.99999996736130503</v>
      </c>
    </row>
    <row r="1803" spans="1:40" x14ac:dyDescent="0.25">
      <c r="A1803" t="str">
        <f>"20190304155630341"</f>
        <v>20190304155630341</v>
      </c>
      <c r="B1803" t="str">
        <f>"1551686190336287"</f>
        <v>1551686190336287</v>
      </c>
      <c r="C1803" t="s">
        <v>40</v>
      </c>
      <c r="D1803">
        <v>4.9411480000000001</v>
      </c>
      <c r="E1803">
        <v>0.52268499999999996</v>
      </c>
      <c r="F1803" t="s">
        <v>55</v>
      </c>
      <c r="G1803">
        <v>-263.40030000000002</v>
      </c>
      <c r="H1803" s="1">
        <v>2.7266159999999999E-7</v>
      </c>
      <c r="I1803">
        <v>285.07429999999999</v>
      </c>
      <c r="J1803">
        <v>-223.3</v>
      </c>
      <c r="K1803">
        <v>1.1091009999999999</v>
      </c>
      <c r="L1803">
        <v>282.1062</v>
      </c>
      <c r="M1803">
        <v>-0.99889919999999999</v>
      </c>
      <c r="N1803">
        <v>-1.0230110000000001E-2</v>
      </c>
      <c r="O1803">
        <v>4.5778920000000001E-2</v>
      </c>
      <c r="P1803">
        <v>-0.98485409999999995</v>
      </c>
      <c r="Q1803">
        <v>0.17315329999999901</v>
      </c>
      <c r="R1803">
        <v>8.9691119999999996E-3</v>
      </c>
      <c r="S1803">
        <v>-3.0593720000000002</v>
      </c>
      <c r="T1803">
        <v>-8.4119440000000004E-2</v>
      </c>
      <c r="U1803">
        <v>0.22604369999999999</v>
      </c>
      <c r="V1803">
        <v>-3.5712790000000001E-2</v>
      </c>
      <c r="W1803">
        <v>0.18329429999999999</v>
      </c>
      <c r="X1803">
        <v>0.98240919999999998</v>
      </c>
      <c r="Y1803">
        <v>2.7943030000000001E-2</v>
      </c>
      <c r="Z1803">
        <v>-2.612216E-4</v>
      </c>
      <c r="AA1803">
        <v>0.99960950000000004</v>
      </c>
      <c r="AB1803">
        <v>24</v>
      </c>
      <c r="AC1803">
        <v>-40.100299999999997</v>
      </c>
      <c r="AD1803">
        <v>-1.1091007273383999</v>
      </c>
      <c r="AE1803">
        <v>2.96809999999999</v>
      </c>
      <c r="AF1803">
        <v>1.1282849840126701</v>
      </c>
      <c r="AG1803">
        <v>-1.1091007273383999</v>
      </c>
      <c r="AH1803">
        <v>40.1635810979962</v>
      </c>
      <c r="AI1803">
        <v>91.5811738570562</v>
      </c>
      <c r="AJ1803">
        <v>88.390856384958695</v>
      </c>
      <c r="AK1803">
        <v>40.194730724858097</v>
      </c>
      <c r="AL1803">
        <v>79.438297621076401</v>
      </c>
      <c r="AM1803">
        <v>92.081914050909205</v>
      </c>
      <c r="AN1803">
        <v>1.0000000200133501</v>
      </c>
    </row>
    <row r="1804" spans="1:40" x14ac:dyDescent="0.25">
      <c r="A1804" t="str">
        <f>"20190304155630365"</f>
        <v>20190304155630365</v>
      </c>
      <c r="B1804" t="str">
        <f>"1551686190356783"</f>
        <v>1551686190356783</v>
      </c>
      <c r="C1804" t="s">
        <v>40</v>
      </c>
      <c r="D1804">
        <v>4.923368</v>
      </c>
      <c r="E1804">
        <v>0.52254120000000004</v>
      </c>
      <c r="F1804" t="s">
        <v>55</v>
      </c>
      <c r="G1804">
        <v>-263.36380000000003</v>
      </c>
      <c r="H1804" s="1">
        <v>2.5328029999999998E-7</v>
      </c>
      <c r="I1804">
        <v>285.11</v>
      </c>
      <c r="J1804">
        <v>-223.55619999999999</v>
      </c>
      <c r="K1804">
        <v>1.1091869999999999</v>
      </c>
      <c r="L1804">
        <v>282.11970000000002</v>
      </c>
      <c r="M1804">
        <v>-0.99883330000000004</v>
      </c>
      <c r="N1804">
        <v>-1.019168E-2</v>
      </c>
      <c r="O1804">
        <v>4.7205560000000001E-2</v>
      </c>
      <c r="P1804">
        <v>-0.98489780000000005</v>
      </c>
      <c r="Q1804">
        <v>0.172844</v>
      </c>
      <c r="R1804">
        <v>1.007981E-2</v>
      </c>
      <c r="S1804">
        <v>-3.058929</v>
      </c>
      <c r="T1804">
        <v>-8.4681389999999995E-2</v>
      </c>
      <c r="U1804">
        <v>0.2293396</v>
      </c>
      <c r="V1804">
        <v>-3.6051550000000002E-2</v>
      </c>
      <c r="W1804">
        <v>0.1829404</v>
      </c>
      <c r="X1804">
        <v>0.98246279999999997</v>
      </c>
      <c r="Y1804">
        <v>2.7597509999999999E-2</v>
      </c>
      <c r="Z1804">
        <v>-3.0079940000000001E-4</v>
      </c>
      <c r="AA1804">
        <v>0.99961909999999998</v>
      </c>
      <c r="AB1804">
        <v>24</v>
      </c>
      <c r="AC1804">
        <v>-39.807600000000001</v>
      </c>
      <c r="AD1804">
        <v>-1.1091867467196901</v>
      </c>
      <c r="AE1804">
        <v>2.9902999999999902</v>
      </c>
      <c r="AF1804">
        <v>1.1068740506855601</v>
      </c>
      <c r="AG1804">
        <v>-1.1091867467196901</v>
      </c>
      <c r="AH1804">
        <v>39.873600260674102</v>
      </c>
      <c r="AI1804">
        <v>91.592805284048794</v>
      </c>
      <c r="AJ1804">
        <v>88.4099020775745</v>
      </c>
      <c r="AK1804">
        <v>39.904378997187898</v>
      </c>
      <c r="AL1804">
        <v>79.458923450072803</v>
      </c>
      <c r="AM1804">
        <v>92.101530233520705</v>
      </c>
      <c r="AN1804">
        <v>1.0000000287966999</v>
      </c>
    </row>
    <row r="1805" spans="1:40" x14ac:dyDescent="0.25">
      <c r="A1805" t="str">
        <f>"20190304155630388"</f>
        <v>20190304155630388</v>
      </c>
      <c r="B1805" t="str">
        <f>"1551686190386062"</f>
        <v>1551686190386062</v>
      </c>
      <c r="C1805" t="s">
        <v>40</v>
      </c>
      <c r="D1805">
        <v>4.9619910000000003</v>
      </c>
      <c r="E1805">
        <v>0.52229190000000003</v>
      </c>
      <c r="F1805" t="s">
        <v>55</v>
      </c>
      <c r="G1805">
        <v>-263.35309999999998</v>
      </c>
      <c r="H1805" s="1">
        <v>2.4755439999999999E-7</v>
      </c>
      <c r="I1805">
        <v>285.13189999999997</v>
      </c>
      <c r="J1805">
        <v>-223.81299999999999</v>
      </c>
      <c r="K1805">
        <v>1.1092850000000001</v>
      </c>
      <c r="L1805">
        <v>282.13339999999999</v>
      </c>
      <c r="M1805">
        <v>-0.99877320000000003</v>
      </c>
      <c r="N1805">
        <v>-1.015835E-2</v>
      </c>
      <c r="O1805">
        <v>4.8467169999999997E-2</v>
      </c>
      <c r="P1805">
        <v>-0.98488129999999996</v>
      </c>
      <c r="Q1805">
        <v>0.1728777</v>
      </c>
      <c r="R1805">
        <v>1.104751E-2</v>
      </c>
      <c r="S1805">
        <v>-3.0586090000000001</v>
      </c>
      <c r="T1805">
        <v>-8.5247160000000002E-2</v>
      </c>
      <c r="U1805">
        <v>0.2315063</v>
      </c>
      <c r="V1805">
        <v>-3.6373900000000001E-2</v>
      </c>
      <c r="W1805">
        <v>0.1829334</v>
      </c>
      <c r="X1805">
        <v>0.9824522</v>
      </c>
      <c r="Y1805">
        <v>2.704734E-2</v>
      </c>
      <c r="Z1805">
        <v>-3.4174519999999998E-4</v>
      </c>
      <c r="AA1805">
        <v>0.99963409999999997</v>
      </c>
      <c r="AB1805">
        <v>24</v>
      </c>
      <c r="AC1805">
        <v>-39.540100000000002</v>
      </c>
      <c r="AD1805">
        <v>-1.1092847524456</v>
      </c>
      <c r="AE1805">
        <v>2.9984999999999702</v>
      </c>
      <c r="AF1805">
        <v>1.0776369297411501</v>
      </c>
      <c r="AG1805">
        <v>-1.1092847524456</v>
      </c>
      <c r="AH1805">
        <v>39.607967246993397</v>
      </c>
      <c r="AI1805">
        <v>91.603647866155299</v>
      </c>
      <c r="AJ1805">
        <v>88.441504990480396</v>
      </c>
      <c r="AK1805">
        <v>39.638149344454199</v>
      </c>
      <c r="AL1805">
        <v>79.459331176362397</v>
      </c>
      <c r="AM1805">
        <v>92.120326559500796</v>
      </c>
      <c r="AN1805">
        <v>1.0000000073608</v>
      </c>
    </row>
    <row r="1806" spans="1:40" x14ac:dyDescent="0.25">
      <c r="A1806" t="str">
        <f>"20190304155630408"</f>
        <v>20190304155630408</v>
      </c>
      <c r="B1806" t="str">
        <f>"1551686190396802"</f>
        <v>1551686190396802</v>
      </c>
      <c r="C1806" t="s">
        <v>40</v>
      </c>
      <c r="D1806">
        <v>4.974329</v>
      </c>
      <c r="E1806">
        <v>0.52223370000000002</v>
      </c>
      <c r="F1806" t="s">
        <v>55</v>
      </c>
      <c r="G1806">
        <v>-263.69220000000001</v>
      </c>
      <c r="H1806" s="1">
        <v>4.28032E-7</v>
      </c>
      <c r="I1806">
        <v>285.15530000000001</v>
      </c>
      <c r="J1806">
        <v>-224.01249999999999</v>
      </c>
      <c r="K1806">
        <v>1.10937</v>
      </c>
      <c r="L1806">
        <v>282.14409999999998</v>
      </c>
      <c r="M1806">
        <v>-0.99873199999999995</v>
      </c>
      <c r="N1806">
        <v>-1.013608E-2</v>
      </c>
      <c r="O1806">
        <v>4.9312729999999999E-2</v>
      </c>
      <c r="P1806">
        <v>-0.98484139999999998</v>
      </c>
      <c r="Q1806">
        <v>0.1730595</v>
      </c>
      <c r="R1806">
        <v>1.1742870000000001E-2</v>
      </c>
      <c r="S1806">
        <v>-3.0583650000000002</v>
      </c>
      <c r="T1806">
        <v>-8.5071679999999997E-2</v>
      </c>
      <c r="U1806">
        <v>0.2317505</v>
      </c>
      <c r="V1806">
        <v>-3.6549470000000001E-2</v>
      </c>
      <c r="W1806">
        <v>0.18308479999999999</v>
      </c>
      <c r="X1806">
        <v>0.98241750000000005</v>
      </c>
      <c r="Y1806">
        <v>2.6286940000000002E-2</v>
      </c>
      <c r="Z1806">
        <v>-3.704863E-4</v>
      </c>
      <c r="AA1806">
        <v>0.99965440000000005</v>
      </c>
      <c r="AB1806">
        <v>24</v>
      </c>
      <c r="AC1806">
        <v>-39.679699999999997</v>
      </c>
      <c r="AD1806">
        <v>-1.1093695719679999</v>
      </c>
      <c r="AE1806">
        <v>3.0112000000000299</v>
      </c>
      <c r="AF1806">
        <v>1.0499054278973901</v>
      </c>
      <c r="AG1806">
        <v>-1.1093695719679999</v>
      </c>
      <c r="AH1806">
        <v>39.749026162753303</v>
      </c>
      <c r="AI1806">
        <v>91.5981160030789</v>
      </c>
      <c r="AJ1806">
        <v>88.486977615045603</v>
      </c>
      <c r="AK1806">
        <v>39.778361996718502</v>
      </c>
      <c r="AL1806">
        <v>79.450507774718304</v>
      </c>
      <c r="AM1806">
        <v>92.130626753352999</v>
      </c>
      <c r="AN1806">
        <v>1.0000000260272801</v>
      </c>
    </row>
    <row r="1807" spans="1:40" x14ac:dyDescent="0.25">
      <c r="A1807" t="str">
        <f>"20190304155630431"</f>
        <v>20190304155630431</v>
      </c>
      <c r="B1807" t="str">
        <f>"1551686190426078"</f>
        <v>1551686190426078</v>
      </c>
      <c r="C1807" t="s">
        <v>40</v>
      </c>
      <c r="D1807">
        <v>4.9504539999999997</v>
      </c>
      <c r="E1807">
        <v>0.5221462</v>
      </c>
      <c r="F1807" t="s">
        <v>55</v>
      </c>
      <c r="G1807">
        <v>-264.04230000000001</v>
      </c>
      <c r="H1807" s="1">
        <v>6.1429969999999996E-7</v>
      </c>
      <c r="I1807">
        <v>285.1823</v>
      </c>
      <c r="J1807">
        <v>-224.25909999999999</v>
      </c>
      <c r="K1807">
        <v>1.109475</v>
      </c>
      <c r="L1807">
        <v>282.15730000000002</v>
      </c>
      <c r="M1807">
        <v>-0.99868749999999995</v>
      </c>
      <c r="N1807">
        <v>-1.0112029999999999E-2</v>
      </c>
      <c r="O1807">
        <v>5.0209770000000001E-2</v>
      </c>
      <c r="P1807">
        <v>-0.98472210000000004</v>
      </c>
      <c r="Q1807">
        <v>0.17369660000000001</v>
      </c>
      <c r="R1807">
        <v>1.232543E-2</v>
      </c>
      <c r="S1807">
        <v>-3.058319</v>
      </c>
      <c r="T1807">
        <v>-8.4756970000000001E-2</v>
      </c>
      <c r="U1807">
        <v>0.23211670000000001</v>
      </c>
      <c r="V1807">
        <v>-3.6893769999999999E-2</v>
      </c>
      <c r="W1807">
        <v>0.18368760000000001</v>
      </c>
      <c r="X1807">
        <v>0.9822921</v>
      </c>
      <c r="Y1807">
        <v>2.5509770000000001E-2</v>
      </c>
      <c r="Z1807">
        <v>-3.9867499999999997E-4</v>
      </c>
      <c r="AA1807">
        <v>0.99967450000000002</v>
      </c>
      <c r="AB1807">
        <v>24</v>
      </c>
      <c r="AC1807">
        <v>-39.783200000000001</v>
      </c>
      <c r="AD1807">
        <v>-1.1094743857003</v>
      </c>
      <c r="AE1807">
        <v>3.0249999999999702</v>
      </c>
      <c r="AF1807">
        <v>1.02278581050677</v>
      </c>
      <c r="AG1807">
        <v>-1.1094743857003</v>
      </c>
      <c r="AH1807">
        <v>39.854090407295502</v>
      </c>
      <c r="AI1807">
        <v>91.594086802596607</v>
      </c>
      <c r="AJ1807">
        <v>88.529926294278297</v>
      </c>
      <c r="AK1807">
        <v>39.882647184202597</v>
      </c>
      <c r="AL1807">
        <v>79.415374056786106</v>
      </c>
      <c r="AM1807">
        <v>92.150953029419497</v>
      </c>
      <c r="AN1807">
        <v>1.0000000271904901</v>
      </c>
    </row>
    <row r="1808" spans="1:40" x14ac:dyDescent="0.25">
      <c r="A1808" t="str">
        <f>"20190304155630453"</f>
        <v>20190304155630453</v>
      </c>
      <c r="B1808" t="str">
        <f>"1551686190446574"</f>
        <v>1551686190446574</v>
      </c>
      <c r="C1808" t="s">
        <v>40</v>
      </c>
      <c r="D1808">
        <v>4.9770750000000001</v>
      </c>
      <c r="E1808">
        <v>0.52199759999999995</v>
      </c>
      <c r="F1808" t="s">
        <v>55</v>
      </c>
      <c r="G1808">
        <v>-265.63</v>
      </c>
      <c r="H1808" s="1">
        <v>1.459204E-6</v>
      </c>
      <c r="I1808">
        <v>285.31939999999997</v>
      </c>
      <c r="J1808">
        <v>-224.49250000000001</v>
      </c>
      <c r="K1808">
        <v>1.109572</v>
      </c>
      <c r="L1808">
        <v>282.17</v>
      </c>
      <c r="M1808">
        <v>-0.99865269999999995</v>
      </c>
      <c r="N1808">
        <v>-1.0092759999999999E-2</v>
      </c>
      <c r="O1808">
        <v>5.0905260000000001E-2</v>
      </c>
      <c r="P1808">
        <v>-0.98462530000000004</v>
      </c>
      <c r="Q1808">
        <v>0.1742725</v>
      </c>
      <c r="R1808">
        <v>1.193749E-2</v>
      </c>
      <c r="S1808">
        <v>-3.0580750000000001</v>
      </c>
      <c r="T1808">
        <v>-8.2010749999999993E-2</v>
      </c>
      <c r="U1808">
        <v>0.2337341</v>
      </c>
      <c r="V1808">
        <v>-3.800456E-2</v>
      </c>
      <c r="W1808">
        <v>0.18423600000000001</v>
      </c>
      <c r="X1808">
        <v>0.98214699999999999</v>
      </c>
      <c r="Y1808">
        <v>2.5345489999999998E-2</v>
      </c>
      <c r="Z1808">
        <v>-3.8100809999999999E-4</v>
      </c>
      <c r="AA1808">
        <v>0.99967870000000003</v>
      </c>
      <c r="AB1808">
        <v>24</v>
      </c>
      <c r="AC1808">
        <v>-41.137499999999903</v>
      </c>
      <c r="AD1808">
        <v>-1.1095705407959999</v>
      </c>
      <c r="AE1808">
        <v>3.1493999999999498</v>
      </c>
      <c r="AF1808">
        <v>1.05033532435386</v>
      </c>
      <c r="AG1808">
        <v>-1.1095705407959999</v>
      </c>
      <c r="AH1808">
        <v>41.2146793933913</v>
      </c>
      <c r="AI1808">
        <v>91.541628817893198</v>
      </c>
      <c r="AJ1808">
        <v>88.540161927541604</v>
      </c>
      <c r="AK1808">
        <v>41.242989083947599</v>
      </c>
      <c r="AL1808">
        <v>79.383407090904697</v>
      </c>
      <c r="AM1808">
        <v>92.215976886224098</v>
      </c>
      <c r="AN1808">
        <v>0.99999998994289596</v>
      </c>
    </row>
    <row r="1809" spans="1:40" x14ac:dyDescent="0.25">
      <c r="A1809" t="str">
        <f>"20190304155630475"</f>
        <v>20190304155630475</v>
      </c>
      <c r="B1809" t="str">
        <f>"1551686190466094"</f>
        <v>1551686190466094</v>
      </c>
      <c r="C1809" t="s">
        <v>40</v>
      </c>
      <c r="D1809">
        <v>4.9554999999999998</v>
      </c>
      <c r="E1809">
        <v>0.52194339999999995</v>
      </c>
      <c r="F1809" t="s">
        <v>55</v>
      </c>
      <c r="G1809">
        <v>-266.94889999999998</v>
      </c>
      <c r="H1809" s="1">
        <v>2.1610510000000001E-6</v>
      </c>
      <c r="I1809">
        <v>285.38189999999997</v>
      </c>
      <c r="J1809">
        <v>-224.73009999999999</v>
      </c>
      <c r="K1809">
        <v>1.109645</v>
      </c>
      <c r="L1809">
        <v>282.18290000000002</v>
      </c>
      <c r="M1809">
        <v>-0.99862240000000002</v>
      </c>
      <c r="N1809">
        <v>-1.007597E-2</v>
      </c>
      <c r="O1809">
        <v>5.1499219999999998E-2</v>
      </c>
      <c r="P1809">
        <v>-0.98458140000000005</v>
      </c>
      <c r="Q1809">
        <v>0.174517899999999</v>
      </c>
      <c r="R1809">
        <v>1.1973360000000001E-2</v>
      </c>
      <c r="S1809">
        <v>-3.0581510000000001</v>
      </c>
      <c r="T1809">
        <v>-7.9922800000000002E-2</v>
      </c>
      <c r="U1809">
        <v>0.2313538</v>
      </c>
      <c r="V1809">
        <v>-3.8587860000000002E-2</v>
      </c>
      <c r="W1809">
        <v>0.1844567</v>
      </c>
      <c r="X1809">
        <v>0.98208280000000003</v>
      </c>
      <c r="Y1809">
        <v>2.3976049999999999E-2</v>
      </c>
      <c r="Z1809">
        <v>-3.9030850000000003E-4</v>
      </c>
      <c r="AA1809">
        <v>0.9997125</v>
      </c>
      <c r="AB1809">
        <v>24</v>
      </c>
      <c r="AC1809">
        <v>-42.218799999999902</v>
      </c>
      <c r="AD1809">
        <v>-1.1096428389489901</v>
      </c>
      <c r="AE1809">
        <v>3.1989999999999501</v>
      </c>
      <c r="AF1809">
        <v>1.0197089903755101</v>
      </c>
      <c r="AG1809">
        <v>-1.1096428389489901</v>
      </c>
      <c r="AH1809">
        <v>42.298472649032803</v>
      </c>
      <c r="AI1809">
        <v>91.502295818669495</v>
      </c>
      <c r="AJ1809">
        <v>88.619011432834895</v>
      </c>
      <c r="AK1809">
        <v>42.325310419370297</v>
      </c>
      <c r="AL1809">
        <v>79.370541106832405</v>
      </c>
      <c r="AM1809">
        <v>92.2501002908852</v>
      </c>
      <c r="AN1809">
        <v>0.999999961585054</v>
      </c>
    </row>
    <row r="1810" spans="1:40" x14ac:dyDescent="0.25">
      <c r="A1810" t="str">
        <f>"20190304155630497"</f>
        <v>20190304155630497</v>
      </c>
      <c r="B1810" t="str">
        <f>"1551686190486590"</f>
        <v>1551686190486590</v>
      </c>
      <c r="C1810" t="s">
        <v>40</v>
      </c>
      <c r="D1810">
        <v>4.9841170000000004</v>
      </c>
      <c r="E1810">
        <v>0.52177980000000002</v>
      </c>
      <c r="F1810" t="s">
        <v>55</v>
      </c>
      <c r="G1810">
        <v>-267.78640000000001</v>
      </c>
      <c r="H1810" s="1">
        <v>2.6067610000000002E-6</v>
      </c>
      <c r="I1810">
        <v>285.43450000000001</v>
      </c>
      <c r="J1810">
        <v>-224.97059999999999</v>
      </c>
      <c r="K1810">
        <v>1.1097060000000001</v>
      </c>
      <c r="L1810">
        <v>282.19589999999999</v>
      </c>
      <c r="M1810">
        <v>-0.9985967</v>
      </c>
      <c r="N1810">
        <v>-1.0061499999999999E-2</v>
      </c>
      <c r="O1810">
        <v>5.1992829999999997E-2</v>
      </c>
      <c r="P1810">
        <v>-0.98463590000000001</v>
      </c>
      <c r="Q1810">
        <v>0.1742283</v>
      </c>
      <c r="R1810">
        <v>1.169773E-2</v>
      </c>
      <c r="S1810">
        <v>-3.0581510000000001</v>
      </c>
      <c r="T1810">
        <v>-7.8814389999999998E-2</v>
      </c>
      <c r="U1810">
        <v>0.230957</v>
      </c>
      <c r="V1810">
        <v>-3.9381590000000001E-2</v>
      </c>
      <c r="W1810">
        <v>0.1841479</v>
      </c>
      <c r="X1810">
        <v>0.98210929999999996</v>
      </c>
      <c r="Y1810">
        <v>2.3353280000000001E-2</v>
      </c>
      <c r="Z1810">
        <v>-3.9581049999999997E-4</v>
      </c>
      <c r="AA1810">
        <v>0.99972720000000004</v>
      </c>
      <c r="AB1810">
        <v>24</v>
      </c>
      <c r="AC1810">
        <v>-42.815800000000003</v>
      </c>
      <c r="AD1810">
        <v>-1.1097033932389999</v>
      </c>
      <c r="AE1810">
        <v>3.2386000000000101</v>
      </c>
      <c r="AF1810">
        <v>1.00731894252718</v>
      </c>
      <c r="AG1810">
        <v>-1.1097033932389999</v>
      </c>
      <c r="AH1810">
        <v>42.8976240629244</v>
      </c>
      <c r="AI1810">
        <v>91.481425486618306</v>
      </c>
      <c r="AJ1810">
        <v>88.654831806173505</v>
      </c>
      <c r="AK1810">
        <v>42.923796236084797</v>
      </c>
      <c r="AL1810">
        <v>79.388543018602306</v>
      </c>
      <c r="AM1810">
        <v>92.296272610986804</v>
      </c>
      <c r="AN1810">
        <v>1.0000000179259101</v>
      </c>
    </row>
    <row r="1811" spans="1:40" x14ac:dyDescent="0.25">
      <c r="A1811" t="str">
        <f>"20190304155630520"</f>
        <v>20190304155630520</v>
      </c>
      <c r="B1811" t="str">
        <f>"1551686190516846"</f>
        <v>1551686190516846</v>
      </c>
      <c r="C1811" t="s">
        <v>40</v>
      </c>
      <c r="D1811">
        <v>5.0061159999999996</v>
      </c>
      <c r="E1811">
        <v>0.52161069999999998</v>
      </c>
      <c r="F1811" t="s">
        <v>55</v>
      </c>
      <c r="G1811">
        <v>-267.70729999999998</v>
      </c>
      <c r="H1811" s="1">
        <v>2.5646450000000002E-6</v>
      </c>
      <c r="I1811">
        <v>285.38979999999998</v>
      </c>
      <c r="J1811">
        <v>-225.2114</v>
      </c>
      <c r="K1811">
        <v>1.109761</v>
      </c>
      <c r="L1811">
        <v>282.209</v>
      </c>
      <c r="M1811">
        <v>-0.99857649999999998</v>
      </c>
      <c r="N1811">
        <v>-1.0049219999999999E-2</v>
      </c>
      <c r="O1811">
        <v>5.2382690000000003E-2</v>
      </c>
      <c r="P1811">
        <v>-0.98469499999999999</v>
      </c>
      <c r="Q1811">
        <v>0.17388799999999999</v>
      </c>
      <c r="R1811">
        <v>1.179532E-2</v>
      </c>
      <c r="S1811">
        <v>-3.0581670000000001</v>
      </c>
      <c r="T1811">
        <v>-7.9408649999999997E-2</v>
      </c>
      <c r="U1811">
        <v>0.2285461</v>
      </c>
      <c r="V1811">
        <v>-3.9698049999999999E-2</v>
      </c>
      <c r="W1811">
        <v>0.18379019999999999</v>
      </c>
      <c r="X1811">
        <v>0.98216349999999997</v>
      </c>
      <c r="Y1811">
        <v>2.217951E-2</v>
      </c>
      <c r="Z1811">
        <v>-4.3171730000000002E-4</v>
      </c>
      <c r="AA1811">
        <v>0.99975389999999997</v>
      </c>
      <c r="AB1811">
        <v>24</v>
      </c>
      <c r="AC1811">
        <v>-42.495899999999899</v>
      </c>
      <c r="AD1811">
        <v>-1.1097584353550001</v>
      </c>
      <c r="AE1811">
        <v>3.1807999999999699</v>
      </c>
      <c r="AF1811">
        <v>0.94962657293401798</v>
      </c>
      <c r="AG1811">
        <v>-1.1097584353550001</v>
      </c>
      <c r="AH1811">
        <v>42.575304938491698</v>
      </c>
      <c r="AI1811">
        <v>91.492749855674901</v>
      </c>
      <c r="AJ1811">
        <v>88.722250500627894</v>
      </c>
      <c r="AK1811">
        <v>42.600351465902499</v>
      </c>
      <c r="AL1811">
        <v>79.4093929403099</v>
      </c>
      <c r="AM1811">
        <v>92.314577260702904</v>
      </c>
      <c r="AN1811">
        <v>0.99999995676104503</v>
      </c>
    </row>
    <row r="1812" spans="1:40" x14ac:dyDescent="0.25">
      <c r="A1812" t="str">
        <f>"20190304155630542"</f>
        <v>20190304155630542</v>
      </c>
      <c r="B1812" t="str">
        <f>"1551686190536080"</f>
        <v>1551686190536080</v>
      </c>
      <c r="C1812" t="s">
        <v>40</v>
      </c>
      <c r="D1812">
        <v>4.9689589999999999</v>
      </c>
      <c r="E1812">
        <v>0.5644884</v>
      </c>
      <c r="F1812" t="s">
        <v>55</v>
      </c>
      <c r="G1812">
        <v>-267.25189999999998</v>
      </c>
      <c r="H1812" s="1">
        <v>2.32231E-6</v>
      </c>
      <c r="I1812">
        <v>285.32310000000001</v>
      </c>
      <c r="J1812">
        <v>-225.4513</v>
      </c>
      <c r="K1812">
        <v>1.1098170000000001</v>
      </c>
      <c r="L1812">
        <v>282.22199999999998</v>
      </c>
      <c r="M1812">
        <v>-0.99856129999999999</v>
      </c>
      <c r="N1812">
        <v>-1.0039050000000001E-2</v>
      </c>
      <c r="O1812">
        <v>5.2676149999999998E-2</v>
      </c>
      <c r="P1812">
        <v>-0.98470119999999906</v>
      </c>
      <c r="Q1812">
        <v>0.17385970000000001</v>
      </c>
      <c r="R1812">
        <v>1.169214E-2</v>
      </c>
      <c r="S1812">
        <v>-3.058182</v>
      </c>
      <c r="T1812">
        <v>-8.0727930000000003E-2</v>
      </c>
      <c r="U1812">
        <v>0.22653200000000001</v>
      </c>
      <c r="V1812">
        <v>-4.0116600000000002E-2</v>
      </c>
      <c r="W1812">
        <v>0.1837462</v>
      </c>
      <c r="X1812">
        <v>0.98215479999999999</v>
      </c>
      <c r="Y1812">
        <v>2.1231079999999999E-2</v>
      </c>
      <c r="Z1812">
        <v>-4.7218329999999998E-4</v>
      </c>
      <c r="AA1812">
        <v>0.99977450000000001</v>
      </c>
      <c r="AB1812">
        <v>24</v>
      </c>
      <c r="AC1812">
        <v>-41.800599999999903</v>
      </c>
      <c r="AD1812">
        <v>-1.10981467769</v>
      </c>
      <c r="AE1812">
        <v>3.1011000000000299</v>
      </c>
      <c r="AF1812">
        <v>0.89416190310854504</v>
      </c>
      <c r="AG1812">
        <v>-1.10981467769</v>
      </c>
      <c r="AH1812">
        <v>41.876564649561701</v>
      </c>
      <c r="AI1812">
        <v>91.517754294665494</v>
      </c>
      <c r="AJ1812">
        <v>88.776787925987506</v>
      </c>
      <c r="AK1812">
        <v>41.900810027691698</v>
      </c>
      <c r="AL1812">
        <v>79.411958410271893</v>
      </c>
      <c r="AM1812">
        <v>92.338974367572106</v>
      </c>
      <c r="AN1812">
        <v>1.0000000293865099</v>
      </c>
    </row>
    <row r="1813" spans="1:40" x14ac:dyDescent="0.25">
      <c r="A1813" t="str">
        <f>"20190304155630565"</f>
        <v>20190304155630565</v>
      </c>
      <c r="B1813" t="str">
        <f>"1551686190556577"</f>
        <v>1551686190556577</v>
      </c>
      <c r="C1813" t="s">
        <v>40</v>
      </c>
      <c r="D1813">
        <v>5.0007390000000003</v>
      </c>
      <c r="E1813">
        <v>0.56788459999999996</v>
      </c>
      <c r="F1813" t="s">
        <v>55</v>
      </c>
      <c r="G1813">
        <v>-269.2296</v>
      </c>
      <c r="H1813">
        <v>8.0001260000000005E-2</v>
      </c>
      <c r="I1813">
        <v>290.35829999999999</v>
      </c>
      <c r="J1813">
        <v>-225.68899999999999</v>
      </c>
      <c r="K1813">
        <v>1.109874</v>
      </c>
      <c r="L1813">
        <v>282.23489999999998</v>
      </c>
      <c r="M1813">
        <v>-0.99855039999999995</v>
      </c>
      <c r="N1813">
        <v>-1.003072E-2</v>
      </c>
      <c r="O1813">
        <v>5.2884170000000001E-2</v>
      </c>
      <c r="P1813">
        <v>-0.98475400000000002</v>
      </c>
      <c r="Q1813">
        <v>0.173571</v>
      </c>
      <c r="R1813">
        <v>1.152981E-2</v>
      </c>
      <c r="S1813">
        <v>-3.0525509999999998</v>
      </c>
      <c r="T1813">
        <v>-7.1806549999999997E-2</v>
      </c>
      <c r="U1813">
        <v>0.56732179999999999</v>
      </c>
      <c r="V1813">
        <v>-4.051279E-2</v>
      </c>
      <c r="W1813">
        <v>0.1834443</v>
      </c>
      <c r="X1813">
        <v>0.98219500000000004</v>
      </c>
      <c r="Y1813">
        <v>0.13042509999999999</v>
      </c>
      <c r="Z1813">
        <v>1.4760350000000001E-3</v>
      </c>
      <c r="AA1813">
        <v>0.99145700000000003</v>
      </c>
      <c r="AB1813">
        <v>24</v>
      </c>
      <c r="AC1813">
        <v>-43.540599999999898</v>
      </c>
      <c r="AD1813">
        <v>-1.0298727400000001</v>
      </c>
      <c r="AE1813">
        <v>8.1234000000000002</v>
      </c>
      <c r="AF1813">
        <v>5.8061682350325299</v>
      </c>
      <c r="AG1813">
        <v>-1.0298727400000001</v>
      </c>
      <c r="AH1813">
        <v>43.885559466591701</v>
      </c>
      <c r="AI1813">
        <v>91.332717717146195</v>
      </c>
      <c r="AJ1813">
        <v>82.463396469410995</v>
      </c>
      <c r="AK1813">
        <v>44.2799566071361</v>
      </c>
      <c r="AL1813">
        <v>79.429555418406594</v>
      </c>
      <c r="AM1813">
        <v>92.361951386463801</v>
      </c>
      <c r="AN1813">
        <v>1.0000000576905299</v>
      </c>
    </row>
    <row r="1814" spans="1:40" x14ac:dyDescent="0.25">
      <c r="A1814" t="str">
        <f>"20190304155630589"</f>
        <v>20190304155630589</v>
      </c>
      <c r="B1814" t="str">
        <f>"1551686190576095"</f>
        <v>1551686190576095</v>
      </c>
      <c r="C1814" t="s">
        <v>40</v>
      </c>
      <c r="D1814">
        <v>5.0107269999999904</v>
      </c>
      <c r="E1814">
        <v>0.56894330000000004</v>
      </c>
      <c r="F1814" t="s">
        <v>55</v>
      </c>
      <c r="G1814">
        <v>-267.21039999999999</v>
      </c>
      <c r="H1814">
        <v>8.0000669999999996E-2</v>
      </c>
      <c r="I1814">
        <v>290.30959999999999</v>
      </c>
      <c r="J1814">
        <v>-225.95439999999999</v>
      </c>
      <c r="K1814">
        <v>1.1099410000000001</v>
      </c>
      <c r="L1814">
        <v>282.24919999999997</v>
      </c>
      <c r="M1814">
        <v>-0.99854279999999995</v>
      </c>
      <c r="N1814">
        <v>-1.0022980000000001E-2</v>
      </c>
      <c r="O1814">
        <v>5.3027480000000002E-2</v>
      </c>
      <c r="P1814">
        <v>-0.98482440000000004</v>
      </c>
      <c r="Q1814">
        <v>0.1731722</v>
      </c>
      <c r="R1814">
        <v>1.150726E-2</v>
      </c>
      <c r="S1814">
        <v>-3.0528409999999999</v>
      </c>
      <c r="T1814">
        <v>-7.5721029999999995E-2</v>
      </c>
      <c r="U1814">
        <v>0.59368900000000002</v>
      </c>
      <c r="V1814">
        <v>-4.070986E-2</v>
      </c>
      <c r="W1814">
        <v>0.18303230000000001</v>
      </c>
      <c r="X1814">
        <v>0.98226369999999996</v>
      </c>
      <c r="Y1814">
        <v>0.13851869999999999</v>
      </c>
      <c r="Z1814">
        <v>1.62912E-3</v>
      </c>
      <c r="AA1814">
        <v>0.99035850000000003</v>
      </c>
      <c r="AB1814">
        <v>24</v>
      </c>
      <c r="AC1814">
        <v>-41.256</v>
      </c>
      <c r="AD1814">
        <v>-1.0299403300000001</v>
      </c>
      <c r="AE1814">
        <v>8.0604000000000102</v>
      </c>
      <c r="AF1814">
        <v>5.8577303072188496</v>
      </c>
      <c r="AG1814">
        <v>-1.0299403300000001</v>
      </c>
      <c r="AH1814">
        <v>41.600419883955702</v>
      </c>
      <c r="AI1814">
        <v>91.404386616110102</v>
      </c>
      <c r="AJ1814">
        <v>81.984910752708501</v>
      </c>
      <c r="AK1814">
        <v>42.023430559116598</v>
      </c>
      <c r="AL1814">
        <v>79.453567718793096</v>
      </c>
      <c r="AM1814">
        <v>92.373261922318505</v>
      </c>
      <c r="AN1814">
        <v>1.00000004594109</v>
      </c>
    </row>
    <row r="1815" spans="1:40" x14ac:dyDescent="0.25">
      <c r="A1815" t="str">
        <f>"20190304155630610"</f>
        <v>20190304155630610</v>
      </c>
      <c r="B1815" t="str">
        <f>"1551686190606351"</f>
        <v>1551686190606351</v>
      </c>
      <c r="C1815" t="s">
        <v>40</v>
      </c>
      <c r="D1815">
        <v>5.0219769999999997</v>
      </c>
      <c r="E1815">
        <v>0.56852919999999996</v>
      </c>
      <c r="F1815" t="s">
        <v>55</v>
      </c>
      <c r="G1815">
        <v>-264.90109999999999</v>
      </c>
      <c r="H1815">
        <v>8.0001459999999996E-2</v>
      </c>
      <c r="I1815">
        <v>289.92540000000002</v>
      </c>
      <c r="J1815">
        <v>-226.17570000000001</v>
      </c>
      <c r="K1815">
        <v>1.109982</v>
      </c>
      <c r="L1815">
        <v>282.2611</v>
      </c>
      <c r="M1815">
        <v>-0.99854010000000004</v>
      </c>
      <c r="N1815">
        <v>-1.001317E-2</v>
      </c>
      <c r="O1815">
        <v>5.307957E-2</v>
      </c>
      <c r="P1815">
        <v>-0.98469309999999999</v>
      </c>
      <c r="Q1815">
        <v>0.17392199999999999</v>
      </c>
      <c r="R1815">
        <v>1.144471E-2</v>
      </c>
      <c r="S1815">
        <v>-3.053391</v>
      </c>
      <c r="T1815">
        <v>-8.0746289999999998E-2</v>
      </c>
      <c r="U1815">
        <v>0.60180659999999997</v>
      </c>
      <c r="V1815">
        <v>-4.083813E-2</v>
      </c>
      <c r="W1815">
        <v>0.18376629999999999</v>
      </c>
      <c r="X1815">
        <v>0.98212129999999997</v>
      </c>
      <c r="Y1815">
        <v>0.14096239999999999</v>
      </c>
      <c r="Z1815">
        <v>1.6979269999999999E-3</v>
      </c>
      <c r="AA1815">
        <v>0.99001349999999999</v>
      </c>
      <c r="AB1815">
        <v>24</v>
      </c>
      <c r="AC1815">
        <v>-38.725399999999901</v>
      </c>
      <c r="AD1815">
        <v>-1.0299805399999999</v>
      </c>
      <c r="AE1815">
        <v>7.6643000000000203</v>
      </c>
      <c r="AF1815">
        <v>5.5940557634366597</v>
      </c>
      <c r="AG1815">
        <v>-1.0299805399999999</v>
      </c>
      <c r="AH1815">
        <v>39.051057405355699</v>
      </c>
      <c r="AI1815">
        <v>91.495578918846604</v>
      </c>
      <c r="AJ1815">
        <v>81.847851788332804</v>
      </c>
      <c r="AK1815">
        <v>39.463139817728702</v>
      </c>
      <c r="AL1815">
        <v>79.410786788347906</v>
      </c>
      <c r="AM1815">
        <v>92.381075875765404</v>
      </c>
      <c r="AN1815">
        <v>1.0000000268956299</v>
      </c>
    </row>
    <row r="1816" spans="1:40" x14ac:dyDescent="0.25">
      <c r="A1816" t="str">
        <f>"20190304155630632"</f>
        <v>20190304155630632</v>
      </c>
      <c r="B1816" t="str">
        <f>"1551686190626847"</f>
        <v>1551686190626847</v>
      </c>
      <c r="C1816" t="s">
        <v>40</v>
      </c>
      <c r="D1816">
        <v>5.0394399999999999</v>
      </c>
      <c r="E1816">
        <v>0.56862570000000001</v>
      </c>
      <c r="F1816" t="s">
        <v>55</v>
      </c>
      <c r="G1816">
        <v>-264.83879999999999</v>
      </c>
      <c r="H1816">
        <v>8.0001439999999993E-2</v>
      </c>
      <c r="I1816">
        <v>289.8338</v>
      </c>
      <c r="J1816">
        <v>-226.41820000000001</v>
      </c>
      <c r="K1816">
        <v>1.1100179999999999</v>
      </c>
      <c r="L1816">
        <v>282.274</v>
      </c>
      <c r="M1816">
        <v>-0.99854010000000004</v>
      </c>
      <c r="N1816">
        <v>-9.9981989999999993E-3</v>
      </c>
      <c r="O1816">
        <v>5.3082949999999997E-2</v>
      </c>
      <c r="P1816">
        <v>-0.98460009999999998</v>
      </c>
      <c r="Q1816">
        <v>0.17445749999999999</v>
      </c>
      <c r="R1816">
        <v>1.1286940000000001E-2</v>
      </c>
      <c r="S1816">
        <v>-3.0540470000000002</v>
      </c>
      <c r="T1816">
        <v>-8.1359509999999996E-2</v>
      </c>
      <c r="U1816">
        <v>0.59817500000000001</v>
      </c>
      <c r="V1816">
        <v>-4.1011119999999998E-2</v>
      </c>
      <c r="W1816">
        <v>0.1842819</v>
      </c>
      <c r="X1816">
        <v>0.98201749999999999</v>
      </c>
      <c r="Y1816">
        <v>0.1397851</v>
      </c>
      <c r="Z1816">
        <v>1.6779399999999999E-3</v>
      </c>
      <c r="AA1816">
        <v>0.99018039999999996</v>
      </c>
      <c r="AB1816">
        <v>24</v>
      </c>
      <c r="AC1816">
        <v>-38.420599999999901</v>
      </c>
      <c r="AD1816">
        <v>-1.03001656</v>
      </c>
      <c r="AE1816">
        <v>7.5597999999999903</v>
      </c>
      <c r="AF1816">
        <v>5.5057501803228899</v>
      </c>
      <c r="AG1816">
        <v>-1.03001656</v>
      </c>
      <c r="AH1816">
        <v>38.740936067369297</v>
      </c>
      <c r="AI1816">
        <v>91.507836923181699</v>
      </c>
      <c r="AJ1816">
        <v>81.911454242173804</v>
      </c>
      <c r="AK1816">
        <v>39.1437651042665</v>
      </c>
      <c r="AL1816">
        <v>79.380732050919903</v>
      </c>
      <c r="AM1816">
        <v>92.391402865016204</v>
      </c>
      <c r="AN1816">
        <v>1.0000000504687501</v>
      </c>
    </row>
    <row r="1817" spans="1:40" x14ac:dyDescent="0.25">
      <c r="A1817" t="str">
        <f>"20190304155630655"</f>
        <v>20190304155630655</v>
      </c>
      <c r="B1817" t="str">
        <f>"1551686190646118"</f>
        <v>1551686190646118</v>
      </c>
      <c r="C1817" t="s">
        <v>40</v>
      </c>
      <c r="D1817">
        <v>4.9857579999999997</v>
      </c>
      <c r="E1817">
        <v>0.56844680000000003</v>
      </c>
      <c r="F1817" t="s">
        <v>55</v>
      </c>
      <c r="G1817">
        <v>-265.42860000000002</v>
      </c>
      <c r="H1817">
        <v>8.0000150000000006E-2</v>
      </c>
      <c r="I1817">
        <v>289.91199999999998</v>
      </c>
      <c r="J1817">
        <v>-226.6643</v>
      </c>
      <c r="K1817">
        <v>1.1100429999999999</v>
      </c>
      <c r="L1817">
        <v>282.28699999999998</v>
      </c>
      <c r="M1817">
        <v>-0.99854259999999995</v>
      </c>
      <c r="N1817">
        <v>-9.9777570000000003E-3</v>
      </c>
      <c r="O1817">
        <v>5.304035E-2</v>
      </c>
      <c r="P1817">
        <v>-0.9846047</v>
      </c>
      <c r="Q1817">
        <v>0.1744513</v>
      </c>
      <c r="R1817">
        <v>1.098068E-2</v>
      </c>
      <c r="S1817">
        <v>-3.0543520000000002</v>
      </c>
      <c r="T1817">
        <v>-8.0646040000000002E-2</v>
      </c>
      <c r="U1817">
        <v>0.59802250000000001</v>
      </c>
      <c r="V1817">
        <v>-4.1285280000000001E-2</v>
      </c>
      <c r="W1817">
        <v>0.1842538</v>
      </c>
      <c r="X1817">
        <v>0.98201130000000003</v>
      </c>
      <c r="Y1817">
        <v>0.13976189999999999</v>
      </c>
      <c r="Z1817">
        <v>1.6717360000000001E-3</v>
      </c>
      <c r="AA1817">
        <v>0.9901837</v>
      </c>
      <c r="AB1817">
        <v>24</v>
      </c>
      <c r="AC1817">
        <v>-38.764299999999999</v>
      </c>
      <c r="AD1817">
        <v>-1.0300428500000001</v>
      </c>
      <c r="AE1817">
        <v>7.625</v>
      </c>
      <c r="AF1817">
        <v>5.5543158810004503</v>
      </c>
      <c r="AG1817">
        <v>-1.0300428500000001</v>
      </c>
      <c r="AH1817">
        <v>39.087611077598297</v>
      </c>
      <c r="AI1817">
        <v>91.494511608326405</v>
      </c>
      <c r="AJ1817">
        <v>81.912463966728495</v>
      </c>
      <c r="AK1817">
        <v>39.4937052317499</v>
      </c>
      <c r="AL1817">
        <v>79.382370270988901</v>
      </c>
      <c r="AM1817">
        <v>92.407385867003597</v>
      </c>
      <c r="AN1817">
        <v>1.0000000652434</v>
      </c>
    </row>
    <row r="1818" spans="1:40" x14ac:dyDescent="0.25">
      <c r="A1818" t="str">
        <f>"20190304155630679"</f>
        <v>20190304155630679</v>
      </c>
      <c r="B1818" t="str">
        <f>"1551686190666612"</f>
        <v>1551686190666612</v>
      </c>
      <c r="C1818" t="s">
        <v>40</v>
      </c>
      <c r="D1818">
        <v>4.9991379999999896</v>
      </c>
      <c r="E1818">
        <v>0.56875959999999903</v>
      </c>
      <c r="F1818" t="s">
        <v>55</v>
      </c>
      <c r="G1818">
        <v>-265.1343</v>
      </c>
      <c r="H1818">
        <v>8.0000059999999998E-2</v>
      </c>
      <c r="I1818">
        <v>289.78519999999997</v>
      </c>
      <c r="J1818">
        <v>-226.9196</v>
      </c>
      <c r="K1818">
        <v>1.1100479999999999</v>
      </c>
      <c r="L1818">
        <v>282.3005</v>
      </c>
      <c r="M1818">
        <v>-0.99854710000000002</v>
      </c>
      <c r="N1818">
        <v>-9.9548269999999994E-3</v>
      </c>
      <c r="O1818">
        <v>5.2960399999999998E-2</v>
      </c>
      <c r="P1818">
        <v>-0.98457119999999998</v>
      </c>
      <c r="Q1818">
        <v>0.1746598</v>
      </c>
      <c r="R1818">
        <v>1.0669720000000001E-2</v>
      </c>
      <c r="S1818">
        <v>-3.0547490000000002</v>
      </c>
      <c r="T1818">
        <v>-8.1791760000000005E-2</v>
      </c>
      <c r="U1818">
        <v>0.59539790000000004</v>
      </c>
      <c r="V1818">
        <v>-4.1520290000000001E-2</v>
      </c>
      <c r="W1818">
        <v>0.18443799999999999</v>
      </c>
      <c r="X1818">
        <v>0.98196669999999997</v>
      </c>
      <c r="Y1818">
        <v>0.1389966</v>
      </c>
      <c r="Z1818">
        <v>1.6624809999999999E-3</v>
      </c>
      <c r="AA1818">
        <v>0.99029149999999999</v>
      </c>
      <c r="AB1818">
        <v>24</v>
      </c>
      <c r="AC1818">
        <v>-38.214699999999901</v>
      </c>
      <c r="AD1818">
        <v>-1.03004794</v>
      </c>
      <c r="AE1818">
        <v>7.4846999999999699</v>
      </c>
      <c r="AF1818">
        <v>5.4464183568966096</v>
      </c>
      <c r="AG1818">
        <v>-1.03004794</v>
      </c>
      <c r="AH1818">
        <v>38.5305175773575</v>
      </c>
      <c r="AI1818">
        <v>91.516274506209996</v>
      </c>
      <c r="AJ1818">
        <v>81.954352225439393</v>
      </c>
      <c r="AK1818">
        <v>38.9271788915675</v>
      </c>
      <c r="AL1818">
        <v>79.3716311725194</v>
      </c>
      <c r="AM1818">
        <v>92.421183106125198</v>
      </c>
      <c r="AN1818">
        <v>0.99999995511728601</v>
      </c>
    </row>
    <row r="1819" spans="1:40" x14ac:dyDescent="0.25">
      <c r="A1819" t="str">
        <f>"20190304155630699"</f>
        <v>20190304155630699</v>
      </c>
      <c r="B1819" t="str">
        <f>"1551686190696869"</f>
        <v>1551686190696869</v>
      </c>
      <c r="C1819" t="s">
        <v>40</v>
      </c>
      <c r="D1819">
        <v>5.002434</v>
      </c>
      <c r="E1819">
        <v>0.56940219999999997</v>
      </c>
      <c r="F1819" t="s">
        <v>55</v>
      </c>
      <c r="G1819">
        <v>-266.05110000000002</v>
      </c>
      <c r="H1819">
        <v>8.0000329999999995E-2</v>
      </c>
      <c r="I1819">
        <v>289.95089999999999</v>
      </c>
      <c r="J1819">
        <v>-227.14529999999999</v>
      </c>
      <c r="K1819">
        <v>1.1100509999999999</v>
      </c>
      <c r="L1819">
        <v>282.31240000000003</v>
      </c>
      <c r="M1819">
        <v>-0.99855240000000001</v>
      </c>
      <c r="N1819">
        <v>-9.9337699999999998E-3</v>
      </c>
      <c r="O1819">
        <v>5.286445E-2</v>
      </c>
      <c r="P1819">
        <v>-0.98457620000000001</v>
      </c>
      <c r="Q1819">
        <v>0.17467650000000001</v>
      </c>
      <c r="R1819">
        <v>9.9053260000000008E-3</v>
      </c>
      <c r="S1819">
        <v>-3.0548250000000001</v>
      </c>
      <c r="T1819">
        <v>-8.0411079999999996E-2</v>
      </c>
      <c r="U1819">
        <v>0.59722900000000001</v>
      </c>
      <c r="V1819">
        <v>-4.2193170000000002E-2</v>
      </c>
      <c r="W1819">
        <v>0.18443280000000001</v>
      </c>
      <c r="X1819">
        <v>0.98193900000000001</v>
      </c>
      <c r="Y1819">
        <v>0.13966010000000001</v>
      </c>
      <c r="Z1819">
        <v>1.6659579999999999E-3</v>
      </c>
      <c r="AA1819">
        <v>0.99019809999999997</v>
      </c>
      <c r="AB1819">
        <v>24</v>
      </c>
      <c r="AC1819">
        <v>-38.905799999999999</v>
      </c>
      <c r="AD1819">
        <v>-1.0300506700000001</v>
      </c>
      <c r="AE1819">
        <v>7.6384999999999597</v>
      </c>
      <c r="AF1819">
        <v>5.5672255196009397</v>
      </c>
      <c r="AG1819">
        <v>-1.0300506700000001</v>
      </c>
      <c r="AH1819">
        <v>39.228740657024403</v>
      </c>
      <c r="AI1819">
        <v>91.489186406502796</v>
      </c>
      <c r="AJ1819">
        <v>81.922692998373094</v>
      </c>
      <c r="AK1819">
        <v>39.635200237982197</v>
      </c>
      <c r="AL1819">
        <v>79.371934369079995</v>
      </c>
      <c r="AM1819">
        <v>92.460442412895702</v>
      </c>
      <c r="AN1819">
        <v>0.99999996051574302</v>
      </c>
    </row>
    <row r="1820" spans="1:40" x14ac:dyDescent="0.25">
      <c r="A1820" t="str">
        <f>"20190304155630721"</f>
        <v>20190304155630721</v>
      </c>
      <c r="B1820" t="str">
        <f>"1551686190716388"</f>
        <v>1551686190716388</v>
      </c>
      <c r="C1820" t="s">
        <v>40</v>
      </c>
      <c r="D1820">
        <v>5.0218730000000003</v>
      </c>
      <c r="E1820">
        <v>0.56943829999999995</v>
      </c>
      <c r="F1820" t="s">
        <v>55</v>
      </c>
      <c r="G1820">
        <v>-267.15410000000003</v>
      </c>
      <c r="H1820">
        <v>8.0000650000000006E-2</v>
      </c>
      <c r="I1820">
        <v>290.18090000000001</v>
      </c>
      <c r="J1820">
        <v>-227.38509999999999</v>
      </c>
      <c r="K1820">
        <v>1.1100490000000001</v>
      </c>
      <c r="L1820">
        <v>282.32499999999999</v>
      </c>
      <c r="M1820">
        <v>-0.99855919999999998</v>
      </c>
      <c r="N1820">
        <v>-9.9082379999999998E-3</v>
      </c>
      <c r="O1820">
        <v>5.2741070000000001E-2</v>
      </c>
      <c r="P1820">
        <v>-0.98460499999999995</v>
      </c>
      <c r="Q1820">
        <v>0.174538</v>
      </c>
      <c r="R1820">
        <v>9.4873779999999994E-3</v>
      </c>
      <c r="S1820">
        <v>-3.0549010000000001</v>
      </c>
      <c r="T1820">
        <v>-7.8650239999999996E-2</v>
      </c>
      <c r="U1820">
        <v>0.60079959999999999</v>
      </c>
      <c r="V1820">
        <v>-4.2495110000000003E-2</v>
      </c>
      <c r="W1820">
        <v>0.18426780000000001</v>
      </c>
      <c r="X1820">
        <v>0.98195699999999997</v>
      </c>
      <c r="Y1820">
        <v>0.14089370000000001</v>
      </c>
      <c r="Z1820">
        <v>1.6768729999999999E-3</v>
      </c>
      <c r="AA1820">
        <v>0.99002330000000005</v>
      </c>
      <c r="AB1820">
        <v>24</v>
      </c>
      <c r="AC1820">
        <v>-39.768999999999998</v>
      </c>
      <c r="AD1820">
        <v>-1.0300483499999999</v>
      </c>
      <c r="AE1820">
        <v>7.8559000000000099</v>
      </c>
      <c r="AF1820">
        <v>5.74369450655258</v>
      </c>
      <c r="AG1820">
        <v>-1.0300483499999999</v>
      </c>
      <c r="AH1820">
        <v>40.1021016079482</v>
      </c>
      <c r="AI1820">
        <v>91.456498639874098</v>
      </c>
      <c r="AJ1820">
        <v>81.849144174674095</v>
      </c>
      <c r="AK1820">
        <v>40.524431884508203</v>
      </c>
      <c r="AL1820">
        <v>79.381553489334905</v>
      </c>
      <c r="AM1820">
        <v>92.477982431606605</v>
      </c>
      <c r="AN1820">
        <v>1.0000000031698699</v>
      </c>
    </row>
    <row r="1821" spans="1:40" x14ac:dyDescent="0.25">
      <c r="A1821" t="str">
        <f>"20190304155630743"</f>
        <v>20190304155630743</v>
      </c>
      <c r="B1821" t="str">
        <f>"1551686190736485"</f>
        <v>1551686190736485</v>
      </c>
      <c r="C1821" t="s">
        <v>40</v>
      </c>
      <c r="D1821">
        <v>4.9816960000000003</v>
      </c>
      <c r="E1821">
        <v>0.56948920000000003</v>
      </c>
      <c r="F1821" t="s">
        <v>55</v>
      </c>
      <c r="G1821">
        <v>-267.4853</v>
      </c>
      <c r="H1821">
        <v>8.0000740000000001E-2</v>
      </c>
      <c r="I1821">
        <v>290.1979</v>
      </c>
      <c r="J1821">
        <v>-227.62270000000001</v>
      </c>
      <c r="K1821">
        <v>1.1100570000000001</v>
      </c>
      <c r="L1821">
        <v>282.33749999999998</v>
      </c>
      <c r="M1821">
        <v>-0.99856670000000003</v>
      </c>
      <c r="N1821">
        <v>-9.8819609999999999E-3</v>
      </c>
      <c r="O1821">
        <v>5.2600729999999998E-2</v>
      </c>
      <c r="P1821">
        <v>-0.98475219999999997</v>
      </c>
      <c r="Q1821">
        <v>0.17373139999999901</v>
      </c>
      <c r="R1821">
        <v>8.9747179999999996E-3</v>
      </c>
      <c r="S1821">
        <v>-3.0550380000000001</v>
      </c>
      <c r="T1821">
        <v>-7.8474399999999903E-2</v>
      </c>
      <c r="U1821">
        <v>0.59979249999999995</v>
      </c>
      <c r="V1821">
        <v>-4.2883039999999997E-2</v>
      </c>
      <c r="W1821">
        <v>0.1834354</v>
      </c>
      <c r="X1821">
        <v>0.98209599999999997</v>
      </c>
      <c r="Y1821">
        <v>0.14071049999999999</v>
      </c>
      <c r="Z1821">
        <v>1.6715339999999999E-3</v>
      </c>
      <c r="AA1821">
        <v>0.99004939999999997</v>
      </c>
      <c r="AB1821">
        <v>24</v>
      </c>
      <c r="AC1821">
        <v>-39.862599999999901</v>
      </c>
      <c r="AD1821">
        <v>-1.0300562600000001</v>
      </c>
      <c r="AE1821">
        <v>7.8604000000000198</v>
      </c>
      <c r="AF1821">
        <v>5.7489179127204704</v>
      </c>
      <c r="AG1821">
        <v>-1.0300562600000001</v>
      </c>
      <c r="AH1821">
        <v>40.195058427903</v>
      </c>
      <c r="AI1821">
        <v>91.453183884183801</v>
      </c>
      <c r="AJ1821">
        <v>81.860445219814594</v>
      </c>
      <c r="AK1821">
        <v>40.617161337155203</v>
      </c>
      <c r="AL1821">
        <v>79.430073826781907</v>
      </c>
      <c r="AM1821">
        <v>92.500221423486195</v>
      </c>
      <c r="AN1821">
        <v>1.0000000271544001</v>
      </c>
    </row>
    <row r="1822" spans="1:40" x14ac:dyDescent="0.25">
      <c r="A1822" t="str">
        <f>"20190304155630766"</f>
        <v>20190304155630766</v>
      </c>
      <c r="B1822" t="str">
        <f>"1551686190756981"</f>
        <v>1551686190756981</v>
      </c>
      <c r="C1822" t="s">
        <v>40</v>
      </c>
      <c r="D1822">
        <v>4.9763060000000001</v>
      </c>
      <c r="E1822">
        <v>0.56983859999999997</v>
      </c>
      <c r="F1822" t="s">
        <v>55</v>
      </c>
      <c r="G1822">
        <v>-266.31180000000001</v>
      </c>
      <c r="H1822">
        <v>8.0000409999999994E-2</v>
      </c>
      <c r="I1822">
        <v>289.91309999999999</v>
      </c>
      <c r="J1822">
        <v>-227.863</v>
      </c>
      <c r="K1822">
        <v>1.1100639999999999</v>
      </c>
      <c r="L1822">
        <v>282.35000000000002</v>
      </c>
      <c r="M1822">
        <v>-0.9985754</v>
      </c>
      <c r="N1822">
        <v>-9.8574649999999993E-3</v>
      </c>
      <c r="O1822">
        <v>5.2441370000000001E-2</v>
      </c>
      <c r="P1822">
        <v>-0.98485919999999905</v>
      </c>
      <c r="Q1822">
        <v>0.17314779999999999</v>
      </c>
      <c r="R1822">
        <v>8.5201340000000004E-3</v>
      </c>
      <c r="S1822">
        <v>-3.0553590000000002</v>
      </c>
      <c r="T1822">
        <v>-8.1345680000000004E-2</v>
      </c>
      <c r="U1822">
        <v>0.59826659999999998</v>
      </c>
      <c r="V1822">
        <v>-4.3191489999999999E-2</v>
      </c>
      <c r="W1822">
        <v>0.18282699999999999</v>
      </c>
      <c r="X1822">
        <v>0.98219590000000001</v>
      </c>
      <c r="Y1822">
        <v>0.14036979999999999</v>
      </c>
      <c r="Z1822">
        <v>1.681517E-3</v>
      </c>
      <c r="AA1822">
        <v>0.99009769999999997</v>
      </c>
      <c r="AB1822">
        <v>24</v>
      </c>
      <c r="AC1822">
        <v>-38.448799999999999</v>
      </c>
      <c r="AD1822">
        <v>-1.0300635899999999</v>
      </c>
      <c r="AE1822">
        <v>7.5630999999999604</v>
      </c>
      <c r="AF1822">
        <v>5.5324636724584497</v>
      </c>
      <c r="AG1822">
        <v>-1.0300635899999999</v>
      </c>
      <c r="AH1822">
        <v>38.765741115607298</v>
      </c>
      <c r="AI1822">
        <v>91.506815560841602</v>
      </c>
      <c r="AJ1822">
        <v>81.877863275866403</v>
      </c>
      <c r="AK1822">
        <v>39.172080229786197</v>
      </c>
      <c r="AL1822">
        <v>79.465531959299597</v>
      </c>
      <c r="AM1822">
        <v>92.517926202702398</v>
      </c>
      <c r="AN1822">
        <v>1.00000000135711</v>
      </c>
    </row>
    <row r="1823" spans="1:40" x14ac:dyDescent="0.25">
      <c r="A1823" t="str">
        <f>"20190304155630791"</f>
        <v>20190304155630791</v>
      </c>
      <c r="B1823" t="str">
        <f>"1551686190786261"</f>
        <v>1551686190786261</v>
      </c>
      <c r="C1823" t="s">
        <v>40</v>
      </c>
      <c r="D1823">
        <v>5.0300919999999998</v>
      </c>
      <c r="E1823">
        <v>0.5701851</v>
      </c>
      <c r="F1823" t="s">
        <v>55</v>
      </c>
      <c r="G1823">
        <v>-265.67219999999998</v>
      </c>
      <c r="H1823">
        <v>8.0000219999999997E-2</v>
      </c>
      <c r="I1823">
        <v>289.76900000000001</v>
      </c>
      <c r="J1823">
        <v>-228.1318</v>
      </c>
      <c r="K1823">
        <v>1.110069</v>
      </c>
      <c r="L1823">
        <v>282.3639</v>
      </c>
      <c r="M1823">
        <v>-0.99858610000000003</v>
      </c>
      <c r="N1823">
        <v>-9.8332230000000003E-3</v>
      </c>
      <c r="O1823">
        <v>5.224355E-2</v>
      </c>
      <c r="P1823">
        <v>-0.98498399999999997</v>
      </c>
      <c r="Q1823">
        <v>0.17247850000000001</v>
      </c>
      <c r="R1823">
        <v>7.6223840000000003E-3</v>
      </c>
      <c r="S1823">
        <v>-3.0555880000000002</v>
      </c>
      <c r="T1823">
        <v>-8.3245639999999996E-2</v>
      </c>
      <c r="U1823">
        <v>0.59957890000000003</v>
      </c>
      <c r="V1823">
        <v>-4.3905819999999998E-2</v>
      </c>
      <c r="W1823">
        <v>0.18213299999999999</v>
      </c>
      <c r="X1823">
        <v>0.98229310000000003</v>
      </c>
      <c r="Y1823">
        <v>0.140959</v>
      </c>
      <c r="Z1823">
        <v>1.7037319999999999E-3</v>
      </c>
      <c r="AA1823">
        <v>0.99001399999999995</v>
      </c>
      <c r="AB1823">
        <v>24</v>
      </c>
      <c r="AC1823">
        <v>-37.540399999999899</v>
      </c>
      <c r="AD1823">
        <v>-1.0300687799999999</v>
      </c>
      <c r="AE1823">
        <v>7.4051</v>
      </c>
      <c r="AF1823">
        <v>5.4297132081167296</v>
      </c>
      <c r="AG1823">
        <v>-1.0300687799999999</v>
      </c>
      <c r="AH1823">
        <v>37.8485874748269</v>
      </c>
      <c r="AI1823">
        <v>91.543158491747803</v>
      </c>
      <c r="AJ1823">
        <v>81.836117131967598</v>
      </c>
      <c r="AK1823">
        <v>38.249946418963198</v>
      </c>
      <c r="AL1823">
        <v>79.505973650686499</v>
      </c>
      <c r="AM1823">
        <v>92.559261502321803</v>
      </c>
      <c r="AN1823">
        <v>0.99999994251323898</v>
      </c>
    </row>
    <row r="1824" spans="1:40" x14ac:dyDescent="0.25">
      <c r="A1824" t="str">
        <f>"20190304155630813"</f>
        <v>20190304155630813</v>
      </c>
      <c r="B1824" t="str">
        <f>"1551686190806757"</f>
        <v>1551686190806757</v>
      </c>
      <c r="C1824" t="s">
        <v>40</v>
      </c>
      <c r="D1824">
        <v>4.984858</v>
      </c>
      <c r="E1824">
        <v>0.57040840000000004</v>
      </c>
      <c r="F1824" t="s">
        <v>55</v>
      </c>
      <c r="G1824">
        <v>-265.22559999999999</v>
      </c>
      <c r="H1824">
        <v>7.3188279999999994E-2</v>
      </c>
      <c r="I1824">
        <v>289.6395</v>
      </c>
      <c r="J1824">
        <v>-228.38050000000001</v>
      </c>
      <c r="K1824">
        <v>1.1100730000000001</v>
      </c>
      <c r="L1824">
        <v>282.3766</v>
      </c>
      <c r="M1824">
        <v>-0.9985967</v>
      </c>
      <c r="N1824">
        <v>-9.8076740000000006E-3</v>
      </c>
      <c r="O1824">
        <v>5.2042720000000001E-2</v>
      </c>
      <c r="P1824">
        <v>-0.98511479999999996</v>
      </c>
      <c r="Q1824">
        <v>0.1717572</v>
      </c>
      <c r="R1824">
        <v>6.9598350000000002E-3</v>
      </c>
      <c r="S1824">
        <v>-3.056076</v>
      </c>
      <c r="T1824">
        <v>-8.5426450000000001E-2</v>
      </c>
      <c r="U1824">
        <v>0.59942629999999997</v>
      </c>
      <c r="V1824">
        <v>-4.4379979999999999E-2</v>
      </c>
      <c r="W1824">
        <v>0.18138660000000001</v>
      </c>
      <c r="X1824">
        <v>0.98241000000000001</v>
      </c>
      <c r="Y1824">
        <v>0.14107800000000001</v>
      </c>
      <c r="Z1824">
        <v>1.7192780000000001E-3</v>
      </c>
      <c r="AA1824">
        <v>0.98999700000000002</v>
      </c>
      <c r="AB1824">
        <v>24</v>
      </c>
      <c r="AC1824">
        <v>-36.845099999999903</v>
      </c>
      <c r="AD1824">
        <v>-1.03688471999999</v>
      </c>
      <c r="AE1824">
        <v>7.2629000000000001</v>
      </c>
      <c r="AF1824">
        <v>5.3313810537236002</v>
      </c>
      <c r="AG1824">
        <v>-1.03688471999999</v>
      </c>
      <c r="AH1824">
        <v>37.144847327272601</v>
      </c>
      <c r="AI1824">
        <v>91.582763782883006</v>
      </c>
      <c r="AJ1824">
        <v>81.832148912194597</v>
      </c>
      <c r="AK1824">
        <v>37.539824677653499</v>
      </c>
      <c r="AL1824">
        <v>79.549464718526806</v>
      </c>
      <c r="AM1824">
        <v>92.586555448803594</v>
      </c>
      <c r="AN1824">
        <v>1.00000004469217</v>
      </c>
    </row>
    <row r="1825" spans="1:40" x14ac:dyDescent="0.25">
      <c r="A1825" t="str">
        <f>"20190304155630834"</f>
        <v>20190304155630834</v>
      </c>
      <c r="B1825" t="str">
        <f>"1551686190826279"</f>
        <v>1551686190826279</v>
      </c>
      <c r="C1825" t="s">
        <v>40</v>
      </c>
      <c r="D1825">
        <v>4.9488190000000003</v>
      </c>
      <c r="E1825">
        <v>0.57069559999999997</v>
      </c>
      <c r="F1825" t="s">
        <v>55</v>
      </c>
      <c r="G1825">
        <v>-265.32100000000003</v>
      </c>
      <c r="H1825">
        <v>4.9052230000000002E-2</v>
      </c>
      <c r="I1825">
        <v>289.61630000000002</v>
      </c>
      <c r="J1825">
        <v>-228.61089999999999</v>
      </c>
      <c r="K1825">
        <v>1.11007099999999</v>
      </c>
      <c r="L1825">
        <v>282.38850000000002</v>
      </c>
      <c r="M1825">
        <v>-0.99860729999999998</v>
      </c>
      <c r="N1825">
        <v>-9.7819650000000001E-3</v>
      </c>
      <c r="O1825">
        <v>5.184648E-2</v>
      </c>
      <c r="P1825">
        <v>-0.98518989999999995</v>
      </c>
      <c r="Q1825">
        <v>0.1713375</v>
      </c>
      <c r="R1825">
        <v>6.6883769999999997E-3</v>
      </c>
      <c r="S1825">
        <v>-3.0563959999999999</v>
      </c>
      <c r="T1825">
        <v>-8.7787030000000002E-2</v>
      </c>
      <c r="U1825">
        <v>0.59899899999999995</v>
      </c>
      <c r="V1825">
        <v>-4.4463309999999999E-2</v>
      </c>
      <c r="W1825">
        <v>0.18094199999999999</v>
      </c>
      <c r="X1825">
        <v>0.98248820000000003</v>
      </c>
      <c r="Y1825">
        <v>0.14111699999999999</v>
      </c>
      <c r="Z1825">
        <v>1.7346799999999999E-3</v>
      </c>
      <c r="AA1825">
        <v>0.98999139999999997</v>
      </c>
      <c r="AB1825">
        <v>25</v>
      </c>
      <c r="AC1825">
        <v>-36.710099999999898</v>
      </c>
      <c r="AD1825">
        <v>-1.06101876999999</v>
      </c>
      <c r="AE1825">
        <v>7.2278000000000002</v>
      </c>
      <c r="AF1825">
        <v>5.3104273198883396</v>
      </c>
      <c r="AG1825">
        <v>-1.06101876999999</v>
      </c>
      <c r="AH1825">
        <v>37.005716962797798</v>
      </c>
      <c r="AI1825">
        <v>91.625676029583303</v>
      </c>
      <c r="AJ1825">
        <v>81.833642330508994</v>
      </c>
      <c r="AK1825">
        <v>37.399859452687899</v>
      </c>
      <c r="AL1825">
        <v>79.575366857121196</v>
      </c>
      <c r="AM1825">
        <v>92.591199497505002</v>
      </c>
      <c r="AN1825">
        <v>1.0000000282196899</v>
      </c>
    </row>
    <row r="1826" spans="1:40" x14ac:dyDescent="0.25">
      <c r="A1826" t="str">
        <f>"20190304155630855"</f>
        <v>20190304155630855</v>
      </c>
      <c r="B1826" t="str">
        <f>"1551686190846773"</f>
        <v>1551686190846773</v>
      </c>
      <c r="C1826" t="s">
        <v>40</v>
      </c>
      <c r="D1826">
        <v>5.0230360000000003</v>
      </c>
      <c r="E1826">
        <v>0.57110319999999903</v>
      </c>
      <c r="F1826" t="s">
        <v>55</v>
      </c>
      <c r="G1826">
        <v>-265.42110000000002</v>
      </c>
      <c r="H1826">
        <v>4.0396300000000003E-2</v>
      </c>
      <c r="I1826">
        <v>289.61630000000002</v>
      </c>
      <c r="J1826">
        <v>-228.846</v>
      </c>
      <c r="K1826">
        <v>1.1100639999999999</v>
      </c>
      <c r="L1826">
        <v>282.40050000000002</v>
      </c>
      <c r="M1826">
        <v>-0.99861809999999995</v>
      </c>
      <c r="N1826">
        <v>-9.7574089999999999E-3</v>
      </c>
      <c r="O1826">
        <v>5.1640739999999997E-2</v>
      </c>
      <c r="P1826">
        <v>-0.98520830000000004</v>
      </c>
      <c r="Q1826">
        <v>0.17126259999999999</v>
      </c>
      <c r="R1826">
        <v>5.8271640000000001E-3</v>
      </c>
      <c r="S1826">
        <v>-3.0564879999999999</v>
      </c>
      <c r="T1826">
        <v>-8.8819270000000006E-2</v>
      </c>
      <c r="U1826">
        <v>0.60015869999999905</v>
      </c>
      <c r="V1826">
        <v>-4.5121439999999999E-2</v>
      </c>
      <c r="W1826">
        <v>0.18084210000000001</v>
      </c>
      <c r="X1826">
        <v>0.98247649999999997</v>
      </c>
      <c r="Y1826">
        <v>0.14167550000000001</v>
      </c>
      <c r="Z1826">
        <v>1.752621E-3</v>
      </c>
      <c r="AA1826">
        <v>0.9899116</v>
      </c>
      <c r="AB1826">
        <v>25</v>
      </c>
      <c r="AC1826">
        <v>-36.575099999999999</v>
      </c>
      <c r="AD1826">
        <v>-1.0696677000000001</v>
      </c>
      <c r="AE1826">
        <v>7.2157999999999998</v>
      </c>
      <c r="AF1826">
        <v>5.3129421656564402</v>
      </c>
      <c r="AG1826">
        <v>-1.0696677000000001</v>
      </c>
      <c r="AH1826">
        <v>36.868588256903898</v>
      </c>
      <c r="AI1826">
        <v>91.644873597464297</v>
      </c>
      <c r="AJ1826">
        <v>81.799851657125501</v>
      </c>
      <c r="AK1826">
        <v>37.264786910717</v>
      </c>
      <c r="AL1826">
        <v>79.581185799717403</v>
      </c>
      <c r="AM1826">
        <v>92.629531335008807</v>
      </c>
      <c r="AN1826">
        <v>0.99999994126616498</v>
      </c>
    </row>
    <row r="1827" spans="1:40" x14ac:dyDescent="0.25">
      <c r="A1827" t="str">
        <f>"20190304155630878"</f>
        <v>20190304155630878</v>
      </c>
      <c r="B1827" t="str">
        <f>"1551686190866293"</f>
        <v>1551686190866293</v>
      </c>
      <c r="C1827" t="s">
        <v>40</v>
      </c>
      <c r="D1827">
        <v>5.0255749999999999</v>
      </c>
      <c r="E1827">
        <v>0.57139200000000001</v>
      </c>
      <c r="F1827" t="s">
        <v>55</v>
      </c>
      <c r="G1827">
        <v>-265.6069</v>
      </c>
      <c r="H1827">
        <v>4.7753539999999997E-2</v>
      </c>
      <c r="I1827">
        <v>289.61630000000002</v>
      </c>
      <c r="J1827">
        <v>-229.09729999999999</v>
      </c>
      <c r="K1827">
        <v>1.11006</v>
      </c>
      <c r="L1827">
        <v>282.41320000000002</v>
      </c>
      <c r="M1827">
        <v>-0.99862980000000001</v>
      </c>
      <c r="N1827">
        <v>-9.7347030000000008E-3</v>
      </c>
      <c r="O1827">
        <v>5.1418449999999997E-2</v>
      </c>
      <c r="P1827">
        <v>-0.98527580000000003</v>
      </c>
      <c r="Q1827">
        <v>0.1708953</v>
      </c>
      <c r="R1827">
        <v>5.155588E-3</v>
      </c>
      <c r="S1827">
        <v>-3.056854</v>
      </c>
      <c r="T1827">
        <v>-8.833647E-2</v>
      </c>
      <c r="U1827">
        <v>0.60003660000000003</v>
      </c>
      <c r="V1827">
        <v>-4.5574940000000001E-2</v>
      </c>
      <c r="W1827">
        <v>0.1804538</v>
      </c>
      <c r="X1827">
        <v>0.98252700000000004</v>
      </c>
      <c r="Y1827">
        <v>0.14183599999999999</v>
      </c>
      <c r="Z1827">
        <v>1.754027E-3</v>
      </c>
      <c r="AA1827">
        <v>0.98988860000000001</v>
      </c>
      <c r="AB1827">
        <v>25</v>
      </c>
      <c r="AC1827">
        <v>-36.509599999999999</v>
      </c>
      <c r="AD1827">
        <v>-1.0623064600000001</v>
      </c>
      <c r="AE1827">
        <v>7.2031000000000001</v>
      </c>
      <c r="AF1827">
        <v>5.3118862799396798</v>
      </c>
      <c r="AG1827">
        <v>-1.0623064600000001</v>
      </c>
      <c r="AH1827">
        <v>36.801700663258799</v>
      </c>
      <c r="AI1827">
        <v>91.636473570664407</v>
      </c>
      <c r="AJ1827">
        <v>81.786761337287302</v>
      </c>
      <c r="AK1827">
        <v>37.1982499934348</v>
      </c>
      <c r="AL1827">
        <v>79.603806282301605</v>
      </c>
      <c r="AM1827">
        <v>92.655785877191306</v>
      </c>
      <c r="AN1827">
        <v>0.99999997740972102</v>
      </c>
    </row>
    <row r="1828" spans="1:40" x14ac:dyDescent="0.25">
      <c r="A1828" t="str">
        <f>"20190304155630900"</f>
        <v>20190304155630900</v>
      </c>
      <c r="B1828" t="str">
        <f>"1551686190896549"</f>
        <v>1551686190896549</v>
      </c>
      <c r="C1828" t="s">
        <v>40</v>
      </c>
      <c r="D1828">
        <v>5.0510970000000004</v>
      </c>
      <c r="E1828">
        <v>0.57175799999999999</v>
      </c>
      <c r="F1828" t="s">
        <v>55</v>
      </c>
      <c r="G1828">
        <v>-265.80790000000002</v>
      </c>
      <c r="H1828">
        <v>4.1408750000000001E-2</v>
      </c>
      <c r="I1828">
        <v>289.61630000000002</v>
      </c>
      <c r="J1828">
        <v>-229.33670000000001</v>
      </c>
      <c r="K1828">
        <v>1.1100570000000001</v>
      </c>
      <c r="L1828">
        <v>282.42529999999999</v>
      </c>
      <c r="M1828">
        <v>-0.9986408</v>
      </c>
      <c r="N1828">
        <v>-9.7157819999999992E-3</v>
      </c>
      <c r="O1828">
        <v>5.1207889999999999E-2</v>
      </c>
      <c r="P1828">
        <v>-0.98531630000000003</v>
      </c>
      <c r="Q1828">
        <v>0.17067639999999901</v>
      </c>
      <c r="R1828">
        <v>4.6346089999999996E-3</v>
      </c>
      <c r="S1828">
        <v>-3.0571290000000002</v>
      </c>
      <c r="T1828">
        <v>-8.8993550000000005E-2</v>
      </c>
      <c r="U1828">
        <v>0.59985350000000004</v>
      </c>
      <c r="V1828">
        <v>-4.5888539999999998E-2</v>
      </c>
      <c r="W1828">
        <v>0.1802165</v>
      </c>
      <c r="X1828">
        <v>0.98255599999999998</v>
      </c>
      <c r="Y1828">
        <v>0.14197000000000001</v>
      </c>
      <c r="Z1828">
        <v>1.7624299999999999E-3</v>
      </c>
      <c r="AA1828">
        <v>0.98986940000000001</v>
      </c>
      <c r="AB1828">
        <v>25</v>
      </c>
      <c r="AC1828">
        <v>-36.471200000000003</v>
      </c>
      <c r="AD1828">
        <v>-1.0686482500000001</v>
      </c>
      <c r="AE1828">
        <v>7.19100000000003</v>
      </c>
      <c r="AF1828">
        <v>5.3094754541760096</v>
      </c>
      <c r="AG1828">
        <v>-1.0686482500000001</v>
      </c>
      <c r="AH1828">
        <v>36.761218572438899</v>
      </c>
      <c r="AI1828">
        <v>91.648027796471098</v>
      </c>
      <c r="AJ1828">
        <v>81.7815210521334</v>
      </c>
      <c r="AK1828">
        <v>37.158037214193001</v>
      </c>
      <c r="AL1828">
        <v>79.617629631887993</v>
      </c>
      <c r="AM1828">
        <v>92.673955028603004</v>
      </c>
      <c r="AN1828">
        <v>1.0000000190557901</v>
      </c>
    </row>
    <row r="1829" spans="1:40" x14ac:dyDescent="0.25">
      <c r="A1829" t="str">
        <f>"20190304155630921"</f>
        <v>20190304155630921</v>
      </c>
      <c r="B1829" t="str">
        <f>"1551686190916070"</f>
        <v>1551686190916070</v>
      </c>
      <c r="C1829" t="s">
        <v>40</v>
      </c>
      <c r="D1829">
        <v>4.9619439999999999</v>
      </c>
      <c r="E1829">
        <v>0.57211979999999996</v>
      </c>
      <c r="F1829" t="s">
        <v>55</v>
      </c>
      <c r="G1829">
        <v>-265.93209999999999</v>
      </c>
      <c r="H1829">
        <v>4.3389919999999998E-2</v>
      </c>
      <c r="I1829">
        <v>289.61630000000002</v>
      </c>
      <c r="J1829">
        <v>-229.57919999999999</v>
      </c>
      <c r="K1829">
        <v>1.1100449999999999</v>
      </c>
      <c r="L1829">
        <v>282.4375</v>
      </c>
      <c r="M1829">
        <v>-0.99865190000000004</v>
      </c>
      <c r="N1829">
        <v>-9.6987240000000006E-3</v>
      </c>
      <c r="O1829">
        <v>5.0997319999999999E-2</v>
      </c>
      <c r="P1829">
        <v>-0.98529940000000005</v>
      </c>
      <c r="Q1829">
        <v>0.170797799999999</v>
      </c>
      <c r="R1829">
        <v>3.6930610000000001E-3</v>
      </c>
      <c r="S1829">
        <v>-3.0573269999999999</v>
      </c>
      <c r="T1829">
        <v>-8.9113709999999999E-2</v>
      </c>
      <c r="U1829">
        <v>0.600769</v>
      </c>
      <c r="V1829">
        <v>-4.6619430000000003E-2</v>
      </c>
      <c r="W1829">
        <v>0.1803206</v>
      </c>
      <c r="X1829">
        <v>0.98250249999999995</v>
      </c>
      <c r="Y1829">
        <v>0.14245160000000001</v>
      </c>
      <c r="Z1829">
        <v>1.7744060000000001E-3</v>
      </c>
      <c r="AA1829">
        <v>0.98980020000000002</v>
      </c>
      <c r="AB1829">
        <v>25</v>
      </c>
      <c r="AC1829">
        <v>-36.352899999999998</v>
      </c>
      <c r="AD1829">
        <v>-1.0666550800000001</v>
      </c>
      <c r="AE1829">
        <v>7.1788000000000203</v>
      </c>
      <c r="AF1829">
        <v>5.3110698414406201</v>
      </c>
      <c r="AG1829">
        <v>-1.0666550800000001</v>
      </c>
      <c r="AH1829">
        <v>36.641347737846601</v>
      </c>
      <c r="AI1829">
        <v>91.6502135196137</v>
      </c>
      <c r="AJ1829">
        <v>81.752561804877402</v>
      </c>
      <c r="AK1829">
        <v>37.039621757870997</v>
      </c>
      <c r="AL1829">
        <v>79.611565876010303</v>
      </c>
      <c r="AM1829">
        <v>92.716628866333295</v>
      </c>
      <c r="AN1829">
        <v>1.0000000262720601</v>
      </c>
    </row>
    <row r="1830" spans="1:40" x14ac:dyDescent="0.25">
      <c r="A1830" t="str">
        <f>"20190304155630945"</f>
        <v>20190304155630945</v>
      </c>
      <c r="B1830" t="str">
        <f>"1551686190936565"</f>
        <v>1551686190936565</v>
      </c>
      <c r="C1830" t="s">
        <v>40</v>
      </c>
      <c r="D1830">
        <v>4.5823359999999997</v>
      </c>
      <c r="E1830">
        <v>0.57120170000000003</v>
      </c>
      <c r="F1830" t="s">
        <v>55</v>
      </c>
      <c r="G1830">
        <v>-266.19319999999999</v>
      </c>
      <c r="H1830">
        <v>5.573674E-2</v>
      </c>
      <c r="I1830">
        <v>289.62209999999999</v>
      </c>
      <c r="J1830">
        <v>-229.8329</v>
      </c>
      <c r="K1830">
        <v>1.1100429999999999</v>
      </c>
      <c r="L1830">
        <v>282.4502</v>
      </c>
      <c r="M1830">
        <v>-0.99866310000000003</v>
      </c>
      <c r="N1830">
        <v>-9.6830909999999996E-3</v>
      </c>
      <c r="O1830">
        <v>5.0777999999999997E-2</v>
      </c>
      <c r="P1830">
        <v>-0.9852921</v>
      </c>
      <c r="Q1830">
        <v>0.17084779999999999</v>
      </c>
      <c r="R1830">
        <v>3.3024859999999999E-3</v>
      </c>
      <c r="S1830">
        <v>-3.0577549999999998</v>
      </c>
      <c r="T1830">
        <v>-8.8048580000000001E-2</v>
      </c>
      <c r="U1830">
        <v>0.60000609999999999</v>
      </c>
      <c r="V1830">
        <v>-4.6792479999999997E-2</v>
      </c>
      <c r="W1830">
        <v>0.1803553</v>
      </c>
      <c r="X1830">
        <v>0.98248789999999997</v>
      </c>
      <c r="Y1830">
        <v>0.14240630000000001</v>
      </c>
      <c r="Z1830">
        <v>1.768665E-3</v>
      </c>
      <c r="AA1830">
        <v>0.98980670000000004</v>
      </c>
      <c r="AB1830">
        <v>25</v>
      </c>
      <c r="AC1830">
        <v>-36.360300000000002</v>
      </c>
      <c r="AD1830">
        <v>-1.0543062599999999</v>
      </c>
      <c r="AE1830">
        <v>7.1718999999999902</v>
      </c>
      <c r="AF1830">
        <v>5.3119585014010102</v>
      </c>
      <c r="AG1830">
        <v>-1.0543062599999999</v>
      </c>
      <c r="AH1830">
        <v>36.647922656100199</v>
      </c>
      <c r="AI1830">
        <v>91.630827069362098</v>
      </c>
      <c r="AJ1830">
        <v>81.752660351950894</v>
      </c>
      <c r="AK1830">
        <v>37.045899905630399</v>
      </c>
      <c r="AL1830">
        <v>79.609544528139594</v>
      </c>
      <c r="AM1830">
        <v>92.726738183175001</v>
      </c>
      <c r="AN1830">
        <v>1.00000002203452</v>
      </c>
    </row>
    <row r="1831" spans="1:40" x14ac:dyDescent="0.25">
      <c r="A1831" t="str">
        <f>"20190304155630966"</f>
        <v>20190304155630966</v>
      </c>
      <c r="B1831" t="str">
        <f>"1551686190956085"</f>
        <v>1551686190956085</v>
      </c>
      <c r="C1831" t="s">
        <v>40</v>
      </c>
      <c r="D1831">
        <v>5.0410789999999999</v>
      </c>
      <c r="E1831">
        <v>0.50324599999999997</v>
      </c>
      <c r="F1831" t="s">
        <v>55</v>
      </c>
      <c r="G1831">
        <v>-267.02289999999999</v>
      </c>
      <c r="H1831">
        <v>6.6556130000000005E-2</v>
      </c>
      <c r="I1831">
        <v>289.63290000000001</v>
      </c>
      <c r="J1831">
        <v>-230.07570000000001</v>
      </c>
      <c r="K1831">
        <v>1.1100449999999999</v>
      </c>
      <c r="L1831">
        <v>282.46230000000003</v>
      </c>
      <c r="M1831">
        <v>-0.99867410000000001</v>
      </c>
      <c r="N1831">
        <v>-9.6703410000000007E-3</v>
      </c>
      <c r="O1831">
        <v>5.0564480000000002E-2</v>
      </c>
      <c r="P1831">
        <v>-0.98538939999999997</v>
      </c>
      <c r="Q1831">
        <v>0.17029079999999999</v>
      </c>
      <c r="R1831">
        <v>3.012598E-3</v>
      </c>
      <c r="S1831">
        <v>-3.0576780000000001</v>
      </c>
      <c r="T1831">
        <v>-8.5793259999999996E-2</v>
      </c>
      <c r="U1831">
        <v>0.59054569999999995</v>
      </c>
      <c r="V1831">
        <v>-4.6877549999999997E-2</v>
      </c>
      <c r="W1831">
        <v>0.17978640000000001</v>
      </c>
      <c r="X1831">
        <v>0.98258809999999996</v>
      </c>
      <c r="Y1831">
        <v>0.13967550000000001</v>
      </c>
      <c r="Z1831">
        <v>1.7047989999999999E-3</v>
      </c>
      <c r="AA1831">
        <v>0.99019590000000002</v>
      </c>
      <c r="AB1831">
        <v>25</v>
      </c>
      <c r="AC1831">
        <v>-36.947199999999903</v>
      </c>
      <c r="AD1831">
        <v>-1.04348887</v>
      </c>
      <c r="AE1831">
        <v>7.1705999999999701</v>
      </c>
      <c r="AF1831">
        <v>5.2890577292041296</v>
      </c>
      <c r="AG1831">
        <v>-1.04348887</v>
      </c>
      <c r="AH1831">
        <v>37.2339056634221</v>
      </c>
      <c r="AI1831">
        <v>91.589360646522294</v>
      </c>
      <c r="AJ1831">
        <v>81.915251730700902</v>
      </c>
      <c r="AK1831">
        <v>37.622157455909999</v>
      </c>
      <c r="AL1831">
        <v>79.642681688960707</v>
      </c>
      <c r="AM1831">
        <v>92.731409821640796</v>
      </c>
      <c r="AN1831">
        <v>1.0000000142902801</v>
      </c>
    </row>
    <row r="1832" spans="1:40" x14ac:dyDescent="0.25">
      <c r="A1832" t="str">
        <f>"20190304155630992"</f>
        <v>20190304155630992</v>
      </c>
      <c r="B1832" t="str">
        <f>"1551686190986342"</f>
        <v>1551686190986342</v>
      </c>
      <c r="C1832" t="s">
        <v>40</v>
      </c>
      <c r="D1832">
        <v>5.0273839999999996</v>
      </c>
      <c r="E1832">
        <v>0.50101209999999996</v>
      </c>
      <c r="F1832" t="s">
        <v>55</v>
      </c>
      <c r="G1832">
        <v>-260.47809999999998</v>
      </c>
      <c r="H1832" s="1">
        <v>-1.2823570000000001E-6</v>
      </c>
      <c r="I1832">
        <v>282.93450000000001</v>
      </c>
      <c r="J1832">
        <v>-230.34450000000001</v>
      </c>
      <c r="K1832">
        <v>1.1100490000000001</v>
      </c>
      <c r="L1832">
        <v>282.47570000000002</v>
      </c>
      <c r="M1832">
        <v>-0.99868670000000004</v>
      </c>
      <c r="N1832">
        <v>-9.6534729999999992E-3</v>
      </c>
      <c r="O1832">
        <v>5.0316470000000002E-2</v>
      </c>
      <c r="P1832">
        <v>-0.98544900000000002</v>
      </c>
      <c r="Q1832">
        <v>0.1699579</v>
      </c>
      <c r="R1832">
        <v>2.1159070000000002E-3</v>
      </c>
      <c r="S1832">
        <v>-3.0636749999999999</v>
      </c>
      <c r="T1832">
        <v>-0.1118603</v>
      </c>
      <c r="U1832">
        <v>4.7576899999999998E-2</v>
      </c>
      <c r="V1832">
        <v>-4.7535180000000003E-2</v>
      </c>
      <c r="W1832">
        <v>0.1794355</v>
      </c>
      <c r="X1832">
        <v>0.98262070000000001</v>
      </c>
      <c r="Y1832">
        <v>-3.4757540000000003E-2</v>
      </c>
      <c r="Z1832">
        <v>-2.151998E-3</v>
      </c>
      <c r="AA1832">
        <v>0.99939350000000005</v>
      </c>
      <c r="AB1832">
        <v>25</v>
      </c>
      <c r="AC1832">
        <v>-30.133599999999898</v>
      </c>
      <c r="AD1832">
        <v>-1.110050282357</v>
      </c>
      <c r="AE1832">
        <v>0.45879999999999599</v>
      </c>
      <c r="AF1832">
        <v>-1.0566346593148299</v>
      </c>
      <c r="AG1832">
        <v>-1.110050282357</v>
      </c>
      <c r="AH1832">
        <v>30.0777069021496</v>
      </c>
      <c r="AI1832">
        <v>92.112301559252401</v>
      </c>
      <c r="AJ1832">
        <v>92.011982498915501</v>
      </c>
      <c r="AK1832">
        <v>30.116725268930601</v>
      </c>
      <c r="AL1832">
        <v>79.663119678007902</v>
      </c>
      <c r="AM1832">
        <v>92.769576888966697</v>
      </c>
      <c r="AN1832">
        <v>1.00000006603318</v>
      </c>
    </row>
    <row r="1833" spans="1:40" x14ac:dyDescent="0.25">
      <c r="A1833" t="str">
        <f>"20190304155631013"</f>
        <v>20190304155631013</v>
      </c>
      <c r="B1833" t="str">
        <f>"1551686191006837"</f>
        <v>1551686191006837</v>
      </c>
      <c r="C1833" t="s">
        <v>40</v>
      </c>
      <c r="D1833">
        <v>5.0716229999999998</v>
      </c>
      <c r="E1833">
        <v>0.49956119999999998</v>
      </c>
      <c r="F1833" t="s">
        <v>55</v>
      </c>
      <c r="G1833">
        <v>-263.37220000000002</v>
      </c>
      <c r="H1833" s="1">
        <v>2.57712E-7</v>
      </c>
      <c r="I1833">
        <v>282.75880000000001</v>
      </c>
      <c r="J1833">
        <v>-230.59399999999999</v>
      </c>
      <c r="K1833">
        <v>1.1100460000000001</v>
      </c>
      <c r="L1833">
        <v>282.488</v>
      </c>
      <c r="M1833">
        <v>-0.99869929999999996</v>
      </c>
      <c r="N1833">
        <v>-9.6346899999999996E-3</v>
      </c>
      <c r="O1833">
        <v>5.0068000000000001E-2</v>
      </c>
      <c r="P1833">
        <v>-0.98559470000000005</v>
      </c>
      <c r="Q1833">
        <v>0.1691156</v>
      </c>
      <c r="R1833">
        <v>1.7148059999999999E-3</v>
      </c>
      <c r="S1833">
        <v>-3.0619960000000002</v>
      </c>
      <c r="T1833">
        <v>-0.1029127</v>
      </c>
      <c r="U1833">
        <v>2.624512E-2</v>
      </c>
      <c r="V1833">
        <v>-4.7702550000000003E-2</v>
      </c>
      <c r="W1833">
        <v>0.17857509999999999</v>
      </c>
      <c r="X1833">
        <v>0.98276929999999996</v>
      </c>
      <c r="Y1833">
        <v>-4.146383E-2</v>
      </c>
      <c r="Z1833">
        <v>-2.0955819999999999E-3</v>
      </c>
      <c r="AA1833">
        <v>0.99913779999999996</v>
      </c>
      <c r="AB1833">
        <v>25</v>
      </c>
      <c r="AC1833">
        <v>-32.778199999999998</v>
      </c>
      <c r="AD1833">
        <v>-1.1100457422879999</v>
      </c>
      <c r="AE1833">
        <v>0.27080000000000798</v>
      </c>
      <c r="AF1833">
        <v>-1.3691846625505599</v>
      </c>
      <c r="AG1833">
        <v>-1.1100457422879999</v>
      </c>
      <c r="AH1833">
        <v>32.713130251888899</v>
      </c>
      <c r="AI1833">
        <v>91.941757677685501</v>
      </c>
      <c r="AJ1833">
        <v>92.396675029860802</v>
      </c>
      <c r="AK1833">
        <v>32.760582398168502</v>
      </c>
      <c r="AL1833">
        <v>79.7132260972366</v>
      </c>
      <c r="AM1833">
        <v>92.778893637794297</v>
      </c>
      <c r="AN1833">
        <v>1.0000000483195</v>
      </c>
    </row>
    <row r="1834" spans="1:40" x14ac:dyDescent="0.25">
      <c r="A1834" t="str">
        <f>"20190304155631034"</f>
        <v>20190304155631034</v>
      </c>
      <c r="B1834" t="str">
        <f>"1551686191026357"</f>
        <v>1551686191026357</v>
      </c>
      <c r="C1834" t="s">
        <v>40</v>
      </c>
      <c r="D1834">
        <v>5.0700079999999996</v>
      </c>
      <c r="E1834">
        <v>0.4987222</v>
      </c>
      <c r="F1834" t="s">
        <v>55</v>
      </c>
      <c r="G1834">
        <v>-260.9246</v>
      </c>
      <c r="H1834" s="1">
        <v>-1.044779E-6</v>
      </c>
      <c r="I1834">
        <v>282.62090000000001</v>
      </c>
      <c r="J1834">
        <v>-230.82550000000001</v>
      </c>
      <c r="K1834">
        <v>1.1100509999999999</v>
      </c>
      <c r="L1834">
        <v>282.49930000000001</v>
      </c>
      <c r="M1834">
        <v>-0.99871180000000004</v>
      </c>
      <c r="N1834">
        <v>-9.618415E-3</v>
      </c>
      <c r="O1834">
        <v>4.9823079999999999E-2</v>
      </c>
      <c r="P1834">
        <v>-0.9856241</v>
      </c>
      <c r="Q1834">
        <v>0.16894909999999999</v>
      </c>
      <c r="R1834">
        <v>1.159261E-3</v>
      </c>
      <c r="S1834">
        <v>-3.0630649999999999</v>
      </c>
      <c r="T1834">
        <v>-0.11210290000000001</v>
      </c>
      <c r="U1834">
        <v>1.3427730000000001E-2</v>
      </c>
      <c r="V1834">
        <v>-4.8023299999999998E-2</v>
      </c>
      <c r="W1834">
        <v>0.1783912</v>
      </c>
      <c r="X1834">
        <v>0.98278699999999997</v>
      </c>
      <c r="Y1834">
        <v>-4.5390159999999999E-2</v>
      </c>
      <c r="Z1834">
        <v>-2.39164E-3</v>
      </c>
      <c r="AA1834">
        <v>0.99896649999999998</v>
      </c>
      <c r="AB1834">
        <v>25</v>
      </c>
      <c r="AC1834">
        <v>-30.0991</v>
      </c>
      <c r="AD1834">
        <v>-1.1100520447789901</v>
      </c>
      <c r="AE1834">
        <v>0.1216</v>
      </c>
      <c r="AF1834">
        <v>-1.3763781704096101</v>
      </c>
      <c r="AG1834">
        <v>-1.1100520447789901</v>
      </c>
      <c r="AH1834">
        <v>30.026934211546902</v>
      </c>
      <c r="AI1834">
        <v>92.114958693364002</v>
      </c>
      <c r="AJ1834">
        <v>92.624493626319406</v>
      </c>
      <c r="AK1834">
        <v>30.0789529497731</v>
      </c>
      <c r="AL1834">
        <v>79.723933951735901</v>
      </c>
      <c r="AM1834">
        <v>92.797498917201693</v>
      </c>
      <c r="AN1834">
        <v>0.99999997247466399</v>
      </c>
    </row>
    <row r="1835" spans="1:40" x14ac:dyDescent="0.25">
      <c r="A1835" t="str">
        <f>"20190304155631056"</f>
        <v>20190304155631056</v>
      </c>
      <c r="B1835" t="str">
        <f>"1551686191046853"</f>
        <v>1551686191046853</v>
      </c>
      <c r="C1835" t="s">
        <v>40</v>
      </c>
      <c r="D1835">
        <v>5.0829079999999998</v>
      </c>
      <c r="E1835">
        <v>0.49804310000000002</v>
      </c>
      <c r="F1835" t="s">
        <v>55</v>
      </c>
      <c r="G1835">
        <v>-260.08030000000002</v>
      </c>
      <c r="H1835" s="1">
        <v>-1.494078E-6</v>
      </c>
      <c r="I1835">
        <v>282.54539999999997</v>
      </c>
      <c r="J1835">
        <v>-231.0745</v>
      </c>
      <c r="K1835">
        <v>1.1100650000000001</v>
      </c>
      <c r="L1835">
        <v>282.51139999999998</v>
      </c>
      <c r="M1835">
        <v>-0.998726</v>
      </c>
      <c r="N1835">
        <v>-9.6033609999999995E-3</v>
      </c>
      <c r="O1835">
        <v>4.9538859999999997E-2</v>
      </c>
      <c r="P1835">
        <v>-0.98567910000000003</v>
      </c>
      <c r="Q1835">
        <v>0.1686289</v>
      </c>
      <c r="R1835">
        <v>1.0501169999999999E-3</v>
      </c>
      <c r="S1835">
        <v>-3.06366</v>
      </c>
      <c r="T1835">
        <v>-0.1162487</v>
      </c>
      <c r="U1835">
        <v>4.8217770000000002E-3</v>
      </c>
      <c r="V1835">
        <v>-4.7860840000000002E-2</v>
      </c>
      <c r="W1835">
        <v>0.17805480000000001</v>
      </c>
      <c r="X1835">
        <v>0.98285599999999995</v>
      </c>
      <c r="Y1835">
        <v>-4.79061E-2</v>
      </c>
      <c r="Z1835">
        <v>-2.5413720000000001E-3</v>
      </c>
      <c r="AA1835">
        <v>0.99884859999999998</v>
      </c>
      <c r="AB1835">
        <v>25</v>
      </c>
      <c r="AC1835">
        <v>-29.005800000000001</v>
      </c>
      <c r="AD1835">
        <v>-1.1100664940779901</v>
      </c>
      <c r="AE1835">
        <v>3.3999999999991801E-2</v>
      </c>
      <c r="AF1835">
        <v>-1.40097041490827</v>
      </c>
      <c r="AG1835">
        <v>-1.1100664940779901</v>
      </c>
      <c r="AH1835">
        <v>28.9294967135204</v>
      </c>
      <c r="AI1835">
        <v>92.194873940028202</v>
      </c>
      <c r="AJ1835">
        <v>92.772500053520602</v>
      </c>
      <c r="AK1835">
        <v>28.9846639763567</v>
      </c>
      <c r="AL1835">
        <v>79.743522596854305</v>
      </c>
      <c r="AM1835">
        <v>92.7878546780546</v>
      </c>
      <c r="AN1835">
        <v>1.0000000442722701</v>
      </c>
    </row>
    <row r="1836" spans="1:40" x14ac:dyDescent="0.25">
      <c r="A1836" t="str">
        <f>"20190304155631079"</f>
        <v>20190304155631079</v>
      </c>
      <c r="B1836" t="str">
        <f>"1551686191066373"</f>
        <v>1551686191066373</v>
      </c>
      <c r="C1836" t="s">
        <v>40</v>
      </c>
      <c r="D1836">
        <v>5.0776510000000004</v>
      </c>
      <c r="E1836">
        <v>0.49768780000000001</v>
      </c>
      <c r="F1836" t="s">
        <v>55</v>
      </c>
      <c r="G1836">
        <v>-259.61739999999998</v>
      </c>
      <c r="H1836" s="1">
        <v>3.5811159999999999E-6</v>
      </c>
      <c r="I1836">
        <v>282.49439999999998</v>
      </c>
      <c r="J1836">
        <v>-231.3203</v>
      </c>
      <c r="K1836">
        <v>1.110077</v>
      </c>
      <c r="L1836">
        <v>282.52330000000001</v>
      </c>
      <c r="M1836">
        <v>-0.99874110000000005</v>
      </c>
      <c r="N1836">
        <v>-9.590276E-3</v>
      </c>
      <c r="O1836">
        <v>4.9235010000000003E-2</v>
      </c>
      <c r="P1836">
        <v>-0.98571189999999997</v>
      </c>
      <c r="Q1836">
        <v>0.16843659999999999</v>
      </c>
      <c r="R1836">
        <v>1.0740369999999999E-3</v>
      </c>
      <c r="S1836">
        <v>-3.0639500000000002</v>
      </c>
      <c r="T1836">
        <v>-0.1191599</v>
      </c>
      <c r="U1836">
        <v>-1.8310550000000001E-3</v>
      </c>
      <c r="V1836">
        <v>-4.7544879999999998E-2</v>
      </c>
      <c r="W1836">
        <v>0.177848799999999</v>
      </c>
      <c r="X1836">
        <v>0.98290860000000002</v>
      </c>
      <c r="Y1836">
        <v>-4.9766150000000002E-2</v>
      </c>
      <c r="Z1836">
        <v>-2.6474179999999999E-3</v>
      </c>
      <c r="AA1836">
        <v>0.99875740000000002</v>
      </c>
      <c r="AB1836">
        <v>25</v>
      </c>
      <c r="AC1836">
        <v>-28.297099999999901</v>
      </c>
      <c r="AD1836">
        <v>-1.110073418884</v>
      </c>
      <c r="AE1836">
        <v>-2.8900000000021402E-2</v>
      </c>
      <c r="AF1836">
        <v>-1.41995192301379</v>
      </c>
      <c r="AG1836">
        <v>-1.110073418884</v>
      </c>
      <c r="AH1836">
        <v>28.217930321288101</v>
      </c>
      <c r="AI1836">
        <v>92.249969833074999</v>
      </c>
      <c r="AJ1836">
        <v>92.880745849827406</v>
      </c>
      <c r="AK1836">
        <v>28.275433119159398</v>
      </c>
      <c r="AL1836">
        <v>79.755516649135103</v>
      </c>
      <c r="AM1836">
        <v>92.769331038764605</v>
      </c>
      <c r="AN1836">
        <v>1.0000000136148</v>
      </c>
    </row>
    <row r="1837" spans="1:40" x14ac:dyDescent="0.25">
      <c r="A1837" t="str">
        <f>"20190304155631092"</f>
        <v>20190304155631092</v>
      </c>
      <c r="B1837" t="str">
        <f>"1551686191086869"</f>
        <v>1551686191086869</v>
      </c>
      <c r="C1837" t="s">
        <v>40</v>
      </c>
      <c r="D1837">
        <v>5.0815970000000004</v>
      </c>
      <c r="E1837">
        <v>0.497249</v>
      </c>
      <c r="F1837" t="s">
        <v>55</v>
      </c>
      <c r="G1837">
        <v>-259.73219999999998</v>
      </c>
      <c r="H1837" s="1">
        <v>3.6422079999999998E-6</v>
      </c>
      <c r="I1837">
        <v>282.47629999999998</v>
      </c>
      <c r="J1837">
        <v>-231.4796</v>
      </c>
      <c r="K1837">
        <v>1.110087</v>
      </c>
      <c r="L1837">
        <v>282.53089999999997</v>
      </c>
      <c r="M1837">
        <v>-0.99875159999999996</v>
      </c>
      <c r="N1837">
        <v>-9.5823799999999997E-3</v>
      </c>
      <c r="O1837">
        <v>4.9026979999999998E-2</v>
      </c>
      <c r="P1837">
        <v>-0.98574919999999999</v>
      </c>
      <c r="Q1837">
        <v>0.168220799999999</v>
      </c>
      <c r="R1837">
        <v>7.2454940000000003E-4</v>
      </c>
      <c r="S1837">
        <v>-3.0639500000000002</v>
      </c>
      <c r="T1837">
        <v>-0.1197106</v>
      </c>
      <c r="U1837">
        <v>-5.065918E-3</v>
      </c>
      <c r="V1837">
        <v>-4.769495E-2</v>
      </c>
      <c r="W1837">
        <v>0.17762449999999999</v>
      </c>
      <c r="X1837">
        <v>0.98294190000000004</v>
      </c>
      <c r="Y1837">
        <v>-5.061119E-2</v>
      </c>
      <c r="Z1837">
        <v>-2.675359E-3</v>
      </c>
      <c r="AA1837">
        <v>0.99871489999999996</v>
      </c>
      <c r="AB1837">
        <v>25</v>
      </c>
      <c r="AC1837">
        <v>-28.252599999999902</v>
      </c>
      <c r="AD1837">
        <v>-1.110083357792</v>
      </c>
      <c r="AE1837">
        <v>-5.4599999999993501E-2</v>
      </c>
      <c r="AF1837">
        <v>-1.43751818246534</v>
      </c>
      <c r="AG1837">
        <v>-1.110083357792</v>
      </c>
      <c r="AH1837">
        <v>28.172452054703498</v>
      </c>
      <c r="AI1837">
        <v>92.253538140450601</v>
      </c>
      <c r="AJ1837">
        <v>92.921022099192697</v>
      </c>
      <c r="AK1837">
        <v>28.230936901929599</v>
      </c>
      <c r="AL1837">
        <v>79.768576140426902</v>
      </c>
      <c r="AM1837">
        <v>92.777964477742501</v>
      </c>
      <c r="AN1837">
        <v>1.00000002501568</v>
      </c>
    </row>
    <row r="1838" spans="1:40" x14ac:dyDescent="0.25">
      <c r="A1838" t="str">
        <f>"20190304155631112"</f>
        <v>20190304155631112</v>
      </c>
      <c r="B1838" t="str">
        <f>"1551686191106390"</f>
        <v>1551686191106390</v>
      </c>
      <c r="C1838" t="s">
        <v>40</v>
      </c>
      <c r="D1838">
        <v>5.0641189999999998</v>
      </c>
      <c r="E1838">
        <v>0.49689430000000001</v>
      </c>
      <c r="F1838" t="s">
        <v>55</v>
      </c>
      <c r="G1838">
        <v>-259.57</v>
      </c>
      <c r="H1838" s="1">
        <v>3.555873E-6</v>
      </c>
      <c r="I1838">
        <v>282.44420000000002</v>
      </c>
      <c r="J1838">
        <v>-231.68719999999999</v>
      </c>
      <c r="K1838">
        <v>1.1100950000000001</v>
      </c>
      <c r="L1838">
        <v>282.54079999999999</v>
      </c>
      <c r="M1838">
        <v>-0.99876569999999998</v>
      </c>
      <c r="N1838">
        <v>-9.5731219999999999E-3</v>
      </c>
      <c r="O1838">
        <v>4.8740600000000002E-2</v>
      </c>
      <c r="P1838">
        <v>-0.98574220000000001</v>
      </c>
      <c r="Q1838">
        <v>0.1682641</v>
      </c>
      <c r="R1838">
        <v>2.446091E-4</v>
      </c>
      <c r="S1838">
        <v>-3.0640559999999999</v>
      </c>
      <c r="T1838">
        <v>-0.1210861</v>
      </c>
      <c r="U1838">
        <v>-9.4604489999999992E-3</v>
      </c>
      <c r="V1838">
        <v>-4.7897149999999999E-2</v>
      </c>
      <c r="W1838">
        <v>0.1776568</v>
      </c>
      <c r="X1838">
        <v>0.98292619999999997</v>
      </c>
      <c r="Y1838">
        <v>-5.1754460000000002E-2</v>
      </c>
      <c r="Z1838">
        <v>-2.7283229999999999E-3</v>
      </c>
      <c r="AA1838">
        <v>0.99865610000000005</v>
      </c>
      <c r="AB1838">
        <v>25</v>
      </c>
      <c r="AC1838">
        <v>-27.8828</v>
      </c>
      <c r="AD1838">
        <v>-1.110091444127</v>
      </c>
      <c r="AE1838">
        <v>-9.6599999999966699E-2</v>
      </c>
      <c r="AF1838">
        <v>-1.4532682270031401</v>
      </c>
      <c r="AG1838">
        <v>-1.110091444127</v>
      </c>
      <c r="AH1838">
        <v>27.800883443007201</v>
      </c>
      <c r="AI1838">
        <v>92.283495702975401</v>
      </c>
      <c r="AJ1838">
        <v>92.992365912968296</v>
      </c>
      <c r="AK1838">
        <v>27.860965736413601</v>
      </c>
      <c r="AL1838">
        <v>79.766695267854502</v>
      </c>
      <c r="AM1838">
        <v>92.789767422374993</v>
      </c>
      <c r="AN1838">
        <v>0.99999999510540105</v>
      </c>
    </row>
    <row r="1839" spans="1:40" x14ac:dyDescent="0.25">
      <c r="A1839" t="str">
        <f>"20190304155631134"</f>
        <v>20190304155631134</v>
      </c>
      <c r="B1839" t="str">
        <f>"1551686191126886"</f>
        <v>1551686191126886</v>
      </c>
      <c r="C1839" t="s">
        <v>40</v>
      </c>
      <c r="D1839">
        <v>4.9703369999999998</v>
      </c>
      <c r="E1839">
        <v>0.49659779999999998</v>
      </c>
      <c r="F1839" t="s">
        <v>55</v>
      </c>
      <c r="G1839">
        <v>-259.78870000000001</v>
      </c>
      <c r="H1839" s="1">
        <v>3.67227E-6</v>
      </c>
      <c r="I1839">
        <v>282.41210000000001</v>
      </c>
      <c r="J1839">
        <v>-231.9478</v>
      </c>
      <c r="K1839">
        <v>1.1101080000000001</v>
      </c>
      <c r="L1839">
        <v>282.55309999999997</v>
      </c>
      <c r="M1839">
        <v>-0.99878420000000001</v>
      </c>
      <c r="N1839">
        <v>-9.5633920000000004E-3</v>
      </c>
      <c r="O1839">
        <v>4.8361630000000003E-2</v>
      </c>
      <c r="P1839">
        <v>-0.98574669999999998</v>
      </c>
      <c r="Q1839">
        <v>0.1682371</v>
      </c>
      <c r="R1839">
        <v>-3.7315120000000002E-4</v>
      </c>
      <c r="S1839">
        <v>-3.0640559999999999</v>
      </c>
      <c r="T1839">
        <v>-0.12103899999999999</v>
      </c>
      <c r="U1839">
        <v>-1.403809E-2</v>
      </c>
      <c r="V1839">
        <v>-4.8147309999999999E-2</v>
      </c>
      <c r="W1839">
        <v>0.1776179</v>
      </c>
      <c r="X1839">
        <v>0.98292100000000004</v>
      </c>
      <c r="Y1839">
        <v>-5.2866589999999998E-2</v>
      </c>
      <c r="Z1839">
        <v>-2.743367E-3</v>
      </c>
      <c r="AA1839">
        <v>0.99859779999999998</v>
      </c>
      <c r="AB1839">
        <v>25</v>
      </c>
      <c r="AC1839">
        <v>-27.840900000000001</v>
      </c>
      <c r="AD1839">
        <v>-1.11010432772999</v>
      </c>
      <c r="AE1839">
        <v>-0.14099999999996199</v>
      </c>
      <c r="AF1839">
        <v>-1.4849669152884599</v>
      </c>
      <c r="AG1839">
        <v>-1.11010432772999</v>
      </c>
      <c r="AH1839">
        <v>27.757371435026499</v>
      </c>
      <c r="AI1839">
        <v>92.286950523513994</v>
      </c>
      <c r="AJ1839">
        <v>93.062296671701304</v>
      </c>
      <c r="AK1839">
        <v>27.819222263391399</v>
      </c>
      <c r="AL1839">
        <v>79.768960010141299</v>
      </c>
      <c r="AM1839">
        <v>92.804329594436794</v>
      </c>
      <c r="AN1839">
        <v>0.99999998705082305</v>
      </c>
    </row>
    <row r="1840" spans="1:40" x14ac:dyDescent="0.25">
      <c r="A1840" t="str">
        <f>"20190304155631157"</f>
        <v>20190304155631157</v>
      </c>
      <c r="B1840" t="str">
        <f>"1551686191146405"</f>
        <v>1551686191146405</v>
      </c>
      <c r="C1840" t="s">
        <v>40</v>
      </c>
      <c r="D1840">
        <v>5.0060840000000004</v>
      </c>
      <c r="E1840">
        <v>0.49641099999999999</v>
      </c>
      <c r="F1840" t="s">
        <v>55</v>
      </c>
      <c r="G1840">
        <v>-259.87740000000002</v>
      </c>
      <c r="H1840" s="1">
        <v>3.7194549999999999E-6</v>
      </c>
      <c r="I1840">
        <v>282.38060000000002</v>
      </c>
      <c r="J1840">
        <v>-232.19649999999999</v>
      </c>
      <c r="K1840">
        <v>1.110114</v>
      </c>
      <c r="L1840">
        <v>282.56470000000002</v>
      </c>
      <c r="M1840">
        <v>-0.99880219999999997</v>
      </c>
      <c r="N1840">
        <v>-9.5555559999999998E-3</v>
      </c>
      <c r="O1840">
        <v>4.7987229999999999E-2</v>
      </c>
      <c r="P1840">
        <v>-0.98576090000000005</v>
      </c>
      <c r="Q1840">
        <v>0.1681523</v>
      </c>
      <c r="R1840">
        <v>-5.9340990000000002E-4</v>
      </c>
      <c r="S1840">
        <v>-3.064133</v>
      </c>
      <c r="T1840">
        <v>-0.12178890000000001</v>
      </c>
      <c r="U1840">
        <v>-1.8920900000000001E-2</v>
      </c>
      <c r="V1840">
        <v>-4.8003759999999999E-2</v>
      </c>
      <c r="W1840">
        <v>0.17752499999999999</v>
      </c>
      <c r="X1840">
        <v>0.98294479999999995</v>
      </c>
      <c r="Y1840">
        <v>-5.408143E-2</v>
      </c>
      <c r="Z1840">
        <v>-2.7804169999999999E-3</v>
      </c>
      <c r="AA1840">
        <v>0.99853270000000005</v>
      </c>
      <c r="AB1840">
        <v>25</v>
      </c>
      <c r="AC1840">
        <v>-27.680900000000001</v>
      </c>
      <c r="AD1840">
        <v>-1.110110280545</v>
      </c>
      <c r="AE1840">
        <v>-0.18410000000000001</v>
      </c>
      <c r="AF1840">
        <v>-1.5098500946478</v>
      </c>
      <c r="AG1840">
        <v>-1.110110280545</v>
      </c>
      <c r="AH1840">
        <v>27.595791593296699</v>
      </c>
      <c r="AI1840">
        <v>92.300188529710397</v>
      </c>
      <c r="AJ1840">
        <v>93.131704752962904</v>
      </c>
      <c r="AK1840">
        <v>27.659351145750801</v>
      </c>
      <c r="AL1840">
        <v>79.774368704653696</v>
      </c>
      <c r="AM1840">
        <v>92.795914251534796</v>
      </c>
      <c r="AN1840">
        <v>0.99999998322308803</v>
      </c>
    </row>
    <row r="1841" spans="1:40" x14ac:dyDescent="0.25">
      <c r="A1841" t="str">
        <f>"20190304155631178"</f>
        <v>20190304155631178</v>
      </c>
      <c r="B1841" t="str">
        <f>"1551686191176662"</f>
        <v>1551686191176662</v>
      </c>
      <c r="C1841" t="s">
        <v>40</v>
      </c>
      <c r="D1841">
        <v>5.1575249999999997</v>
      </c>
      <c r="E1841">
        <v>0.49629450000000003</v>
      </c>
      <c r="F1841" t="s">
        <v>55</v>
      </c>
      <c r="G1841">
        <v>-259.78919999999999</v>
      </c>
      <c r="H1841" s="1">
        <v>3.672553E-6</v>
      </c>
      <c r="I1841">
        <v>282.37509999999997</v>
      </c>
      <c r="J1841">
        <v>-232.4419</v>
      </c>
      <c r="K1841">
        <v>1.110125</v>
      </c>
      <c r="L1841">
        <v>282.5761</v>
      </c>
      <c r="M1841">
        <v>-0.9988205</v>
      </c>
      <c r="N1841">
        <v>-9.5491090000000001E-3</v>
      </c>
      <c r="O1841">
        <v>4.7610130000000001E-2</v>
      </c>
      <c r="P1841">
        <v>-0.98576200000000003</v>
      </c>
      <c r="Q1841">
        <v>0.16814390000000001</v>
      </c>
      <c r="R1841">
        <v>-1.2374389999999999E-3</v>
      </c>
      <c r="S1841">
        <v>-3.064346</v>
      </c>
      <c r="T1841">
        <v>-0.1232848</v>
      </c>
      <c r="U1841">
        <v>-2.105713E-2</v>
      </c>
      <c r="V1841">
        <v>-4.8277630000000002E-2</v>
      </c>
      <c r="W1841">
        <v>0.177509</v>
      </c>
      <c r="X1841">
        <v>0.98293430000000004</v>
      </c>
      <c r="Y1841">
        <v>-5.4398040000000002E-2</v>
      </c>
      <c r="Z1841">
        <v>-2.8132610000000001E-3</v>
      </c>
      <c r="AA1841">
        <v>0.99851540000000005</v>
      </c>
      <c r="AB1841">
        <v>25</v>
      </c>
      <c r="AC1841">
        <v>-27.347299999999901</v>
      </c>
      <c r="AD1841">
        <v>-1.1101213274470001</v>
      </c>
      <c r="AE1841">
        <v>-0.201000000000021</v>
      </c>
      <c r="AF1841">
        <v>-1.5003675078354</v>
      </c>
      <c r="AG1841">
        <v>-1.1101213274470001</v>
      </c>
      <c r="AH1841">
        <v>27.261794794592699</v>
      </c>
      <c r="AI1841">
        <v>92.328320482323093</v>
      </c>
      <c r="AJ1841">
        <v>93.150126057709002</v>
      </c>
      <c r="AK1841">
        <v>27.325609370016</v>
      </c>
      <c r="AL1841">
        <v>79.775300471202399</v>
      </c>
      <c r="AM1841">
        <v>92.811869902090606</v>
      </c>
      <c r="AN1841">
        <v>1.0000000063779499</v>
      </c>
    </row>
    <row r="1842" spans="1:40" x14ac:dyDescent="0.25">
      <c r="A1842" t="str">
        <f>"20190304155631203"</f>
        <v>20190304155631203</v>
      </c>
      <c r="B1842" t="str">
        <f>"1551686191196181"</f>
        <v>1551686191196181</v>
      </c>
      <c r="C1842" t="s">
        <v>40</v>
      </c>
      <c r="D1842">
        <v>4.8733060000000004</v>
      </c>
      <c r="E1842">
        <v>0.49626399999999998</v>
      </c>
      <c r="F1842" t="s">
        <v>55</v>
      </c>
      <c r="G1842">
        <v>-260.02809999999999</v>
      </c>
      <c r="H1842" s="1">
        <v>-1.5218350000000001E-6</v>
      </c>
      <c r="I1842">
        <v>282.36239999999998</v>
      </c>
      <c r="J1842">
        <v>-232.7174</v>
      </c>
      <c r="K1842">
        <v>1.1101319999999999</v>
      </c>
      <c r="L1842">
        <v>282.58879999999999</v>
      </c>
      <c r="M1842">
        <v>-0.99884090000000003</v>
      </c>
      <c r="N1842">
        <v>-9.5432360000000001E-3</v>
      </c>
      <c r="O1842">
        <v>4.7182160000000001E-2</v>
      </c>
      <c r="P1842">
        <v>-0.98568710000000004</v>
      </c>
      <c r="Q1842">
        <v>0.16857539999999999</v>
      </c>
      <c r="R1842">
        <v>-1.8895330000000001E-3</v>
      </c>
      <c r="S1842">
        <v>-3.0643310000000001</v>
      </c>
      <c r="T1842">
        <v>-0.12331499999999999</v>
      </c>
      <c r="U1842">
        <v>-2.3742679999999999E-2</v>
      </c>
      <c r="V1842">
        <v>-4.850633E-2</v>
      </c>
      <c r="W1842">
        <v>0.17793320000000001</v>
      </c>
      <c r="X1842">
        <v>0.98284629999999995</v>
      </c>
      <c r="Y1842">
        <v>-5.4844980000000002E-2</v>
      </c>
      <c r="Z1842">
        <v>-2.8121420000000001E-3</v>
      </c>
      <c r="AA1842">
        <v>0.99849089999999996</v>
      </c>
      <c r="AB1842">
        <v>25</v>
      </c>
      <c r="AC1842">
        <v>-27.310700000000001</v>
      </c>
      <c r="AD1842">
        <v>-1.1101335218349999</v>
      </c>
      <c r="AE1842">
        <v>-0.22640000000001201</v>
      </c>
      <c r="AF1842">
        <v>-1.5122855401693001</v>
      </c>
      <c r="AG1842">
        <v>-1.1101335218349999</v>
      </c>
      <c r="AH1842">
        <v>27.224619115462101</v>
      </c>
      <c r="AI1842">
        <v>92.331456072421204</v>
      </c>
      <c r="AJ1842">
        <v>93.179424561327806</v>
      </c>
      <c r="AK1842">
        <v>27.289178990458701</v>
      </c>
      <c r="AL1842">
        <v>79.7506020391058</v>
      </c>
      <c r="AM1842">
        <v>92.825421260814807</v>
      </c>
      <c r="AN1842">
        <v>0.999999968567998</v>
      </c>
    </row>
    <row r="1843" spans="1:40" x14ac:dyDescent="0.25">
      <c r="A1843" t="str">
        <f>"20190304155631224"</f>
        <v>20190304155631224</v>
      </c>
      <c r="B1843" t="str">
        <f>"1551686191216679"</f>
        <v>1551686191216679</v>
      </c>
      <c r="C1843" t="s">
        <v>40</v>
      </c>
      <c r="D1843">
        <v>5.0458569999999998</v>
      </c>
      <c r="E1843">
        <v>0.49604399999999998</v>
      </c>
      <c r="F1843" t="s">
        <v>55</v>
      </c>
      <c r="G1843">
        <v>-260.53699999999998</v>
      </c>
      <c r="H1843" s="1">
        <v>-1.2510420000000001E-6</v>
      </c>
      <c r="I1843">
        <v>282.3492</v>
      </c>
      <c r="J1843">
        <v>-232.9606</v>
      </c>
      <c r="K1843">
        <v>1.110134</v>
      </c>
      <c r="L1843">
        <v>282.59989999999999</v>
      </c>
      <c r="M1843">
        <v>-0.99885860000000004</v>
      </c>
      <c r="N1843">
        <v>-9.5391859999999998E-3</v>
      </c>
      <c r="O1843">
        <v>4.6803619999999997E-2</v>
      </c>
      <c r="P1843">
        <v>-0.98566310000000001</v>
      </c>
      <c r="Q1843">
        <v>0.16870829999999901</v>
      </c>
      <c r="R1843">
        <v>-2.489921E-3</v>
      </c>
      <c r="S1843">
        <v>-3.0644230000000001</v>
      </c>
      <c r="T1843">
        <v>-0.1222849</v>
      </c>
      <c r="U1843">
        <v>-2.6397710000000001E-2</v>
      </c>
      <c r="V1843">
        <v>-4.8731530000000002E-2</v>
      </c>
      <c r="W1843">
        <v>0.17806129999999901</v>
      </c>
      <c r="X1843">
        <v>0.98281200000000002</v>
      </c>
      <c r="Y1843">
        <v>-5.5332390000000002E-2</v>
      </c>
      <c r="Z1843">
        <v>-2.78766E-3</v>
      </c>
      <c r="AA1843">
        <v>0.99846409999999997</v>
      </c>
      <c r="AB1843">
        <v>25</v>
      </c>
      <c r="AC1843">
        <v>-27.5764</v>
      </c>
      <c r="AD1843">
        <v>-1.1101352510419999</v>
      </c>
      <c r="AE1843">
        <v>-0.25069999999999398</v>
      </c>
      <c r="AF1843">
        <v>-1.5386658984702799</v>
      </c>
      <c r="AG1843">
        <v>-1.1101352510419999</v>
      </c>
      <c r="AH1843">
        <v>27.489895824335299</v>
      </c>
      <c r="AI1843">
        <v>92.308931340638907</v>
      </c>
      <c r="AJ1843">
        <v>93.203619673443498</v>
      </c>
      <c r="AK1843">
        <v>27.555294690050602</v>
      </c>
      <c r="AL1843">
        <v>79.743143749848699</v>
      </c>
      <c r="AM1843">
        <v>92.838616322744898</v>
      </c>
      <c r="AN1843">
        <v>1.00000000795891</v>
      </c>
    </row>
    <row r="1844" spans="1:40" x14ac:dyDescent="0.25">
      <c r="A1844" t="str">
        <f>"20190304155631245"</f>
        <v>20190304155631245</v>
      </c>
      <c r="B1844" t="str">
        <f>"1551686191236197"</f>
        <v>1551686191236197</v>
      </c>
      <c r="C1844" t="s">
        <v>40</v>
      </c>
      <c r="D1844">
        <v>5.0384699999999896</v>
      </c>
      <c r="E1844">
        <v>0.4959113</v>
      </c>
      <c r="F1844" t="s">
        <v>55</v>
      </c>
      <c r="G1844">
        <v>-261.03899999999999</v>
      </c>
      <c r="H1844" s="1">
        <v>-9.8388350000000009E-7</v>
      </c>
      <c r="I1844">
        <v>282.32139999999998</v>
      </c>
      <c r="J1844">
        <v>-233.2022</v>
      </c>
      <c r="K1844">
        <v>1.110125</v>
      </c>
      <c r="L1844">
        <v>282.61079999999998</v>
      </c>
      <c r="M1844">
        <v>-0.99887619999999999</v>
      </c>
      <c r="N1844">
        <v>-9.5361270000000001E-3</v>
      </c>
      <c r="O1844">
        <v>4.6428669999999998E-2</v>
      </c>
      <c r="P1844">
        <v>-0.98567289999999996</v>
      </c>
      <c r="Q1844">
        <v>0.1686309</v>
      </c>
      <c r="R1844">
        <v>-3.5767630000000002E-3</v>
      </c>
      <c r="S1844">
        <v>-3.0643009999999999</v>
      </c>
      <c r="T1844">
        <v>-0.1211531</v>
      </c>
      <c r="U1844">
        <v>-3.0395510000000001E-2</v>
      </c>
      <c r="V1844">
        <v>-4.944929E-2</v>
      </c>
      <c r="W1844">
        <v>0.17798020000000001</v>
      </c>
      <c r="X1844">
        <v>0.98279079999999996</v>
      </c>
      <c r="Y1844">
        <v>-5.6261110000000003E-2</v>
      </c>
      <c r="Z1844">
        <v>-2.7719189999999999E-3</v>
      </c>
      <c r="AA1844">
        <v>0.99841230000000003</v>
      </c>
      <c r="AB1844">
        <v>25</v>
      </c>
      <c r="AC1844">
        <v>-27.836799999999901</v>
      </c>
      <c r="AD1844">
        <v>-1.1101259838835</v>
      </c>
      <c r="AE1844">
        <v>-0.28939999999999999</v>
      </c>
      <c r="AF1844">
        <v>-1.5790610469680799</v>
      </c>
      <c r="AG1844">
        <v>-1.1101259838835</v>
      </c>
      <c r="AH1844">
        <v>27.749213687186</v>
      </c>
      <c r="AI1844">
        <v>92.287238319587004</v>
      </c>
      <c r="AJ1844">
        <v>93.256887506228296</v>
      </c>
      <c r="AK1844">
        <v>27.816266351673701</v>
      </c>
      <c r="AL1844">
        <v>79.747865474039003</v>
      </c>
      <c r="AM1844">
        <v>92.880418043354496</v>
      </c>
      <c r="AN1844">
        <v>0.99999997021909104</v>
      </c>
    </row>
    <row r="1845" spans="1:40" x14ac:dyDescent="0.25">
      <c r="A1845" t="str">
        <f>"20190304155631268"</f>
        <v>20190304155631268</v>
      </c>
      <c r="B1845" t="str">
        <f>"1551686191256697"</f>
        <v>1551686191256697</v>
      </c>
      <c r="C1845" t="s">
        <v>40</v>
      </c>
      <c r="D1845">
        <v>5.0197849999999997</v>
      </c>
      <c r="E1845">
        <v>0.49580930000000001</v>
      </c>
      <c r="F1845" t="s">
        <v>55</v>
      </c>
      <c r="G1845">
        <v>-261.38740000000001</v>
      </c>
      <c r="H1845" s="1">
        <v>-7.9850110000000003E-7</v>
      </c>
      <c r="I1845">
        <v>282.28719999999998</v>
      </c>
      <c r="J1845">
        <v>-233.45769999999999</v>
      </c>
      <c r="K1845">
        <v>1.1101209999999999</v>
      </c>
      <c r="L1845">
        <v>282.6223</v>
      </c>
      <c r="M1845">
        <v>-0.99889450000000002</v>
      </c>
      <c r="N1845">
        <v>-9.5337089999999996E-3</v>
      </c>
      <c r="O1845">
        <v>4.6034529999999997E-2</v>
      </c>
      <c r="P1845">
        <v>-0.98569609999999996</v>
      </c>
      <c r="Q1845">
        <v>0.16845969999999999</v>
      </c>
      <c r="R1845">
        <v>-4.9719090000000001E-3</v>
      </c>
      <c r="S1845">
        <v>-3.064133</v>
      </c>
      <c r="T1845">
        <v>-0.1206868</v>
      </c>
      <c r="U1845">
        <v>-3.5186769999999999E-2</v>
      </c>
      <c r="V1845">
        <v>-5.0454680000000002E-2</v>
      </c>
      <c r="W1845">
        <v>0.17780609999999999</v>
      </c>
      <c r="X1845">
        <v>0.98277119999999996</v>
      </c>
      <c r="Y1845">
        <v>-5.742829E-2</v>
      </c>
      <c r="Z1845">
        <v>-2.7775870000000002E-3</v>
      </c>
      <c r="AA1845">
        <v>0.99834579999999995</v>
      </c>
      <c r="AB1845">
        <v>25</v>
      </c>
      <c r="AC1845">
        <v>-27.9297</v>
      </c>
      <c r="AD1845">
        <v>-1.1101217985010901</v>
      </c>
      <c r="AE1845">
        <v>-0.335100000000011</v>
      </c>
      <c r="AF1845">
        <v>-1.61797781889982</v>
      </c>
      <c r="AG1845">
        <v>-1.1101217985010901</v>
      </c>
      <c r="AH1845">
        <v>27.840683697273501</v>
      </c>
      <c r="AI1845">
        <v>92.279564940457902</v>
      </c>
      <c r="AJ1845">
        <v>93.326037043584293</v>
      </c>
      <c r="AK1845">
        <v>27.909745454976701</v>
      </c>
      <c r="AL1845">
        <v>79.758002225566898</v>
      </c>
      <c r="AM1845">
        <v>92.938938810539</v>
      </c>
      <c r="AN1845">
        <v>0.99999995774027495</v>
      </c>
    </row>
    <row r="1846" spans="1:40" x14ac:dyDescent="0.25">
      <c r="A1846" t="str">
        <f>"20190304155631302"</f>
        <v>20190304155631302</v>
      </c>
      <c r="B1846" t="str">
        <f>"1551686191296710"</f>
        <v>1551686191296710</v>
      </c>
      <c r="C1846" t="s">
        <v>40</v>
      </c>
      <c r="D1846">
        <v>5.0096800000000004</v>
      </c>
      <c r="E1846">
        <v>0.49583690000000002</v>
      </c>
      <c r="F1846" t="s">
        <v>55</v>
      </c>
      <c r="G1846">
        <v>-261.63819999999998</v>
      </c>
      <c r="H1846" s="1">
        <v>-6.6499919999999899E-7</v>
      </c>
      <c r="I1846">
        <v>282.24639999999999</v>
      </c>
      <c r="J1846">
        <v>-233.839</v>
      </c>
      <c r="K1846">
        <v>1.1101190000000001</v>
      </c>
      <c r="L1846">
        <v>282.63920000000002</v>
      </c>
      <c r="M1846">
        <v>-0.99892099999999995</v>
      </c>
      <c r="N1846">
        <v>-9.5371569999999992E-3</v>
      </c>
      <c r="O1846">
        <v>4.5453019999999997E-2</v>
      </c>
      <c r="P1846">
        <v>-0.9855815</v>
      </c>
      <c r="Q1846">
        <v>0.16907649999999999</v>
      </c>
      <c r="R1846">
        <v>-6.5237400000000001E-3</v>
      </c>
      <c r="S1846">
        <v>-3.0639500000000002</v>
      </c>
      <c r="T1846">
        <v>-0.1206989</v>
      </c>
      <c r="U1846">
        <v>-4.0863040000000003E-2</v>
      </c>
      <c r="V1846">
        <v>-5.1427290000000001E-2</v>
      </c>
      <c r="W1846">
        <v>0.178424</v>
      </c>
      <c r="X1846">
        <v>0.98260890000000001</v>
      </c>
      <c r="Y1846">
        <v>-5.8696020000000002E-2</v>
      </c>
      <c r="Z1846">
        <v>-2.79167E-3</v>
      </c>
      <c r="AA1846">
        <v>0.99827200000000005</v>
      </c>
      <c r="AB1846">
        <v>25</v>
      </c>
      <c r="AC1846">
        <v>-27.7991999999999</v>
      </c>
      <c r="AD1846">
        <v>-1.1101196649992</v>
      </c>
      <c r="AE1846">
        <v>-0.39280000000002202</v>
      </c>
      <c r="AF1846">
        <v>-1.6533729123280401</v>
      </c>
      <c r="AG1846">
        <v>-1.1101196649992</v>
      </c>
      <c r="AH1846">
        <v>27.708434116261401</v>
      </c>
      <c r="AI1846">
        <v>92.290220349118698</v>
      </c>
      <c r="AJ1846">
        <v>93.414812148598003</v>
      </c>
      <c r="AK1846">
        <v>27.779908726146601</v>
      </c>
      <c r="AL1846">
        <v>79.722025023032103</v>
      </c>
      <c r="AM1846">
        <v>92.995984116195402</v>
      </c>
      <c r="AN1846">
        <v>1.0000000701459699</v>
      </c>
    </row>
    <row r="1847" spans="1:40" x14ac:dyDescent="0.25">
      <c r="A1847" t="str">
        <f>"20190304155631324"</f>
        <v>20190304155631324</v>
      </c>
      <c r="B1847" t="str">
        <f>"1551686191316230"</f>
        <v>1551686191316230</v>
      </c>
      <c r="C1847" t="s">
        <v>40</v>
      </c>
      <c r="D1847">
        <v>5.0055550000000002</v>
      </c>
      <c r="E1847">
        <v>0.49579839999999997</v>
      </c>
      <c r="F1847" t="s">
        <v>55</v>
      </c>
      <c r="G1847">
        <v>-262.58879999999999</v>
      </c>
      <c r="H1847" s="1">
        <v>-1.5916829999999999E-7</v>
      </c>
      <c r="I1847">
        <v>282.21530000000001</v>
      </c>
      <c r="J1847">
        <v>-234.0934</v>
      </c>
      <c r="K1847">
        <v>1.1101350000000001</v>
      </c>
      <c r="L1847">
        <v>282.65030000000002</v>
      </c>
      <c r="M1847">
        <v>-0.99893829999999995</v>
      </c>
      <c r="N1847">
        <v>-9.5525409999999995E-3</v>
      </c>
      <c r="O1847">
        <v>4.5067009999999998E-2</v>
      </c>
      <c r="P1847">
        <v>-0.98544730000000003</v>
      </c>
      <c r="Q1847">
        <v>0.16982030000000001</v>
      </c>
      <c r="R1847">
        <v>-7.4044879999999999E-3</v>
      </c>
      <c r="S1847">
        <v>-3.0638730000000001</v>
      </c>
      <c r="T1847">
        <v>-0.1183058</v>
      </c>
      <c r="U1847">
        <v>-4.5166020000000001E-2</v>
      </c>
      <c r="V1847">
        <v>-5.1920899999999999E-2</v>
      </c>
      <c r="W1847">
        <v>0.17918129999999999</v>
      </c>
      <c r="X1847">
        <v>0.98244509999999996</v>
      </c>
      <c r="Y1847">
        <v>-5.9714570000000002E-2</v>
      </c>
      <c r="Z1847">
        <v>-2.7464550000000001E-3</v>
      </c>
      <c r="AA1847">
        <v>0.99821170000000004</v>
      </c>
      <c r="AB1847">
        <v>25</v>
      </c>
      <c r="AC1847">
        <v>-28.495399999999901</v>
      </c>
      <c r="AD1847">
        <v>-1.1101351591683</v>
      </c>
      <c r="AE1847">
        <v>-0.435000000000002</v>
      </c>
      <c r="AF1847">
        <v>-1.7162148593678199</v>
      </c>
      <c r="AG1847">
        <v>-1.1101351591683</v>
      </c>
      <c r="AH1847">
        <v>28.403740095061501</v>
      </c>
      <c r="AI1847">
        <v>92.234145462118605</v>
      </c>
      <c r="AJ1847">
        <v>93.457730031507694</v>
      </c>
      <c r="AK1847">
        <v>28.477188149516099</v>
      </c>
      <c r="AL1847">
        <v>79.677923996702205</v>
      </c>
      <c r="AM1847">
        <v>93.025190421649796</v>
      </c>
      <c r="AN1847">
        <v>1.0000000463202501</v>
      </c>
    </row>
    <row r="1848" spans="1:40" x14ac:dyDescent="0.25">
      <c r="A1848" t="str">
        <f>"20190304155631346"</f>
        <v>20190304155631346</v>
      </c>
      <c r="B1848" t="str">
        <f>"1551686191336729"</f>
        <v>1551686191336729</v>
      </c>
      <c r="C1848" t="s">
        <v>40</v>
      </c>
      <c r="D1848">
        <v>5.007123</v>
      </c>
      <c r="E1848">
        <v>0.49577719999999997</v>
      </c>
      <c r="F1848" t="s">
        <v>55</v>
      </c>
      <c r="G1848">
        <v>-263.4572</v>
      </c>
      <c r="H1848" s="1">
        <v>3.02966099999999E-7</v>
      </c>
      <c r="I1848">
        <v>282.19139999999999</v>
      </c>
      <c r="J1848">
        <v>-234.352</v>
      </c>
      <c r="K1848">
        <v>1.110144</v>
      </c>
      <c r="L1848">
        <v>282.66149999999999</v>
      </c>
      <c r="M1848">
        <v>-0.99895579999999995</v>
      </c>
      <c r="N1848">
        <v>-9.5731080000000003E-3</v>
      </c>
      <c r="O1848">
        <v>4.4675430000000002E-2</v>
      </c>
      <c r="P1848">
        <v>-0.98533610000000005</v>
      </c>
      <c r="Q1848">
        <v>0.17041709999999999</v>
      </c>
      <c r="R1848">
        <v>-8.4436849999999994E-3</v>
      </c>
      <c r="S1848">
        <v>-3.063904</v>
      </c>
      <c r="T1848">
        <v>-0.1158346</v>
      </c>
      <c r="U1848">
        <v>-4.788208E-2</v>
      </c>
      <c r="V1848">
        <v>-5.2568869999999997E-2</v>
      </c>
      <c r="W1848">
        <v>0.1797967</v>
      </c>
      <c r="X1848">
        <v>0.98229809999999995</v>
      </c>
      <c r="Y1848">
        <v>-6.0210630000000001E-2</v>
      </c>
      <c r="Z1848">
        <v>-2.6864530000000001E-3</v>
      </c>
      <c r="AA1848">
        <v>0.99818209999999996</v>
      </c>
      <c r="AB1848">
        <v>26</v>
      </c>
      <c r="AC1848">
        <v>-29.1052</v>
      </c>
      <c r="AD1848">
        <v>-1.11014369703389</v>
      </c>
      <c r="AE1848">
        <v>-0.47010000000000202</v>
      </c>
      <c r="AF1848">
        <v>-1.76740671531772</v>
      </c>
      <c r="AG1848">
        <v>-1.11014369703389</v>
      </c>
      <c r="AH1848">
        <v>29.0129361427975</v>
      </c>
      <c r="AI1848">
        <v>92.187231606784295</v>
      </c>
      <c r="AJ1848">
        <v>93.486029776197299</v>
      </c>
      <c r="AK1848">
        <v>29.087911735830399</v>
      </c>
      <c r="AL1848">
        <v>79.642081075935195</v>
      </c>
      <c r="AM1848">
        <v>93.063330672949704</v>
      </c>
      <c r="AN1848">
        <v>0.99999994834378703</v>
      </c>
    </row>
    <row r="1849" spans="1:40" x14ac:dyDescent="0.25">
      <c r="A1849" t="str">
        <f>"20190304155631369"</f>
        <v>20190304155631369</v>
      </c>
      <c r="B1849" t="str">
        <f>"1551686191366982"</f>
        <v>1551686191366982</v>
      </c>
      <c r="C1849" t="s">
        <v>40</v>
      </c>
      <c r="D1849">
        <v>4.9861490000000002</v>
      </c>
      <c r="E1849">
        <v>0.4957743</v>
      </c>
      <c r="F1849" t="s">
        <v>55</v>
      </c>
      <c r="G1849">
        <v>-264.3417</v>
      </c>
      <c r="H1849" s="1">
        <v>7.7366439999999897E-7</v>
      </c>
      <c r="I1849">
        <v>282.1653</v>
      </c>
      <c r="J1849">
        <v>-234.6148</v>
      </c>
      <c r="K1849">
        <v>1.11015</v>
      </c>
      <c r="L1849">
        <v>282.6728</v>
      </c>
      <c r="M1849">
        <v>-0.99897329999999995</v>
      </c>
      <c r="N1849">
        <v>-9.5975060000000004E-3</v>
      </c>
      <c r="O1849">
        <v>4.4278350000000001E-2</v>
      </c>
      <c r="P1849">
        <v>-0.98529270000000002</v>
      </c>
      <c r="Q1849">
        <v>0.17059279999999999</v>
      </c>
      <c r="R1849">
        <v>-9.8477679999999998E-3</v>
      </c>
      <c r="S1849">
        <v>-3.0638429999999999</v>
      </c>
      <c r="T1849">
        <v>-0.11341569999999999</v>
      </c>
      <c r="U1849">
        <v>-5.0689699999999997E-2</v>
      </c>
      <c r="V1849">
        <v>-5.3578130000000002E-2</v>
      </c>
      <c r="W1849">
        <v>0.17999470000000001</v>
      </c>
      <c r="X1849">
        <v>0.98220739999999995</v>
      </c>
      <c r="Y1849">
        <v>-6.0731319999999998E-2</v>
      </c>
      <c r="Z1849">
        <v>-2.6284329999999999E-3</v>
      </c>
      <c r="AA1849">
        <v>0.99815069999999995</v>
      </c>
      <c r="AB1849">
        <v>26</v>
      </c>
      <c r="AC1849">
        <v>-29.726900000000001</v>
      </c>
      <c r="AD1849">
        <v>-1.1101492263356001</v>
      </c>
      <c r="AE1849">
        <v>-0.50749999999999296</v>
      </c>
      <c r="AF1849">
        <v>-1.8207820970416599</v>
      </c>
      <c r="AG1849">
        <v>-1.1101492263356001</v>
      </c>
      <c r="AH1849">
        <v>29.633953079990999</v>
      </c>
      <c r="AI1849">
        <v>92.141380788410402</v>
      </c>
      <c r="AJ1849">
        <v>93.515971918859194</v>
      </c>
      <c r="AK1849">
        <v>29.710584879748598</v>
      </c>
      <c r="AL1849">
        <v>79.630549348060995</v>
      </c>
      <c r="AM1849">
        <v>93.122315465815603</v>
      </c>
      <c r="AN1849">
        <v>1.00000004232857</v>
      </c>
    </row>
    <row r="1850" spans="1:40" x14ac:dyDescent="0.25">
      <c r="A1850" t="str">
        <f>"20190304155631392"</f>
        <v>20190304155631392</v>
      </c>
      <c r="B1850" t="str">
        <f>"1551686191386501"</f>
        <v>1551686191386501</v>
      </c>
      <c r="C1850" t="s">
        <v>40</v>
      </c>
      <c r="D1850">
        <v>5.0094699999999897</v>
      </c>
      <c r="E1850">
        <v>0.49574230000000002</v>
      </c>
      <c r="F1850" t="s">
        <v>55</v>
      </c>
      <c r="G1850">
        <v>-264.92849999999999</v>
      </c>
      <c r="H1850" s="1">
        <v>1.085915E-6</v>
      </c>
      <c r="I1850">
        <v>282.1284</v>
      </c>
      <c r="J1850">
        <v>-234.85929999999999</v>
      </c>
      <c r="K1850">
        <v>1.110155</v>
      </c>
      <c r="L1850">
        <v>282.6832</v>
      </c>
      <c r="M1850">
        <v>-0.99898920000000002</v>
      </c>
      <c r="N1850">
        <v>-9.6289519999999997E-3</v>
      </c>
      <c r="O1850">
        <v>4.3908990000000002E-2</v>
      </c>
      <c r="P1850">
        <v>-0.98528119999999997</v>
      </c>
      <c r="Q1850">
        <v>0.17060980000000001</v>
      </c>
      <c r="R1850">
        <v>-1.0660950000000001E-2</v>
      </c>
      <c r="S1850">
        <v>-3.06366</v>
      </c>
      <c r="T1850">
        <v>-0.11219750000000001</v>
      </c>
      <c r="U1850">
        <v>-5.502319E-2</v>
      </c>
      <c r="V1850">
        <v>-5.4026329999999997E-2</v>
      </c>
      <c r="W1850">
        <v>0.18004249999999999</v>
      </c>
      <c r="X1850">
        <v>0.98217399999999999</v>
      </c>
      <c r="Y1850">
        <v>-6.1775419999999998E-2</v>
      </c>
      <c r="Z1850">
        <v>-2.612685E-3</v>
      </c>
      <c r="AA1850">
        <v>0.99808660000000005</v>
      </c>
      <c r="AB1850">
        <v>26</v>
      </c>
      <c r="AC1850">
        <v>-30.069199999999899</v>
      </c>
      <c r="AD1850">
        <v>-1.1101539140850001</v>
      </c>
      <c r="AE1850">
        <v>-0.55479999999999996</v>
      </c>
      <c r="AF1850">
        <v>-1.87208324961215</v>
      </c>
      <c r="AG1850">
        <v>-1.1101539140850001</v>
      </c>
      <c r="AH1850">
        <v>29.974990266433501</v>
      </c>
      <c r="AI1850">
        <v>92.116916545330199</v>
      </c>
      <c r="AJ1850">
        <v>93.573757012659001</v>
      </c>
      <c r="AK1850">
        <v>30.053904552973101</v>
      </c>
      <c r="AL1850">
        <v>79.627764221483403</v>
      </c>
      <c r="AM1850">
        <v>93.148489259243107</v>
      </c>
      <c r="AN1850">
        <v>0.99999995620775795</v>
      </c>
    </row>
    <row r="1851" spans="1:40" x14ac:dyDescent="0.25">
      <c r="A1851" t="str">
        <f>"20190304155631415"</f>
        <v>20190304155631415</v>
      </c>
      <c r="B1851" t="str">
        <f>"1551686191406998"</f>
        <v>1551686191406998</v>
      </c>
      <c r="C1851" t="s">
        <v>40</v>
      </c>
      <c r="D1851">
        <v>4.9372870000000004</v>
      </c>
      <c r="E1851">
        <v>0.49577870000000002</v>
      </c>
      <c r="F1851" t="s">
        <v>55</v>
      </c>
      <c r="G1851">
        <v>-265.26510000000002</v>
      </c>
      <c r="H1851" s="1">
        <v>1.2650519999999999E-6</v>
      </c>
      <c r="I1851">
        <v>282.1053</v>
      </c>
      <c r="J1851">
        <v>-235.13460000000001</v>
      </c>
      <c r="K1851">
        <v>1.1101570000000001</v>
      </c>
      <c r="L1851">
        <v>282.69490000000002</v>
      </c>
      <c r="M1851">
        <v>-0.99900710000000004</v>
      </c>
      <c r="N1851">
        <v>-9.6693079999999997E-3</v>
      </c>
      <c r="O1851">
        <v>4.3492980000000001E-2</v>
      </c>
      <c r="P1851">
        <v>-0.98534440000000001</v>
      </c>
      <c r="Q1851">
        <v>0.1701841</v>
      </c>
      <c r="R1851">
        <v>-1.1587770000000001E-2</v>
      </c>
      <c r="S1851">
        <v>-3.0635530000000002</v>
      </c>
      <c r="T1851">
        <v>-0.111854</v>
      </c>
      <c r="U1851">
        <v>-5.8227540000000001E-2</v>
      </c>
      <c r="V1851">
        <v>-5.4545410000000003E-2</v>
      </c>
      <c r="W1851">
        <v>0.17965599999999901</v>
      </c>
      <c r="X1851">
        <v>0.98221610000000004</v>
      </c>
      <c r="Y1851">
        <v>-6.2404050000000003E-2</v>
      </c>
      <c r="Z1851">
        <v>-2.607229E-3</v>
      </c>
      <c r="AA1851">
        <v>0.99804760000000003</v>
      </c>
      <c r="AB1851">
        <v>26</v>
      </c>
      <c r="AC1851">
        <v>-30.130500000000001</v>
      </c>
      <c r="AD1851">
        <v>-1.110155734948</v>
      </c>
      <c r="AE1851">
        <v>-0.589600000000018</v>
      </c>
      <c r="AF1851">
        <v>-1.8969940437003501</v>
      </c>
      <c r="AG1851">
        <v>-1.110155734948</v>
      </c>
      <c r="AH1851">
        <v>30.035582045707901</v>
      </c>
      <c r="AI1851">
        <v>92.112560476880105</v>
      </c>
      <c r="AJ1851">
        <v>93.613899589724994</v>
      </c>
      <c r="AK1851">
        <v>30.115896483122</v>
      </c>
      <c r="AL1851">
        <v>79.650276298164101</v>
      </c>
      <c r="AM1851">
        <v>93.178541949537205</v>
      </c>
      <c r="AN1851">
        <v>0.99999997359363801</v>
      </c>
    </row>
    <row r="1852" spans="1:40" x14ac:dyDescent="0.25">
      <c r="A1852" t="str">
        <f>"20190304155631437"</f>
        <v>20190304155631437</v>
      </c>
      <c r="B1852" t="str">
        <f>"1551686191426517"</f>
        <v>1551686191426517</v>
      </c>
      <c r="C1852" t="s">
        <v>40</v>
      </c>
      <c r="D1852">
        <v>4.5630030000000001</v>
      </c>
      <c r="E1852">
        <v>0.52348320000000004</v>
      </c>
      <c r="F1852" t="s">
        <v>55</v>
      </c>
      <c r="G1852">
        <v>-265.52510000000001</v>
      </c>
      <c r="H1852" s="1">
        <v>1.403415E-6</v>
      </c>
      <c r="I1852">
        <v>282.09269999999998</v>
      </c>
      <c r="J1852">
        <v>-235.38409999999999</v>
      </c>
      <c r="K1852">
        <v>1.110161</v>
      </c>
      <c r="L1852">
        <v>282.70530000000002</v>
      </c>
      <c r="M1852">
        <v>-0.99902290000000005</v>
      </c>
      <c r="N1852">
        <v>-9.7061449999999994E-3</v>
      </c>
      <c r="O1852">
        <v>4.3116330000000001E-2</v>
      </c>
      <c r="P1852">
        <v>-0.98524619999999996</v>
      </c>
      <c r="Q1852">
        <v>0.1706734</v>
      </c>
      <c r="R1852">
        <v>-1.266576E-2</v>
      </c>
      <c r="S1852">
        <v>-3.0632169999999999</v>
      </c>
      <c r="T1852">
        <v>-0.1118981</v>
      </c>
      <c r="U1852">
        <v>-6.0699459999999997E-2</v>
      </c>
      <c r="V1852">
        <v>-5.5247690000000002E-2</v>
      </c>
      <c r="W1852">
        <v>0.1801799</v>
      </c>
      <c r="X1852">
        <v>0.98208090000000003</v>
      </c>
      <c r="Y1852">
        <v>-6.2834650000000006E-2</v>
      </c>
      <c r="Z1852">
        <v>-2.608005E-3</v>
      </c>
      <c r="AA1852">
        <v>0.99802049999999998</v>
      </c>
      <c r="AB1852">
        <v>26</v>
      </c>
      <c r="AC1852">
        <v>-30.140999999999998</v>
      </c>
      <c r="AD1852">
        <v>-1.110159596585</v>
      </c>
      <c r="AE1852">
        <v>-0.612600000000043</v>
      </c>
      <c r="AF1852">
        <v>-1.90907199877506</v>
      </c>
      <c r="AG1852">
        <v>-1.110159596585</v>
      </c>
      <c r="AH1852">
        <v>30.045810023496902</v>
      </c>
      <c r="AI1852">
        <v>92.111798672662005</v>
      </c>
      <c r="AJ1852">
        <v>93.635612627899405</v>
      </c>
      <c r="AK1852">
        <v>30.126860277739901</v>
      </c>
      <c r="AL1852">
        <v>79.6197613445391</v>
      </c>
      <c r="AM1852">
        <v>93.2198228669413</v>
      </c>
      <c r="AN1852">
        <v>0.99999999887957802</v>
      </c>
    </row>
    <row r="1853" spans="1:40" x14ac:dyDescent="0.25">
      <c r="A1853" t="str">
        <f>"20190304155631502"</f>
        <v>20190304155631502</v>
      </c>
      <c r="B1853" t="str">
        <f>"1551686191496790"</f>
        <v>1551686191496790</v>
      </c>
      <c r="C1853" t="s">
        <v>40</v>
      </c>
      <c r="D1853">
        <v>4.7247690000000002</v>
      </c>
      <c r="E1853">
        <v>0.53079109999999996</v>
      </c>
      <c r="F1853" t="s">
        <v>42</v>
      </c>
      <c r="G1853">
        <v>-236.26050000000001</v>
      </c>
      <c r="H1853">
        <v>1.0345930000000001</v>
      </c>
      <c r="I1853">
        <v>282.75049999999999</v>
      </c>
      <c r="J1853">
        <v>-236.13900000000001</v>
      </c>
      <c r="K1853">
        <v>1.1101780000000001</v>
      </c>
      <c r="L1853">
        <v>282.73630000000003</v>
      </c>
      <c r="M1853">
        <v>-0.99907020000000002</v>
      </c>
      <c r="N1853">
        <v>-9.8490550000000007E-3</v>
      </c>
      <c r="O1853">
        <v>4.1975030000000003E-2</v>
      </c>
      <c r="P1853">
        <v>-0.98510889999999995</v>
      </c>
      <c r="Q1853">
        <v>0.1711329</v>
      </c>
      <c r="R1853">
        <v>-1.6561849999999999E-2</v>
      </c>
      <c r="S1853">
        <v>-3.0931700000000002</v>
      </c>
      <c r="T1853">
        <v>-0.26668639999999999</v>
      </c>
      <c r="U1853">
        <v>0.15957639999999901</v>
      </c>
      <c r="V1853">
        <v>-5.8011899999999998E-2</v>
      </c>
      <c r="W1853">
        <v>0.18077599999999999</v>
      </c>
      <c r="X1853">
        <v>0.98181189999999996</v>
      </c>
      <c r="Y1853">
        <v>9.6366490000000006E-3</v>
      </c>
      <c r="Z1853">
        <v>-2.7334920000000001E-3</v>
      </c>
      <c r="AA1853">
        <v>0.9999498</v>
      </c>
      <c r="AB1853">
        <v>26</v>
      </c>
      <c r="AC1853">
        <v>-0.121499999999997</v>
      </c>
      <c r="AD1853">
        <v>-7.5584999999999999E-2</v>
      </c>
      <c r="AE1853">
        <v>1.41999999999598E-2</v>
      </c>
      <c r="AF1853">
        <v>6.5764393141215403E-3</v>
      </c>
      <c r="AG1853">
        <v>-7.5584999999999999E-2</v>
      </c>
      <c r="AH1853">
        <v>8.8283177624341194E-2</v>
      </c>
      <c r="AI1853">
        <v>130.49069070011399</v>
      </c>
      <c r="AJ1853">
        <v>85.739759687976502</v>
      </c>
      <c r="AK1853">
        <v>0.116405589343911</v>
      </c>
      <c r="AL1853">
        <v>79.585036871337493</v>
      </c>
      <c r="AM1853">
        <v>93.381479719800495</v>
      </c>
      <c r="AN1853">
        <v>0.99999997484960901</v>
      </c>
    </row>
    <row r="1854" spans="1:40" x14ac:dyDescent="0.25">
      <c r="A1854" t="str">
        <f>"20190304155631525"</f>
        <v>20190304155631525</v>
      </c>
      <c r="B1854" t="str">
        <f>"1551686191516309"</f>
        <v>1551686191516309</v>
      </c>
      <c r="C1854" t="s">
        <v>40</v>
      </c>
      <c r="D1854">
        <v>5.1595430000000002</v>
      </c>
      <c r="E1854">
        <v>0.52769600000000005</v>
      </c>
      <c r="F1854" t="s">
        <v>42</v>
      </c>
      <c r="G1854">
        <v>-236.9162</v>
      </c>
      <c r="H1854">
        <v>0.96260730000000005</v>
      </c>
      <c r="I1854">
        <v>282.78809999999999</v>
      </c>
      <c r="J1854">
        <v>-236.40649999999999</v>
      </c>
      <c r="K1854">
        <v>1.1101890000000001</v>
      </c>
      <c r="L1854">
        <v>282.74709999999999</v>
      </c>
      <c r="M1854">
        <v>-0.99908649999999999</v>
      </c>
      <c r="N1854">
        <v>-9.9130299999999998E-3</v>
      </c>
      <c r="O1854">
        <v>4.1570860000000001E-2</v>
      </c>
      <c r="P1854">
        <v>-0.98516020000000004</v>
      </c>
      <c r="Q1854">
        <v>0.17074779999999901</v>
      </c>
      <c r="R1854">
        <v>-1.7461460000000002E-2</v>
      </c>
      <c r="S1854">
        <v>-3.1528779999999998</v>
      </c>
      <c r="T1854">
        <v>-0.59870409999999996</v>
      </c>
      <c r="U1854">
        <v>0.20916750000000001</v>
      </c>
      <c r="V1854">
        <v>-5.8514490000000002E-2</v>
      </c>
      <c r="W1854">
        <v>0.1804529</v>
      </c>
      <c r="X1854">
        <v>0.98184159999999998</v>
      </c>
      <c r="Y1854">
        <v>2.4855390000000002E-2</v>
      </c>
      <c r="Z1854">
        <v>-4.9418750000000001E-3</v>
      </c>
      <c r="AA1854">
        <v>0.99967890000000004</v>
      </c>
      <c r="AB1854">
        <v>26</v>
      </c>
      <c r="AC1854">
        <v>-0.50970000000000903</v>
      </c>
      <c r="AD1854">
        <v>-0.14758169999999901</v>
      </c>
      <c r="AE1854">
        <v>4.0999999999996803E-2</v>
      </c>
      <c r="AF1854">
        <v>1.8254301225882001E-2</v>
      </c>
      <c r="AG1854">
        <v>-0.14758169999999901</v>
      </c>
      <c r="AH1854">
        <v>0.47167430248769299</v>
      </c>
      <c r="AI1854">
        <v>107.362112027752</v>
      </c>
      <c r="AJ1854">
        <v>87.783697965646994</v>
      </c>
      <c r="AK1854">
        <v>0.49456063866363997</v>
      </c>
      <c r="AL1854">
        <v>79.603859588630897</v>
      </c>
      <c r="AM1854">
        <v>93.410603606091797</v>
      </c>
      <c r="AN1854">
        <v>1.0000000610744599</v>
      </c>
    </row>
    <row r="1855" spans="1:40" x14ac:dyDescent="0.25">
      <c r="A1855" t="str">
        <f>"20190304155631547"</f>
        <v>20190304155631547</v>
      </c>
      <c r="B1855" t="str">
        <f>"1551686191536809"</f>
        <v>1551686191536809</v>
      </c>
      <c r="C1855" t="s">
        <v>40</v>
      </c>
      <c r="D1855">
        <v>4.9883389999999999</v>
      </c>
      <c r="E1855">
        <v>0.52959849999999997</v>
      </c>
      <c r="F1855" t="s">
        <v>42</v>
      </c>
      <c r="G1855">
        <v>-237.16929999999999</v>
      </c>
      <c r="H1855">
        <v>1.007809</v>
      </c>
      <c r="I1855">
        <v>282.7912</v>
      </c>
      <c r="J1855">
        <v>-236.66319999999999</v>
      </c>
      <c r="K1855">
        <v>1.110195</v>
      </c>
      <c r="L1855">
        <v>282.75740000000002</v>
      </c>
      <c r="M1855">
        <v>-0.99910180000000004</v>
      </c>
      <c r="N1855">
        <v>-9.9785120000000001E-3</v>
      </c>
      <c r="O1855">
        <v>4.1183129999999998E-2</v>
      </c>
      <c r="P1855">
        <v>-0.98511559999999998</v>
      </c>
      <c r="Q1855">
        <v>0.17091400000000001</v>
      </c>
      <c r="R1855">
        <v>-1.832787E-2</v>
      </c>
      <c r="S1855">
        <v>-3.120987</v>
      </c>
      <c r="T1855">
        <v>-0.41904619999999998</v>
      </c>
      <c r="U1855">
        <v>0.17938229999999999</v>
      </c>
      <c r="V1855">
        <v>-5.8997460000000002E-2</v>
      </c>
      <c r="W1855">
        <v>0.1806827</v>
      </c>
      <c r="X1855">
        <v>0.98177040000000004</v>
      </c>
      <c r="Y1855">
        <v>1.6373329999999998E-2</v>
      </c>
      <c r="Z1855">
        <v>-3.9128920000000003E-3</v>
      </c>
      <c r="AA1855">
        <v>0.99985829999999998</v>
      </c>
      <c r="AB1855">
        <v>26</v>
      </c>
      <c r="AC1855">
        <v>-0.50610000000000299</v>
      </c>
      <c r="AD1855">
        <v>-0.102386</v>
      </c>
      <c r="AE1855">
        <v>3.3799999999985099E-2</v>
      </c>
      <c r="AF1855">
        <v>1.2421390983856501E-2</v>
      </c>
      <c r="AG1855">
        <v>-0.102386</v>
      </c>
      <c r="AH1855">
        <v>0.48721116598687098</v>
      </c>
      <c r="AI1855">
        <v>101.86410373850001</v>
      </c>
      <c r="AJ1855">
        <v>88.539567252885305</v>
      </c>
      <c r="AK1855">
        <v>0.49800793589285303</v>
      </c>
      <c r="AL1855">
        <v>79.590472632867602</v>
      </c>
      <c r="AM1855">
        <v>93.438935734781097</v>
      </c>
      <c r="AN1855">
        <v>1.00000002834095</v>
      </c>
    </row>
    <row r="1856" spans="1:40" x14ac:dyDescent="0.25">
      <c r="A1856" t="str">
        <f>"20190304155631570"</f>
        <v>20190304155631570</v>
      </c>
      <c r="B1856" t="str">
        <f>"1551686191567064"</f>
        <v>1551686191567064</v>
      </c>
      <c r="C1856" t="s">
        <v>40</v>
      </c>
      <c r="D1856">
        <v>4.9414619999999996</v>
      </c>
      <c r="E1856">
        <v>0.52479560000000003</v>
      </c>
      <c r="F1856" t="s">
        <v>42</v>
      </c>
      <c r="G1856">
        <v>-237.41409999999999</v>
      </c>
      <c r="H1856">
        <v>1.0364040000000001</v>
      </c>
      <c r="I1856">
        <v>282.80360000000002</v>
      </c>
      <c r="J1856">
        <v>-236.9222</v>
      </c>
      <c r="K1856">
        <v>1.110204</v>
      </c>
      <c r="L1856">
        <v>282.76760000000002</v>
      </c>
      <c r="M1856">
        <v>-0.99911729999999999</v>
      </c>
      <c r="N1856">
        <v>-1.004475E-2</v>
      </c>
      <c r="O1856">
        <v>4.0792290000000002E-2</v>
      </c>
      <c r="P1856">
        <v>-0.9850565</v>
      </c>
      <c r="Q1856">
        <v>0.17118449999999999</v>
      </c>
      <c r="R1856">
        <v>-1.8972909999999999E-2</v>
      </c>
      <c r="S1856">
        <v>-3.101807</v>
      </c>
      <c r="T1856">
        <v>-0.3049597</v>
      </c>
      <c r="U1856">
        <v>0.19064329999999999</v>
      </c>
      <c r="V1856">
        <v>-5.9255910000000002E-2</v>
      </c>
      <c r="W1856">
        <v>0.18101700000000001</v>
      </c>
      <c r="X1856">
        <v>0.98169320000000004</v>
      </c>
      <c r="Y1856">
        <v>2.0626220000000001E-2</v>
      </c>
      <c r="Z1856">
        <v>-2.471857E-3</v>
      </c>
      <c r="AA1856">
        <v>0.99978420000000001</v>
      </c>
      <c r="AB1856">
        <v>26</v>
      </c>
      <c r="AC1856">
        <v>-0.49189999999998602</v>
      </c>
      <c r="AD1856">
        <v>-7.3800000000000004E-2</v>
      </c>
      <c r="AE1856">
        <v>3.6000000000001302E-2</v>
      </c>
      <c r="AF1856">
        <v>1.55550302427065E-2</v>
      </c>
      <c r="AG1856">
        <v>-7.3800000000000004E-2</v>
      </c>
      <c r="AH1856">
        <v>0.48216384428504899</v>
      </c>
      <c r="AI1856">
        <v>98.697699767720096</v>
      </c>
      <c r="AJ1856">
        <v>88.152228548154</v>
      </c>
      <c r="AK1856">
        <v>0.48802701943805199</v>
      </c>
      <c r="AL1856">
        <v>79.570996993229002</v>
      </c>
      <c r="AM1856">
        <v>93.454235239296594</v>
      </c>
      <c r="AN1856">
        <v>0.999999978042583</v>
      </c>
    </row>
    <row r="1857" spans="1:40" x14ac:dyDescent="0.25">
      <c r="A1857" t="str">
        <f>"20190304155631592"</f>
        <v>20190304155631592</v>
      </c>
      <c r="B1857" t="str">
        <f>"1551686191586582"</f>
        <v>1551686191586582</v>
      </c>
      <c r="C1857" t="s">
        <v>40</v>
      </c>
      <c r="D1857">
        <v>5.0516430000000003</v>
      </c>
      <c r="E1857">
        <v>0.52367819999999998</v>
      </c>
      <c r="F1857" t="s">
        <v>42</v>
      </c>
      <c r="G1857">
        <v>-237.87799999999999</v>
      </c>
      <c r="H1857">
        <v>1.0370790000000001</v>
      </c>
      <c r="I1857">
        <v>282.81400000000002</v>
      </c>
      <c r="J1857">
        <v>-237.18090000000001</v>
      </c>
      <c r="K1857">
        <v>1.1102209999999999</v>
      </c>
      <c r="L1857">
        <v>282.77769999999998</v>
      </c>
      <c r="M1857">
        <v>-0.99913240000000003</v>
      </c>
      <c r="N1857">
        <v>-1.011219E-2</v>
      </c>
      <c r="O1857">
        <v>4.0401739999999998E-2</v>
      </c>
      <c r="P1857">
        <v>-0.98500169999999998</v>
      </c>
      <c r="Q1857">
        <v>0.17139839999999901</v>
      </c>
      <c r="R1857">
        <v>-1.986098E-2</v>
      </c>
      <c r="S1857">
        <v>-3.089493</v>
      </c>
      <c r="T1857">
        <v>-0.2365854</v>
      </c>
      <c r="U1857">
        <v>0.149231</v>
      </c>
      <c r="V1857">
        <v>-5.9756459999999997E-2</v>
      </c>
      <c r="W1857">
        <v>0.1812966</v>
      </c>
      <c r="X1857">
        <v>0.98161129999999996</v>
      </c>
      <c r="Y1857">
        <v>7.9129609999999996E-3</v>
      </c>
      <c r="Z1857">
        <v>-2.3357180000000001E-3</v>
      </c>
      <c r="AA1857">
        <v>0.99996600000000002</v>
      </c>
      <c r="AB1857">
        <v>26</v>
      </c>
      <c r="AC1857">
        <v>-0.69709999999997696</v>
      </c>
      <c r="AD1857">
        <v>-7.3141999999999804E-2</v>
      </c>
      <c r="AE1857">
        <v>3.6300000000039703E-2</v>
      </c>
      <c r="AF1857">
        <v>8.0168491835073408E-3</v>
      </c>
      <c r="AG1857">
        <v>-7.3141999999999804E-2</v>
      </c>
      <c r="AH1857">
        <v>0.69041725642401797</v>
      </c>
      <c r="AI1857">
        <v>96.046887849191293</v>
      </c>
      <c r="AJ1857">
        <v>89.334734210619601</v>
      </c>
      <c r="AK1857">
        <v>0.69432701949650499</v>
      </c>
      <c r="AL1857">
        <v>79.5547079936606</v>
      </c>
      <c r="AM1857">
        <v>93.483632426013301</v>
      </c>
      <c r="AN1857">
        <v>1.00000001798549</v>
      </c>
    </row>
    <row r="1858" spans="1:40" x14ac:dyDescent="0.25">
      <c r="A1858" t="str">
        <f>"20190304155631615"</f>
        <v>20190304155631615</v>
      </c>
      <c r="B1858" t="str">
        <f>"1551686191607078"</f>
        <v>1551686191607078</v>
      </c>
      <c r="C1858" t="s">
        <v>40</v>
      </c>
      <c r="D1858">
        <v>4.9435549999999999</v>
      </c>
      <c r="E1858">
        <v>0.52229859999999995</v>
      </c>
      <c r="F1858" t="s">
        <v>42</v>
      </c>
      <c r="G1858">
        <v>-238.12700000000001</v>
      </c>
      <c r="H1858">
        <v>1.045282</v>
      </c>
      <c r="I1858">
        <v>282.81990000000002</v>
      </c>
      <c r="J1858">
        <v>-237.45140000000001</v>
      </c>
      <c r="K1858">
        <v>1.1102259999999999</v>
      </c>
      <c r="L1858">
        <v>282.78820000000002</v>
      </c>
      <c r="M1858">
        <v>-0.99914800000000004</v>
      </c>
      <c r="N1858">
        <v>-1.018281E-2</v>
      </c>
      <c r="O1858">
        <v>3.9993899999999999E-2</v>
      </c>
      <c r="P1858">
        <v>-0.98493699999999995</v>
      </c>
      <c r="Q1858">
        <v>0.17170739999999901</v>
      </c>
      <c r="R1858">
        <v>-2.0393330000000001E-2</v>
      </c>
      <c r="S1858">
        <v>-3.0853120000000001</v>
      </c>
      <c r="T1858">
        <v>-0.2118216</v>
      </c>
      <c r="U1858">
        <v>0.13714599999999999</v>
      </c>
      <c r="V1858">
        <v>-5.988516E-2</v>
      </c>
      <c r="W1858">
        <v>0.181674</v>
      </c>
      <c r="X1858">
        <v>0.98153360000000001</v>
      </c>
      <c r="Y1858">
        <v>4.4713670000000004E-3</v>
      </c>
      <c r="Z1858">
        <v>-2.157174E-3</v>
      </c>
      <c r="AA1858">
        <v>0.99998770000000003</v>
      </c>
      <c r="AB1858">
        <v>26</v>
      </c>
      <c r="AC1858">
        <v>-0.67560000000000198</v>
      </c>
      <c r="AD1858">
        <v>-6.4943999999999794E-2</v>
      </c>
      <c r="AE1858">
        <v>3.17000000000007E-2</v>
      </c>
      <c r="AF1858">
        <v>4.6108409830155003E-3</v>
      </c>
      <c r="AG1858">
        <v>-6.4943999999999794E-2</v>
      </c>
      <c r="AH1858">
        <v>0.67014833553738595</v>
      </c>
      <c r="AI1858">
        <v>95.535112424373807</v>
      </c>
      <c r="AJ1858">
        <v>89.605792410800802</v>
      </c>
      <c r="AK1858">
        <v>0.67330362735848903</v>
      </c>
      <c r="AL1858">
        <v>79.532718605119001</v>
      </c>
      <c r="AM1858">
        <v>93.4913924145973</v>
      </c>
      <c r="AN1858">
        <v>0.99999994129659098</v>
      </c>
    </row>
    <row r="1859" spans="1:40" x14ac:dyDescent="0.25">
      <c r="A1859" t="str">
        <f>"20190304155631639"</f>
        <v>20190304155631639</v>
      </c>
      <c r="B1859" t="str">
        <f>"1551686191626599"</f>
        <v>1551686191626599</v>
      </c>
      <c r="C1859" t="s">
        <v>40</v>
      </c>
      <c r="D1859">
        <v>4.9459160000000004</v>
      </c>
      <c r="E1859">
        <v>0.52141780000000004</v>
      </c>
      <c r="F1859" t="s">
        <v>55</v>
      </c>
      <c r="G1859">
        <v>-255.38589999999999</v>
      </c>
      <c r="H1859" s="1">
        <v>1.329325E-6</v>
      </c>
      <c r="I1859">
        <v>283.51100000000002</v>
      </c>
      <c r="J1859">
        <v>-237.71680000000001</v>
      </c>
      <c r="K1859">
        <v>1.1102459999999901</v>
      </c>
      <c r="L1859">
        <v>282.79840000000002</v>
      </c>
      <c r="M1859">
        <v>-0.99916329999999998</v>
      </c>
      <c r="N1859">
        <v>-1.0254900000000001E-2</v>
      </c>
      <c r="O1859">
        <v>3.959319E-2</v>
      </c>
      <c r="P1859">
        <v>-0.98483960000000004</v>
      </c>
      <c r="Q1859">
        <v>0.17211399999999999</v>
      </c>
      <c r="R1859">
        <v>-2.1635310000000001E-2</v>
      </c>
      <c r="S1859">
        <v>-3.081696</v>
      </c>
      <c r="T1859">
        <v>-0.19076989999999999</v>
      </c>
      <c r="U1859">
        <v>0.1242065</v>
      </c>
      <c r="V1859">
        <v>-6.0728240000000003E-2</v>
      </c>
      <c r="W1859">
        <v>0.18214900000000001</v>
      </c>
      <c r="X1859">
        <v>0.98139379999999998</v>
      </c>
      <c r="Y1859">
        <v>7.2817559999999995E-4</v>
      </c>
      <c r="Z1859">
        <v>-2.0147279999999999E-3</v>
      </c>
      <c r="AA1859">
        <v>0.99999769999999999</v>
      </c>
      <c r="AB1859">
        <v>26</v>
      </c>
      <c r="AC1859">
        <v>-17.669099999999901</v>
      </c>
      <c r="AD1859">
        <v>-1.11024467067499</v>
      </c>
      <c r="AE1859">
        <v>0.71259999999995205</v>
      </c>
      <c r="AF1859">
        <v>1.23795883756987E-2</v>
      </c>
      <c r="AG1859">
        <v>-1.11024467067499</v>
      </c>
      <c r="AH1859">
        <v>17.6140272054147</v>
      </c>
      <c r="AI1859">
        <v>93.6066865058677</v>
      </c>
      <c r="AJ1859">
        <v>89.959731068824993</v>
      </c>
      <c r="AK1859">
        <v>17.648987247886499</v>
      </c>
      <c r="AL1859">
        <v>79.505041762974798</v>
      </c>
      <c r="AM1859">
        <v>93.540924104566201</v>
      </c>
      <c r="AN1859">
        <v>0.99999998400646795</v>
      </c>
    </row>
    <row r="1860" spans="1:40" x14ac:dyDescent="0.25">
      <c r="A1860" t="str">
        <f>"20190304155631660"</f>
        <v>20190304155631660</v>
      </c>
      <c r="B1860" t="str">
        <f>"1551686191656854"</f>
        <v>1551686191656854</v>
      </c>
      <c r="C1860" t="s">
        <v>40</v>
      </c>
      <c r="D1860">
        <v>4.910342</v>
      </c>
      <c r="E1860">
        <v>0.5204723</v>
      </c>
      <c r="F1860" t="s">
        <v>55</v>
      </c>
      <c r="G1860">
        <v>-257.4083</v>
      </c>
      <c r="H1860" s="1">
        <v>2.4055309999999999E-6</v>
      </c>
      <c r="I1860">
        <v>283.52010000000001</v>
      </c>
      <c r="J1860">
        <v>-237.97</v>
      </c>
      <c r="K1860">
        <v>1.110258</v>
      </c>
      <c r="L1860">
        <v>282.80799999999999</v>
      </c>
      <c r="M1860">
        <v>-0.99917750000000005</v>
      </c>
      <c r="N1860">
        <v>-1.033127E-2</v>
      </c>
      <c r="O1860">
        <v>3.9210460000000003E-2</v>
      </c>
      <c r="P1860">
        <v>-0.98465590000000003</v>
      </c>
      <c r="Q1860">
        <v>0.17304169999999999</v>
      </c>
      <c r="R1860">
        <v>-2.2566619999999999E-2</v>
      </c>
      <c r="S1860">
        <v>-3.0789789999999999</v>
      </c>
      <c r="T1860">
        <v>-0.17359840000000001</v>
      </c>
      <c r="U1860">
        <v>0.112854</v>
      </c>
      <c r="V1860">
        <v>-6.127585E-2</v>
      </c>
      <c r="W1860">
        <v>0.1831499</v>
      </c>
      <c r="X1860">
        <v>0.98117350000000003</v>
      </c>
      <c r="Y1860">
        <v>-2.539749E-3</v>
      </c>
      <c r="Z1860">
        <v>-1.8872380000000001E-3</v>
      </c>
      <c r="AA1860">
        <v>0.99999499999999997</v>
      </c>
      <c r="AB1860">
        <v>26</v>
      </c>
      <c r="AC1860">
        <v>-19.438300000000002</v>
      </c>
      <c r="AD1860">
        <v>-1.110255594469</v>
      </c>
      <c r="AE1860">
        <v>0.71210000000002005</v>
      </c>
      <c r="AF1860">
        <v>-5.0508539239602801E-2</v>
      </c>
      <c r="AG1860">
        <v>-1.110255594469</v>
      </c>
      <c r="AH1860">
        <v>19.3881072585908</v>
      </c>
      <c r="AI1860">
        <v>93.277439405242802</v>
      </c>
      <c r="AJ1860">
        <v>90.149262614575505</v>
      </c>
      <c r="AK1860">
        <v>19.419936191146601</v>
      </c>
      <c r="AL1860">
        <v>79.446713669003401</v>
      </c>
      <c r="AM1860">
        <v>93.573571753196802</v>
      </c>
      <c r="AN1860">
        <v>1.00000002638274</v>
      </c>
    </row>
    <row r="1861" spans="1:40" x14ac:dyDescent="0.25">
      <c r="A1861" t="str">
        <f>"20190304155631684"</f>
        <v>20190304155631684</v>
      </c>
      <c r="B1861" t="str">
        <f>"1551686191676374"</f>
        <v>1551686191676374</v>
      </c>
      <c r="C1861" t="s">
        <v>40</v>
      </c>
      <c r="D1861">
        <v>4.9171969999999998</v>
      </c>
      <c r="E1861">
        <v>0.51985379999999903</v>
      </c>
      <c r="F1861" t="s">
        <v>55</v>
      </c>
      <c r="G1861">
        <v>-259.99779999999998</v>
      </c>
      <c r="H1861" s="1">
        <v>-1.537971E-6</v>
      </c>
      <c r="I1861">
        <v>283.54070000000002</v>
      </c>
      <c r="J1861">
        <v>-238.2379</v>
      </c>
      <c r="K1861">
        <v>1.110276</v>
      </c>
      <c r="L1861">
        <v>282.81799999999998</v>
      </c>
      <c r="M1861">
        <v>-0.99919239999999998</v>
      </c>
      <c r="N1861">
        <v>-1.042652E-2</v>
      </c>
      <c r="O1861">
        <v>3.88055E-2</v>
      </c>
      <c r="P1861">
        <v>-0.9845952</v>
      </c>
      <c r="Q1861">
        <v>0.17331160000000001</v>
      </c>
      <c r="R1861">
        <v>-2.314126E-2</v>
      </c>
      <c r="S1861">
        <v>-3.076355</v>
      </c>
      <c r="T1861">
        <v>-0.15505669999999999</v>
      </c>
      <c r="U1861">
        <v>0.1023254</v>
      </c>
      <c r="V1861">
        <v>-6.144989E-2</v>
      </c>
      <c r="W1861">
        <v>0.18351229999999999</v>
      </c>
      <c r="X1861">
        <v>0.98109489999999999</v>
      </c>
      <c r="Y1861">
        <v>-5.5282969999999997E-3</v>
      </c>
      <c r="Z1861">
        <v>-1.7170410000000001E-3</v>
      </c>
      <c r="AA1861">
        <v>0.99998330000000002</v>
      </c>
      <c r="AB1861">
        <v>26</v>
      </c>
      <c r="AC1861">
        <v>-21.759899999999899</v>
      </c>
      <c r="AD1861">
        <v>-1.1102775379709999</v>
      </c>
      <c r="AE1861">
        <v>0.72270000000003098</v>
      </c>
      <c r="AF1861">
        <v>-0.12197688679395401</v>
      </c>
      <c r="AG1861">
        <v>-1.1102775379709999</v>
      </c>
      <c r="AH1861">
        <v>21.715082698785601</v>
      </c>
      <c r="AI1861">
        <v>92.926899710008399</v>
      </c>
      <c r="AJ1861">
        <v>90.321835629445204</v>
      </c>
      <c r="AK1861">
        <v>21.743790175296802</v>
      </c>
      <c r="AL1861">
        <v>79.425591704696501</v>
      </c>
      <c r="AM1861">
        <v>93.583981608112296</v>
      </c>
      <c r="AN1861">
        <v>1.0000000280191499</v>
      </c>
    </row>
    <row r="1862" spans="1:40" x14ac:dyDescent="0.25">
      <c r="A1862" t="str">
        <f>"20190304155631705"</f>
        <v>20190304155631705</v>
      </c>
      <c r="B1862" t="str">
        <f>"1551686191696870"</f>
        <v>1551686191696870</v>
      </c>
      <c r="C1862" t="s">
        <v>40</v>
      </c>
      <c r="D1862">
        <v>4.9326059999999998</v>
      </c>
      <c r="E1862">
        <v>0.51947559999999904</v>
      </c>
      <c r="F1862" t="s">
        <v>55</v>
      </c>
      <c r="G1862">
        <v>-261.34809999999999</v>
      </c>
      <c r="H1862" s="1">
        <v>-8.1940930000000001E-7</v>
      </c>
      <c r="I1862">
        <v>283.53489999999999</v>
      </c>
      <c r="J1862">
        <v>-238.48490000000001</v>
      </c>
      <c r="K1862">
        <v>1.1102920000000001</v>
      </c>
      <c r="L1862">
        <v>282.8272</v>
      </c>
      <c r="M1862">
        <v>-0.99920580000000003</v>
      </c>
      <c r="N1862">
        <v>-1.0529749999999999E-2</v>
      </c>
      <c r="O1862">
        <v>3.8432300000000003E-2</v>
      </c>
      <c r="P1862">
        <v>-0.98454649999999999</v>
      </c>
      <c r="Q1862">
        <v>0.1735003</v>
      </c>
      <c r="R1862">
        <v>-2.379707E-2</v>
      </c>
      <c r="S1862">
        <v>-3.0751650000000001</v>
      </c>
      <c r="T1862">
        <v>-0.1477395</v>
      </c>
      <c r="U1862">
        <v>9.5397949999999995E-2</v>
      </c>
      <c r="V1862">
        <v>-6.1737010000000002E-2</v>
      </c>
      <c r="W1862">
        <v>0.18380150000000001</v>
      </c>
      <c r="X1862">
        <v>0.98102270000000003</v>
      </c>
      <c r="Y1862">
        <v>-7.3943589999999997E-3</v>
      </c>
      <c r="Z1862">
        <v>-1.6561690000000001E-3</v>
      </c>
      <c r="AA1862">
        <v>0.99997130000000001</v>
      </c>
      <c r="AB1862">
        <v>26</v>
      </c>
      <c r="AC1862">
        <v>-22.8631999999999</v>
      </c>
      <c r="AD1862">
        <v>-1.1102928194093</v>
      </c>
      <c r="AE1862">
        <v>0.70769999999998801</v>
      </c>
      <c r="AF1862">
        <v>-0.17115366783026201</v>
      </c>
      <c r="AG1862">
        <v>-1.1102928194093</v>
      </c>
      <c r="AH1862">
        <v>22.819742453544599</v>
      </c>
      <c r="AI1862">
        <v>92.785446864392995</v>
      </c>
      <c r="AJ1862">
        <v>90.429724347648403</v>
      </c>
      <c r="AK1862">
        <v>22.8473781727565</v>
      </c>
      <c r="AL1862">
        <v>79.408734674746498</v>
      </c>
      <c r="AM1862">
        <v>93.600947840996</v>
      </c>
      <c r="AN1862">
        <v>0.99999999386063998</v>
      </c>
    </row>
    <row r="1863" spans="1:40" x14ac:dyDescent="0.25">
      <c r="A1863" t="str">
        <f>"20190304155631727"</f>
        <v>20190304155631727</v>
      </c>
      <c r="B1863" t="str">
        <f>"1551686191716390"</f>
        <v>1551686191716390</v>
      </c>
      <c r="C1863" t="s">
        <v>40</v>
      </c>
      <c r="D1863">
        <v>4.9479519999999999</v>
      </c>
      <c r="E1863">
        <v>0.51916289999999998</v>
      </c>
      <c r="F1863" t="s">
        <v>55</v>
      </c>
      <c r="G1863">
        <v>-262.68259999999998</v>
      </c>
      <c r="H1863" s="1">
        <v>-1.09271E-7</v>
      </c>
      <c r="I1863">
        <v>283.53820000000002</v>
      </c>
      <c r="J1863">
        <v>-238.7456</v>
      </c>
      <c r="K1863">
        <v>1.110325</v>
      </c>
      <c r="L1863">
        <v>282.83679999999998</v>
      </c>
      <c r="M1863">
        <v>-0.99921959999999999</v>
      </c>
      <c r="N1863">
        <v>-1.065755E-2</v>
      </c>
      <c r="O1863">
        <v>3.8037059999999998E-2</v>
      </c>
      <c r="P1863">
        <v>-0.98464960000000001</v>
      </c>
      <c r="Q1863">
        <v>0.17282529999999999</v>
      </c>
      <c r="R1863">
        <v>-2.4432329999999999E-2</v>
      </c>
      <c r="S1863">
        <v>-3.0741420000000002</v>
      </c>
      <c r="T1863">
        <v>-0.14105500000000001</v>
      </c>
      <c r="U1863">
        <v>9.0332029999999994E-2</v>
      </c>
      <c r="V1863">
        <v>-6.1988599999999998E-2</v>
      </c>
      <c r="W1863">
        <v>0.1832521</v>
      </c>
      <c r="X1863">
        <v>0.98110960000000003</v>
      </c>
      <c r="Y1863">
        <v>-8.6375469999999902E-3</v>
      </c>
      <c r="Z1863">
        <v>-1.5822659999999999E-3</v>
      </c>
      <c r="AA1863">
        <v>0.9999614</v>
      </c>
      <c r="AB1863">
        <v>26</v>
      </c>
      <c r="AC1863">
        <v>-23.936999999999902</v>
      </c>
      <c r="AD1863">
        <v>-1.110325109271</v>
      </c>
      <c r="AE1863">
        <v>0.701400000000035</v>
      </c>
      <c r="AF1863">
        <v>-0.20920262902218101</v>
      </c>
      <c r="AG1863">
        <v>-1.110325109271</v>
      </c>
      <c r="AH1863">
        <v>23.894987959295701</v>
      </c>
      <c r="AI1863">
        <v>92.660339591943895</v>
      </c>
      <c r="AJ1863">
        <v>90.501616551609203</v>
      </c>
      <c r="AK1863">
        <v>23.921685500046902</v>
      </c>
      <c r="AL1863">
        <v>79.440756766716902</v>
      </c>
      <c r="AM1863">
        <v>93.615264143316395</v>
      </c>
      <c r="AN1863">
        <v>0.99999998294826398</v>
      </c>
    </row>
    <row r="1864" spans="1:40" x14ac:dyDescent="0.25">
      <c r="A1864" t="str">
        <f>"20190304155631747"</f>
        <v>20190304155631747</v>
      </c>
      <c r="B1864" t="str">
        <f>"1551686191736890"</f>
        <v>1551686191736890</v>
      </c>
      <c r="C1864" t="s">
        <v>40</v>
      </c>
      <c r="D1864">
        <v>4.9852460000000001</v>
      </c>
      <c r="E1864">
        <v>0.5188758</v>
      </c>
      <c r="F1864" t="s">
        <v>55</v>
      </c>
      <c r="G1864">
        <v>-263.43680000000001</v>
      </c>
      <c r="H1864" s="1">
        <v>2.9208730000000002E-7</v>
      </c>
      <c r="I1864">
        <v>283.52530000000002</v>
      </c>
      <c r="J1864">
        <v>-238.98410000000001</v>
      </c>
      <c r="K1864">
        <v>1.1103449999999999</v>
      </c>
      <c r="L1864">
        <v>282.84539999999998</v>
      </c>
      <c r="M1864">
        <v>-0.9992318</v>
      </c>
      <c r="N1864">
        <v>-1.079631E-2</v>
      </c>
      <c r="O1864">
        <v>3.7674510000000001E-2</v>
      </c>
      <c r="P1864">
        <v>-0.98460139999999996</v>
      </c>
      <c r="Q1864">
        <v>0.1730448</v>
      </c>
      <c r="R1864">
        <v>-2.48115E-2</v>
      </c>
      <c r="S1864">
        <v>-3.0731510000000002</v>
      </c>
      <c r="T1864">
        <v>-0.13819489999999901</v>
      </c>
      <c r="U1864">
        <v>8.5693359999999996E-2</v>
      </c>
      <c r="V1864">
        <v>-6.2011089999999998E-2</v>
      </c>
      <c r="W1864">
        <v>0.18360650000000001</v>
      </c>
      <c r="X1864">
        <v>0.98104199999999997</v>
      </c>
      <c r="Y1864">
        <v>-9.7739809999999993E-3</v>
      </c>
      <c r="Z1864">
        <v>-1.558224E-3</v>
      </c>
      <c r="AA1864">
        <v>0.99995100000000003</v>
      </c>
      <c r="AB1864">
        <v>26</v>
      </c>
      <c r="AC1864">
        <v>-24.4527</v>
      </c>
      <c r="AD1864">
        <v>-1.1103447079127</v>
      </c>
      <c r="AE1864">
        <v>0.67990000000003104</v>
      </c>
      <c r="AF1864">
        <v>-0.24138255683499599</v>
      </c>
      <c r="AG1864">
        <v>-1.1103447079127</v>
      </c>
      <c r="AH1864">
        <v>24.410661692947201</v>
      </c>
      <c r="AI1864">
        <v>92.604236715706193</v>
      </c>
      <c r="AJ1864">
        <v>90.566545519331697</v>
      </c>
      <c r="AK1864">
        <v>24.4370934277514</v>
      </c>
      <c r="AL1864">
        <v>79.420101534791399</v>
      </c>
      <c r="AM1864">
        <v>93.616820855065896</v>
      </c>
      <c r="AN1864">
        <v>1.0000000639446101</v>
      </c>
    </row>
    <row r="1865" spans="1:40" x14ac:dyDescent="0.25">
      <c r="A1865" t="str">
        <f>"20190304155631771"</f>
        <v>20190304155631771</v>
      </c>
      <c r="B1865" t="str">
        <f>"1551686191766166"</f>
        <v>1551686191766166</v>
      </c>
      <c r="C1865" t="s">
        <v>40</v>
      </c>
      <c r="D1865">
        <v>4.9643179999999996</v>
      </c>
      <c r="E1865">
        <v>0.51849959999999995</v>
      </c>
      <c r="F1865" t="s">
        <v>55</v>
      </c>
      <c r="G1865">
        <v>-264.61700000000002</v>
      </c>
      <c r="H1865" s="1">
        <v>9.2015489999999998E-7</v>
      </c>
      <c r="I1865">
        <v>283.53210000000001</v>
      </c>
      <c r="J1865">
        <v>-239.25020000000001</v>
      </c>
      <c r="K1865">
        <v>1.1103769999999999</v>
      </c>
      <c r="L1865">
        <v>282.85500000000002</v>
      </c>
      <c r="M1865">
        <v>-0.99924460000000004</v>
      </c>
      <c r="N1865">
        <v>-1.097601E-2</v>
      </c>
      <c r="O1865">
        <v>3.7281080000000001E-2</v>
      </c>
      <c r="P1865">
        <v>-0.98458619999999997</v>
      </c>
      <c r="Q1865">
        <v>0.17300189999999999</v>
      </c>
      <c r="R1865">
        <v>-2.5695889999999999E-2</v>
      </c>
      <c r="S1865">
        <v>-3.0723880000000001</v>
      </c>
      <c r="T1865">
        <v>-0.13308719999999999</v>
      </c>
      <c r="U1865">
        <v>8.2305909999999996E-2</v>
      </c>
      <c r="V1865">
        <v>-6.2509129999999996E-2</v>
      </c>
      <c r="W1865">
        <v>0.18373919999999999</v>
      </c>
      <c r="X1865">
        <v>0.98098549999999995</v>
      </c>
      <c r="Y1865">
        <v>-1.0477520000000001E-2</v>
      </c>
      <c r="Z1865">
        <v>-1.4885949999999999E-3</v>
      </c>
      <c r="AA1865">
        <v>0.99994400000000006</v>
      </c>
      <c r="AB1865">
        <v>26</v>
      </c>
      <c r="AC1865">
        <v>-25.366800000000001</v>
      </c>
      <c r="AD1865">
        <v>-1.1103760798450999</v>
      </c>
      <c r="AE1865">
        <v>0.67709999999999504</v>
      </c>
      <c r="AF1865">
        <v>-0.268615061089437</v>
      </c>
      <c r="AG1865">
        <v>-1.1103760798450999</v>
      </c>
      <c r="AH1865">
        <v>25.325916500036602</v>
      </c>
      <c r="AI1865">
        <v>92.510297082606897</v>
      </c>
      <c r="AJ1865">
        <v>90.607675234115604</v>
      </c>
      <c r="AK1865">
        <v>25.351669287377501</v>
      </c>
      <c r="AL1865">
        <v>79.412366306375006</v>
      </c>
      <c r="AM1865">
        <v>93.646000609253207</v>
      </c>
      <c r="AN1865">
        <v>1.0000000180801201</v>
      </c>
    </row>
    <row r="1866" spans="1:40" x14ac:dyDescent="0.25">
      <c r="A1866" t="str">
        <f>"20190304155631793"</f>
        <v>20190304155631793</v>
      </c>
      <c r="B1866" t="str">
        <f>"1551686191786662"</f>
        <v>1551686191786662</v>
      </c>
      <c r="C1866" t="s">
        <v>40</v>
      </c>
      <c r="D1866">
        <v>4.9622339999999996</v>
      </c>
      <c r="E1866">
        <v>0.51808129999999997</v>
      </c>
      <c r="F1866" t="s">
        <v>55</v>
      </c>
      <c r="G1866">
        <v>-266.09370000000001</v>
      </c>
      <c r="H1866" s="1">
        <v>1.705982E-6</v>
      </c>
      <c r="I1866">
        <v>283.52370000000002</v>
      </c>
      <c r="J1866">
        <v>-239.5078</v>
      </c>
      <c r="K1866">
        <v>1.110401</v>
      </c>
      <c r="L1866">
        <v>282.86410000000001</v>
      </c>
      <c r="M1866">
        <v>-0.99925649999999999</v>
      </c>
      <c r="N1866">
        <v>-1.116704E-2</v>
      </c>
      <c r="O1866">
        <v>3.6901490000000002E-2</v>
      </c>
      <c r="P1866">
        <v>-0.98469419999999996</v>
      </c>
      <c r="Q1866">
        <v>0.17235139999999999</v>
      </c>
      <c r="R1866">
        <v>-2.5931889999999999E-2</v>
      </c>
      <c r="S1866">
        <v>-3.0712890000000002</v>
      </c>
      <c r="T1866">
        <v>-0.12704299999999999</v>
      </c>
      <c r="U1866">
        <v>7.6507569999999997E-2</v>
      </c>
      <c r="V1866">
        <v>-6.2373310000000001E-2</v>
      </c>
      <c r="W1866">
        <v>0.18327740000000001</v>
      </c>
      <c r="X1866">
        <v>0.98108050000000002</v>
      </c>
      <c r="Y1866">
        <v>-1.197668E-2</v>
      </c>
      <c r="Z1866">
        <v>-1.42756E-3</v>
      </c>
      <c r="AA1866">
        <v>0.99992729999999996</v>
      </c>
      <c r="AB1866">
        <v>26</v>
      </c>
      <c r="AC1866">
        <v>-26.585899999999999</v>
      </c>
      <c r="AD1866">
        <v>-1.1103992940180001</v>
      </c>
      <c r="AE1866">
        <v>0.65960000000001096</v>
      </c>
      <c r="AF1866">
        <v>-0.32140948131257702</v>
      </c>
      <c r="AG1866">
        <v>-1.1103992940180001</v>
      </c>
      <c r="AH1866">
        <v>26.545852923039099</v>
      </c>
      <c r="AI1866">
        <v>92.395081123307904</v>
      </c>
      <c r="AJ1866">
        <v>90.693686770146101</v>
      </c>
      <c r="AK1866">
        <v>26.5710104824498</v>
      </c>
      <c r="AL1866">
        <v>79.439282299156105</v>
      </c>
      <c r="AM1866">
        <v>93.637748530662606</v>
      </c>
      <c r="AN1866">
        <v>0.99999999131568296</v>
      </c>
    </row>
    <row r="1867" spans="1:40" x14ac:dyDescent="0.25">
      <c r="A1867" t="str">
        <f>"20190304155631817"</f>
        <v>20190304155631817</v>
      </c>
      <c r="B1867" t="str">
        <f>"1551686191806182"</f>
        <v>1551686191806182</v>
      </c>
      <c r="C1867" t="s">
        <v>40</v>
      </c>
      <c r="D1867">
        <v>5.1672599999999997</v>
      </c>
      <c r="E1867">
        <v>0.48399389999999998</v>
      </c>
      <c r="F1867" t="s">
        <v>55</v>
      </c>
      <c r="G1867">
        <v>-266.62259999999998</v>
      </c>
      <c r="H1867" s="1">
        <v>1.987445E-6</v>
      </c>
      <c r="I1867">
        <v>283.50549999999998</v>
      </c>
      <c r="J1867">
        <v>-239.78899999999999</v>
      </c>
      <c r="K1867">
        <v>1.1104179999999999</v>
      </c>
      <c r="L1867">
        <v>282.87389999999999</v>
      </c>
      <c r="M1867">
        <v>-0.99926979999999999</v>
      </c>
      <c r="N1867">
        <v>-1.1373589999999999E-2</v>
      </c>
      <c r="O1867">
        <v>3.6478480000000001E-2</v>
      </c>
      <c r="P1867">
        <v>-0.98470840000000004</v>
      </c>
      <c r="Q1867">
        <v>0.17217399999999999</v>
      </c>
      <c r="R1867">
        <v>-2.6569789999999999E-2</v>
      </c>
      <c r="S1867">
        <v>-3.0705870000000002</v>
      </c>
      <c r="T1867">
        <v>-0.125746</v>
      </c>
      <c r="U1867">
        <v>7.2631840000000003E-2</v>
      </c>
      <c r="V1867">
        <v>-6.2591469999999996E-2</v>
      </c>
      <c r="W1867">
        <v>0.1833041</v>
      </c>
      <c r="X1867">
        <v>0.98106159999999998</v>
      </c>
      <c r="Y1867">
        <v>-1.2809299999999999E-2</v>
      </c>
      <c r="Z1867">
        <v>-1.4128109999999999E-3</v>
      </c>
      <c r="AA1867">
        <v>0.99991699999999994</v>
      </c>
      <c r="AB1867">
        <v>26</v>
      </c>
      <c r="AC1867">
        <v>-26.833599999999901</v>
      </c>
      <c r="AD1867">
        <v>-1.110416012555</v>
      </c>
      <c r="AE1867">
        <v>0.63159999999999095</v>
      </c>
      <c r="AF1867">
        <v>-0.347138475122659</v>
      </c>
      <c r="AG1867">
        <v>-1.110416012555</v>
      </c>
      <c r="AH1867">
        <v>26.792923906220999</v>
      </c>
      <c r="AI1867">
        <v>92.373030728775603</v>
      </c>
      <c r="AJ1867">
        <v>90.742302586266007</v>
      </c>
      <c r="AK1867">
        <v>26.8181710839199</v>
      </c>
      <c r="AL1867">
        <v>79.437725954530606</v>
      </c>
      <c r="AM1867">
        <v>93.650507891948493</v>
      </c>
      <c r="AN1867">
        <v>0.99999997409406505</v>
      </c>
    </row>
    <row r="1868" spans="1:40" x14ac:dyDescent="0.25">
      <c r="A1868" t="str">
        <f>"20190304155631840"</f>
        <v>20190304155631840</v>
      </c>
      <c r="B1868" t="str">
        <f>"1551686191836438"</f>
        <v>1551686191836438</v>
      </c>
      <c r="C1868" t="s">
        <v>40</v>
      </c>
      <c r="D1868">
        <v>4.9994649999999998</v>
      </c>
      <c r="E1868">
        <v>0.47497889999999998</v>
      </c>
      <c r="F1868" t="s">
        <v>55</v>
      </c>
      <c r="G1868">
        <v>-267.97089999999997</v>
      </c>
      <c r="H1868" s="1">
        <v>2.7049359999999999E-6</v>
      </c>
      <c r="I1868">
        <v>281.01749999999998</v>
      </c>
      <c r="J1868">
        <v>-240.0538</v>
      </c>
      <c r="K1868">
        <v>1.110439</v>
      </c>
      <c r="L1868">
        <v>282.88310000000001</v>
      </c>
      <c r="M1868">
        <v>-0.999282</v>
      </c>
      <c r="N1868">
        <v>-1.1569579999999999E-2</v>
      </c>
      <c r="O1868">
        <v>3.6077480000000002E-2</v>
      </c>
      <c r="P1868">
        <v>-0.98465179999999997</v>
      </c>
      <c r="Q1868">
        <v>0.1724572</v>
      </c>
      <c r="R1868">
        <v>-2.682004E-2</v>
      </c>
      <c r="S1868">
        <v>-3.0622410000000002</v>
      </c>
      <c r="T1868">
        <v>-0.120657399999999</v>
      </c>
      <c r="U1868">
        <v>-0.20172119999999999</v>
      </c>
      <c r="V1868">
        <v>-6.2442669999999999E-2</v>
      </c>
      <c r="W1868">
        <v>0.18378040000000001</v>
      </c>
      <c r="X1868">
        <v>0.98098200000000002</v>
      </c>
      <c r="Y1868">
        <v>-0.10157480000000001</v>
      </c>
      <c r="Z1868">
        <v>-3.589531E-3</v>
      </c>
      <c r="AA1868">
        <v>0.99482139999999997</v>
      </c>
      <c r="AB1868">
        <v>26</v>
      </c>
      <c r="AC1868">
        <v>-27.917099999999898</v>
      </c>
      <c r="AD1868">
        <v>-1.1104362950640001</v>
      </c>
      <c r="AE1868">
        <v>-1.8656000000000199</v>
      </c>
      <c r="AF1868">
        <v>-2.86711534920186</v>
      </c>
      <c r="AG1868">
        <v>-1.1104362950640001</v>
      </c>
      <c r="AH1868">
        <v>27.787843785843801</v>
      </c>
      <c r="AI1868">
        <v>92.276320181381493</v>
      </c>
      <c r="AJ1868">
        <v>95.890862248052699</v>
      </c>
      <c r="AK1868">
        <v>27.9574262309227</v>
      </c>
      <c r="AL1868">
        <v>79.409964668579903</v>
      </c>
      <c r="AM1868">
        <v>93.642147563644599</v>
      </c>
      <c r="AN1868">
        <v>1.0000000033924401</v>
      </c>
    </row>
    <row r="1869" spans="1:40" x14ac:dyDescent="0.25">
      <c r="A1869" t="str">
        <f>"20190304155631860"</f>
        <v>20190304155631860</v>
      </c>
      <c r="B1869" t="str">
        <f>"1551686191856934"</f>
        <v>1551686191856934</v>
      </c>
      <c r="C1869" t="s">
        <v>40</v>
      </c>
      <c r="D1869">
        <v>4.9731730000000001</v>
      </c>
      <c r="E1869">
        <v>0.47254479999999999</v>
      </c>
      <c r="F1869" t="s">
        <v>55</v>
      </c>
      <c r="G1869">
        <v>-274.81479999999999</v>
      </c>
      <c r="H1869" s="1">
        <v>1.237698E-6</v>
      </c>
      <c r="I1869">
        <v>279.7604</v>
      </c>
      <c r="J1869">
        <v>-240.291</v>
      </c>
      <c r="K1869">
        <v>1.1104620000000001</v>
      </c>
      <c r="L1869">
        <v>282.8913</v>
      </c>
      <c r="M1869">
        <v>-0.99929270000000003</v>
      </c>
      <c r="N1869">
        <v>-1.175229E-2</v>
      </c>
      <c r="O1869">
        <v>3.5721320000000001E-2</v>
      </c>
      <c r="P1869">
        <v>-0.98455389999999998</v>
      </c>
      <c r="Q1869">
        <v>0.17304359999999999</v>
      </c>
      <c r="R1869">
        <v>-2.6640150000000001E-2</v>
      </c>
      <c r="S1869">
        <v>-3.0563959999999999</v>
      </c>
      <c r="T1869">
        <v>-9.7636100000000003E-2</v>
      </c>
      <c r="U1869">
        <v>-0.2745667</v>
      </c>
      <c r="V1869">
        <v>-6.190739E-2</v>
      </c>
      <c r="W1869">
        <v>0.18454619999999999</v>
      </c>
      <c r="X1869">
        <v>0.98087219999999997</v>
      </c>
      <c r="Y1869">
        <v>-0.12490270000000001</v>
      </c>
      <c r="Z1869">
        <v>-3.4461800000000001E-3</v>
      </c>
      <c r="AA1869">
        <v>0.99216300000000002</v>
      </c>
      <c r="AB1869">
        <v>26</v>
      </c>
      <c r="AC1869">
        <v>-34.523799999999902</v>
      </c>
      <c r="AD1869">
        <v>-1.110460762302</v>
      </c>
      <c r="AE1869">
        <v>-3.1308999999999898</v>
      </c>
      <c r="AF1869">
        <v>-4.3577506969346098</v>
      </c>
      <c r="AG1869">
        <v>-1.110460762302</v>
      </c>
      <c r="AH1869">
        <v>34.354662781570603</v>
      </c>
      <c r="AI1869">
        <v>91.8366453468808</v>
      </c>
      <c r="AJ1869">
        <v>97.229131979012493</v>
      </c>
      <c r="AK1869">
        <v>34.647741182892197</v>
      </c>
      <c r="AL1869">
        <v>79.365324499113399</v>
      </c>
      <c r="AM1869">
        <v>93.611411941129106</v>
      </c>
      <c r="AN1869">
        <v>1.00000004880194</v>
      </c>
    </row>
    <row r="1870" spans="1:40" x14ac:dyDescent="0.25">
      <c r="A1870" t="str">
        <f>"20190304155631883"</f>
        <v>20190304155631883</v>
      </c>
      <c r="B1870" t="str">
        <f>"1551686191876454"</f>
        <v>1551686191876454</v>
      </c>
      <c r="C1870" t="s">
        <v>40</v>
      </c>
      <c r="D1870">
        <v>4.8491619999999998</v>
      </c>
      <c r="E1870">
        <v>0.4728443</v>
      </c>
      <c r="F1870" t="s">
        <v>55</v>
      </c>
      <c r="G1870">
        <v>-274.34210000000002</v>
      </c>
      <c r="H1870">
        <v>5.4971979999999997E-2</v>
      </c>
      <c r="I1870">
        <v>279.6114</v>
      </c>
      <c r="J1870">
        <v>-240.54679999999999</v>
      </c>
      <c r="K1870">
        <v>1.11049</v>
      </c>
      <c r="L1870">
        <v>282.89999999999998</v>
      </c>
      <c r="M1870">
        <v>-0.99930390000000002</v>
      </c>
      <c r="N1870">
        <v>-1.1954319999999999E-2</v>
      </c>
      <c r="O1870">
        <v>3.5340799999999999E-2</v>
      </c>
      <c r="P1870">
        <v>-0.98466030000000004</v>
      </c>
      <c r="Q1870">
        <v>0.17245529999999901</v>
      </c>
      <c r="R1870">
        <v>-2.652156E-2</v>
      </c>
      <c r="S1870">
        <v>-3.0557560000000001</v>
      </c>
      <c r="T1870">
        <v>-9.4719890000000001E-2</v>
      </c>
      <c r="U1870">
        <v>-0.29434199999999999</v>
      </c>
      <c r="V1870">
        <v>-6.1418010000000002E-2</v>
      </c>
      <c r="W1870">
        <v>0.18415809999999999</v>
      </c>
      <c r="X1870">
        <v>0.98097590000000001</v>
      </c>
      <c r="Y1870">
        <v>-0.13090769999999999</v>
      </c>
      <c r="Z1870">
        <v>-3.4799000000000002E-3</v>
      </c>
      <c r="AA1870">
        <v>0.99138839999999995</v>
      </c>
      <c r="AB1870">
        <v>26</v>
      </c>
      <c r="AC1870">
        <v>-33.795299999999997</v>
      </c>
      <c r="AD1870">
        <v>-1.0555180200000001</v>
      </c>
      <c r="AE1870">
        <v>-3.28859999999997</v>
      </c>
      <c r="AF1870">
        <v>-4.4766576398907301</v>
      </c>
      <c r="AG1870">
        <v>-1.0555180200000001</v>
      </c>
      <c r="AH1870">
        <v>33.625462338931797</v>
      </c>
      <c r="AI1870">
        <v>91.782234420002396</v>
      </c>
      <c r="AJ1870">
        <v>97.583363574433804</v>
      </c>
      <c r="AK1870">
        <v>33.9385665493147</v>
      </c>
      <c r="AL1870">
        <v>79.387948745616299</v>
      </c>
      <c r="AM1870">
        <v>93.582560501116106</v>
      </c>
      <c r="AN1870">
        <v>1.0000000470643799</v>
      </c>
    </row>
    <row r="1871" spans="1:40" x14ac:dyDescent="0.25">
      <c r="A1871" t="str">
        <f>"20190304155631904"</f>
        <v>20190304155631904</v>
      </c>
      <c r="B1871" t="str">
        <f>"1551686191896951"</f>
        <v>1551686191896951</v>
      </c>
      <c r="C1871" t="s">
        <v>40</v>
      </c>
      <c r="D1871">
        <v>4.729641</v>
      </c>
      <c r="E1871">
        <v>0.47288069999999999</v>
      </c>
      <c r="F1871" t="s">
        <v>55</v>
      </c>
      <c r="G1871">
        <v>-275.99200000000002</v>
      </c>
      <c r="H1871">
        <v>8.0001390000000006E-2</v>
      </c>
      <c r="I1871">
        <v>279.50659999999999</v>
      </c>
      <c r="J1871">
        <v>-240.8015</v>
      </c>
      <c r="K1871">
        <v>1.1105149999999999</v>
      </c>
      <c r="L1871">
        <v>282.90859999999998</v>
      </c>
      <c r="M1871">
        <v>-0.99931479999999995</v>
      </c>
      <c r="N1871">
        <v>-1.2152369999999999E-2</v>
      </c>
      <c r="O1871">
        <v>3.4963300000000003E-2</v>
      </c>
      <c r="P1871">
        <v>-0.98478149999999998</v>
      </c>
      <c r="Q1871">
        <v>0.1717747</v>
      </c>
      <c r="R1871">
        <v>-2.6438679999999999E-2</v>
      </c>
      <c r="S1871">
        <v>-3.0543979999999999</v>
      </c>
      <c r="T1871">
        <v>-8.8799719999999999E-2</v>
      </c>
      <c r="U1871">
        <v>-0.2924194</v>
      </c>
      <c r="V1871">
        <v>-6.0967550000000002E-2</v>
      </c>
      <c r="W1871">
        <v>0.183674</v>
      </c>
      <c r="X1871">
        <v>0.98109469999999999</v>
      </c>
      <c r="Y1871">
        <v>-0.12996759999999999</v>
      </c>
      <c r="Z1871">
        <v>-3.2667719999999998E-3</v>
      </c>
      <c r="AA1871">
        <v>0.99151290000000003</v>
      </c>
      <c r="AB1871">
        <v>26</v>
      </c>
      <c r="AC1871">
        <v>-35.1905</v>
      </c>
      <c r="AD1871">
        <v>-1.0305136100000001</v>
      </c>
      <c r="AE1871">
        <v>-3.4019999999999802</v>
      </c>
      <c r="AF1871">
        <v>-4.6264558017771602</v>
      </c>
      <c r="AG1871">
        <v>-1.0305136100000001</v>
      </c>
      <c r="AH1871">
        <v>35.020273957135501</v>
      </c>
      <c r="AI1871">
        <v>91.671000562575003</v>
      </c>
      <c r="AJ1871">
        <v>97.525648111185006</v>
      </c>
      <c r="AK1871">
        <v>35.339576109781198</v>
      </c>
      <c r="AL1871">
        <v>79.416166426214502</v>
      </c>
      <c r="AM1871">
        <v>93.555922970669599</v>
      </c>
      <c r="AN1871">
        <v>0.999999995398546</v>
      </c>
    </row>
    <row r="1872" spans="1:40" x14ac:dyDescent="0.25">
      <c r="A1872" t="str">
        <f>"20190304155631928"</f>
        <v>20190304155631928</v>
      </c>
      <c r="B1872" t="str">
        <f>"1551686191916470"</f>
        <v>1551686191916470</v>
      </c>
      <c r="C1872" t="s">
        <v>40</v>
      </c>
      <c r="D1872">
        <v>4.7938679999999998</v>
      </c>
      <c r="E1872">
        <v>0.47308899999999998</v>
      </c>
      <c r="F1872" t="s">
        <v>55</v>
      </c>
      <c r="G1872">
        <v>-275.65559999999999</v>
      </c>
      <c r="H1872">
        <v>8.0001489999999995E-2</v>
      </c>
      <c r="I1872">
        <v>279.5838</v>
      </c>
      <c r="J1872">
        <v>-241.07040000000001</v>
      </c>
      <c r="K1872">
        <v>1.1105389999999999</v>
      </c>
      <c r="L1872">
        <v>282.91750000000002</v>
      </c>
      <c r="M1872">
        <v>-0.99932619999999905</v>
      </c>
      <c r="N1872">
        <v>-1.2349590000000001E-2</v>
      </c>
      <c r="O1872">
        <v>3.4564619999999997E-2</v>
      </c>
      <c r="P1872">
        <v>-0.98481850000000004</v>
      </c>
      <c r="Q1872">
        <v>0.17158399999999999</v>
      </c>
      <c r="R1872">
        <v>-2.629859E-2</v>
      </c>
      <c r="S1872">
        <v>-3.0542760000000002</v>
      </c>
      <c r="T1872">
        <v>-9.0304259999999997E-2</v>
      </c>
      <c r="U1872">
        <v>-0.29135129999999998</v>
      </c>
      <c r="V1872">
        <v>-6.0436520000000001E-2</v>
      </c>
      <c r="W1872">
        <v>0.18367820000000001</v>
      </c>
      <c r="X1872">
        <v>0.98112679999999997</v>
      </c>
      <c r="Y1872">
        <v>-0.12922990000000001</v>
      </c>
      <c r="Z1872">
        <v>-3.2996929999999998E-3</v>
      </c>
      <c r="AA1872">
        <v>0.99160919999999997</v>
      </c>
      <c r="AB1872">
        <v>26</v>
      </c>
      <c r="AC1872">
        <v>-34.585199999999901</v>
      </c>
      <c r="AD1872">
        <v>-1.03053751</v>
      </c>
      <c r="AE1872">
        <v>-3.3337000000000199</v>
      </c>
      <c r="AF1872">
        <v>-4.5232440503012201</v>
      </c>
      <c r="AG1872">
        <v>-1.03053751</v>
      </c>
      <c r="AH1872">
        <v>34.419015998522802</v>
      </c>
      <c r="AI1872">
        <v>91.7003653728665</v>
      </c>
      <c r="AJ1872">
        <v>97.486736827795198</v>
      </c>
      <c r="AK1872">
        <v>34.730252037736101</v>
      </c>
      <c r="AL1872">
        <v>79.415921945452993</v>
      </c>
      <c r="AM1872">
        <v>93.524914126778498</v>
      </c>
      <c r="AN1872">
        <v>1.00000002589159</v>
      </c>
    </row>
    <row r="1873" spans="1:40" x14ac:dyDescent="0.25">
      <c r="A1873" t="str">
        <f>"20190304155631950"</f>
        <v>20190304155631950</v>
      </c>
      <c r="B1873" t="str">
        <f>"1551686191946727"</f>
        <v>1551686191946727</v>
      </c>
      <c r="C1873" t="s">
        <v>40</v>
      </c>
      <c r="D1873">
        <v>4.7528750000000004</v>
      </c>
      <c r="E1873">
        <v>0.47373850000000001</v>
      </c>
      <c r="F1873" t="s">
        <v>55</v>
      </c>
      <c r="G1873">
        <v>-277.375</v>
      </c>
      <c r="H1873">
        <v>8.0000979999999999E-2</v>
      </c>
      <c r="I1873">
        <v>279.47359999999998</v>
      </c>
      <c r="J1873">
        <v>-241.32069999999999</v>
      </c>
      <c r="K1873">
        <v>1.1105579999999999</v>
      </c>
      <c r="L1873">
        <v>282.92579999999998</v>
      </c>
      <c r="M1873">
        <v>-0.99933680000000003</v>
      </c>
      <c r="N1873">
        <v>-1.252168E-2</v>
      </c>
      <c r="O1873">
        <v>3.4192430000000003E-2</v>
      </c>
      <c r="P1873">
        <v>-0.98479240000000001</v>
      </c>
      <c r="Q1873">
        <v>0.17176620000000001</v>
      </c>
      <c r="R1873">
        <v>-2.6083769999999999E-2</v>
      </c>
      <c r="S1873">
        <v>-3.0536349999999999</v>
      </c>
      <c r="T1873">
        <v>-8.6680170000000001E-2</v>
      </c>
      <c r="U1873">
        <v>-0.28967290000000001</v>
      </c>
      <c r="V1873">
        <v>-5.9855199999999997E-2</v>
      </c>
      <c r="W1873">
        <v>0.18402979999999999</v>
      </c>
      <c r="X1873">
        <v>0.98109650000000004</v>
      </c>
      <c r="Y1873">
        <v>-0.1283465</v>
      </c>
      <c r="Z1873">
        <v>-3.1642110000000001E-3</v>
      </c>
      <c r="AA1873">
        <v>0.99172439999999995</v>
      </c>
      <c r="AB1873">
        <v>26</v>
      </c>
      <c r="AC1873">
        <v>-36.054299999999998</v>
      </c>
      <c r="AD1873">
        <v>-1.0305570199999901</v>
      </c>
      <c r="AE1873">
        <v>-3.4521999999999999</v>
      </c>
      <c r="AF1873">
        <v>-4.6792735808237804</v>
      </c>
      <c r="AG1873">
        <v>-1.0305570199999901</v>
      </c>
      <c r="AH1873">
        <v>35.886113097389298</v>
      </c>
      <c r="AI1873">
        <v>91.631135165255401</v>
      </c>
      <c r="AJ1873">
        <v>97.429015789508696</v>
      </c>
      <c r="AK1873">
        <v>36.204568251179097</v>
      </c>
      <c r="AL1873">
        <v>79.395426869222604</v>
      </c>
      <c r="AM1873">
        <v>93.491200891342203</v>
      </c>
      <c r="AN1873">
        <v>0.99999997728366397</v>
      </c>
    </row>
    <row r="1874" spans="1:40" x14ac:dyDescent="0.25">
      <c r="A1874" t="str">
        <f>"20190304155631963"</f>
        <v>20190304155631963</v>
      </c>
      <c r="B1874" t="str">
        <f>"1551686191956486"</f>
        <v>1551686191956486</v>
      </c>
      <c r="C1874" t="s">
        <v>40</v>
      </c>
      <c r="D1874">
        <v>4.7684620000000004</v>
      </c>
      <c r="E1874">
        <v>0.47374620000000001</v>
      </c>
      <c r="F1874" t="s">
        <v>64</v>
      </c>
      <c r="G1874">
        <v>-280.01319999999998</v>
      </c>
      <c r="H1874">
        <v>8.000177E-2</v>
      </c>
      <c r="I1874">
        <v>279.3261</v>
      </c>
      <c r="J1874">
        <v>-241.47929999999999</v>
      </c>
      <c r="K1874">
        <v>1.1105670000000001</v>
      </c>
      <c r="L1874">
        <v>282.93099999999998</v>
      </c>
      <c r="M1874">
        <v>-0.9993438</v>
      </c>
      <c r="N1874">
        <v>-1.262478E-2</v>
      </c>
      <c r="O1874">
        <v>3.395658E-2</v>
      </c>
      <c r="P1874">
        <v>-0.98476019999999997</v>
      </c>
      <c r="Q1874">
        <v>0.17189289999999999</v>
      </c>
      <c r="R1874">
        <v>-2.6469220000000002E-2</v>
      </c>
      <c r="S1874">
        <v>-3.052994</v>
      </c>
      <c r="T1874">
        <v>-8.1315280000000004E-2</v>
      </c>
      <c r="U1874">
        <v>-0.28402709999999998</v>
      </c>
      <c r="V1874">
        <v>-6.0007449999999997E-2</v>
      </c>
      <c r="W1874">
        <v>0.18425659999999999</v>
      </c>
      <c r="X1874">
        <v>0.98104469999999999</v>
      </c>
      <c r="Y1874">
        <v>-0.1263232</v>
      </c>
      <c r="Z1874">
        <v>-2.95262E-3</v>
      </c>
      <c r="AA1874">
        <v>0.99198470000000005</v>
      </c>
      <c r="AB1874">
        <v>26</v>
      </c>
      <c r="AC1874">
        <v>-38.533899999999903</v>
      </c>
      <c r="AD1874">
        <v>-1.0305652300000001</v>
      </c>
      <c r="AE1874">
        <v>-3.6048999999999798</v>
      </c>
      <c r="AF1874">
        <v>-4.9079242042189799</v>
      </c>
      <c r="AG1874">
        <v>-1.0305652300000001</v>
      </c>
      <c r="AH1874">
        <v>38.362053658477798</v>
      </c>
      <c r="AI1874">
        <v>91.526398909198207</v>
      </c>
      <c r="AJ1874">
        <v>97.2906421077072</v>
      </c>
      <c r="AK1874">
        <v>38.688460108714203</v>
      </c>
      <c r="AL1874">
        <v>79.382206842015293</v>
      </c>
      <c r="AM1874">
        <v>93.500243543421306</v>
      </c>
      <c r="AN1874">
        <v>1.0000000460485701</v>
      </c>
    </row>
    <row r="1875" spans="1:40" x14ac:dyDescent="0.25">
      <c r="A1875" t="str">
        <f>"20190304155631983"</f>
        <v>20190304155631983</v>
      </c>
      <c r="B1875" t="str">
        <f>"1551686191976982"</f>
        <v>1551686191976982</v>
      </c>
      <c r="C1875" t="s">
        <v>40</v>
      </c>
      <c r="D1875">
        <v>4.7151940000000003</v>
      </c>
      <c r="E1875">
        <v>0.47382380000000002</v>
      </c>
      <c r="F1875" t="s">
        <v>64</v>
      </c>
      <c r="G1875">
        <v>-281.40309999999999</v>
      </c>
      <c r="H1875">
        <v>8.0001580000000003E-2</v>
      </c>
      <c r="I1875">
        <v>279.19580000000002</v>
      </c>
      <c r="J1875">
        <v>-241.70650000000001</v>
      </c>
      <c r="K1875">
        <v>1.110579</v>
      </c>
      <c r="L1875">
        <v>282.93830000000003</v>
      </c>
      <c r="M1875">
        <v>-0.9993533</v>
      </c>
      <c r="N1875">
        <v>-1.276507E-2</v>
      </c>
      <c r="O1875">
        <v>3.3618559999999999E-2</v>
      </c>
      <c r="P1875">
        <v>-0.98479810000000001</v>
      </c>
      <c r="Q1875">
        <v>0.17167460000000001</v>
      </c>
      <c r="R1875">
        <v>-2.64724E-2</v>
      </c>
      <c r="S1875">
        <v>-3.052521</v>
      </c>
      <c r="T1875">
        <v>-7.8795790000000004E-2</v>
      </c>
      <c r="U1875">
        <v>-0.28558349999999999</v>
      </c>
      <c r="V1875">
        <v>-5.9679950000000002E-2</v>
      </c>
      <c r="W1875">
        <v>0.18417739999999999</v>
      </c>
      <c r="X1875">
        <v>0.98107949999999999</v>
      </c>
      <c r="Y1875">
        <v>-0.12650690000000001</v>
      </c>
      <c r="Z1875">
        <v>-2.8762919999999999E-3</v>
      </c>
      <c r="AA1875">
        <v>0.99196150000000005</v>
      </c>
      <c r="AB1875">
        <v>26</v>
      </c>
      <c r="AC1875">
        <v>-39.696599999999897</v>
      </c>
      <c r="AD1875">
        <v>-1.03057742</v>
      </c>
      <c r="AE1875">
        <v>-3.7425000000000002</v>
      </c>
      <c r="AF1875">
        <v>-5.0716471793085498</v>
      </c>
      <c r="AG1875">
        <v>-1.03057742</v>
      </c>
      <c r="AH1875">
        <v>39.521926822548899</v>
      </c>
      <c r="AI1875">
        <v>91.481568146419207</v>
      </c>
      <c r="AJ1875">
        <v>97.312510696533494</v>
      </c>
      <c r="AK1875">
        <v>39.859332592216298</v>
      </c>
      <c r="AL1875">
        <v>79.386823168406707</v>
      </c>
      <c r="AM1875">
        <v>93.481064348582706</v>
      </c>
      <c r="AN1875">
        <v>0.99999999821150598</v>
      </c>
    </row>
    <row r="1876" spans="1:40" x14ac:dyDescent="0.25">
      <c r="A1876" t="str">
        <f>"20190304155632006"</f>
        <v>20190304155632006</v>
      </c>
      <c r="B1876" t="str">
        <f>"1551686191996502"</f>
        <v>1551686191996502</v>
      </c>
      <c r="C1876" t="s">
        <v>40</v>
      </c>
      <c r="D1876">
        <v>4.6954399999999996</v>
      </c>
      <c r="E1876">
        <v>0.47388609999999998</v>
      </c>
      <c r="F1876" t="s">
        <v>64</v>
      </c>
      <c r="G1876">
        <v>-282.82619999999997</v>
      </c>
      <c r="H1876">
        <v>8.0001359999999994E-2</v>
      </c>
      <c r="I1876">
        <v>279.09719999999999</v>
      </c>
      <c r="J1876">
        <v>-241.96889999999999</v>
      </c>
      <c r="K1876">
        <v>1.1105879999999999</v>
      </c>
      <c r="L1876">
        <v>282.94670000000002</v>
      </c>
      <c r="M1876">
        <v>-0.99936449999999999</v>
      </c>
      <c r="N1876">
        <v>-1.2912379999999999E-2</v>
      </c>
      <c r="O1876">
        <v>3.3227560000000003E-2</v>
      </c>
      <c r="P1876">
        <v>-0.98485120000000004</v>
      </c>
      <c r="Q1876">
        <v>0.17133039999999999</v>
      </c>
      <c r="R1876">
        <v>-2.6725849999999999E-2</v>
      </c>
      <c r="S1876">
        <v>-3.0520019999999999</v>
      </c>
      <c r="T1876">
        <v>-7.6492069999999995E-2</v>
      </c>
      <c r="U1876">
        <v>-0.28509519999999999</v>
      </c>
      <c r="V1876">
        <v>-5.9550270000000002E-2</v>
      </c>
      <c r="W1876">
        <v>0.18397820000000001</v>
      </c>
      <c r="X1876">
        <v>0.98112480000000002</v>
      </c>
      <c r="Y1876">
        <v>-0.1259805</v>
      </c>
      <c r="Z1876">
        <v>-2.7934470000000001E-3</v>
      </c>
      <c r="AA1876">
        <v>0.99202880000000004</v>
      </c>
      <c r="AB1876">
        <v>26</v>
      </c>
      <c r="AC1876">
        <v>-40.857299999999903</v>
      </c>
      <c r="AD1876">
        <v>-1.0305866400000001</v>
      </c>
      <c r="AE1876">
        <v>-3.8495000000000301</v>
      </c>
      <c r="AF1876">
        <v>-5.2017949016826703</v>
      </c>
      <c r="AG1876">
        <v>-1.0305866400000001</v>
      </c>
      <c r="AH1876">
        <v>40.681159441173797</v>
      </c>
      <c r="AI1876">
        <v>91.439463872535896</v>
      </c>
      <c r="AJ1876">
        <v>97.286722362311195</v>
      </c>
      <c r="AK1876">
        <v>41.025327695216802</v>
      </c>
      <c r="AL1876">
        <v>79.398435392802995</v>
      </c>
      <c r="AM1876">
        <v>93.473358815194302</v>
      </c>
      <c r="AN1876">
        <v>1.00000004295367</v>
      </c>
    </row>
    <row r="1877" spans="1:40" x14ac:dyDescent="0.25">
      <c r="A1877" t="str">
        <f>"20190304155632031"</f>
        <v>20190304155632031</v>
      </c>
      <c r="B1877" t="str">
        <f>"1551686192026761"</f>
        <v>1551686192026761</v>
      </c>
      <c r="C1877" t="s">
        <v>40</v>
      </c>
      <c r="D1877">
        <v>4.6907860000000001</v>
      </c>
      <c r="E1877">
        <v>0.4739334</v>
      </c>
      <c r="F1877" t="s">
        <v>64</v>
      </c>
      <c r="G1877">
        <v>-284.11450000000002</v>
      </c>
      <c r="H1877">
        <v>8.0001180000000005E-2</v>
      </c>
      <c r="I1877">
        <v>279.0018</v>
      </c>
      <c r="J1877">
        <v>-242.23920000000001</v>
      </c>
      <c r="K1877">
        <v>1.1106</v>
      </c>
      <c r="L1877">
        <v>282.95519999999999</v>
      </c>
      <c r="M1877">
        <v>-0.99937600000000004</v>
      </c>
      <c r="N1877">
        <v>-1.304671E-2</v>
      </c>
      <c r="O1877">
        <v>3.2824300000000001E-2</v>
      </c>
      <c r="P1877">
        <v>-0.98485959999999995</v>
      </c>
      <c r="Q1877">
        <v>0.17129229999999901</v>
      </c>
      <c r="R1877">
        <v>-2.66587E-2</v>
      </c>
      <c r="S1877">
        <v>-3.0513919999999999</v>
      </c>
      <c r="T1877">
        <v>-7.4615719999999996E-2</v>
      </c>
      <c r="U1877">
        <v>-0.28561399999999998</v>
      </c>
      <c r="V1877">
        <v>-5.9086529999999998E-2</v>
      </c>
      <c r="W1877">
        <v>0.1840724</v>
      </c>
      <c r="X1877">
        <v>0.98113510000000004</v>
      </c>
      <c r="Y1877">
        <v>-0.12576850000000001</v>
      </c>
      <c r="Z1877">
        <v>-2.7303570000000001E-3</v>
      </c>
      <c r="AA1877">
        <v>0.99205589999999999</v>
      </c>
      <c r="AB1877">
        <v>26</v>
      </c>
      <c r="AC1877">
        <v>-41.875300000000003</v>
      </c>
      <c r="AD1877">
        <v>-1.03059882</v>
      </c>
      <c r="AE1877">
        <v>-3.9533999999999798</v>
      </c>
      <c r="AF1877">
        <v>-5.3227181468067402</v>
      </c>
      <c r="AG1877">
        <v>-1.03059882</v>
      </c>
      <c r="AH1877">
        <v>41.697918854218798</v>
      </c>
      <c r="AI1877">
        <v>91.404433358469703</v>
      </c>
      <c r="AJ1877">
        <v>97.274436521058604</v>
      </c>
      <c r="AK1877">
        <v>42.048898905573601</v>
      </c>
      <c r="AL1877">
        <v>79.3929436277121</v>
      </c>
      <c r="AM1877">
        <v>93.446339841093803</v>
      </c>
      <c r="AN1877">
        <v>0.99999997546060504</v>
      </c>
    </row>
    <row r="1878" spans="1:40" x14ac:dyDescent="0.25">
      <c r="A1878" t="str">
        <f>"20190304155632051"</f>
        <v>20190304155632051</v>
      </c>
      <c r="B1878" t="str">
        <f>"1551686192046816"</f>
        <v>1551686192046816</v>
      </c>
      <c r="C1878" t="s">
        <v>40</v>
      </c>
      <c r="D1878">
        <v>4.6658140000000001</v>
      </c>
      <c r="E1878">
        <v>0.47394320000000001</v>
      </c>
      <c r="F1878" t="s">
        <v>64</v>
      </c>
      <c r="G1878">
        <v>-286.40429999999998</v>
      </c>
      <c r="H1878">
        <v>8.0001210000000003E-2</v>
      </c>
      <c r="I1878">
        <v>278.82440000000003</v>
      </c>
      <c r="J1878">
        <v>-242.48589999999999</v>
      </c>
      <c r="K1878">
        <v>1.110611</v>
      </c>
      <c r="L1878">
        <v>282.96289999999999</v>
      </c>
      <c r="M1878">
        <v>-0.99938660000000001</v>
      </c>
      <c r="N1878">
        <v>-1.3153689999999999E-2</v>
      </c>
      <c r="O1878">
        <v>3.24558E-2</v>
      </c>
      <c r="P1878">
        <v>-0.98484110000000002</v>
      </c>
      <c r="Q1878">
        <v>0.17137249999999901</v>
      </c>
      <c r="R1878">
        <v>-2.6823679999999999E-2</v>
      </c>
      <c r="S1878">
        <v>-3.0507810000000002</v>
      </c>
      <c r="T1878">
        <v>-7.1190359999999994E-2</v>
      </c>
      <c r="U1878">
        <v>-0.28533940000000002</v>
      </c>
      <c r="V1878">
        <v>-5.8888889999999999E-2</v>
      </c>
      <c r="W1878">
        <v>0.18425800000000001</v>
      </c>
      <c r="X1878">
        <v>0.98111219999999999</v>
      </c>
      <c r="Y1878">
        <v>-0.12533730000000001</v>
      </c>
      <c r="Z1878">
        <v>-2.6152520000000002E-3</v>
      </c>
      <c r="AA1878">
        <v>0.99211070000000001</v>
      </c>
      <c r="AB1878">
        <v>26</v>
      </c>
      <c r="AC1878">
        <v>-43.918399999999899</v>
      </c>
      <c r="AD1878">
        <v>-1.03060979</v>
      </c>
      <c r="AE1878">
        <v>-4.1384999999999597</v>
      </c>
      <c r="AF1878">
        <v>-5.5588153365906603</v>
      </c>
      <c r="AG1878">
        <v>-1.03060979</v>
      </c>
      <c r="AH1878">
        <v>43.737055659772601</v>
      </c>
      <c r="AI1878">
        <v>91.339086462056002</v>
      </c>
      <c r="AJ1878">
        <v>97.243243620831095</v>
      </c>
      <c r="AK1878">
        <v>44.100936750500097</v>
      </c>
      <c r="AL1878">
        <v>79.382125063132406</v>
      </c>
      <c r="AM1878">
        <v>93.434919719725997</v>
      </c>
      <c r="AN1878">
        <v>1.0000000304591301</v>
      </c>
    </row>
    <row r="1879" spans="1:40" x14ac:dyDescent="0.25">
      <c r="A1879" t="str">
        <f>"20190304155632073"</f>
        <v>20190304155632073</v>
      </c>
      <c r="B1879" t="str">
        <f>"1551686192066336"</f>
        <v>1551686192066336</v>
      </c>
      <c r="C1879" t="s">
        <v>40</v>
      </c>
      <c r="D1879">
        <v>5.0468419999999998</v>
      </c>
      <c r="E1879">
        <v>0.47403729999999999</v>
      </c>
      <c r="F1879" t="s">
        <v>64</v>
      </c>
      <c r="G1879">
        <v>-288.03590000000003</v>
      </c>
      <c r="H1879">
        <v>8.0001349999999999E-2</v>
      </c>
      <c r="I1879">
        <v>278.69209999999998</v>
      </c>
      <c r="J1879">
        <v>-242.72810000000001</v>
      </c>
      <c r="K1879">
        <v>1.1106180000000001</v>
      </c>
      <c r="L1879">
        <v>282.97030000000001</v>
      </c>
      <c r="M1879">
        <v>-0.99939730000000004</v>
      </c>
      <c r="N1879">
        <v>-1.324698E-2</v>
      </c>
      <c r="O1879">
        <v>3.2093480000000001E-2</v>
      </c>
      <c r="P1879">
        <v>-0.98485999999999996</v>
      </c>
      <c r="Q1879">
        <v>0.1712784</v>
      </c>
      <c r="R1879">
        <v>-2.6736070000000001E-2</v>
      </c>
      <c r="S1879">
        <v>-3.0503999999999998</v>
      </c>
      <c r="T1879">
        <v>-6.9018010000000005E-2</v>
      </c>
      <c r="U1879">
        <v>-0.28601070000000001</v>
      </c>
      <c r="V1879">
        <v>-5.8444459999999997E-2</v>
      </c>
      <c r="W1879">
        <v>0.18425610000000001</v>
      </c>
      <c r="X1879">
        <v>0.98113910000000004</v>
      </c>
      <c r="Y1879">
        <v>-0.125208399999999</v>
      </c>
      <c r="Z1879">
        <v>-2.5450690000000001E-3</v>
      </c>
      <c r="AA1879">
        <v>0.99212719999999999</v>
      </c>
      <c r="AB1879">
        <v>26</v>
      </c>
      <c r="AC1879">
        <v>-45.3078</v>
      </c>
      <c r="AD1879">
        <v>-1.03061665</v>
      </c>
      <c r="AE1879">
        <v>-4.2782000000000204</v>
      </c>
      <c r="AF1879">
        <v>-5.7272707962481197</v>
      </c>
      <c r="AG1879">
        <v>-1.03061665</v>
      </c>
      <c r="AH1879">
        <v>45.124000233189697</v>
      </c>
      <c r="AI1879">
        <v>91.297978950978802</v>
      </c>
      <c r="AJ1879">
        <v>97.233471904366098</v>
      </c>
      <c r="AK1879">
        <v>45.497683441002998</v>
      </c>
      <c r="AL1879">
        <v>79.382235488117402</v>
      </c>
      <c r="AM1879">
        <v>93.408964763822496</v>
      </c>
      <c r="AN1879">
        <v>0.999999999420355</v>
      </c>
    </row>
    <row r="1880" spans="1:40" x14ac:dyDescent="0.25">
      <c r="A1880" t="str">
        <f>"20190304155632094"</f>
        <v>20190304155632094</v>
      </c>
      <c r="B1880" t="str">
        <f>"1551686192086839"</f>
        <v>1551686192086839</v>
      </c>
      <c r="C1880" t="s">
        <v>40</v>
      </c>
      <c r="D1880">
        <v>4.7032860000000003</v>
      </c>
      <c r="E1880">
        <v>0.51073000000000002</v>
      </c>
      <c r="F1880" t="s">
        <v>64</v>
      </c>
      <c r="G1880">
        <v>-288.57350000000002</v>
      </c>
      <c r="H1880">
        <v>8.0001180000000005E-2</v>
      </c>
      <c r="I1880">
        <v>278.685</v>
      </c>
      <c r="J1880">
        <v>-242.9751</v>
      </c>
      <c r="K1880">
        <v>1.110625</v>
      </c>
      <c r="L1880">
        <v>282.9778</v>
      </c>
      <c r="M1880">
        <v>-0.99940779999999996</v>
      </c>
      <c r="N1880">
        <v>-1.3330740000000001E-2</v>
      </c>
      <c r="O1880">
        <v>3.1723660000000001E-2</v>
      </c>
      <c r="P1880">
        <v>-0.9848732</v>
      </c>
      <c r="Q1880">
        <v>0.17118839999999999</v>
      </c>
      <c r="R1880">
        <v>-2.6822619999999998E-2</v>
      </c>
      <c r="S1880">
        <v>-3.0503230000000001</v>
      </c>
      <c r="T1880">
        <v>-6.8572159999999993E-2</v>
      </c>
      <c r="U1880">
        <v>-0.28512569999999998</v>
      </c>
      <c r="V1880">
        <v>-5.8167099999999902E-2</v>
      </c>
      <c r="W1880">
        <v>0.18424960000000001</v>
      </c>
      <c r="X1880">
        <v>0.98115680000000005</v>
      </c>
      <c r="Y1880">
        <v>-0.124559</v>
      </c>
      <c r="Z1880">
        <v>-2.5188979999999999E-3</v>
      </c>
      <c r="AA1880">
        <v>0.99220900000000001</v>
      </c>
      <c r="AB1880">
        <v>26</v>
      </c>
      <c r="AC1880">
        <v>-45.598399999999998</v>
      </c>
      <c r="AD1880">
        <v>-1.03062382</v>
      </c>
      <c r="AE1880">
        <v>-4.2927999999999997</v>
      </c>
      <c r="AF1880">
        <v>-5.7344118660081396</v>
      </c>
      <c r="AG1880">
        <v>-1.03062382</v>
      </c>
      <c r="AH1880">
        <v>45.4162523390658</v>
      </c>
      <c r="AI1880">
        <v>91.289744238762594</v>
      </c>
      <c r="AJ1880">
        <v>97.196280841560096</v>
      </c>
      <c r="AK1880">
        <v>45.788444409403802</v>
      </c>
      <c r="AL1880">
        <v>79.382614365654703</v>
      </c>
      <c r="AM1880">
        <v>93.392763651227796</v>
      </c>
      <c r="AN1880">
        <v>0.99999999640440496</v>
      </c>
    </row>
    <row r="1881" spans="1:40" x14ac:dyDescent="0.25">
      <c r="A1881" t="str">
        <f>"20190304155632118"</f>
        <v>20190304155632118</v>
      </c>
      <c r="B1881" t="str">
        <f>"1551686192106355"</f>
        <v>1551686192106355</v>
      </c>
      <c r="C1881" t="s">
        <v>40</v>
      </c>
      <c r="D1881">
        <v>4.7214919999999996</v>
      </c>
      <c r="E1881">
        <v>0.51518439999999999</v>
      </c>
      <c r="F1881" t="s">
        <v>64</v>
      </c>
      <c r="G1881">
        <v>-309.35700000000003</v>
      </c>
      <c r="H1881" s="1">
        <v>2.43514E-6</v>
      </c>
      <c r="I1881">
        <v>283.12569999999999</v>
      </c>
      <c r="J1881">
        <v>-243.23830000000001</v>
      </c>
      <c r="K1881">
        <v>1.1106290000000001</v>
      </c>
      <c r="L1881">
        <v>282.98579999999998</v>
      </c>
      <c r="M1881">
        <v>-0.99941930000000001</v>
      </c>
      <c r="N1881">
        <v>-1.340831E-2</v>
      </c>
      <c r="O1881">
        <v>3.13301E-2</v>
      </c>
      <c r="P1881">
        <v>-0.9847998</v>
      </c>
      <c r="Q1881">
        <v>0.17160139999999999</v>
      </c>
      <c r="R1881">
        <v>-2.6883750000000001E-2</v>
      </c>
      <c r="S1881">
        <v>-3.0551300000000001</v>
      </c>
      <c r="T1881">
        <v>-5.1114800000000002E-2</v>
      </c>
      <c r="U1881">
        <v>6.8054200000000004E-3</v>
      </c>
      <c r="V1881">
        <v>-5.7838880000000002E-2</v>
      </c>
      <c r="W1881">
        <v>0.18473790000000001</v>
      </c>
      <c r="X1881">
        <v>0.98108439999999997</v>
      </c>
      <c r="Y1881">
        <v>-2.9098889999999999E-2</v>
      </c>
      <c r="Z1881">
        <v>-5.42444E-4</v>
      </c>
      <c r="AA1881">
        <v>0.99957640000000003</v>
      </c>
      <c r="AB1881">
        <v>26</v>
      </c>
      <c r="AC1881">
        <v>-66.118700000000004</v>
      </c>
      <c r="AD1881">
        <v>-1.11062656486</v>
      </c>
      <c r="AE1881">
        <v>0.13990000000001099</v>
      </c>
      <c r="AF1881">
        <v>-1.9313151755860201</v>
      </c>
      <c r="AG1881">
        <v>-1.11062656486</v>
      </c>
      <c r="AH1881">
        <v>66.071976997579995</v>
      </c>
      <c r="AI1881">
        <v>90.962602682821696</v>
      </c>
      <c r="AJ1881">
        <v>91.674306021961598</v>
      </c>
      <c r="AK1881">
        <v>66.109527407498206</v>
      </c>
      <c r="AL1881">
        <v>79.354148364255295</v>
      </c>
      <c r="AM1881">
        <v>93.373912005558694</v>
      </c>
      <c r="AN1881">
        <v>1.00000001382971</v>
      </c>
    </row>
    <row r="1882" spans="1:40" x14ac:dyDescent="0.25">
      <c r="A1882" t="str">
        <f>"20190304155632139"</f>
        <v>20190304155632139</v>
      </c>
      <c r="B1882" t="str">
        <f>"1551686192126851"</f>
        <v>1551686192126851</v>
      </c>
      <c r="C1882" t="s">
        <v>40</v>
      </c>
      <c r="D1882">
        <v>4.6834199999999999</v>
      </c>
      <c r="E1882">
        <v>0.51736479999999996</v>
      </c>
      <c r="F1882" t="s">
        <v>64</v>
      </c>
      <c r="G1882">
        <v>-303.25360000000001</v>
      </c>
      <c r="H1882" s="1">
        <v>3.458362E-6</v>
      </c>
      <c r="I1882">
        <v>283.80529999999999</v>
      </c>
      <c r="J1882">
        <v>-243.48259999999999</v>
      </c>
      <c r="K1882">
        <v>1.110633</v>
      </c>
      <c r="L1882">
        <v>282.99299999999999</v>
      </c>
      <c r="M1882">
        <v>-0.99942980000000003</v>
      </c>
      <c r="N1882">
        <v>-1.3470879999999999E-2</v>
      </c>
      <c r="O1882">
        <v>3.0964780000000001E-2</v>
      </c>
      <c r="P1882">
        <v>-0.98480959999999995</v>
      </c>
      <c r="Q1882">
        <v>0.171508299999999</v>
      </c>
      <c r="R1882">
        <v>-2.7110760000000001E-2</v>
      </c>
      <c r="S1882">
        <v>-3.0573269999999999</v>
      </c>
      <c r="T1882">
        <v>-5.6577919999999997E-2</v>
      </c>
      <c r="U1882">
        <v>4.1748050000000002E-2</v>
      </c>
      <c r="V1882">
        <v>-5.770637E-2</v>
      </c>
      <c r="W1882">
        <v>0.1847065</v>
      </c>
      <c r="X1882">
        <v>0.98109809999999997</v>
      </c>
      <c r="Y1882">
        <v>-1.7311920000000001E-2</v>
      </c>
      <c r="Z1882">
        <v>-4.3245959999999999E-4</v>
      </c>
      <c r="AA1882">
        <v>0.99985000000000002</v>
      </c>
      <c r="AB1882">
        <v>25</v>
      </c>
      <c r="AC1882">
        <v>-59.771000000000001</v>
      </c>
      <c r="AD1882">
        <v>-1.1106295416380001</v>
      </c>
      <c r="AE1882">
        <v>0.81229999999999303</v>
      </c>
      <c r="AF1882">
        <v>-1.03869464839988</v>
      </c>
      <c r="AG1882">
        <v>-1.1106295416380001</v>
      </c>
      <c r="AH1882">
        <v>59.746863236503899</v>
      </c>
      <c r="AI1882">
        <v>91.064783037108299</v>
      </c>
      <c r="AJ1882">
        <v>90.995982412957304</v>
      </c>
      <c r="AK1882">
        <v>59.766211617877197</v>
      </c>
      <c r="AL1882">
        <v>79.355978795621894</v>
      </c>
      <c r="AM1882">
        <v>93.366153205318696</v>
      </c>
      <c r="AN1882">
        <v>0.99999999905221804</v>
      </c>
    </row>
    <row r="1883" spans="1:40" x14ac:dyDescent="0.25">
      <c r="A1883" t="str">
        <f>"20190304155632162"</f>
        <v>20190304155632162</v>
      </c>
      <c r="B1883" t="str">
        <f>"1551686192156743"</f>
        <v>1551686192156743</v>
      </c>
      <c r="C1883" t="s">
        <v>40</v>
      </c>
      <c r="D1883">
        <v>4.5793889999999999</v>
      </c>
      <c r="E1883">
        <v>0.51850870000000004</v>
      </c>
      <c r="F1883" t="s">
        <v>64</v>
      </c>
      <c r="G1883">
        <v>-302.35300000000001</v>
      </c>
      <c r="H1883" s="1">
        <v>3.591138E-6</v>
      </c>
      <c r="I1883">
        <v>284.11399999999998</v>
      </c>
      <c r="J1883">
        <v>-243.7474</v>
      </c>
      <c r="K1883">
        <v>1.1106370000000001</v>
      </c>
      <c r="L1883">
        <v>283.00080000000003</v>
      </c>
      <c r="M1883">
        <v>-0.99944109999999997</v>
      </c>
      <c r="N1883">
        <v>-1.3529589999999999E-2</v>
      </c>
      <c r="O1883">
        <v>3.0569550000000001E-2</v>
      </c>
      <c r="P1883">
        <v>-0.98488379999999998</v>
      </c>
      <c r="Q1883">
        <v>0.17098440000000001</v>
      </c>
      <c r="R1883">
        <v>-2.771705E-2</v>
      </c>
      <c r="S1883">
        <v>-3.057938</v>
      </c>
      <c r="T1883">
        <v>-5.7690020000000002E-2</v>
      </c>
      <c r="U1883">
        <v>5.8227540000000001E-2</v>
      </c>
      <c r="V1883">
        <v>-5.7925310000000001E-2</v>
      </c>
      <c r="W1883">
        <v>0.18424160000000001</v>
      </c>
      <c r="X1883">
        <v>0.98117259999999995</v>
      </c>
      <c r="Y1883">
        <v>-1.153377E-2</v>
      </c>
      <c r="Z1883">
        <v>-3.4968180000000002E-4</v>
      </c>
      <c r="AA1883">
        <v>0.99993339999999997</v>
      </c>
      <c r="AB1883">
        <v>25</v>
      </c>
      <c r="AC1883">
        <v>-58.605600000000003</v>
      </c>
      <c r="AD1883">
        <v>-1.110633408862</v>
      </c>
      <c r="AE1883">
        <v>1.1132</v>
      </c>
      <c r="AF1883">
        <v>-0.67878742635105105</v>
      </c>
      <c r="AG1883">
        <v>-1.110633408862</v>
      </c>
      <c r="AH1883">
        <v>58.591203503427501</v>
      </c>
      <c r="AI1883">
        <v>91.085874921396396</v>
      </c>
      <c r="AJ1883">
        <v>90.663750061043302</v>
      </c>
      <c r="AK1883">
        <v>58.605660024601001</v>
      </c>
      <c r="AL1883">
        <v>79.383080645299401</v>
      </c>
      <c r="AM1883">
        <v>93.378639011127603</v>
      </c>
      <c r="AN1883">
        <v>0.99999998984995797</v>
      </c>
    </row>
    <row r="1884" spans="1:40" x14ac:dyDescent="0.25">
      <c r="A1884" t="str">
        <f>"20190304155632176"</f>
        <v>20190304155632176</v>
      </c>
      <c r="B1884" t="str">
        <f>"1551686192166502"</f>
        <v>1551686192166502</v>
      </c>
      <c r="C1884" t="s">
        <v>40</v>
      </c>
      <c r="D1884">
        <v>4.7209589999999997</v>
      </c>
      <c r="E1884">
        <v>0.51866780000000001</v>
      </c>
      <c r="F1884" t="s">
        <v>64</v>
      </c>
      <c r="G1884">
        <v>-294.16910000000001</v>
      </c>
      <c r="H1884" s="1">
        <v>2.9922520000000001E-6</v>
      </c>
      <c r="I1884">
        <v>284.07900000000001</v>
      </c>
      <c r="J1884">
        <v>-243.89840000000001</v>
      </c>
      <c r="K1884">
        <v>1.1106339999999999</v>
      </c>
      <c r="L1884">
        <v>283.00510000000003</v>
      </c>
      <c r="M1884">
        <v>-0.99944759999999999</v>
      </c>
      <c r="N1884">
        <v>-1.355932E-2</v>
      </c>
      <c r="O1884">
        <v>3.0343930000000002E-2</v>
      </c>
      <c r="P1884">
        <v>-0.98485789999999995</v>
      </c>
      <c r="Q1884">
        <v>0.17109849999999999</v>
      </c>
      <c r="R1884">
        <v>-2.793497E-2</v>
      </c>
      <c r="S1884">
        <v>-3.0596009999999998</v>
      </c>
      <c r="T1884">
        <v>-6.7393540000000002E-2</v>
      </c>
      <c r="U1884">
        <v>6.5429689999999999E-2</v>
      </c>
      <c r="V1884">
        <v>-5.7919980000000003E-2</v>
      </c>
      <c r="W1884">
        <v>0.18438450000000001</v>
      </c>
      <c r="X1884">
        <v>0.98114610000000002</v>
      </c>
      <c r="Y1884">
        <v>-8.9648790000000003E-3</v>
      </c>
      <c r="Z1884">
        <v>-4.1612929999999999E-4</v>
      </c>
      <c r="AA1884">
        <v>0.99995970000000001</v>
      </c>
      <c r="AB1884">
        <v>25</v>
      </c>
      <c r="AC1884">
        <v>-50.270699999999998</v>
      </c>
      <c r="AD1884">
        <v>-1.1106310077479999</v>
      </c>
      <c r="AE1884">
        <v>1.0738999999999801</v>
      </c>
      <c r="AF1884">
        <v>-0.45192488050587998</v>
      </c>
      <c r="AG1884">
        <v>-1.1106310077479999</v>
      </c>
      <c r="AH1884">
        <v>50.255617649708697</v>
      </c>
      <c r="AI1884">
        <v>91.265958797850004</v>
      </c>
      <c r="AJ1884">
        <v>90.515219822064196</v>
      </c>
      <c r="AK1884">
        <v>50.269919859561099</v>
      </c>
      <c r="AL1884">
        <v>79.374750670929103</v>
      </c>
      <c r="AM1884">
        <v>93.378419880306893</v>
      </c>
      <c r="AN1884">
        <v>1.0000000187343301</v>
      </c>
    </row>
    <row r="1885" spans="1:40" x14ac:dyDescent="0.25">
      <c r="A1885" t="str">
        <f>"20190304155632194"</f>
        <v>20190304155632194</v>
      </c>
      <c r="B1885" t="str">
        <f>"1551686192186998"</f>
        <v>1551686192186998</v>
      </c>
      <c r="C1885" t="s">
        <v>40</v>
      </c>
      <c r="D1885">
        <v>4.7069299999999998</v>
      </c>
      <c r="E1885">
        <v>0.51886920000000003</v>
      </c>
      <c r="F1885" t="s">
        <v>64</v>
      </c>
      <c r="G1885">
        <v>-294.82690000000002</v>
      </c>
      <c r="H1885" s="1">
        <v>3.1064929999999998E-6</v>
      </c>
      <c r="I1885">
        <v>284.1069</v>
      </c>
      <c r="J1885">
        <v>-244.11250000000001</v>
      </c>
      <c r="K1885">
        <v>1.1106339999999999</v>
      </c>
      <c r="L1885">
        <v>283.01119999999997</v>
      </c>
      <c r="M1885">
        <v>-0.99945680000000003</v>
      </c>
      <c r="N1885">
        <v>-1.3597140000000001E-2</v>
      </c>
      <c r="O1885">
        <v>3.002343E-2</v>
      </c>
      <c r="P1885">
        <v>-0.98487340000000001</v>
      </c>
      <c r="Q1885">
        <v>0.17098679999999999</v>
      </c>
      <c r="R1885">
        <v>-2.807434E-2</v>
      </c>
      <c r="S1885">
        <v>-3.0595699999999999</v>
      </c>
      <c r="T1885">
        <v>-6.6722039999999996E-2</v>
      </c>
      <c r="U1885">
        <v>6.6192630000000002E-2</v>
      </c>
      <c r="V1885">
        <v>-5.7743959999999997E-2</v>
      </c>
      <c r="W1885">
        <v>0.18431049999999999</v>
      </c>
      <c r="X1885">
        <v>0.9811704</v>
      </c>
      <c r="Y1885">
        <v>-8.3951210000000002E-3</v>
      </c>
      <c r="Z1885">
        <v>-3.9480690000000002E-4</v>
      </c>
      <c r="AA1885">
        <v>0.99996470000000004</v>
      </c>
      <c r="AB1885">
        <v>25</v>
      </c>
      <c r="AC1885">
        <v>-50.714399999999998</v>
      </c>
      <c r="AD1885">
        <v>-1.1106308935069999</v>
      </c>
      <c r="AE1885">
        <v>1.0957000000000201</v>
      </c>
      <c r="AF1885">
        <v>-0.42735004845781499</v>
      </c>
      <c r="AG1885">
        <v>-1.1106308935069999</v>
      </c>
      <c r="AH1885">
        <v>50.700128881627499</v>
      </c>
      <c r="AI1885">
        <v>91.2548691510315</v>
      </c>
      <c r="AJ1885">
        <v>90.4829331767192</v>
      </c>
      <c r="AK1885">
        <v>50.7140926928518</v>
      </c>
      <c r="AL1885">
        <v>79.379064716550999</v>
      </c>
      <c r="AM1885">
        <v>93.368093241374893</v>
      </c>
      <c r="AN1885">
        <v>1.0000000395814399</v>
      </c>
    </row>
    <row r="1886" spans="1:40" x14ac:dyDescent="0.25">
      <c r="A1886" t="str">
        <f>"20190304155632220"</f>
        <v>20190304155632220</v>
      </c>
      <c r="B1886" t="str">
        <f>"1551686192206518"</f>
        <v>1551686192206518</v>
      </c>
      <c r="C1886" t="s">
        <v>40</v>
      </c>
      <c r="D1886">
        <v>4.80185</v>
      </c>
      <c r="E1886">
        <v>0.51875779999999905</v>
      </c>
      <c r="F1886" t="s">
        <v>64</v>
      </c>
      <c r="G1886">
        <v>-295.45929999999998</v>
      </c>
      <c r="H1886" s="1">
        <v>3.2160490000000001E-6</v>
      </c>
      <c r="I1886">
        <v>284.137</v>
      </c>
      <c r="J1886">
        <v>-244.38919999999999</v>
      </c>
      <c r="K1886">
        <v>1.1106339999999999</v>
      </c>
      <c r="L1886">
        <v>283.01909999999998</v>
      </c>
      <c r="M1886">
        <v>-0.99946860000000004</v>
      </c>
      <c r="N1886">
        <v>-1.363909E-2</v>
      </c>
      <c r="O1886">
        <v>2.9609380000000001E-2</v>
      </c>
      <c r="P1886">
        <v>-0.98494369999999998</v>
      </c>
      <c r="Q1886">
        <v>0.1705342</v>
      </c>
      <c r="R1886">
        <v>-2.8355680000000001E-2</v>
      </c>
      <c r="S1886">
        <v>-3.0594640000000002</v>
      </c>
      <c r="T1886">
        <v>-6.6176180000000001E-2</v>
      </c>
      <c r="U1886">
        <v>6.7077639999999994E-2</v>
      </c>
      <c r="V1886">
        <v>-5.7618860000000001E-2</v>
      </c>
      <c r="W1886">
        <v>0.18390039999999999</v>
      </c>
      <c r="X1886">
        <v>0.98125459999999998</v>
      </c>
      <c r="Y1886">
        <v>-7.6913789999999999E-3</v>
      </c>
      <c r="Z1886">
        <v>-3.7193490000000002E-4</v>
      </c>
      <c r="AA1886">
        <v>0.99997040000000004</v>
      </c>
      <c r="AB1886">
        <v>25</v>
      </c>
      <c r="AC1886">
        <v>-51.070099999999996</v>
      </c>
      <c r="AD1886">
        <v>-1.1106307839509999</v>
      </c>
      <c r="AE1886">
        <v>1.1179000000000101</v>
      </c>
      <c r="AF1886">
        <v>-0.39469815740894099</v>
      </c>
      <c r="AG1886">
        <v>-1.1106307839509999</v>
      </c>
      <c r="AH1886">
        <v>51.056672183792699</v>
      </c>
      <c r="AI1886">
        <v>91.246115720667802</v>
      </c>
      <c r="AJ1886">
        <v>90.442921309855706</v>
      </c>
      <c r="AK1886">
        <v>51.070275717456198</v>
      </c>
      <c r="AL1886">
        <v>79.402969279322903</v>
      </c>
      <c r="AM1886">
        <v>93.3605254194118</v>
      </c>
      <c r="AN1886">
        <v>0.99999994008450799</v>
      </c>
    </row>
    <row r="1887" spans="1:40" x14ac:dyDescent="0.25">
      <c r="A1887" t="str">
        <f>"20190304155632242"</f>
        <v>20190304155632242</v>
      </c>
      <c r="B1887" t="str">
        <f>"1551686192236774"</f>
        <v>1551686192236774</v>
      </c>
      <c r="C1887" t="s">
        <v>40</v>
      </c>
      <c r="D1887">
        <v>4.6816309999999897</v>
      </c>
      <c r="E1887">
        <v>0.51923419999999998</v>
      </c>
      <c r="F1887" t="s">
        <v>64</v>
      </c>
      <c r="G1887">
        <v>-294.94400000000002</v>
      </c>
      <c r="H1887" s="1">
        <v>3.1280759999999999E-6</v>
      </c>
      <c r="I1887">
        <v>284.09780000000001</v>
      </c>
      <c r="J1887">
        <v>-244.6474</v>
      </c>
      <c r="K1887">
        <v>1.1106400000000001</v>
      </c>
      <c r="L1887">
        <v>283.02629999999999</v>
      </c>
      <c r="M1887">
        <v>-0.99947949999999997</v>
      </c>
      <c r="N1887">
        <v>-1.367236E-2</v>
      </c>
      <c r="O1887">
        <v>2.9223160000000001E-2</v>
      </c>
      <c r="P1887">
        <v>-0.9850238</v>
      </c>
      <c r="Q1887">
        <v>0.1699938</v>
      </c>
      <c r="R1887">
        <v>-2.8813330000000002E-2</v>
      </c>
      <c r="S1887">
        <v>-3.0593569999999999</v>
      </c>
      <c r="T1887">
        <v>-6.7210560000000003E-2</v>
      </c>
      <c r="U1887">
        <v>6.5277099999999894E-2</v>
      </c>
      <c r="V1887">
        <v>-5.7698350000000002E-2</v>
      </c>
      <c r="W1887">
        <v>0.18339369999999999</v>
      </c>
      <c r="X1887">
        <v>0.98134480000000002</v>
      </c>
      <c r="Y1887">
        <v>-7.8922479999999993E-3</v>
      </c>
      <c r="Z1887">
        <v>-3.827956E-4</v>
      </c>
      <c r="AA1887">
        <v>0.99996879999999999</v>
      </c>
      <c r="AB1887">
        <v>25</v>
      </c>
      <c r="AC1887">
        <v>-50.296599999999998</v>
      </c>
      <c r="AD1887">
        <v>-1.1106368719239901</v>
      </c>
      <c r="AE1887">
        <v>1.0715000000000101</v>
      </c>
      <c r="AF1887">
        <v>-0.39872622100802602</v>
      </c>
      <c r="AG1887">
        <v>-1.1106368719239901</v>
      </c>
      <c r="AH1887">
        <v>50.281923939884102</v>
      </c>
      <c r="AI1887">
        <v>91.265314745623002</v>
      </c>
      <c r="AJ1887">
        <v>90.454335256494502</v>
      </c>
      <c r="AK1887">
        <v>50.295768926987201</v>
      </c>
      <c r="AL1887">
        <v>79.432503816149605</v>
      </c>
      <c r="AM1887">
        <v>93.364842300040706</v>
      </c>
      <c r="AN1887">
        <v>0.999999982639726</v>
      </c>
    </row>
    <row r="1888" spans="1:40" x14ac:dyDescent="0.25">
      <c r="A1888" t="str">
        <f>"20190304155632262"</f>
        <v>20190304155632262</v>
      </c>
      <c r="B1888" t="str">
        <f>"1551686192256971"</f>
        <v>1551686192256971</v>
      </c>
      <c r="C1888" t="s">
        <v>40</v>
      </c>
      <c r="D1888">
        <v>4.6495430000000004</v>
      </c>
      <c r="E1888">
        <v>0.51908729999999903</v>
      </c>
      <c r="F1888" t="s">
        <v>64</v>
      </c>
      <c r="G1888">
        <v>-293.55489999999998</v>
      </c>
      <c r="H1888" s="1">
        <v>2.8807510000000001E-6</v>
      </c>
      <c r="I1888">
        <v>284.10829999999999</v>
      </c>
      <c r="J1888">
        <v>-244.8759</v>
      </c>
      <c r="K1888">
        <v>1.110641</v>
      </c>
      <c r="L1888">
        <v>283.0326</v>
      </c>
      <c r="M1888">
        <v>-0.99948910000000002</v>
      </c>
      <c r="N1888">
        <v>-1.369772E-2</v>
      </c>
      <c r="O1888">
        <v>2.8881469999999999E-2</v>
      </c>
      <c r="P1888">
        <v>-0.9850312</v>
      </c>
      <c r="Q1888">
        <v>0.16986219999999999</v>
      </c>
      <c r="R1888">
        <v>-2.9339230000000001E-2</v>
      </c>
      <c r="S1888">
        <v>-3.0595859999999999</v>
      </c>
      <c r="T1888">
        <v>-6.9479819999999998E-2</v>
      </c>
      <c r="U1888">
        <v>6.7687990000000003E-2</v>
      </c>
      <c r="V1888">
        <v>-5.7887609999999999E-2</v>
      </c>
      <c r="W1888">
        <v>0.1832878</v>
      </c>
      <c r="X1888">
        <v>0.98135349999999999</v>
      </c>
      <c r="Y1888">
        <v>-6.7645300000000004E-3</v>
      </c>
      <c r="Z1888">
        <v>-3.8308279999999998E-4</v>
      </c>
      <c r="AA1888">
        <v>0.99997709999999995</v>
      </c>
      <c r="AB1888">
        <v>25</v>
      </c>
      <c r="AC1888">
        <v>-48.678999999999903</v>
      </c>
      <c r="AD1888">
        <v>-1.110638119249</v>
      </c>
      <c r="AE1888">
        <v>1.0756999999999799</v>
      </c>
      <c r="AF1888">
        <v>-0.33062962575960098</v>
      </c>
      <c r="AG1888">
        <v>-1.110638119249</v>
      </c>
      <c r="AH1888">
        <v>48.664440256936302</v>
      </c>
      <c r="AI1888">
        <v>91.3073686608152</v>
      </c>
      <c r="AJ1888">
        <v>90.389265561666704</v>
      </c>
      <c r="AK1888">
        <v>48.6782351621573</v>
      </c>
      <c r="AL1888">
        <v>79.438676701813804</v>
      </c>
      <c r="AM1888">
        <v>93.3758241880886</v>
      </c>
      <c r="AN1888">
        <v>1.0000000424913</v>
      </c>
    </row>
    <row r="1889" spans="1:40" x14ac:dyDescent="0.25">
      <c r="A1889" t="str">
        <f>"20190304155632285"</f>
        <v>20190304155632285</v>
      </c>
      <c r="B1889" t="str">
        <f>"1551686192276491"</f>
        <v>1551686192276491</v>
      </c>
      <c r="C1889" t="s">
        <v>40</v>
      </c>
      <c r="D1889">
        <v>4.6997589999999896</v>
      </c>
      <c r="E1889">
        <v>0.51922650000000004</v>
      </c>
      <c r="F1889" t="s">
        <v>64</v>
      </c>
      <c r="G1889">
        <v>-294.59699999999998</v>
      </c>
      <c r="H1889" s="1">
        <v>3.0681450000000001E-6</v>
      </c>
      <c r="I1889">
        <v>284.07909999999998</v>
      </c>
      <c r="J1889">
        <v>-245.1283</v>
      </c>
      <c r="K1889">
        <v>1.110643</v>
      </c>
      <c r="L1889">
        <v>283.03949999999998</v>
      </c>
      <c r="M1889">
        <v>-0.99949960000000004</v>
      </c>
      <c r="N1889">
        <v>-1.3721799999999999E-2</v>
      </c>
      <c r="O1889">
        <v>2.8503489999999999E-2</v>
      </c>
      <c r="P1889">
        <v>-0.98523810000000001</v>
      </c>
      <c r="Q1889">
        <v>0.16864579999999901</v>
      </c>
      <c r="R1889">
        <v>-2.94104E-2</v>
      </c>
      <c r="S1889">
        <v>-3.0592959999999998</v>
      </c>
      <c r="T1889">
        <v>-6.8336610000000006E-2</v>
      </c>
      <c r="U1889">
        <v>6.4392089999999999E-2</v>
      </c>
      <c r="V1889">
        <v>-5.7591709999999997E-2</v>
      </c>
      <c r="W1889">
        <v>0.18209839999999999</v>
      </c>
      <c r="X1889">
        <v>0.98159220000000003</v>
      </c>
      <c r="Y1889">
        <v>-7.4609990000000003E-3</v>
      </c>
      <c r="Z1889">
        <v>-3.798036E-4</v>
      </c>
      <c r="AA1889">
        <v>0.99997210000000003</v>
      </c>
      <c r="AB1889">
        <v>25</v>
      </c>
      <c r="AC1889">
        <v>-49.468699999999899</v>
      </c>
      <c r="AD1889">
        <v>-1.110639931855</v>
      </c>
      <c r="AE1889">
        <v>1.0396000000000001</v>
      </c>
      <c r="AF1889">
        <v>-0.37079888076059803</v>
      </c>
      <c r="AG1889">
        <v>-1.110639931855</v>
      </c>
      <c r="AH1889">
        <v>49.453315128195101</v>
      </c>
      <c r="AI1889">
        <v>91.286516328745407</v>
      </c>
      <c r="AJ1889">
        <v>90.429593299120398</v>
      </c>
      <c r="AK1889">
        <v>49.467174874221101</v>
      </c>
      <c r="AL1889">
        <v>79.507989771015801</v>
      </c>
      <c r="AM1889">
        <v>93.357792964917806</v>
      </c>
      <c r="AN1889">
        <v>0.99999993972206003</v>
      </c>
    </row>
    <row r="1890" spans="1:40" x14ac:dyDescent="0.25">
      <c r="A1890" t="str">
        <f>"20190304155632318"</f>
        <v>20190304155632318</v>
      </c>
      <c r="B1890" t="str">
        <f>"1551686192306750"</f>
        <v>1551686192306750</v>
      </c>
      <c r="C1890" t="s">
        <v>40</v>
      </c>
      <c r="D1890">
        <v>4.8082070000000003</v>
      </c>
      <c r="E1890">
        <v>0.5192348</v>
      </c>
      <c r="F1890" t="s">
        <v>64</v>
      </c>
      <c r="G1890">
        <v>-293.38600000000002</v>
      </c>
      <c r="H1890" s="1">
        <v>2.8550889999999999E-6</v>
      </c>
      <c r="I1890">
        <v>284.05919999999998</v>
      </c>
      <c r="J1890">
        <v>-245.50620000000001</v>
      </c>
      <c r="K1890">
        <v>1.1106499999999999</v>
      </c>
      <c r="L1890">
        <v>283.0496</v>
      </c>
      <c r="M1890">
        <v>-0.99951520000000005</v>
      </c>
      <c r="N1890">
        <v>-1.3751070000000001E-2</v>
      </c>
      <c r="O1890">
        <v>2.793814E-2</v>
      </c>
      <c r="P1890">
        <v>-0.98528139999999997</v>
      </c>
      <c r="Q1890">
        <v>0.168268899999999</v>
      </c>
      <c r="R1890">
        <v>-3.009773E-2</v>
      </c>
      <c r="S1890">
        <v>-3.058929</v>
      </c>
      <c r="T1890">
        <v>-7.0400480000000001E-2</v>
      </c>
      <c r="U1890">
        <v>6.4636230000000003E-2</v>
      </c>
      <c r="V1890">
        <v>-5.7722799999999998E-2</v>
      </c>
      <c r="W1890">
        <v>0.18175050000000001</v>
      </c>
      <c r="X1890">
        <v>0.98164899999999999</v>
      </c>
      <c r="Y1890">
        <v>-6.8130899999999999E-3</v>
      </c>
      <c r="Z1890">
        <v>-3.8376490000000002E-4</v>
      </c>
      <c r="AA1890">
        <v>0.99997670000000005</v>
      </c>
      <c r="AB1890">
        <v>25</v>
      </c>
      <c r="AC1890">
        <v>-47.879799999999904</v>
      </c>
      <c r="AD1890">
        <v>-1.11064714491099</v>
      </c>
      <c r="AE1890">
        <v>1.0095999999999701</v>
      </c>
      <c r="AF1890">
        <v>-0.32841639841098302</v>
      </c>
      <c r="AG1890">
        <v>-1.11064714491099</v>
      </c>
      <c r="AH1890">
        <v>47.863572762854403</v>
      </c>
      <c r="AI1890">
        <v>91.329246343636498</v>
      </c>
      <c r="AJ1890">
        <v>90.393129412881606</v>
      </c>
      <c r="AK1890">
        <v>47.877583398040201</v>
      </c>
      <c r="AL1890">
        <v>79.528261495915302</v>
      </c>
      <c r="AM1890">
        <v>93.365224129530702</v>
      </c>
      <c r="AN1890">
        <v>0.99999996254554402</v>
      </c>
    </row>
    <row r="1891" spans="1:40" x14ac:dyDescent="0.25">
      <c r="A1891" t="str">
        <f>"20190304155632340"</f>
        <v>20190304155632340</v>
      </c>
      <c r="B1891" t="str">
        <f>"1551686192337003"</f>
        <v>1551686192337003</v>
      </c>
      <c r="C1891" t="s">
        <v>40</v>
      </c>
      <c r="D1891">
        <v>4.6649789999999998</v>
      </c>
      <c r="E1891">
        <v>0.51960280000000003</v>
      </c>
      <c r="F1891" t="s">
        <v>64</v>
      </c>
      <c r="G1891">
        <v>-293.70569999999998</v>
      </c>
      <c r="H1891" s="1">
        <v>2.9138660000000001E-6</v>
      </c>
      <c r="I1891">
        <v>284.03539999999998</v>
      </c>
      <c r="J1891">
        <v>-245.75049999999999</v>
      </c>
      <c r="K1891">
        <v>1.110652</v>
      </c>
      <c r="L1891">
        <v>283.05599999999998</v>
      </c>
      <c r="M1891">
        <v>-0.99952510000000006</v>
      </c>
      <c r="N1891">
        <v>-1.376636E-2</v>
      </c>
      <c r="O1891">
        <v>2.7572329999999999E-2</v>
      </c>
      <c r="P1891">
        <v>-0.98521230000000004</v>
      </c>
      <c r="Q1891">
        <v>0.16854430000000001</v>
      </c>
      <c r="R1891">
        <v>-3.082037E-2</v>
      </c>
      <c r="S1891">
        <v>-3.0587620000000002</v>
      </c>
      <c r="T1891">
        <v>-7.0482130000000004E-2</v>
      </c>
      <c r="U1891">
        <v>6.2561039999999998E-2</v>
      </c>
      <c r="V1891">
        <v>-5.808286E-2</v>
      </c>
      <c r="W1891">
        <v>0.18204020000000001</v>
      </c>
      <c r="X1891">
        <v>0.9815741</v>
      </c>
      <c r="Y1891">
        <v>-7.1239619999999898E-3</v>
      </c>
      <c r="Z1891">
        <v>-3.866052E-4</v>
      </c>
      <c r="AA1891">
        <v>0.99997449999999999</v>
      </c>
      <c r="AB1891">
        <v>25</v>
      </c>
      <c r="AC1891">
        <v>-47.955199999999898</v>
      </c>
      <c r="AD1891">
        <v>-1.1106490861339999</v>
      </c>
      <c r="AE1891">
        <v>0.97939999999999805</v>
      </c>
      <c r="AF1891">
        <v>-0.343150235544044</v>
      </c>
      <c r="AG1891">
        <v>-1.1106490861339999</v>
      </c>
      <c r="AH1891">
        <v>47.938268421700101</v>
      </c>
      <c r="AI1891">
        <v>91.327175461965396</v>
      </c>
      <c r="AJ1891">
        <v>90.410125878266598</v>
      </c>
      <c r="AK1891">
        <v>47.952360450218201</v>
      </c>
      <c r="AL1891">
        <v>79.511381532237294</v>
      </c>
      <c r="AM1891">
        <v>93.386424622885201</v>
      </c>
      <c r="AN1891">
        <v>0.99999998341631402</v>
      </c>
    </row>
    <row r="1892" spans="1:40" x14ac:dyDescent="0.25">
      <c r="A1892" t="str">
        <f>"20190304155632362"</f>
        <v>20190304155632362</v>
      </c>
      <c r="B1892" t="str">
        <f>"1551686192356273"</f>
        <v>1551686192356273</v>
      </c>
      <c r="C1892" t="s">
        <v>40</v>
      </c>
      <c r="D1892">
        <v>4.7340049999999998</v>
      </c>
      <c r="E1892">
        <v>0.51963099999999995</v>
      </c>
      <c r="F1892" t="s">
        <v>64</v>
      </c>
      <c r="G1892">
        <v>-293.2903</v>
      </c>
      <c r="H1892" s="1">
        <v>2.8397289999999998E-6</v>
      </c>
      <c r="I1892">
        <v>284.04050000000001</v>
      </c>
      <c r="J1892">
        <v>-245.9958</v>
      </c>
      <c r="K1892">
        <v>1.110654</v>
      </c>
      <c r="L1892">
        <v>283.06229999999999</v>
      </c>
      <c r="M1892">
        <v>-0.9995349</v>
      </c>
      <c r="N1892">
        <v>-1.3779359999999999E-2</v>
      </c>
      <c r="O1892">
        <v>2.72045E-2</v>
      </c>
      <c r="P1892">
        <v>-0.98525079999999998</v>
      </c>
      <c r="Q1892">
        <v>0.168283399999999</v>
      </c>
      <c r="R1892">
        <v>-3.1012629999999999E-2</v>
      </c>
      <c r="S1892">
        <v>-3.0592190000000001</v>
      </c>
      <c r="T1892">
        <v>-7.1471099999999996E-2</v>
      </c>
      <c r="U1892">
        <v>6.3354489999999999E-2</v>
      </c>
      <c r="V1892">
        <v>-5.7913319999999997E-2</v>
      </c>
      <c r="W1892">
        <v>0.18179310000000001</v>
      </c>
      <c r="X1892">
        <v>0.98162990000000006</v>
      </c>
      <c r="Y1892">
        <v>-6.4999300000000001E-3</v>
      </c>
      <c r="Z1892">
        <v>-3.8113729999999997E-4</v>
      </c>
      <c r="AA1892">
        <v>0.99997879999999995</v>
      </c>
      <c r="AB1892">
        <v>25</v>
      </c>
      <c r="AC1892">
        <v>-47.294499999999999</v>
      </c>
      <c r="AD1892">
        <v>-1.1106511602709901</v>
      </c>
      <c r="AE1892">
        <v>0.97820000000001495</v>
      </c>
      <c r="AF1892">
        <v>-0.308737326713456</v>
      </c>
      <c r="AG1892">
        <v>-1.1106511602709901</v>
      </c>
      <c r="AH1892">
        <v>47.2775447039132</v>
      </c>
      <c r="AI1892">
        <v>91.345724820430405</v>
      </c>
      <c r="AJ1892">
        <v>90.374154251490907</v>
      </c>
      <c r="AK1892">
        <v>47.291596483595498</v>
      </c>
      <c r="AL1892">
        <v>79.525779447159294</v>
      </c>
      <c r="AM1892">
        <v>93.376371284803</v>
      </c>
      <c r="AN1892">
        <v>0.99999997220752002</v>
      </c>
    </row>
    <row r="1893" spans="1:40" x14ac:dyDescent="0.25">
      <c r="A1893" t="str">
        <f>"20190304155632384"</f>
        <v>20190304155632384</v>
      </c>
      <c r="B1893" t="str">
        <f>"1551686192376769"</f>
        <v>1551686192376769</v>
      </c>
      <c r="C1893" t="s">
        <v>40</v>
      </c>
      <c r="D1893">
        <v>4.6514800000000003</v>
      </c>
      <c r="E1893">
        <v>0.51987640000000002</v>
      </c>
      <c r="F1893" t="s">
        <v>64</v>
      </c>
      <c r="G1893">
        <v>-294.28230000000002</v>
      </c>
      <c r="H1893" s="1">
        <v>3.0140389999999999E-6</v>
      </c>
      <c r="I1893">
        <v>284.05950000000001</v>
      </c>
      <c r="J1893">
        <v>-246.2527</v>
      </c>
      <c r="K1893">
        <v>1.1106560000000001</v>
      </c>
      <c r="L1893">
        <v>283.06880000000001</v>
      </c>
      <c r="M1893">
        <v>-0.99954529999999997</v>
      </c>
      <c r="N1893">
        <v>-1.3790780000000001E-2</v>
      </c>
      <c r="O1893">
        <v>2.6819820000000001E-2</v>
      </c>
      <c r="P1893">
        <v>-0.98534670000000002</v>
      </c>
      <c r="Q1893">
        <v>0.16760449999999999</v>
      </c>
      <c r="R1893">
        <v>-3.1637029999999997E-2</v>
      </c>
      <c r="S1893">
        <v>-3.058929</v>
      </c>
      <c r="T1893">
        <v>-7.0359350000000001E-2</v>
      </c>
      <c r="U1893">
        <v>6.3171389999999994E-2</v>
      </c>
      <c r="V1893">
        <v>-5.8160719999999999E-2</v>
      </c>
      <c r="W1893">
        <v>0.1811268</v>
      </c>
      <c r="X1893">
        <v>0.98173840000000001</v>
      </c>
      <c r="Y1893">
        <v>-6.1732669999999996E-3</v>
      </c>
      <c r="Z1893">
        <v>-3.6032380000000001E-4</v>
      </c>
      <c r="AA1893">
        <v>0.99998089999999995</v>
      </c>
      <c r="AB1893">
        <v>25</v>
      </c>
      <c r="AC1893">
        <v>-48.029600000000002</v>
      </c>
      <c r="AD1893">
        <v>-1.1106529859609999</v>
      </c>
      <c r="AE1893">
        <v>0.99070000000000402</v>
      </c>
      <c r="AF1893">
        <v>-0.29776482813066601</v>
      </c>
      <c r="AG1893">
        <v>-1.1106529859609999</v>
      </c>
      <c r="AH1893">
        <v>48.013229169308502</v>
      </c>
      <c r="AI1893">
        <v>91.325117259983898</v>
      </c>
      <c r="AJ1893">
        <v>90.355328094233101</v>
      </c>
      <c r="AK1893">
        <v>48.026996462537902</v>
      </c>
      <c r="AL1893">
        <v>79.564599738180803</v>
      </c>
      <c r="AM1893">
        <v>93.390387361890305</v>
      </c>
      <c r="AN1893">
        <v>0.99999993653185704</v>
      </c>
    </row>
    <row r="1894" spans="1:40" x14ac:dyDescent="0.25">
      <c r="A1894" t="str">
        <f>"20190304155632407"</f>
        <v>20190304155632407</v>
      </c>
      <c r="B1894" t="str">
        <f>"1551686192396293"</f>
        <v>1551686192396293</v>
      </c>
      <c r="C1894" t="s">
        <v>40</v>
      </c>
      <c r="D1894">
        <v>4.8045229999999997</v>
      </c>
      <c r="E1894">
        <v>0.52000230000000003</v>
      </c>
      <c r="F1894" t="s">
        <v>64</v>
      </c>
      <c r="G1894">
        <v>-295.22390000000001</v>
      </c>
      <c r="H1894" s="1">
        <v>3.1793280000000001E-6</v>
      </c>
      <c r="I1894">
        <v>284.07929999999999</v>
      </c>
      <c r="J1894">
        <v>-246.50450000000001</v>
      </c>
      <c r="K1894">
        <v>1.1106529999999999</v>
      </c>
      <c r="L1894">
        <v>283.0752</v>
      </c>
      <c r="M1894">
        <v>-0.99955519999999998</v>
      </c>
      <c r="N1894">
        <v>-1.380003E-2</v>
      </c>
      <c r="O1894">
        <v>2.6442719999999999E-2</v>
      </c>
      <c r="P1894">
        <v>-0.9853634</v>
      </c>
      <c r="Q1894">
        <v>0.16752400000000001</v>
      </c>
      <c r="R1894">
        <v>-3.1539539999999998E-2</v>
      </c>
      <c r="S1894">
        <v>-3.0584410000000002</v>
      </c>
      <c r="T1894">
        <v>-6.9364549999999997E-2</v>
      </c>
      <c r="U1894">
        <v>6.3110349999999996E-2</v>
      </c>
      <c r="V1894">
        <v>-5.7692399999999998E-2</v>
      </c>
      <c r="W1894">
        <v>0.18105599999999999</v>
      </c>
      <c r="X1894">
        <v>0.98177919999999996</v>
      </c>
      <c r="Y1894">
        <v>-5.812963E-3</v>
      </c>
      <c r="Z1894">
        <v>-3.4057830000000001E-4</v>
      </c>
      <c r="AA1894">
        <v>0.99998310000000001</v>
      </c>
      <c r="AB1894">
        <v>25</v>
      </c>
      <c r="AC1894">
        <v>-48.7194</v>
      </c>
      <c r="AD1894">
        <v>-1.1106498206719999</v>
      </c>
      <c r="AE1894">
        <v>1.00409999999999</v>
      </c>
      <c r="AF1894">
        <v>-0.28449935474001797</v>
      </c>
      <c r="AG1894">
        <v>-1.1106498206719999</v>
      </c>
      <c r="AH1894">
        <v>48.703614324795801</v>
      </c>
      <c r="AI1894">
        <v>91.306339079112206</v>
      </c>
      <c r="AJ1894">
        <v>90.334686185511501</v>
      </c>
      <c r="AK1894">
        <v>48.7171071719726</v>
      </c>
      <c r="AL1894">
        <v>79.568725598438903</v>
      </c>
      <c r="AM1894">
        <v>93.363010861953796</v>
      </c>
      <c r="AN1894">
        <v>1.0000000428531901</v>
      </c>
    </row>
    <row r="1895" spans="1:40" x14ac:dyDescent="0.25">
      <c r="A1895" t="str">
        <f>"20190304155632431"</f>
        <v>20190304155632431</v>
      </c>
      <c r="B1895" t="str">
        <f>"1551686192426545"</f>
        <v>1551686192426545</v>
      </c>
      <c r="C1895" t="s">
        <v>40</v>
      </c>
      <c r="D1895">
        <v>4.6610569999999996</v>
      </c>
      <c r="E1895">
        <v>0.52008120000000002</v>
      </c>
      <c r="F1895" t="s">
        <v>64</v>
      </c>
      <c r="G1895">
        <v>-296.64</v>
      </c>
      <c r="H1895" s="1">
        <v>3.426204E-6</v>
      </c>
      <c r="I1895">
        <v>284.12880000000001</v>
      </c>
      <c r="J1895">
        <v>-246.76009999999999</v>
      </c>
      <c r="K1895">
        <v>1.1106529999999999</v>
      </c>
      <c r="L1895">
        <v>283.08150000000001</v>
      </c>
      <c r="M1895">
        <v>-0.99956500000000004</v>
      </c>
      <c r="N1895">
        <v>-1.380789E-2</v>
      </c>
      <c r="O1895">
        <v>2.6059789999999999E-2</v>
      </c>
      <c r="P1895">
        <v>-0.98537989999999998</v>
      </c>
      <c r="Q1895">
        <v>0.16741420000000001</v>
      </c>
      <c r="R1895">
        <v>-3.1606769999999999E-2</v>
      </c>
      <c r="S1895">
        <v>-3.0581209999999999</v>
      </c>
      <c r="T1895">
        <v>-6.7746399999999998E-2</v>
      </c>
      <c r="U1895">
        <v>6.4270019999999997E-2</v>
      </c>
      <c r="V1895">
        <v>-5.7382170000000003E-2</v>
      </c>
      <c r="W1895">
        <v>0.18095520000000001</v>
      </c>
      <c r="X1895">
        <v>0.98181589999999996</v>
      </c>
      <c r="Y1895">
        <v>-5.0492050000000002E-3</v>
      </c>
      <c r="Z1895">
        <v>-3.080178E-4</v>
      </c>
      <c r="AA1895">
        <v>0.99998719999999996</v>
      </c>
      <c r="AB1895">
        <v>25</v>
      </c>
      <c r="AC1895">
        <v>-49.8798999999999</v>
      </c>
      <c r="AD1895">
        <v>-1.110649573796</v>
      </c>
      <c r="AE1895">
        <v>1.0472999999999999</v>
      </c>
      <c r="AF1895">
        <v>-0.25291408442343899</v>
      </c>
      <c r="AG1895">
        <v>-1.110649573796</v>
      </c>
      <c r="AH1895">
        <v>49.865539639623002</v>
      </c>
      <c r="AI1895">
        <v>91.2759151071497</v>
      </c>
      <c r="AJ1895">
        <v>90.290597183284206</v>
      </c>
      <c r="AK1895">
        <v>49.878548009747497</v>
      </c>
      <c r="AL1895">
        <v>79.574597346809199</v>
      </c>
      <c r="AM1895">
        <v>93.3448433282976</v>
      </c>
      <c r="AN1895">
        <v>0.99999997966687904</v>
      </c>
    </row>
    <row r="1896" spans="1:40" x14ac:dyDescent="0.25">
      <c r="A1896" t="str">
        <f>"20190304155632453"</f>
        <v>20190304155632453</v>
      </c>
      <c r="B1896" t="str">
        <f>"1551686192447041"</f>
        <v>1551686192447041</v>
      </c>
      <c r="C1896" t="s">
        <v>40</v>
      </c>
      <c r="D1896">
        <v>4.6464869999999996</v>
      </c>
      <c r="E1896">
        <v>0.52012400000000003</v>
      </c>
      <c r="F1896" t="s">
        <v>64</v>
      </c>
      <c r="G1896">
        <v>-298.19400000000002</v>
      </c>
      <c r="H1896" s="1">
        <v>3.6980929999999998E-6</v>
      </c>
      <c r="I1896">
        <v>284.17180000000002</v>
      </c>
      <c r="J1896">
        <v>-247.01429999999999</v>
      </c>
      <c r="K1896">
        <v>1.1106510000000001</v>
      </c>
      <c r="L1896">
        <v>283.08769999999998</v>
      </c>
      <c r="M1896">
        <v>-0.99957479999999999</v>
      </c>
      <c r="N1896">
        <v>-1.3814140000000001E-2</v>
      </c>
      <c r="O1896">
        <v>2.567908E-2</v>
      </c>
      <c r="P1896">
        <v>-0.98543599999999998</v>
      </c>
      <c r="Q1896">
        <v>0.16713029999999901</v>
      </c>
      <c r="R1896">
        <v>-3.1362760000000003E-2</v>
      </c>
      <c r="S1896">
        <v>-3.0577999999999999</v>
      </c>
      <c r="T1896">
        <v>-6.6029309999999994E-2</v>
      </c>
      <c r="U1896">
        <v>6.4819340000000003E-2</v>
      </c>
      <c r="V1896">
        <v>-5.6764290000000002E-2</v>
      </c>
      <c r="W1896">
        <v>0.1806789</v>
      </c>
      <c r="X1896">
        <v>0.98190270000000002</v>
      </c>
      <c r="Y1896">
        <v>-4.4869990000000002E-3</v>
      </c>
      <c r="Z1896">
        <v>-2.7898400000000002E-4</v>
      </c>
      <c r="AA1896">
        <v>0.99998989999999999</v>
      </c>
      <c r="AB1896">
        <v>25</v>
      </c>
      <c r="AC1896">
        <v>-51.179699999999997</v>
      </c>
      <c r="AD1896">
        <v>-1.110647301907</v>
      </c>
      <c r="AE1896">
        <v>1.08410000000003</v>
      </c>
      <c r="AF1896">
        <v>-0.230522062476993</v>
      </c>
      <c r="AG1896">
        <v>-1.110647301907</v>
      </c>
      <c r="AH1896">
        <v>51.166575911207602</v>
      </c>
      <c r="AI1896">
        <v>91.243482970824203</v>
      </c>
      <c r="AJ1896">
        <v>90.258134371232003</v>
      </c>
      <c r="AK1896">
        <v>51.179147788214401</v>
      </c>
      <c r="AL1896">
        <v>79.590693500755904</v>
      </c>
      <c r="AM1896">
        <v>93.308615314430995</v>
      </c>
      <c r="AN1896">
        <v>0.99999998089585196</v>
      </c>
    </row>
    <row r="1897" spans="1:40" x14ac:dyDescent="0.25">
      <c r="A1897" t="str">
        <f>"20190304155632475"</f>
        <v>20190304155632475</v>
      </c>
      <c r="B1897" t="str">
        <f>"1551686192466561"</f>
        <v>1551686192466561</v>
      </c>
      <c r="C1897" t="s">
        <v>40</v>
      </c>
      <c r="D1897">
        <v>4.645524</v>
      </c>
      <c r="E1897">
        <v>0.5201945</v>
      </c>
      <c r="F1897" t="s">
        <v>64</v>
      </c>
      <c r="G1897">
        <v>-298.85809999999998</v>
      </c>
      <c r="H1897" s="1">
        <v>3.813047E-6</v>
      </c>
      <c r="I1897">
        <v>284.20429999999999</v>
      </c>
      <c r="J1897">
        <v>-247.25790000000001</v>
      </c>
      <c r="K1897">
        <v>1.1106529999999999</v>
      </c>
      <c r="L1897">
        <v>283.09350000000001</v>
      </c>
      <c r="M1897">
        <v>-0.99958409999999998</v>
      </c>
      <c r="N1897">
        <v>-1.381897E-2</v>
      </c>
      <c r="O1897">
        <v>2.5314119999999999E-2</v>
      </c>
      <c r="P1897">
        <v>-0.98559249999999998</v>
      </c>
      <c r="Q1897">
        <v>0.16628860000000001</v>
      </c>
      <c r="R1897">
        <v>-3.091669E-2</v>
      </c>
      <c r="S1897">
        <v>-3.0575559999999999</v>
      </c>
      <c r="T1897">
        <v>-6.5501809999999994E-2</v>
      </c>
      <c r="U1897">
        <v>6.5856929999999994E-2</v>
      </c>
      <c r="V1897">
        <v>-5.5962499999999998E-2</v>
      </c>
      <c r="W1897">
        <v>0.17984549999999999</v>
      </c>
      <c r="X1897">
        <v>0.98210169999999997</v>
      </c>
      <c r="Y1897">
        <v>-3.7813259999999998E-3</v>
      </c>
      <c r="Z1897">
        <v>-2.5889860000000002E-4</v>
      </c>
      <c r="AA1897">
        <v>0.99999280000000002</v>
      </c>
      <c r="AB1897">
        <v>25</v>
      </c>
      <c r="AC1897">
        <v>-51.600199999999901</v>
      </c>
      <c r="AD1897">
        <v>-1.110649186953</v>
      </c>
      <c r="AE1897">
        <v>1.11079999999998</v>
      </c>
      <c r="AF1897">
        <v>-0.19580365648149001</v>
      </c>
      <c r="AG1897">
        <v>-1.110649186953</v>
      </c>
      <c r="AH1897">
        <v>51.587893996349301</v>
      </c>
      <c r="AI1897">
        <v>91.233336325761698</v>
      </c>
      <c r="AJ1897">
        <v>90.217467091373194</v>
      </c>
      <c r="AK1897">
        <v>51.600219841265698</v>
      </c>
      <c r="AL1897">
        <v>79.639239011640299</v>
      </c>
      <c r="AM1897">
        <v>93.261323551793595</v>
      </c>
      <c r="AN1897">
        <v>0.99999997720969402</v>
      </c>
    </row>
    <row r="1898" spans="1:40" x14ac:dyDescent="0.25">
      <c r="A1898" t="str">
        <f>"20190304155632496"</f>
        <v>20190304155632496</v>
      </c>
      <c r="B1898" t="str">
        <f>"1551686192487057"</f>
        <v>1551686192487057</v>
      </c>
      <c r="C1898" t="s">
        <v>40</v>
      </c>
      <c r="D1898">
        <v>4.660075</v>
      </c>
      <c r="E1898">
        <v>0.52023489999999994</v>
      </c>
      <c r="F1898" t="s">
        <v>64</v>
      </c>
      <c r="G1898">
        <v>-298.18669999999997</v>
      </c>
      <c r="H1898" s="1">
        <v>3.691563E-6</v>
      </c>
      <c r="I1898">
        <v>284.23180000000002</v>
      </c>
      <c r="J1898">
        <v>-247.49359999999999</v>
      </c>
      <c r="K1898">
        <v>1.110654</v>
      </c>
      <c r="L1898">
        <v>283.09910000000002</v>
      </c>
      <c r="M1898">
        <v>-0.99959299999999995</v>
      </c>
      <c r="N1898">
        <v>-1.382277E-2</v>
      </c>
      <c r="O1898">
        <v>2.496054E-2</v>
      </c>
      <c r="P1898">
        <v>-0.98570869999999999</v>
      </c>
      <c r="Q1898">
        <v>0.16569110000000001</v>
      </c>
      <c r="R1898">
        <v>-3.0417820000000002E-2</v>
      </c>
      <c r="S1898">
        <v>-3.0572360000000001</v>
      </c>
      <c r="T1898">
        <v>-6.6671850000000005E-2</v>
      </c>
      <c r="U1898">
        <v>6.8328860000000005E-2</v>
      </c>
      <c r="V1898">
        <v>-5.511808E-2</v>
      </c>
      <c r="W1898">
        <v>0.17925439999999901</v>
      </c>
      <c r="X1898">
        <v>0.98225750000000001</v>
      </c>
      <c r="Y1898">
        <v>-2.6175450000000002E-3</v>
      </c>
      <c r="Z1898">
        <v>-2.4572260000000002E-4</v>
      </c>
      <c r="AA1898">
        <v>0.99999649999999995</v>
      </c>
      <c r="AB1898">
        <v>25</v>
      </c>
      <c r="AC1898">
        <v>-50.693099999999902</v>
      </c>
      <c r="AD1898">
        <v>-1.1106503084370001</v>
      </c>
      <c r="AE1898">
        <v>1.13269999999999</v>
      </c>
      <c r="AF1898">
        <v>-0.13303702976498299</v>
      </c>
      <c r="AG1898">
        <v>-1.1106503084370001</v>
      </c>
      <c r="AH1898">
        <v>50.681262653764101</v>
      </c>
      <c r="AI1898">
        <v>91.255398323545606</v>
      </c>
      <c r="AJ1898">
        <v>90.150399623409797</v>
      </c>
      <c r="AK1898">
        <v>50.693605387057801</v>
      </c>
      <c r="AL1898">
        <v>79.673665945929002</v>
      </c>
      <c r="AM1898">
        <v>93.211708735539304</v>
      </c>
      <c r="AN1898">
        <v>0.99999996948424696</v>
      </c>
    </row>
    <row r="1899" spans="1:40" x14ac:dyDescent="0.25">
      <c r="A1899" t="str">
        <f>"20190304155632518"</f>
        <v>20190304155632518</v>
      </c>
      <c r="B1899" t="str">
        <f>"1551686192516337"</f>
        <v>1551686192516337</v>
      </c>
      <c r="C1899" t="s">
        <v>40</v>
      </c>
      <c r="D1899">
        <v>4.4950769999999904</v>
      </c>
      <c r="E1899">
        <v>0.56726089999999996</v>
      </c>
      <c r="F1899" t="s">
        <v>64</v>
      </c>
      <c r="G1899">
        <v>-297.71409999999997</v>
      </c>
      <c r="H1899" s="1">
        <v>3.6063469999999999E-6</v>
      </c>
      <c r="I1899">
        <v>284.24759999999998</v>
      </c>
      <c r="J1899">
        <v>-247.74350000000001</v>
      </c>
      <c r="K1899">
        <v>1.1106469999999999</v>
      </c>
      <c r="L1899">
        <v>283.10489999999999</v>
      </c>
      <c r="M1899">
        <v>-0.9996022</v>
      </c>
      <c r="N1899">
        <v>-1.38259E-2</v>
      </c>
      <c r="O1899">
        <v>2.4586170000000001E-2</v>
      </c>
      <c r="P1899">
        <v>-0.98579510000000004</v>
      </c>
      <c r="Q1899">
        <v>0.1652882</v>
      </c>
      <c r="R1899">
        <v>-2.9802530000000001E-2</v>
      </c>
      <c r="S1899">
        <v>-3.0570369999999998</v>
      </c>
      <c r="T1899">
        <v>-6.7607760000000003E-2</v>
      </c>
      <c r="U1899">
        <v>6.9915770000000002E-2</v>
      </c>
      <c r="V1899">
        <v>-5.4135639999999999E-2</v>
      </c>
      <c r="W1899">
        <v>0.1788566</v>
      </c>
      <c r="X1899">
        <v>0.9823847</v>
      </c>
      <c r="Y1899">
        <v>-1.7230209999999999E-3</v>
      </c>
      <c r="Z1899">
        <v>-2.3454920000000001E-4</v>
      </c>
      <c r="AA1899">
        <v>0.99999850000000001</v>
      </c>
      <c r="AB1899">
        <v>25</v>
      </c>
      <c r="AC1899">
        <v>-49.970599999999898</v>
      </c>
      <c r="AD1899">
        <v>-1.110643393653</v>
      </c>
      <c r="AE1899">
        <v>1.1426999999999901</v>
      </c>
      <c r="AF1899">
        <v>-8.6305865547536997E-2</v>
      </c>
      <c r="AG1899">
        <v>-1.110643393653</v>
      </c>
      <c r="AH1899">
        <v>49.958922600025303</v>
      </c>
      <c r="AI1899">
        <v>91.273538350313899</v>
      </c>
      <c r="AJ1899">
        <v>90.098980455673001</v>
      </c>
      <c r="AK1899">
        <v>49.971341034693197</v>
      </c>
      <c r="AL1899">
        <v>79.696833181418697</v>
      </c>
      <c r="AM1899">
        <v>93.154171377472295</v>
      </c>
      <c r="AN1899">
        <v>1.0000000248379199</v>
      </c>
    </row>
    <row r="1900" spans="1:40" x14ac:dyDescent="0.25">
      <c r="A1900" t="str">
        <f>"20190304155632540"</f>
        <v>20190304155632540</v>
      </c>
      <c r="B1900" t="str">
        <f>"1551686192536833"</f>
        <v>1551686192536833</v>
      </c>
      <c r="C1900" t="s">
        <v>40</v>
      </c>
      <c r="D1900">
        <v>4.5984910000000001</v>
      </c>
      <c r="E1900">
        <v>0.57232299999999903</v>
      </c>
      <c r="F1900" t="s">
        <v>60</v>
      </c>
      <c r="G1900">
        <v>-440.19850000000002</v>
      </c>
      <c r="H1900">
        <v>1.872163</v>
      </c>
      <c r="I1900">
        <v>311.25110000000001</v>
      </c>
      <c r="J1900">
        <v>-247.9933</v>
      </c>
      <c r="K1900">
        <v>1.110646</v>
      </c>
      <c r="L1900">
        <v>283.11059999999998</v>
      </c>
      <c r="M1900">
        <v>-0.99961129999999998</v>
      </c>
      <c r="N1900">
        <v>-1.382826E-2</v>
      </c>
      <c r="O1900">
        <v>2.4211509999999999E-2</v>
      </c>
      <c r="P1900">
        <v>-0.9857262</v>
      </c>
      <c r="Q1900">
        <v>0.16572870000000001</v>
      </c>
      <c r="R1900">
        <v>-2.9631660000000001E-2</v>
      </c>
      <c r="S1900">
        <v>-3.0547179999999998</v>
      </c>
      <c r="T1900">
        <v>1.2087229999999999E-2</v>
      </c>
      <c r="U1900">
        <v>0.4467468</v>
      </c>
      <c r="V1900">
        <v>-5.3593950000000001E-2</v>
      </c>
      <c r="W1900">
        <v>0.1792995</v>
      </c>
      <c r="X1900">
        <v>0.98233369999999998</v>
      </c>
      <c r="Y1900">
        <v>0.1207134</v>
      </c>
      <c r="Z1900">
        <v>1.0299759999999999E-3</v>
      </c>
      <c r="AA1900">
        <v>0.99268690000000004</v>
      </c>
      <c r="AB1900">
        <v>25</v>
      </c>
      <c r="AC1900">
        <v>-192.20519999999999</v>
      </c>
      <c r="AD1900">
        <v>0.761517</v>
      </c>
      <c r="AE1900">
        <v>28.140499999999999</v>
      </c>
      <c r="AF1900">
        <v>23.477865742051499</v>
      </c>
      <c r="AG1900">
        <v>0.761517</v>
      </c>
      <c r="AH1900">
        <v>192.82727161359</v>
      </c>
      <c r="AI1900">
        <v>89.775386383448506</v>
      </c>
      <c r="AJ1900">
        <v>83.058067512849803</v>
      </c>
      <c r="AK1900">
        <v>194.252790883128</v>
      </c>
      <c r="AL1900">
        <v>79.671040298740493</v>
      </c>
      <c r="AM1900">
        <v>93.122834802262005</v>
      </c>
      <c r="AN1900">
        <v>1.00000006016626</v>
      </c>
    </row>
    <row r="1901" spans="1:40" x14ac:dyDescent="0.25">
      <c r="A1901" t="str">
        <f>"20190304155632564"</f>
        <v>20190304155632564</v>
      </c>
      <c r="B1901" t="str">
        <f>"1551686192556353"</f>
        <v>1551686192556353</v>
      </c>
      <c r="C1901" t="s">
        <v>40</v>
      </c>
      <c r="D1901">
        <v>4.6488250000000004</v>
      </c>
      <c r="E1901">
        <v>0.57444450000000002</v>
      </c>
      <c r="F1901" t="s">
        <v>59</v>
      </c>
      <c r="G1901">
        <v>-365.6515</v>
      </c>
      <c r="H1901">
        <v>1.8050360000000001</v>
      </c>
      <c r="I1901">
        <v>301.88839999999999</v>
      </c>
      <c r="J1901">
        <v>-248.24189999999999</v>
      </c>
      <c r="K1901">
        <v>1.1106450000000001</v>
      </c>
      <c r="L1901">
        <v>283.11619999999999</v>
      </c>
      <c r="M1901">
        <v>-0.99962030000000002</v>
      </c>
      <c r="N1901">
        <v>-1.3829960000000001E-2</v>
      </c>
      <c r="O1901">
        <v>2.3838459999999999E-2</v>
      </c>
      <c r="P1901">
        <v>-0.98577990000000004</v>
      </c>
      <c r="Q1901">
        <v>0.16550090000000001</v>
      </c>
      <c r="R1901">
        <v>-2.9116019999999999E-2</v>
      </c>
      <c r="S1901">
        <v>-3.0550839999999999</v>
      </c>
      <c r="T1901">
        <v>1.8032429999999999E-2</v>
      </c>
      <c r="U1901">
        <v>0.48757929999999999</v>
      </c>
      <c r="V1901">
        <v>-5.2711750000000002E-2</v>
      </c>
      <c r="W1901">
        <v>0.17907519999999999</v>
      </c>
      <c r="X1901">
        <v>0.98242229999999997</v>
      </c>
      <c r="Y1901">
        <v>0.13402159999999999</v>
      </c>
      <c r="Z1901">
        <v>1.007123E-3</v>
      </c>
      <c r="AA1901">
        <v>0.99097789999999997</v>
      </c>
      <c r="AB1901">
        <v>25</v>
      </c>
      <c r="AC1901">
        <v>-117.4096</v>
      </c>
      <c r="AD1901">
        <v>0.69439099999999998</v>
      </c>
      <c r="AE1901">
        <v>18.772200000000002</v>
      </c>
      <c r="AF1901">
        <v>15.9671884168629</v>
      </c>
      <c r="AG1901">
        <v>0.69439099999999998</v>
      </c>
      <c r="AH1901">
        <v>117.819753227855</v>
      </c>
      <c r="AI1901">
        <v>89.665380174319395</v>
      </c>
      <c r="AJ1901">
        <v>82.282171728141407</v>
      </c>
      <c r="AK1901">
        <v>118.898812170152</v>
      </c>
      <c r="AL1901">
        <v>79.684102700363496</v>
      </c>
      <c r="AM1901">
        <v>93.071253175796798</v>
      </c>
      <c r="AN1901">
        <v>1.00000001569019</v>
      </c>
    </row>
    <row r="1902" spans="1:40" x14ac:dyDescent="0.25">
      <c r="A1902" t="str">
        <f>"20190304155632585"</f>
        <v>20190304155632585</v>
      </c>
      <c r="B1902" t="str">
        <f>"1551686192576852"</f>
        <v>1551686192576852</v>
      </c>
      <c r="C1902" t="s">
        <v>40</v>
      </c>
      <c r="D1902">
        <v>4.5579210000000003</v>
      </c>
      <c r="E1902">
        <v>0.57630340000000002</v>
      </c>
      <c r="F1902" t="s">
        <v>59</v>
      </c>
      <c r="G1902">
        <v>-361.52229999999997</v>
      </c>
      <c r="H1902">
        <v>1.9092119999999999</v>
      </c>
      <c r="I1902">
        <v>301.88839999999999</v>
      </c>
      <c r="J1902">
        <v>-248.48519999999999</v>
      </c>
      <c r="K1902">
        <v>1.1106549999999999</v>
      </c>
      <c r="L1902">
        <v>283.1216</v>
      </c>
      <c r="M1902">
        <v>-0.99962890000000004</v>
      </c>
      <c r="N1902">
        <v>-1.3831039999999999E-2</v>
      </c>
      <c r="O1902">
        <v>2.3473170000000002E-2</v>
      </c>
      <c r="P1902">
        <v>-0.98573230000000001</v>
      </c>
      <c r="Q1902">
        <v>0.16580880000000001</v>
      </c>
      <c r="R1902">
        <v>-2.8977099999999902E-2</v>
      </c>
      <c r="S1902">
        <v>-3.0546259999999998</v>
      </c>
      <c r="T1902">
        <v>2.153563E-2</v>
      </c>
      <c r="U1902">
        <v>0.50619510000000001</v>
      </c>
      <c r="V1902">
        <v>-5.2211729999999998E-2</v>
      </c>
      <c r="W1902">
        <v>0.17938390000000001</v>
      </c>
      <c r="X1902">
        <v>0.98239270000000001</v>
      </c>
      <c r="Y1902">
        <v>0.14028840000000001</v>
      </c>
      <c r="Z1902">
        <v>9.7251930000000002E-4</v>
      </c>
      <c r="AA1902">
        <v>0.99011020000000005</v>
      </c>
      <c r="AB1902">
        <v>25</v>
      </c>
      <c r="AC1902">
        <v>-113.037099999999</v>
      </c>
      <c r="AD1902">
        <v>0.79855699999999996</v>
      </c>
      <c r="AE1902">
        <v>18.7667999999999</v>
      </c>
      <c r="AF1902">
        <v>16.107253234763</v>
      </c>
      <c r="AG1902">
        <v>0.79855699999999996</v>
      </c>
      <c r="AH1902">
        <v>113.440997255081</v>
      </c>
      <c r="AI1902">
        <v>89.6006835346152</v>
      </c>
      <c r="AJ1902">
        <v>81.918709333141607</v>
      </c>
      <c r="AK1902">
        <v>114.581591707736</v>
      </c>
      <c r="AL1902">
        <v>79.666124552898495</v>
      </c>
      <c r="AM1902">
        <v>93.042265957376898</v>
      </c>
      <c r="AN1902">
        <v>1.0000000326710401</v>
      </c>
    </row>
    <row r="1903" spans="1:40" x14ac:dyDescent="0.25">
      <c r="A1903" t="str">
        <f>"20190304155632608"</f>
        <v>20190304155632608</v>
      </c>
      <c r="B1903" t="str">
        <f>"1551686192596369"</f>
        <v>1551686192596369</v>
      </c>
      <c r="C1903" t="s">
        <v>40</v>
      </c>
      <c r="D1903">
        <v>4.5721829999999999</v>
      </c>
      <c r="E1903">
        <v>0.57827629999999997</v>
      </c>
      <c r="F1903" t="s">
        <v>59</v>
      </c>
      <c r="G1903">
        <v>-358.45310000000001</v>
      </c>
      <c r="H1903">
        <v>2.1012759999999999</v>
      </c>
      <c r="I1903">
        <v>301.88839999999999</v>
      </c>
      <c r="J1903">
        <v>-248.72839999999999</v>
      </c>
      <c r="K1903">
        <v>1.1106590000000001</v>
      </c>
      <c r="L1903">
        <v>283.1268</v>
      </c>
      <c r="M1903">
        <v>-0.99963740000000001</v>
      </c>
      <c r="N1903">
        <v>-1.383153E-2</v>
      </c>
      <c r="O1903">
        <v>2.3107820000000001E-2</v>
      </c>
      <c r="P1903">
        <v>-0.98598370000000002</v>
      </c>
      <c r="Q1903">
        <v>0.1643095</v>
      </c>
      <c r="R1903">
        <v>-2.8963840000000001E-2</v>
      </c>
      <c r="S1903">
        <v>-3.054138</v>
      </c>
      <c r="T1903">
        <v>2.75147E-2</v>
      </c>
      <c r="U1903">
        <v>0.5212097</v>
      </c>
      <c r="V1903">
        <v>-5.1842840000000001E-2</v>
      </c>
      <c r="W1903">
        <v>0.17788909999999999</v>
      </c>
      <c r="X1903">
        <v>0.982684</v>
      </c>
      <c r="Y1903">
        <v>0.14540819999999999</v>
      </c>
      <c r="Z1903">
        <v>8.8665249999999999E-4</v>
      </c>
      <c r="AA1903">
        <v>0.98937140000000001</v>
      </c>
      <c r="AB1903">
        <v>25</v>
      </c>
      <c r="AC1903">
        <v>-109.7247</v>
      </c>
      <c r="AD1903">
        <v>0.99061699999999997</v>
      </c>
      <c r="AE1903">
        <v>18.761599999999898</v>
      </c>
      <c r="AF1903">
        <v>16.2195639021493</v>
      </c>
      <c r="AG1903">
        <v>0.99061699999999997</v>
      </c>
      <c r="AH1903">
        <v>110.12025590466899</v>
      </c>
      <c r="AI1903">
        <v>89.4900950073514</v>
      </c>
      <c r="AJ1903">
        <v>81.621174002231598</v>
      </c>
      <c r="AK1903">
        <v>111.312741120352</v>
      </c>
      <c r="AL1903">
        <v>79.753170361452007</v>
      </c>
      <c r="AM1903">
        <v>93.019917666168098</v>
      </c>
      <c r="AN1903">
        <v>1.00000002790703</v>
      </c>
    </row>
    <row r="1904" spans="1:40" x14ac:dyDescent="0.25">
      <c r="A1904" t="str">
        <f>"20190304155632632"</f>
        <v>20190304155632632</v>
      </c>
      <c r="B1904" t="str">
        <f>"1551686192626625"</f>
        <v>1551686192626625</v>
      </c>
      <c r="C1904" t="s">
        <v>40</v>
      </c>
      <c r="D1904">
        <v>4.3524039999999999</v>
      </c>
      <c r="E1904">
        <v>0.57924880000000001</v>
      </c>
      <c r="F1904" t="s">
        <v>59</v>
      </c>
      <c r="G1904">
        <v>-355.61419999999998</v>
      </c>
      <c r="H1904">
        <v>1.587072</v>
      </c>
      <c r="I1904">
        <v>301.88839999999999</v>
      </c>
      <c r="J1904">
        <v>-248.9958</v>
      </c>
      <c r="K1904">
        <v>1.110657</v>
      </c>
      <c r="L1904">
        <v>283.13260000000002</v>
      </c>
      <c r="M1904">
        <v>-0.99964660000000005</v>
      </c>
      <c r="N1904">
        <v>-1.3831370000000001E-2</v>
      </c>
      <c r="O1904">
        <v>2.2706589999999999E-2</v>
      </c>
      <c r="P1904">
        <v>-0.98615200000000003</v>
      </c>
      <c r="Q1904">
        <v>0.16321640000000001</v>
      </c>
      <c r="R1904">
        <v>-2.9405110000000002E-2</v>
      </c>
      <c r="S1904">
        <v>-3.0561219999999998</v>
      </c>
      <c r="T1904">
        <v>1.362407E-2</v>
      </c>
      <c r="U1904">
        <v>0.53643799999999997</v>
      </c>
      <c r="V1904">
        <v>-5.189208E-2</v>
      </c>
      <c r="W1904">
        <v>0.17679900000000001</v>
      </c>
      <c r="X1904">
        <v>0.98287809999999998</v>
      </c>
      <c r="Y1904">
        <v>0.15048120000000001</v>
      </c>
      <c r="Z1904">
        <v>1.128008E-3</v>
      </c>
      <c r="AA1904">
        <v>0.98861220000000005</v>
      </c>
      <c r="AB1904">
        <v>25</v>
      </c>
      <c r="AC1904">
        <v>-106.618399999999</v>
      </c>
      <c r="AD1904">
        <v>0.47641499999999998</v>
      </c>
      <c r="AE1904">
        <v>18.755799999999901</v>
      </c>
      <c r="AF1904">
        <v>16.329475416946899</v>
      </c>
      <c r="AG1904">
        <v>0.47641499999999998</v>
      </c>
      <c r="AH1904">
        <v>107.014753915009</v>
      </c>
      <c r="AI1904">
        <v>89.747847364644102</v>
      </c>
      <c r="AJ1904">
        <v>81.324109948160796</v>
      </c>
      <c r="AK1904">
        <v>108.254497800945</v>
      </c>
      <c r="AL1904">
        <v>79.816634354163199</v>
      </c>
      <c r="AM1904">
        <v>93.022184812144005</v>
      </c>
      <c r="AN1904">
        <v>1.00000001691366</v>
      </c>
    </row>
    <row r="1905" spans="1:40" x14ac:dyDescent="0.25">
      <c r="A1905" t="str">
        <f>"20190304155632655"</f>
        <v>20190304155632655</v>
      </c>
      <c r="B1905" t="str">
        <f>"1551686192646146"</f>
        <v>1551686192646146</v>
      </c>
      <c r="C1905" t="s">
        <v>40</v>
      </c>
      <c r="D1905">
        <v>4.6017599999999996</v>
      </c>
      <c r="E1905">
        <v>0.58034430000000004</v>
      </c>
      <c r="F1905" t="s">
        <v>59</v>
      </c>
      <c r="G1905">
        <v>-354.54160000000002</v>
      </c>
      <c r="H1905">
        <v>1.597772</v>
      </c>
      <c r="I1905">
        <v>301.88839999999999</v>
      </c>
      <c r="J1905">
        <v>-249.25700000000001</v>
      </c>
      <c r="K1905">
        <v>1.110652</v>
      </c>
      <c r="L1905">
        <v>283.13810000000001</v>
      </c>
      <c r="M1905">
        <v>-0.99965550000000003</v>
      </c>
      <c r="N1905">
        <v>-1.38309E-2</v>
      </c>
      <c r="O1905">
        <v>2.2314130000000001E-2</v>
      </c>
      <c r="P1905">
        <v>-0.986178</v>
      </c>
      <c r="Q1905">
        <v>0.16299720000000001</v>
      </c>
      <c r="R1905">
        <v>-2.9749419999999999E-2</v>
      </c>
      <c r="S1905">
        <v>-3.056</v>
      </c>
      <c r="T1905">
        <v>1.410639E-2</v>
      </c>
      <c r="U1905">
        <v>0.54306030000000005</v>
      </c>
      <c r="V1905">
        <v>-5.1849159999999998E-2</v>
      </c>
      <c r="W1905">
        <v>0.17657979999999901</v>
      </c>
      <c r="X1905">
        <v>0.98291980000000001</v>
      </c>
      <c r="Y1905">
        <v>0.15295320000000001</v>
      </c>
      <c r="Z1905">
        <v>1.124283E-3</v>
      </c>
      <c r="AA1905">
        <v>0.98823280000000002</v>
      </c>
      <c r="AB1905">
        <v>25</v>
      </c>
      <c r="AC1905">
        <v>-105.2846</v>
      </c>
      <c r="AD1905">
        <v>0.48712</v>
      </c>
      <c r="AE1905">
        <v>18.7502999999999</v>
      </c>
      <c r="AF1905">
        <v>16.395731666501899</v>
      </c>
      <c r="AG1905">
        <v>0.48712</v>
      </c>
      <c r="AH1905">
        <v>105.674624074801</v>
      </c>
      <c r="AI1905">
        <v>89.7390126016533</v>
      </c>
      <c r="AJ1905">
        <v>81.180708364087806</v>
      </c>
      <c r="AK1905">
        <v>106.940092931159</v>
      </c>
      <c r="AL1905">
        <v>79.829394657417197</v>
      </c>
      <c r="AM1905">
        <v>93.019561915574101</v>
      </c>
      <c r="AN1905">
        <v>1.0000000471963899</v>
      </c>
    </row>
    <row r="1906" spans="1:40" x14ac:dyDescent="0.25">
      <c r="A1906" t="str">
        <f>"20190304155632677"</f>
        <v>20190304155632677</v>
      </c>
      <c r="B1906" t="str">
        <f>"1551686192666642"</f>
        <v>1551686192666642</v>
      </c>
      <c r="C1906" t="s">
        <v>40</v>
      </c>
      <c r="D1906">
        <v>4.5694379999999999</v>
      </c>
      <c r="E1906">
        <v>0.58141730000000003</v>
      </c>
      <c r="F1906" t="s">
        <v>59</v>
      </c>
      <c r="G1906">
        <v>-353.27659999999997</v>
      </c>
      <c r="H1906">
        <v>1.7231959999999999</v>
      </c>
      <c r="I1906">
        <v>301.88839999999999</v>
      </c>
      <c r="J1906">
        <v>-249.4941</v>
      </c>
      <c r="K1906">
        <v>1.1106529999999999</v>
      </c>
      <c r="L1906">
        <v>283.1429</v>
      </c>
      <c r="M1906">
        <v>-0.99966330000000003</v>
      </c>
      <c r="N1906">
        <v>-1.383037E-2</v>
      </c>
      <c r="O1906">
        <v>2.195838E-2</v>
      </c>
      <c r="P1906">
        <v>-0.98625640000000003</v>
      </c>
      <c r="Q1906">
        <v>0.16240589999999999</v>
      </c>
      <c r="R1906">
        <v>-3.0379110000000001E-2</v>
      </c>
      <c r="S1906">
        <v>-3.0556950000000001</v>
      </c>
      <c r="T1906">
        <v>1.799655E-2</v>
      </c>
      <c r="U1906">
        <v>0.55081179999999996</v>
      </c>
      <c r="V1906">
        <v>-5.2129880000000003E-2</v>
      </c>
      <c r="W1906">
        <v>0.175988899999999</v>
      </c>
      <c r="X1906">
        <v>0.98301090000000002</v>
      </c>
      <c r="Y1906">
        <v>0.15575120000000001</v>
      </c>
      <c r="Z1906">
        <v>1.0603769999999999E-3</v>
      </c>
      <c r="AA1906">
        <v>0.9877958</v>
      </c>
      <c r="AB1906">
        <v>25</v>
      </c>
      <c r="AC1906">
        <v>-103.782499999999</v>
      </c>
      <c r="AD1906">
        <v>0.61254299999999895</v>
      </c>
      <c r="AE1906">
        <v>18.7455</v>
      </c>
      <c r="AF1906">
        <v>16.461310632947601</v>
      </c>
      <c r="AG1906">
        <v>0.61254299999999895</v>
      </c>
      <c r="AH1906">
        <v>104.165617882597</v>
      </c>
      <c r="AI1906">
        <v>89.667207439434705</v>
      </c>
      <c r="AJ1906">
        <v>81.019802367863406</v>
      </c>
      <c r="AK1906">
        <v>105.460067824483</v>
      </c>
      <c r="AL1906">
        <v>79.863789134767103</v>
      </c>
      <c r="AM1906">
        <v>93.035599005330994</v>
      </c>
      <c r="AN1906">
        <v>1.0000000234154101</v>
      </c>
    </row>
    <row r="1907" spans="1:40" x14ac:dyDescent="0.25">
      <c r="A1907" t="str">
        <f>"20190304155632698"</f>
        <v>20190304155632698</v>
      </c>
      <c r="B1907" t="str">
        <f>"1551686192686161"</f>
        <v>1551686192686161</v>
      </c>
      <c r="C1907" t="s">
        <v>40</v>
      </c>
      <c r="D1907">
        <v>4.5993700000000004</v>
      </c>
      <c r="E1907">
        <v>0.58219650000000001</v>
      </c>
      <c r="F1907" t="s">
        <v>59</v>
      </c>
      <c r="G1907">
        <v>-352.25650000000002</v>
      </c>
      <c r="H1907">
        <v>1.7853049999999999</v>
      </c>
      <c r="I1907">
        <v>301.88839999999999</v>
      </c>
      <c r="J1907">
        <v>-249.73060000000001</v>
      </c>
      <c r="K1907">
        <v>1.110652</v>
      </c>
      <c r="L1907">
        <v>283.14769999999999</v>
      </c>
      <c r="M1907">
        <v>-0.99967119999999998</v>
      </c>
      <c r="N1907">
        <v>-1.3829610000000001E-2</v>
      </c>
      <c r="O1907">
        <v>2.1603109999999998E-2</v>
      </c>
      <c r="P1907">
        <v>-0.98624449999999997</v>
      </c>
      <c r="Q1907">
        <v>0.1623251</v>
      </c>
      <c r="R1907">
        <v>-3.1191139999999999E-2</v>
      </c>
      <c r="S1907">
        <v>-3.055679</v>
      </c>
      <c r="T1907">
        <v>2.0063399999999999E-2</v>
      </c>
      <c r="U1907">
        <v>0.5574036</v>
      </c>
      <c r="V1907">
        <v>-5.2590499999999998E-2</v>
      </c>
      <c r="W1907">
        <v>0.17590720000000001</v>
      </c>
      <c r="X1907">
        <v>0.98300100000000001</v>
      </c>
      <c r="Y1907">
        <v>0.158166</v>
      </c>
      <c r="Z1907">
        <v>1.024769E-3</v>
      </c>
      <c r="AA1907">
        <v>0.98741199999999996</v>
      </c>
      <c r="AB1907">
        <v>25</v>
      </c>
      <c r="AC1907">
        <v>-102.52589999999999</v>
      </c>
      <c r="AD1907">
        <v>0.67465299999999995</v>
      </c>
      <c r="AE1907">
        <v>18.7407</v>
      </c>
      <c r="AF1907">
        <v>16.520543722397999</v>
      </c>
      <c r="AG1907">
        <v>0.67465299999999995</v>
      </c>
      <c r="AH1907">
        <v>102.902552865739</v>
      </c>
      <c r="AI1907">
        <v>89.629110236722994</v>
      </c>
      <c r="AJ1907">
        <v>80.879249936862195</v>
      </c>
      <c r="AK1907">
        <v>104.222449154874</v>
      </c>
      <c r="AL1907">
        <v>79.868544501422093</v>
      </c>
      <c r="AM1907">
        <v>93.062401532055702</v>
      </c>
      <c r="AN1907">
        <v>1.0000000348515401</v>
      </c>
    </row>
    <row r="1908" spans="1:40" x14ac:dyDescent="0.25">
      <c r="A1908" t="str">
        <f>"20190304155632720"</f>
        <v>20190304155632720</v>
      </c>
      <c r="B1908" t="str">
        <f>"1551686192716417"</f>
        <v>1551686192716417</v>
      </c>
      <c r="C1908" t="s">
        <v>40</v>
      </c>
      <c r="D1908">
        <v>4.4841340000000001</v>
      </c>
      <c r="E1908">
        <v>0.58345459999999905</v>
      </c>
      <c r="F1908" t="s">
        <v>59</v>
      </c>
      <c r="G1908">
        <v>-351.82199999999898</v>
      </c>
      <c r="H1908">
        <v>1.8845590000000001</v>
      </c>
      <c r="I1908">
        <v>301.88839999999999</v>
      </c>
      <c r="J1908">
        <v>-249.9691</v>
      </c>
      <c r="K1908">
        <v>1.1106499999999999</v>
      </c>
      <c r="L1908">
        <v>283.1524</v>
      </c>
      <c r="M1908">
        <v>-0.99967870000000003</v>
      </c>
      <c r="N1908">
        <v>-1.382862E-2</v>
      </c>
      <c r="O1908">
        <v>2.1245110000000001E-2</v>
      </c>
      <c r="P1908">
        <v>-0.98630450000000003</v>
      </c>
      <c r="Q1908">
        <v>0.1617644</v>
      </c>
      <c r="R1908">
        <v>-3.2184360000000002E-2</v>
      </c>
      <c r="S1908">
        <v>-3.0557859999999999</v>
      </c>
      <c r="T1908">
        <v>2.3166889999999999E-2</v>
      </c>
      <c r="U1908">
        <v>0.56094359999999999</v>
      </c>
      <c r="V1908">
        <v>-5.3231029999999999E-2</v>
      </c>
      <c r="W1908">
        <v>0.1753458</v>
      </c>
      <c r="X1908">
        <v>0.98306680000000002</v>
      </c>
      <c r="Y1908">
        <v>0.1596206</v>
      </c>
      <c r="Z1908">
        <v>9.6396579999999995E-4</v>
      </c>
      <c r="AA1908">
        <v>0.987178</v>
      </c>
      <c r="AB1908">
        <v>25</v>
      </c>
      <c r="AC1908">
        <v>-101.852899999999</v>
      </c>
      <c r="AD1908">
        <v>0.77390899999999996</v>
      </c>
      <c r="AE1908">
        <v>18.735999999999901</v>
      </c>
      <c r="AF1908">
        <v>16.5667623629618</v>
      </c>
      <c r="AG1908">
        <v>0.77390899999999996</v>
      </c>
      <c r="AH1908">
        <v>102.222284993404</v>
      </c>
      <c r="AI1908">
        <v>89.571817399755801</v>
      </c>
      <c r="AJ1908">
        <v>80.794339036785502</v>
      </c>
      <c r="AK1908">
        <v>103.558930564215</v>
      </c>
      <c r="AL1908">
        <v>79.901217976814905</v>
      </c>
      <c r="AM1908">
        <v>93.099420925345399</v>
      </c>
      <c r="AN1908">
        <v>1.00000001269737</v>
      </c>
    </row>
    <row r="1909" spans="1:40" x14ac:dyDescent="0.25">
      <c r="A1909" t="str">
        <f>"20190304155632742"</f>
        <v>20190304155632742</v>
      </c>
      <c r="B1909" t="str">
        <f>"1551686192736913"</f>
        <v>1551686192736913</v>
      </c>
      <c r="C1909" t="s">
        <v>40</v>
      </c>
      <c r="D1909">
        <v>4.6042930000000002</v>
      </c>
      <c r="E1909">
        <v>0.58376629999999996</v>
      </c>
      <c r="F1909" t="s">
        <v>59</v>
      </c>
      <c r="G1909">
        <v>-350.77030000000002</v>
      </c>
      <c r="H1909">
        <v>1.852924</v>
      </c>
      <c r="I1909">
        <v>301.88839999999999</v>
      </c>
      <c r="J1909">
        <v>-250.21440000000001</v>
      </c>
      <c r="K1909">
        <v>1.1106469999999999</v>
      </c>
      <c r="L1909">
        <v>283.15719999999999</v>
      </c>
      <c r="M1909">
        <v>-0.99968650000000003</v>
      </c>
      <c r="N1909">
        <v>-1.382741E-2</v>
      </c>
      <c r="O1909">
        <v>2.0876370000000002E-2</v>
      </c>
      <c r="P1909">
        <v>-0.98630830000000003</v>
      </c>
      <c r="Q1909">
        <v>0.1615047</v>
      </c>
      <c r="R1909">
        <v>-3.3348639999999999E-2</v>
      </c>
      <c r="S1909">
        <v>-3.0565190000000002</v>
      </c>
      <c r="T1909">
        <v>2.2509810000000002E-2</v>
      </c>
      <c r="U1909">
        <v>0.56811519999999904</v>
      </c>
      <c r="V1909">
        <v>-5.4031860000000001E-2</v>
      </c>
      <c r="W1909">
        <v>0.17508479999999901</v>
      </c>
      <c r="X1909">
        <v>0.98306959999999999</v>
      </c>
      <c r="Y1909">
        <v>0.16218199999999999</v>
      </c>
      <c r="Z1909">
        <v>9.7745030000000004E-4</v>
      </c>
      <c r="AA1909">
        <v>0.98676039999999998</v>
      </c>
      <c r="AB1909">
        <v>25</v>
      </c>
      <c r="AC1909">
        <v>-100.55589999999999</v>
      </c>
      <c r="AD1909">
        <v>0.74227699999999996</v>
      </c>
      <c r="AE1909">
        <v>18.731200000000001</v>
      </c>
      <c r="AF1909">
        <v>16.626798657762102</v>
      </c>
      <c r="AG1909">
        <v>0.74227699999999996</v>
      </c>
      <c r="AH1909">
        <v>100.91974326858001</v>
      </c>
      <c r="AI1909">
        <v>89.584195366133599</v>
      </c>
      <c r="AJ1909">
        <v>80.644410008800705</v>
      </c>
      <c r="AK1909">
        <v>102.282921302369</v>
      </c>
      <c r="AL1909">
        <v>79.916406854687693</v>
      </c>
      <c r="AM1909">
        <v>93.145948004687099</v>
      </c>
      <c r="AN1909">
        <v>0.999999983765129</v>
      </c>
    </row>
    <row r="1910" spans="1:40" x14ac:dyDescent="0.25">
      <c r="A1910" t="str">
        <f>"20190304155632765"</f>
        <v>20190304155632765</v>
      </c>
      <c r="B1910" t="str">
        <f>"1551686192756447"</f>
        <v>1551686192756447</v>
      </c>
      <c r="C1910" t="s">
        <v>40</v>
      </c>
      <c r="D1910">
        <v>4.6185260000000001</v>
      </c>
      <c r="E1910">
        <v>0.58408249999999995</v>
      </c>
      <c r="F1910" t="s">
        <v>59</v>
      </c>
      <c r="G1910">
        <v>-351.22190000000001</v>
      </c>
      <c r="H1910">
        <v>1.915689</v>
      </c>
      <c r="I1910">
        <v>301.88839999999999</v>
      </c>
      <c r="J1910">
        <v>-250.45689999999999</v>
      </c>
      <c r="K1910">
        <v>1.1106469999999999</v>
      </c>
      <c r="L1910">
        <v>283.1619</v>
      </c>
      <c r="M1910">
        <v>-0.99969419999999998</v>
      </c>
      <c r="N1910">
        <v>-1.382101E-2</v>
      </c>
      <c r="O1910">
        <v>2.0512740000000002E-2</v>
      </c>
      <c r="P1910">
        <v>-0.98617790000000005</v>
      </c>
      <c r="Q1910">
        <v>0.16210260000000001</v>
      </c>
      <c r="R1910">
        <v>-3.4294610000000003E-2</v>
      </c>
      <c r="S1910">
        <v>-3.0568080000000002</v>
      </c>
      <c r="T1910">
        <v>2.4365540000000002E-2</v>
      </c>
      <c r="U1910">
        <v>0.56686400000000003</v>
      </c>
      <c r="V1910">
        <v>-5.46161999999999E-2</v>
      </c>
      <c r="W1910">
        <v>0.17567439999999901</v>
      </c>
      <c r="X1910">
        <v>0.98293220000000003</v>
      </c>
      <c r="Y1910">
        <v>0.16213369999999999</v>
      </c>
      <c r="Z1910">
        <v>9.3252950000000004E-4</v>
      </c>
      <c r="AA1910">
        <v>0.98676839999999999</v>
      </c>
      <c r="AB1910">
        <v>25</v>
      </c>
      <c r="AC1910">
        <v>-100.765</v>
      </c>
      <c r="AD1910">
        <v>0.80504200000000004</v>
      </c>
      <c r="AE1910">
        <v>18.726499999999898</v>
      </c>
      <c r="AF1910">
        <v>16.654368099164301</v>
      </c>
      <c r="AG1910">
        <v>0.80504200000000004</v>
      </c>
      <c r="AH1910">
        <v>101.121723606613</v>
      </c>
      <c r="AI1910">
        <v>89.549934051354597</v>
      </c>
      <c r="AJ1910">
        <v>80.647558383309104</v>
      </c>
      <c r="AK1910">
        <v>102.487165316328</v>
      </c>
      <c r="AL1910">
        <v>79.882094284969696</v>
      </c>
      <c r="AM1910">
        <v>93.180344727604805</v>
      </c>
      <c r="AN1910">
        <v>1.0000000669573099</v>
      </c>
    </row>
    <row r="1911" spans="1:40" x14ac:dyDescent="0.25">
      <c r="A1911" t="str">
        <f>"20190304155632787"</f>
        <v>20190304155632787</v>
      </c>
      <c r="B1911" t="str">
        <f>"1551686192776929"</f>
        <v>1551686192776929</v>
      </c>
      <c r="C1911" t="s">
        <v>40</v>
      </c>
      <c r="D1911">
        <v>4.6370069999999997</v>
      </c>
      <c r="E1911">
        <v>0.58446119999999901</v>
      </c>
      <c r="F1911" t="s">
        <v>59</v>
      </c>
      <c r="G1911">
        <v>-351.4479</v>
      </c>
      <c r="H1911">
        <v>2.0548440000000001</v>
      </c>
      <c r="I1911">
        <v>301.88839999999999</v>
      </c>
      <c r="J1911">
        <v>-250.7037</v>
      </c>
      <c r="K1911">
        <v>1.1106400000000001</v>
      </c>
      <c r="L1911">
        <v>283.16649999999998</v>
      </c>
      <c r="M1911">
        <v>-0.99970199999999998</v>
      </c>
      <c r="N1911">
        <v>-1.3798400000000001E-2</v>
      </c>
      <c r="O1911">
        <v>2.0144180000000001E-2</v>
      </c>
      <c r="P1911">
        <v>-0.98605390000000004</v>
      </c>
      <c r="Q1911">
        <v>0.16273460000000001</v>
      </c>
      <c r="R1911">
        <v>-3.4864619999999999E-2</v>
      </c>
      <c r="S1911">
        <v>-3.0570680000000001</v>
      </c>
      <c r="T1911">
        <v>2.8583879999999999E-2</v>
      </c>
      <c r="U1911">
        <v>0.56686400000000003</v>
      </c>
      <c r="V1911">
        <v>-5.4819649999999998E-2</v>
      </c>
      <c r="W1911">
        <v>0.176282299999999</v>
      </c>
      <c r="X1911">
        <v>0.98281200000000002</v>
      </c>
      <c r="Y1911">
        <v>0.1624826</v>
      </c>
      <c r="Z1911">
        <v>8.3974590000000001E-4</v>
      </c>
      <c r="AA1911">
        <v>0.986711</v>
      </c>
      <c r="AB1911">
        <v>25</v>
      </c>
      <c r="AC1911">
        <v>-100.74420000000001</v>
      </c>
      <c r="AD1911">
        <v>0.94420399999999904</v>
      </c>
      <c r="AE1911">
        <v>18.721900000000002</v>
      </c>
      <c r="AF1911">
        <v>16.687081226474099</v>
      </c>
      <c r="AG1911">
        <v>0.94420399999999904</v>
      </c>
      <c r="AH1911">
        <v>101.092343320692</v>
      </c>
      <c r="AI1911">
        <v>89.472016443394494</v>
      </c>
      <c r="AJ1911">
        <v>80.626838479267803</v>
      </c>
      <c r="AK1911">
        <v>102.464686985914</v>
      </c>
      <c r="AL1911">
        <v>79.846711683393707</v>
      </c>
      <c r="AM1911">
        <v>93.192556928878503</v>
      </c>
      <c r="AN1911">
        <v>1.0000000353317</v>
      </c>
    </row>
    <row r="1912" spans="1:40" x14ac:dyDescent="0.25">
      <c r="A1912" t="str">
        <f>"20190304155632809"</f>
        <v>20190304155632809</v>
      </c>
      <c r="B1912" t="str">
        <f>"1551686192806210"</f>
        <v>1551686192806210</v>
      </c>
      <c r="C1912" t="s">
        <v>40</v>
      </c>
      <c r="D1912">
        <v>4.700977</v>
      </c>
      <c r="E1912">
        <v>0.58515169999999905</v>
      </c>
      <c r="F1912" t="s">
        <v>59</v>
      </c>
      <c r="G1912">
        <v>-351.47800000000001</v>
      </c>
      <c r="H1912">
        <v>2.1773340000000001</v>
      </c>
      <c r="I1912">
        <v>301.88839999999999</v>
      </c>
      <c r="J1912">
        <v>-250.9366</v>
      </c>
      <c r="K1912">
        <v>1.1106339999999999</v>
      </c>
      <c r="L1912">
        <v>283.17079999999999</v>
      </c>
      <c r="M1912">
        <v>-0.99970950000000003</v>
      </c>
      <c r="N1912">
        <v>-1.3746070000000001E-2</v>
      </c>
      <c r="O1912">
        <v>1.980051E-2</v>
      </c>
      <c r="P1912">
        <v>-0.98609309999999994</v>
      </c>
      <c r="Q1912">
        <v>0.162458399999999</v>
      </c>
      <c r="R1912">
        <v>-3.5039309999999997E-2</v>
      </c>
      <c r="S1912">
        <v>-3.057175</v>
      </c>
      <c r="T1912">
        <v>3.2362580000000002E-2</v>
      </c>
      <c r="U1912">
        <v>0.56796259999999998</v>
      </c>
      <c r="V1912">
        <v>-5.4655589999999997E-2</v>
      </c>
      <c r="W1912">
        <v>0.17595559999999999</v>
      </c>
      <c r="X1912">
        <v>0.98287959999999996</v>
      </c>
      <c r="Y1912">
        <v>0.16315829999999901</v>
      </c>
      <c r="Z1912">
        <v>7.5243830000000002E-4</v>
      </c>
      <c r="AA1912">
        <v>0.98659960000000002</v>
      </c>
      <c r="AB1912">
        <v>24</v>
      </c>
      <c r="AC1912">
        <v>-100.5414</v>
      </c>
      <c r="AD1912">
        <v>1.0667</v>
      </c>
      <c r="AE1912">
        <v>18.717600000000001</v>
      </c>
      <c r="AF1912">
        <v>16.721151596887601</v>
      </c>
      <c r="AG1912">
        <v>1.0667</v>
      </c>
      <c r="AH1912">
        <v>100.88136312781999</v>
      </c>
      <c r="AI1912">
        <v>89.402341685477694</v>
      </c>
      <c r="AJ1912">
        <v>80.588750723175593</v>
      </c>
      <c r="AK1912">
        <v>102.263308112652</v>
      </c>
      <c r="AL1912">
        <v>79.865726653303398</v>
      </c>
      <c r="AM1912">
        <v>93.182803697376599</v>
      </c>
      <c r="AN1912">
        <v>0.99999995739288305</v>
      </c>
    </row>
    <row r="1913" spans="1:40" x14ac:dyDescent="0.25">
      <c r="A1913" t="str">
        <f>"20190304155632833"</f>
        <v>20190304155632833</v>
      </c>
      <c r="B1913" t="str">
        <f>"1551686192826706"</f>
        <v>1551686192826706</v>
      </c>
      <c r="C1913" t="s">
        <v>40</v>
      </c>
      <c r="D1913">
        <v>4.6173859999999998</v>
      </c>
      <c r="E1913">
        <v>0.59731840000000003</v>
      </c>
      <c r="F1913" t="s">
        <v>59</v>
      </c>
      <c r="G1913">
        <v>-350.83049999999997</v>
      </c>
      <c r="H1913">
        <v>2.190401</v>
      </c>
      <c r="I1913">
        <v>301.88839999999999</v>
      </c>
      <c r="J1913">
        <v>-251.2</v>
      </c>
      <c r="K1913">
        <v>1.110609</v>
      </c>
      <c r="L1913">
        <v>283.1755</v>
      </c>
      <c r="M1913">
        <v>-0.99971860000000001</v>
      </c>
      <c r="N1913">
        <v>-1.362882E-2</v>
      </c>
      <c r="O1913">
        <v>1.941876E-2</v>
      </c>
      <c r="P1913">
        <v>-0.98597710000000005</v>
      </c>
      <c r="Q1913">
        <v>0.1630027</v>
      </c>
      <c r="R1913">
        <v>-3.5771530000000003E-2</v>
      </c>
      <c r="S1913">
        <v>-3.05722</v>
      </c>
      <c r="T1913">
        <v>3.3048389999999997E-2</v>
      </c>
      <c r="U1913">
        <v>0.57284550000000001</v>
      </c>
      <c r="V1913">
        <v>-5.5009849999999999E-2</v>
      </c>
      <c r="W1913">
        <v>0.17638309999999999</v>
      </c>
      <c r="X1913">
        <v>0.98278330000000003</v>
      </c>
      <c r="Y1913">
        <v>0.1650546</v>
      </c>
      <c r="Z1913">
        <v>7.2059640000000002E-4</v>
      </c>
      <c r="AA1913">
        <v>0.98628419999999895</v>
      </c>
      <c r="AB1913">
        <v>24</v>
      </c>
      <c r="AC1913">
        <v>-99.630499999999898</v>
      </c>
      <c r="AD1913">
        <v>1.0797920000000001</v>
      </c>
      <c r="AE1913">
        <v>18.712899999999902</v>
      </c>
      <c r="AF1913">
        <v>16.772587439503301</v>
      </c>
      <c r="AG1913">
        <v>1.0797920000000001</v>
      </c>
      <c r="AH1913">
        <v>99.963783254338495</v>
      </c>
      <c r="AI1913">
        <v>89.389655706761403</v>
      </c>
      <c r="AJ1913">
        <v>80.475253656236802</v>
      </c>
      <c r="AK1913">
        <v>101.36687625994701</v>
      </c>
      <c r="AL1913">
        <v>79.840844463000593</v>
      </c>
      <c r="AM1913">
        <v>93.203704020172907</v>
      </c>
      <c r="AN1913">
        <v>1.00000004816076</v>
      </c>
    </row>
    <row r="1914" spans="1:40" x14ac:dyDescent="0.25">
      <c r="A1914" t="str">
        <f>"20190304155632855"</f>
        <v>20190304155632855</v>
      </c>
      <c r="B1914" t="str">
        <f>"1551686192846226"</f>
        <v>1551686192846226</v>
      </c>
      <c r="C1914" t="s">
        <v>40</v>
      </c>
      <c r="D1914">
        <v>4.5830679999999999</v>
      </c>
      <c r="E1914">
        <v>0.59582869999999999</v>
      </c>
      <c r="F1914" t="s">
        <v>59</v>
      </c>
      <c r="G1914">
        <v>-336.97899999999998</v>
      </c>
      <c r="H1914">
        <v>2.3274720000000002</v>
      </c>
      <c r="I1914">
        <v>301.88839999999999</v>
      </c>
      <c r="J1914">
        <v>-251.44589999999999</v>
      </c>
      <c r="K1914">
        <v>1.110571</v>
      </c>
      <c r="L1914">
        <v>283.17989999999998</v>
      </c>
      <c r="M1914">
        <v>-0.99972740000000004</v>
      </c>
      <c r="N1914">
        <v>-1.346347E-2</v>
      </c>
      <c r="O1914">
        <v>1.9078310000000001E-2</v>
      </c>
      <c r="P1914">
        <v>-0.98592789999999997</v>
      </c>
      <c r="Q1914">
        <v>0.16318239999999901</v>
      </c>
      <c r="R1914">
        <v>-3.6301529999999999E-2</v>
      </c>
      <c r="S1914">
        <v>-3.0597080000000001</v>
      </c>
      <c r="T1914">
        <v>4.3407920000000003E-2</v>
      </c>
      <c r="U1914">
        <v>0.66748050000000003</v>
      </c>
      <c r="V1914">
        <v>-5.5200399999999997E-2</v>
      </c>
      <c r="W1914">
        <v>0.17640049999999999</v>
      </c>
      <c r="X1914">
        <v>0.98276940000000002</v>
      </c>
      <c r="Y1914">
        <v>0.194465</v>
      </c>
      <c r="Z1914">
        <v>4.8239110000000002E-4</v>
      </c>
      <c r="AA1914">
        <v>0.98090929999999998</v>
      </c>
      <c r="AB1914">
        <v>24</v>
      </c>
      <c r="AC1914">
        <v>-85.533100000000005</v>
      </c>
      <c r="AD1914">
        <v>1.216901</v>
      </c>
      <c r="AE1914">
        <v>18.708500000000001</v>
      </c>
      <c r="AF1914">
        <v>17.069822053055699</v>
      </c>
      <c r="AG1914">
        <v>1.216901</v>
      </c>
      <c r="AH1914">
        <v>85.857902983986804</v>
      </c>
      <c r="AI1914">
        <v>89.203562546067502</v>
      </c>
      <c r="AJ1914">
        <v>78.755377379249495</v>
      </c>
      <c r="AK1914">
        <v>87.546782795111795</v>
      </c>
      <c r="AL1914">
        <v>79.839830700047301</v>
      </c>
      <c r="AM1914">
        <v>93.214823548228395</v>
      </c>
      <c r="AN1914">
        <v>0.99999995706838396</v>
      </c>
    </row>
    <row r="1915" spans="1:40" x14ac:dyDescent="0.25">
      <c r="A1915" t="str">
        <f>"20190304155632879"</f>
        <v>20190304155632879</v>
      </c>
      <c r="B1915" t="str">
        <f>"1551686192866721"</f>
        <v>1551686192866721</v>
      </c>
      <c r="C1915" t="s">
        <v>40</v>
      </c>
      <c r="D1915">
        <v>4.5665199999999997</v>
      </c>
      <c r="E1915">
        <v>0.59658580000000005</v>
      </c>
      <c r="F1915" t="s">
        <v>59</v>
      </c>
      <c r="G1915">
        <v>-338.94479999999999</v>
      </c>
      <c r="H1915">
        <v>2.647062</v>
      </c>
      <c r="I1915">
        <v>301.88839999999999</v>
      </c>
      <c r="J1915">
        <v>-251.69489999999999</v>
      </c>
      <c r="K1915">
        <v>1.110517</v>
      </c>
      <c r="L1915">
        <v>283.18419999999998</v>
      </c>
      <c r="M1915">
        <v>-0.99973619999999996</v>
      </c>
      <c r="N1915">
        <v>-1.3271E-2</v>
      </c>
      <c r="O1915">
        <v>1.8740969999999999E-2</v>
      </c>
      <c r="P1915">
        <v>-0.98584609999999995</v>
      </c>
      <c r="Q1915">
        <v>0.16369719999999999</v>
      </c>
      <c r="R1915">
        <v>-3.6205469999999997E-2</v>
      </c>
      <c r="S1915">
        <v>-3.0579830000000001</v>
      </c>
      <c r="T1915">
        <v>5.3701400000000003E-2</v>
      </c>
      <c r="U1915">
        <v>0.65383910000000001</v>
      </c>
      <c r="V1915">
        <v>-5.4764130000000001E-2</v>
      </c>
      <c r="W1915">
        <v>0.17672769999999999</v>
      </c>
      <c r="X1915">
        <v>0.98273509999999997</v>
      </c>
      <c r="Y1915">
        <v>0.19072500000000001</v>
      </c>
      <c r="Z1915">
        <v>1.9522640000000001E-4</v>
      </c>
      <c r="AA1915">
        <v>0.9816435</v>
      </c>
      <c r="AB1915">
        <v>24</v>
      </c>
      <c r="AC1915">
        <v>-87.249899999999997</v>
      </c>
      <c r="AD1915">
        <v>1.536545</v>
      </c>
      <c r="AE1915">
        <v>18.7042</v>
      </c>
      <c r="AF1915">
        <v>17.060563812641</v>
      </c>
      <c r="AG1915">
        <v>1.536545</v>
      </c>
      <c r="AH1915">
        <v>87.559176950973594</v>
      </c>
      <c r="AI1915">
        <v>89.013193626781103</v>
      </c>
      <c r="AJ1915">
        <v>78.974286259266094</v>
      </c>
      <c r="AK1915">
        <v>89.219018580536499</v>
      </c>
      <c r="AL1915">
        <v>79.820785069094597</v>
      </c>
      <c r="AM1915">
        <v>93.189579316626293</v>
      </c>
      <c r="AN1915">
        <v>1.0000000333269701</v>
      </c>
    </row>
    <row r="1916" spans="1:40" x14ac:dyDescent="0.25">
      <c r="A1916" t="str">
        <f>"20190304155632898"</f>
        <v>20190304155632898</v>
      </c>
      <c r="B1916" t="str">
        <f>"1551686192896978"</f>
        <v>1551686192896978</v>
      </c>
      <c r="C1916" t="s">
        <v>40</v>
      </c>
      <c r="D1916">
        <v>4.6175069999999998</v>
      </c>
      <c r="E1916">
        <v>0.59612670000000001</v>
      </c>
      <c r="F1916" t="s">
        <v>59</v>
      </c>
      <c r="G1916">
        <v>-338.36860000000001</v>
      </c>
      <c r="H1916">
        <v>2.6043829999999999</v>
      </c>
      <c r="I1916">
        <v>301.88839999999999</v>
      </c>
      <c r="J1916">
        <v>-251.92189999999999</v>
      </c>
      <c r="K1916">
        <v>1.1104689999999999</v>
      </c>
      <c r="L1916">
        <v>283.18810000000002</v>
      </c>
      <c r="M1916">
        <v>-0.99974459999999998</v>
      </c>
      <c r="N1916">
        <v>-1.3072159999999999E-2</v>
      </c>
      <c r="O1916">
        <v>1.844252E-2</v>
      </c>
      <c r="P1916">
        <v>-0.98581099999999999</v>
      </c>
      <c r="Q1916">
        <v>0.16389679999999901</v>
      </c>
      <c r="R1916">
        <v>-3.6261250000000002E-2</v>
      </c>
      <c r="S1916">
        <v>-3.058548</v>
      </c>
      <c r="T1916">
        <v>5.2718519999999998E-2</v>
      </c>
      <c r="U1916">
        <v>0.66003420000000002</v>
      </c>
      <c r="V1916">
        <v>-5.4518039999999997E-2</v>
      </c>
      <c r="W1916">
        <v>0.1767338</v>
      </c>
      <c r="X1916">
        <v>0.9827477</v>
      </c>
      <c r="Y1916">
        <v>0.192881</v>
      </c>
      <c r="Z1916">
        <v>1.8437090000000001E-4</v>
      </c>
      <c r="AA1916">
        <v>0.98122220000000004</v>
      </c>
      <c r="AB1916">
        <v>24</v>
      </c>
      <c r="AC1916">
        <v>-86.446700000000007</v>
      </c>
      <c r="AD1916">
        <v>1.493914</v>
      </c>
      <c r="AE1916">
        <v>18.700299999999899</v>
      </c>
      <c r="AF1916">
        <v>17.097810038494899</v>
      </c>
      <c r="AG1916">
        <v>1.493914</v>
      </c>
      <c r="AH1916">
        <v>86.752155040679497</v>
      </c>
      <c r="AI1916">
        <v>89.032053093088393</v>
      </c>
      <c r="AJ1916">
        <v>78.850584348584405</v>
      </c>
      <c r="AK1916">
        <v>88.433609512186806</v>
      </c>
      <c r="AL1916">
        <v>79.820430119176706</v>
      </c>
      <c r="AM1916">
        <v>93.175235279045197</v>
      </c>
      <c r="AN1916">
        <v>1.00000004730158</v>
      </c>
    </row>
    <row r="1917" spans="1:40" x14ac:dyDescent="0.25">
      <c r="A1917" t="str">
        <f>"20190304155632921"</f>
        <v>20190304155632921</v>
      </c>
      <c r="B1917" t="str">
        <f>"1551686192916498"</f>
        <v>1551686192916498</v>
      </c>
      <c r="C1917" t="s">
        <v>40</v>
      </c>
      <c r="D1917">
        <v>4.6833489999999998</v>
      </c>
      <c r="E1917">
        <v>0.59601329999999997</v>
      </c>
      <c r="F1917" t="s">
        <v>59</v>
      </c>
      <c r="G1917">
        <v>-339.07</v>
      </c>
      <c r="H1917">
        <v>2.79657</v>
      </c>
      <c r="I1917">
        <v>301.88839999999999</v>
      </c>
      <c r="J1917">
        <v>-252.16909999999999</v>
      </c>
      <c r="K1917">
        <v>1.110403</v>
      </c>
      <c r="L1917">
        <v>283.19240000000002</v>
      </c>
      <c r="M1917">
        <v>-0.99975329999999996</v>
      </c>
      <c r="N1917">
        <v>-1.2821290000000001E-2</v>
      </c>
      <c r="O1917">
        <v>1.8137670000000002E-2</v>
      </c>
      <c r="P1917">
        <v>-0.98577590000000004</v>
      </c>
      <c r="Q1917">
        <v>0.16410279999999999</v>
      </c>
      <c r="R1917">
        <v>-3.6277009999999998E-2</v>
      </c>
      <c r="S1917">
        <v>-3.0574490000000001</v>
      </c>
      <c r="T1917">
        <v>5.9156889999999997E-2</v>
      </c>
      <c r="U1917">
        <v>0.65606690000000001</v>
      </c>
      <c r="V1917">
        <v>-5.4226009999999998E-2</v>
      </c>
      <c r="W1917">
        <v>0.1766953</v>
      </c>
      <c r="X1917">
        <v>0.9827707</v>
      </c>
      <c r="Y1917">
        <v>0.19203210000000001</v>
      </c>
      <c r="Z1917" s="1">
        <v>-1.48979E-5</v>
      </c>
      <c r="AA1917">
        <v>0.98138860000000006</v>
      </c>
      <c r="AB1917">
        <v>24</v>
      </c>
      <c r="AC1917">
        <v>-86.900899999999993</v>
      </c>
      <c r="AD1917">
        <v>1.68616699999999</v>
      </c>
      <c r="AE1917">
        <v>18.695999999999898</v>
      </c>
      <c r="AF1917">
        <v>17.110457660801</v>
      </c>
      <c r="AG1917">
        <v>1.68616699999999</v>
      </c>
      <c r="AH1917">
        <v>87.194356611357605</v>
      </c>
      <c r="AI1917">
        <v>88.912879014481803</v>
      </c>
      <c r="AJ1917">
        <v>78.897718948401504</v>
      </c>
      <c r="AK1917">
        <v>88.873318523517298</v>
      </c>
      <c r="AL1917">
        <v>79.822670472122894</v>
      </c>
      <c r="AM1917">
        <v>93.158187651668001</v>
      </c>
      <c r="AN1917">
        <v>0.99999996899054899</v>
      </c>
    </row>
    <row r="1918" spans="1:40" x14ac:dyDescent="0.25">
      <c r="A1918" t="str">
        <f>"20190304155632943"</f>
        <v>20190304155632943</v>
      </c>
      <c r="B1918" t="str">
        <f>"1551686192936994"</f>
        <v>1551686192936994</v>
      </c>
      <c r="C1918" t="s">
        <v>40</v>
      </c>
      <c r="D1918">
        <v>4.5498500000000002</v>
      </c>
      <c r="E1918">
        <v>0.59602119999999903</v>
      </c>
      <c r="F1918" t="s">
        <v>63</v>
      </c>
      <c r="G1918">
        <v>-441.81049999999999</v>
      </c>
      <c r="H1918">
        <v>4.8913359999999999</v>
      </c>
      <c r="I1918">
        <v>323.83519999999999</v>
      </c>
      <c r="J1918">
        <v>-252.41220000000001</v>
      </c>
      <c r="K1918">
        <v>1.110344</v>
      </c>
      <c r="L1918">
        <v>283.19650000000001</v>
      </c>
      <c r="M1918">
        <v>-0.99976180000000003</v>
      </c>
      <c r="N1918">
        <v>-1.254796E-2</v>
      </c>
      <c r="O1918">
        <v>1.7866110000000001E-2</v>
      </c>
      <c r="P1918">
        <v>-0.98584680000000002</v>
      </c>
      <c r="Q1918">
        <v>0.16364809999999999</v>
      </c>
      <c r="R1918">
        <v>-3.640997E-2</v>
      </c>
      <c r="S1918">
        <v>-3.0572509999999999</v>
      </c>
      <c r="T1918">
        <v>6.0953140000000003E-2</v>
      </c>
      <c r="U1918">
        <v>0.65521240000000003</v>
      </c>
      <c r="V1918">
        <v>-5.4085479999999998E-2</v>
      </c>
      <c r="W1918">
        <v>0.1759753</v>
      </c>
      <c r="X1918">
        <v>0.98290770000000005</v>
      </c>
      <c r="Y1918">
        <v>0.19204760000000001</v>
      </c>
      <c r="Z1918">
        <v>-1.005149E-4</v>
      </c>
      <c r="AA1918">
        <v>0.98138559999999997</v>
      </c>
      <c r="AB1918">
        <v>24</v>
      </c>
      <c r="AC1918">
        <v>-189.39830000000001</v>
      </c>
      <c r="AD1918">
        <v>3.7809919999999999</v>
      </c>
      <c r="AE1918">
        <v>40.638699999999901</v>
      </c>
      <c r="AF1918">
        <v>37.233950109030999</v>
      </c>
      <c r="AG1918">
        <v>3.7809919999999999</v>
      </c>
      <c r="AH1918">
        <v>190.02178156795</v>
      </c>
      <c r="AI1918">
        <v>88.881364534770796</v>
      </c>
      <c r="AJ1918">
        <v>78.913600819007399</v>
      </c>
      <c r="AK1918">
        <v>193.672249977852</v>
      </c>
      <c r="AL1918">
        <v>79.864580942904993</v>
      </c>
      <c r="AM1918">
        <v>93.149581347282705</v>
      </c>
      <c r="AN1918">
        <v>1.0000000460381</v>
      </c>
    </row>
    <row r="1919" spans="1:40" x14ac:dyDescent="0.25">
      <c r="A1919" t="str">
        <f>"20190304155632966"</f>
        <v>20190304155632966</v>
      </c>
      <c r="B1919" t="str">
        <f>"1551686192956513"</f>
        <v>1551686192956513</v>
      </c>
      <c r="C1919" t="s">
        <v>40</v>
      </c>
      <c r="D1919">
        <v>4.7140599999999999</v>
      </c>
      <c r="E1919">
        <v>0.56628330000000004</v>
      </c>
      <c r="F1919" t="s">
        <v>63</v>
      </c>
      <c r="G1919">
        <v>-441.85599999999999</v>
      </c>
      <c r="H1919">
        <v>4.8658190000000001</v>
      </c>
      <c r="I1919">
        <v>323.75259999999997</v>
      </c>
      <c r="J1919">
        <v>-252.65450000000001</v>
      </c>
      <c r="K1919">
        <v>1.110282</v>
      </c>
      <c r="L1919">
        <v>283.20049999999998</v>
      </c>
      <c r="M1919">
        <v>-0.99976940000000003</v>
      </c>
      <c r="N1919">
        <v>-1.226738E-2</v>
      </c>
      <c r="O1919">
        <v>1.7626630000000001E-2</v>
      </c>
      <c r="P1919">
        <v>-0.98586019999999996</v>
      </c>
      <c r="Q1919">
        <v>0.16353029999999999</v>
      </c>
      <c r="R1919">
        <v>-3.6572239999999999E-2</v>
      </c>
      <c r="S1919">
        <v>-3.057175</v>
      </c>
      <c r="T1919">
        <v>6.0604329999999998E-2</v>
      </c>
      <c r="U1919">
        <v>0.65447999999999995</v>
      </c>
      <c r="V1919">
        <v>-5.4003549999999997E-2</v>
      </c>
      <c r="W1919">
        <v>0.17558379999999901</v>
      </c>
      <c r="X1919">
        <v>0.98298220000000003</v>
      </c>
      <c r="Y1919">
        <v>0.19206239999999999</v>
      </c>
      <c r="Z1919">
        <v>-1.316534E-4</v>
      </c>
      <c r="AA1919">
        <v>0.98138270000000005</v>
      </c>
      <c r="AB1919">
        <v>25</v>
      </c>
      <c r="AC1919">
        <v>-189.20150000000001</v>
      </c>
      <c r="AD1919">
        <v>3.7555369999999999</v>
      </c>
      <c r="AE1919">
        <v>40.552100000000003</v>
      </c>
      <c r="AF1919">
        <v>37.196551376714702</v>
      </c>
      <c r="AG1919">
        <v>3.7555369999999999</v>
      </c>
      <c r="AH1919">
        <v>189.81544931002099</v>
      </c>
      <c r="AI1919">
        <v>88.887689562324795</v>
      </c>
      <c r="AJ1919">
        <v>78.912719689386904</v>
      </c>
      <c r="AK1919">
        <v>193.46212107088101</v>
      </c>
      <c r="AL1919">
        <v>79.887366864011</v>
      </c>
      <c r="AM1919">
        <v>93.144582001828098</v>
      </c>
      <c r="AN1919">
        <v>1.0000000298759399</v>
      </c>
    </row>
    <row r="1920" spans="1:40" x14ac:dyDescent="0.25">
      <c r="A1920" t="str">
        <f>"20190304155632987"</f>
        <v>20190304155632987</v>
      </c>
      <c r="B1920" t="str">
        <f>"1551686192977013"</f>
        <v>1551686192977013</v>
      </c>
      <c r="C1920" t="s">
        <v>40</v>
      </c>
      <c r="D1920">
        <v>4.6719119999999998</v>
      </c>
      <c r="E1920">
        <v>0.51814689999999997</v>
      </c>
      <c r="F1920" t="s">
        <v>60</v>
      </c>
      <c r="G1920">
        <v>-440.8732</v>
      </c>
      <c r="H1920">
        <v>6.4353939999999996</v>
      </c>
      <c r="I1920">
        <v>308.99579999999997</v>
      </c>
      <c r="J1920">
        <v>-252.89699999999999</v>
      </c>
      <c r="K1920">
        <v>1.1102299999999901</v>
      </c>
      <c r="L1920">
        <v>283.20460000000003</v>
      </c>
      <c r="M1920">
        <v>-0.99977640000000001</v>
      </c>
      <c r="N1920">
        <v>-1.199094E-2</v>
      </c>
      <c r="O1920">
        <v>1.741761E-2</v>
      </c>
      <c r="P1920">
        <v>-0.98589380000000004</v>
      </c>
      <c r="Q1920">
        <v>0.16341059999999999</v>
      </c>
      <c r="R1920">
        <v>-3.620553E-2</v>
      </c>
      <c r="S1920">
        <v>-3.0442049999999998</v>
      </c>
      <c r="T1920">
        <v>8.6127280000000001E-2</v>
      </c>
      <c r="U1920">
        <v>0.41720580000000002</v>
      </c>
      <c r="V1920">
        <v>-5.3423730000000003E-2</v>
      </c>
      <c r="W1920">
        <v>0.17519599999999999</v>
      </c>
      <c r="X1920">
        <v>0.98308309999999999</v>
      </c>
      <c r="Y1920">
        <v>0.1184892</v>
      </c>
      <c r="Z1920">
        <v>-2.560951E-4</v>
      </c>
      <c r="AA1920">
        <v>0.99295529999999999</v>
      </c>
      <c r="AB1920">
        <v>25</v>
      </c>
      <c r="AC1920">
        <v>-187.97620000000001</v>
      </c>
      <c r="AD1920">
        <v>5.325164</v>
      </c>
      <c r="AE1920">
        <v>25.7911999999999</v>
      </c>
      <c r="AF1920">
        <v>22.495235938487099</v>
      </c>
      <c r="AG1920">
        <v>5.325164</v>
      </c>
      <c r="AH1920">
        <v>188.248650251882</v>
      </c>
      <c r="AI1920">
        <v>88.391093811115098</v>
      </c>
      <c r="AJ1920">
        <v>83.185612838684094</v>
      </c>
      <c r="AK1920">
        <v>189.66271993518001</v>
      </c>
      <c r="AL1920">
        <v>79.909936290815693</v>
      </c>
      <c r="AM1920">
        <v>93.110567573910501</v>
      </c>
      <c r="AN1920">
        <v>1.0000000574243499</v>
      </c>
    </row>
    <row r="1921" spans="1:40" x14ac:dyDescent="0.25">
      <c r="A1921" t="str">
        <f>"20190304155633009"</f>
        <v>20190304155633009</v>
      </c>
      <c r="B1921" t="str">
        <f>"1551686193006290"</f>
        <v>1551686193006290</v>
      </c>
      <c r="C1921" t="s">
        <v>40</v>
      </c>
      <c r="D1921">
        <v>4.590884</v>
      </c>
      <c r="E1921">
        <v>0.51896529999999996</v>
      </c>
      <c r="F1921" t="s">
        <v>64</v>
      </c>
      <c r="G1921">
        <v>-283.65410000000003</v>
      </c>
      <c r="H1921" s="1">
        <v>7.0038410000000003E-6</v>
      </c>
      <c r="I1921">
        <v>283.54169999999999</v>
      </c>
      <c r="J1921">
        <v>-253.13730000000001</v>
      </c>
      <c r="K1921">
        <v>1.1101780000000001</v>
      </c>
      <c r="L1921">
        <v>283.20859999999999</v>
      </c>
      <c r="M1921">
        <v>-0.99978250000000002</v>
      </c>
      <c r="N1921">
        <v>-1.17316E-2</v>
      </c>
      <c r="O1921">
        <v>1.7241159999999998E-2</v>
      </c>
      <c r="P1921">
        <v>-0.98586589999999996</v>
      </c>
      <c r="Q1921">
        <v>0.16365389999999999</v>
      </c>
      <c r="R1921">
        <v>-3.5857769999999997E-2</v>
      </c>
      <c r="S1921">
        <v>-3.0625</v>
      </c>
      <c r="T1921">
        <v>-0.1105455</v>
      </c>
      <c r="U1921">
        <v>3.3569340000000003E-2</v>
      </c>
      <c r="V1921">
        <v>-5.289315E-2</v>
      </c>
      <c r="W1921">
        <v>0.17518710000000001</v>
      </c>
      <c r="X1921">
        <v>0.98311329999999997</v>
      </c>
      <c r="Y1921">
        <v>-6.2716580000000003E-3</v>
      </c>
      <c r="Z1921">
        <v>-5.6981019999999998E-4</v>
      </c>
      <c r="AA1921">
        <v>0.99998019999999999</v>
      </c>
      <c r="AB1921">
        <v>25</v>
      </c>
      <c r="AC1921">
        <v>-30.5168</v>
      </c>
      <c r="AD1921">
        <v>-1.1101709961590001</v>
      </c>
      <c r="AE1921">
        <v>0.33310000000000101</v>
      </c>
      <c r="AF1921">
        <v>-0.19287555042746399</v>
      </c>
      <c r="AG1921">
        <v>-1.1101709961590001</v>
      </c>
      <c r="AH1921">
        <v>30.4776764485079</v>
      </c>
      <c r="AI1921">
        <v>92.086075382912995</v>
      </c>
      <c r="AJ1921">
        <v>90.362586941519496</v>
      </c>
      <c r="AK1921">
        <v>30.498499017469701</v>
      </c>
      <c r="AL1921">
        <v>79.910453474564804</v>
      </c>
      <c r="AM1921">
        <v>93.079640186023198</v>
      </c>
      <c r="AN1921">
        <v>0.99999998298011095</v>
      </c>
    </row>
    <row r="1922" spans="1:40" x14ac:dyDescent="0.25">
      <c r="A1922" t="str">
        <f>"20190304155633023"</f>
        <v>20190304155633023</v>
      </c>
      <c r="B1922" t="str">
        <f>"1551686193017026"</f>
        <v>1551686193017026</v>
      </c>
      <c r="C1922" t="s">
        <v>40</v>
      </c>
      <c r="D1922">
        <v>4.8295969999999997</v>
      </c>
      <c r="E1922">
        <v>0.51818549999999997</v>
      </c>
      <c r="F1922" t="s">
        <v>64</v>
      </c>
      <c r="G1922">
        <v>-285.3381</v>
      </c>
      <c r="H1922" s="1">
        <v>6.237861E-6</v>
      </c>
      <c r="I1922">
        <v>283.63479999999998</v>
      </c>
      <c r="J1922">
        <v>-253.2954</v>
      </c>
      <c r="K1922">
        <v>1.1101479999999999</v>
      </c>
      <c r="L1922">
        <v>283.21120000000002</v>
      </c>
      <c r="M1922">
        <v>-0.99978610000000001</v>
      </c>
      <c r="N1922">
        <v>-1.1571110000000001E-2</v>
      </c>
      <c r="O1922">
        <v>1.7144220000000002E-2</v>
      </c>
      <c r="P1922">
        <v>-0.98586649999999998</v>
      </c>
      <c r="Q1922">
        <v>0.1636987</v>
      </c>
      <c r="R1922">
        <v>-3.5640239999999997E-2</v>
      </c>
      <c r="S1922">
        <v>-3.0619960000000002</v>
      </c>
      <c r="T1922">
        <v>-0.1055671</v>
      </c>
      <c r="U1922">
        <v>4.0527340000000002E-2</v>
      </c>
      <c r="V1922">
        <v>-5.2574509999999998E-2</v>
      </c>
      <c r="W1922">
        <v>0.17507539999999999</v>
      </c>
      <c r="X1922">
        <v>0.98315030000000003</v>
      </c>
      <c r="Y1922">
        <v>-3.9037809999999998E-3</v>
      </c>
      <c r="Z1922">
        <v>-4.8235230000000001E-4</v>
      </c>
      <c r="AA1922">
        <v>0.99999229999999995</v>
      </c>
      <c r="AB1922">
        <v>25</v>
      </c>
      <c r="AC1922">
        <v>-32.042700000000004</v>
      </c>
      <c r="AD1922">
        <v>-1.110141762139</v>
      </c>
      <c r="AE1922">
        <v>0.42359999999996401</v>
      </c>
      <c r="AF1922">
        <v>-0.12569527874672501</v>
      </c>
      <c r="AG1922">
        <v>-1.110141762139</v>
      </c>
      <c r="AH1922">
        <v>32.006840854897703</v>
      </c>
      <c r="AI1922">
        <v>91.986464703448704</v>
      </c>
      <c r="AJ1922">
        <v>90.225007272251901</v>
      </c>
      <c r="AK1922">
        <v>32.026334094708602</v>
      </c>
      <c r="AL1922">
        <v>79.9169539844235</v>
      </c>
      <c r="AM1922">
        <v>93.061008161406207</v>
      </c>
      <c r="AN1922">
        <v>0.99999999358849501</v>
      </c>
    </row>
    <row r="1923" spans="1:40" x14ac:dyDescent="0.25">
      <c r="A1923" t="str">
        <f>"20190304155633044"</f>
        <v>20190304155633044</v>
      </c>
      <c r="B1923" t="str">
        <f>"1551686193036546"</f>
        <v>1551686193036546</v>
      </c>
      <c r="C1923" t="s">
        <v>40</v>
      </c>
      <c r="D1923">
        <v>4.6408509999999996</v>
      </c>
      <c r="E1923">
        <v>0.51909359999999904</v>
      </c>
      <c r="F1923" t="s">
        <v>64</v>
      </c>
      <c r="G1923">
        <v>-283.73579999999998</v>
      </c>
      <c r="H1923" s="1">
        <v>6.964794E-6</v>
      </c>
      <c r="I1923">
        <v>283.55549999999999</v>
      </c>
      <c r="J1923">
        <v>-253.52019999999999</v>
      </c>
      <c r="K1923">
        <v>1.110104</v>
      </c>
      <c r="L1923">
        <v>283.2149</v>
      </c>
      <c r="M1923">
        <v>-0.99979059999999997</v>
      </c>
      <c r="N1923">
        <v>-1.1354049999999999E-2</v>
      </c>
      <c r="O1923">
        <v>1.70253E-2</v>
      </c>
      <c r="P1923">
        <v>-0.98588160000000002</v>
      </c>
      <c r="Q1923">
        <v>0.1636888</v>
      </c>
      <c r="R1923">
        <v>-3.5261290000000001E-2</v>
      </c>
      <c r="S1923">
        <v>-3.0628199999999999</v>
      </c>
      <c r="T1923">
        <v>-0.1116991</v>
      </c>
      <c r="U1923">
        <v>3.463745E-2</v>
      </c>
      <c r="V1923">
        <v>-5.2071199999999998E-2</v>
      </c>
      <c r="W1923">
        <v>0.17485519999999999</v>
      </c>
      <c r="X1923">
        <v>0.98321630000000004</v>
      </c>
      <c r="Y1923">
        <v>-5.7083309999999996E-3</v>
      </c>
      <c r="Z1923">
        <v>-5.6383900000000001E-4</v>
      </c>
      <c r="AA1923">
        <v>0.99998350000000003</v>
      </c>
      <c r="AB1923">
        <v>25</v>
      </c>
      <c r="AC1923">
        <v>-30.215599999999899</v>
      </c>
      <c r="AD1923">
        <v>-1.110097035206</v>
      </c>
      <c r="AE1923">
        <v>0.34059999999999402</v>
      </c>
      <c r="AF1923">
        <v>-0.17367778980558399</v>
      </c>
      <c r="AG1923">
        <v>-1.110097035206</v>
      </c>
      <c r="AH1923">
        <v>30.176293299815399</v>
      </c>
      <c r="AI1923">
        <v>92.106758248047598</v>
      </c>
      <c r="AJ1923">
        <v>90.329758674414904</v>
      </c>
      <c r="AK1923">
        <v>30.197204452047</v>
      </c>
      <c r="AL1923">
        <v>79.929768465413702</v>
      </c>
      <c r="AM1923">
        <v>93.031556102014207</v>
      </c>
      <c r="AN1923">
        <v>1.00000002171108</v>
      </c>
    </row>
    <row r="1924" spans="1:40" x14ac:dyDescent="0.25">
      <c r="A1924" t="str">
        <f>"20190304155633069"</f>
        <v>20190304155633069</v>
      </c>
      <c r="B1924" t="str">
        <f>"1551686193057041"</f>
        <v>1551686193057041</v>
      </c>
      <c r="C1924" t="s">
        <v>40</v>
      </c>
      <c r="D1924">
        <v>4.6119669999999999</v>
      </c>
      <c r="E1924">
        <v>0.52123599999999903</v>
      </c>
      <c r="F1924" t="s">
        <v>64</v>
      </c>
      <c r="G1924">
        <v>-284.25229999999999</v>
      </c>
      <c r="H1924" s="1">
        <v>6.7170019999999999E-6</v>
      </c>
      <c r="I1924">
        <v>283.64609999999999</v>
      </c>
      <c r="J1924">
        <v>-253.78809999999999</v>
      </c>
      <c r="K1924">
        <v>1.1100639999999999</v>
      </c>
      <c r="L1924">
        <v>283.21940000000001</v>
      </c>
      <c r="M1924">
        <v>-0.99979530000000005</v>
      </c>
      <c r="N1924">
        <v>-1.111735E-2</v>
      </c>
      <c r="O1924">
        <v>1.6911800000000001E-2</v>
      </c>
      <c r="P1924">
        <v>-0.98592109999999999</v>
      </c>
      <c r="Q1924">
        <v>0.16350700000000001</v>
      </c>
      <c r="R1924">
        <v>-3.5003649999999997E-2</v>
      </c>
      <c r="S1924">
        <v>-3.0628660000000001</v>
      </c>
      <c r="T1924">
        <v>-0.1106359</v>
      </c>
      <c r="U1924">
        <v>4.296875E-2</v>
      </c>
      <c r="V1924">
        <v>-5.1693860000000001E-2</v>
      </c>
      <c r="W1924">
        <v>0.17444390000000001</v>
      </c>
      <c r="X1924">
        <v>0.98330930000000005</v>
      </c>
      <c r="Y1924">
        <v>-2.8778950000000001E-3</v>
      </c>
      <c r="Z1924">
        <v>-4.9059590000000001E-4</v>
      </c>
      <c r="AA1924">
        <v>0.99999579999999999</v>
      </c>
      <c r="AB1924">
        <v>25</v>
      </c>
      <c r="AC1924">
        <v>-30.464200000000002</v>
      </c>
      <c r="AD1924">
        <v>-1.110057282998</v>
      </c>
      <c r="AE1924">
        <v>0.42669999999998198</v>
      </c>
      <c r="AF1924">
        <v>-8.8479812762853605E-2</v>
      </c>
      <c r="AG1924">
        <v>-1.110057282998</v>
      </c>
      <c r="AH1924">
        <v>30.426668731346101</v>
      </c>
      <c r="AI1924">
        <v>92.089388545565299</v>
      </c>
      <c r="AJ1924">
        <v>90.166613887260695</v>
      </c>
      <c r="AK1924">
        <v>30.4470396908448</v>
      </c>
      <c r="AL1924">
        <v>79.953702394999098</v>
      </c>
      <c r="AM1924">
        <v>93.009343990193102</v>
      </c>
      <c r="AN1924">
        <v>1.0000000544376899</v>
      </c>
    </row>
    <row r="1925" spans="1:40" x14ac:dyDescent="0.25">
      <c r="A1925" t="str">
        <f>"20190304155633089"</f>
        <v>20190304155633089</v>
      </c>
      <c r="B1925" t="str">
        <f>"1551686193086322"</f>
        <v>1551686193086322</v>
      </c>
      <c r="C1925" t="s">
        <v>40</v>
      </c>
      <c r="D1925">
        <v>4.620476</v>
      </c>
      <c r="E1925">
        <v>0.52307669999999995</v>
      </c>
      <c r="F1925" t="s">
        <v>64</v>
      </c>
      <c r="G1925">
        <v>-286.9083</v>
      </c>
      <c r="H1925" s="1">
        <v>5.4917049999999998E-6</v>
      </c>
      <c r="I1925">
        <v>283.8759</v>
      </c>
      <c r="J1925">
        <v>-254.0188</v>
      </c>
      <c r="K1925">
        <v>1.1100270000000001</v>
      </c>
      <c r="L1925">
        <v>283.22309999999999</v>
      </c>
      <c r="M1925">
        <v>-0.99979850000000003</v>
      </c>
      <c r="N1925">
        <v>-1.0931740000000001E-2</v>
      </c>
      <c r="O1925">
        <v>1.6840339999999999E-2</v>
      </c>
      <c r="P1925">
        <v>-0.98593350000000002</v>
      </c>
      <c r="Q1925">
        <v>0.16351009999999999</v>
      </c>
      <c r="R1925">
        <v>-3.4640549999999999E-2</v>
      </c>
      <c r="S1925">
        <v>-3.0620120000000002</v>
      </c>
      <c r="T1925">
        <v>-0.10262640000000001</v>
      </c>
      <c r="U1925">
        <v>6.0699459999999997E-2</v>
      </c>
      <c r="V1925">
        <v>-5.1253809999999997E-2</v>
      </c>
      <c r="W1925">
        <v>0.17426639999999999</v>
      </c>
      <c r="X1925">
        <v>0.98336369999999895</v>
      </c>
      <c r="Y1925">
        <v>2.9807219999999999E-3</v>
      </c>
      <c r="Z1925">
        <v>-3.1387039999999998E-4</v>
      </c>
      <c r="AA1925">
        <v>0.99999550000000004</v>
      </c>
      <c r="AB1925">
        <v>25</v>
      </c>
      <c r="AC1925">
        <v>-32.889499999999998</v>
      </c>
      <c r="AD1925">
        <v>-1.110021508295</v>
      </c>
      <c r="AE1925">
        <v>0.65280000000001304</v>
      </c>
      <c r="AF1925">
        <v>9.8691623447459506E-2</v>
      </c>
      <c r="AG1925">
        <v>-1.110021508295</v>
      </c>
      <c r="AH1925">
        <v>32.858416349599601</v>
      </c>
      <c r="AI1925">
        <v>91.934818867243195</v>
      </c>
      <c r="AJ1925">
        <v>89.827910254929904</v>
      </c>
      <c r="AK1925">
        <v>32.877308478478703</v>
      </c>
      <c r="AL1925">
        <v>79.964029523338993</v>
      </c>
      <c r="AM1925">
        <v>92.983608323069404</v>
      </c>
      <c r="AN1925">
        <v>0.99999994884308097</v>
      </c>
    </row>
    <row r="1926" spans="1:40" x14ac:dyDescent="0.25">
      <c r="A1926" t="str">
        <f>"20190304155633112"</f>
        <v>20190304155633112</v>
      </c>
      <c r="B1926" t="str">
        <f>"1551686193106818"</f>
        <v>1551686193106818</v>
      </c>
      <c r="C1926" t="s">
        <v>40</v>
      </c>
      <c r="D1926">
        <v>4.6225269999999998</v>
      </c>
      <c r="E1926">
        <v>0.5237792</v>
      </c>
      <c r="F1926" t="s">
        <v>64</v>
      </c>
      <c r="G1926">
        <v>-289.88409999999999</v>
      </c>
      <c r="H1926" s="1">
        <v>4.1220289999999998E-6</v>
      </c>
      <c r="I1926">
        <v>284.11810000000003</v>
      </c>
      <c r="J1926">
        <v>-254.2756</v>
      </c>
      <c r="K1926">
        <v>1.1100000000000001</v>
      </c>
      <c r="L1926">
        <v>283.22739999999999</v>
      </c>
      <c r="M1926">
        <v>-0.99980139999999995</v>
      </c>
      <c r="N1926">
        <v>-1.074406E-2</v>
      </c>
      <c r="O1926">
        <v>1.6789099999999901E-2</v>
      </c>
      <c r="P1926">
        <v>-0.98586479999999999</v>
      </c>
      <c r="Q1926">
        <v>0.16397010000000001</v>
      </c>
      <c r="R1926">
        <v>-3.4421180000000003E-2</v>
      </c>
      <c r="S1926">
        <v>-3.0612029999999999</v>
      </c>
      <c r="T1926">
        <v>-9.4743610000000006E-2</v>
      </c>
      <c r="U1926">
        <v>7.6385499999999995E-2</v>
      </c>
      <c r="V1926">
        <v>-5.0975560000000003E-2</v>
      </c>
      <c r="W1926">
        <v>0.174542899999999</v>
      </c>
      <c r="X1926">
        <v>0.98332920000000001</v>
      </c>
      <c r="Y1926">
        <v>8.154817E-3</v>
      </c>
      <c r="Z1926">
        <v>-1.6904530000000001E-4</v>
      </c>
      <c r="AA1926">
        <v>0.99996669999999999</v>
      </c>
      <c r="AB1926">
        <v>25</v>
      </c>
      <c r="AC1926">
        <v>-35.6084999999999</v>
      </c>
      <c r="AD1926">
        <v>-1.109995877971</v>
      </c>
      <c r="AE1926">
        <v>0.89070000000003802</v>
      </c>
      <c r="AF1926">
        <v>0.29242134241127099</v>
      </c>
      <c r="AG1926">
        <v>-1.109995877971</v>
      </c>
      <c r="AH1926">
        <v>35.583879940313999</v>
      </c>
      <c r="AI1926">
        <v>91.786632539141905</v>
      </c>
      <c r="AJ1926">
        <v>89.529165126279906</v>
      </c>
      <c r="AK1926">
        <v>35.602389143107999</v>
      </c>
      <c r="AL1926">
        <v>79.947941422029004</v>
      </c>
      <c r="AM1926">
        <v>92.967543671930301</v>
      </c>
      <c r="AN1926">
        <v>1.00000002361518</v>
      </c>
    </row>
    <row r="1927" spans="1:40" x14ac:dyDescent="0.25">
      <c r="A1927" t="str">
        <f>"20190304155633125"</f>
        <v>20190304155633125</v>
      </c>
      <c r="B1927" t="str">
        <f>"1551686193116579"</f>
        <v>1551686193116579</v>
      </c>
      <c r="C1927" t="s">
        <v>40</v>
      </c>
      <c r="D1927">
        <v>4.7519809999999998</v>
      </c>
      <c r="E1927">
        <v>0.52385369999999998</v>
      </c>
      <c r="F1927" t="s">
        <v>64</v>
      </c>
      <c r="G1927">
        <v>-291.87169999999998</v>
      </c>
      <c r="H1927" s="1">
        <v>2.570807E-6</v>
      </c>
      <c r="I1927">
        <v>284.23829999999998</v>
      </c>
      <c r="J1927">
        <v>-254.42429999999999</v>
      </c>
      <c r="K1927">
        <v>1.109982</v>
      </c>
      <c r="L1927">
        <v>283.22989999999999</v>
      </c>
      <c r="M1927">
        <v>-0.99980279999999999</v>
      </c>
      <c r="N1927">
        <v>-1.064531E-2</v>
      </c>
      <c r="O1927">
        <v>1.6772059999999998E-2</v>
      </c>
      <c r="P1927">
        <v>-0.98583430000000005</v>
      </c>
      <c r="Q1927">
        <v>0.16422339999999999</v>
      </c>
      <c r="R1927">
        <v>-3.4082639999999997E-2</v>
      </c>
      <c r="S1927">
        <v>-3.0609130000000002</v>
      </c>
      <c r="T1927">
        <v>-9.037125E-2</v>
      </c>
      <c r="U1927">
        <v>8.2305909999999996E-2</v>
      </c>
      <c r="V1927">
        <v>-5.0615889999999997E-2</v>
      </c>
      <c r="W1927">
        <v>0.1747002</v>
      </c>
      <c r="X1927">
        <v>0.98331979999999997</v>
      </c>
      <c r="Y1927">
        <v>1.0105879999999999E-2</v>
      </c>
      <c r="Z1927">
        <v>-1.1349010000000001E-4</v>
      </c>
      <c r="AA1927">
        <v>0.99994890000000003</v>
      </c>
      <c r="AB1927">
        <v>25</v>
      </c>
      <c r="AC1927">
        <v>-37.447399999999902</v>
      </c>
      <c r="AD1927">
        <v>-1.1099794291930001</v>
      </c>
      <c r="AE1927">
        <v>1.00839999999999</v>
      </c>
      <c r="AF1927">
        <v>0.37981913065579198</v>
      </c>
      <c r="AG1927">
        <v>-1.1099794291930001</v>
      </c>
      <c r="AH1927">
        <v>37.426187454077002</v>
      </c>
      <c r="AI1927">
        <v>91.698682995479601</v>
      </c>
      <c r="AJ1927">
        <v>89.418554557971405</v>
      </c>
      <c r="AK1927">
        <v>37.444570023608897</v>
      </c>
      <c r="AL1927">
        <v>79.938787704750496</v>
      </c>
      <c r="AM1927">
        <v>92.946670622191206</v>
      </c>
      <c r="AN1927">
        <v>0.99999997863628498</v>
      </c>
    </row>
    <row r="1928" spans="1:40" x14ac:dyDescent="0.25">
      <c r="A1928" t="str">
        <f>"20190304155633144"</f>
        <v>20190304155633144</v>
      </c>
      <c r="B1928" t="str">
        <f>"1551686193137074"</f>
        <v>1551686193137074</v>
      </c>
      <c r="C1928" t="s">
        <v>40</v>
      </c>
      <c r="D1928">
        <v>4.7913750000000004</v>
      </c>
      <c r="E1928">
        <v>0.52345160000000002</v>
      </c>
      <c r="F1928" t="s">
        <v>64</v>
      </c>
      <c r="G1928">
        <v>-292.91300000000001</v>
      </c>
      <c r="H1928" s="1">
        <v>2.751207E-6</v>
      </c>
      <c r="I1928">
        <v>284.28750000000002</v>
      </c>
      <c r="J1928">
        <v>-254.63630000000001</v>
      </c>
      <c r="K1928">
        <v>1.1099619999999999</v>
      </c>
      <c r="L1928">
        <v>283.23340000000002</v>
      </c>
      <c r="M1928">
        <v>-0.99980420000000003</v>
      </c>
      <c r="N1928">
        <v>-1.0516620000000001E-2</v>
      </c>
      <c r="O1928">
        <v>1.6758849999999999E-2</v>
      </c>
      <c r="P1928">
        <v>-0.9858034</v>
      </c>
      <c r="Q1928">
        <v>0.16443859999999999</v>
      </c>
      <c r="R1928">
        <v>-3.3936460000000002E-2</v>
      </c>
      <c r="S1928">
        <v>-3.06073</v>
      </c>
      <c r="T1928">
        <v>-8.8268879999999994E-2</v>
      </c>
      <c r="U1928">
        <v>8.4106449999999999E-2</v>
      </c>
      <c r="V1928">
        <v>-5.0450479999999999E-2</v>
      </c>
      <c r="W1928">
        <v>0.17479040000000001</v>
      </c>
      <c r="X1928">
        <v>0.98331230000000003</v>
      </c>
      <c r="Y1928">
        <v>1.0708260000000001E-2</v>
      </c>
      <c r="Z1928" s="1">
        <v>-9.6180689999999998E-5</v>
      </c>
      <c r="AA1928">
        <v>0.99994269999999996</v>
      </c>
      <c r="AB1928">
        <v>25</v>
      </c>
      <c r="AC1928">
        <v>-38.276699999999998</v>
      </c>
      <c r="AD1928">
        <v>-1.1099592487929999</v>
      </c>
      <c r="AE1928">
        <v>1.0541</v>
      </c>
      <c r="AF1928">
        <v>0.41209669322249298</v>
      </c>
      <c r="AG1928">
        <v>-1.1099592487929999</v>
      </c>
      <c r="AH1928">
        <v>38.256844474056599</v>
      </c>
      <c r="AI1928">
        <v>91.661779992503796</v>
      </c>
      <c r="AJ1928">
        <v>89.382842771523201</v>
      </c>
      <c r="AK1928">
        <v>38.2751614278856</v>
      </c>
      <c r="AL1928">
        <v>79.933539154435707</v>
      </c>
      <c r="AM1928">
        <v>92.937080311905305</v>
      </c>
      <c r="AN1928">
        <v>1.0000000070978401</v>
      </c>
    </row>
    <row r="1929" spans="1:40" x14ac:dyDescent="0.25">
      <c r="A1929" t="str">
        <f>"20190304155633167"</f>
        <v>20190304155633167</v>
      </c>
      <c r="B1929" t="str">
        <f>"1551686193156593"</f>
        <v>1551686193156593</v>
      </c>
      <c r="C1929" t="s">
        <v>40</v>
      </c>
      <c r="D1929">
        <v>4.6227739999999997</v>
      </c>
      <c r="E1929">
        <v>0.52407479999999995</v>
      </c>
      <c r="F1929" t="s">
        <v>64</v>
      </c>
      <c r="G1929">
        <v>-293.92099999999999</v>
      </c>
      <c r="H1929" s="1">
        <v>2.9306229999999999E-6</v>
      </c>
      <c r="I1929">
        <v>284.28050000000002</v>
      </c>
      <c r="J1929">
        <v>-254.8836</v>
      </c>
      <c r="K1929">
        <v>1.109942</v>
      </c>
      <c r="L1929">
        <v>283.23750000000001</v>
      </c>
      <c r="M1929">
        <v>-0.99980570000000002</v>
      </c>
      <c r="N1929">
        <v>-1.0383119999999999E-2</v>
      </c>
      <c r="O1929">
        <v>1.675536E-2</v>
      </c>
      <c r="P1929">
        <v>-0.98584539999999998</v>
      </c>
      <c r="Q1929">
        <v>0.1642168</v>
      </c>
      <c r="R1929">
        <v>-3.3790569999999999E-2</v>
      </c>
      <c r="S1929">
        <v>-3.0604550000000001</v>
      </c>
      <c r="T1929">
        <v>-8.6470959999999999E-2</v>
      </c>
      <c r="U1929">
        <v>8.1573489999999999E-2</v>
      </c>
      <c r="V1929">
        <v>-5.0297059999999998E-2</v>
      </c>
      <c r="W1929">
        <v>0.17443919999999999</v>
      </c>
      <c r="X1929">
        <v>0.98338250000000005</v>
      </c>
      <c r="Y1929">
        <v>9.8877989999999992E-3</v>
      </c>
      <c r="Z1929">
        <v>-1.082574E-4</v>
      </c>
      <c r="AA1929">
        <v>0.99995109999999998</v>
      </c>
      <c r="AB1929">
        <v>25</v>
      </c>
      <c r="AC1929">
        <v>-39.037399999999899</v>
      </c>
      <c r="AD1929">
        <v>-1.1099390693769999</v>
      </c>
      <c r="AE1929">
        <v>1.0429999999999999</v>
      </c>
      <c r="AF1929">
        <v>0.388418830639914</v>
      </c>
      <c r="AG1929">
        <v>-1.1099390693769999</v>
      </c>
      <c r="AH1929">
        <v>39.017875795378103</v>
      </c>
      <c r="AI1929">
        <v>91.629369324656807</v>
      </c>
      <c r="AJ1929">
        <v>89.429645409422605</v>
      </c>
      <c r="AK1929">
        <v>39.035592291001301</v>
      </c>
      <c r="AL1929">
        <v>79.953975173753307</v>
      </c>
      <c r="AM1929">
        <v>92.927955546002806</v>
      </c>
      <c r="AN1929">
        <v>0.99999998502376597</v>
      </c>
    </row>
    <row r="1930" spans="1:40" x14ac:dyDescent="0.25">
      <c r="A1930" t="str">
        <f>"20190304155633180"</f>
        <v>20190304155633180</v>
      </c>
      <c r="B1930" t="str">
        <f>"1551686193176114"</f>
        <v>1551686193176114</v>
      </c>
      <c r="C1930" t="s">
        <v>40</v>
      </c>
      <c r="D1930">
        <v>4.5432410000000001</v>
      </c>
      <c r="E1930">
        <v>0.52465220000000001</v>
      </c>
      <c r="F1930" t="s">
        <v>64</v>
      </c>
      <c r="G1930">
        <v>-294.80889999999999</v>
      </c>
      <c r="H1930" s="1">
        <v>3.080111E-6</v>
      </c>
      <c r="I1930">
        <v>284.3723</v>
      </c>
      <c r="J1930">
        <v>-255.02680000000001</v>
      </c>
      <c r="K1930">
        <v>1.1099349999999999</v>
      </c>
      <c r="L1930">
        <v>283.23989999999998</v>
      </c>
      <c r="M1930">
        <v>-0.99980650000000004</v>
      </c>
      <c r="N1930">
        <v>-1.0314530000000001E-2</v>
      </c>
      <c r="O1930">
        <v>1.6757979999999999E-2</v>
      </c>
      <c r="P1930">
        <v>-0.98590069999999996</v>
      </c>
      <c r="Q1930">
        <v>0.1639506</v>
      </c>
      <c r="R1930">
        <v>-3.3471389999999997E-2</v>
      </c>
      <c r="S1930">
        <v>-3.0602420000000001</v>
      </c>
      <c r="T1930">
        <v>-8.5075860000000003E-2</v>
      </c>
      <c r="U1930">
        <v>8.69751E-2</v>
      </c>
      <c r="V1930">
        <v>-4.9979309999999999E-2</v>
      </c>
      <c r="W1930">
        <v>0.17410680000000001</v>
      </c>
      <c r="X1930">
        <v>0.98345760000000004</v>
      </c>
      <c r="Y1930">
        <v>1.164981E-2</v>
      </c>
      <c r="Z1930" s="1">
        <v>-7.0852959999999896E-5</v>
      </c>
      <c r="AA1930">
        <v>0.99993209999999999</v>
      </c>
      <c r="AB1930">
        <v>25</v>
      </c>
      <c r="AC1930">
        <v>-39.7820999999999</v>
      </c>
      <c r="AD1930">
        <v>-1.1099319198890001</v>
      </c>
      <c r="AE1930">
        <v>1.1324000000000101</v>
      </c>
      <c r="AF1930">
        <v>0.46517613750096298</v>
      </c>
      <c r="AG1930">
        <v>-1.1099319198890001</v>
      </c>
      <c r="AH1930">
        <v>39.764562052571002</v>
      </c>
      <c r="AI1930">
        <v>91.598749128928603</v>
      </c>
      <c r="AJ1930">
        <v>89.329769716159305</v>
      </c>
      <c r="AK1930">
        <v>39.7827692970016</v>
      </c>
      <c r="AL1930">
        <v>79.973316210928402</v>
      </c>
      <c r="AM1930">
        <v>92.909268370783593</v>
      </c>
      <c r="AN1930">
        <v>0.99999998011603697</v>
      </c>
    </row>
    <row r="1931" spans="1:40" x14ac:dyDescent="0.25">
      <c r="A1931" t="str">
        <f>"20190304155633199"</f>
        <v>20190304155633199</v>
      </c>
      <c r="B1931" t="str">
        <f>"1551686193196610"</f>
        <v>1551686193196610</v>
      </c>
      <c r="C1931" t="s">
        <v>40</v>
      </c>
      <c r="D1931">
        <v>4.6267430000000003</v>
      </c>
      <c r="E1931">
        <v>0.5252869</v>
      </c>
      <c r="F1931" t="s">
        <v>64</v>
      </c>
      <c r="G1931">
        <v>-294.13350000000003</v>
      </c>
      <c r="H1931" s="1">
        <v>2.955451E-6</v>
      </c>
      <c r="I1931">
        <v>284.42770000000002</v>
      </c>
      <c r="J1931">
        <v>-255.2509</v>
      </c>
      <c r="K1931">
        <v>1.109923</v>
      </c>
      <c r="L1931">
        <v>283.24369999999999</v>
      </c>
      <c r="M1931">
        <v>-0.99980720000000001</v>
      </c>
      <c r="N1931">
        <v>-1.021385E-2</v>
      </c>
      <c r="O1931">
        <v>1.676571E-2</v>
      </c>
      <c r="P1931">
        <v>-0.98594499999999996</v>
      </c>
      <c r="Q1931">
        <v>0.16366820000000001</v>
      </c>
      <c r="R1931">
        <v>-3.3543379999999998E-2</v>
      </c>
      <c r="S1931">
        <v>-3.0605159999999998</v>
      </c>
      <c r="T1931">
        <v>-8.6863990000000002E-2</v>
      </c>
      <c r="U1931">
        <v>9.2956540000000004E-2</v>
      </c>
      <c r="V1931">
        <v>-5.0057749999999998E-2</v>
      </c>
      <c r="W1931">
        <v>0.1737264</v>
      </c>
      <c r="X1931">
        <v>0.98352090000000003</v>
      </c>
      <c r="Y1931">
        <v>1.359103E-2</v>
      </c>
      <c r="Z1931" s="1">
        <v>-4.2158730000000002E-5</v>
      </c>
      <c r="AA1931">
        <v>0.99990760000000001</v>
      </c>
      <c r="AB1931">
        <v>25</v>
      </c>
      <c r="AC1931">
        <v>-38.882599999999996</v>
      </c>
      <c r="AD1931">
        <v>-1.1099200445490001</v>
      </c>
      <c r="AE1931">
        <v>1.1840000000000199</v>
      </c>
      <c r="AF1931">
        <v>0.53147245067305204</v>
      </c>
      <c r="AG1931">
        <v>-1.1099200445490001</v>
      </c>
      <c r="AH1931">
        <v>38.865346212194403</v>
      </c>
      <c r="AI1931">
        <v>91.635660563226494</v>
      </c>
      <c r="AJ1931">
        <v>89.2165454978837</v>
      </c>
      <c r="AK1931">
        <v>38.884823796242799</v>
      </c>
      <c r="AL1931">
        <v>79.995449025145405</v>
      </c>
      <c r="AM1931">
        <v>92.913639245464296</v>
      </c>
      <c r="AN1931">
        <v>1.0000000005644101</v>
      </c>
    </row>
    <row r="1932" spans="1:40" x14ac:dyDescent="0.25">
      <c r="A1932" t="str">
        <f>"20190304155633223"</f>
        <v>20190304155633223</v>
      </c>
      <c r="B1932" t="str">
        <f>"1551686193216131"</f>
        <v>1551686193216131</v>
      </c>
      <c r="C1932" t="s">
        <v>40</v>
      </c>
      <c r="D1932">
        <v>4.7378559999999998</v>
      </c>
      <c r="E1932">
        <v>0.52537609999999901</v>
      </c>
      <c r="F1932" t="s">
        <v>64</v>
      </c>
      <c r="G1932">
        <v>-293.89229999999998</v>
      </c>
      <c r="H1932" s="1">
        <v>2.9083889999999999E-6</v>
      </c>
      <c r="I1932">
        <v>284.47660000000002</v>
      </c>
      <c r="J1932">
        <v>-255.51920000000001</v>
      </c>
      <c r="K1932">
        <v>1.1099129999999999</v>
      </c>
      <c r="L1932">
        <v>283.2482</v>
      </c>
      <c r="M1932">
        <v>-0.99980829999999998</v>
      </c>
      <c r="N1932">
        <v>-1.010261E-2</v>
      </c>
      <c r="O1932">
        <v>1.6778680000000001E-2</v>
      </c>
      <c r="P1932">
        <v>-0.98597809999999997</v>
      </c>
      <c r="Q1932">
        <v>0.1635027</v>
      </c>
      <c r="R1932">
        <v>-3.3379010000000001E-2</v>
      </c>
      <c r="S1932">
        <v>-3.0606840000000002</v>
      </c>
      <c r="T1932">
        <v>-8.7913870000000005E-2</v>
      </c>
      <c r="U1932">
        <v>9.765625E-2</v>
      </c>
      <c r="V1932">
        <v>-4.9906859999999997E-2</v>
      </c>
      <c r="W1932">
        <v>0.17345169999999999</v>
      </c>
      <c r="X1932">
        <v>0.98357709999999998</v>
      </c>
      <c r="Y1932">
        <v>1.510944E-2</v>
      </c>
      <c r="Z1932" s="1">
        <v>-1.894473E-5</v>
      </c>
      <c r="AA1932">
        <v>0.99988589999999999</v>
      </c>
      <c r="AB1932">
        <v>25</v>
      </c>
      <c r="AC1932">
        <v>-38.373099999999901</v>
      </c>
      <c r="AD1932">
        <v>-1.1099100916109901</v>
      </c>
      <c r="AE1932">
        <v>1.2284000000000199</v>
      </c>
      <c r="AF1932">
        <v>0.58385634689360799</v>
      </c>
      <c r="AG1932">
        <v>-1.1099100916109901</v>
      </c>
      <c r="AH1932">
        <v>38.356253288893399</v>
      </c>
      <c r="AI1932">
        <v>91.657306372117702</v>
      </c>
      <c r="AJ1932">
        <v>89.127914791451005</v>
      </c>
      <c r="AK1932">
        <v>38.376750188193597</v>
      </c>
      <c r="AL1932">
        <v>80.011431299980202</v>
      </c>
      <c r="AM1932">
        <v>92.904705978639498</v>
      </c>
      <c r="AN1932">
        <v>1.00000004927617</v>
      </c>
    </row>
    <row r="1933" spans="1:40" x14ac:dyDescent="0.25">
      <c r="A1933" t="str">
        <f>"20190304155633245"</f>
        <v>20190304155633245</v>
      </c>
      <c r="B1933" t="str">
        <f>"1551686193236625"</f>
        <v>1551686193236625</v>
      </c>
      <c r="C1933" t="s">
        <v>40</v>
      </c>
      <c r="D1933">
        <v>4.7430320000000004</v>
      </c>
      <c r="E1933">
        <v>0.52544119999999905</v>
      </c>
      <c r="F1933" t="s">
        <v>64</v>
      </c>
      <c r="G1933">
        <v>-294.70100000000002</v>
      </c>
      <c r="H1933" s="1">
        <v>3.0483699999999999E-6</v>
      </c>
      <c r="I1933">
        <v>284.51639999999998</v>
      </c>
      <c r="J1933">
        <v>-255.75620000000001</v>
      </c>
      <c r="K1933">
        <v>1.1099000000000001</v>
      </c>
      <c r="L1933">
        <v>283.25220000000002</v>
      </c>
      <c r="M1933">
        <v>-0.99980880000000005</v>
      </c>
      <c r="N1933">
        <v>-1.001443E-2</v>
      </c>
      <c r="O1933">
        <v>1.6791460000000001E-2</v>
      </c>
      <c r="P1933">
        <v>-0.986066</v>
      </c>
      <c r="Q1933">
        <v>0.16299369999999999</v>
      </c>
      <c r="R1933">
        <v>-3.3274619999999998E-2</v>
      </c>
      <c r="S1933">
        <v>-3.0604100000000001</v>
      </c>
      <c r="T1933">
        <v>-8.6692690000000003E-2</v>
      </c>
      <c r="U1933">
        <v>9.9060060000000005E-2</v>
      </c>
      <c r="V1933">
        <v>-4.9816470000000002E-2</v>
      </c>
      <c r="W1933">
        <v>0.1728567</v>
      </c>
      <c r="X1933">
        <v>0.98368639999999996</v>
      </c>
      <c r="Y1933">
        <v>1.55576E-2</v>
      </c>
      <c r="Z1933" s="1">
        <v>-9.0795509999999996E-6</v>
      </c>
      <c r="AA1933">
        <v>0.99987899999999996</v>
      </c>
      <c r="AB1933">
        <v>25</v>
      </c>
      <c r="AC1933">
        <v>-38.944799999999901</v>
      </c>
      <c r="AD1933">
        <v>-1.1098969516299999</v>
      </c>
      <c r="AE1933">
        <v>1.26419999999995</v>
      </c>
      <c r="AF1933">
        <v>0.60955429920842596</v>
      </c>
      <c r="AG1933">
        <v>-1.1098969516299999</v>
      </c>
      <c r="AH1933">
        <v>38.928952528300002</v>
      </c>
      <c r="AI1933">
        <v>91.632908070343802</v>
      </c>
      <c r="AJ1933">
        <v>89.102928986704498</v>
      </c>
      <c r="AK1933">
        <v>38.949541366203</v>
      </c>
      <c r="AL1933">
        <v>80.046044909912098</v>
      </c>
      <c r="AM1933">
        <v>92.8991324199622</v>
      </c>
      <c r="AN1933">
        <v>1.0000000264815501</v>
      </c>
    </row>
    <row r="1934" spans="1:40" x14ac:dyDescent="0.25">
      <c r="A1934" t="str">
        <f>"20190304155633258"</f>
        <v>20190304155633258</v>
      </c>
      <c r="B1934" t="str">
        <f>"1551686193246386"</f>
        <v>1551686193246386</v>
      </c>
      <c r="C1934" t="s">
        <v>40</v>
      </c>
      <c r="D1934">
        <v>4.6189640000000001</v>
      </c>
      <c r="E1934">
        <v>0.52552580000000004</v>
      </c>
      <c r="F1934" t="s">
        <v>64</v>
      </c>
      <c r="G1934">
        <v>-294.82499999999999</v>
      </c>
      <c r="H1934" s="1">
        <v>3.0694720000000001E-6</v>
      </c>
      <c r="I1934">
        <v>284.52659999999997</v>
      </c>
      <c r="J1934">
        <v>-255.9025</v>
      </c>
      <c r="K1934">
        <v>1.1098950000000001</v>
      </c>
      <c r="L1934">
        <v>283.25459999999998</v>
      </c>
      <c r="M1934">
        <v>-0.99980919999999895</v>
      </c>
      <c r="N1934">
        <v>-9.9656880000000003E-3</v>
      </c>
      <c r="O1934">
        <v>1.680011E-2</v>
      </c>
      <c r="P1934">
        <v>-0.98609449999999998</v>
      </c>
      <c r="Q1934">
        <v>0.1628416</v>
      </c>
      <c r="R1934">
        <v>-3.3171359999999997E-2</v>
      </c>
      <c r="S1934">
        <v>-3.06012</v>
      </c>
      <c r="T1934">
        <v>-8.6934209999999998E-2</v>
      </c>
      <c r="U1934">
        <v>9.9822999999999995E-2</v>
      </c>
      <c r="V1934">
        <v>-4.9722540000000003E-2</v>
      </c>
      <c r="W1934">
        <v>0.17265749999999999</v>
      </c>
      <c r="X1934">
        <v>0.98372610000000005</v>
      </c>
      <c r="Y1934">
        <v>1.580092E-2</v>
      </c>
      <c r="Z1934" s="1">
        <v>-6.502698E-6</v>
      </c>
      <c r="AA1934">
        <v>0.99987510000000002</v>
      </c>
      <c r="AB1934">
        <v>25</v>
      </c>
      <c r="AC1934">
        <v>-38.9224999999999</v>
      </c>
      <c r="AD1934">
        <v>-1.1098919305279999</v>
      </c>
      <c r="AE1934">
        <v>1.27199999999999</v>
      </c>
      <c r="AF1934">
        <v>0.61738422786246205</v>
      </c>
      <c r="AG1934">
        <v>-1.1098919305279999</v>
      </c>
      <c r="AH1934">
        <v>38.906774542533498</v>
      </c>
      <c r="AI1934">
        <v>91.633825574766604</v>
      </c>
      <c r="AJ1934">
        <v>89.090889892343199</v>
      </c>
      <c r="AK1934">
        <v>38.927498361515603</v>
      </c>
      <c r="AL1934">
        <v>80.057632103127006</v>
      </c>
      <c r="AM1934">
        <v>92.893558763310196</v>
      </c>
      <c r="AN1934">
        <v>0.99999999155575503</v>
      </c>
    </row>
    <row r="1935" spans="1:40" x14ac:dyDescent="0.25">
      <c r="A1935" t="str">
        <f>"20190304155633280"</f>
        <v>20190304155633280</v>
      </c>
      <c r="B1935" t="str">
        <f>"1551686193276643"</f>
        <v>1551686193276643</v>
      </c>
      <c r="C1935" t="s">
        <v>40</v>
      </c>
      <c r="D1935">
        <v>4.5885569999999998</v>
      </c>
      <c r="E1935">
        <v>0.52587150000000005</v>
      </c>
      <c r="F1935" t="s">
        <v>64</v>
      </c>
      <c r="G1935">
        <v>-295.08749999999998</v>
      </c>
      <c r="H1935" s="1">
        <v>3.114755E-6</v>
      </c>
      <c r="I1935">
        <v>284.54109999999997</v>
      </c>
      <c r="J1935">
        <v>-256.1533</v>
      </c>
      <c r="K1935">
        <v>1.10989</v>
      </c>
      <c r="L1935">
        <v>283.25889999999998</v>
      </c>
      <c r="M1935">
        <v>-0.99980979999999997</v>
      </c>
      <c r="N1935">
        <v>-9.8908840000000008E-3</v>
      </c>
      <c r="O1935">
        <v>1.681821E-2</v>
      </c>
      <c r="P1935">
        <v>-0.98608119999999999</v>
      </c>
      <c r="Q1935">
        <v>0.1628723</v>
      </c>
      <c r="R1935">
        <v>-3.3420489999999997E-2</v>
      </c>
      <c r="S1935">
        <v>-3.0599669999999999</v>
      </c>
      <c r="T1935">
        <v>-8.6671830000000005E-2</v>
      </c>
      <c r="U1935">
        <v>0.10046389999999999</v>
      </c>
      <c r="V1935">
        <v>-4.9987950000000003E-2</v>
      </c>
      <c r="W1935">
        <v>0.172614299999999</v>
      </c>
      <c r="X1935">
        <v>0.98372020000000004</v>
      </c>
      <c r="Y1935">
        <v>1.59936E-2</v>
      </c>
      <c r="Z1935" s="1">
        <v>-4.252463E-6</v>
      </c>
      <c r="AA1935">
        <v>0.99987210000000004</v>
      </c>
      <c r="AB1935">
        <v>25</v>
      </c>
      <c r="AC1935">
        <v>-38.934199999999898</v>
      </c>
      <c r="AD1935">
        <v>-1.1098868852449999</v>
      </c>
      <c r="AE1935">
        <v>1.28219999999998</v>
      </c>
      <c r="AF1935">
        <v>0.62667444817420703</v>
      </c>
      <c r="AG1935">
        <v>-1.1098868852449999</v>
      </c>
      <c r="AH1935">
        <v>38.918665758852804</v>
      </c>
      <c r="AI1935">
        <v>91.633313124210403</v>
      </c>
      <c r="AJ1935">
        <v>89.077494112923901</v>
      </c>
      <c r="AK1935">
        <v>38.9395315099108</v>
      </c>
      <c r="AL1935">
        <v>80.060144711562401</v>
      </c>
      <c r="AM1935">
        <v>92.908995019512901</v>
      </c>
      <c r="AN1935">
        <v>0.99999996179886497</v>
      </c>
    </row>
    <row r="1936" spans="1:40" x14ac:dyDescent="0.25">
      <c r="A1936" t="str">
        <f>"20190304155633301"</f>
        <v>20190304155633301</v>
      </c>
      <c r="B1936" t="str">
        <f>"1551686193296164"</f>
        <v>1551686193296164</v>
      </c>
      <c r="C1936" t="s">
        <v>40</v>
      </c>
      <c r="D1936">
        <v>4.575672</v>
      </c>
      <c r="E1936">
        <v>0.52603769999999905</v>
      </c>
      <c r="F1936" t="s">
        <v>64</v>
      </c>
      <c r="G1936">
        <v>-295.48829999999998</v>
      </c>
      <c r="H1936" s="1">
        <v>3.1826510000000002E-6</v>
      </c>
      <c r="I1936">
        <v>284.57769999999999</v>
      </c>
      <c r="J1936">
        <v>-256.3938</v>
      </c>
      <c r="K1936">
        <v>1.1098779999999999</v>
      </c>
      <c r="L1936">
        <v>283.2629</v>
      </c>
      <c r="M1936">
        <v>-0.99980990000000003</v>
      </c>
      <c r="N1936">
        <v>-9.8283850000000002E-3</v>
      </c>
      <c r="O1936">
        <v>1.684128E-2</v>
      </c>
      <c r="P1936">
        <v>-0.98614849999999998</v>
      </c>
      <c r="Q1936">
        <v>0.162464</v>
      </c>
      <c r="R1936">
        <v>-3.3419049999999999E-2</v>
      </c>
      <c r="S1936">
        <v>-3.0600589999999999</v>
      </c>
      <c r="T1936">
        <v>-8.6343530000000002E-2</v>
      </c>
      <c r="U1936">
        <v>0.1026001</v>
      </c>
      <c r="V1936">
        <v>-5.0008539999999997E-2</v>
      </c>
      <c r="W1936">
        <v>0.17214560000000001</v>
      </c>
      <c r="X1936">
        <v>0.98380129999999999</v>
      </c>
      <c r="Y1936">
        <v>1.6666489999999999E-2</v>
      </c>
      <c r="Z1936" s="1">
        <v>7.5255519999999999E-6</v>
      </c>
      <c r="AA1936">
        <v>0.99986109999999995</v>
      </c>
      <c r="AB1936">
        <v>25</v>
      </c>
      <c r="AC1936">
        <v>-39.094499999999897</v>
      </c>
      <c r="AD1936">
        <v>-1.1098748173490001</v>
      </c>
      <c r="AE1936">
        <v>1.31479999999999</v>
      </c>
      <c r="AF1936">
        <v>0.65565247203824195</v>
      </c>
      <c r="AG1936">
        <v>-1.1098748173490001</v>
      </c>
      <c r="AH1936">
        <v>39.0796376233221</v>
      </c>
      <c r="AI1936">
        <v>91.626553293963795</v>
      </c>
      <c r="AJ1936">
        <v>89.038819250622794</v>
      </c>
      <c r="AK1936">
        <v>39.100892304964702</v>
      </c>
      <c r="AL1936">
        <v>80.087407531932499</v>
      </c>
      <c r="AM1936">
        <v>92.909951682828407</v>
      </c>
      <c r="AN1936">
        <v>0.99999997977698996</v>
      </c>
    </row>
    <row r="1937" spans="1:40" x14ac:dyDescent="0.25">
      <c r="A1937" t="str">
        <f>"20190304155633321"</f>
        <v>20190304155633321</v>
      </c>
      <c r="B1937" t="str">
        <f>"1551686193316659"</f>
        <v>1551686193316659</v>
      </c>
      <c r="C1937" t="s">
        <v>40</v>
      </c>
      <c r="D1937">
        <v>4.5478699999999996</v>
      </c>
      <c r="E1937">
        <v>0.52580939999999998</v>
      </c>
      <c r="F1937" t="s">
        <v>64</v>
      </c>
      <c r="G1937">
        <v>-295.73739999999998</v>
      </c>
      <c r="H1937" s="1">
        <v>3.2242910000000002E-6</v>
      </c>
      <c r="I1937">
        <v>284.6069</v>
      </c>
      <c r="J1937">
        <v>-256.62939999999998</v>
      </c>
      <c r="K1937">
        <v>1.1098589999999999</v>
      </c>
      <c r="L1937">
        <v>283.267</v>
      </c>
      <c r="M1937">
        <v>-0.99980999999999998</v>
      </c>
      <c r="N1937">
        <v>-9.7747019999999997E-3</v>
      </c>
      <c r="O1937">
        <v>1.686874E-2</v>
      </c>
      <c r="P1937">
        <v>-0.98611070000000001</v>
      </c>
      <c r="Q1937">
        <v>0.16259789999999999</v>
      </c>
      <c r="R1937">
        <v>-3.3879970000000002E-2</v>
      </c>
      <c r="S1937">
        <v>-3.0599059999999998</v>
      </c>
      <c r="T1937">
        <v>-8.631933E-2</v>
      </c>
      <c r="U1937">
        <v>0.104522699999999</v>
      </c>
      <c r="V1937">
        <v>-5.0493330000000003E-2</v>
      </c>
      <c r="W1937">
        <v>0.1722273</v>
      </c>
      <c r="X1937">
        <v>0.98376229999999998</v>
      </c>
      <c r="Y1937">
        <v>1.7267930000000001E-2</v>
      </c>
      <c r="Z1937" s="1">
        <v>1.714636E-5</v>
      </c>
      <c r="AA1937">
        <v>0.99985089999999999</v>
      </c>
      <c r="AB1937">
        <v>25</v>
      </c>
      <c r="AC1937">
        <v>-39.107999999999997</v>
      </c>
      <c r="AD1937">
        <v>-1.109855775709</v>
      </c>
      <c r="AE1937">
        <v>1.3399000000000001</v>
      </c>
      <c r="AF1937">
        <v>0.67942861595334403</v>
      </c>
      <c r="AG1937">
        <v>-1.109855775709</v>
      </c>
      <c r="AH1937">
        <v>39.093590044469302</v>
      </c>
      <c r="AI1937">
        <v>91.625928502761994</v>
      </c>
      <c r="AJ1937">
        <v>89.004325941395507</v>
      </c>
      <c r="AK1937">
        <v>39.115242369849703</v>
      </c>
      <c r="AL1937">
        <v>80.082656105982394</v>
      </c>
      <c r="AM1937">
        <v>92.938228257076901</v>
      </c>
      <c r="AN1937">
        <v>1.0000000410705301</v>
      </c>
    </row>
    <row r="1938" spans="1:40" x14ac:dyDescent="0.25">
      <c r="A1938" t="str">
        <f>"20190304155633344"</f>
        <v>20190304155633344</v>
      </c>
      <c r="B1938" t="str">
        <f>"1551686193336178"</f>
        <v>1551686193336178</v>
      </c>
      <c r="C1938" t="s">
        <v>40</v>
      </c>
      <c r="D1938">
        <v>4.5656040000000004</v>
      </c>
      <c r="E1938">
        <v>0.52597709999999998</v>
      </c>
      <c r="F1938" t="s">
        <v>64</v>
      </c>
      <c r="G1938">
        <v>-296.15960000000001</v>
      </c>
      <c r="H1938" s="1">
        <v>3.301827E-6</v>
      </c>
      <c r="I1938">
        <v>284.57670000000002</v>
      </c>
      <c r="J1938">
        <v>-256.8879</v>
      </c>
      <c r="K1938">
        <v>1.1098509999999999</v>
      </c>
      <c r="L1938">
        <v>283.2713</v>
      </c>
      <c r="M1938">
        <v>-0.99980990000000003</v>
      </c>
      <c r="N1938">
        <v>-9.7233819999999992E-3</v>
      </c>
      <c r="O1938">
        <v>1.6905489999999999E-2</v>
      </c>
      <c r="P1938">
        <v>-0.98607219999999995</v>
      </c>
      <c r="Q1938">
        <v>0.16286010000000001</v>
      </c>
      <c r="R1938">
        <v>-3.3736210000000003E-2</v>
      </c>
      <c r="S1938">
        <v>-3.0598749999999999</v>
      </c>
      <c r="T1938">
        <v>-8.5909490000000005E-2</v>
      </c>
      <c r="U1938">
        <v>0.10137939999999999</v>
      </c>
      <c r="V1938">
        <v>-5.03826E-2</v>
      </c>
      <c r="W1938">
        <v>0.1724396</v>
      </c>
      <c r="X1938">
        <v>0.98373069999999896</v>
      </c>
      <c r="Y1938">
        <v>1.62062E-2</v>
      </c>
      <c r="Z1938" s="1">
        <v>-3.803027E-6</v>
      </c>
      <c r="AA1938">
        <v>0.99986870000000005</v>
      </c>
      <c r="AB1938">
        <v>25</v>
      </c>
      <c r="AC1938">
        <v>-39.271700000000003</v>
      </c>
      <c r="AD1938">
        <v>-1.1098476981730001</v>
      </c>
      <c r="AE1938">
        <v>1.3054000000000101</v>
      </c>
      <c r="AF1938">
        <v>0.64076357671855999</v>
      </c>
      <c r="AG1938">
        <v>-1.1098476981730001</v>
      </c>
      <c r="AH1938">
        <v>39.256838043660501</v>
      </c>
      <c r="AI1938">
        <v>91.619187794128095</v>
      </c>
      <c r="AJ1938">
        <v>89.064881671261006</v>
      </c>
      <c r="AK1938">
        <v>39.277750356411403</v>
      </c>
      <c r="AL1938">
        <v>80.070306607807098</v>
      </c>
      <c r="AM1938">
        <v>92.931890097837396</v>
      </c>
      <c r="AN1938">
        <v>0.999999956076703</v>
      </c>
    </row>
    <row r="1939" spans="1:40" x14ac:dyDescent="0.25">
      <c r="A1939" t="str">
        <f>"20190304155633367"</f>
        <v>20190304155633367</v>
      </c>
      <c r="B1939" t="str">
        <f>"1551686193356674"</f>
        <v>1551686193356674</v>
      </c>
      <c r="C1939" t="s">
        <v>40</v>
      </c>
      <c r="D1939">
        <v>4.6383599999999996</v>
      </c>
      <c r="E1939">
        <v>0.52571269999999903</v>
      </c>
      <c r="F1939" t="s">
        <v>64</v>
      </c>
      <c r="G1939">
        <v>-297.29349999999999</v>
      </c>
      <c r="H1939" s="1">
        <v>3.4979960000000001E-6</v>
      </c>
      <c r="I1939">
        <v>284.63350000000003</v>
      </c>
      <c r="J1939">
        <v>-257.13889999999998</v>
      </c>
      <c r="K1939">
        <v>1.1098479999999999</v>
      </c>
      <c r="L1939">
        <v>283.27569999999997</v>
      </c>
      <c r="M1939">
        <v>-0.99980950000000002</v>
      </c>
      <c r="N1939">
        <v>-9.6806080000000003E-3</v>
      </c>
      <c r="O1939">
        <v>1.694789E-2</v>
      </c>
      <c r="P1939">
        <v>-0.98602999999999996</v>
      </c>
      <c r="Q1939">
        <v>0.1631098</v>
      </c>
      <c r="R1939">
        <v>-3.3762790000000001E-2</v>
      </c>
      <c r="S1939">
        <v>-3.0598139999999998</v>
      </c>
      <c r="T1939">
        <v>-8.4046129999999997E-2</v>
      </c>
      <c r="U1939">
        <v>0.1031494</v>
      </c>
      <c r="V1939">
        <v>-5.0448279999999998E-2</v>
      </c>
      <c r="W1939">
        <v>0.17264669999999999</v>
      </c>
      <c r="X1939">
        <v>0.98369099999999998</v>
      </c>
      <c r="Y1939">
        <v>1.6742099999999999E-2</v>
      </c>
      <c r="Z1939" s="1">
        <v>9.6782169999999998E-6</v>
      </c>
      <c r="AA1939">
        <v>0.99985990000000002</v>
      </c>
      <c r="AB1939">
        <v>25</v>
      </c>
      <c r="AC1939">
        <v>-40.154600000000002</v>
      </c>
      <c r="AD1939">
        <v>-1.109844502004</v>
      </c>
      <c r="AE1939">
        <v>1.3578000000000501</v>
      </c>
      <c r="AF1939">
        <v>0.67652110170458701</v>
      </c>
      <c r="AG1939">
        <v>-1.109844502004</v>
      </c>
      <c r="AH1939">
        <v>40.141215083696302</v>
      </c>
      <c r="AI1939">
        <v>91.583514289753296</v>
      </c>
      <c r="AJ1939">
        <v>89.034455373663405</v>
      </c>
      <c r="AK1939">
        <v>40.1622532238326</v>
      </c>
      <c r="AL1939">
        <v>80.058259891596293</v>
      </c>
      <c r="AM1939">
        <v>92.9358237730371</v>
      </c>
      <c r="AN1939">
        <v>0.99999994772842205</v>
      </c>
    </row>
    <row r="1940" spans="1:40" x14ac:dyDescent="0.25">
      <c r="A1940" t="str">
        <f>"20190304155633389"</f>
        <v>20190304155633389</v>
      </c>
      <c r="B1940" t="str">
        <f>"1551686193386931"</f>
        <v>1551686193386931</v>
      </c>
      <c r="C1940" t="s">
        <v>40</v>
      </c>
      <c r="D1940">
        <v>4.5394420000000002</v>
      </c>
      <c r="E1940">
        <v>0.52590269999999995</v>
      </c>
      <c r="F1940" t="s">
        <v>64</v>
      </c>
      <c r="G1940">
        <v>-297.73140000000001</v>
      </c>
      <c r="H1940" s="1">
        <v>3.5780310000000001E-6</v>
      </c>
      <c r="I1940">
        <v>284.60640000000001</v>
      </c>
      <c r="J1940">
        <v>-257.39749999999998</v>
      </c>
      <c r="K1940">
        <v>1.1098399999999999</v>
      </c>
      <c r="L1940">
        <v>283.2801</v>
      </c>
      <c r="M1940">
        <v>-0.99980910000000001</v>
      </c>
      <c r="N1940">
        <v>-9.6430189999999992E-3</v>
      </c>
      <c r="O1940">
        <v>1.699691E-2</v>
      </c>
      <c r="P1940">
        <v>-0.98605799999999999</v>
      </c>
      <c r="Q1940">
        <v>0.16293629999999901</v>
      </c>
      <c r="R1940">
        <v>-3.3790290000000001E-2</v>
      </c>
      <c r="S1940">
        <v>-3.0597840000000001</v>
      </c>
      <c r="T1940">
        <v>-8.3658099999999999E-2</v>
      </c>
      <c r="U1940">
        <v>0.10031130000000001</v>
      </c>
      <c r="V1940">
        <v>-5.052334E-2</v>
      </c>
      <c r="W1940">
        <v>0.1724368</v>
      </c>
      <c r="X1940">
        <v>0.98372400000000004</v>
      </c>
      <c r="Y1940">
        <v>1.576756E-2</v>
      </c>
      <c r="Z1940" s="1">
        <v>-9.0775140000000007E-6</v>
      </c>
      <c r="AA1940">
        <v>0.99987570000000003</v>
      </c>
      <c r="AB1940">
        <v>25</v>
      </c>
      <c r="AC1940">
        <v>-40.3339</v>
      </c>
      <c r="AD1940">
        <v>-1.109836421969</v>
      </c>
      <c r="AE1940">
        <v>1.3263</v>
      </c>
      <c r="AF1940">
        <v>0.64004080555936405</v>
      </c>
      <c r="AG1940">
        <v>-1.109836421969</v>
      </c>
      <c r="AH1940">
        <v>40.320121860713797</v>
      </c>
      <c r="AI1940">
        <v>91.5765053179191</v>
      </c>
      <c r="AJ1940">
        <v>89.090564327796997</v>
      </c>
      <c r="AK1940">
        <v>40.340471191833103</v>
      </c>
      <c r="AL1940">
        <v>80.070469746023406</v>
      </c>
      <c r="AM1940">
        <v>92.940085752047295</v>
      </c>
      <c r="AN1940">
        <v>0.99999998302749704</v>
      </c>
    </row>
    <row r="1941" spans="1:40" x14ac:dyDescent="0.25">
      <c r="A1941" t="str">
        <f>"20190304155633411"</f>
        <v>20190304155633411</v>
      </c>
      <c r="B1941" t="str">
        <f>"1551686193406450"</f>
        <v>1551686193406450</v>
      </c>
      <c r="C1941" t="s">
        <v>40</v>
      </c>
      <c r="D1941">
        <v>4.6791289999999996</v>
      </c>
      <c r="E1941">
        <v>0.52573619999999899</v>
      </c>
      <c r="F1941" t="s">
        <v>64</v>
      </c>
      <c r="G1941">
        <v>-298.46519999999998</v>
      </c>
      <c r="H1941" s="1">
        <v>3.705228E-6</v>
      </c>
      <c r="I1941">
        <v>284.64049999999997</v>
      </c>
      <c r="J1941">
        <v>-257.6422</v>
      </c>
      <c r="K1941">
        <v>1.109823</v>
      </c>
      <c r="L1941">
        <v>283.28429999999997</v>
      </c>
      <c r="M1941">
        <v>-0.99980860000000005</v>
      </c>
      <c r="N1941">
        <v>-9.6127739999999993E-3</v>
      </c>
      <c r="O1941">
        <v>1.7047010000000001E-2</v>
      </c>
      <c r="P1941">
        <v>-0.98613949999999995</v>
      </c>
      <c r="Q1941">
        <v>0.16242779999999901</v>
      </c>
      <c r="R1941">
        <v>-3.3864020000000002E-2</v>
      </c>
      <c r="S1941">
        <v>-3.0595400000000001</v>
      </c>
      <c r="T1941">
        <v>-8.2682610000000004E-2</v>
      </c>
      <c r="U1941">
        <v>0.10134890000000001</v>
      </c>
      <c r="V1941">
        <v>-5.0647789999999998E-2</v>
      </c>
      <c r="W1941">
        <v>0.17189989999999999</v>
      </c>
      <c r="X1941">
        <v>0.98381160000000001</v>
      </c>
      <c r="Y1941">
        <v>1.605875E-2</v>
      </c>
      <c r="Z1941" s="1">
        <v>-2.4840989999999998E-6</v>
      </c>
      <c r="AA1941">
        <v>0.99987110000000001</v>
      </c>
      <c r="AB1941">
        <v>25</v>
      </c>
      <c r="AC1941">
        <v>-40.822999999999901</v>
      </c>
      <c r="AD1941">
        <v>-1.109819294772</v>
      </c>
      <c r="AE1941">
        <v>1.3562000000000001</v>
      </c>
      <c r="AF1941">
        <v>0.65957380727693204</v>
      </c>
      <c r="AG1941">
        <v>-1.109819294772</v>
      </c>
      <c r="AH1941">
        <v>40.810058777187699</v>
      </c>
      <c r="AI1941">
        <v>91.557557075190402</v>
      </c>
      <c r="AJ1941">
        <v>89.074063928888293</v>
      </c>
      <c r="AK1941">
        <v>40.830474328273603</v>
      </c>
      <c r="AL1941">
        <v>80.101698530531294</v>
      </c>
      <c r="AM1941">
        <v>92.947053100492298</v>
      </c>
      <c r="AN1941">
        <v>1.0000000192732199</v>
      </c>
    </row>
    <row r="1942" spans="1:40" x14ac:dyDescent="0.25">
      <c r="A1942" t="str">
        <f>"20190304155633434"</f>
        <v>20190304155633434</v>
      </c>
      <c r="B1942" t="str">
        <f>"1551686193426946"</f>
        <v>1551686193426946</v>
      </c>
      <c r="C1942" t="s">
        <v>40</v>
      </c>
      <c r="D1942">
        <v>4.5007859999999997</v>
      </c>
      <c r="E1942">
        <v>0.5259007</v>
      </c>
      <c r="F1942" t="s">
        <v>64</v>
      </c>
      <c r="G1942">
        <v>-298.13150000000002</v>
      </c>
      <c r="H1942" s="1">
        <v>3.6480379999999998E-6</v>
      </c>
      <c r="I1942">
        <v>284.61750000000001</v>
      </c>
      <c r="J1942">
        <v>-257.91419999999999</v>
      </c>
      <c r="K1942">
        <v>1.1098159999999999</v>
      </c>
      <c r="L1942">
        <v>283.28899999999999</v>
      </c>
      <c r="M1942">
        <v>-0.99980780000000002</v>
      </c>
      <c r="N1942">
        <v>-9.5842830000000007E-3</v>
      </c>
      <c r="O1942">
        <v>1.7104649999999999E-2</v>
      </c>
      <c r="P1942">
        <v>-0.98613660000000003</v>
      </c>
      <c r="Q1942">
        <v>0.16247229999999999</v>
      </c>
      <c r="R1942">
        <v>-3.3726880000000001E-2</v>
      </c>
      <c r="S1942">
        <v>-3.0594480000000002</v>
      </c>
      <c r="T1942">
        <v>-8.3860039999999997E-2</v>
      </c>
      <c r="U1942">
        <v>0.10073849999999999</v>
      </c>
      <c r="V1942">
        <v>-5.0567889999999997E-2</v>
      </c>
      <c r="W1942">
        <v>0.17191579999999901</v>
      </c>
      <c r="X1942">
        <v>0.98381289999999999</v>
      </c>
      <c r="Y1942">
        <v>1.580291E-2</v>
      </c>
      <c r="Z1942" s="1">
        <v>-1.243163E-5</v>
      </c>
      <c r="AA1942">
        <v>0.99987510000000002</v>
      </c>
      <c r="AB1942">
        <v>26</v>
      </c>
      <c r="AC1942">
        <v>-40.217300000000002</v>
      </c>
      <c r="AD1942">
        <v>-1.109812351962</v>
      </c>
      <c r="AE1942">
        <v>1.32850000000001</v>
      </c>
      <c r="AF1942">
        <v>0.63988446896235496</v>
      </c>
      <c r="AG1942">
        <v>-1.109812351962</v>
      </c>
      <c r="AH1942">
        <v>40.203558553701797</v>
      </c>
      <c r="AI1942">
        <v>91.581038476573596</v>
      </c>
      <c r="AJ1942">
        <v>89.088150765582597</v>
      </c>
      <c r="AK1942">
        <v>40.223963702886401</v>
      </c>
      <c r="AL1942">
        <v>80.100773447914904</v>
      </c>
      <c r="AM1942">
        <v>92.9424082382655</v>
      </c>
      <c r="AN1942">
        <v>0.99999998799755097</v>
      </c>
    </row>
    <row r="1943" spans="1:40" x14ac:dyDescent="0.25">
      <c r="A1943" t="str">
        <f>"20190304155633456"</f>
        <v>20190304155633456</v>
      </c>
      <c r="B1943" t="str">
        <f>"1551686193446466"</f>
        <v>1551686193446466</v>
      </c>
      <c r="C1943" t="s">
        <v>40</v>
      </c>
      <c r="D1943">
        <v>4.5649639999999998</v>
      </c>
      <c r="E1943">
        <v>0.52601399999999998</v>
      </c>
      <c r="F1943" t="s">
        <v>64</v>
      </c>
      <c r="G1943">
        <v>-298.95659999999998</v>
      </c>
      <c r="H1943" s="1">
        <v>3.790072E-6</v>
      </c>
      <c r="I1943">
        <v>284.6671</v>
      </c>
      <c r="J1943">
        <v>-258.16460000000001</v>
      </c>
      <c r="K1943">
        <v>1.109809</v>
      </c>
      <c r="L1943">
        <v>283.29340000000002</v>
      </c>
      <c r="M1943">
        <v>-0.99980709999999995</v>
      </c>
      <c r="N1943">
        <v>-9.5622450000000005E-3</v>
      </c>
      <c r="O1943">
        <v>1.7156729999999999E-2</v>
      </c>
      <c r="P1943">
        <v>-0.9862069</v>
      </c>
      <c r="Q1943">
        <v>0.16212170000000001</v>
      </c>
      <c r="R1943">
        <v>-3.3353059999999997E-2</v>
      </c>
      <c r="S1943">
        <v>-3.059326</v>
      </c>
      <c r="T1943">
        <v>-8.2725999999999994E-2</v>
      </c>
      <c r="U1943">
        <v>0.1027222</v>
      </c>
      <c r="V1943">
        <v>-5.0247029999999998E-2</v>
      </c>
      <c r="W1943">
        <v>0.17154430000000001</v>
      </c>
      <c r="X1943">
        <v>0.98389420000000005</v>
      </c>
      <c r="Y1943">
        <v>1.6399540000000001E-2</v>
      </c>
      <c r="Z1943" s="1">
        <v>4.256581E-7</v>
      </c>
      <c r="AA1943">
        <v>0.99986549999999996</v>
      </c>
      <c r="AB1943">
        <v>26</v>
      </c>
      <c r="AC1943">
        <v>-40.791999999999902</v>
      </c>
      <c r="AD1943">
        <v>-1.109805209928</v>
      </c>
      <c r="AE1943">
        <v>1.3736999999999799</v>
      </c>
      <c r="AF1943">
        <v>0.67311080502935305</v>
      </c>
      <c r="AG1943">
        <v>-1.109805209928</v>
      </c>
      <c r="AH1943">
        <v>40.779414310942201</v>
      </c>
      <c r="AI1943">
        <v>91.558698427463796</v>
      </c>
      <c r="AJ1943">
        <v>89.054353599991302</v>
      </c>
      <c r="AK1943">
        <v>40.800065898271697</v>
      </c>
      <c r="AL1943">
        <v>80.122379971649707</v>
      </c>
      <c r="AM1943">
        <v>92.923529588811903</v>
      </c>
      <c r="AN1943">
        <v>1.0000000038399699</v>
      </c>
    </row>
    <row r="1944" spans="1:40" x14ac:dyDescent="0.25">
      <c r="A1944" t="str">
        <f>"20190304155633480"</f>
        <v>20190304155633480</v>
      </c>
      <c r="B1944" t="str">
        <f>"1551686193476722"</f>
        <v>1551686193476722</v>
      </c>
      <c r="C1944" t="s">
        <v>40</v>
      </c>
      <c r="D1944">
        <v>4.6884480000000002</v>
      </c>
      <c r="E1944">
        <v>0.52592740000000004</v>
      </c>
      <c r="F1944" t="s">
        <v>64</v>
      </c>
      <c r="G1944">
        <v>-298.98399999999998</v>
      </c>
      <c r="H1944" s="1">
        <v>3.792912E-6</v>
      </c>
      <c r="I1944">
        <v>284.69009999999997</v>
      </c>
      <c r="J1944">
        <v>-258.43369999999999</v>
      </c>
      <c r="K1944">
        <v>1.109809</v>
      </c>
      <c r="L1944">
        <v>283.298</v>
      </c>
      <c r="M1944">
        <v>-0.99980630000000004</v>
      </c>
      <c r="N1944">
        <v>-9.5424250000000002E-3</v>
      </c>
      <c r="O1944">
        <v>1.7210759999999999E-2</v>
      </c>
      <c r="P1944">
        <v>-0.98630499999999999</v>
      </c>
      <c r="Q1944">
        <v>0.16156489999999901</v>
      </c>
      <c r="R1944">
        <v>-3.3153309999999998E-2</v>
      </c>
      <c r="S1944">
        <v>-3.0591740000000001</v>
      </c>
      <c r="T1944">
        <v>-8.3173510000000006E-2</v>
      </c>
      <c r="U1944">
        <v>0.1046753</v>
      </c>
      <c r="V1944">
        <v>-5.0102920000000002E-2</v>
      </c>
      <c r="W1944">
        <v>0.170968799999999</v>
      </c>
      <c r="X1944">
        <v>0.98400169999999998</v>
      </c>
      <c r="Y1944">
        <v>1.69845E-2</v>
      </c>
      <c r="Z1944" s="1">
        <v>8.3929920000000006E-6</v>
      </c>
      <c r="AA1944">
        <v>0.99985579999999996</v>
      </c>
      <c r="AB1944">
        <v>26</v>
      </c>
      <c r="AC1944">
        <v>-40.5503</v>
      </c>
      <c r="AD1944">
        <v>-1.109805207088</v>
      </c>
      <c r="AE1944">
        <v>1.3920999999999699</v>
      </c>
      <c r="AF1944">
        <v>0.69344169318689497</v>
      </c>
      <c r="AG1944">
        <v>-1.109805207088</v>
      </c>
      <c r="AH1944">
        <v>40.537924683151097</v>
      </c>
      <c r="AI1944">
        <v>91.567963374006396</v>
      </c>
      <c r="AJ1944">
        <v>89.019994042045695</v>
      </c>
      <c r="AK1944">
        <v>40.559041736662898</v>
      </c>
      <c r="AL1944">
        <v>80.155847992405398</v>
      </c>
      <c r="AM1944">
        <v>92.914841375809502</v>
      </c>
      <c r="AN1944">
        <v>0.99999998938442802</v>
      </c>
    </row>
    <row r="1945" spans="1:40" x14ac:dyDescent="0.25">
      <c r="A1945" t="str">
        <f>"20190304155633502"</f>
        <v>20190304155633502</v>
      </c>
      <c r="B1945" t="str">
        <f>"1551686193496465"</f>
        <v>1551686193496465</v>
      </c>
      <c r="C1945" t="s">
        <v>40</v>
      </c>
      <c r="D1945">
        <v>4.5150690000000004</v>
      </c>
      <c r="E1945">
        <v>0.52606269999999999</v>
      </c>
      <c r="F1945" t="s">
        <v>64</v>
      </c>
      <c r="G1945">
        <v>-298.47370000000001</v>
      </c>
      <c r="H1945" s="1">
        <v>3.704283E-6</v>
      </c>
      <c r="I1945">
        <v>284.66849999999999</v>
      </c>
      <c r="J1945">
        <v>-258.6825</v>
      </c>
      <c r="K1945">
        <v>1.109801</v>
      </c>
      <c r="L1945">
        <v>283.30239999999998</v>
      </c>
      <c r="M1945">
        <v>-0.99980570000000002</v>
      </c>
      <c r="N1945">
        <v>-9.5270600000000004E-3</v>
      </c>
      <c r="O1945">
        <v>1.725983E-2</v>
      </c>
      <c r="P1945">
        <v>-0.98635130000000004</v>
      </c>
      <c r="Q1945">
        <v>0.16120290000000001</v>
      </c>
      <c r="R1945">
        <v>-3.3542429999999998E-2</v>
      </c>
      <c r="S1945">
        <v>-3.0590519999999999</v>
      </c>
      <c r="T1945">
        <v>-8.4789039999999996E-2</v>
      </c>
      <c r="U1945">
        <v>0.1047058</v>
      </c>
      <c r="V1945">
        <v>-5.0540759999999997E-2</v>
      </c>
      <c r="W1945">
        <v>0.17059250000000001</v>
      </c>
      <c r="X1945">
        <v>0.98404460000000005</v>
      </c>
      <c r="Y1945">
        <v>1.694667E-2</v>
      </c>
      <c r="Z1945" s="1">
        <v>1.792898E-6</v>
      </c>
      <c r="AA1945">
        <v>0.99985639999999998</v>
      </c>
      <c r="AB1945">
        <v>26</v>
      </c>
      <c r="AC1945">
        <v>-39.791200000000003</v>
      </c>
      <c r="AD1945">
        <v>-1.1097972957169999</v>
      </c>
      <c r="AE1945">
        <v>1.3661000000000101</v>
      </c>
      <c r="AF1945">
        <v>0.67854879374496102</v>
      </c>
      <c r="AG1945">
        <v>-1.1097972957169999</v>
      </c>
      <c r="AH1945">
        <v>39.777945723559696</v>
      </c>
      <c r="AI1945">
        <v>91.597894681601005</v>
      </c>
      <c r="AJ1945">
        <v>89.022719474398002</v>
      </c>
      <c r="AK1945">
        <v>39.799209093768802</v>
      </c>
      <c r="AL1945">
        <v>80.177729688400504</v>
      </c>
      <c r="AM1945">
        <v>92.9401411651356</v>
      </c>
      <c r="AN1945">
        <v>0.99999997213339298</v>
      </c>
    </row>
    <row r="1946" spans="1:40" x14ac:dyDescent="0.25">
      <c r="A1946" t="str">
        <f>"20190304155633523"</f>
        <v>20190304155633523</v>
      </c>
      <c r="B1946" t="str">
        <f>"1551686193516960"</f>
        <v>1551686193516960</v>
      </c>
      <c r="C1946" t="s">
        <v>40</v>
      </c>
      <c r="D1946">
        <v>4.7054600000000004</v>
      </c>
      <c r="E1946">
        <v>0.52596669999999901</v>
      </c>
      <c r="F1946" t="s">
        <v>64</v>
      </c>
      <c r="G1946">
        <v>-298.52760000000001</v>
      </c>
      <c r="H1946" s="1">
        <v>3.7141129999999999E-6</v>
      </c>
      <c r="I1946">
        <v>284.66539999999998</v>
      </c>
      <c r="J1946">
        <v>-258.93900000000002</v>
      </c>
      <c r="K1946">
        <v>1.1097950000000001</v>
      </c>
      <c r="L1946">
        <v>283.30680000000001</v>
      </c>
      <c r="M1946">
        <v>-0.9998049</v>
      </c>
      <c r="N1946">
        <v>-9.5137469999999995E-3</v>
      </c>
      <c r="O1946">
        <v>1.7310679999999998E-2</v>
      </c>
      <c r="P1946">
        <v>-0.98638250000000005</v>
      </c>
      <c r="Q1946">
        <v>0.1610405</v>
      </c>
      <c r="R1946">
        <v>-3.339408E-2</v>
      </c>
      <c r="S1946">
        <v>-3.0589900000000001</v>
      </c>
      <c r="T1946">
        <v>-8.5201499999999999E-2</v>
      </c>
      <c r="U1946">
        <v>0.1046448</v>
      </c>
      <c r="V1946">
        <v>-5.0442830000000001E-2</v>
      </c>
      <c r="W1946">
        <v>0.17041719999999999</v>
      </c>
      <c r="X1946">
        <v>0.98407999999999995</v>
      </c>
      <c r="Y1946">
        <v>1.687659E-2</v>
      </c>
      <c r="Z1946" s="1">
        <v>-1.9789729999999999E-6</v>
      </c>
      <c r="AA1946">
        <v>0.99985760000000001</v>
      </c>
      <c r="AB1946">
        <v>26</v>
      </c>
      <c r="AC1946">
        <v>-39.5885999999999</v>
      </c>
      <c r="AD1946">
        <v>-1.109791285887</v>
      </c>
      <c r="AE1946">
        <v>1.3585999999999601</v>
      </c>
      <c r="AF1946">
        <v>0.67253191755448705</v>
      </c>
      <c r="AG1946">
        <v>-1.109791285887</v>
      </c>
      <c r="AH1946">
        <v>39.575123102251503</v>
      </c>
      <c r="AI1946">
        <v>91.606072690906899</v>
      </c>
      <c r="AJ1946">
        <v>89.026420418800299</v>
      </c>
      <c r="AK1946">
        <v>39.596392568474201</v>
      </c>
      <c r="AL1946">
        <v>80.187922915995003</v>
      </c>
      <c r="AM1946">
        <v>92.934348809289602</v>
      </c>
      <c r="AN1946">
        <v>0.99999997377712402</v>
      </c>
    </row>
    <row r="1947" spans="1:40" x14ac:dyDescent="0.25">
      <c r="A1947" t="str">
        <f>"20190304155633546"</f>
        <v>20190304155633546</v>
      </c>
      <c r="B1947" t="str">
        <f>"1551686193536480"</f>
        <v>1551686193536480</v>
      </c>
      <c r="C1947" t="s">
        <v>40</v>
      </c>
      <c r="D1947">
        <v>4.6706560000000001</v>
      </c>
      <c r="E1947">
        <v>0.52576769999999995</v>
      </c>
      <c r="F1947" t="s">
        <v>64</v>
      </c>
      <c r="G1947">
        <v>-298.69260000000003</v>
      </c>
      <c r="H1947" s="1">
        <v>3.7436839999999998E-6</v>
      </c>
      <c r="I1947">
        <v>284.66199999999998</v>
      </c>
      <c r="J1947">
        <v>-259.19319999999999</v>
      </c>
      <c r="K1947">
        <v>1.1097919999999999</v>
      </c>
      <c r="L1947">
        <v>283.31130000000002</v>
      </c>
      <c r="M1947">
        <v>-0.99980409999999997</v>
      </c>
      <c r="N1947">
        <v>-9.5029680000000005E-3</v>
      </c>
      <c r="O1947">
        <v>1.7361410000000001E-2</v>
      </c>
      <c r="P1947">
        <v>-0.98630359999999995</v>
      </c>
      <c r="Q1947">
        <v>0.16152250000000001</v>
      </c>
      <c r="R1947">
        <v>-3.3404459999999997E-2</v>
      </c>
      <c r="S1947">
        <v>-3.0588989999999998</v>
      </c>
      <c r="T1947">
        <v>-8.5394499999999998E-2</v>
      </c>
      <c r="U1947">
        <v>0.1042786</v>
      </c>
      <c r="V1947">
        <v>-5.050106E-2</v>
      </c>
      <c r="W1947">
        <v>0.17088800000000001</v>
      </c>
      <c r="X1947">
        <v>0.98399539999999996</v>
      </c>
      <c r="Y1947">
        <v>1.6707409999999999E-2</v>
      </c>
      <c r="Z1947" s="1">
        <v>-6.9211669999999996E-6</v>
      </c>
      <c r="AA1947">
        <v>0.99986039999999998</v>
      </c>
      <c r="AB1947">
        <v>26</v>
      </c>
      <c r="AC1947">
        <v>-39.499400000000001</v>
      </c>
      <c r="AD1947">
        <v>-1.109788256316</v>
      </c>
      <c r="AE1947">
        <v>1.35070000000001</v>
      </c>
      <c r="AF1947">
        <v>0.66417645482093701</v>
      </c>
      <c r="AG1947">
        <v>-1.109788256316</v>
      </c>
      <c r="AH1947">
        <v>39.485763394330696</v>
      </c>
      <c r="AI1947">
        <v>91.6097057791645</v>
      </c>
      <c r="AJ1947">
        <v>89.036338262859005</v>
      </c>
      <c r="AK1947">
        <v>39.506939531809699</v>
      </c>
      <c r="AL1947">
        <v>80.160546808521602</v>
      </c>
      <c r="AM1947">
        <v>92.937982353228904</v>
      </c>
      <c r="AN1947">
        <v>1.00000000641314</v>
      </c>
    </row>
    <row r="1948" spans="1:40" x14ac:dyDescent="0.25">
      <c r="A1948" t="str">
        <f>"20190304155633568"</f>
        <v>20190304155633568</v>
      </c>
      <c r="B1948" t="str">
        <f>"1551686193556979"</f>
        <v>1551686193556979</v>
      </c>
      <c r="C1948" t="s">
        <v>40</v>
      </c>
      <c r="D1948">
        <v>4.710464</v>
      </c>
      <c r="E1948">
        <v>0.52529630000000005</v>
      </c>
      <c r="F1948" t="s">
        <v>64</v>
      </c>
      <c r="G1948">
        <v>-299.43869999999998</v>
      </c>
      <c r="H1948" s="1">
        <v>3.8763740000000004E-6</v>
      </c>
      <c r="I1948">
        <v>284.65800000000002</v>
      </c>
      <c r="J1948">
        <v>-259.44990000000001</v>
      </c>
      <c r="K1948">
        <v>1.109793</v>
      </c>
      <c r="L1948">
        <v>283.31580000000002</v>
      </c>
      <c r="M1948">
        <v>-0.99980340000000001</v>
      </c>
      <c r="N1948">
        <v>-9.4942789999999996E-3</v>
      </c>
      <c r="O1948">
        <v>1.7413069999999999E-2</v>
      </c>
      <c r="P1948">
        <v>-0.98615169999999996</v>
      </c>
      <c r="Q1948">
        <v>0.16252150000000001</v>
      </c>
      <c r="R1948">
        <v>-3.3045110000000003E-2</v>
      </c>
      <c r="S1948">
        <v>-3.058929</v>
      </c>
      <c r="T1948">
        <v>-8.4351419999999996E-2</v>
      </c>
      <c r="U1948">
        <v>0.102356</v>
      </c>
      <c r="V1948">
        <v>-5.0189650000000002E-2</v>
      </c>
      <c r="W1948">
        <v>0.17187729999999901</v>
      </c>
      <c r="X1948">
        <v>0.98383900000000002</v>
      </c>
      <c r="Y1948">
        <v>1.602812E-2</v>
      </c>
      <c r="Z1948" s="1">
        <v>-1.7597459999999999E-5</v>
      </c>
      <c r="AA1948">
        <v>0.99987159999999997</v>
      </c>
      <c r="AB1948">
        <v>26</v>
      </c>
      <c r="AC1948">
        <v>-39.988799999999898</v>
      </c>
      <c r="AD1948">
        <v>-1.109789123626</v>
      </c>
      <c r="AE1948">
        <v>1.3421999999999901</v>
      </c>
      <c r="AF1948">
        <v>0.64514105761677798</v>
      </c>
      <c r="AG1948">
        <v>-1.109789123626</v>
      </c>
      <c r="AH1948">
        <v>39.975354847649598</v>
      </c>
      <c r="AI1948">
        <v>91.590020463359707</v>
      </c>
      <c r="AJ1948">
        <v>89.075414055669</v>
      </c>
      <c r="AK1948">
        <v>39.995960221985499</v>
      </c>
      <c r="AL1948">
        <v>80.103012711929196</v>
      </c>
      <c r="AM1948">
        <v>92.920360381656295</v>
      </c>
      <c r="AN1948">
        <v>0.99999999257170602</v>
      </c>
    </row>
    <row r="1949" spans="1:40" x14ac:dyDescent="0.25">
      <c r="A1949" t="str">
        <f>"20190304155633591"</f>
        <v>20190304155633591</v>
      </c>
      <c r="B1949" t="str">
        <f>"1551686193587232"</f>
        <v>1551686193587232</v>
      </c>
      <c r="C1949" t="s">
        <v>40</v>
      </c>
      <c r="D1949">
        <v>4.6672250000000002</v>
      </c>
      <c r="E1949">
        <v>0.52515529999999999</v>
      </c>
      <c r="F1949" t="s">
        <v>64</v>
      </c>
      <c r="G1949">
        <v>-300.64850000000001</v>
      </c>
      <c r="H1949" s="1">
        <v>3.8458069999999997E-6</v>
      </c>
      <c r="I1949">
        <v>284.65940000000001</v>
      </c>
      <c r="J1949">
        <v>-259.7088</v>
      </c>
      <c r="K1949">
        <v>1.109791</v>
      </c>
      <c r="L1949">
        <v>283.32040000000001</v>
      </c>
      <c r="M1949">
        <v>-0.99980250000000004</v>
      </c>
      <c r="N1949">
        <v>-9.487489E-3</v>
      </c>
      <c r="O1949">
        <v>1.7466280000000001E-2</v>
      </c>
      <c r="P1949">
        <v>-0.98608790000000002</v>
      </c>
      <c r="Q1949">
        <v>0.16286700000000001</v>
      </c>
      <c r="R1949">
        <v>-3.3243410000000001E-2</v>
      </c>
      <c r="S1949">
        <v>-3.0590519999999999</v>
      </c>
      <c r="T1949">
        <v>-8.2403420000000005E-2</v>
      </c>
      <c r="U1949">
        <v>9.9761959999999997E-2</v>
      </c>
      <c r="V1949">
        <v>-5.0439020000000001E-2</v>
      </c>
      <c r="W1949">
        <v>0.17221510000000001</v>
      </c>
      <c r="X1949">
        <v>0.98376719999999895</v>
      </c>
      <c r="Y1949">
        <v>1.512721E-2</v>
      </c>
      <c r="Z1949" s="1">
        <v>-2.9115889999999999E-5</v>
      </c>
      <c r="AA1949">
        <v>0.99988560000000004</v>
      </c>
      <c r="AB1949">
        <v>26</v>
      </c>
      <c r="AC1949">
        <v>-40.939700000000002</v>
      </c>
      <c r="AD1949">
        <v>-1.109787154193</v>
      </c>
      <c r="AE1949">
        <v>1.33899999999999</v>
      </c>
      <c r="AF1949">
        <v>0.623241826224046</v>
      </c>
      <c r="AG1949">
        <v>-1.109787154193</v>
      </c>
      <c r="AH1949">
        <v>40.926800280964102</v>
      </c>
      <c r="AI1949">
        <v>91.553094195948603</v>
      </c>
      <c r="AJ1949">
        <v>89.127555389082403</v>
      </c>
      <c r="AK1949">
        <v>40.946587637304802</v>
      </c>
      <c r="AL1949">
        <v>80.083365502205098</v>
      </c>
      <c r="AM1949">
        <v>92.935058870457496</v>
      </c>
      <c r="AN1949">
        <v>1.0000000196012</v>
      </c>
    </row>
    <row r="1950" spans="1:40" x14ac:dyDescent="0.25">
      <c r="A1950" t="str">
        <f>"20190304155633613"</f>
        <v>20190304155633613</v>
      </c>
      <c r="B1950" t="str">
        <f>"1551686193606752"</f>
        <v>1551686193606752</v>
      </c>
      <c r="C1950" t="s">
        <v>40</v>
      </c>
      <c r="D1950">
        <v>4.5748739999999897</v>
      </c>
      <c r="E1950">
        <v>0.5252713</v>
      </c>
      <c r="F1950" t="s">
        <v>64</v>
      </c>
      <c r="G1950">
        <v>-301.49149999999997</v>
      </c>
      <c r="H1950" s="1">
        <v>3.6961679999999998E-6</v>
      </c>
      <c r="I1950">
        <v>284.66050000000001</v>
      </c>
      <c r="J1950">
        <v>-259.96890000000002</v>
      </c>
      <c r="K1950">
        <v>1.1097870000000001</v>
      </c>
      <c r="L1950">
        <v>283.32499999999999</v>
      </c>
      <c r="M1950">
        <v>-0.99980150000000001</v>
      </c>
      <c r="N1950">
        <v>-9.482061E-3</v>
      </c>
      <c r="O1950">
        <v>1.75205999999999E-2</v>
      </c>
      <c r="P1950">
        <v>-0.98596329999999999</v>
      </c>
      <c r="Q1950">
        <v>0.163662</v>
      </c>
      <c r="R1950">
        <v>-3.303184E-2</v>
      </c>
      <c r="S1950">
        <v>-3.059021</v>
      </c>
      <c r="T1950">
        <v>-8.1250429999999998E-2</v>
      </c>
      <c r="U1950">
        <v>9.8114010000000001E-2</v>
      </c>
      <c r="V1950">
        <v>-5.0279039999999997E-2</v>
      </c>
      <c r="W1950">
        <v>0.17300370000000001</v>
      </c>
      <c r="X1950">
        <v>0.98363699999999998</v>
      </c>
      <c r="Y1950">
        <v>1.453547E-2</v>
      </c>
      <c r="Z1950" s="1">
        <v>-3.7116580000000002E-5</v>
      </c>
      <c r="AA1950">
        <v>0.99989439999999996</v>
      </c>
      <c r="AB1950">
        <v>26</v>
      </c>
      <c r="AC1950">
        <v>-41.522599999999898</v>
      </c>
      <c r="AD1950">
        <v>-1.109783303832</v>
      </c>
      <c r="AE1950">
        <v>1.3355000000000199</v>
      </c>
      <c r="AF1950">
        <v>0.60732799161030104</v>
      </c>
      <c r="AG1950">
        <v>-1.109783303832</v>
      </c>
      <c r="AH1950">
        <v>41.510003853551503</v>
      </c>
      <c r="AI1950">
        <v>91.531292469807497</v>
      </c>
      <c r="AJ1950">
        <v>89.161771986244602</v>
      </c>
      <c r="AK1950">
        <v>41.5292774581104</v>
      </c>
      <c r="AL1950">
        <v>80.037493380200502</v>
      </c>
      <c r="AM1950">
        <v>92.926152394085406</v>
      </c>
      <c r="AN1950">
        <v>1.000000004923</v>
      </c>
    </row>
    <row r="1951" spans="1:40" x14ac:dyDescent="0.25">
      <c r="A1951" t="str">
        <f>"20190304155633637"</f>
        <v>20190304155633637</v>
      </c>
      <c r="B1951" t="str">
        <f>"1551686193626272"</f>
        <v>1551686193626272</v>
      </c>
      <c r="C1951" t="s">
        <v>40</v>
      </c>
      <c r="D1951">
        <v>4.579752</v>
      </c>
      <c r="E1951">
        <v>0.52538759999999995</v>
      </c>
      <c r="F1951" t="s">
        <v>64</v>
      </c>
      <c r="G1951">
        <v>-303.20010000000002</v>
      </c>
      <c r="H1951" s="1">
        <v>3.3869659999999998E-6</v>
      </c>
      <c r="I1951">
        <v>284.73050000000001</v>
      </c>
      <c r="J1951">
        <v>-260.23970000000003</v>
      </c>
      <c r="K1951">
        <v>1.1097840000000001</v>
      </c>
      <c r="L1951">
        <v>283.32979999999998</v>
      </c>
      <c r="M1951">
        <v>-0.99980060000000004</v>
      </c>
      <c r="N1951">
        <v>-9.4778099999999997E-3</v>
      </c>
      <c r="O1951">
        <v>1.757742E-2</v>
      </c>
      <c r="P1951">
        <v>-0.98588010000000004</v>
      </c>
      <c r="Q1951">
        <v>0.16416420000000001</v>
      </c>
      <c r="R1951">
        <v>-3.3024640000000001E-2</v>
      </c>
      <c r="S1951">
        <v>-3.0590820000000001</v>
      </c>
      <c r="T1951">
        <v>-7.8529360000000006E-2</v>
      </c>
      <c r="U1951">
        <v>9.9456790000000003E-2</v>
      </c>
      <c r="V1951">
        <v>-5.0326629999999997E-2</v>
      </c>
      <c r="W1951">
        <v>0.17350099999999999</v>
      </c>
      <c r="X1951">
        <v>0.98354699999999995</v>
      </c>
      <c r="Y1951">
        <v>1.491643E-2</v>
      </c>
      <c r="Z1951" s="1">
        <v>-2.2328210000000001E-5</v>
      </c>
      <c r="AA1951">
        <v>0.99988869999999996</v>
      </c>
      <c r="AB1951">
        <v>26</v>
      </c>
      <c r="AC1951">
        <v>-42.9603999999999</v>
      </c>
      <c r="AD1951">
        <v>-1.109780613034</v>
      </c>
      <c r="AE1951">
        <v>1.40070000000002</v>
      </c>
      <c r="AF1951">
        <v>0.64488678754552498</v>
      </c>
      <c r="AG1951">
        <v>-1.109780613034</v>
      </c>
      <c r="AH1951">
        <v>42.949753020444803</v>
      </c>
      <c r="AI1951">
        <v>91.479972147306796</v>
      </c>
      <c r="AJ1951">
        <v>89.139773520038901</v>
      </c>
      <c r="AK1951">
        <v>42.968928035209601</v>
      </c>
      <c r="AL1951">
        <v>80.008562976402501</v>
      </c>
      <c r="AM1951">
        <v>92.929184774197395</v>
      </c>
      <c r="AN1951">
        <v>1.00000003394857</v>
      </c>
    </row>
    <row r="1952" spans="1:40" x14ac:dyDescent="0.25">
      <c r="A1952" t="str">
        <f>"20190304155633659"</f>
        <v>20190304155633659</v>
      </c>
      <c r="B1952" t="str">
        <f>"1551686193646769"</f>
        <v>1551686193646769</v>
      </c>
      <c r="C1952" t="s">
        <v>40</v>
      </c>
      <c r="D1952">
        <v>4.5406199999999997</v>
      </c>
      <c r="E1952">
        <v>0.52549029999999997</v>
      </c>
      <c r="F1952" t="s">
        <v>64</v>
      </c>
      <c r="G1952">
        <v>-304.60669999999999</v>
      </c>
      <c r="H1952" s="1">
        <v>3.13308E-6</v>
      </c>
      <c r="I1952">
        <v>284.78070000000002</v>
      </c>
      <c r="J1952">
        <v>-260.49799999999999</v>
      </c>
      <c r="K1952">
        <v>1.1097760000000001</v>
      </c>
      <c r="L1952">
        <v>283.33440000000002</v>
      </c>
      <c r="M1952">
        <v>-0.99979969999999996</v>
      </c>
      <c r="N1952">
        <v>-9.4747749999999995E-3</v>
      </c>
      <c r="O1952">
        <v>1.763174E-2</v>
      </c>
      <c r="P1952">
        <v>-0.98592959999999996</v>
      </c>
      <c r="Q1952">
        <v>0.16386789999999901</v>
      </c>
      <c r="R1952">
        <v>-3.301784E-2</v>
      </c>
      <c r="S1952">
        <v>-3.059021</v>
      </c>
      <c r="T1952">
        <v>-7.6517219999999997E-2</v>
      </c>
      <c r="U1952">
        <v>0.1000366</v>
      </c>
      <c r="V1952">
        <v>-5.0374349999999998E-2</v>
      </c>
      <c r="W1952">
        <v>0.17320179999999999</v>
      </c>
      <c r="X1952">
        <v>0.98359730000000001</v>
      </c>
      <c r="Y1952">
        <v>1.505215E-2</v>
      </c>
      <c r="Z1952" s="1">
        <v>-1.426137E-5</v>
      </c>
      <c r="AA1952">
        <v>0.99988670000000002</v>
      </c>
      <c r="AB1952">
        <v>26</v>
      </c>
      <c r="AC1952">
        <v>-44.108699999999999</v>
      </c>
      <c r="AD1952">
        <v>-1.10977286692</v>
      </c>
      <c r="AE1952">
        <v>1.4462999999999999</v>
      </c>
      <c r="AF1952">
        <v>0.66790479976598505</v>
      </c>
      <c r="AG1952">
        <v>-1.10977286692</v>
      </c>
      <c r="AH1952">
        <v>44.099458560535602</v>
      </c>
      <c r="AI1952">
        <v>91.441391781235595</v>
      </c>
      <c r="AJ1952">
        <v>89.132297725045504</v>
      </c>
      <c r="AK1952">
        <v>44.118476151949103</v>
      </c>
      <c r="AL1952">
        <v>80.025969503196393</v>
      </c>
      <c r="AM1952">
        <v>92.931807724909703</v>
      </c>
      <c r="AN1952">
        <v>1.00000004361422</v>
      </c>
    </row>
    <row r="1953" spans="1:40" x14ac:dyDescent="0.25">
      <c r="A1953" t="str">
        <f>"20190304155633682"</f>
        <v>20190304155633682</v>
      </c>
      <c r="B1953" t="str">
        <f>"1551686193677024"</f>
        <v>1551686193677024</v>
      </c>
      <c r="C1953" t="s">
        <v>40</v>
      </c>
      <c r="D1953">
        <v>4.7076890000000002</v>
      </c>
      <c r="E1953">
        <v>0.52555249999999998</v>
      </c>
      <c r="F1953" t="s">
        <v>64</v>
      </c>
      <c r="G1953">
        <v>-304.4846</v>
      </c>
      <c r="H1953" s="1">
        <v>3.1545679999999998E-6</v>
      </c>
      <c r="I1953">
        <v>284.7826</v>
      </c>
      <c r="J1953">
        <v>-260.77420000000001</v>
      </c>
      <c r="K1953">
        <v>1.1097760000000001</v>
      </c>
      <c r="L1953">
        <v>283.33940000000001</v>
      </c>
      <c r="M1953">
        <v>-0.99979879999999999</v>
      </c>
      <c r="N1953">
        <v>-9.4725390000000003E-3</v>
      </c>
      <c r="O1953">
        <v>1.76900999999999E-2</v>
      </c>
      <c r="P1953">
        <v>-0.98593030000000004</v>
      </c>
      <c r="Q1953">
        <v>0.16391140000000001</v>
      </c>
      <c r="R1953">
        <v>-3.2789980000000003E-2</v>
      </c>
      <c r="S1953">
        <v>-3.0589900000000001</v>
      </c>
      <c r="T1953">
        <v>-7.7177640000000006E-2</v>
      </c>
      <c r="U1953">
        <v>0.10070800000000001</v>
      </c>
      <c r="V1953">
        <v>-5.0203730000000002E-2</v>
      </c>
      <c r="W1953">
        <v>0.17324320000000001</v>
      </c>
      <c r="X1953">
        <v>0.98359870000000005</v>
      </c>
      <c r="Y1953">
        <v>1.5213229999999999E-2</v>
      </c>
      <c r="Z1953" s="1">
        <v>-1.4623249999999999E-5</v>
      </c>
      <c r="AA1953">
        <v>0.9998842</v>
      </c>
      <c r="AB1953">
        <v>26</v>
      </c>
      <c r="AC1953">
        <v>-43.7103999999999</v>
      </c>
      <c r="AD1953">
        <v>-1.1097728454319999</v>
      </c>
      <c r="AE1953">
        <v>1.44319999999999</v>
      </c>
      <c r="AF1953">
        <v>0.66926727579604095</v>
      </c>
      <c r="AG1953">
        <v>-1.1097728454319999</v>
      </c>
      <c r="AH1953">
        <v>43.700951491331097</v>
      </c>
      <c r="AI1953">
        <v>91.454526373134001</v>
      </c>
      <c r="AJ1953">
        <v>89.122600504697999</v>
      </c>
      <c r="AK1953">
        <v>43.720163262533497</v>
      </c>
      <c r="AL1953">
        <v>80.023560727567897</v>
      </c>
      <c r="AM1953">
        <v>92.921890656487193</v>
      </c>
      <c r="AN1953">
        <v>1.0000000117469201</v>
      </c>
    </row>
    <row r="1954" spans="1:40" x14ac:dyDescent="0.25">
      <c r="A1954" t="str">
        <f>"20190304155633705"</f>
        <v>20190304155633705</v>
      </c>
      <c r="B1954" t="str">
        <f>"1551686193696544"</f>
        <v>1551686193696544</v>
      </c>
      <c r="C1954" t="s">
        <v>40</v>
      </c>
      <c r="D1954">
        <v>4.5647820000000001</v>
      </c>
      <c r="E1954">
        <v>0.52562399999999998</v>
      </c>
      <c r="F1954" t="s">
        <v>64</v>
      </c>
      <c r="G1954">
        <v>-305.21300000000002</v>
      </c>
      <c r="H1954" s="1">
        <v>3.0214329999999998E-6</v>
      </c>
      <c r="I1954">
        <v>284.82769999999999</v>
      </c>
      <c r="J1954">
        <v>-261.0403</v>
      </c>
      <c r="K1954">
        <v>1.1097709999999901</v>
      </c>
      <c r="L1954">
        <v>283.34410000000003</v>
      </c>
      <c r="M1954">
        <v>-0.99979779999999996</v>
      </c>
      <c r="N1954">
        <v>-9.4713139999999998E-3</v>
      </c>
      <c r="O1954">
        <v>1.774589E-2</v>
      </c>
      <c r="P1954">
        <v>-0.98605710000000002</v>
      </c>
      <c r="Q1954">
        <v>0.1631928</v>
      </c>
      <c r="R1954">
        <v>-3.2551690000000001E-2</v>
      </c>
      <c r="S1954">
        <v>-3.058929</v>
      </c>
      <c r="T1954">
        <v>-7.6390860000000005E-2</v>
      </c>
      <c r="U1954">
        <v>0.1024475</v>
      </c>
      <c r="V1954">
        <v>-5.0022990000000003E-2</v>
      </c>
      <c r="W1954">
        <v>0.1725246</v>
      </c>
      <c r="X1954">
        <v>0.9837342</v>
      </c>
      <c r="Y1954">
        <v>1.5725889999999999E-2</v>
      </c>
      <c r="Z1954" s="1">
        <v>-4.1022359999999996E-6</v>
      </c>
      <c r="AA1954">
        <v>0.99987630000000005</v>
      </c>
      <c r="AB1954">
        <v>26</v>
      </c>
      <c r="AC1954">
        <v>-44.172699999999899</v>
      </c>
      <c r="AD1954">
        <v>-1.1097679785669901</v>
      </c>
      <c r="AE1954">
        <v>1.4835999999999601</v>
      </c>
      <c r="AF1954">
        <v>0.69900671650572599</v>
      </c>
      <c r="AG1954">
        <v>-1.1097679785669901</v>
      </c>
      <c r="AH1954">
        <v>44.164228074498098</v>
      </c>
      <c r="AI1954">
        <v>91.439257254055704</v>
      </c>
      <c r="AJ1954">
        <v>89.093230139774803</v>
      </c>
      <c r="AK1954">
        <v>44.183698767444298</v>
      </c>
      <c r="AL1954">
        <v>80.065362873185904</v>
      </c>
      <c r="AM1954">
        <v>92.910989271523803</v>
      </c>
      <c r="AN1954">
        <v>1.0000000066916701</v>
      </c>
    </row>
    <row r="1955" spans="1:40" x14ac:dyDescent="0.25">
      <c r="A1955" t="str">
        <f>"20190304155633725"</f>
        <v>20190304155633725</v>
      </c>
      <c r="B1955" t="str">
        <f>"1551686193717043"</f>
        <v>1551686193717043</v>
      </c>
      <c r="C1955" t="s">
        <v>40</v>
      </c>
      <c r="D1955">
        <v>4.6894150000000003</v>
      </c>
      <c r="E1955">
        <v>0.52554069999999997</v>
      </c>
      <c r="F1955" t="s">
        <v>64</v>
      </c>
      <c r="G1955">
        <v>-304.38780000000003</v>
      </c>
      <c r="H1955" s="1">
        <v>3.1687179999999999E-6</v>
      </c>
      <c r="I1955">
        <v>284.81709999999998</v>
      </c>
      <c r="J1955">
        <v>-261.27350000000001</v>
      </c>
      <c r="K1955">
        <v>1.109764</v>
      </c>
      <c r="L1955">
        <v>283.34829999999999</v>
      </c>
      <c r="M1955">
        <v>-0.99979700000000005</v>
      </c>
      <c r="N1955">
        <v>-9.4708399999999995E-3</v>
      </c>
      <c r="O1955">
        <v>1.7794649999999999E-2</v>
      </c>
      <c r="P1955">
        <v>-0.98614139999999995</v>
      </c>
      <c r="Q1955">
        <v>0.1627325</v>
      </c>
      <c r="R1955">
        <v>-3.2302860000000003E-2</v>
      </c>
      <c r="S1955">
        <v>-3.0588069999999998</v>
      </c>
      <c r="T1955">
        <v>-7.8310370000000004E-2</v>
      </c>
      <c r="U1955">
        <v>0.1039429</v>
      </c>
      <c r="V1955">
        <v>-4.9823489999999998E-2</v>
      </c>
      <c r="W1955">
        <v>0.172064299999999</v>
      </c>
      <c r="X1955">
        <v>0.9838249</v>
      </c>
      <c r="Y1955">
        <v>1.6166409999999999E-2</v>
      </c>
      <c r="Z1955" s="1">
        <v>-3.3805990000000001E-6</v>
      </c>
      <c r="AA1955">
        <v>0.99986929999999996</v>
      </c>
      <c r="AB1955">
        <v>26</v>
      </c>
      <c r="AC1955">
        <v>-43.1143</v>
      </c>
      <c r="AD1955">
        <v>-1.109760831282</v>
      </c>
      <c r="AE1955">
        <v>1.4687999999999799</v>
      </c>
      <c r="AF1955">
        <v>0.70086545601768502</v>
      </c>
      <c r="AG1955">
        <v>-1.109760831282</v>
      </c>
      <c r="AH1955">
        <v>43.105084737856302</v>
      </c>
      <c r="AI1955">
        <v>91.474586387793195</v>
      </c>
      <c r="AJ1955">
        <v>89.068483574401299</v>
      </c>
      <c r="AK1955">
        <v>43.125063614421002</v>
      </c>
      <c r="AL1955">
        <v>80.092136126619494</v>
      </c>
      <c r="AM1955">
        <v>92.899132768218294</v>
      </c>
      <c r="AN1955">
        <v>0.99999996867513896</v>
      </c>
    </row>
    <row r="1956" spans="1:40" x14ac:dyDescent="0.25">
      <c r="A1956" t="str">
        <f>"20190304155633747"</f>
        <v>20190304155633747</v>
      </c>
      <c r="B1956" t="str">
        <f>"1551686193736561"</f>
        <v>1551686193736561</v>
      </c>
      <c r="C1956" t="s">
        <v>40</v>
      </c>
      <c r="D1956">
        <v>4.5659809999999998</v>
      </c>
      <c r="E1956">
        <v>0.52559160000000005</v>
      </c>
      <c r="F1956" t="s">
        <v>64</v>
      </c>
      <c r="G1956">
        <v>-303.64789999999999</v>
      </c>
      <c r="H1956" s="1">
        <v>3.302786E-6</v>
      </c>
      <c r="I1956">
        <v>284.78489999999999</v>
      </c>
      <c r="J1956">
        <v>-261.53590000000003</v>
      </c>
      <c r="K1956">
        <v>1.10975</v>
      </c>
      <c r="L1956">
        <v>283.35309999999998</v>
      </c>
      <c r="M1956">
        <v>-0.99979600000000002</v>
      </c>
      <c r="N1956">
        <v>-9.4707469999999998E-3</v>
      </c>
      <c r="O1956">
        <v>1.7848949999999999E-2</v>
      </c>
      <c r="P1956">
        <v>-0.98615109999999995</v>
      </c>
      <c r="Q1956">
        <v>0.16264210000000001</v>
      </c>
      <c r="R1956">
        <v>-3.2461539999999997E-2</v>
      </c>
      <c r="S1956">
        <v>-3.0587770000000001</v>
      </c>
      <c r="T1956">
        <v>-8.0107449999999997E-2</v>
      </c>
      <c r="U1956">
        <v>0.1036987</v>
      </c>
      <c r="V1956">
        <v>-5.0035860000000001E-2</v>
      </c>
      <c r="W1956">
        <v>0.17197409999999999</v>
      </c>
      <c r="X1956">
        <v>0.98382990000000003</v>
      </c>
      <c r="Y1956">
        <v>1.6032669999999999E-2</v>
      </c>
      <c r="Z1956" s="1">
        <v>-1.2377E-5</v>
      </c>
      <c r="AA1956">
        <v>0.99987150000000002</v>
      </c>
      <c r="AB1956">
        <v>26</v>
      </c>
      <c r="AC1956">
        <v>-42.111999999999902</v>
      </c>
      <c r="AD1956">
        <v>-1.109746697214</v>
      </c>
      <c r="AE1956">
        <v>1.4318</v>
      </c>
      <c r="AF1956">
        <v>0.67941204532050103</v>
      </c>
      <c r="AG1956">
        <v>-1.109746697214</v>
      </c>
      <c r="AH1956">
        <v>42.1016446164844</v>
      </c>
      <c r="AI1956">
        <v>91.509699000150405</v>
      </c>
      <c r="AJ1956">
        <v>89.075474022105396</v>
      </c>
      <c r="AK1956">
        <v>42.121747564317097</v>
      </c>
      <c r="AL1956">
        <v>80.097382475022698</v>
      </c>
      <c r="AM1956">
        <v>92.911454181340304</v>
      </c>
      <c r="AN1956">
        <v>0.99999997524537898</v>
      </c>
    </row>
    <row r="1957" spans="1:40" x14ac:dyDescent="0.25">
      <c r="A1957" t="str">
        <f>"20190304155633769"</f>
        <v>20190304155633769</v>
      </c>
      <c r="B1957" t="str">
        <f>"1551686193767011"</f>
        <v>1551686193767011</v>
      </c>
      <c r="C1957" t="s">
        <v>40</v>
      </c>
      <c r="D1957">
        <v>4.5571780000000004</v>
      </c>
      <c r="E1957">
        <v>0.52562559999999903</v>
      </c>
      <c r="F1957" t="s">
        <v>64</v>
      </c>
      <c r="G1957">
        <v>-303.7167</v>
      </c>
      <c r="H1957" s="1">
        <v>3.2905999999999999E-6</v>
      </c>
      <c r="I1957">
        <v>284.78469999999999</v>
      </c>
      <c r="J1957">
        <v>-261.79930000000002</v>
      </c>
      <c r="K1957">
        <v>1.1097549999999901</v>
      </c>
      <c r="L1957">
        <v>283.3578</v>
      </c>
      <c r="M1957">
        <v>-0.99979490000000004</v>
      </c>
      <c r="N1957">
        <v>-9.4665510000000001E-3</v>
      </c>
      <c r="O1957">
        <v>1.7903809999999999E-2</v>
      </c>
      <c r="P1957">
        <v>-0.98622469999999995</v>
      </c>
      <c r="Q1957">
        <v>0.16221070000000001</v>
      </c>
      <c r="R1957">
        <v>-3.2384400000000001E-2</v>
      </c>
      <c r="S1957">
        <v>-3.0588380000000002</v>
      </c>
      <c r="T1957">
        <v>-8.0475930000000001E-2</v>
      </c>
      <c r="U1957">
        <v>0.1038208</v>
      </c>
      <c r="V1957">
        <v>-5.0013910000000002E-2</v>
      </c>
      <c r="W1957">
        <v>0.1715391</v>
      </c>
      <c r="X1957">
        <v>0.98390699999999998</v>
      </c>
      <c r="Y1957">
        <v>1.6016989999999998E-2</v>
      </c>
      <c r="Z1957" s="1">
        <v>-1.4867080000000001E-5</v>
      </c>
      <c r="AA1957">
        <v>0.99987170000000003</v>
      </c>
      <c r="AB1957">
        <v>26</v>
      </c>
      <c r="AC1957">
        <v>-41.917400000000001</v>
      </c>
      <c r="AD1957">
        <v>-1.10975170939999</v>
      </c>
      <c r="AE1957">
        <v>1.4268999999999801</v>
      </c>
      <c r="AF1957">
        <v>0.67568342800126602</v>
      </c>
      <c r="AG1957">
        <v>-1.10975170939999</v>
      </c>
      <c r="AH1957">
        <v>41.906889705290197</v>
      </c>
      <c r="AI1957">
        <v>91.516718980313698</v>
      </c>
      <c r="AJ1957">
        <v>89.076274694791906</v>
      </c>
      <c r="AK1957">
        <v>41.927025910774397</v>
      </c>
      <c r="AL1957">
        <v>80.122682547119197</v>
      </c>
      <c r="AM1957">
        <v>92.909951512223003</v>
      </c>
      <c r="AN1957">
        <v>1.00000001933564</v>
      </c>
    </row>
    <row r="1958" spans="1:40" x14ac:dyDescent="0.25">
      <c r="A1958" t="str">
        <f>"20190304155633791"</f>
        <v>20190304155633791</v>
      </c>
      <c r="B1958" t="str">
        <f>"1551686193786530"</f>
        <v>1551686193786530</v>
      </c>
      <c r="C1958" t="s">
        <v>40</v>
      </c>
      <c r="D1958">
        <v>4.5754630000000001</v>
      </c>
      <c r="E1958">
        <v>0.5256478</v>
      </c>
      <c r="F1958" t="s">
        <v>64</v>
      </c>
      <c r="G1958">
        <v>-303.48599999999999</v>
      </c>
      <c r="H1958" s="1">
        <v>3.332207E-6</v>
      </c>
      <c r="I1958">
        <v>284.77690000000001</v>
      </c>
      <c r="J1958">
        <v>-262.04950000000002</v>
      </c>
      <c r="K1958">
        <v>1.10975</v>
      </c>
      <c r="L1958">
        <v>283.3623</v>
      </c>
      <c r="M1958">
        <v>-0.99979410000000002</v>
      </c>
      <c r="N1958">
        <v>-9.4582920000000001E-3</v>
      </c>
      <c r="O1958">
        <v>1.7955470000000001E-2</v>
      </c>
      <c r="P1958">
        <v>-0.98625640000000003</v>
      </c>
      <c r="Q1958">
        <v>0.1620365</v>
      </c>
      <c r="R1958">
        <v>-3.2290069999999997E-2</v>
      </c>
      <c r="S1958">
        <v>-3.058716</v>
      </c>
      <c r="T1958">
        <v>-8.1426860000000004E-2</v>
      </c>
      <c r="U1958">
        <v>0.104126</v>
      </c>
      <c r="V1958">
        <v>-4.9970939999999998E-2</v>
      </c>
      <c r="W1958">
        <v>0.1713578</v>
      </c>
      <c r="X1958">
        <v>0.98394079999999995</v>
      </c>
      <c r="Y1958">
        <v>1.6066250000000001E-2</v>
      </c>
      <c r="Z1958" s="1">
        <v>-1.8161630000000001E-5</v>
      </c>
      <c r="AA1958">
        <v>0.99987099999999995</v>
      </c>
      <c r="AB1958">
        <v>26</v>
      </c>
      <c r="AC1958">
        <v>-41.436499999999903</v>
      </c>
      <c r="AD1958">
        <v>-1.1097466677929999</v>
      </c>
      <c r="AE1958">
        <v>1.4146000000000001</v>
      </c>
      <c r="AF1958">
        <v>0.66984695104405101</v>
      </c>
      <c r="AG1958">
        <v>-1.1097466677929999</v>
      </c>
      <c r="AH1958">
        <v>41.425541632621297</v>
      </c>
      <c r="AI1958">
        <v>91.534326149383006</v>
      </c>
      <c r="AJ1958">
        <v>89.0736135905412</v>
      </c>
      <c r="AK1958">
        <v>41.4458168234206</v>
      </c>
      <c r="AL1958">
        <v>80.1332266411505</v>
      </c>
      <c r="AM1958">
        <v>92.9073559823875</v>
      </c>
      <c r="AN1958">
        <v>1.0000000441849799</v>
      </c>
    </row>
    <row r="1959" spans="1:40" x14ac:dyDescent="0.25">
      <c r="A1959" t="str">
        <f>"20190304155633814"</f>
        <v>20190304155633814</v>
      </c>
      <c r="B1959" t="str">
        <f>"1551686193807026"</f>
        <v>1551686193807026</v>
      </c>
      <c r="C1959" t="s">
        <v>40</v>
      </c>
      <c r="D1959">
        <v>4.6009520000000004</v>
      </c>
      <c r="E1959">
        <v>0.52558300000000002</v>
      </c>
      <c r="F1959" t="s">
        <v>64</v>
      </c>
      <c r="G1959">
        <v>-303.4588</v>
      </c>
      <c r="H1959" s="1">
        <v>3.3368489999999998E-6</v>
      </c>
      <c r="I1959">
        <v>284.779</v>
      </c>
      <c r="J1959">
        <v>-262.32260000000002</v>
      </c>
      <c r="K1959">
        <v>1.109747</v>
      </c>
      <c r="L1959">
        <v>283.3673</v>
      </c>
      <c r="M1959">
        <v>-0.99979320000000005</v>
      </c>
      <c r="N1959">
        <v>-9.4492039999999992E-3</v>
      </c>
      <c r="O1959">
        <v>1.801196E-2</v>
      </c>
      <c r="P1959">
        <v>-0.98630490000000004</v>
      </c>
      <c r="Q1959">
        <v>0.1617902</v>
      </c>
      <c r="R1959">
        <v>-3.2038919999999999E-2</v>
      </c>
      <c r="S1959">
        <v>-3.058716</v>
      </c>
      <c r="T1959">
        <v>-8.1972000000000003E-2</v>
      </c>
      <c r="U1959">
        <v>0.1046448</v>
      </c>
      <c r="V1959">
        <v>-4.9776590000000003E-2</v>
      </c>
      <c r="W1959">
        <v>0.1711027</v>
      </c>
      <c r="X1959">
        <v>0.98399499999999995</v>
      </c>
      <c r="Y1959">
        <v>1.6179079999999998E-2</v>
      </c>
      <c r="Z1959" s="1">
        <v>-1.9098279999999998E-5</v>
      </c>
      <c r="AA1959">
        <v>0.99986909999999896</v>
      </c>
      <c r="AB1959">
        <v>26</v>
      </c>
      <c r="AC1959">
        <v>-41.136199999999903</v>
      </c>
      <c r="AD1959">
        <v>-1.109743663151</v>
      </c>
      <c r="AE1959">
        <v>1.41169999999999</v>
      </c>
      <c r="AF1959">
        <v>0.67000731073383901</v>
      </c>
      <c r="AG1959">
        <v>-1.109743663151</v>
      </c>
      <c r="AH1959">
        <v>41.125059983005499</v>
      </c>
      <c r="AI1959">
        <v>91.545524096213299</v>
      </c>
      <c r="AJ1959">
        <v>89.066622754071901</v>
      </c>
      <c r="AK1959">
        <v>41.1454857718333</v>
      </c>
      <c r="AL1959">
        <v>80.148061469862398</v>
      </c>
      <c r="AM1959">
        <v>92.895908556525299</v>
      </c>
      <c r="AN1959">
        <v>1.00000000144215</v>
      </c>
    </row>
    <row r="1960" spans="1:40" x14ac:dyDescent="0.25">
      <c r="A1960" t="str">
        <f>"20190304155633837"</f>
        <v>20190304155633837</v>
      </c>
      <c r="B1960" t="str">
        <f>"1551686193826546"</f>
        <v>1551686193826546</v>
      </c>
      <c r="C1960" t="s">
        <v>40</v>
      </c>
      <c r="D1960">
        <v>4.5805530000000001</v>
      </c>
      <c r="E1960">
        <v>0.52554679999999998</v>
      </c>
      <c r="F1960" t="s">
        <v>64</v>
      </c>
      <c r="G1960">
        <v>-303.10840000000002</v>
      </c>
      <c r="H1960" s="1">
        <v>3.4001779999999999E-6</v>
      </c>
      <c r="I1960">
        <v>284.76549999999997</v>
      </c>
      <c r="J1960">
        <v>-262.59769999999997</v>
      </c>
      <c r="K1960">
        <v>1.1097440000000001</v>
      </c>
      <c r="L1960">
        <v>283.3723</v>
      </c>
      <c r="M1960">
        <v>-0.99979229999999997</v>
      </c>
      <c r="N1960">
        <v>-9.44154E-3</v>
      </c>
      <c r="O1960">
        <v>1.806897E-2</v>
      </c>
      <c r="P1960">
        <v>-0.98632410000000004</v>
      </c>
      <c r="Q1960">
        <v>0.16170470000000001</v>
      </c>
      <c r="R1960">
        <v>-3.1883590000000003E-2</v>
      </c>
      <c r="S1960">
        <v>-3.0587460000000002</v>
      </c>
      <c r="T1960">
        <v>-8.3225610000000005E-2</v>
      </c>
      <c r="U1960">
        <v>0.10485839999999901</v>
      </c>
      <c r="V1960">
        <v>-4.9677930000000002E-2</v>
      </c>
      <c r="W1960">
        <v>0.17100960000000001</v>
      </c>
      <c r="X1960">
        <v>0.98401620000000001</v>
      </c>
      <c r="Y1960">
        <v>1.619139E-2</v>
      </c>
      <c r="Z1960" s="1">
        <v>-2.4144330000000001E-5</v>
      </c>
      <c r="AA1960">
        <v>0.99986889999999995</v>
      </c>
      <c r="AB1960">
        <v>26</v>
      </c>
      <c r="AC1960">
        <v>-40.5107</v>
      </c>
      <c r="AD1960">
        <v>-1.109740599822</v>
      </c>
      <c r="AE1960">
        <v>1.39319999999997</v>
      </c>
      <c r="AF1960">
        <v>0.66045834464987796</v>
      </c>
      <c r="AG1960">
        <v>-1.109740599822</v>
      </c>
      <c r="AH1960">
        <v>40.498905337579401</v>
      </c>
      <c r="AI1960">
        <v>91.569402883826697</v>
      </c>
      <c r="AJ1960">
        <v>89.0657001409689</v>
      </c>
      <c r="AK1960">
        <v>40.519489914930197</v>
      </c>
      <c r="AL1960">
        <v>80.153475796198293</v>
      </c>
      <c r="AM1960">
        <v>92.890116282893899</v>
      </c>
      <c r="AN1960">
        <v>1.00000003094184</v>
      </c>
    </row>
    <row r="1961" spans="1:40" x14ac:dyDescent="0.25">
      <c r="A1961" t="str">
        <f>"20190304155633858"</f>
        <v>20190304155633858</v>
      </c>
      <c r="B1961" t="str">
        <f>"1551686193847042"</f>
        <v>1551686193847042</v>
      </c>
      <c r="C1961" t="s">
        <v>40</v>
      </c>
      <c r="D1961">
        <v>4.5915920000000003</v>
      </c>
      <c r="E1961">
        <v>0.52553139999999998</v>
      </c>
      <c r="F1961" t="s">
        <v>64</v>
      </c>
      <c r="G1961">
        <v>-303.12720000000002</v>
      </c>
      <c r="H1961" s="1">
        <v>3.3967520000000002E-6</v>
      </c>
      <c r="I1961">
        <v>284.76659999999998</v>
      </c>
      <c r="J1961">
        <v>-262.84309999999999</v>
      </c>
      <c r="K1961">
        <v>1.109742</v>
      </c>
      <c r="L1961">
        <v>283.3768</v>
      </c>
      <c r="M1961">
        <v>-0.9997914</v>
      </c>
      <c r="N1961">
        <v>-9.435466E-3</v>
      </c>
      <c r="O1961">
        <v>1.8119960000000001E-2</v>
      </c>
      <c r="P1961">
        <v>-0.98631349999999995</v>
      </c>
      <c r="Q1961">
        <v>0.16182389999999999</v>
      </c>
      <c r="R1961">
        <v>-3.1601810000000001E-2</v>
      </c>
      <c r="S1961">
        <v>-3.058716</v>
      </c>
      <c r="T1961">
        <v>-8.3750959999999999E-2</v>
      </c>
      <c r="U1961">
        <v>0.1052246</v>
      </c>
      <c r="V1961">
        <v>-4.9446089999999998E-2</v>
      </c>
      <c r="W1961">
        <v>0.17112289999999999</v>
      </c>
      <c r="X1961">
        <v>0.98400810000000005</v>
      </c>
      <c r="Y1961">
        <v>1.626025E-2</v>
      </c>
      <c r="Z1961" s="1">
        <v>-2.566341E-5</v>
      </c>
      <c r="AA1961">
        <v>0.99986779999999997</v>
      </c>
      <c r="AB1961">
        <v>26</v>
      </c>
      <c r="AC1961">
        <v>-40.284100000000002</v>
      </c>
      <c r="AD1961">
        <v>-1.1097386032479899</v>
      </c>
      <c r="AE1961">
        <v>1.3897999999999699</v>
      </c>
      <c r="AF1961">
        <v>0.65909352206808303</v>
      </c>
      <c r="AG1961">
        <v>-1.1097386032479899</v>
      </c>
      <c r="AH1961">
        <v>40.272144350862398</v>
      </c>
      <c r="AI1961">
        <v>91.578230957480301</v>
      </c>
      <c r="AJ1961">
        <v>89.0623815370909</v>
      </c>
      <c r="AK1961">
        <v>40.292822371423298</v>
      </c>
      <c r="AL1961">
        <v>80.146886275914696</v>
      </c>
      <c r="AM1961">
        <v>92.876674859075905</v>
      </c>
      <c r="AN1961">
        <v>0.99999995179315204</v>
      </c>
    </row>
    <row r="1962" spans="1:40" x14ac:dyDescent="0.25">
      <c r="A1962" t="str">
        <f>"20190304155633871"</f>
        <v>20190304155633871</v>
      </c>
      <c r="B1962" t="str">
        <f>"1551686193866480"</f>
        <v>1551686193866480</v>
      </c>
      <c r="C1962" t="s">
        <v>40</v>
      </c>
      <c r="D1962">
        <v>4.6515969999999998</v>
      </c>
      <c r="E1962">
        <v>0.52549460000000003</v>
      </c>
      <c r="F1962" t="s">
        <v>64</v>
      </c>
      <c r="G1962">
        <v>-303.71480000000003</v>
      </c>
      <c r="H1962" s="1">
        <v>3.2899780000000001E-6</v>
      </c>
      <c r="I1962">
        <v>284.79559999999998</v>
      </c>
      <c r="J1962">
        <v>-262.99130000000002</v>
      </c>
      <c r="K1962">
        <v>1.109739</v>
      </c>
      <c r="L1962">
        <v>283.37950000000001</v>
      </c>
      <c r="M1962">
        <v>-0.99979079999999998</v>
      </c>
      <c r="N1962">
        <v>-9.4319969999999993E-3</v>
      </c>
      <c r="O1962">
        <v>1.8150679999999999E-2</v>
      </c>
      <c r="P1962">
        <v>-0.98632839999999999</v>
      </c>
      <c r="Q1962">
        <v>0.16175970000000001</v>
      </c>
      <c r="R1962">
        <v>-3.1467490000000001E-2</v>
      </c>
      <c r="S1962">
        <v>-3.058624</v>
      </c>
      <c r="T1962">
        <v>-8.3046910000000002E-2</v>
      </c>
      <c r="U1962">
        <v>0.10617070000000001</v>
      </c>
      <c r="V1962">
        <v>-4.9342509999999999E-2</v>
      </c>
      <c r="W1962">
        <v>0.17105519999999999</v>
      </c>
      <c r="X1962">
        <v>0.98402509999999999</v>
      </c>
      <c r="Y1962">
        <v>1.6539370000000001E-2</v>
      </c>
      <c r="Z1962" s="1">
        <v>-1.8903049999999999E-5</v>
      </c>
      <c r="AA1962">
        <v>0.99986319999999995</v>
      </c>
      <c r="AB1962">
        <v>26</v>
      </c>
      <c r="AC1962">
        <v>-40.723500000000001</v>
      </c>
      <c r="AD1962">
        <v>-1.109735710022</v>
      </c>
      <c r="AE1962">
        <v>1.4160999999999699</v>
      </c>
      <c r="AF1962">
        <v>0.67617310405387598</v>
      </c>
      <c r="AG1962">
        <v>-1.109735710022</v>
      </c>
      <c r="AH1962">
        <v>40.712299028767397</v>
      </c>
      <c r="AI1962">
        <v>91.561166342312205</v>
      </c>
      <c r="AJ1962">
        <v>89.048486468437105</v>
      </c>
      <c r="AK1962">
        <v>40.733033469415403</v>
      </c>
      <c r="AL1962">
        <v>80.150823540181904</v>
      </c>
      <c r="AM1962">
        <v>92.870609360995502</v>
      </c>
      <c r="AN1962">
        <v>0.99999998108507404</v>
      </c>
    </row>
    <row r="1963" spans="1:40" x14ac:dyDescent="0.25">
      <c r="A1963" t="str">
        <f>"20190304155633886"</f>
        <v>20190304155633886</v>
      </c>
      <c r="B1963" t="str">
        <f>"1551686193877215"</f>
        <v>1551686193877215</v>
      </c>
      <c r="C1963" t="s">
        <v>40</v>
      </c>
      <c r="D1963">
        <v>4.7068820000000002</v>
      </c>
      <c r="E1963">
        <v>0.52547349999999904</v>
      </c>
      <c r="F1963" t="s">
        <v>64</v>
      </c>
      <c r="G1963">
        <v>-303.72460000000001</v>
      </c>
      <c r="H1963" s="1">
        <v>3.2882940000000002E-6</v>
      </c>
      <c r="I1963">
        <v>284.79509999999999</v>
      </c>
      <c r="J1963">
        <v>-263.17469999999997</v>
      </c>
      <c r="K1963">
        <v>1.109737</v>
      </c>
      <c r="L1963">
        <v>283.38290000000001</v>
      </c>
      <c r="M1963">
        <v>-0.99979030000000002</v>
      </c>
      <c r="N1963">
        <v>-9.4280779999999995E-3</v>
      </c>
      <c r="O1963">
        <v>1.8188780000000002E-2</v>
      </c>
      <c r="P1963">
        <v>-0.98635340000000005</v>
      </c>
      <c r="Q1963">
        <v>0.16162279999999901</v>
      </c>
      <c r="R1963">
        <v>-3.1392820000000002E-2</v>
      </c>
      <c r="S1963">
        <v>-3.058624</v>
      </c>
      <c r="T1963">
        <v>-8.332908E-2</v>
      </c>
      <c r="U1963">
        <v>0.1062927</v>
      </c>
      <c r="V1963">
        <v>-4.9305259999999997E-2</v>
      </c>
      <c r="W1963">
        <v>0.17091479999999901</v>
      </c>
      <c r="X1963">
        <v>0.98405140000000002</v>
      </c>
      <c r="Y1963">
        <v>1.6541110000000001E-2</v>
      </c>
      <c r="Z1963" s="1">
        <v>-2.0563379999999999E-5</v>
      </c>
      <c r="AA1963">
        <v>0.99986319999999995</v>
      </c>
      <c r="AB1963">
        <v>26</v>
      </c>
      <c r="AC1963">
        <v>-40.549900000000001</v>
      </c>
      <c r="AD1963">
        <v>-1.109733711706</v>
      </c>
      <c r="AE1963">
        <v>1.4121999999999799</v>
      </c>
      <c r="AF1963">
        <v>0.67387640740107502</v>
      </c>
      <c r="AG1963">
        <v>-1.109733711706</v>
      </c>
      <c r="AH1963">
        <v>40.538553656469801</v>
      </c>
      <c r="AI1963">
        <v>91.567850858190496</v>
      </c>
      <c r="AJ1963">
        <v>89.047654274622701</v>
      </c>
      <c r="AK1963">
        <v>40.559338639601002</v>
      </c>
      <c r="AL1963">
        <v>80.158988465872099</v>
      </c>
      <c r="AM1963">
        <v>92.868369345925998</v>
      </c>
      <c r="AN1963">
        <v>1.00000001768233</v>
      </c>
    </row>
    <row r="1964" spans="1:40" x14ac:dyDescent="0.25">
      <c r="A1964" t="str">
        <f>"20190304155633905"</f>
        <v>20190304155633905</v>
      </c>
      <c r="B1964" t="str">
        <f>"1551686193896736"</f>
        <v>1551686193896736</v>
      </c>
      <c r="C1964" t="s">
        <v>40</v>
      </c>
      <c r="D1964">
        <v>4.6061779999999999</v>
      </c>
      <c r="E1964">
        <v>0.56294270000000002</v>
      </c>
      <c r="F1964" t="s">
        <v>64</v>
      </c>
      <c r="G1964">
        <v>-303.47629999999998</v>
      </c>
      <c r="H1964" s="1">
        <v>3.3331380000000001E-6</v>
      </c>
      <c r="I1964">
        <v>284.78579999999999</v>
      </c>
      <c r="J1964">
        <v>-263.3954</v>
      </c>
      <c r="K1964">
        <v>1.1097349999999999</v>
      </c>
      <c r="L1964">
        <v>283.387</v>
      </c>
      <c r="M1964">
        <v>-0.99978940000000005</v>
      </c>
      <c r="N1964">
        <v>-9.4238970000000005E-3</v>
      </c>
      <c r="O1964">
        <v>1.8234400000000001E-2</v>
      </c>
      <c r="P1964">
        <v>-0.98636619999999997</v>
      </c>
      <c r="Q1964">
        <v>0.16160550000000001</v>
      </c>
      <c r="R1964">
        <v>-3.108004E-2</v>
      </c>
      <c r="S1964">
        <v>-3.058716</v>
      </c>
      <c r="T1964">
        <v>-8.4223870000000006E-2</v>
      </c>
      <c r="U1964">
        <v>0.1064758</v>
      </c>
      <c r="V1964">
        <v>-4.9037980000000002E-2</v>
      </c>
      <c r="W1964">
        <v>0.17089360000000001</v>
      </c>
      <c r="X1964">
        <v>0.98406839999999995</v>
      </c>
      <c r="Y1964">
        <v>1.6554180000000002E-2</v>
      </c>
      <c r="Z1964" s="1">
        <v>-2.4148020000000001E-5</v>
      </c>
      <c r="AA1964">
        <v>0.99986299999999995</v>
      </c>
      <c r="AB1964">
        <v>26</v>
      </c>
      <c r="AC1964">
        <v>-40.0808999999999</v>
      </c>
      <c r="AD1964">
        <v>-1.1097316668619901</v>
      </c>
      <c r="AE1964">
        <v>1.3987999999999901</v>
      </c>
      <c r="AF1964">
        <v>0.66717302610578799</v>
      </c>
      <c r="AG1964">
        <v>-1.1097316668619901</v>
      </c>
      <c r="AH1964">
        <v>40.069063920823602</v>
      </c>
      <c r="AI1964">
        <v>91.586208410077404</v>
      </c>
      <c r="AJ1964">
        <v>89.046080371837803</v>
      </c>
      <c r="AK1964">
        <v>40.089980141055797</v>
      </c>
      <c r="AL1964">
        <v>80.160220908754596</v>
      </c>
      <c r="AM1964">
        <v>92.852796692274794</v>
      </c>
      <c r="AN1964">
        <v>0.99999998094099996</v>
      </c>
    </row>
    <row r="1965" spans="1:40" x14ac:dyDescent="0.25">
      <c r="A1965" t="str">
        <f>"20190304155633926"</f>
        <v>20190304155633926</v>
      </c>
      <c r="B1965" t="str">
        <f>"1551686193917235"</f>
        <v>1551686193917235</v>
      </c>
      <c r="C1965" t="s">
        <v>40</v>
      </c>
      <c r="D1965">
        <v>4.5745829999999996</v>
      </c>
      <c r="E1965">
        <v>0.56798519999999997</v>
      </c>
      <c r="F1965" t="s">
        <v>64</v>
      </c>
      <c r="G1965">
        <v>-312.89089999999999</v>
      </c>
      <c r="H1965">
        <v>8.0000420000000003E-2</v>
      </c>
      <c r="I1965">
        <v>289.94690000000003</v>
      </c>
      <c r="J1965">
        <v>-263.642</v>
      </c>
      <c r="K1965">
        <v>1.1097300000000001</v>
      </c>
      <c r="L1965">
        <v>283.39150000000001</v>
      </c>
      <c r="M1965">
        <v>-0.99978849999999997</v>
      </c>
      <c r="N1965">
        <v>-9.4200210000000006E-3</v>
      </c>
      <c r="O1965">
        <v>1.8285559999999999E-2</v>
      </c>
      <c r="P1965">
        <v>-0.98637699999999995</v>
      </c>
      <c r="Q1965">
        <v>0.16154479999999999</v>
      </c>
      <c r="R1965">
        <v>-3.104672E-2</v>
      </c>
      <c r="S1965">
        <v>-3.0647280000000001</v>
      </c>
      <c r="T1965">
        <v>-6.3760520000000001E-2</v>
      </c>
      <c r="U1965">
        <v>0.40618900000000002</v>
      </c>
      <c r="V1965">
        <v>-4.905495E-2</v>
      </c>
      <c r="W1965">
        <v>0.17082929999999999</v>
      </c>
      <c r="X1965">
        <v>0.98407880000000003</v>
      </c>
      <c r="Y1965">
        <v>0.113204</v>
      </c>
      <c r="Z1965">
        <v>1.5008949999999999E-3</v>
      </c>
      <c r="AA1965">
        <v>0.99357059999999997</v>
      </c>
      <c r="AB1965">
        <v>27</v>
      </c>
      <c r="AC1965">
        <v>-49.2488999999999</v>
      </c>
      <c r="AD1965">
        <v>-1.0297295799999999</v>
      </c>
      <c r="AE1965">
        <v>6.5554000000000103</v>
      </c>
      <c r="AF1965">
        <v>5.6512926826984797</v>
      </c>
      <c r="AG1965">
        <v>-1.0297295799999999</v>
      </c>
      <c r="AH1965">
        <v>49.339345263553099</v>
      </c>
      <c r="AI1965">
        <v>91.187845423808895</v>
      </c>
      <c r="AJ1965">
        <v>83.465858181642602</v>
      </c>
      <c r="AK1965">
        <v>49.672612605232899</v>
      </c>
      <c r="AL1965">
        <v>80.163960808314997</v>
      </c>
      <c r="AM1965">
        <v>92.853752184912594</v>
      </c>
      <c r="AN1965">
        <v>1.0000000612337101</v>
      </c>
    </row>
    <row r="1966" spans="1:40" x14ac:dyDescent="0.25">
      <c r="A1966" t="str">
        <f>"20190304155633947"</f>
        <v>20190304155633947</v>
      </c>
      <c r="B1966" t="str">
        <f>"1551686193936755"</f>
        <v>1551686193936755</v>
      </c>
      <c r="C1966" t="s">
        <v>40</v>
      </c>
      <c r="D1966">
        <v>4.6032729999999997</v>
      </c>
      <c r="E1966">
        <v>0.56980559999999902</v>
      </c>
      <c r="F1966" t="s">
        <v>55</v>
      </c>
      <c r="G1966">
        <v>-337.50990000000002</v>
      </c>
      <c r="H1966">
        <v>8.0000340000000003E-2</v>
      </c>
      <c r="I1966">
        <v>294.17009999999999</v>
      </c>
      <c r="J1966">
        <v>-263.9067</v>
      </c>
      <c r="K1966">
        <v>1.1097300000000001</v>
      </c>
      <c r="L1966">
        <v>283.39640000000003</v>
      </c>
      <c r="M1966">
        <v>-0.9997876</v>
      </c>
      <c r="N1966">
        <v>-9.4167529999999999E-3</v>
      </c>
      <c r="O1966">
        <v>1.8340349999999998E-2</v>
      </c>
      <c r="P1966">
        <v>-0.98635309999999998</v>
      </c>
      <c r="Q1966">
        <v>0.1617517</v>
      </c>
      <c r="R1966">
        <v>-3.0727460000000002E-2</v>
      </c>
      <c r="S1966">
        <v>-3.0625</v>
      </c>
      <c r="T1966">
        <v>-4.2691710000000001E-2</v>
      </c>
      <c r="U1966">
        <v>0.44686890000000001</v>
      </c>
      <c r="V1966">
        <v>-4.8789949999999999E-2</v>
      </c>
      <c r="W1966">
        <v>0.17103270000000001</v>
      </c>
      <c r="X1966">
        <v>0.98405659999999895</v>
      </c>
      <c r="Y1966">
        <v>0.126194</v>
      </c>
      <c r="Z1966">
        <v>1.3899170000000001E-3</v>
      </c>
      <c r="AA1966">
        <v>0.99200460000000001</v>
      </c>
      <c r="AB1966">
        <v>27</v>
      </c>
      <c r="AC1966">
        <v>-73.603200000000001</v>
      </c>
      <c r="AD1966">
        <v>-1.0297296600000001</v>
      </c>
      <c r="AE1966">
        <v>10.7736999999999</v>
      </c>
      <c r="AF1966">
        <v>9.4201145063907195</v>
      </c>
      <c r="AG1966">
        <v>-1.0297296600000001</v>
      </c>
      <c r="AH1966">
        <v>73.774284325040199</v>
      </c>
      <c r="AI1966">
        <v>90.793233811770804</v>
      </c>
      <c r="AJ1966">
        <v>82.723374398505399</v>
      </c>
      <c r="AK1966">
        <v>74.380400161319898</v>
      </c>
      <c r="AL1966">
        <v>80.1521323427921</v>
      </c>
      <c r="AM1966">
        <v>92.838425121046896</v>
      </c>
      <c r="AN1966">
        <v>1.0000000178469199</v>
      </c>
    </row>
    <row r="1967" spans="1:40" x14ac:dyDescent="0.25">
      <c r="A1967" t="str">
        <f>"20190304155633970"</f>
        <v>20190304155633970</v>
      </c>
      <c r="B1967" t="str">
        <f>"1551686193967008"</f>
        <v>1551686193967008</v>
      </c>
      <c r="C1967" t="s">
        <v>40</v>
      </c>
      <c r="D1967">
        <v>4.6147479999999996</v>
      </c>
      <c r="E1967">
        <v>0.57222269999999997</v>
      </c>
      <c r="F1967" t="s">
        <v>44</v>
      </c>
      <c r="G1967">
        <v>-351.83609999999999</v>
      </c>
      <c r="H1967">
        <v>-0.05</v>
      </c>
      <c r="I1967">
        <v>296.66300000000001</v>
      </c>
      <c r="J1967">
        <v>-264.18</v>
      </c>
      <c r="K1967">
        <v>1.1097220000000001</v>
      </c>
      <c r="L1967">
        <v>283.4015</v>
      </c>
      <c r="M1967">
        <v>-0.99978659999999997</v>
      </c>
      <c r="N1967">
        <v>-9.4142900000000005E-3</v>
      </c>
      <c r="O1967">
        <v>1.839681E-2</v>
      </c>
      <c r="P1967">
        <v>-0.98640779999999995</v>
      </c>
      <c r="Q1967">
        <v>0.1614285</v>
      </c>
      <c r="R1967">
        <v>-3.067371E-2</v>
      </c>
      <c r="S1967">
        <v>-3.0625309999999999</v>
      </c>
      <c r="T1967">
        <v>-4.039276E-2</v>
      </c>
      <c r="U1967">
        <v>0.4620667</v>
      </c>
      <c r="V1967">
        <v>-4.8792750000000003E-2</v>
      </c>
      <c r="W1967">
        <v>0.17070759999999999</v>
      </c>
      <c r="X1967">
        <v>0.98411289999999996</v>
      </c>
      <c r="Y1967">
        <v>0.13095280000000001</v>
      </c>
      <c r="Z1967">
        <v>1.4097510000000001E-3</v>
      </c>
      <c r="AA1967">
        <v>0.99138760000000004</v>
      </c>
      <c r="AB1967">
        <v>27</v>
      </c>
      <c r="AC1967">
        <v>-87.656099999999896</v>
      </c>
      <c r="AD1967">
        <v>-1.1597219999999999</v>
      </c>
      <c r="AE1967">
        <v>13.2615</v>
      </c>
      <c r="AF1967">
        <v>11.644598966562899</v>
      </c>
      <c r="AG1967">
        <v>-1.1597219999999999</v>
      </c>
      <c r="AH1967">
        <v>87.870207376816893</v>
      </c>
      <c r="AI1967">
        <v>90.749600259003202</v>
      </c>
      <c r="AJ1967">
        <v>82.451123038846802</v>
      </c>
      <c r="AK1967">
        <v>88.646009411897197</v>
      </c>
      <c r="AL1967">
        <v>80.171037131733101</v>
      </c>
      <c r="AM1967">
        <v>92.8384256217809</v>
      </c>
      <c r="AN1967">
        <v>1.00000000854836</v>
      </c>
    </row>
    <row r="1968" spans="1:40" x14ac:dyDescent="0.25">
      <c r="A1968" t="str">
        <f>"20190304155633983"</f>
        <v>20190304155633983</v>
      </c>
      <c r="B1968" t="str">
        <f>"1551686193976768"</f>
        <v>1551686193976768</v>
      </c>
      <c r="C1968" t="s">
        <v>40</v>
      </c>
      <c r="D1968">
        <v>4.5861799999999997</v>
      </c>
      <c r="E1968">
        <v>0.57253679999999996</v>
      </c>
      <c r="F1968" t="s">
        <v>44</v>
      </c>
      <c r="G1968">
        <v>-362.21510000000001</v>
      </c>
      <c r="H1968">
        <v>-0.05</v>
      </c>
      <c r="I1968">
        <v>298.82139999999998</v>
      </c>
      <c r="J1968">
        <v>-264.33940000000001</v>
      </c>
      <c r="K1968">
        <v>1.1097220000000001</v>
      </c>
      <c r="L1968">
        <v>283.40449999999998</v>
      </c>
      <c r="M1968">
        <v>-0.99978579999999995</v>
      </c>
      <c r="N1968">
        <v>-9.4133029999999996E-3</v>
      </c>
      <c r="O1968">
        <v>1.843007E-2</v>
      </c>
      <c r="P1968">
        <v>-0.98644699999999996</v>
      </c>
      <c r="Q1968">
        <v>0.16122979999999901</v>
      </c>
      <c r="R1968">
        <v>-3.0457339999999999E-2</v>
      </c>
      <c r="S1968">
        <v>-3.0622560000000001</v>
      </c>
      <c r="T1968">
        <v>-3.6225439999999998E-2</v>
      </c>
      <c r="U1968">
        <v>0.4816589</v>
      </c>
      <c r="V1968">
        <v>-4.8609090000000001E-2</v>
      </c>
      <c r="W1968">
        <v>0.170508299999999</v>
      </c>
      <c r="X1968">
        <v>0.98415649999999999</v>
      </c>
      <c r="Y1968">
        <v>0.13712829999999901</v>
      </c>
      <c r="Z1968">
        <v>1.4114259999999999E-3</v>
      </c>
      <c r="AA1968">
        <v>0.99055230000000005</v>
      </c>
      <c r="AB1968">
        <v>27</v>
      </c>
      <c r="AC1968">
        <v>-97.875699999999995</v>
      </c>
      <c r="AD1968">
        <v>-1.1597219999999999</v>
      </c>
      <c r="AE1968">
        <v>15.416899999999901</v>
      </c>
      <c r="AF1968">
        <v>13.608480904222599</v>
      </c>
      <c r="AG1968">
        <v>-1.1597219999999999</v>
      </c>
      <c r="AH1968">
        <v>98.129778079909997</v>
      </c>
      <c r="AI1968">
        <v>90.670686266752497</v>
      </c>
      <c r="AJ1968">
        <v>82.104669357816803</v>
      </c>
      <c r="AK1968">
        <v>99.075673369653501</v>
      </c>
      <c r="AL1968">
        <v>80.182625706522799</v>
      </c>
      <c r="AM1968">
        <v>92.827633851749994</v>
      </c>
      <c r="AN1968">
        <v>0.99999997024588305</v>
      </c>
    </row>
    <row r="1969" spans="1:40" x14ac:dyDescent="0.25">
      <c r="A1969" t="str">
        <f>"20190304155634004"</f>
        <v>20190304155634004</v>
      </c>
      <c r="B1969" t="str">
        <f>"1551686193997264"</f>
        <v>1551686193997264</v>
      </c>
      <c r="C1969" t="s">
        <v>40</v>
      </c>
      <c r="D1969">
        <v>4.5541549999999997</v>
      </c>
      <c r="E1969">
        <v>0.57312850000000004</v>
      </c>
      <c r="F1969" t="s">
        <v>44</v>
      </c>
      <c r="G1969">
        <v>-362.20060000000001</v>
      </c>
      <c r="H1969">
        <v>-0.05</v>
      </c>
      <c r="I1969">
        <v>298.89879999999999</v>
      </c>
      <c r="J1969">
        <v>-264.5752</v>
      </c>
      <c r="K1969">
        <v>1.109723</v>
      </c>
      <c r="L1969">
        <v>283.40890000000002</v>
      </c>
      <c r="M1969">
        <v>-0.99978489999999998</v>
      </c>
      <c r="N1969">
        <v>-9.4122379999999999E-3</v>
      </c>
      <c r="O1969">
        <v>1.847884E-2</v>
      </c>
      <c r="P1969">
        <v>-0.9864851</v>
      </c>
      <c r="Q1969">
        <v>0.1610829</v>
      </c>
      <c r="R1969">
        <v>-2.9992700000000001E-2</v>
      </c>
      <c r="S1969">
        <v>-3.0621640000000001</v>
      </c>
      <c r="T1969">
        <v>-3.628874E-2</v>
      </c>
      <c r="U1969">
        <v>0.48483280000000001</v>
      </c>
      <c r="V1969">
        <v>-4.8193600000000003E-2</v>
      </c>
      <c r="W1969">
        <v>0.17036080000000001</v>
      </c>
      <c r="X1969">
        <v>0.98420249999999998</v>
      </c>
      <c r="Y1969">
        <v>0.13808599999999999</v>
      </c>
      <c r="Z1969">
        <v>1.4224299999999999E-3</v>
      </c>
      <c r="AA1969">
        <v>0.99041920000000006</v>
      </c>
      <c r="AB1969">
        <v>27</v>
      </c>
      <c r="AC1969">
        <v>-97.625399999999999</v>
      </c>
      <c r="AD1969">
        <v>-1.1597230000000001</v>
      </c>
      <c r="AE1969">
        <v>15.489899999999899</v>
      </c>
      <c r="AF1969">
        <v>13.681287477090899</v>
      </c>
      <c r="AG1969">
        <v>-1.1597230000000001</v>
      </c>
      <c r="AH1969">
        <v>97.881503567196006</v>
      </c>
      <c r="AI1969">
        <v>90.672287278574998</v>
      </c>
      <c r="AJ1969">
        <v>82.043090962069698</v>
      </c>
      <c r="AK1969">
        <v>98.839826613782193</v>
      </c>
      <c r="AL1969">
        <v>80.191202545393494</v>
      </c>
      <c r="AM1969">
        <v>92.803372332700306</v>
      </c>
      <c r="AN1969">
        <v>0.999999993131925</v>
      </c>
    </row>
    <row r="1970" spans="1:40" x14ac:dyDescent="0.25">
      <c r="A1970" t="str">
        <f>"20190304155634017"</f>
        <v>20190304155634017</v>
      </c>
      <c r="B1970" t="str">
        <f>"1551686194007023"</f>
        <v>1551686194007023</v>
      </c>
      <c r="C1970" t="s">
        <v>40</v>
      </c>
      <c r="D1970">
        <v>4.6398339999999996</v>
      </c>
      <c r="E1970">
        <v>0.57323979999999997</v>
      </c>
      <c r="F1970" t="s">
        <v>44</v>
      </c>
      <c r="G1970">
        <v>-365.0942</v>
      </c>
      <c r="H1970">
        <v>-0.05</v>
      </c>
      <c r="I1970">
        <v>299.54149999999998</v>
      </c>
      <c r="J1970">
        <v>-264.73439999999999</v>
      </c>
      <c r="K1970">
        <v>1.1097220000000001</v>
      </c>
      <c r="L1970">
        <v>283.4119</v>
      </c>
      <c r="M1970">
        <v>-0.99978429999999996</v>
      </c>
      <c r="N1970">
        <v>-9.4118269999999993E-3</v>
      </c>
      <c r="O1970">
        <v>1.8511920000000001E-2</v>
      </c>
      <c r="P1970">
        <v>-0.98653789999999997</v>
      </c>
      <c r="Q1970">
        <v>0.16077729999999901</v>
      </c>
      <c r="R1970">
        <v>-2.989516E-2</v>
      </c>
      <c r="S1970">
        <v>-3.0617679999999998</v>
      </c>
      <c r="T1970">
        <v>-3.5324689999999999E-2</v>
      </c>
      <c r="U1970">
        <v>0.491394</v>
      </c>
      <c r="V1970">
        <v>-4.8130020000000003E-2</v>
      </c>
      <c r="W1970">
        <v>0.17005490000000001</v>
      </c>
      <c r="X1970">
        <v>0.98425850000000004</v>
      </c>
      <c r="Y1970">
        <v>0.14014299999999999</v>
      </c>
      <c r="Z1970">
        <v>1.428094E-3</v>
      </c>
      <c r="AA1970">
        <v>0.99013019999999996</v>
      </c>
      <c r="AB1970">
        <v>27</v>
      </c>
      <c r="AC1970">
        <v>-100.35980000000001</v>
      </c>
      <c r="AD1970">
        <v>-1.1597219999999999</v>
      </c>
      <c r="AE1970">
        <v>16.1295999999999</v>
      </c>
      <c r="AF1970">
        <v>14.2670436782811</v>
      </c>
      <c r="AG1970">
        <v>-1.1597219999999999</v>
      </c>
      <c r="AH1970">
        <v>100.628105078933</v>
      </c>
      <c r="AI1970">
        <v>90.653757498920598</v>
      </c>
      <c r="AJ1970">
        <v>81.930393227035495</v>
      </c>
      <c r="AK1970">
        <v>101.641079403025</v>
      </c>
      <c r="AL1970">
        <v>80.208988742493304</v>
      </c>
      <c r="AM1970">
        <v>92.799520801167702</v>
      </c>
      <c r="AN1970">
        <v>0.99999998133072998</v>
      </c>
    </row>
    <row r="1971" spans="1:40" x14ac:dyDescent="0.25">
      <c r="A1971" t="str">
        <f>"20190304155634030"</f>
        <v>20190304155634030</v>
      </c>
      <c r="B1971" t="str">
        <f>"1551686194026544"</f>
        <v>1551686194026544</v>
      </c>
      <c r="C1971" t="s">
        <v>40</v>
      </c>
      <c r="D1971">
        <v>4.6200570000000001</v>
      </c>
      <c r="E1971">
        <v>0.57367419999999902</v>
      </c>
      <c r="F1971" t="s">
        <v>44</v>
      </c>
      <c r="G1971">
        <v>-359.91609999999997</v>
      </c>
      <c r="H1971">
        <v>-0.05</v>
      </c>
      <c r="I1971">
        <v>298.721</v>
      </c>
      <c r="J1971">
        <v>-264.89229999999998</v>
      </c>
      <c r="K1971">
        <v>1.109718</v>
      </c>
      <c r="L1971">
        <v>283.41480000000001</v>
      </c>
      <c r="M1971">
        <v>-0.99978359999999999</v>
      </c>
      <c r="N1971">
        <v>-9.4115850000000001E-3</v>
      </c>
      <c r="O1971">
        <v>1.8544640000000001E-2</v>
      </c>
      <c r="P1971">
        <v>-0.98653990000000003</v>
      </c>
      <c r="Q1971">
        <v>0.16078149999999999</v>
      </c>
      <c r="R1971">
        <v>-2.9801709999999999E-2</v>
      </c>
      <c r="S1971">
        <v>-3.0619809999999998</v>
      </c>
      <c r="T1971">
        <v>-3.7308099999999997E-2</v>
      </c>
      <c r="U1971">
        <v>0.49249270000000001</v>
      </c>
      <c r="V1971">
        <v>-4.8068970000000003E-2</v>
      </c>
      <c r="W1971">
        <v>0.17005909999999999</v>
      </c>
      <c r="X1971">
        <v>0.98426080000000005</v>
      </c>
      <c r="Y1971">
        <v>0.14044470000000001</v>
      </c>
      <c r="Z1971">
        <v>1.464382E-3</v>
      </c>
      <c r="AA1971">
        <v>0.99008739999999995</v>
      </c>
      <c r="AB1971">
        <v>27</v>
      </c>
      <c r="AC1971">
        <v>-95.023799999999994</v>
      </c>
      <c r="AD1971">
        <v>-1.159718</v>
      </c>
      <c r="AE1971">
        <v>15.306199999999899</v>
      </c>
      <c r="AF1971">
        <v>13.5393414773412</v>
      </c>
      <c r="AG1971">
        <v>-1.159718</v>
      </c>
      <c r="AH1971">
        <v>95.277485542162495</v>
      </c>
      <c r="AI1971">
        <v>90.690434391500901</v>
      </c>
      <c r="AJ1971">
        <v>81.912173476325293</v>
      </c>
      <c r="AK1971">
        <v>96.241664390826898</v>
      </c>
      <c r="AL1971">
        <v>80.208744954220805</v>
      </c>
      <c r="AM1971">
        <v>92.795968894614603</v>
      </c>
      <c r="AN1971">
        <v>1.00000002289315</v>
      </c>
    </row>
    <row r="1972" spans="1:40" x14ac:dyDescent="0.25">
      <c r="A1972" t="str">
        <f>"20190304155634048"</f>
        <v>20190304155634048</v>
      </c>
      <c r="B1972" t="str">
        <f>"1551686194037279"</f>
        <v>1551686194037279</v>
      </c>
      <c r="C1972" t="s">
        <v>40</v>
      </c>
      <c r="D1972">
        <v>4.5647080000000004</v>
      </c>
      <c r="E1972">
        <v>0.57384429999999997</v>
      </c>
      <c r="F1972" t="s">
        <v>44</v>
      </c>
      <c r="G1972">
        <v>-357.3503</v>
      </c>
      <c r="H1972">
        <v>-0.05</v>
      </c>
      <c r="I1972">
        <v>298.3972</v>
      </c>
      <c r="J1972">
        <v>-265.11380000000003</v>
      </c>
      <c r="K1972">
        <v>1.109718</v>
      </c>
      <c r="L1972">
        <v>283.41899999999998</v>
      </c>
      <c r="M1972">
        <v>-0.99978290000000003</v>
      </c>
      <c r="N1972">
        <v>-9.4116819999999993E-3</v>
      </c>
      <c r="O1972">
        <v>1.8590599999999999E-2</v>
      </c>
      <c r="P1972">
        <v>-0.98658420000000002</v>
      </c>
      <c r="Q1972">
        <v>0.1605261</v>
      </c>
      <c r="R1972">
        <v>-2.9719189999999999E-2</v>
      </c>
      <c r="S1972">
        <v>-3.062195</v>
      </c>
      <c r="T1972">
        <v>-3.840971E-2</v>
      </c>
      <c r="U1972">
        <v>0.49621579999999899</v>
      </c>
      <c r="V1972">
        <v>-4.8032159999999997E-2</v>
      </c>
      <c r="W1972">
        <v>0.16980399999999901</v>
      </c>
      <c r="X1972">
        <v>0.98430660000000003</v>
      </c>
      <c r="Y1972">
        <v>0.14156050000000001</v>
      </c>
      <c r="Z1972">
        <v>1.4949029999999999E-3</v>
      </c>
      <c r="AA1972">
        <v>0.98992849999999999</v>
      </c>
      <c r="AB1972">
        <v>27</v>
      </c>
      <c r="AC1972">
        <v>-92.236499999999893</v>
      </c>
      <c r="AD1972">
        <v>-1.159718</v>
      </c>
      <c r="AE1972">
        <v>14.9781999999999</v>
      </c>
      <c r="AF1972">
        <v>13.2587612418661</v>
      </c>
      <c r="AG1972">
        <v>-1.159718</v>
      </c>
      <c r="AH1972">
        <v>92.484779220615295</v>
      </c>
      <c r="AI1972">
        <v>90.711155839530804</v>
      </c>
      <c r="AJ1972">
        <v>81.841577291196401</v>
      </c>
      <c r="AK1972">
        <v>93.437541079559097</v>
      </c>
      <c r="AL1972">
        <v>80.223576447938001</v>
      </c>
      <c r="AM1972">
        <v>92.793701414381204</v>
      </c>
      <c r="AN1972">
        <v>0.99999998480691199</v>
      </c>
    </row>
    <row r="1973" spans="1:40" x14ac:dyDescent="0.25">
      <c r="A1973" t="str">
        <f>"20190304155634061"</f>
        <v>20190304155634061</v>
      </c>
      <c r="B1973" t="str">
        <f>"1551686194056800"</f>
        <v>1551686194056800</v>
      </c>
      <c r="C1973" t="s">
        <v>40</v>
      </c>
      <c r="D1973">
        <v>4.5644640000000001</v>
      </c>
      <c r="E1973">
        <v>0.57422059999999997</v>
      </c>
      <c r="F1973" t="s">
        <v>44</v>
      </c>
      <c r="G1973">
        <v>-356.52749999999997</v>
      </c>
      <c r="H1973">
        <v>-0.05</v>
      </c>
      <c r="I1973">
        <v>298.28640000000001</v>
      </c>
      <c r="J1973">
        <v>-265.26369999999997</v>
      </c>
      <c r="K1973">
        <v>1.10972</v>
      </c>
      <c r="L1973">
        <v>283.42180000000002</v>
      </c>
      <c r="M1973">
        <v>-0.99978239999999996</v>
      </c>
      <c r="N1973">
        <v>-9.4119809999999998E-3</v>
      </c>
      <c r="O1973">
        <v>1.862165E-2</v>
      </c>
      <c r="P1973">
        <v>-0.98664189999999996</v>
      </c>
      <c r="Q1973">
        <v>0.16022899999999901</v>
      </c>
      <c r="R1973">
        <v>-2.9398480000000001E-2</v>
      </c>
      <c r="S1973">
        <v>-3.062103</v>
      </c>
      <c r="T1973">
        <v>-3.8847329999999999E-2</v>
      </c>
      <c r="U1973">
        <v>0.49801640000000003</v>
      </c>
      <c r="V1973">
        <v>-4.7743630000000002E-2</v>
      </c>
      <c r="W1973">
        <v>0.16950799999999999</v>
      </c>
      <c r="X1973">
        <v>0.98437169999999896</v>
      </c>
      <c r="Y1973">
        <v>0.14210110000000001</v>
      </c>
      <c r="Z1973">
        <v>1.5082209999999999E-3</v>
      </c>
      <c r="AA1973">
        <v>0.98985100000000004</v>
      </c>
      <c r="AB1973">
        <v>27</v>
      </c>
      <c r="AC1973">
        <v>-91.263800000000003</v>
      </c>
      <c r="AD1973">
        <v>-1.1597200000000001</v>
      </c>
      <c r="AE1973">
        <v>14.8645999999999</v>
      </c>
      <c r="AF1973">
        <v>13.160394453126999</v>
      </c>
      <c r="AG1973">
        <v>-1.1597200000000001</v>
      </c>
      <c r="AH1973">
        <v>91.510394355200404</v>
      </c>
      <c r="AI1973">
        <v>90.718682884059305</v>
      </c>
      <c r="AJ1973">
        <v>81.816227392801196</v>
      </c>
      <c r="AK1973">
        <v>92.459143450956702</v>
      </c>
      <c r="AL1973">
        <v>80.240785917824098</v>
      </c>
      <c r="AM1973">
        <v>92.776762588261903</v>
      </c>
      <c r="AN1973">
        <v>1.0000000300152301</v>
      </c>
    </row>
    <row r="1974" spans="1:40" x14ac:dyDescent="0.25">
      <c r="A1974" t="str">
        <f>"20190304155634075"</f>
        <v>20190304155634075</v>
      </c>
      <c r="B1974" t="str">
        <f>"1551686194067536"</f>
        <v>1551686194067536</v>
      </c>
      <c r="C1974" t="s">
        <v>40</v>
      </c>
      <c r="D1974">
        <v>4.5763619999999996</v>
      </c>
      <c r="E1974">
        <v>0.57430409999999998</v>
      </c>
      <c r="F1974" t="s">
        <v>44</v>
      </c>
      <c r="G1974">
        <v>-353.33819999999997</v>
      </c>
      <c r="H1974">
        <v>-0.05</v>
      </c>
      <c r="I1974">
        <v>297.86439999999999</v>
      </c>
      <c r="J1974">
        <v>-265.43029999999999</v>
      </c>
      <c r="K1974">
        <v>1.1097189999999999</v>
      </c>
      <c r="L1974">
        <v>283.42489999999998</v>
      </c>
      <c r="M1974">
        <v>-0.99978160000000005</v>
      </c>
      <c r="N1974">
        <v>-9.4124329999999996E-3</v>
      </c>
      <c r="O1974">
        <v>1.8656220000000001E-2</v>
      </c>
      <c r="P1974">
        <v>-0.98662919999999998</v>
      </c>
      <c r="Q1974">
        <v>0.16035099999999999</v>
      </c>
      <c r="R1974">
        <v>-2.916179E-2</v>
      </c>
      <c r="S1974">
        <v>-3.0621339999999999</v>
      </c>
      <c r="T1974">
        <v>-4.0320630000000003E-2</v>
      </c>
      <c r="U1974">
        <v>0.50213620000000003</v>
      </c>
      <c r="V1974">
        <v>-4.7540770000000003E-2</v>
      </c>
      <c r="W1974">
        <v>0.16963059999999999</v>
      </c>
      <c r="X1974">
        <v>0.98436040000000002</v>
      </c>
      <c r="Y1974">
        <v>0.14336099999999999</v>
      </c>
      <c r="Z1974">
        <v>1.5473799999999999E-3</v>
      </c>
      <c r="AA1974">
        <v>0.98966929999999997</v>
      </c>
      <c r="AB1974">
        <v>27</v>
      </c>
      <c r="AC1974">
        <v>-87.907899999999898</v>
      </c>
      <c r="AD1974">
        <v>-1.1597189999999999</v>
      </c>
      <c r="AE1974">
        <v>14.439500000000001</v>
      </c>
      <c r="AF1974">
        <v>12.794716536755301</v>
      </c>
      <c r="AG1974">
        <v>-1.1597189999999999</v>
      </c>
      <c r="AH1974">
        <v>88.147059274308802</v>
      </c>
      <c r="AI1974">
        <v>90.745959885280598</v>
      </c>
      <c r="AJ1974">
        <v>81.741086776722099</v>
      </c>
      <c r="AK1974">
        <v>89.078357518105307</v>
      </c>
      <c r="AL1974">
        <v>80.233658245720704</v>
      </c>
      <c r="AM1974">
        <v>92.765014319589199</v>
      </c>
      <c r="AN1974">
        <v>1.0000000311783499</v>
      </c>
    </row>
    <row r="1975" spans="1:40" x14ac:dyDescent="0.25">
      <c r="A1975" t="str">
        <f>"20190304155634095"</f>
        <v>20190304155634095</v>
      </c>
      <c r="B1975" t="str">
        <f>"1551686194087056"</f>
        <v>1551686194087056</v>
      </c>
      <c r="C1975" t="s">
        <v>40</v>
      </c>
      <c r="D1975">
        <v>4.6262569999999998</v>
      </c>
      <c r="E1975">
        <v>0.57457360000000002</v>
      </c>
      <c r="F1975" t="s">
        <v>44</v>
      </c>
      <c r="G1975">
        <v>-353.65170000000001</v>
      </c>
      <c r="H1975">
        <v>-0.05</v>
      </c>
      <c r="I1975">
        <v>297.91910000000001</v>
      </c>
      <c r="J1975">
        <v>-265.6746</v>
      </c>
      <c r="K1975">
        <v>1.109718</v>
      </c>
      <c r="L1975">
        <v>283.42959999999999</v>
      </c>
      <c r="M1975">
        <v>-0.99978069999999997</v>
      </c>
      <c r="N1975">
        <v>-9.4134300000000004E-3</v>
      </c>
      <c r="O1975">
        <v>1.8707000000000001E-2</v>
      </c>
      <c r="P1975">
        <v>-0.98659830000000004</v>
      </c>
      <c r="Q1975">
        <v>0.16056409999999999</v>
      </c>
      <c r="R1975">
        <v>-2.9032390000000002E-2</v>
      </c>
      <c r="S1975">
        <v>-3.062103</v>
      </c>
      <c r="T1975">
        <v>-4.0253039999999997E-2</v>
      </c>
      <c r="U1975">
        <v>0.50308229999999998</v>
      </c>
      <c r="V1975">
        <v>-4.7461089999999997E-2</v>
      </c>
      <c r="W1975">
        <v>0.16984389999999999</v>
      </c>
      <c r="X1975">
        <v>0.98432739999999996</v>
      </c>
      <c r="Y1975">
        <v>0.14361009999999999</v>
      </c>
      <c r="Z1975">
        <v>1.5489290000000001E-3</v>
      </c>
      <c r="AA1975">
        <v>0.98963310000000004</v>
      </c>
      <c r="AB1975">
        <v>27</v>
      </c>
      <c r="AC1975">
        <v>-87.977099999999993</v>
      </c>
      <c r="AD1975">
        <v>-1.159718</v>
      </c>
      <c r="AE1975">
        <v>14.4895</v>
      </c>
      <c r="AF1975">
        <v>12.8389316601231</v>
      </c>
      <c r="AG1975">
        <v>-1.159718</v>
      </c>
      <c r="AH1975">
        <v>88.217846036144493</v>
      </c>
      <c r="AI1975">
        <v>90.745319933926694</v>
      </c>
      <c r="AJ1975">
        <v>81.7194992542953</v>
      </c>
      <c r="AK1975">
        <v>89.154761349407096</v>
      </c>
      <c r="AL1975">
        <v>80.221256483035503</v>
      </c>
      <c r="AM1975">
        <v>92.760479632263696</v>
      </c>
      <c r="AN1975">
        <v>0.999999967910978</v>
      </c>
    </row>
    <row r="1976" spans="1:40" x14ac:dyDescent="0.25">
      <c r="A1976" t="str">
        <f>"20190304155634117"</f>
        <v>20190304155634117</v>
      </c>
      <c r="B1976" t="str">
        <f>"1551686194106576"</f>
        <v>1551686194106576</v>
      </c>
      <c r="C1976" t="s">
        <v>40</v>
      </c>
      <c r="D1976">
        <v>4.4526629999999896</v>
      </c>
      <c r="E1976">
        <v>0.57457799999999903</v>
      </c>
      <c r="F1976" t="s">
        <v>44</v>
      </c>
      <c r="G1976">
        <v>-354.79730000000001</v>
      </c>
      <c r="H1976">
        <v>-0.05</v>
      </c>
      <c r="I1976">
        <v>298.15519999999998</v>
      </c>
      <c r="J1976">
        <v>-265.9366</v>
      </c>
      <c r="K1976">
        <v>1.1097060000000001</v>
      </c>
      <c r="L1976">
        <v>283.43450000000001</v>
      </c>
      <c r="M1976">
        <v>-0.99977969999999905</v>
      </c>
      <c r="N1976">
        <v>-9.4148760000000008E-3</v>
      </c>
      <c r="O1976">
        <v>1.8761590000000002E-2</v>
      </c>
      <c r="P1976">
        <v>-0.98662360000000005</v>
      </c>
      <c r="Q1976">
        <v>0.16044939999999999</v>
      </c>
      <c r="R1976">
        <v>-2.8806999999999999E-2</v>
      </c>
      <c r="S1976">
        <v>-3.0621339999999999</v>
      </c>
      <c r="T1976">
        <v>-3.9846300000000001E-2</v>
      </c>
      <c r="U1976">
        <v>0.50595089999999998</v>
      </c>
      <c r="V1976">
        <v>-4.728976E-2</v>
      </c>
      <c r="W1976">
        <v>0.1697311</v>
      </c>
      <c r="X1976">
        <v>0.98435519999999999</v>
      </c>
      <c r="Y1976">
        <v>0.14445720000000001</v>
      </c>
      <c r="Z1976">
        <v>1.5513289999999999E-3</v>
      </c>
      <c r="AA1976">
        <v>0.98950979999999999</v>
      </c>
      <c r="AB1976">
        <v>27</v>
      </c>
      <c r="AC1976">
        <v>-88.860699999999994</v>
      </c>
      <c r="AD1976">
        <v>-1.1597059999999999</v>
      </c>
      <c r="AE1976">
        <v>14.7206999999999</v>
      </c>
      <c r="AF1976">
        <v>13.048703730708</v>
      </c>
      <c r="AG1976">
        <v>-1.1597059999999999</v>
      </c>
      <c r="AH1976">
        <v>89.1064822368607</v>
      </c>
      <c r="AI1976">
        <v>90.737785037938906</v>
      </c>
      <c r="AJ1976">
        <v>81.668853568181802</v>
      </c>
      <c r="AK1976">
        <v>90.064303493038807</v>
      </c>
      <c r="AL1976">
        <v>80.227815613068302</v>
      </c>
      <c r="AM1976">
        <v>92.750452334463404</v>
      </c>
      <c r="AN1976">
        <v>1.0000000637375499</v>
      </c>
    </row>
    <row r="1977" spans="1:40" x14ac:dyDescent="0.25">
      <c r="A1977" t="str">
        <f>"20190304155634137"</f>
        <v>20190304155634137</v>
      </c>
      <c r="B1977" t="str">
        <f>"1551686194127075"</f>
        <v>1551686194127075</v>
      </c>
      <c r="C1977" t="s">
        <v>40</v>
      </c>
      <c r="D1977">
        <v>4.5598519999999896</v>
      </c>
      <c r="E1977">
        <v>0.57473529999999995</v>
      </c>
      <c r="F1977" t="s">
        <v>44</v>
      </c>
      <c r="G1977">
        <v>-354.03359999999998</v>
      </c>
      <c r="H1977">
        <v>-0.05</v>
      </c>
      <c r="I1977">
        <v>298.01580000000001</v>
      </c>
      <c r="J1977">
        <v>-266.18950000000001</v>
      </c>
      <c r="K1977">
        <v>1.1097030000000001</v>
      </c>
      <c r="L1977">
        <v>283.4393</v>
      </c>
      <c r="M1977">
        <v>-0.99977859999999996</v>
      </c>
      <c r="N1977">
        <v>-9.4165740000000005E-3</v>
      </c>
      <c r="O1977">
        <v>1.8814150000000002E-2</v>
      </c>
      <c r="P1977">
        <v>-0.98656189999999999</v>
      </c>
      <c r="Q1977">
        <v>0.16077269999999999</v>
      </c>
      <c r="R1977">
        <v>-2.9115180000000001E-2</v>
      </c>
      <c r="S1977">
        <v>-3.0620120000000002</v>
      </c>
      <c r="T1977">
        <v>-4.0308240000000002E-2</v>
      </c>
      <c r="U1977">
        <v>0.50680539999999996</v>
      </c>
      <c r="V1977">
        <v>-4.7648469999999998E-2</v>
      </c>
      <c r="W1977">
        <v>0.1700554</v>
      </c>
      <c r="X1977">
        <v>0.98428179999999998</v>
      </c>
      <c r="Y1977">
        <v>0.1446799</v>
      </c>
      <c r="Z1977">
        <v>1.561836E-3</v>
      </c>
      <c r="AA1977">
        <v>0.9894773</v>
      </c>
      <c r="AB1977">
        <v>27</v>
      </c>
      <c r="AC1977">
        <v>-87.844099999999898</v>
      </c>
      <c r="AD1977">
        <v>-1.1597029999999999</v>
      </c>
      <c r="AE1977">
        <v>14.576499999999999</v>
      </c>
      <c r="AF1977">
        <v>12.9189429778466</v>
      </c>
      <c r="AG1977">
        <v>-1.1597029999999999</v>
      </c>
      <c r="AH1977">
        <v>88.087865404419901</v>
      </c>
      <c r="AI1977">
        <v>90.746290048575403</v>
      </c>
      <c r="AJ1977">
        <v>81.656497220402898</v>
      </c>
      <c r="AK1977">
        <v>89.037722512540995</v>
      </c>
      <c r="AL1977">
        <v>80.208959250514596</v>
      </c>
      <c r="AM1977">
        <v>92.771489450615306</v>
      </c>
      <c r="AN1977">
        <v>0.99999993878686799</v>
      </c>
    </row>
    <row r="1978" spans="1:40" x14ac:dyDescent="0.25">
      <c r="A1978" t="str">
        <f>"20190304155634150"</f>
        <v>20190304155634150</v>
      </c>
      <c r="B1978" t="str">
        <f>"1551686194146592"</f>
        <v>1551686194146592</v>
      </c>
      <c r="C1978" t="s">
        <v>40</v>
      </c>
      <c r="D1978">
        <v>4.5400720000000003</v>
      </c>
      <c r="E1978">
        <v>0.57507680000000005</v>
      </c>
      <c r="F1978" t="s">
        <v>44</v>
      </c>
      <c r="G1978">
        <v>-355.56199999999899</v>
      </c>
      <c r="H1978">
        <v>-0.05</v>
      </c>
      <c r="I1978">
        <v>298.23320000000001</v>
      </c>
      <c r="J1978">
        <v>-266.34530000000001</v>
      </c>
      <c r="K1978">
        <v>1.109702</v>
      </c>
      <c r="L1978">
        <v>283.44229999999999</v>
      </c>
      <c r="M1978">
        <v>-0.99977819999999995</v>
      </c>
      <c r="N1978">
        <v>-9.4177259999999995E-3</v>
      </c>
      <c r="O1978">
        <v>1.8846209999999999E-2</v>
      </c>
      <c r="P1978">
        <v>-0.98655740000000003</v>
      </c>
      <c r="Q1978">
        <v>0.16084870000000001</v>
      </c>
      <c r="R1978">
        <v>-2.8849530000000002E-2</v>
      </c>
      <c r="S1978">
        <v>-3.0622560000000001</v>
      </c>
      <c r="T1978">
        <v>-3.9736029999999999E-2</v>
      </c>
      <c r="U1978">
        <v>0.50689700000000004</v>
      </c>
      <c r="V1978">
        <v>-4.7414570000000003E-2</v>
      </c>
      <c r="W1978">
        <v>0.1701329</v>
      </c>
      <c r="X1978">
        <v>0.98427980000000004</v>
      </c>
      <c r="Y1978">
        <v>0.14466470000000001</v>
      </c>
      <c r="Z1978">
        <v>1.551668E-3</v>
      </c>
      <c r="AA1978">
        <v>0.98947949999999996</v>
      </c>
      <c r="AB1978">
        <v>27</v>
      </c>
      <c r="AC1978">
        <v>-89.216699999999904</v>
      </c>
      <c r="AD1978">
        <v>-1.159702</v>
      </c>
      <c r="AE1978">
        <v>14.790900000000001</v>
      </c>
      <c r="AF1978">
        <v>13.1046468441741</v>
      </c>
      <c r="AG1978">
        <v>-1.159702</v>
      </c>
      <c r="AH1978">
        <v>89.464905737856398</v>
      </c>
      <c r="AI1978">
        <v>90.734822968821206</v>
      </c>
      <c r="AJ1978">
        <v>81.666686870974303</v>
      </c>
      <c r="AK1978">
        <v>90.427020498979502</v>
      </c>
      <c r="AL1978">
        <v>80.204454114551197</v>
      </c>
      <c r="AM1978">
        <v>92.757911229213406</v>
      </c>
      <c r="AN1978">
        <v>1.0000000348993601</v>
      </c>
    </row>
    <row r="1979" spans="1:40" x14ac:dyDescent="0.25">
      <c r="A1979" t="str">
        <f>"20190304155634163"</f>
        <v>20190304155634163</v>
      </c>
      <c r="B1979" t="str">
        <f>"1551686194156352"</f>
        <v>1551686194156352</v>
      </c>
      <c r="C1979" t="s">
        <v>40</v>
      </c>
      <c r="D1979">
        <v>4.5363699999999998</v>
      </c>
      <c r="E1979">
        <v>0.57519350000000002</v>
      </c>
      <c r="F1979" t="s">
        <v>44</v>
      </c>
      <c r="G1979">
        <v>-355.10700000000003</v>
      </c>
      <c r="H1979">
        <v>-0.05</v>
      </c>
      <c r="I1979">
        <v>298.22859999999997</v>
      </c>
      <c r="J1979">
        <v>-266.49799999999999</v>
      </c>
      <c r="K1979">
        <v>1.109702</v>
      </c>
      <c r="L1979">
        <v>283.4452</v>
      </c>
      <c r="M1979">
        <v>-0.99977740000000004</v>
      </c>
      <c r="N1979">
        <v>-9.4190100000000002E-3</v>
      </c>
      <c r="O1979">
        <v>1.88778E-2</v>
      </c>
      <c r="P1979">
        <v>-0.98663990000000001</v>
      </c>
      <c r="Q1979">
        <v>0.16033439999999999</v>
      </c>
      <c r="R1979">
        <v>-2.8891880000000002E-2</v>
      </c>
      <c r="S1979">
        <v>-3.0623170000000002</v>
      </c>
      <c r="T1979">
        <v>-4.0010209999999997E-2</v>
      </c>
      <c r="U1979">
        <v>0.51013180000000002</v>
      </c>
      <c r="V1979">
        <v>-4.748923E-2</v>
      </c>
      <c r="W1979">
        <v>0.1696202</v>
      </c>
      <c r="X1979">
        <v>0.98436460000000003</v>
      </c>
      <c r="Y1979">
        <v>0.1456471</v>
      </c>
      <c r="Z1979">
        <v>1.567431E-3</v>
      </c>
      <c r="AA1979">
        <v>0.98933539999999998</v>
      </c>
      <c r="AB1979">
        <v>27</v>
      </c>
      <c r="AC1979">
        <v>-88.608999999999895</v>
      </c>
      <c r="AD1979">
        <v>-1.159702</v>
      </c>
      <c r="AE1979">
        <v>14.783399999999901</v>
      </c>
      <c r="AF1979">
        <v>13.105763986219801</v>
      </c>
      <c r="AG1979">
        <v>-1.159702</v>
      </c>
      <c r="AH1979">
        <v>88.857490408465793</v>
      </c>
      <c r="AI1979">
        <v>90.739737639217495</v>
      </c>
      <c r="AJ1979">
        <v>81.609824742021303</v>
      </c>
      <c r="AK1979">
        <v>89.826274330408907</v>
      </c>
      <c r="AL1979">
        <v>80.234262107713903</v>
      </c>
      <c r="AM1979">
        <v>92.762009584288407</v>
      </c>
      <c r="AN1979">
        <v>0.99999995247359497</v>
      </c>
    </row>
    <row r="1980" spans="1:40" x14ac:dyDescent="0.25">
      <c r="A1980" t="str">
        <f>"20190304155634183"</f>
        <v>20190304155634183</v>
      </c>
      <c r="B1980" t="str">
        <f>"1551686194176849"</f>
        <v>1551686194176849</v>
      </c>
      <c r="C1980" t="s">
        <v>40</v>
      </c>
      <c r="D1980">
        <v>4.4742220000000001</v>
      </c>
      <c r="E1980">
        <v>0.57509540000000003</v>
      </c>
      <c r="F1980" t="s">
        <v>44</v>
      </c>
      <c r="G1980">
        <v>-351.66449999999998</v>
      </c>
      <c r="H1980">
        <v>-0.05</v>
      </c>
      <c r="I1980">
        <v>297.65359999999998</v>
      </c>
      <c r="J1980">
        <v>-266.74149999999997</v>
      </c>
      <c r="K1980">
        <v>1.1097049999999999</v>
      </c>
      <c r="L1980">
        <v>283.44990000000001</v>
      </c>
      <c r="M1980">
        <v>-0.99977660000000002</v>
      </c>
      <c r="N1980">
        <v>-9.4211980000000004E-3</v>
      </c>
      <c r="O1980">
        <v>1.8927739999999998E-2</v>
      </c>
      <c r="P1980">
        <v>-0.98669510000000005</v>
      </c>
      <c r="Q1980">
        <v>0.15995760000000001</v>
      </c>
      <c r="R1980">
        <v>-2.909525E-2</v>
      </c>
      <c r="S1980">
        <v>-3.0623469999999999</v>
      </c>
      <c r="T1980">
        <v>-4.1699649999999998E-2</v>
      </c>
      <c r="U1980">
        <v>0.51089479999999998</v>
      </c>
      <c r="V1980">
        <v>-4.7742519999999997E-2</v>
      </c>
      <c r="W1980">
        <v>0.16924620000000001</v>
      </c>
      <c r="X1980">
        <v>0.98441679999999998</v>
      </c>
      <c r="Y1980">
        <v>0.14583450000000001</v>
      </c>
      <c r="Z1980">
        <v>1.5991309999999999E-3</v>
      </c>
      <c r="AA1980">
        <v>0.98930770000000001</v>
      </c>
      <c r="AB1980">
        <v>27</v>
      </c>
      <c r="AC1980">
        <v>-84.922999999999902</v>
      </c>
      <c r="AD1980">
        <v>-1.159705</v>
      </c>
      <c r="AE1980">
        <v>14.2036999999999</v>
      </c>
      <c r="AF1980">
        <v>12.591399442372399</v>
      </c>
      <c r="AG1980">
        <v>-1.159705</v>
      </c>
      <c r="AH1980">
        <v>85.161191766947994</v>
      </c>
      <c r="AI1980">
        <v>90.771802727014602</v>
      </c>
      <c r="AJ1980">
        <v>81.589538585444402</v>
      </c>
      <c r="AK1980">
        <v>86.094813077044904</v>
      </c>
      <c r="AL1980">
        <v>80.256005863186004</v>
      </c>
      <c r="AM1980">
        <v>92.776571119483407</v>
      </c>
      <c r="AN1980">
        <v>1.0000000302763099</v>
      </c>
    </row>
    <row r="1981" spans="1:40" x14ac:dyDescent="0.25">
      <c r="A1981" t="str">
        <f>"20190304155634205"</f>
        <v>20190304155634205</v>
      </c>
      <c r="B1981" t="str">
        <f>"1551686194196367"</f>
        <v>1551686194196367</v>
      </c>
      <c r="C1981" t="s">
        <v>40</v>
      </c>
      <c r="D1981">
        <v>4.6826030000000003</v>
      </c>
      <c r="E1981">
        <v>0.53153859999999997</v>
      </c>
      <c r="F1981" t="s">
        <v>44</v>
      </c>
      <c r="G1981">
        <v>-349.77050000000003</v>
      </c>
      <c r="H1981">
        <v>-0.05</v>
      </c>
      <c r="I1981">
        <v>297.26580000000001</v>
      </c>
      <c r="J1981">
        <v>-267.00450000000001</v>
      </c>
      <c r="K1981">
        <v>1.1096980000000001</v>
      </c>
      <c r="L1981">
        <v>283.45490000000001</v>
      </c>
      <c r="M1981">
        <v>-0.99977550000000004</v>
      </c>
      <c r="N1981">
        <v>-9.4237379999999992E-3</v>
      </c>
      <c r="O1981">
        <v>1.898215E-2</v>
      </c>
      <c r="P1981">
        <v>-0.98671410000000004</v>
      </c>
      <c r="Q1981">
        <v>0.1597635</v>
      </c>
      <c r="R1981">
        <v>-2.9515989999999999E-2</v>
      </c>
      <c r="S1981">
        <v>-3.062408</v>
      </c>
      <c r="T1981">
        <v>-4.2774079999999999E-2</v>
      </c>
      <c r="U1981">
        <v>0.50958249999999905</v>
      </c>
      <c r="V1981">
        <v>-4.8217290000000003E-2</v>
      </c>
      <c r="W1981">
        <v>0.16905490000000001</v>
      </c>
      <c r="X1981">
        <v>0.98442649999999998</v>
      </c>
      <c r="Y1981">
        <v>0.1453641</v>
      </c>
      <c r="Z1981">
        <v>1.612435E-3</v>
      </c>
      <c r="AA1981">
        <v>0.9893769</v>
      </c>
      <c r="AB1981">
        <v>27</v>
      </c>
      <c r="AC1981">
        <v>-82.766000000000005</v>
      </c>
      <c r="AD1981">
        <v>-1.1596979999999999</v>
      </c>
      <c r="AE1981">
        <v>13.8109</v>
      </c>
      <c r="AF1981">
        <v>12.2349281114279</v>
      </c>
      <c r="AG1981">
        <v>-1.1596979999999999</v>
      </c>
      <c r="AH1981">
        <v>82.997404902150095</v>
      </c>
      <c r="AI1981">
        <v>90.791967107822003</v>
      </c>
      <c r="AJ1981">
        <v>81.614230248115106</v>
      </c>
      <c r="AK1981">
        <v>83.90236936961</v>
      </c>
      <c r="AL1981">
        <v>80.267126498917406</v>
      </c>
      <c r="AM1981">
        <v>92.804110971959005</v>
      </c>
      <c r="AN1981">
        <v>1.0000000000856</v>
      </c>
    </row>
    <row r="1982" spans="1:40" x14ac:dyDescent="0.25">
      <c r="A1982" t="str">
        <f>"20190304155634218"</f>
        <v>20190304155634218</v>
      </c>
      <c r="B1982" t="str">
        <f>"1551686194207104"</f>
        <v>1551686194207104</v>
      </c>
      <c r="C1982" t="s">
        <v>40</v>
      </c>
      <c r="D1982">
        <v>4.4916239999999998</v>
      </c>
      <c r="E1982">
        <v>0.53373090000000001</v>
      </c>
      <c r="F1982" t="s">
        <v>64</v>
      </c>
      <c r="G1982">
        <v>-312.34910000000002</v>
      </c>
      <c r="H1982" s="1">
        <v>3.1515339999999999E-6</v>
      </c>
      <c r="I1982">
        <v>285.84249999999997</v>
      </c>
      <c r="J1982">
        <v>-267.17160000000001</v>
      </c>
      <c r="K1982">
        <v>1.1096969999999999</v>
      </c>
      <c r="L1982">
        <v>283.4581</v>
      </c>
      <c r="M1982">
        <v>-0.99977490000000002</v>
      </c>
      <c r="N1982">
        <v>-9.4254690000000006E-3</v>
      </c>
      <c r="O1982">
        <v>1.901653E-2</v>
      </c>
      <c r="P1982">
        <v>-0.98679760000000005</v>
      </c>
      <c r="Q1982">
        <v>0.15925059999999999</v>
      </c>
      <c r="R1982">
        <v>-2.949802E-2</v>
      </c>
      <c r="S1982">
        <v>-3.057312</v>
      </c>
      <c r="T1982">
        <v>-7.4819919999999998E-2</v>
      </c>
      <c r="U1982">
        <v>0.16098019999999999</v>
      </c>
      <c r="V1982">
        <v>-4.8235180000000002E-2</v>
      </c>
      <c r="W1982">
        <v>0.168544</v>
      </c>
      <c r="X1982">
        <v>0.98451319999999998</v>
      </c>
      <c r="Y1982">
        <v>3.3569010000000003E-2</v>
      </c>
      <c r="Z1982">
        <v>2.8298329999999999E-4</v>
      </c>
      <c r="AA1982">
        <v>0.9994364</v>
      </c>
      <c r="AB1982">
        <v>27</v>
      </c>
      <c r="AC1982">
        <v>-45.177500000000002</v>
      </c>
      <c r="AD1982">
        <v>-1.1096938484659999</v>
      </c>
      <c r="AE1982">
        <v>2.3843999999999701</v>
      </c>
      <c r="AF1982">
        <v>1.52389460559226</v>
      </c>
      <c r="AG1982">
        <v>-1.1096938484659999</v>
      </c>
      <c r="AH1982">
        <v>45.187487149519598</v>
      </c>
      <c r="AI1982">
        <v>91.405962112667893</v>
      </c>
      <c r="AJ1982">
        <v>88.068499550198197</v>
      </c>
      <c r="AK1982">
        <v>45.226791507847103</v>
      </c>
      <c r="AL1982">
        <v>80.296824846572605</v>
      </c>
      <c r="AM1982">
        <v>92.804903078535702</v>
      </c>
      <c r="AN1982">
        <v>0.99999997674993601</v>
      </c>
    </row>
    <row r="1983" spans="1:40" x14ac:dyDescent="0.25">
      <c r="A1983" t="str">
        <f>"20190304155634231"</f>
        <v>20190304155634231</v>
      </c>
      <c r="B1983" t="str">
        <f>"1551686194226624"</f>
        <v>1551686194226624</v>
      </c>
      <c r="C1983" t="s">
        <v>40</v>
      </c>
      <c r="D1983">
        <v>4.597086</v>
      </c>
      <c r="E1983">
        <v>0.52861650000000004</v>
      </c>
      <c r="F1983" t="s">
        <v>55</v>
      </c>
      <c r="G1983">
        <v>-324.90359999999998</v>
      </c>
      <c r="H1983" s="1">
        <v>9.7582349999999995E-7</v>
      </c>
      <c r="I1983">
        <v>286.8313</v>
      </c>
      <c r="J1983">
        <v>-267.3329</v>
      </c>
      <c r="K1983">
        <v>1.109696</v>
      </c>
      <c r="L1983">
        <v>283.46120000000002</v>
      </c>
      <c r="M1983">
        <v>-0.99977419999999995</v>
      </c>
      <c r="N1983">
        <v>-9.4272060000000005E-3</v>
      </c>
      <c r="O1983">
        <v>1.9049900000000002E-2</v>
      </c>
      <c r="P1983">
        <v>-0.98682340000000002</v>
      </c>
      <c r="Q1983">
        <v>0.15907060000000001</v>
      </c>
      <c r="R1983">
        <v>-2.9605949999999999E-2</v>
      </c>
      <c r="S1983">
        <v>-3.0549620000000002</v>
      </c>
      <c r="T1983">
        <v>-5.872107E-2</v>
      </c>
      <c r="U1983">
        <v>0.1784973</v>
      </c>
      <c r="V1983">
        <v>-4.8376089999999997E-2</v>
      </c>
      <c r="W1983">
        <v>0.168366299999999</v>
      </c>
      <c r="X1983">
        <v>0.98453670000000004</v>
      </c>
      <c r="Y1983">
        <v>3.9290400000000003E-2</v>
      </c>
      <c r="Z1983">
        <v>3.7634879999999998E-4</v>
      </c>
      <c r="AA1983">
        <v>0.9992278</v>
      </c>
      <c r="AB1983">
        <v>27</v>
      </c>
      <c r="AC1983">
        <v>-57.570699999999903</v>
      </c>
      <c r="AD1983">
        <v>-1.1096950241765</v>
      </c>
      <c r="AE1983">
        <v>3.3700999999999701</v>
      </c>
      <c r="AF1983">
        <v>2.2718824845327301</v>
      </c>
      <c r="AG1983">
        <v>-1.1096950241765</v>
      </c>
      <c r="AH1983">
        <v>57.603126161566202</v>
      </c>
      <c r="AI1983">
        <v>91.102780471506193</v>
      </c>
      <c r="AJ1983">
        <v>87.741409967764099</v>
      </c>
      <c r="AK1983">
        <v>57.658590137598097</v>
      </c>
      <c r="AL1983">
        <v>80.307154000480693</v>
      </c>
      <c r="AM1983">
        <v>92.813016894371401</v>
      </c>
      <c r="AN1983">
        <v>0.99999998535313395</v>
      </c>
    </row>
    <row r="1984" spans="1:40" x14ac:dyDescent="0.25">
      <c r="A1984" t="str">
        <f>"20190304155634251"</f>
        <v>20190304155634251</v>
      </c>
      <c r="B1984" t="str">
        <f>"1551686194247119"</f>
        <v>1551686194247119</v>
      </c>
      <c r="C1984" t="s">
        <v>40</v>
      </c>
      <c r="D1984">
        <v>4.5710030000000001</v>
      </c>
      <c r="E1984">
        <v>0.52777019999999997</v>
      </c>
      <c r="F1984" t="s">
        <v>64</v>
      </c>
      <c r="G1984">
        <v>-304.84589999999997</v>
      </c>
      <c r="H1984" s="1">
        <v>3.0593539999999999E-6</v>
      </c>
      <c r="I1984">
        <v>285.13869999999997</v>
      </c>
      <c r="J1984">
        <v>-267.56110000000001</v>
      </c>
      <c r="K1984">
        <v>1.109696</v>
      </c>
      <c r="L1984">
        <v>283.46559999999999</v>
      </c>
      <c r="M1984">
        <v>-0.99977320000000003</v>
      </c>
      <c r="N1984">
        <v>-9.4297370000000005E-3</v>
      </c>
      <c r="O1984">
        <v>1.9097159999999998E-2</v>
      </c>
      <c r="P1984">
        <v>-0.98685840000000002</v>
      </c>
      <c r="Q1984">
        <v>0.15877740000000001</v>
      </c>
      <c r="R1984">
        <v>-3.0003579999999998E-2</v>
      </c>
      <c r="S1984">
        <v>-3.058716</v>
      </c>
      <c r="T1984">
        <v>-9.0481759999999994E-2</v>
      </c>
      <c r="U1984">
        <v>0.13677979999999901</v>
      </c>
      <c r="V1984">
        <v>-4.8821249999999997E-2</v>
      </c>
      <c r="W1984">
        <v>0.1680759</v>
      </c>
      <c r="X1984">
        <v>0.98456440000000001</v>
      </c>
      <c r="Y1984">
        <v>2.557545E-2</v>
      </c>
      <c r="Z1984">
        <v>1.14255E-4</v>
      </c>
      <c r="AA1984">
        <v>0.99967289999999998</v>
      </c>
      <c r="AB1984">
        <v>27</v>
      </c>
      <c r="AC1984">
        <v>-37.284799999999898</v>
      </c>
      <c r="AD1984">
        <v>-1.1096929406460001</v>
      </c>
      <c r="AE1984">
        <v>1.6730999999999701</v>
      </c>
      <c r="AF1984">
        <v>0.95988086351255597</v>
      </c>
      <c r="AG1984">
        <v>-1.1096929406460001</v>
      </c>
      <c r="AH1984">
        <v>37.276998652391903</v>
      </c>
      <c r="AI1984">
        <v>91.7045605370771</v>
      </c>
      <c r="AJ1984">
        <v>88.524962478925303</v>
      </c>
      <c r="AK1984">
        <v>37.305863054285197</v>
      </c>
      <c r="AL1984">
        <v>80.324033771875307</v>
      </c>
      <c r="AM1984">
        <v>92.838780572598694</v>
      </c>
      <c r="AN1984">
        <v>1.0000000401798601</v>
      </c>
    </row>
    <row r="1985" spans="1:40" x14ac:dyDescent="0.25">
      <c r="A1985" t="str">
        <f>"20190304155634265"</f>
        <v>20190304155634265</v>
      </c>
      <c r="B1985" t="str">
        <f>"1551686194256880"</f>
        <v>1551686194256880</v>
      </c>
      <c r="C1985" t="s">
        <v>40</v>
      </c>
      <c r="D1985">
        <v>4.5506729999999997</v>
      </c>
      <c r="E1985">
        <v>0.52775099999999997</v>
      </c>
      <c r="F1985" t="s">
        <v>64</v>
      </c>
      <c r="G1985">
        <v>-304.99290000000002</v>
      </c>
      <c r="H1985" s="1">
        <v>3.042335E-6</v>
      </c>
      <c r="I1985">
        <v>285.0351</v>
      </c>
      <c r="J1985">
        <v>-267.74599999999998</v>
      </c>
      <c r="K1985">
        <v>1.1096900000000001</v>
      </c>
      <c r="L1985">
        <v>283.4692</v>
      </c>
      <c r="M1985">
        <v>-0.99977240000000001</v>
      </c>
      <c r="N1985">
        <v>-9.4318949999999992E-3</v>
      </c>
      <c r="O1985">
        <v>1.9135530000000001E-2</v>
      </c>
      <c r="P1985">
        <v>-0.98685630000000002</v>
      </c>
      <c r="Q1985">
        <v>0.15874769999999999</v>
      </c>
      <c r="R1985">
        <v>-3.0226610000000001E-2</v>
      </c>
      <c r="S1985">
        <v>-3.058411</v>
      </c>
      <c r="T1985">
        <v>-9.0668680000000001E-2</v>
      </c>
      <c r="U1985">
        <v>0.12823490000000001</v>
      </c>
      <c r="V1985">
        <v>-4.908204E-2</v>
      </c>
      <c r="W1985">
        <v>0.16804859999999999</v>
      </c>
      <c r="X1985">
        <v>0.98455610000000005</v>
      </c>
      <c r="Y1985">
        <v>2.2755279999999999E-2</v>
      </c>
      <c r="Z1985" s="1">
        <v>5.804785E-5</v>
      </c>
      <c r="AA1985">
        <v>0.99974110000000005</v>
      </c>
      <c r="AB1985">
        <v>27</v>
      </c>
      <c r="AC1985">
        <v>-37.246899999999997</v>
      </c>
      <c r="AD1985">
        <v>-1.1096869576649999</v>
      </c>
      <c r="AE1985">
        <v>1.5658999999999901</v>
      </c>
      <c r="AF1985">
        <v>0.85208738817720597</v>
      </c>
      <c r="AG1985">
        <v>-1.1096869576649999</v>
      </c>
      <c r="AH1985">
        <v>37.237051555920203</v>
      </c>
      <c r="AI1985">
        <v>91.706497707712799</v>
      </c>
      <c r="AJ1985">
        <v>88.689141849120901</v>
      </c>
      <c r="AK1985">
        <v>37.263326027601998</v>
      </c>
      <c r="AL1985">
        <v>80.325620575896707</v>
      </c>
      <c r="AM1985">
        <v>92.853943591953197</v>
      </c>
      <c r="AN1985">
        <v>1.0000000463298599</v>
      </c>
    </row>
    <row r="1986" spans="1:40" x14ac:dyDescent="0.25">
      <c r="A1986" t="str">
        <f>"20190304155634285"</f>
        <v>20190304155634285</v>
      </c>
      <c r="B1986" t="str">
        <f>"1551686194276400"</f>
        <v>1551686194276400</v>
      </c>
      <c r="C1986" t="s">
        <v>40</v>
      </c>
      <c r="D1986">
        <v>4.5564559999999998</v>
      </c>
      <c r="E1986">
        <v>0.52764</v>
      </c>
      <c r="F1986" t="s">
        <v>64</v>
      </c>
      <c r="G1986">
        <v>-305.43299999999999</v>
      </c>
      <c r="H1986" s="1">
        <v>2.9641659999999998E-6</v>
      </c>
      <c r="I1986">
        <v>285.03620000000001</v>
      </c>
      <c r="J1986">
        <v>-267.98079999999999</v>
      </c>
      <c r="K1986">
        <v>1.1096900000000001</v>
      </c>
      <c r="L1986">
        <v>283.47379999999998</v>
      </c>
      <c r="M1986">
        <v>-0.99977150000000004</v>
      </c>
      <c r="N1986">
        <v>-9.4347219999999996E-3</v>
      </c>
      <c r="O1986">
        <v>1.918398E-2</v>
      </c>
      <c r="P1986">
        <v>-0.98696830000000002</v>
      </c>
      <c r="Q1986">
        <v>0.15815309999999999</v>
      </c>
      <c r="R1986">
        <v>-2.9679469999999999E-2</v>
      </c>
      <c r="S1986">
        <v>-3.058319</v>
      </c>
      <c r="T1986">
        <v>-9.0051649999999997E-2</v>
      </c>
      <c r="U1986">
        <v>0.12716669999999999</v>
      </c>
      <c r="V1986">
        <v>-4.8585110000000001E-2</v>
      </c>
      <c r="W1986">
        <v>0.16745769999999999</v>
      </c>
      <c r="X1986">
        <v>0.98468140000000004</v>
      </c>
      <c r="Y1986">
        <v>2.2359839999999999E-2</v>
      </c>
      <c r="Z1986" s="1">
        <v>5.1035660000000001E-5</v>
      </c>
      <c r="AA1986">
        <v>0.99975000000000003</v>
      </c>
      <c r="AB1986">
        <v>27</v>
      </c>
      <c r="AC1986">
        <v>-37.452199999999998</v>
      </c>
      <c r="AD1986">
        <v>-1.1096870358339901</v>
      </c>
      <c r="AE1986">
        <v>1.56240000000002</v>
      </c>
      <c r="AF1986">
        <v>0.84285958105213798</v>
      </c>
      <c r="AG1986">
        <v>-1.1096870358339901</v>
      </c>
      <c r="AH1986">
        <v>37.442467726370801</v>
      </c>
      <c r="AI1986">
        <v>91.697155474777105</v>
      </c>
      <c r="AJ1986">
        <v>88.710444450284399</v>
      </c>
      <c r="AK1986">
        <v>37.468389437380203</v>
      </c>
      <c r="AL1986">
        <v>80.359963131347101</v>
      </c>
      <c r="AM1986">
        <v>92.8247370442229</v>
      </c>
      <c r="AN1986">
        <v>1.00000002685448</v>
      </c>
    </row>
    <row r="1987" spans="1:40" x14ac:dyDescent="0.25">
      <c r="A1987" t="str">
        <f>"20190304155634307"</f>
        <v>20190304155634307</v>
      </c>
      <c r="B1987" t="str">
        <f>"1551686194296896"</f>
        <v>1551686194296896</v>
      </c>
      <c r="C1987" t="s">
        <v>40</v>
      </c>
      <c r="D1987">
        <v>4.5599369999999997</v>
      </c>
      <c r="E1987">
        <v>0.52760469999999904</v>
      </c>
      <c r="F1987" t="s">
        <v>64</v>
      </c>
      <c r="G1987">
        <v>-305.06380000000001</v>
      </c>
      <c r="H1987" s="1">
        <v>3.0311289999999998E-6</v>
      </c>
      <c r="I1987">
        <v>285.01949999999999</v>
      </c>
      <c r="J1987">
        <v>-268.25529999999998</v>
      </c>
      <c r="K1987">
        <v>1.109694</v>
      </c>
      <c r="L1987">
        <v>283.47910000000002</v>
      </c>
      <c r="M1987">
        <v>-0.9997703</v>
      </c>
      <c r="N1987">
        <v>-9.4381380000000004E-3</v>
      </c>
      <c r="O1987">
        <v>1.9240879999999998E-2</v>
      </c>
      <c r="P1987">
        <v>-0.98701059999999996</v>
      </c>
      <c r="Q1987">
        <v>0.15798760000000001</v>
      </c>
      <c r="R1987">
        <v>-2.9156910000000001E-2</v>
      </c>
      <c r="S1987">
        <v>-3.0581049999999999</v>
      </c>
      <c r="T1987">
        <v>-9.1512079999999996E-2</v>
      </c>
      <c r="U1987">
        <v>0.1274719</v>
      </c>
      <c r="V1987">
        <v>-4.8119269999999999E-2</v>
      </c>
      <c r="W1987">
        <v>0.167296</v>
      </c>
      <c r="X1987">
        <v>0.98473169999999999</v>
      </c>
      <c r="Y1987">
        <v>2.2405230000000002E-2</v>
      </c>
      <c r="Z1987" s="1">
        <v>4.7035040000000002E-5</v>
      </c>
      <c r="AA1987">
        <v>0.99974890000000005</v>
      </c>
      <c r="AB1987">
        <v>27</v>
      </c>
      <c r="AC1987">
        <v>-36.808500000000002</v>
      </c>
      <c r="AD1987">
        <v>-1.1096909688709999</v>
      </c>
      <c r="AE1987">
        <v>1.54039999999997</v>
      </c>
      <c r="AF1987">
        <v>0.83110126049994704</v>
      </c>
      <c r="AG1987">
        <v>-1.1096909688709999</v>
      </c>
      <c r="AH1987">
        <v>36.797938729292802</v>
      </c>
      <c r="AI1987">
        <v>91.726867122705301</v>
      </c>
      <c r="AJ1987">
        <v>88.706163936250306</v>
      </c>
      <c r="AK1987">
        <v>36.824047008393599</v>
      </c>
      <c r="AL1987">
        <v>80.369359857795502</v>
      </c>
      <c r="AM1987">
        <v>92.797553677117705</v>
      </c>
      <c r="AN1987">
        <v>0.99999996837311</v>
      </c>
    </row>
    <row r="1988" spans="1:40" x14ac:dyDescent="0.25">
      <c r="A1988" t="str">
        <f>"20190304155634327"</f>
        <v>20190304155634327</v>
      </c>
      <c r="B1988" t="str">
        <f>"1551686194316416"</f>
        <v>1551686194316416</v>
      </c>
      <c r="C1988" t="s">
        <v>40</v>
      </c>
      <c r="D1988">
        <v>4.5539259999999997</v>
      </c>
      <c r="E1988">
        <v>0.5275552</v>
      </c>
      <c r="F1988" t="s">
        <v>64</v>
      </c>
      <c r="G1988">
        <v>-304.47699999999998</v>
      </c>
      <c r="H1988" s="1">
        <v>3.1369430000000001E-6</v>
      </c>
      <c r="I1988">
        <v>284.99970000000002</v>
      </c>
      <c r="J1988">
        <v>-268.50240000000002</v>
      </c>
      <c r="K1988">
        <v>1.1096919999999999</v>
      </c>
      <c r="L1988">
        <v>283.48390000000001</v>
      </c>
      <c r="M1988">
        <v>-0.99976929999999997</v>
      </c>
      <c r="N1988">
        <v>-9.4413250000000004E-3</v>
      </c>
      <c r="O1988">
        <v>1.9291949999999999E-2</v>
      </c>
      <c r="P1988">
        <v>-0.98697420000000002</v>
      </c>
      <c r="Q1988">
        <v>0.1583774</v>
      </c>
      <c r="R1988">
        <v>-2.825687E-2</v>
      </c>
      <c r="S1988">
        <v>-3.0582579999999999</v>
      </c>
      <c r="T1988">
        <v>-9.3693139999999994E-2</v>
      </c>
      <c r="U1988">
        <v>0.12838749999999999</v>
      </c>
      <c r="V1988">
        <v>-4.726897E-2</v>
      </c>
      <c r="W1988">
        <v>0.16768849999999999</v>
      </c>
      <c r="X1988">
        <v>0.98470619999999998</v>
      </c>
      <c r="Y1988">
        <v>2.2650440000000001E-2</v>
      </c>
      <c r="Z1988" s="1">
        <v>4.5252410000000001E-5</v>
      </c>
      <c r="AA1988">
        <v>0.99974350000000001</v>
      </c>
      <c r="AB1988">
        <v>27</v>
      </c>
      <c r="AC1988">
        <v>-35.974600000000002</v>
      </c>
      <c r="AD1988">
        <v>-1.1096888630570001</v>
      </c>
      <c r="AE1988">
        <v>1.51580000000001</v>
      </c>
      <c r="AF1988">
        <v>0.82068724225254697</v>
      </c>
      <c r="AG1988">
        <v>-1.1096888630570001</v>
      </c>
      <c r="AH1988">
        <v>35.962990044055097</v>
      </c>
      <c r="AI1988">
        <v>91.766921716810302</v>
      </c>
      <c r="AJ1988">
        <v>88.692718395219799</v>
      </c>
      <c r="AK1988">
        <v>35.989464983953198</v>
      </c>
      <c r="AL1988">
        <v>80.346549765060203</v>
      </c>
      <c r="AM1988">
        <v>92.748266538708407</v>
      </c>
      <c r="AN1988">
        <v>1.0000000444377699</v>
      </c>
    </row>
    <row r="1989" spans="1:40" x14ac:dyDescent="0.25">
      <c r="A1989" t="str">
        <f>"20190304155634340"</f>
        <v>20190304155634340</v>
      </c>
      <c r="B1989" t="str">
        <f>"1551686194336912"</f>
        <v>1551686194336912</v>
      </c>
      <c r="C1989" t="s">
        <v>40</v>
      </c>
      <c r="D1989">
        <v>4.5701159999999996</v>
      </c>
      <c r="E1989">
        <v>0.52755149999999995</v>
      </c>
      <c r="F1989" t="s">
        <v>64</v>
      </c>
      <c r="G1989">
        <v>-305.02330000000001</v>
      </c>
      <c r="H1989" s="1">
        <v>3.0362499999999999E-6</v>
      </c>
      <c r="I1989">
        <v>285.04289999999997</v>
      </c>
      <c r="J1989">
        <v>-268.66640000000001</v>
      </c>
      <c r="K1989">
        <v>1.109686</v>
      </c>
      <c r="L1989">
        <v>283.4871</v>
      </c>
      <c r="M1989">
        <v>-0.99976869999999995</v>
      </c>
      <c r="N1989">
        <v>-9.4434889999999994E-3</v>
      </c>
      <c r="O1989">
        <v>1.9325970000000001E-2</v>
      </c>
      <c r="P1989">
        <v>-0.9869964</v>
      </c>
      <c r="Q1989">
        <v>0.15840580000000001</v>
      </c>
      <c r="R1989">
        <v>-2.7316460000000001E-2</v>
      </c>
      <c r="S1989">
        <v>-3.0582579999999999</v>
      </c>
      <c r="T1989">
        <v>-9.2925309999999997E-2</v>
      </c>
      <c r="U1989">
        <v>0.13055419999999901</v>
      </c>
      <c r="V1989">
        <v>-4.6362960000000002E-2</v>
      </c>
      <c r="W1989">
        <v>0.1677196</v>
      </c>
      <c r="X1989">
        <v>0.98474399999999995</v>
      </c>
      <c r="Y1989">
        <v>2.3323159999999999E-2</v>
      </c>
      <c r="Z1989" s="1">
        <v>6.0000380000000001E-5</v>
      </c>
      <c r="AA1989">
        <v>0.99972799999999995</v>
      </c>
      <c r="AB1989">
        <v>27</v>
      </c>
      <c r="AC1989">
        <v>-36.356900000000003</v>
      </c>
      <c r="AD1989">
        <v>-1.1096829637500001</v>
      </c>
      <c r="AE1989">
        <v>1.5557999999999701</v>
      </c>
      <c r="AF1989">
        <v>0.85205344764586499</v>
      </c>
      <c r="AG1989">
        <v>-1.1096829637500001</v>
      </c>
      <c r="AH1989">
        <v>36.346379937095897</v>
      </c>
      <c r="AI1989">
        <v>91.748261028488102</v>
      </c>
      <c r="AJ1989">
        <v>88.6570842384522</v>
      </c>
      <c r="AK1989">
        <v>36.373296879571001</v>
      </c>
      <c r="AL1989">
        <v>80.344742486561699</v>
      </c>
      <c r="AM1989">
        <v>92.695565320251006</v>
      </c>
      <c r="AN1989">
        <v>1.0000000669100499</v>
      </c>
    </row>
    <row r="1990" spans="1:40" x14ac:dyDescent="0.25">
      <c r="A1990" t="str">
        <f>"20190304155634353"</f>
        <v>20190304155634353</v>
      </c>
      <c r="B1990" t="str">
        <f>"1551686194346672"</f>
        <v>1551686194346672</v>
      </c>
      <c r="C1990" t="s">
        <v>40</v>
      </c>
      <c r="D1990">
        <v>4.5535300000000003</v>
      </c>
      <c r="E1990">
        <v>0.52746400000000004</v>
      </c>
      <c r="F1990" t="s">
        <v>64</v>
      </c>
      <c r="G1990">
        <v>-305.31079999999997</v>
      </c>
      <c r="H1990" s="1">
        <v>2.9815019999999998E-6</v>
      </c>
      <c r="I1990">
        <v>285.08589999999998</v>
      </c>
      <c r="J1990">
        <v>-268.82130000000001</v>
      </c>
      <c r="K1990">
        <v>1.109686</v>
      </c>
      <c r="L1990">
        <v>283.49009999999998</v>
      </c>
      <c r="M1990">
        <v>-0.99976810000000005</v>
      </c>
      <c r="N1990">
        <v>-9.4455089999999995E-3</v>
      </c>
      <c r="O1990">
        <v>1.9358210000000001E-2</v>
      </c>
      <c r="P1990">
        <v>-0.98698629999999998</v>
      </c>
      <c r="Q1990">
        <v>0.15856139999999999</v>
      </c>
      <c r="R1990">
        <v>-2.6769029999999999E-2</v>
      </c>
      <c r="S1990">
        <v>-3.0580750000000001</v>
      </c>
      <c r="T1990">
        <v>-9.2606190000000005E-2</v>
      </c>
      <c r="U1990">
        <v>0.13342290000000001</v>
      </c>
      <c r="V1990">
        <v>-4.5847069999999997E-2</v>
      </c>
      <c r="W1990">
        <v>0.167877</v>
      </c>
      <c r="X1990">
        <v>0.98474130000000004</v>
      </c>
      <c r="Y1990">
        <v>2.422902E-2</v>
      </c>
      <c r="Z1990" s="1">
        <v>7.8169849999999995E-5</v>
      </c>
      <c r="AA1990">
        <v>0.9997064</v>
      </c>
      <c r="AB1990">
        <v>27</v>
      </c>
      <c r="AC1990">
        <v>-36.4894999999999</v>
      </c>
      <c r="AD1990">
        <v>-1.109683018498</v>
      </c>
      <c r="AE1990">
        <v>1.5957999999999899</v>
      </c>
      <c r="AF1990">
        <v>0.88827816020194605</v>
      </c>
      <c r="AG1990">
        <v>-1.109683018498</v>
      </c>
      <c r="AH1990">
        <v>36.479881616876099</v>
      </c>
      <c r="AI1990">
        <v>91.741829414818596</v>
      </c>
      <c r="AJ1990">
        <v>88.605134330398101</v>
      </c>
      <c r="AK1990">
        <v>36.507563562537598</v>
      </c>
      <c r="AL1990">
        <v>80.335594107483999</v>
      </c>
      <c r="AM1990">
        <v>92.665622024580202</v>
      </c>
      <c r="AN1990">
        <v>1.0000000344411299</v>
      </c>
    </row>
    <row r="1991" spans="1:40" x14ac:dyDescent="0.25">
      <c r="A1991" t="str">
        <f>"20190304155634372"</f>
        <v>20190304155634372</v>
      </c>
      <c r="B1991" t="str">
        <f>"1551686194367169"</f>
        <v>1551686194367169</v>
      </c>
      <c r="C1991" t="s">
        <v>40</v>
      </c>
      <c r="D1991">
        <v>4.5756059999999996</v>
      </c>
      <c r="E1991">
        <v>0.52741309999999997</v>
      </c>
      <c r="F1991" t="s">
        <v>64</v>
      </c>
      <c r="G1991">
        <v>-305.53320000000002</v>
      </c>
      <c r="H1991" s="1">
        <v>2.9408810000000002E-6</v>
      </c>
      <c r="I1991">
        <v>285.0992</v>
      </c>
      <c r="J1991">
        <v>-269.05759999999998</v>
      </c>
      <c r="K1991">
        <v>1.1096919999999999</v>
      </c>
      <c r="L1991">
        <v>283.4948</v>
      </c>
      <c r="M1991">
        <v>-0.99976710000000002</v>
      </c>
      <c r="N1991">
        <v>-9.4484830000000006E-3</v>
      </c>
      <c r="O1991">
        <v>1.9407069999999998E-2</v>
      </c>
      <c r="P1991">
        <v>-0.98695440000000001</v>
      </c>
      <c r="Q1991">
        <v>0.1589845</v>
      </c>
      <c r="R1991">
        <v>-2.5398449999999999E-2</v>
      </c>
      <c r="S1991">
        <v>-3.0580440000000002</v>
      </c>
      <c r="T1991">
        <v>-9.2434760000000005E-2</v>
      </c>
      <c r="U1991">
        <v>0.13403319999999999</v>
      </c>
      <c r="V1991">
        <v>-4.4524269999999998E-2</v>
      </c>
      <c r="W1991">
        <v>0.16830290000000001</v>
      </c>
      <c r="X1991">
        <v>0.98472930000000003</v>
      </c>
      <c r="Y1991">
        <v>2.4379689999999999E-2</v>
      </c>
      <c r="Z1991" s="1">
        <v>8.0641719999999999E-5</v>
      </c>
      <c r="AA1991">
        <v>0.9997028</v>
      </c>
      <c r="AB1991">
        <v>28</v>
      </c>
      <c r="AC1991">
        <v>-36.4756</v>
      </c>
      <c r="AD1991">
        <v>-1.1096890591189901</v>
      </c>
      <c r="AE1991">
        <v>1.6043999999999901</v>
      </c>
      <c r="AF1991">
        <v>0.89535465247105706</v>
      </c>
      <c r="AG1991">
        <v>-1.1096890591189901</v>
      </c>
      <c r="AH1991">
        <v>36.466181915943402</v>
      </c>
      <c r="AI1991">
        <v>91.742484218242097</v>
      </c>
      <c r="AJ1991">
        <v>88.5934985503051</v>
      </c>
      <c r="AK1991">
        <v>36.494047367869598</v>
      </c>
      <c r="AL1991">
        <v>80.310839631010893</v>
      </c>
      <c r="AM1991">
        <v>92.588850004466295</v>
      </c>
      <c r="AN1991">
        <v>1.0000000355229599</v>
      </c>
    </row>
    <row r="1992" spans="1:40" x14ac:dyDescent="0.25">
      <c r="A1992" t="str">
        <f>"20190304155634385"</f>
        <v>20190304155634385</v>
      </c>
      <c r="B1992" t="str">
        <f>"1551686194376928"</f>
        <v>1551686194376928</v>
      </c>
      <c r="C1992" t="s">
        <v>40</v>
      </c>
      <c r="D1992">
        <v>4.7043889999999999</v>
      </c>
      <c r="E1992">
        <v>0.52711169999999996</v>
      </c>
      <c r="F1992" t="s">
        <v>64</v>
      </c>
      <c r="G1992">
        <v>-306.30200000000002</v>
      </c>
      <c r="H1992" s="1">
        <v>2.7984850000000002E-6</v>
      </c>
      <c r="I1992">
        <v>285.16820000000001</v>
      </c>
      <c r="J1992">
        <v>-269.221</v>
      </c>
      <c r="K1992">
        <v>1.109693</v>
      </c>
      <c r="L1992">
        <v>283.49799999999999</v>
      </c>
      <c r="M1992">
        <v>-0.9997663</v>
      </c>
      <c r="N1992">
        <v>-9.4506759999999999E-3</v>
      </c>
      <c r="O1992">
        <v>1.9440969999999998E-2</v>
      </c>
      <c r="P1992">
        <v>-0.98691379999999995</v>
      </c>
      <c r="Q1992">
        <v>0.15933459999999999</v>
      </c>
      <c r="R1992">
        <v>-2.4775129999999999E-2</v>
      </c>
      <c r="S1992">
        <v>-3.0578609999999999</v>
      </c>
      <c r="T1992">
        <v>-9.1108439999999999E-2</v>
      </c>
      <c r="U1992">
        <v>0.13739009999999999</v>
      </c>
      <c r="V1992">
        <v>-4.3934170000000002E-2</v>
      </c>
      <c r="W1992">
        <v>0.16865450000000001</v>
      </c>
      <c r="X1992">
        <v>0.9846956</v>
      </c>
      <c r="Y1992">
        <v>2.5443299999999999E-2</v>
      </c>
      <c r="Z1992">
        <v>1.04004E-4</v>
      </c>
      <c r="AA1992">
        <v>0.99967629999999996</v>
      </c>
      <c r="AB1992">
        <v>28</v>
      </c>
      <c r="AC1992">
        <v>-37.081000000000003</v>
      </c>
      <c r="AD1992">
        <v>-1.1096902015150001</v>
      </c>
      <c r="AE1992">
        <v>1.6702000000000199</v>
      </c>
      <c r="AF1992">
        <v>0.948114096884763</v>
      </c>
      <c r="AG1992">
        <v>-1.1096902015150001</v>
      </c>
      <c r="AH1992">
        <v>37.073328442965597</v>
      </c>
      <c r="AI1992">
        <v>91.7139228326797</v>
      </c>
      <c r="AJ1992">
        <v>88.535035827079298</v>
      </c>
      <c r="AK1992">
        <v>37.102048656698898</v>
      </c>
      <c r="AL1992">
        <v>80.290401825467697</v>
      </c>
      <c r="AM1992">
        <v>92.554671890975399</v>
      </c>
      <c r="AN1992">
        <v>0.99999998816159896</v>
      </c>
    </row>
    <row r="1993" spans="1:40" x14ac:dyDescent="0.25">
      <c r="A1993" t="str">
        <f>"20190304155634408"</f>
        <v>20190304155634408</v>
      </c>
      <c r="B1993" t="str">
        <f>"1551686194396448"</f>
        <v>1551686194396448</v>
      </c>
      <c r="C1993" t="s">
        <v>40</v>
      </c>
      <c r="D1993">
        <v>4.5628229999999999</v>
      </c>
      <c r="E1993">
        <v>0.52694169999999996</v>
      </c>
      <c r="F1993" t="s">
        <v>64</v>
      </c>
      <c r="G1993">
        <v>-307.00049999999999</v>
      </c>
      <c r="H1993" s="1">
        <v>2.6729459999999999E-6</v>
      </c>
      <c r="I1993">
        <v>285.18689999999998</v>
      </c>
      <c r="J1993">
        <v>-269.49340000000001</v>
      </c>
      <c r="K1993">
        <v>1.1096950000000001</v>
      </c>
      <c r="L1993">
        <v>283.5034</v>
      </c>
      <c r="M1993">
        <v>-0.99976529999999997</v>
      </c>
      <c r="N1993">
        <v>-9.454568E-3</v>
      </c>
      <c r="O1993">
        <v>1.9497219999999999E-2</v>
      </c>
      <c r="P1993">
        <v>-0.98694669999999896</v>
      </c>
      <c r="Q1993">
        <v>0.1593572</v>
      </c>
      <c r="R1993">
        <v>-2.3278449999999999E-2</v>
      </c>
      <c r="S1993">
        <v>-3.0577390000000002</v>
      </c>
      <c r="T1993">
        <v>-8.9814420000000006E-2</v>
      </c>
      <c r="U1993">
        <v>0.13668820000000001</v>
      </c>
      <c r="V1993">
        <v>-4.2493379999999997E-2</v>
      </c>
      <c r="W1993">
        <v>0.16868129999999901</v>
      </c>
      <c r="X1993">
        <v>0.98475429999999997</v>
      </c>
      <c r="Y1993">
        <v>2.5160189999999999E-2</v>
      </c>
      <c r="Z1993">
        <v>1.003463E-4</v>
      </c>
      <c r="AA1993">
        <v>0.9996834</v>
      </c>
      <c r="AB1993">
        <v>28</v>
      </c>
      <c r="AC1993">
        <v>-37.507099999999902</v>
      </c>
      <c r="AD1993">
        <v>-1.109692327054</v>
      </c>
      <c r="AE1993">
        <v>1.68349999999998</v>
      </c>
      <c r="AF1993">
        <v>0.95103235231782401</v>
      </c>
      <c r="AG1993">
        <v>-1.109692327054</v>
      </c>
      <c r="AH1993">
        <v>37.500035326425198</v>
      </c>
      <c r="AI1993">
        <v>91.694444246109896</v>
      </c>
      <c r="AJ1993">
        <v>88.547242374039897</v>
      </c>
      <c r="AK1993">
        <v>37.528502888857901</v>
      </c>
      <c r="AL1993">
        <v>80.288844583977607</v>
      </c>
      <c r="AM1993">
        <v>92.470851724960795</v>
      </c>
      <c r="AN1993">
        <v>1.000000049841</v>
      </c>
    </row>
    <row r="1994" spans="1:40" x14ac:dyDescent="0.25">
      <c r="A1994" t="str">
        <f>"20190304155634419"</f>
        <v>20190304155634419</v>
      </c>
      <c r="B1994" t="str">
        <f>"1551686194416944"</f>
        <v>1551686194416944</v>
      </c>
      <c r="C1994" t="s">
        <v>40</v>
      </c>
      <c r="D1994">
        <v>4.5646100000000001</v>
      </c>
      <c r="E1994">
        <v>0.52674119999999902</v>
      </c>
      <c r="F1994" t="s">
        <v>64</v>
      </c>
      <c r="G1994">
        <v>-307.27870000000001</v>
      </c>
      <c r="H1994" s="1">
        <v>2.6205990000000001E-6</v>
      </c>
      <c r="I1994">
        <v>285.22129999999999</v>
      </c>
      <c r="J1994">
        <v>-269.64760000000001</v>
      </c>
      <c r="K1994">
        <v>1.1096950000000001</v>
      </c>
      <c r="L1994">
        <v>283.50639999999999</v>
      </c>
      <c r="M1994">
        <v>-0.99976469999999995</v>
      </c>
      <c r="N1994">
        <v>-9.4568710000000004E-3</v>
      </c>
      <c r="O1994">
        <v>1.9529100000000001E-2</v>
      </c>
      <c r="P1994">
        <v>-0.98695049999999995</v>
      </c>
      <c r="Q1994">
        <v>0.15939400000000001</v>
      </c>
      <c r="R1994">
        <v>-2.2858139999999999E-2</v>
      </c>
      <c r="S1994">
        <v>-3.057404</v>
      </c>
      <c r="T1994">
        <v>-8.9791179999999998E-2</v>
      </c>
      <c r="U1994">
        <v>0.13900760000000001</v>
      </c>
      <c r="V1994">
        <v>-4.2104759999999998E-2</v>
      </c>
      <c r="W1994">
        <v>0.168720799999999</v>
      </c>
      <c r="X1994">
        <v>0.98476419999999998</v>
      </c>
      <c r="Y1994">
        <v>2.5889619999999999E-2</v>
      </c>
      <c r="Z1994">
        <v>1.139755E-4</v>
      </c>
      <c r="AA1994">
        <v>0.99966480000000002</v>
      </c>
      <c r="AB1994">
        <v>28</v>
      </c>
      <c r="AC1994">
        <v>-37.631100000000004</v>
      </c>
      <c r="AD1994">
        <v>-1.1096923794010001</v>
      </c>
      <c r="AE1994">
        <v>1.7149000000000001</v>
      </c>
      <c r="AF1994">
        <v>0.97878926650514098</v>
      </c>
      <c r="AG1994">
        <v>-1.1096923794010001</v>
      </c>
      <c r="AH1994">
        <v>37.624764564525002</v>
      </c>
      <c r="AI1994">
        <v>91.688802038216494</v>
      </c>
      <c r="AJ1994">
        <v>88.5098153068123</v>
      </c>
      <c r="AK1994">
        <v>37.653849127825701</v>
      </c>
      <c r="AL1994">
        <v>80.286548241848905</v>
      </c>
      <c r="AM1994">
        <v>92.448257777139801</v>
      </c>
      <c r="AN1994">
        <v>1.00000002438446</v>
      </c>
    </row>
    <row r="1995" spans="1:40" x14ac:dyDescent="0.25">
      <c r="A1995" t="str">
        <f>"20190304155634440"</f>
        <v>20190304155634440</v>
      </c>
      <c r="B1995" t="str">
        <f>"1551686194436464"</f>
        <v>1551686194436464</v>
      </c>
      <c r="C1995" t="s">
        <v>40</v>
      </c>
      <c r="D1995">
        <v>4.6631049999999998</v>
      </c>
      <c r="E1995">
        <v>0.52638999999999903</v>
      </c>
      <c r="F1995" t="s">
        <v>64</v>
      </c>
      <c r="G1995">
        <v>-307.08170000000001</v>
      </c>
      <c r="H1995" s="1">
        <v>2.6574819999999999E-6</v>
      </c>
      <c r="I1995">
        <v>285.19900000000001</v>
      </c>
      <c r="J1995">
        <v>-269.89429999999999</v>
      </c>
      <c r="K1995">
        <v>1.1096969999999999</v>
      </c>
      <c r="L1995">
        <v>283.51130000000001</v>
      </c>
      <c r="M1995">
        <v>-0.99976370000000003</v>
      </c>
      <c r="N1995">
        <v>-9.4605760000000001E-3</v>
      </c>
      <c r="O1995">
        <v>1.957981E-2</v>
      </c>
      <c r="P1995">
        <v>-0.986981</v>
      </c>
      <c r="Q1995">
        <v>0.1592935</v>
      </c>
      <c r="R1995">
        <v>-2.2229929999999998E-2</v>
      </c>
      <c r="S1995">
        <v>-3.0574949999999999</v>
      </c>
      <c r="T1995">
        <v>-9.0636010000000003E-2</v>
      </c>
      <c r="U1995">
        <v>0.1382446</v>
      </c>
      <c r="V1995">
        <v>-4.1527410000000001E-2</v>
      </c>
      <c r="W1995">
        <v>0.16862389999999999</v>
      </c>
      <c r="X1995">
        <v>0.98480529999999999</v>
      </c>
      <c r="Y1995">
        <v>2.5588670000000001E-2</v>
      </c>
      <c r="Z1995">
        <v>1.053797E-4</v>
      </c>
      <c r="AA1995">
        <v>0.99967249999999996</v>
      </c>
      <c r="AB1995">
        <v>28</v>
      </c>
      <c r="AC1995">
        <v>-37.187399999999997</v>
      </c>
      <c r="AD1995">
        <v>-1.1096943425179999</v>
      </c>
      <c r="AE1995">
        <v>1.6877</v>
      </c>
      <c r="AF1995">
        <v>0.95837010293005798</v>
      </c>
      <c r="AG1995">
        <v>-1.1096943425179999</v>
      </c>
      <c r="AH1995">
        <v>37.180277200169002</v>
      </c>
      <c r="AI1995">
        <v>91.708993184650396</v>
      </c>
      <c r="AJ1995">
        <v>88.523453564522498</v>
      </c>
      <c r="AK1995">
        <v>37.209177731702397</v>
      </c>
      <c r="AL1995">
        <v>80.292180786855496</v>
      </c>
      <c r="AM1995">
        <v>92.414626069154906</v>
      </c>
      <c r="AN1995">
        <v>1.0000000121703001</v>
      </c>
    </row>
    <row r="1996" spans="1:40" x14ac:dyDescent="0.25">
      <c r="A1996" t="str">
        <f>"20190304155634460"</f>
        <v>20190304155634460</v>
      </c>
      <c r="B1996" t="str">
        <f>"1551686194456960"</f>
        <v>1551686194456960</v>
      </c>
      <c r="C1996" t="s">
        <v>40</v>
      </c>
      <c r="D1996">
        <v>4.5894570000000003</v>
      </c>
      <c r="E1996">
        <v>0.52604189999999995</v>
      </c>
      <c r="F1996" t="s">
        <v>64</v>
      </c>
      <c r="G1996">
        <v>-306.90859999999998</v>
      </c>
      <c r="H1996" s="1">
        <v>2.6901700000000001E-6</v>
      </c>
      <c r="I1996">
        <v>285.1764</v>
      </c>
      <c r="J1996">
        <v>-270.1567</v>
      </c>
      <c r="K1996">
        <v>1.1096950000000001</v>
      </c>
      <c r="L1996">
        <v>283.51650000000001</v>
      </c>
      <c r="M1996">
        <v>-0.9997625</v>
      </c>
      <c r="N1996">
        <v>-9.4645179999999999E-3</v>
      </c>
      <c r="O1996">
        <v>1.9634209999999999E-2</v>
      </c>
      <c r="P1996">
        <v>-0.98697480000000004</v>
      </c>
      <c r="Q1996">
        <v>0.15946099999999999</v>
      </c>
      <c r="R1996">
        <v>-2.1284299999999999E-2</v>
      </c>
      <c r="S1996">
        <v>-3.0574949999999999</v>
      </c>
      <c r="T1996">
        <v>-9.1664079999999995E-2</v>
      </c>
      <c r="U1996">
        <v>0.13754269999999999</v>
      </c>
      <c r="V1996">
        <v>-4.0634900000000002E-2</v>
      </c>
      <c r="W1996">
        <v>0.168795</v>
      </c>
      <c r="X1996">
        <v>0.98481320000000006</v>
      </c>
      <c r="Y1996">
        <v>2.5305250000000001E-2</v>
      </c>
      <c r="Z1996" s="1">
        <v>9.6526400000000005E-5</v>
      </c>
      <c r="AA1996">
        <v>0.99967969999999895</v>
      </c>
      <c r="AB1996">
        <v>28</v>
      </c>
      <c r="AC1996">
        <v>-36.7518999999999</v>
      </c>
      <c r="AD1996">
        <v>-1.10969230983</v>
      </c>
      <c r="AE1996">
        <v>1.6598999999999899</v>
      </c>
      <c r="AF1996">
        <v>0.937100595280844</v>
      </c>
      <c r="AG1996">
        <v>-1.10969230983</v>
      </c>
      <c r="AH1996">
        <v>36.743976201811897</v>
      </c>
      <c r="AI1996">
        <v>91.7292825754635</v>
      </c>
      <c r="AJ1996">
        <v>88.539072842749405</v>
      </c>
      <c r="AK1996">
        <v>36.772671396942201</v>
      </c>
      <c r="AL1996">
        <v>80.282234725196503</v>
      </c>
      <c r="AM1996">
        <v>92.362771284946703</v>
      </c>
      <c r="AN1996">
        <v>0.99999999300862497</v>
      </c>
    </row>
    <row r="1997" spans="1:40" x14ac:dyDescent="0.25">
      <c r="A1997" t="str">
        <f>"20190304155634473"</f>
        <v>20190304155634473</v>
      </c>
      <c r="B1997" t="str">
        <f>"1551686194466720"</f>
        <v>1551686194466720</v>
      </c>
      <c r="C1997" t="s">
        <v>40</v>
      </c>
      <c r="D1997">
        <v>4.5706790000000002</v>
      </c>
      <c r="E1997">
        <v>0.52600519999999995</v>
      </c>
      <c r="F1997" t="s">
        <v>64</v>
      </c>
      <c r="G1997">
        <v>-306.99770000000001</v>
      </c>
      <c r="H1997" s="1">
        <v>2.674914E-6</v>
      </c>
      <c r="I1997">
        <v>285.17020000000002</v>
      </c>
      <c r="J1997">
        <v>-270.3091</v>
      </c>
      <c r="K1997">
        <v>1.109694</v>
      </c>
      <c r="L1997">
        <v>283.51960000000003</v>
      </c>
      <c r="M1997">
        <v>-0.99976180000000003</v>
      </c>
      <c r="N1997">
        <v>-9.4668119999999998E-3</v>
      </c>
      <c r="O1997">
        <v>1.9665729999999999E-2</v>
      </c>
      <c r="P1997">
        <v>-0.98701179999999999</v>
      </c>
      <c r="Q1997">
        <v>0.15925110000000001</v>
      </c>
      <c r="R1997">
        <v>-2.1131270000000001E-2</v>
      </c>
      <c r="S1997">
        <v>-3.057404</v>
      </c>
      <c r="T1997">
        <v>-9.2092510000000002E-2</v>
      </c>
      <c r="U1997">
        <v>0.13723750000000001</v>
      </c>
      <c r="V1997">
        <v>-4.0514260000000003E-2</v>
      </c>
      <c r="W1997">
        <v>0.16858770000000001</v>
      </c>
      <c r="X1997">
        <v>0.98485370000000005</v>
      </c>
      <c r="Y1997">
        <v>2.5175510000000002E-2</v>
      </c>
      <c r="Z1997" s="1">
        <v>9.2399760000000007E-5</v>
      </c>
      <c r="AA1997">
        <v>0.99968299999999999</v>
      </c>
      <c r="AB1997">
        <v>28</v>
      </c>
      <c r="AC1997">
        <v>-36.688600000000001</v>
      </c>
      <c r="AD1997">
        <v>-1.1096913250860001</v>
      </c>
      <c r="AE1997">
        <v>1.6505999999999901</v>
      </c>
      <c r="AF1997">
        <v>0.92789318181068803</v>
      </c>
      <c r="AG1997">
        <v>-1.1096913250860001</v>
      </c>
      <c r="AH1997">
        <v>36.680477144939097</v>
      </c>
      <c r="AI1997">
        <v>91.73228193848</v>
      </c>
      <c r="AJ1997">
        <v>88.5509177817638</v>
      </c>
      <c r="AK1997">
        <v>36.708988057071601</v>
      </c>
      <c r="AL1997">
        <v>80.294285038355596</v>
      </c>
      <c r="AM1997">
        <v>92.355667656938607</v>
      </c>
      <c r="AN1997">
        <v>1.0000000141291601</v>
      </c>
    </row>
    <row r="1998" spans="1:40" x14ac:dyDescent="0.25">
      <c r="A1998" t="str">
        <f>"20190304155634487"</f>
        <v>20190304155634487</v>
      </c>
      <c r="B1998" t="str">
        <f>"1551686194476480"</f>
        <v>1551686194476480</v>
      </c>
      <c r="C1998" t="s">
        <v>40</v>
      </c>
      <c r="D1998">
        <v>4.5598049999999999</v>
      </c>
      <c r="E1998">
        <v>0.52600519999999995</v>
      </c>
      <c r="F1998" t="s">
        <v>64</v>
      </c>
      <c r="G1998">
        <v>-306.38819999999998</v>
      </c>
      <c r="H1998" s="1">
        <v>2.785789E-6</v>
      </c>
      <c r="I1998">
        <v>285.1386</v>
      </c>
      <c r="J1998">
        <v>-270.47629999999998</v>
      </c>
      <c r="K1998">
        <v>1.109693</v>
      </c>
      <c r="L1998">
        <v>283.52289999999999</v>
      </c>
      <c r="M1998">
        <v>-0.99976120000000002</v>
      </c>
      <c r="N1998">
        <v>-9.4693450000000005E-3</v>
      </c>
      <c r="O1998">
        <v>1.9700459999999999E-2</v>
      </c>
      <c r="P1998">
        <v>-0.98703379999999996</v>
      </c>
      <c r="Q1998">
        <v>0.15916159999999999</v>
      </c>
      <c r="R1998">
        <v>-2.0787199999999999E-2</v>
      </c>
      <c r="S1998">
        <v>-3.0575559999999999</v>
      </c>
      <c r="T1998">
        <v>-9.4041819999999998E-2</v>
      </c>
      <c r="U1998">
        <v>0.137207</v>
      </c>
      <c r="V1998">
        <v>-4.0204440000000001E-2</v>
      </c>
      <c r="W1998">
        <v>0.16850129999999999</v>
      </c>
      <c r="X1998">
        <v>0.98488120000000001</v>
      </c>
      <c r="Y1998">
        <v>2.5128319999999999E-2</v>
      </c>
      <c r="Z1998" s="1">
        <v>8.6299449999999999E-5</v>
      </c>
      <c r="AA1998">
        <v>0.99968420000000002</v>
      </c>
      <c r="AB1998">
        <v>28</v>
      </c>
      <c r="AC1998">
        <v>-35.911900000000003</v>
      </c>
      <c r="AD1998">
        <v>-1.1096902142109999</v>
      </c>
      <c r="AE1998">
        <v>1.6156999999999999</v>
      </c>
      <c r="AF1998">
        <v>0.90700952823268899</v>
      </c>
      <c r="AG1998">
        <v>-1.1096902142109999</v>
      </c>
      <c r="AH1998">
        <v>35.902549670655198</v>
      </c>
      <c r="AI1998">
        <v>91.769792701965699</v>
      </c>
      <c r="AJ1998">
        <v>88.552839089376306</v>
      </c>
      <c r="AK1998">
        <v>35.931144589474002</v>
      </c>
      <c r="AL1998">
        <v>80.299307412208293</v>
      </c>
      <c r="AM1998">
        <v>92.337608294287193</v>
      </c>
      <c r="AN1998">
        <v>1.0000000316054201</v>
      </c>
    </row>
    <row r="1999" spans="1:40" x14ac:dyDescent="0.25">
      <c r="A1999" t="str">
        <f>"20190304155634507"</f>
        <v>20190304155634507</v>
      </c>
      <c r="B1999" t="str">
        <f>"1551686194496977"</f>
        <v>1551686194496977</v>
      </c>
      <c r="C1999" t="s">
        <v>40</v>
      </c>
      <c r="D1999">
        <v>4.5840350000000001</v>
      </c>
      <c r="E1999">
        <v>0.56275549999999996</v>
      </c>
      <c r="F1999" t="s">
        <v>64</v>
      </c>
      <c r="G1999">
        <v>-306.42309999999998</v>
      </c>
      <c r="H1999" s="1">
        <v>2.778938E-6</v>
      </c>
      <c r="I1999">
        <v>285.14609999999999</v>
      </c>
      <c r="J1999">
        <v>-270.72789999999998</v>
      </c>
      <c r="K1999">
        <v>1.109688</v>
      </c>
      <c r="L1999">
        <v>283.52789999999999</v>
      </c>
      <c r="M1999">
        <v>-0.99976019999999999</v>
      </c>
      <c r="N1999">
        <v>-9.4731950000000002E-3</v>
      </c>
      <c r="O1999">
        <v>1.975201E-2</v>
      </c>
      <c r="P1999">
        <v>-0.9870852</v>
      </c>
      <c r="Q1999">
        <v>0.15890979999999999</v>
      </c>
      <c r="R1999">
        <v>-2.0269329999999999E-2</v>
      </c>
      <c r="S1999">
        <v>-3.0575260000000002</v>
      </c>
      <c r="T1999">
        <v>-9.4386940000000003E-2</v>
      </c>
      <c r="U1999">
        <v>0.1380615</v>
      </c>
      <c r="V1999">
        <v>-3.9738389999999998E-2</v>
      </c>
      <c r="W1999">
        <v>0.16825399999999999</v>
      </c>
      <c r="X1999">
        <v>0.9849424</v>
      </c>
      <c r="Y1999">
        <v>2.5355860000000001E-2</v>
      </c>
      <c r="Z1999" s="1">
        <v>8.9105700000000003E-5</v>
      </c>
      <c r="AA1999">
        <v>0.99967850000000003</v>
      </c>
      <c r="AB1999">
        <v>28</v>
      </c>
      <c r="AC1999">
        <v>-35.6952</v>
      </c>
      <c r="AD1999">
        <v>-1.1096852210619901</v>
      </c>
      <c r="AE1999">
        <v>1.6182000000000001</v>
      </c>
      <c r="AF1999">
        <v>0.91192129172108605</v>
      </c>
      <c r="AG1999">
        <v>-1.1096852210619901</v>
      </c>
      <c r="AH1999">
        <v>35.685781897379997</v>
      </c>
      <c r="AI1999">
        <v>91.780514976523193</v>
      </c>
      <c r="AJ1999">
        <v>88.536171277982902</v>
      </c>
      <c r="AK1999">
        <v>35.714675294051197</v>
      </c>
      <c r="AL1999">
        <v>80.3136819682978</v>
      </c>
      <c r="AM1999">
        <v>92.310396860302504</v>
      </c>
      <c r="AN1999">
        <v>1.0000000397367701</v>
      </c>
    </row>
    <row r="2000" spans="1:40" x14ac:dyDescent="0.25">
      <c r="A2000" t="str">
        <f>"20190304155634529"</f>
        <v>20190304155634529</v>
      </c>
      <c r="B2000" t="str">
        <f>"1551686194526256"</f>
        <v>1551686194526256</v>
      </c>
      <c r="C2000" t="s">
        <v>40</v>
      </c>
      <c r="D2000">
        <v>4.5293789999999996</v>
      </c>
      <c r="E2000">
        <v>0.56593959999999999</v>
      </c>
      <c r="F2000" t="s">
        <v>64</v>
      </c>
      <c r="G2000">
        <v>-307.49590000000001</v>
      </c>
      <c r="H2000" s="1">
        <v>2.2768820000000001E-6</v>
      </c>
      <c r="I2000">
        <v>288.71210000000002</v>
      </c>
      <c r="J2000">
        <v>-271.0018</v>
      </c>
      <c r="K2000">
        <v>1.109685</v>
      </c>
      <c r="L2000">
        <v>283.53339999999997</v>
      </c>
      <c r="M2000">
        <v>-0.99975899999999995</v>
      </c>
      <c r="N2000">
        <v>-9.4773789999999993E-3</v>
      </c>
      <c r="O2000">
        <v>1.9808429999999998E-2</v>
      </c>
      <c r="P2000">
        <v>-0.98712900000000003</v>
      </c>
      <c r="Q2000">
        <v>0.15869520000000001</v>
      </c>
      <c r="R2000">
        <v>-1.9814060000000001E-2</v>
      </c>
      <c r="S2000">
        <v>-3.0630489999999999</v>
      </c>
      <c r="T2000">
        <v>-9.2445020000000003E-2</v>
      </c>
      <c r="U2000">
        <v>0.43188480000000001</v>
      </c>
      <c r="V2000">
        <v>-3.9340149999999997E-2</v>
      </c>
      <c r="W2000">
        <v>0.1680439</v>
      </c>
      <c r="X2000">
        <v>0.98499420000000004</v>
      </c>
      <c r="Y2000">
        <v>0.11990820000000001</v>
      </c>
      <c r="Z2000">
        <v>1.9636699999999998E-3</v>
      </c>
      <c r="AA2000">
        <v>0.99278310000000003</v>
      </c>
      <c r="AB2000">
        <v>28</v>
      </c>
      <c r="AC2000">
        <v>-36.494100000000003</v>
      </c>
      <c r="AD2000">
        <v>-1.109682723118</v>
      </c>
      <c r="AE2000">
        <v>5.17870000000004</v>
      </c>
      <c r="AF2000">
        <v>4.4507267182018904</v>
      </c>
      <c r="AG2000">
        <v>-1.109682723118</v>
      </c>
      <c r="AH2000">
        <v>36.556392776865501</v>
      </c>
      <c r="AI2000">
        <v>91.725963410653804</v>
      </c>
      <c r="AJ2000">
        <v>83.058424667093703</v>
      </c>
      <c r="AK2000">
        <v>36.8430484205985</v>
      </c>
      <c r="AL2000">
        <v>80.325893170199095</v>
      </c>
      <c r="AM2000">
        <v>92.287147675674902</v>
      </c>
      <c r="AN2000">
        <v>0.99999998688143599</v>
      </c>
    </row>
    <row r="2001" spans="1:40" x14ac:dyDescent="0.25">
      <c r="A2001" t="str">
        <f>"20190304155634542"</f>
        <v>20190304155634542</v>
      </c>
      <c r="B2001" t="str">
        <f>"1551686194536992"</f>
        <v>1551686194536992</v>
      </c>
      <c r="C2001" t="s">
        <v>40</v>
      </c>
      <c r="D2001">
        <v>4.5615940000000004</v>
      </c>
      <c r="E2001">
        <v>0.56624869999999905</v>
      </c>
      <c r="F2001" t="s">
        <v>64</v>
      </c>
      <c r="G2001">
        <v>-308.63409999999999</v>
      </c>
      <c r="H2001" s="1">
        <v>2.0352079999999998E-6</v>
      </c>
      <c r="I2001">
        <v>289.16719999999998</v>
      </c>
      <c r="J2001">
        <v>-271.16879999999998</v>
      </c>
      <c r="K2001">
        <v>1.10968</v>
      </c>
      <c r="L2001">
        <v>283.5367</v>
      </c>
      <c r="M2001">
        <v>-0.99975820000000004</v>
      </c>
      <c r="N2001">
        <v>-9.4799340000000006E-3</v>
      </c>
      <c r="O2001">
        <v>1.9842809999999999E-2</v>
      </c>
      <c r="P2001">
        <v>-0.98715129999999995</v>
      </c>
      <c r="Q2001">
        <v>0.15855929999999999</v>
      </c>
      <c r="R2001">
        <v>-1.979121E-2</v>
      </c>
      <c r="S2001">
        <v>-3.062805</v>
      </c>
      <c r="T2001">
        <v>-9.0314510000000001E-2</v>
      </c>
      <c r="U2001">
        <v>0.45852660000000001</v>
      </c>
      <c r="V2001">
        <v>-3.935139E-2</v>
      </c>
      <c r="W2001">
        <v>0.16791039999999999</v>
      </c>
      <c r="X2001">
        <v>0.98501649999999996</v>
      </c>
      <c r="Y2001">
        <v>0.12833539999999999</v>
      </c>
      <c r="Z2001">
        <v>2.0987390000000001E-3</v>
      </c>
      <c r="AA2001">
        <v>0.99172859999999996</v>
      </c>
      <c r="AB2001">
        <v>28</v>
      </c>
      <c r="AC2001">
        <v>-37.465299999999999</v>
      </c>
      <c r="AD2001">
        <v>-1.1096779647920001</v>
      </c>
      <c r="AE2001">
        <v>5.6304999999999801</v>
      </c>
      <c r="AF2001">
        <v>4.8817530631170003</v>
      </c>
      <c r="AG2001">
        <v>-1.1096779647920001</v>
      </c>
      <c r="AH2001">
        <v>37.537449521613098</v>
      </c>
      <c r="AI2001">
        <v>91.6791463950577</v>
      </c>
      <c r="AJ2001">
        <v>82.590259074035899</v>
      </c>
      <c r="AK2001">
        <v>37.869816671624498</v>
      </c>
      <c r="AL2001">
        <v>80.333652242032301</v>
      </c>
      <c r="AM2001">
        <v>92.287748710712904</v>
      </c>
      <c r="AN2001">
        <v>0.99999996979767003</v>
      </c>
    </row>
    <row r="2002" spans="1:40" x14ac:dyDescent="0.25">
      <c r="A2002" t="str">
        <f>"20190304155634555"</f>
        <v>20190304155634555</v>
      </c>
      <c r="B2002" t="str">
        <f>"1551686194546752"</f>
        <v>1551686194546752</v>
      </c>
      <c r="C2002" t="s">
        <v>40</v>
      </c>
      <c r="D2002">
        <v>4.5312900000000003</v>
      </c>
      <c r="E2002">
        <v>0.56676019999999905</v>
      </c>
      <c r="F2002" t="s">
        <v>64</v>
      </c>
      <c r="G2002">
        <v>-308.33210000000003</v>
      </c>
      <c r="H2002" s="1">
        <v>2.092359E-6</v>
      </c>
      <c r="I2002">
        <v>289.12630000000001</v>
      </c>
      <c r="J2002">
        <v>-271.32990000000001</v>
      </c>
      <c r="K2002">
        <v>1.10968</v>
      </c>
      <c r="L2002">
        <v>283.53989999999999</v>
      </c>
      <c r="M2002">
        <v>-0.99975760000000002</v>
      </c>
      <c r="N2002">
        <v>-9.4823570000000003E-3</v>
      </c>
      <c r="O2002">
        <v>1.9875830000000001E-2</v>
      </c>
      <c r="P2002">
        <v>-0.98721650000000005</v>
      </c>
      <c r="Q2002">
        <v>0.15816859999999999</v>
      </c>
      <c r="R2002">
        <v>-1.9664770000000002E-2</v>
      </c>
      <c r="S2002">
        <v>-3.0629879999999998</v>
      </c>
      <c r="T2002">
        <v>-9.1459509999999994E-2</v>
      </c>
      <c r="U2002">
        <v>0.46069339999999998</v>
      </c>
      <c r="V2002">
        <v>-3.9258660000000001E-2</v>
      </c>
      <c r="W2002">
        <v>0.16752310000000001</v>
      </c>
      <c r="X2002">
        <v>0.98508620000000002</v>
      </c>
      <c r="Y2002">
        <v>0.12897819999999999</v>
      </c>
      <c r="Z2002">
        <v>2.1272320000000002E-3</v>
      </c>
      <c r="AA2002">
        <v>0.9916452</v>
      </c>
      <c r="AB2002">
        <v>28</v>
      </c>
      <c r="AC2002">
        <v>-37.002200000000002</v>
      </c>
      <c r="AD2002">
        <v>-1.1096779076409999</v>
      </c>
      <c r="AE2002">
        <v>5.5864000000000198</v>
      </c>
      <c r="AF2002">
        <v>4.8455530907338398</v>
      </c>
      <c r="AG2002">
        <v>-1.1096779076409999</v>
      </c>
      <c r="AH2002">
        <v>37.073329490308801</v>
      </c>
      <c r="AI2002">
        <v>91.700013294234097</v>
      </c>
      <c r="AJ2002">
        <v>82.553546171098304</v>
      </c>
      <c r="AK2002">
        <v>37.405113678624602</v>
      </c>
      <c r="AL2002">
        <v>80.356162291565894</v>
      </c>
      <c r="AM2002">
        <v>92.282202110521794</v>
      </c>
      <c r="AN2002">
        <v>1.0000000264245199</v>
      </c>
    </row>
    <row r="2003" spans="1:40" x14ac:dyDescent="0.25">
      <c r="A2003" t="str">
        <f>"20190304155634573"</f>
        <v>20190304155634573</v>
      </c>
      <c r="B2003" t="str">
        <f>"1551686194566272"</f>
        <v>1551686194566272</v>
      </c>
      <c r="C2003" t="s">
        <v>40</v>
      </c>
      <c r="D2003">
        <v>4.6033099999999996</v>
      </c>
      <c r="E2003">
        <v>0.56684129999999999</v>
      </c>
      <c r="F2003" t="s">
        <v>64</v>
      </c>
      <c r="G2003">
        <v>-305.23599999999999</v>
      </c>
      <c r="H2003" s="1">
        <v>2.6800810000000001E-6</v>
      </c>
      <c r="I2003">
        <v>288.68560000000002</v>
      </c>
      <c r="J2003">
        <v>-271.55439999999999</v>
      </c>
      <c r="K2003">
        <v>1.1096760000000001</v>
      </c>
      <c r="L2003">
        <v>283.5444</v>
      </c>
      <c r="M2003">
        <v>-0.9997566</v>
      </c>
      <c r="N2003">
        <v>-9.4856650000000008E-3</v>
      </c>
      <c r="O2003">
        <v>1.9921709999999999E-2</v>
      </c>
      <c r="P2003">
        <v>-0.9872031</v>
      </c>
      <c r="Q2003">
        <v>0.1582692</v>
      </c>
      <c r="R2003">
        <v>-1.9525850000000001E-2</v>
      </c>
      <c r="S2003">
        <v>-3.0641780000000001</v>
      </c>
      <c r="T2003">
        <v>-0.10028430000000001</v>
      </c>
      <c r="U2003">
        <v>0.46502690000000002</v>
      </c>
      <c r="V2003">
        <v>-3.9164480000000002E-2</v>
      </c>
      <c r="W2003">
        <v>0.16762639999999901</v>
      </c>
      <c r="X2003">
        <v>0.98507230000000001</v>
      </c>
      <c r="Y2003">
        <v>0.1302344</v>
      </c>
      <c r="Z2003">
        <v>2.27999E-3</v>
      </c>
      <c r="AA2003">
        <v>0.99148060000000005</v>
      </c>
      <c r="AB2003">
        <v>28</v>
      </c>
      <c r="AC2003">
        <v>-33.681600000000003</v>
      </c>
      <c r="AD2003">
        <v>-1.1096733199189901</v>
      </c>
      <c r="AE2003">
        <v>5.14120000000002</v>
      </c>
      <c r="AF2003">
        <v>4.4644188681568702</v>
      </c>
      <c r="AG2003">
        <v>-1.1096733199189901</v>
      </c>
      <c r="AH2003">
        <v>33.741550695334901</v>
      </c>
      <c r="AI2003">
        <v>91.867369787660607</v>
      </c>
      <c r="AJ2003">
        <v>82.462848876263905</v>
      </c>
      <c r="AK2003">
        <v>34.053702501095998</v>
      </c>
      <c r="AL2003">
        <v>80.350158012373598</v>
      </c>
      <c r="AM2003">
        <v>92.276765056993398</v>
      </c>
      <c r="AN2003">
        <v>0.99999995134895903</v>
      </c>
    </row>
    <row r="2004" spans="1:40" x14ac:dyDescent="0.25">
      <c r="A2004" t="str">
        <f>"20190304155634586"</f>
        <v>20190304155634586</v>
      </c>
      <c r="B2004" t="str">
        <f>"1551686194577008"</f>
        <v>1551686194577008</v>
      </c>
      <c r="C2004" t="s">
        <v>40</v>
      </c>
      <c r="D2004">
        <v>4.6062849999999997</v>
      </c>
      <c r="E2004">
        <v>0.56687330000000002</v>
      </c>
      <c r="F2004" t="s">
        <v>64</v>
      </c>
      <c r="G2004">
        <v>-305.50790000000001</v>
      </c>
      <c r="H2004" s="1">
        <v>2.6299079999999998E-6</v>
      </c>
      <c r="I2004">
        <v>288.70780000000002</v>
      </c>
      <c r="J2004">
        <v>-271.72230000000002</v>
      </c>
      <c r="K2004">
        <v>1.1096760000000001</v>
      </c>
      <c r="L2004">
        <v>283.5478</v>
      </c>
      <c r="M2004">
        <v>-0.99975579999999997</v>
      </c>
      <c r="N2004">
        <v>-9.4881429999999992E-3</v>
      </c>
      <c r="O2004">
        <v>1.9956560000000002E-2</v>
      </c>
      <c r="P2004">
        <v>-0.98721080000000005</v>
      </c>
      <c r="Q2004">
        <v>0.1582499</v>
      </c>
      <c r="R2004">
        <v>-1.928009E-2</v>
      </c>
      <c r="S2004">
        <v>-3.0641479999999999</v>
      </c>
      <c r="T2004">
        <v>-0.1001431</v>
      </c>
      <c r="U2004">
        <v>0.46597290000000002</v>
      </c>
      <c r="V2004">
        <v>-3.8953689999999999E-2</v>
      </c>
      <c r="W2004">
        <v>0.16760999999999901</v>
      </c>
      <c r="X2004">
        <v>0.9850835</v>
      </c>
      <c r="Y2004">
        <v>0.13050059999999999</v>
      </c>
      <c r="Z2004">
        <v>2.2829130000000001E-3</v>
      </c>
      <c r="AA2004">
        <v>0.99144560000000004</v>
      </c>
      <c r="AB2004">
        <v>28</v>
      </c>
      <c r="AC2004">
        <v>-33.785599999999903</v>
      </c>
      <c r="AD2004">
        <v>-1.1096733700920001</v>
      </c>
      <c r="AE2004">
        <v>5.1600000000000197</v>
      </c>
      <c r="AF2004">
        <v>4.47997487881414</v>
      </c>
      <c r="AG2004">
        <v>-1.1096733700920001</v>
      </c>
      <c r="AH2004">
        <v>33.846171589416102</v>
      </c>
      <c r="AI2004">
        <v>91.861589520233395</v>
      </c>
      <c r="AJ2004">
        <v>82.459998322757997</v>
      </c>
      <c r="AK2004">
        <v>34.159403993092397</v>
      </c>
      <c r="AL2004">
        <v>80.351111641762103</v>
      </c>
      <c r="AM2004">
        <v>92.264498185778294</v>
      </c>
      <c r="AN2004">
        <v>1.0000000020184301</v>
      </c>
    </row>
    <row r="2005" spans="1:40" x14ac:dyDescent="0.25">
      <c r="A2005" t="str">
        <f>"20190304155634599"</f>
        <v>20190304155634599</v>
      </c>
      <c r="B2005" t="str">
        <f>"1551686194596528"</f>
        <v>1551686194596528</v>
      </c>
      <c r="C2005" t="s">
        <v>40</v>
      </c>
      <c r="D2005">
        <v>4.5850339999999896</v>
      </c>
      <c r="E2005">
        <v>0.56679099999999905</v>
      </c>
      <c r="F2005" t="s">
        <v>64</v>
      </c>
      <c r="G2005">
        <v>-305.53250000000003</v>
      </c>
      <c r="H2005" s="1">
        <v>2.6262369999999999E-6</v>
      </c>
      <c r="I2005">
        <v>288.69990000000001</v>
      </c>
      <c r="J2005">
        <v>-271.87799999999999</v>
      </c>
      <c r="K2005">
        <v>1.1096760000000001</v>
      </c>
      <c r="L2005">
        <v>283.55099999999999</v>
      </c>
      <c r="M2005">
        <v>-0.99975519999999996</v>
      </c>
      <c r="N2005">
        <v>-9.4904889999999995E-3</v>
      </c>
      <c r="O2005">
        <v>1.9988800000000001E-2</v>
      </c>
      <c r="P2005">
        <v>-0.98718950000000005</v>
      </c>
      <c r="Q2005">
        <v>0.1583966</v>
      </c>
      <c r="R2005">
        <v>-1.9175089999999999E-2</v>
      </c>
      <c r="S2005">
        <v>-3.064117</v>
      </c>
      <c r="T2005">
        <v>-0.1005664</v>
      </c>
      <c r="U2005">
        <v>0.46691890000000003</v>
      </c>
      <c r="V2005">
        <v>-3.8880360000000003E-2</v>
      </c>
      <c r="W2005">
        <v>0.1677585</v>
      </c>
      <c r="X2005">
        <v>0.98506110000000002</v>
      </c>
      <c r="Y2005">
        <v>0.13076849999999901</v>
      </c>
      <c r="Z2005">
        <v>2.2942259999999999E-3</v>
      </c>
      <c r="AA2005">
        <v>0.99141029999999997</v>
      </c>
      <c r="AB2005">
        <v>28</v>
      </c>
      <c r="AC2005">
        <v>-33.654499999999999</v>
      </c>
      <c r="AD2005">
        <v>-1.109673373763</v>
      </c>
      <c r="AE2005">
        <v>5.1489000000000198</v>
      </c>
      <c r="AF2005">
        <v>4.4703788610128798</v>
      </c>
      <c r="AG2005">
        <v>-1.109673373763</v>
      </c>
      <c r="AH2005">
        <v>33.714884296126598</v>
      </c>
      <c r="AI2005">
        <v>91.868777394030502</v>
      </c>
      <c r="AJ2005">
        <v>82.447002298823094</v>
      </c>
      <c r="AK2005">
        <v>34.028063201696298</v>
      </c>
      <c r="AL2005">
        <v>80.342480836985601</v>
      </c>
      <c r="AM2005">
        <v>92.260291055892907</v>
      </c>
      <c r="AN2005">
        <v>0.99999998372459398</v>
      </c>
    </row>
    <row r="2006" spans="1:40" x14ac:dyDescent="0.25">
      <c r="A2006" t="str">
        <f>"20190304155634618"</f>
        <v>20190304155634618</v>
      </c>
      <c r="B2006" t="str">
        <f>"1551686194607264"</f>
        <v>1551686194607264</v>
      </c>
      <c r="C2006" t="s">
        <v>40</v>
      </c>
      <c r="D2006">
        <v>4.6138519999999996</v>
      </c>
      <c r="E2006">
        <v>0.56675989999999998</v>
      </c>
      <c r="F2006" t="s">
        <v>64</v>
      </c>
      <c r="G2006">
        <v>-305.62920000000003</v>
      </c>
      <c r="H2006" s="1">
        <v>2.6101970000000001E-6</v>
      </c>
      <c r="I2006">
        <v>288.68700000000001</v>
      </c>
      <c r="J2006">
        <v>-272.1105</v>
      </c>
      <c r="K2006">
        <v>1.1096779999999999</v>
      </c>
      <c r="L2006">
        <v>283.5557</v>
      </c>
      <c r="M2006">
        <v>-0.99975429999999998</v>
      </c>
      <c r="N2006">
        <v>-9.4940349999999996E-3</v>
      </c>
      <c r="O2006">
        <v>2.0036640000000001E-2</v>
      </c>
      <c r="P2006">
        <v>-0.98716999999999999</v>
      </c>
      <c r="Q2006">
        <v>0.15857829999999901</v>
      </c>
      <c r="R2006">
        <v>-1.8673349999999998E-2</v>
      </c>
      <c r="S2006">
        <v>-3.0641479999999999</v>
      </c>
      <c r="T2006">
        <v>-0.1007431</v>
      </c>
      <c r="U2006">
        <v>0.46627809999999997</v>
      </c>
      <c r="V2006">
        <v>-3.8425389999999997E-2</v>
      </c>
      <c r="W2006">
        <v>0.167943799999999</v>
      </c>
      <c r="X2006">
        <v>0.98504740000000002</v>
      </c>
      <c r="Y2006">
        <v>0.13051679999999999</v>
      </c>
      <c r="Z2006">
        <v>2.2907079999999998E-3</v>
      </c>
      <c r="AA2006">
        <v>0.99144350000000003</v>
      </c>
      <c r="AB2006">
        <v>28</v>
      </c>
      <c r="AC2006">
        <v>-33.518700000000003</v>
      </c>
      <c r="AD2006">
        <v>-1.1096753898029901</v>
      </c>
      <c r="AE2006">
        <v>5.1313000000000004</v>
      </c>
      <c r="AF2006">
        <v>4.4538677385671104</v>
      </c>
      <c r="AG2006">
        <v>-1.1096753898029901</v>
      </c>
      <c r="AH2006">
        <v>33.578828792716102</v>
      </c>
      <c r="AI2006">
        <v>91.876336229340893</v>
      </c>
      <c r="AJ2006">
        <v>82.444438496137593</v>
      </c>
      <c r="AK2006">
        <v>33.891091165584001</v>
      </c>
      <c r="AL2006">
        <v>80.3317113436391</v>
      </c>
      <c r="AM2006">
        <v>92.233899584502595</v>
      </c>
      <c r="AN2006">
        <v>1.0000000054009199</v>
      </c>
    </row>
    <row r="2007" spans="1:40" x14ac:dyDescent="0.25">
      <c r="A2007" t="str">
        <f>"20190304155634630"</f>
        <v>20190304155634630</v>
      </c>
      <c r="B2007" t="str">
        <f>"1551686194626784"</f>
        <v>1551686194626784</v>
      </c>
      <c r="C2007" t="s">
        <v>40</v>
      </c>
      <c r="D2007">
        <v>4.6288780000000003</v>
      </c>
      <c r="E2007">
        <v>0.56693059999999995</v>
      </c>
      <c r="F2007" t="s">
        <v>64</v>
      </c>
      <c r="G2007">
        <v>-306.05919999999998</v>
      </c>
      <c r="H2007" s="1">
        <v>2.5298229999999999E-6</v>
      </c>
      <c r="I2007">
        <v>288.73399999999998</v>
      </c>
      <c r="J2007">
        <v>-272.26909999999998</v>
      </c>
      <c r="K2007">
        <v>1.1096809999999999</v>
      </c>
      <c r="L2007">
        <v>283.55889999999999</v>
      </c>
      <c r="M2007">
        <v>-0.99975349999999996</v>
      </c>
      <c r="N2007">
        <v>-9.4964690000000004E-3</v>
      </c>
      <c r="O2007">
        <v>2.0069360000000001E-2</v>
      </c>
      <c r="P2007">
        <v>-0.98718079999999997</v>
      </c>
      <c r="Q2007">
        <v>0.1585435</v>
      </c>
      <c r="R2007">
        <v>-1.8379860000000001E-2</v>
      </c>
      <c r="S2007">
        <v>-3.063904</v>
      </c>
      <c r="T2007">
        <v>-0.1001493</v>
      </c>
      <c r="U2007">
        <v>0.46734619999999999</v>
      </c>
      <c r="V2007">
        <v>-3.8163969999999998E-2</v>
      </c>
      <c r="W2007">
        <v>0.16791130000000001</v>
      </c>
      <c r="X2007">
        <v>0.98506309999999997</v>
      </c>
      <c r="Y2007">
        <v>0.13083449999999999</v>
      </c>
      <c r="Z2007">
        <v>2.2882229999999998E-3</v>
      </c>
      <c r="AA2007">
        <v>0.99140159999999999</v>
      </c>
      <c r="AB2007">
        <v>28</v>
      </c>
      <c r="AC2007">
        <v>-33.790099999999903</v>
      </c>
      <c r="AD2007">
        <v>-1.1096784701769999</v>
      </c>
      <c r="AE2007">
        <v>5.1751000000000396</v>
      </c>
      <c r="AF2007">
        <v>4.4911486949452097</v>
      </c>
      <c r="AG2007">
        <v>-1.1096784701769999</v>
      </c>
      <c r="AH2007">
        <v>33.851487650314198</v>
      </c>
      <c r="AI2007">
        <v>91.861231010125906</v>
      </c>
      <c r="AJ2007">
        <v>82.442582736903901</v>
      </c>
      <c r="AK2007">
        <v>34.166138486031102</v>
      </c>
      <c r="AL2007">
        <v>80.3336002486718</v>
      </c>
      <c r="AM2007">
        <v>92.218681577763206</v>
      </c>
      <c r="AN2007">
        <v>1.00000000212773</v>
      </c>
    </row>
    <row r="2008" spans="1:40" x14ac:dyDescent="0.25">
      <c r="A2008" t="str">
        <f>"20190304155634643"</f>
        <v>20190304155634643</v>
      </c>
      <c r="B2008" t="str">
        <f>"1551686194636546"</f>
        <v>1551686194636546</v>
      </c>
      <c r="C2008" t="s">
        <v>40</v>
      </c>
      <c r="D2008">
        <v>4.6198699999999997</v>
      </c>
      <c r="E2008">
        <v>0.56689239999999996</v>
      </c>
      <c r="F2008" t="s">
        <v>64</v>
      </c>
      <c r="G2008">
        <v>-305.85770000000002</v>
      </c>
      <c r="H2008" s="1">
        <v>2.5680869999999999E-6</v>
      </c>
      <c r="I2008">
        <v>288.70519999999999</v>
      </c>
      <c r="J2008">
        <v>-272.42989999999998</v>
      </c>
      <c r="K2008">
        <v>1.1096790000000001</v>
      </c>
      <c r="L2008">
        <v>283.56220000000002</v>
      </c>
      <c r="M2008">
        <v>-0.99975290000000006</v>
      </c>
      <c r="N2008">
        <v>-9.498902E-3</v>
      </c>
      <c r="O2008">
        <v>2.010236E-2</v>
      </c>
      <c r="P2008">
        <v>-0.98715900000000001</v>
      </c>
      <c r="Q2008">
        <v>0.15870020000000001</v>
      </c>
      <c r="R2008">
        <v>-1.820927E-2</v>
      </c>
      <c r="S2008">
        <v>-3.063965</v>
      </c>
      <c r="T2008">
        <v>-0.1012255</v>
      </c>
      <c r="U2008">
        <v>0.46945189999999998</v>
      </c>
      <c r="V2008">
        <v>-3.802577E-2</v>
      </c>
      <c r="W2008">
        <v>0.1680702</v>
      </c>
      <c r="X2008">
        <v>0.98504130000000001</v>
      </c>
      <c r="Y2008">
        <v>0.13146260000000001</v>
      </c>
      <c r="Z2008">
        <v>2.3167230000000001E-3</v>
      </c>
      <c r="AA2008">
        <v>0.99131840000000004</v>
      </c>
      <c r="AB2008">
        <v>28</v>
      </c>
      <c r="AC2008">
        <v>-33.427799999999998</v>
      </c>
      <c r="AD2008">
        <v>-1.1096764319129999</v>
      </c>
      <c r="AE2008">
        <v>5.1429999999999696</v>
      </c>
      <c r="AF2008">
        <v>4.4651459643299702</v>
      </c>
      <c r="AG2008">
        <v>-1.1096764319129999</v>
      </c>
      <c r="AH2008">
        <v>33.488385163542901</v>
      </c>
      <c r="AI2008">
        <v>91.881231127157093</v>
      </c>
      <c r="AJ2008">
        <v>82.405309659192298</v>
      </c>
      <c r="AK2008">
        <v>33.802971039956098</v>
      </c>
      <c r="AL2008">
        <v>80.3243642582121</v>
      </c>
      <c r="AM2008">
        <v>92.210704112583997</v>
      </c>
      <c r="AN2008">
        <v>0.99999995700890998</v>
      </c>
    </row>
    <row r="2009" spans="1:40" x14ac:dyDescent="0.25">
      <c r="A2009" t="str">
        <f>"20190304155634662"</f>
        <v>20190304155634662</v>
      </c>
      <c r="B2009" t="str">
        <f>"1551686194657041"</f>
        <v>1551686194657041</v>
      </c>
      <c r="C2009" t="s">
        <v>40</v>
      </c>
      <c r="D2009">
        <v>4.5904109999999996</v>
      </c>
      <c r="E2009">
        <v>0.56697580000000003</v>
      </c>
      <c r="F2009" t="s">
        <v>64</v>
      </c>
      <c r="G2009">
        <v>-306.06900000000002</v>
      </c>
      <c r="H2009" s="1">
        <v>2.529397E-6</v>
      </c>
      <c r="I2009">
        <v>288.71899999999999</v>
      </c>
      <c r="J2009">
        <v>-272.6841</v>
      </c>
      <c r="K2009">
        <v>1.109677</v>
      </c>
      <c r="L2009">
        <v>283.56729999999999</v>
      </c>
      <c r="M2009">
        <v>-0.99975190000000003</v>
      </c>
      <c r="N2009">
        <v>-9.5027270000000007E-3</v>
      </c>
      <c r="O2009">
        <v>2.01548E-2</v>
      </c>
      <c r="P2009">
        <v>-0.98712310000000003</v>
      </c>
      <c r="Q2009">
        <v>0.159002799999999</v>
      </c>
      <c r="R2009">
        <v>-1.751194E-2</v>
      </c>
      <c r="S2009">
        <v>-3.0639340000000002</v>
      </c>
      <c r="T2009">
        <v>-0.1010721</v>
      </c>
      <c r="U2009">
        <v>0.469696</v>
      </c>
      <c r="V2009">
        <v>-3.7379349999999999E-2</v>
      </c>
      <c r="W2009">
        <v>0.1683762</v>
      </c>
      <c r="X2009">
        <v>0.98501380000000005</v>
      </c>
      <c r="Y2009">
        <v>0.13148950000000001</v>
      </c>
      <c r="Z2009">
        <v>2.3141379999999999E-3</v>
      </c>
      <c r="AA2009">
        <v>0.9913149</v>
      </c>
      <c r="AB2009">
        <v>28</v>
      </c>
      <c r="AC2009">
        <v>-33.384900000000002</v>
      </c>
      <c r="AD2009">
        <v>-1.109674470603</v>
      </c>
      <c r="AE2009">
        <v>5.1516999999999999</v>
      </c>
      <c r="AF2009">
        <v>4.4729303715324704</v>
      </c>
      <c r="AG2009">
        <v>-1.109674470603</v>
      </c>
      <c r="AH2009">
        <v>33.4458619357126</v>
      </c>
      <c r="AI2009">
        <v>91.883518549189304</v>
      </c>
      <c r="AJ2009">
        <v>82.382665178924597</v>
      </c>
      <c r="AK2009">
        <v>33.761874417188899</v>
      </c>
      <c r="AL2009">
        <v>80.306578439664705</v>
      </c>
      <c r="AM2009">
        <v>92.173220150449296</v>
      </c>
      <c r="AN2009">
        <v>0.99999997336165003</v>
      </c>
    </row>
    <row r="2010" spans="1:40" x14ac:dyDescent="0.25">
      <c r="A2010" t="str">
        <f>"20190304155634686"</f>
        <v>20190304155634686</v>
      </c>
      <c r="B2010" t="str">
        <f>"1551686194676561"</f>
        <v>1551686194676561</v>
      </c>
      <c r="C2010" t="s">
        <v>40</v>
      </c>
      <c r="D2010">
        <v>4.6037759999999999</v>
      </c>
      <c r="E2010">
        <v>0.5675135</v>
      </c>
      <c r="F2010" t="s">
        <v>64</v>
      </c>
      <c r="G2010">
        <v>-306.44189999999998</v>
      </c>
      <c r="H2010" s="1">
        <v>2.4587790000000001E-6</v>
      </c>
      <c r="I2010">
        <v>288.77019999999999</v>
      </c>
      <c r="J2010">
        <v>-272.97399999999999</v>
      </c>
      <c r="K2010">
        <v>1.109675</v>
      </c>
      <c r="L2010">
        <v>283.57319999999999</v>
      </c>
      <c r="M2010">
        <v>-0.99975040000000004</v>
      </c>
      <c r="N2010">
        <v>-9.5070469999999994E-3</v>
      </c>
      <c r="O2010">
        <v>2.0214329999999999E-2</v>
      </c>
      <c r="P2010">
        <v>-0.98711879999999996</v>
      </c>
      <c r="Q2010">
        <v>0.15909209999999999</v>
      </c>
      <c r="R2010">
        <v>-1.69319E-2</v>
      </c>
      <c r="S2010">
        <v>-3.0637509999999999</v>
      </c>
      <c r="T2010">
        <v>-0.1007106</v>
      </c>
      <c r="U2010">
        <v>0.47219850000000002</v>
      </c>
      <c r="V2010">
        <v>-3.6857849999999998E-2</v>
      </c>
      <c r="W2010">
        <v>0.1684697</v>
      </c>
      <c r="X2010">
        <v>0.98501749999999999</v>
      </c>
      <c r="Y2010">
        <v>0.1322303</v>
      </c>
      <c r="Z2010">
        <v>2.3234549999999999E-3</v>
      </c>
      <c r="AA2010">
        <v>0.99121630000000005</v>
      </c>
      <c r="AB2010">
        <v>28</v>
      </c>
      <c r="AC2010">
        <v>-33.467899999999901</v>
      </c>
      <c r="AD2010">
        <v>-1.109672541221</v>
      </c>
      <c r="AE2010">
        <v>5.1970000000000001</v>
      </c>
      <c r="AF2010">
        <v>4.5145300450612602</v>
      </c>
      <c r="AG2010">
        <v>-1.109672541221</v>
      </c>
      <c r="AH2010">
        <v>33.530126325405597</v>
      </c>
      <c r="AI2010">
        <v>91.878561374847905</v>
      </c>
      <c r="AJ2010">
        <v>82.331753697670194</v>
      </c>
      <c r="AK2010">
        <v>33.850874819923902</v>
      </c>
      <c r="AL2010">
        <v>80.301143987480998</v>
      </c>
      <c r="AM2010">
        <v>92.142920778333306</v>
      </c>
      <c r="AN2010">
        <v>1.0000000081154801</v>
      </c>
    </row>
    <row r="2011" spans="1:40" x14ac:dyDescent="0.25">
      <c r="A2011" t="str">
        <f>"20190304155634709"</f>
        <v>20190304155634709</v>
      </c>
      <c r="B2011" t="str">
        <f>"1551686194706816"</f>
        <v>1551686194706816</v>
      </c>
      <c r="C2011" t="s">
        <v>40</v>
      </c>
      <c r="D2011">
        <v>4.584746</v>
      </c>
      <c r="E2011">
        <v>0.56804909999999997</v>
      </c>
      <c r="F2011" t="s">
        <v>64</v>
      </c>
      <c r="G2011">
        <v>-306.85930000000002</v>
      </c>
      <c r="H2011" s="1">
        <v>2.3767329999999999E-6</v>
      </c>
      <c r="I2011">
        <v>288.86160000000001</v>
      </c>
      <c r="J2011">
        <v>-273.26080000000002</v>
      </c>
      <c r="K2011">
        <v>1.109674</v>
      </c>
      <c r="L2011">
        <v>283.57909999999998</v>
      </c>
      <c r="M2011">
        <v>-0.9997492</v>
      </c>
      <c r="N2011">
        <v>-9.5113090000000008E-3</v>
      </c>
      <c r="O2011">
        <v>2.0273200000000002E-2</v>
      </c>
      <c r="P2011">
        <v>-0.98709760000000002</v>
      </c>
      <c r="Q2011">
        <v>0.1593088</v>
      </c>
      <c r="R2011">
        <v>-1.6092329999999998E-2</v>
      </c>
      <c r="S2011">
        <v>-3.0635379999999999</v>
      </c>
      <c r="T2011">
        <v>-0.10032439999999999</v>
      </c>
      <c r="U2011">
        <v>0.47811890000000001</v>
      </c>
      <c r="V2011">
        <v>-3.6076299999999999E-2</v>
      </c>
      <c r="W2011">
        <v>0.1686907</v>
      </c>
      <c r="X2011">
        <v>0.98500860000000001</v>
      </c>
      <c r="Y2011">
        <v>0.134052</v>
      </c>
      <c r="Z2011">
        <v>2.3550289999999998E-3</v>
      </c>
      <c r="AA2011">
        <v>0.99097150000000001</v>
      </c>
      <c r="AB2011">
        <v>28</v>
      </c>
      <c r="AC2011">
        <v>-33.598500000000001</v>
      </c>
      <c r="AD2011">
        <v>-1.1096716232670001</v>
      </c>
      <c r="AE2011">
        <v>5.2825000000000202</v>
      </c>
      <c r="AF2011">
        <v>4.5953425578143801</v>
      </c>
      <c r="AG2011">
        <v>-1.1096716232670001</v>
      </c>
      <c r="AH2011">
        <v>33.662858165190997</v>
      </c>
      <c r="AI2011">
        <v>91.870692604910303</v>
      </c>
      <c r="AJ2011">
        <v>82.226558123690197</v>
      </c>
      <c r="AK2011">
        <v>33.993184084238301</v>
      </c>
      <c r="AL2011">
        <v>80.288297654214603</v>
      </c>
      <c r="AM2011">
        <v>92.097541308984901</v>
      </c>
      <c r="AN2011">
        <v>0.99999999688107</v>
      </c>
    </row>
    <row r="2012" spans="1:40" x14ac:dyDescent="0.25">
      <c r="A2012" t="str">
        <f>"20190304155634731"</f>
        <v>20190304155634731</v>
      </c>
      <c r="B2012" t="str">
        <f>"1551686194726338"</f>
        <v>1551686194726338</v>
      </c>
      <c r="C2012" t="s">
        <v>40</v>
      </c>
      <c r="D2012">
        <v>4.6515399999999998</v>
      </c>
      <c r="E2012">
        <v>0.56843699999999997</v>
      </c>
      <c r="F2012" t="s">
        <v>64</v>
      </c>
      <c r="G2012">
        <v>-307.25619999999998</v>
      </c>
      <c r="H2012" s="1">
        <v>2.2982069999999998E-6</v>
      </c>
      <c r="I2012">
        <v>288.95460000000003</v>
      </c>
      <c r="J2012">
        <v>-273.53649999999999</v>
      </c>
      <c r="K2012">
        <v>1.109672</v>
      </c>
      <c r="L2012">
        <v>283.5847</v>
      </c>
      <c r="M2012">
        <v>-0.99974810000000003</v>
      </c>
      <c r="N2012">
        <v>-9.5153949999999994E-3</v>
      </c>
      <c r="O2012">
        <v>2.03301E-2</v>
      </c>
      <c r="P2012">
        <v>-0.98708580000000001</v>
      </c>
      <c r="Q2012">
        <v>0.15941350000000001</v>
      </c>
      <c r="R2012">
        <v>-1.5771759999999999E-2</v>
      </c>
      <c r="S2012">
        <v>-3.0632630000000001</v>
      </c>
      <c r="T2012">
        <v>-9.9990369999999995E-2</v>
      </c>
      <c r="U2012">
        <v>0.484375</v>
      </c>
      <c r="V2012">
        <v>-3.5811660000000002E-2</v>
      </c>
      <c r="W2012">
        <v>0.16879920000000001</v>
      </c>
      <c r="X2012">
        <v>0.98499970000000003</v>
      </c>
      <c r="Y2012">
        <v>0.1359832</v>
      </c>
      <c r="Z2012">
        <v>2.3895510000000002E-3</v>
      </c>
      <c r="AA2012">
        <v>0.99070820000000004</v>
      </c>
      <c r="AB2012">
        <v>28</v>
      </c>
      <c r="AC2012">
        <v>-33.719699999999897</v>
      </c>
      <c r="AD2012">
        <v>-1.109669701793</v>
      </c>
      <c r="AE2012">
        <v>5.3699000000000296</v>
      </c>
      <c r="AF2012">
        <v>4.6782930110000702</v>
      </c>
      <c r="AG2012">
        <v>-1.109669701793</v>
      </c>
      <c r="AH2012">
        <v>33.7862210243308</v>
      </c>
      <c r="AI2012">
        <v>91.863372073838093</v>
      </c>
      <c r="AJ2012">
        <v>82.116526450802994</v>
      </c>
      <c r="AK2012">
        <v>34.126624847013296</v>
      </c>
      <c r="AL2012">
        <v>80.281990912736802</v>
      </c>
      <c r="AM2012">
        <v>92.082187051121807</v>
      </c>
      <c r="AN2012">
        <v>1.00000002695634</v>
      </c>
    </row>
    <row r="2013" spans="1:40" x14ac:dyDescent="0.25">
      <c r="A2013" t="str">
        <f>"20190304155634752"</f>
        <v>20190304155634752</v>
      </c>
      <c r="B2013" t="str">
        <f>"1551686194746832"</f>
        <v>1551686194746832</v>
      </c>
      <c r="C2013" t="s">
        <v>40</v>
      </c>
      <c r="D2013">
        <v>4.6072100000000002</v>
      </c>
      <c r="E2013">
        <v>0.56841560000000002</v>
      </c>
      <c r="F2013" t="s">
        <v>64</v>
      </c>
      <c r="G2013">
        <v>-306.92910000000001</v>
      </c>
      <c r="H2013" s="1">
        <v>2.3604680000000001E-6</v>
      </c>
      <c r="I2013">
        <v>288.90609999999998</v>
      </c>
      <c r="J2013">
        <v>-273.81200000000001</v>
      </c>
      <c r="K2013">
        <v>1.1096729999999999</v>
      </c>
      <c r="L2013">
        <v>283.59039999999999</v>
      </c>
      <c r="M2013">
        <v>-0.99974689999999999</v>
      </c>
      <c r="N2013">
        <v>-9.5195039999999998E-3</v>
      </c>
      <c r="O2013">
        <v>2.0386640000000001E-2</v>
      </c>
      <c r="P2013">
        <v>-0.98712230000000001</v>
      </c>
      <c r="Q2013">
        <v>0.15925739999999999</v>
      </c>
      <c r="R2013">
        <v>-1.506185E-2</v>
      </c>
      <c r="S2013">
        <v>-3.0634769999999998</v>
      </c>
      <c r="T2013">
        <v>-0.1018023</v>
      </c>
      <c r="U2013">
        <v>0.4881897</v>
      </c>
      <c r="V2013">
        <v>-3.5158300000000003E-2</v>
      </c>
      <c r="W2013">
        <v>0.16864789999999999</v>
      </c>
      <c r="X2013">
        <v>0.98504910000000001</v>
      </c>
      <c r="Y2013">
        <v>0.137116299999999</v>
      </c>
      <c r="Z2013">
        <v>2.4405109999999998E-3</v>
      </c>
      <c r="AA2013">
        <v>0.99055190000000004</v>
      </c>
      <c r="AB2013">
        <v>28</v>
      </c>
      <c r="AC2013">
        <v>-33.117099999999901</v>
      </c>
      <c r="AD2013">
        <v>-1.109670639532</v>
      </c>
      <c r="AE2013">
        <v>5.3156999999999899</v>
      </c>
      <c r="AF2013">
        <v>4.63434565919726</v>
      </c>
      <c r="AG2013">
        <v>-1.109670639532</v>
      </c>
      <c r="AH2013">
        <v>33.182271152688898</v>
      </c>
      <c r="AI2013">
        <v>91.896955036865407</v>
      </c>
      <c r="AJ2013">
        <v>82.049310838688399</v>
      </c>
      <c r="AK2013">
        <v>33.522703462992503</v>
      </c>
      <c r="AL2013">
        <v>80.290785342293304</v>
      </c>
      <c r="AM2013">
        <v>92.044129026795005</v>
      </c>
      <c r="AN2013">
        <v>0.99999997482205405</v>
      </c>
    </row>
    <row r="2014" spans="1:40" x14ac:dyDescent="0.25">
      <c r="A2014" t="str">
        <f>"20190304155634764"</f>
        <v>20190304155634764</v>
      </c>
      <c r="B2014" t="str">
        <f>"1551686194756592"</f>
        <v>1551686194756592</v>
      </c>
      <c r="C2014" t="s">
        <v>40</v>
      </c>
      <c r="D2014">
        <v>4.6299590000000004</v>
      </c>
      <c r="E2014">
        <v>0.56849550000000004</v>
      </c>
      <c r="F2014" t="s">
        <v>64</v>
      </c>
      <c r="G2014">
        <v>-306.85410000000002</v>
      </c>
      <c r="H2014" s="1">
        <v>2.3762799999999999E-6</v>
      </c>
      <c r="I2014">
        <v>288.87740000000002</v>
      </c>
      <c r="J2014">
        <v>-273.96800000000002</v>
      </c>
      <c r="K2014">
        <v>1.1096710000000001</v>
      </c>
      <c r="L2014">
        <v>283.59359999999998</v>
      </c>
      <c r="M2014">
        <v>-0.99974629999999998</v>
      </c>
      <c r="N2014">
        <v>-9.5218190000000008E-3</v>
      </c>
      <c r="O2014">
        <v>2.0418639999999998E-2</v>
      </c>
      <c r="P2014">
        <v>-0.98715620000000004</v>
      </c>
      <c r="Q2014">
        <v>0.15908129999999901</v>
      </c>
      <c r="R2014">
        <v>-1.4697180000000001E-2</v>
      </c>
      <c r="S2014">
        <v>-3.063202</v>
      </c>
      <c r="T2014">
        <v>-0.1028732</v>
      </c>
      <c r="U2014">
        <v>0.49014279999999999</v>
      </c>
      <c r="V2014">
        <v>-3.4826330000000003E-2</v>
      </c>
      <c r="W2014">
        <v>0.16847400000000001</v>
      </c>
      <c r="X2014">
        <v>0.98509069999999999</v>
      </c>
      <c r="Y2014">
        <v>0.13771220000000001</v>
      </c>
      <c r="Z2014">
        <v>2.4695630000000001E-3</v>
      </c>
      <c r="AA2014">
        <v>0.99046920000000005</v>
      </c>
      <c r="AB2014">
        <v>28</v>
      </c>
      <c r="AC2014">
        <v>-32.886099999999999</v>
      </c>
      <c r="AD2014">
        <v>-1.10966862371999</v>
      </c>
      <c r="AE2014">
        <v>5.2838000000000402</v>
      </c>
      <c r="AF2014">
        <v>4.6060661474544498</v>
      </c>
      <c r="AG2014">
        <v>-1.10966862371999</v>
      </c>
      <c r="AH2014">
        <v>32.9505635078797</v>
      </c>
      <c r="AI2014">
        <v>91.9102486620734</v>
      </c>
      <c r="AJ2014">
        <v>82.042349589942205</v>
      </c>
      <c r="AK2014">
        <v>33.289440447325198</v>
      </c>
      <c r="AL2014">
        <v>80.300894204294195</v>
      </c>
      <c r="AM2014">
        <v>92.024758756168097</v>
      </c>
      <c r="AN2014">
        <v>1.0000000245818701</v>
      </c>
    </row>
    <row r="2015" spans="1:40" x14ac:dyDescent="0.25">
      <c r="A2015" t="str">
        <f>"20190304155634785"</f>
        <v>20190304155634785</v>
      </c>
      <c r="B2015" t="str">
        <f>"1551686194777092"</f>
        <v>1551686194777092</v>
      </c>
      <c r="C2015" t="s">
        <v>40</v>
      </c>
      <c r="D2015">
        <v>4.6025010000000002</v>
      </c>
      <c r="E2015">
        <v>0.56863580000000002</v>
      </c>
      <c r="F2015" t="s">
        <v>64</v>
      </c>
      <c r="G2015">
        <v>-306.6628</v>
      </c>
      <c r="H2015" s="1">
        <v>2.4131580000000001E-6</v>
      </c>
      <c r="I2015">
        <v>288.84379999999999</v>
      </c>
      <c r="J2015">
        <v>-274.22890000000001</v>
      </c>
      <c r="K2015">
        <v>1.1096699999999999</v>
      </c>
      <c r="L2015">
        <v>283.59899999999999</v>
      </c>
      <c r="M2015">
        <v>-0.99974510000000005</v>
      </c>
      <c r="N2015">
        <v>-9.5256920000000005E-3</v>
      </c>
      <c r="O2015">
        <v>2.0472379999999998E-2</v>
      </c>
      <c r="P2015">
        <v>-0.98718519999999998</v>
      </c>
      <c r="Q2015">
        <v>0.1589544</v>
      </c>
      <c r="R2015">
        <v>-1.4113280000000001E-2</v>
      </c>
      <c r="S2015">
        <v>-3.06311</v>
      </c>
      <c r="T2015">
        <v>-0.1039629</v>
      </c>
      <c r="U2015">
        <v>0.49188229999999999</v>
      </c>
      <c r="V2015">
        <v>-3.4295319999999997E-2</v>
      </c>
      <c r="W2015">
        <v>0.168351799999999</v>
      </c>
      <c r="X2015">
        <v>0.98513019999999996</v>
      </c>
      <c r="Y2015">
        <v>0.13821</v>
      </c>
      <c r="Z2015">
        <v>2.4964980000000002E-3</v>
      </c>
      <c r="AA2015">
        <v>0.99039980000000005</v>
      </c>
      <c r="AB2015">
        <v>28</v>
      </c>
      <c r="AC2015">
        <v>-32.433899999999902</v>
      </c>
      <c r="AD2015">
        <v>-1.1096675868420001</v>
      </c>
      <c r="AE2015">
        <v>5.2447999999999899</v>
      </c>
      <c r="AF2015">
        <v>4.5744533321354099</v>
      </c>
      <c r="AG2015">
        <v>-1.1096675868420001</v>
      </c>
      <c r="AH2015">
        <v>32.497409991460202</v>
      </c>
      <c r="AI2015">
        <v>91.936603816103997</v>
      </c>
      <c r="AJ2015">
        <v>81.987482516397904</v>
      </c>
      <c r="AK2015">
        <v>32.836544300432003</v>
      </c>
      <c r="AL2015">
        <v>80.307997004784497</v>
      </c>
      <c r="AM2015">
        <v>91.993831735036096</v>
      </c>
      <c r="AN2015">
        <v>1.00000000424459</v>
      </c>
    </row>
    <row r="2016" spans="1:40" x14ac:dyDescent="0.25">
      <c r="A2016" t="str">
        <f>"20190304155634808"</f>
        <v>20190304155634808</v>
      </c>
      <c r="B2016" t="str">
        <f>"1551686194796608"</f>
        <v>1551686194796608</v>
      </c>
      <c r="C2016" t="s">
        <v>40</v>
      </c>
      <c r="D2016">
        <v>4.6412230000000001</v>
      </c>
      <c r="E2016">
        <v>0.56896380000000002</v>
      </c>
      <c r="F2016" t="s">
        <v>64</v>
      </c>
      <c r="G2016">
        <v>-306.72449999999998</v>
      </c>
      <c r="H2016" s="1">
        <v>2.401807E-6</v>
      </c>
      <c r="I2016">
        <v>288.84840000000003</v>
      </c>
      <c r="J2016">
        <v>-274.52159999999998</v>
      </c>
      <c r="K2016">
        <v>1.1096699999999999</v>
      </c>
      <c r="L2016">
        <v>283.60509999999999</v>
      </c>
      <c r="M2016">
        <v>-0.99974370000000001</v>
      </c>
      <c r="N2016">
        <v>-9.53004E-3</v>
      </c>
      <c r="O2016">
        <v>2.0534779999999999E-2</v>
      </c>
      <c r="P2016">
        <v>-0.98718459999999997</v>
      </c>
      <c r="Q2016">
        <v>0.15897790000000001</v>
      </c>
      <c r="R2016">
        <v>-1.387539E-2</v>
      </c>
      <c r="S2016">
        <v>-3.0628660000000001</v>
      </c>
      <c r="T2016">
        <v>-0.1045914</v>
      </c>
      <c r="U2016">
        <v>0.49478149999999999</v>
      </c>
      <c r="V2016">
        <v>-3.4118999999999997E-2</v>
      </c>
      <c r="W2016">
        <v>0.16837949999999999</v>
      </c>
      <c r="X2016">
        <v>0.9851316</v>
      </c>
      <c r="Y2016">
        <v>0.13907269999999999</v>
      </c>
      <c r="Z2016">
        <v>2.5240879999999999E-3</v>
      </c>
      <c r="AA2016">
        <v>0.99027900000000002</v>
      </c>
      <c r="AB2016">
        <v>28</v>
      </c>
      <c r="AC2016">
        <v>-32.2029</v>
      </c>
      <c r="AD2016">
        <v>-1.109667598193</v>
      </c>
      <c r="AE2016">
        <v>5.2433000000000298</v>
      </c>
      <c r="AF2016">
        <v>4.5755920535021799</v>
      </c>
      <c r="AG2016">
        <v>-1.109667598193</v>
      </c>
      <c r="AH2016">
        <v>32.266460338667997</v>
      </c>
      <c r="AI2016">
        <v>91.950173050059803</v>
      </c>
      <c r="AJ2016">
        <v>81.928902811157798</v>
      </c>
      <c r="AK2016">
        <v>32.608156458245098</v>
      </c>
      <c r="AL2016">
        <v>80.306387039819001</v>
      </c>
      <c r="AM2016">
        <v>91.983586388153299</v>
      </c>
      <c r="AN2016">
        <v>1.0000000157499001</v>
      </c>
    </row>
    <row r="2017" spans="1:40" x14ac:dyDescent="0.25">
      <c r="A2017" t="str">
        <f>"20190304155634823"</f>
        <v>20190304155634823</v>
      </c>
      <c r="B2017" t="str">
        <f>"1551686194817105"</f>
        <v>1551686194817105</v>
      </c>
      <c r="C2017" t="s">
        <v>40</v>
      </c>
      <c r="D2017">
        <v>4.6473990000000001</v>
      </c>
      <c r="E2017">
        <v>0.56911020000000001</v>
      </c>
      <c r="F2017" t="s">
        <v>64</v>
      </c>
      <c r="G2017">
        <v>-306.56119999999999</v>
      </c>
      <c r="H2017" s="1">
        <v>2.4338249999999999E-6</v>
      </c>
      <c r="I2017">
        <v>288.8134</v>
      </c>
      <c r="J2017">
        <v>-274.71010000000001</v>
      </c>
      <c r="K2017">
        <v>1.109669</v>
      </c>
      <c r="L2017">
        <v>283.60899999999998</v>
      </c>
      <c r="M2017">
        <v>-0.99974289999999999</v>
      </c>
      <c r="N2017">
        <v>-9.5328610000000001E-3</v>
      </c>
      <c r="O2017">
        <v>2.0577640000000001E-2</v>
      </c>
      <c r="P2017">
        <v>-0.9872031</v>
      </c>
      <c r="Q2017">
        <v>0.15887519999999999</v>
      </c>
      <c r="R2017">
        <v>-1.3736480000000001E-2</v>
      </c>
      <c r="S2017">
        <v>-3.0630190000000002</v>
      </c>
      <c r="T2017">
        <v>-0.1060854</v>
      </c>
      <c r="U2017">
        <v>0.4979248</v>
      </c>
      <c r="V2017">
        <v>-3.402235E-2</v>
      </c>
      <c r="W2017">
        <v>0.16827990000000001</v>
      </c>
      <c r="X2017">
        <v>0.98515189999999997</v>
      </c>
      <c r="Y2017">
        <v>0.14000960000000001</v>
      </c>
      <c r="Z2017">
        <v>2.5674439999999999E-3</v>
      </c>
      <c r="AA2017">
        <v>0.99014679999999999</v>
      </c>
      <c r="AB2017">
        <v>28</v>
      </c>
      <c r="AC2017">
        <v>-31.851099999999899</v>
      </c>
      <c r="AD2017">
        <v>-1.109666566175</v>
      </c>
      <c r="AE2017">
        <v>5.2043999999999597</v>
      </c>
      <c r="AF2017">
        <v>4.5424775737298697</v>
      </c>
      <c r="AG2017">
        <v>-1.109666566175</v>
      </c>
      <c r="AH2017">
        <v>31.913725708140401</v>
      </c>
      <c r="AI2017">
        <v>91.971563751714498</v>
      </c>
      <c r="AJ2017">
        <v>81.899152180726205</v>
      </c>
      <c r="AK2017">
        <v>32.254477998726699</v>
      </c>
      <c r="AL2017">
        <v>80.312175719135695</v>
      </c>
      <c r="AM2017">
        <v>91.977931162540401</v>
      </c>
      <c r="AN2017">
        <v>0.99999995555857002</v>
      </c>
    </row>
    <row r="2018" spans="1:40" x14ac:dyDescent="0.25">
      <c r="A2018" t="str">
        <f>"20190304155634842"</f>
        <v>20190304155634842</v>
      </c>
      <c r="B2018" t="str">
        <f>"1551686194836625"</f>
        <v>1551686194836625</v>
      </c>
      <c r="C2018" t="s">
        <v>40</v>
      </c>
      <c r="D2018">
        <v>4.8104979999999999</v>
      </c>
      <c r="E2018">
        <v>0.56890560000000001</v>
      </c>
      <c r="F2018" t="s">
        <v>64</v>
      </c>
      <c r="G2018">
        <v>-306.47149999999999</v>
      </c>
      <c r="H2018" s="1">
        <v>2.452076E-6</v>
      </c>
      <c r="I2018">
        <v>288.7867</v>
      </c>
      <c r="J2018">
        <v>-274.95740000000001</v>
      </c>
      <c r="K2018">
        <v>1.109666</v>
      </c>
      <c r="L2018">
        <v>283.61410000000001</v>
      </c>
      <c r="M2018">
        <v>-0.99974160000000001</v>
      </c>
      <c r="N2018">
        <v>-9.5365459999999999E-3</v>
      </c>
      <c r="O2018">
        <v>2.063858E-2</v>
      </c>
      <c r="P2018">
        <v>-0.98721409999999998</v>
      </c>
      <c r="Q2018">
        <v>0.15883120000000001</v>
      </c>
      <c r="R2018">
        <v>-1.3451279999999999E-2</v>
      </c>
      <c r="S2018">
        <v>-3.0630489999999999</v>
      </c>
      <c r="T2018">
        <v>-0.1070154</v>
      </c>
      <c r="U2018">
        <v>0.49932860000000001</v>
      </c>
      <c r="V2018">
        <v>-3.3796159999999999E-2</v>
      </c>
      <c r="W2018">
        <v>0.1682399</v>
      </c>
      <c r="X2018">
        <v>0.98516649999999995</v>
      </c>
      <c r="Y2018">
        <v>0.14038800000000001</v>
      </c>
      <c r="Z2018">
        <v>2.5894669999999998E-3</v>
      </c>
      <c r="AA2018">
        <v>0.99009320000000001</v>
      </c>
      <c r="AB2018">
        <v>28</v>
      </c>
      <c r="AC2018">
        <v>-31.5140999999999</v>
      </c>
      <c r="AD2018">
        <v>-1.109663547924</v>
      </c>
      <c r="AE2018">
        <v>5.1725999999999797</v>
      </c>
      <c r="AF2018">
        <v>4.5156104962433998</v>
      </c>
      <c r="AG2018">
        <v>-1.109663547924</v>
      </c>
      <c r="AH2018">
        <v>31.576024097921302</v>
      </c>
      <c r="AI2018">
        <v>91.992440148944894</v>
      </c>
      <c r="AJ2018">
        <v>81.861451325082598</v>
      </c>
      <c r="AK2018">
        <v>31.916569194947702</v>
      </c>
      <c r="AL2018">
        <v>80.314500532125194</v>
      </c>
      <c r="AM2018">
        <v>91.964762574661506</v>
      </c>
      <c r="AN2018">
        <v>0.99999993855250002</v>
      </c>
    </row>
    <row r="2019" spans="1:40" x14ac:dyDescent="0.25">
      <c r="A2019" t="str">
        <f>"20190304155634863"</f>
        <v>20190304155634863</v>
      </c>
      <c r="B2019" t="str">
        <f>"1551686194857120"</f>
        <v>1551686194857120</v>
      </c>
      <c r="C2019" t="s">
        <v>40</v>
      </c>
      <c r="D2019">
        <v>4.846889</v>
      </c>
      <c r="E2019">
        <v>0.64987150000000005</v>
      </c>
      <c r="F2019" t="s">
        <v>64</v>
      </c>
      <c r="G2019">
        <v>-305.30799999999999</v>
      </c>
      <c r="H2019" s="1">
        <v>2.6786460000000001E-6</v>
      </c>
      <c r="I2019">
        <v>288.55590000000001</v>
      </c>
      <c r="J2019">
        <v>-275.2294</v>
      </c>
      <c r="K2019">
        <v>1.109659</v>
      </c>
      <c r="L2019">
        <v>283.6198</v>
      </c>
      <c r="M2019">
        <v>-0.99973999999999996</v>
      </c>
      <c r="N2019">
        <v>-9.5406120000000004E-3</v>
      </c>
      <c r="O2019">
        <v>2.0714389999999999E-2</v>
      </c>
      <c r="P2019">
        <v>-0.98719679999999999</v>
      </c>
      <c r="Q2019">
        <v>0.1588889</v>
      </c>
      <c r="R2019">
        <v>-1.403302E-2</v>
      </c>
      <c r="S2019">
        <v>-3.0636899999999998</v>
      </c>
      <c r="T2019">
        <v>-0.11201319999999999</v>
      </c>
      <c r="U2019">
        <v>0.49884030000000001</v>
      </c>
      <c r="V2019">
        <v>-3.444875E-2</v>
      </c>
      <c r="W2019">
        <v>0.16830149999999999</v>
      </c>
      <c r="X2019">
        <v>0.9851335</v>
      </c>
      <c r="Y2019">
        <v>0.1401183</v>
      </c>
      <c r="Z2019">
        <v>2.661545E-3</v>
      </c>
      <c r="AA2019">
        <v>0.99013119999999999</v>
      </c>
      <c r="AB2019">
        <v>29</v>
      </c>
      <c r="AC2019">
        <v>-30.078599999999899</v>
      </c>
      <c r="AD2019">
        <v>-1.1096563213540001</v>
      </c>
      <c r="AE2019">
        <v>4.9360999999999997</v>
      </c>
      <c r="AF2019">
        <v>4.3062454805256403</v>
      </c>
      <c r="AG2019">
        <v>-1.1096563213540001</v>
      </c>
      <c r="AH2019">
        <v>30.134460735769899</v>
      </c>
      <c r="AI2019">
        <v>92.087689039436299</v>
      </c>
      <c r="AJ2019">
        <v>81.867433398502797</v>
      </c>
      <c r="AK2019">
        <v>30.460807788463601</v>
      </c>
      <c r="AL2019">
        <v>80.310921265381495</v>
      </c>
      <c r="AM2019">
        <v>92.002737764928995</v>
      </c>
      <c r="AN2019">
        <v>1.0000000620505201</v>
      </c>
    </row>
    <row r="2020" spans="1:40" x14ac:dyDescent="0.25">
      <c r="A2020" t="str">
        <f>"20190304155634876"</f>
        <v>20190304155634876</v>
      </c>
      <c r="B2020" t="str">
        <f>"1551686194866881"</f>
        <v>1551686194866881</v>
      </c>
      <c r="C2020" t="s">
        <v>40</v>
      </c>
      <c r="D2020">
        <v>4.8146259999999996</v>
      </c>
      <c r="E2020">
        <v>0.65161199999999997</v>
      </c>
      <c r="F2020" t="s">
        <v>59</v>
      </c>
      <c r="G2020">
        <v>-324.20999999999998</v>
      </c>
      <c r="H2020">
        <v>2.1943819999999999E-2</v>
      </c>
      <c r="I2020">
        <v>301.88839999999999</v>
      </c>
      <c r="J2020">
        <v>-275.38850000000002</v>
      </c>
      <c r="K2020">
        <v>1.1096509999999999</v>
      </c>
      <c r="L2020">
        <v>283.6232</v>
      </c>
      <c r="M2020">
        <v>-0.99973900000000004</v>
      </c>
      <c r="N2020">
        <v>-9.5429940000000008E-3</v>
      </c>
      <c r="O2020">
        <v>2.0764810000000002E-2</v>
      </c>
      <c r="P2020">
        <v>-0.98719480000000004</v>
      </c>
      <c r="Q2020">
        <v>0.15888150000000001</v>
      </c>
      <c r="R2020">
        <v>-1.425033E-2</v>
      </c>
      <c r="S2020">
        <v>-3.0661930000000002</v>
      </c>
      <c r="T2020">
        <v>-6.8086389999999997E-2</v>
      </c>
      <c r="U2020">
        <v>1.143616</v>
      </c>
      <c r="V2020">
        <v>-3.4714189999999999E-2</v>
      </c>
      <c r="W2020">
        <v>0.1682968</v>
      </c>
      <c r="X2020">
        <v>0.98512489999999997</v>
      </c>
      <c r="Y2020">
        <v>0.32982420000000001</v>
      </c>
      <c r="Z2020">
        <v>4.9139479999999996E-3</v>
      </c>
      <c r="AA2020">
        <v>0.94402960000000002</v>
      </c>
      <c r="AB2020">
        <v>29</v>
      </c>
      <c r="AC2020">
        <v>-48.821499999999901</v>
      </c>
      <c r="AD2020">
        <v>-1.08770718</v>
      </c>
      <c r="AE2020">
        <v>18.2652</v>
      </c>
      <c r="AF2020">
        <v>17.239939639733802</v>
      </c>
      <c r="AG2020">
        <v>-1.08770718</v>
      </c>
      <c r="AH2020">
        <v>49.168854015946501</v>
      </c>
      <c r="AI2020">
        <v>91.195923205140801</v>
      </c>
      <c r="AJ2020">
        <v>70.677943761982903</v>
      </c>
      <c r="AK2020">
        <v>52.115015407582398</v>
      </c>
      <c r="AL2020">
        <v>80.311193632409697</v>
      </c>
      <c r="AM2020">
        <v>92.018174470653605</v>
      </c>
      <c r="AN2020">
        <v>0.99999997823880205</v>
      </c>
    </row>
    <row r="2021" spans="1:40" x14ac:dyDescent="0.25">
      <c r="A2021" t="str">
        <f>"20190304155634888"</f>
        <v>20190304155634888</v>
      </c>
      <c r="B2021" t="str">
        <f>"1551686194876640"</f>
        <v>1551686194876640</v>
      </c>
      <c r="C2021" t="s">
        <v>40</v>
      </c>
      <c r="D2021">
        <v>4.8488369999999996</v>
      </c>
      <c r="E2021">
        <v>0.65183950000000002</v>
      </c>
      <c r="F2021" t="s">
        <v>59</v>
      </c>
      <c r="G2021">
        <v>-323.78500000000003</v>
      </c>
      <c r="H2021">
        <v>5.1030880000000001E-2</v>
      </c>
      <c r="I2021">
        <v>301.88839999999999</v>
      </c>
      <c r="J2021">
        <v>-275.55529999999999</v>
      </c>
      <c r="K2021">
        <v>1.1096459999999999</v>
      </c>
      <c r="L2021">
        <v>283.62670000000003</v>
      </c>
      <c r="M2021">
        <v>-0.99973769999999995</v>
      </c>
      <c r="N2021">
        <v>-9.5454930000000004E-3</v>
      </c>
      <c r="O2021">
        <v>2.0822569999999999E-2</v>
      </c>
      <c r="P2021">
        <v>-0.98714999999999997</v>
      </c>
      <c r="Q2021">
        <v>0.15916820000000001</v>
      </c>
      <c r="R2021">
        <v>-1.416217E-2</v>
      </c>
      <c r="S2021">
        <v>-3.0664060000000002</v>
      </c>
      <c r="T2021">
        <v>-6.7069530000000002E-2</v>
      </c>
      <c r="U2021">
        <v>1.1572880000000001</v>
      </c>
      <c r="V2021">
        <v>-3.4679099999999997E-2</v>
      </c>
      <c r="W2021">
        <v>0.16858629999999999</v>
      </c>
      <c r="X2021">
        <v>0.98507670000000003</v>
      </c>
      <c r="Y2021">
        <v>0.33343699999999998</v>
      </c>
      <c r="Z2021">
        <v>4.9220050000000001E-3</v>
      </c>
      <c r="AA2021">
        <v>0.94275960000000003</v>
      </c>
      <c r="AB2021">
        <v>29</v>
      </c>
      <c r="AC2021">
        <v>-48.229700000000001</v>
      </c>
      <c r="AD2021">
        <v>-1.05861511999999</v>
      </c>
      <c r="AE2021">
        <v>18.261699999999902</v>
      </c>
      <c r="AF2021">
        <v>17.246161315007299</v>
      </c>
      <c r="AG2021">
        <v>-1.05861511999999</v>
      </c>
      <c r="AH2021">
        <v>48.579045408209602</v>
      </c>
      <c r="AI2021">
        <v>91.176454136272696</v>
      </c>
      <c r="AJ2021">
        <v>70.454509012584396</v>
      </c>
      <c r="AK2021">
        <v>51.5603956428617</v>
      </c>
      <c r="AL2021">
        <v>80.294366697257203</v>
      </c>
      <c r="AM2021">
        <v>92.016234700708793</v>
      </c>
      <c r="AN2021">
        <v>1.0000000427036899</v>
      </c>
    </row>
    <row r="2022" spans="1:40" x14ac:dyDescent="0.25">
      <c r="A2022" t="str">
        <f>"20190304155634909"</f>
        <v>20190304155634909</v>
      </c>
      <c r="B2022" t="str">
        <f>"1551686194906897"</f>
        <v>1551686194906897</v>
      </c>
      <c r="C2022" t="s">
        <v>40</v>
      </c>
      <c r="D2022">
        <v>4.8069230000000003</v>
      </c>
      <c r="E2022">
        <v>0.65391449999999995</v>
      </c>
      <c r="F2022" t="s">
        <v>59</v>
      </c>
      <c r="G2022">
        <v>-323.8578</v>
      </c>
      <c r="H2022">
        <v>6.8511730000000007E-2</v>
      </c>
      <c r="I2022">
        <v>301.88839999999999</v>
      </c>
      <c r="J2022">
        <v>-275.81799999999998</v>
      </c>
      <c r="K2022">
        <v>1.1096379999999999</v>
      </c>
      <c r="L2022">
        <v>283.63229999999999</v>
      </c>
      <c r="M2022">
        <v>-0.99973559999999995</v>
      </c>
      <c r="N2022">
        <v>-9.5449090000000007E-3</v>
      </c>
      <c r="O2022">
        <v>2.093103E-2</v>
      </c>
      <c r="P2022">
        <v>-0.98715189999999997</v>
      </c>
      <c r="Q2022">
        <v>0.159138</v>
      </c>
      <c r="R2022">
        <v>-1.4386400000000001E-2</v>
      </c>
      <c r="S2022">
        <v>-3.066376</v>
      </c>
      <c r="T2022">
        <v>-6.6089149999999999E-2</v>
      </c>
      <c r="U2022">
        <v>1.1593020000000001</v>
      </c>
      <c r="V2022">
        <v>-3.5004790000000001E-2</v>
      </c>
      <c r="W2022">
        <v>0.1685567</v>
      </c>
      <c r="X2022">
        <v>0.98507020000000001</v>
      </c>
      <c r="Y2022">
        <v>0.33388200000000001</v>
      </c>
      <c r="Z2022">
        <v>4.8822199999999996E-3</v>
      </c>
      <c r="AA2022">
        <v>0.94260219999999995</v>
      </c>
      <c r="AB2022">
        <v>29</v>
      </c>
      <c r="AC2022">
        <v>-48.0398</v>
      </c>
      <c r="AD2022">
        <v>-1.0411262699999999</v>
      </c>
      <c r="AE2022">
        <v>18.2561</v>
      </c>
      <c r="AF2022">
        <v>17.239456777306401</v>
      </c>
      <c r="AG2022">
        <v>-1.0411262699999999</v>
      </c>
      <c r="AH2022">
        <v>48.391550371073002</v>
      </c>
      <c r="AI2022">
        <v>91.161052195487699</v>
      </c>
      <c r="AJ2022">
        <v>70.391593444440801</v>
      </c>
      <c r="AK2022">
        <v>51.381173217461601</v>
      </c>
      <c r="AL2022">
        <v>80.296086833599801</v>
      </c>
      <c r="AM2022">
        <v>92.035167809177096</v>
      </c>
      <c r="AN2022">
        <v>0.99999999768293701</v>
      </c>
    </row>
    <row r="2023" spans="1:40" x14ac:dyDescent="0.25">
      <c r="A2023" t="str">
        <f>"20190304155634933"</f>
        <v>20190304155634933</v>
      </c>
      <c r="B2023" t="str">
        <f>"1551686194926416"</f>
        <v>1551686194926416</v>
      </c>
      <c r="C2023" t="s">
        <v>40</v>
      </c>
      <c r="D2023">
        <v>4.7907669999999998</v>
      </c>
      <c r="E2023">
        <v>0.65600749999999997</v>
      </c>
      <c r="F2023" t="s">
        <v>59</v>
      </c>
      <c r="G2023">
        <v>-323.46289999999999</v>
      </c>
      <c r="H2023">
        <v>0.1237409</v>
      </c>
      <c r="I2023">
        <v>301.88839999999999</v>
      </c>
      <c r="J2023">
        <v>-276.10930000000002</v>
      </c>
      <c r="K2023">
        <v>1.109613</v>
      </c>
      <c r="L2023">
        <v>283.63850000000002</v>
      </c>
      <c r="M2023">
        <v>-0.99973230000000002</v>
      </c>
      <c r="N2023">
        <v>-9.5399100000000004E-3</v>
      </c>
      <c r="O2023">
        <v>2.1084240000000001E-2</v>
      </c>
      <c r="P2023">
        <v>-0.98722460000000001</v>
      </c>
      <c r="Q2023">
        <v>0.1586217</v>
      </c>
      <c r="R2023">
        <v>-1.5065220000000001E-2</v>
      </c>
      <c r="S2023">
        <v>-3.0664060000000002</v>
      </c>
      <c r="T2023">
        <v>-6.3447000000000003E-2</v>
      </c>
      <c r="U2023">
        <v>1.174957</v>
      </c>
      <c r="V2023">
        <v>-3.5827190000000002E-2</v>
      </c>
      <c r="W2023">
        <v>0.1680382</v>
      </c>
      <c r="X2023">
        <v>0.98512920000000004</v>
      </c>
      <c r="Y2023">
        <v>0.33794020000000002</v>
      </c>
      <c r="Z2023">
        <v>4.8171780000000001E-3</v>
      </c>
      <c r="AA2023">
        <v>0.94115530000000003</v>
      </c>
      <c r="AB2023">
        <v>29</v>
      </c>
      <c r="AC2023">
        <v>-47.353599999999901</v>
      </c>
      <c r="AD2023">
        <v>-0.98587210000000003</v>
      </c>
      <c r="AE2023">
        <v>18.249899999999901</v>
      </c>
      <c r="AF2023">
        <v>17.2408761692821</v>
      </c>
      <c r="AG2023">
        <v>-0.98587210000000003</v>
      </c>
      <c r="AH2023">
        <v>47.709869881905703</v>
      </c>
      <c r="AI2023">
        <v>91.113340960243406</v>
      </c>
      <c r="AJ2023">
        <v>70.131706581529102</v>
      </c>
      <c r="AK2023">
        <v>50.7390524057205</v>
      </c>
      <c r="AL2023">
        <v>80.326224423886103</v>
      </c>
      <c r="AM2023">
        <v>92.082815621171505</v>
      </c>
      <c r="AN2023">
        <v>0.99999998244758703</v>
      </c>
    </row>
    <row r="2024" spans="1:40" x14ac:dyDescent="0.25">
      <c r="A2024" t="str">
        <f>"20190304155634953"</f>
        <v>20190304155634953</v>
      </c>
      <c r="B2024" t="str">
        <f>"1551686194946913"</f>
        <v>1551686194946913</v>
      </c>
      <c r="C2024" t="s">
        <v>40</v>
      </c>
      <c r="D2024">
        <v>4.8761760000000001</v>
      </c>
      <c r="E2024">
        <v>0.65644530000000001</v>
      </c>
      <c r="F2024" t="s">
        <v>59</v>
      </c>
      <c r="G2024">
        <v>-323.13600000000002</v>
      </c>
      <c r="H2024">
        <v>0.1768682</v>
      </c>
      <c r="I2024">
        <v>301.88839999999999</v>
      </c>
      <c r="J2024">
        <v>-276.37909999999999</v>
      </c>
      <c r="K2024">
        <v>1.1095790000000001</v>
      </c>
      <c r="L2024">
        <v>283.64429999999999</v>
      </c>
      <c r="M2024">
        <v>-0.99972870000000003</v>
      </c>
      <c r="N2024">
        <v>-9.5349639999999999E-3</v>
      </c>
      <c r="O2024">
        <v>2.1257979999999999E-2</v>
      </c>
      <c r="P2024">
        <v>-0.9872822</v>
      </c>
      <c r="Q2024">
        <v>0.15819810000000001</v>
      </c>
      <c r="R2024">
        <v>-1.5734229999999998E-2</v>
      </c>
      <c r="S2024">
        <v>-3.0667420000000001</v>
      </c>
      <c r="T2024">
        <v>-6.0821649999999998E-2</v>
      </c>
      <c r="U2024">
        <v>1.1901250000000001</v>
      </c>
      <c r="V2024">
        <v>-3.6658969999999999E-2</v>
      </c>
      <c r="W2024">
        <v>0.16761229999999999</v>
      </c>
      <c r="X2024">
        <v>0.98517109999999997</v>
      </c>
      <c r="Y2024">
        <v>0.34179700000000002</v>
      </c>
      <c r="Z2024">
        <v>4.7466000000000001E-3</v>
      </c>
      <c r="AA2024">
        <v>0.93976179999999998</v>
      </c>
      <c r="AB2024">
        <v>29</v>
      </c>
      <c r="AC2024">
        <v>-46.756899999999902</v>
      </c>
      <c r="AD2024">
        <v>-0.93271079999999995</v>
      </c>
      <c r="AE2024">
        <v>18.2441</v>
      </c>
      <c r="AF2024">
        <v>17.240020804823601</v>
      </c>
      <c r="AG2024">
        <v>-0.93271079999999995</v>
      </c>
      <c r="AH2024">
        <v>47.117911319224</v>
      </c>
      <c r="AI2024">
        <v>91.065002822153104</v>
      </c>
      <c r="AJ2024">
        <v>69.902880692784393</v>
      </c>
      <c r="AK2024">
        <v>50.1815288116399</v>
      </c>
      <c r="AL2024">
        <v>80.350977266302394</v>
      </c>
      <c r="AM2024">
        <v>92.1310365596389</v>
      </c>
      <c r="AN2024">
        <v>0.999999929733978</v>
      </c>
    </row>
    <row r="2025" spans="1:40" x14ac:dyDescent="0.25">
      <c r="A2025" t="str">
        <f>"20190304155634976"</f>
        <v>20190304155634976</v>
      </c>
      <c r="B2025" t="str">
        <f>"1551686194966432"</f>
        <v>1551686194966432</v>
      </c>
      <c r="C2025" t="s">
        <v>40</v>
      </c>
      <c r="D2025">
        <v>4.7823289999999998</v>
      </c>
      <c r="E2025">
        <v>0.65731229999999996</v>
      </c>
      <c r="F2025" t="s">
        <v>59</v>
      </c>
      <c r="G2025">
        <v>-323.33440000000002</v>
      </c>
      <c r="H2025">
        <v>0.17466899999999999</v>
      </c>
      <c r="I2025">
        <v>301.88839999999999</v>
      </c>
      <c r="J2025">
        <v>-276.66480000000001</v>
      </c>
      <c r="K2025">
        <v>1.10955</v>
      </c>
      <c r="L2025">
        <v>283.6506</v>
      </c>
      <c r="M2025">
        <v>-0.99972399999999995</v>
      </c>
      <c r="N2025">
        <v>-9.5304840000000005E-3</v>
      </c>
      <c r="O2025">
        <v>2.1472089999999999E-2</v>
      </c>
      <c r="P2025">
        <v>-0.9873149</v>
      </c>
      <c r="Q2025">
        <v>0.15791629999999901</v>
      </c>
      <c r="R2025">
        <v>-1.648411E-2</v>
      </c>
      <c r="S2025">
        <v>-3.067383</v>
      </c>
      <c r="T2025">
        <v>-6.1068419999999998E-2</v>
      </c>
      <c r="U2025">
        <v>1.1918029999999999</v>
      </c>
      <c r="V2025">
        <v>-3.761018E-2</v>
      </c>
      <c r="W2025">
        <v>0.16732939999999999</v>
      </c>
      <c r="X2025">
        <v>0.98518340000000004</v>
      </c>
      <c r="Y2025">
        <v>0.3419758</v>
      </c>
      <c r="Z2025">
        <v>4.7570800000000003E-3</v>
      </c>
      <c r="AA2025">
        <v>0.93969669999999905</v>
      </c>
      <c r="AB2025">
        <v>29</v>
      </c>
      <c r="AC2025">
        <v>-46.669600000000003</v>
      </c>
      <c r="AD2025">
        <v>-0.93488099999999996</v>
      </c>
      <c r="AE2025">
        <v>18.2378</v>
      </c>
      <c r="AF2025">
        <v>17.225459024697098</v>
      </c>
      <c r="AG2025">
        <v>-0.93488099999999996</v>
      </c>
      <c r="AH2025">
        <v>47.034087444722701</v>
      </c>
      <c r="AI2025">
        <v>91.069264083774897</v>
      </c>
      <c r="AJ2025">
        <v>69.885576367597906</v>
      </c>
      <c r="AK2025">
        <v>50.097862457928301</v>
      </c>
      <c r="AL2025">
        <v>80.367419054025504</v>
      </c>
      <c r="AM2025">
        <v>92.186251461020106</v>
      </c>
      <c r="AN2025">
        <v>0.99999999268977602</v>
      </c>
    </row>
    <row r="2026" spans="1:40" x14ac:dyDescent="0.25">
      <c r="A2026" t="str">
        <f>"20190304155634988"</f>
        <v>20190304155634988</v>
      </c>
      <c r="B2026" t="str">
        <f>"1551686194977169"</f>
        <v>1551686194977169</v>
      </c>
      <c r="C2026" t="s">
        <v>40</v>
      </c>
      <c r="D2026">
        <v>4.774616</v>
      </c>
      <c r="E2026">
        <v>0.65757790000000005</v>
      </c>
      <c r="F2026" t="s">
        <v>59</v>
      </c>
      <c r="G2026">
        <v>-323.43639999999999</v>
      </c>
      <c r="H2026">
        <v>0.17339489999999999</v>
      </c>
      <c r="I2026">
        <v>301.88839999999999</v>
      </c>
      <c r="J2026">
        <v>-276.83609999999999</v>
      </c>
      <c r="K2026">
        <v>1.1095299999999999</v>
      </c>
      <c r="L2026">
        <v>283.65440000000001</v>
      </c>
      <c r="M2026">
        <v>-0.99972110000000003</v>
      </c>
      <c r="N2026">
        <v>-9.5279379999999997E-3</v>
      </c>
      <c r="O2026">
        <v>2.1613710000000001E-2</v>
      </c>
      <c r="P2026">
        <v>-0.98737379999999997</v>
      </c>
      <c r="Q2026">
        <v>0.15753029999999901</v>
      </c>
      <c r="R2026">
        <v>-1.6652199999999999E-2</v>
      </c>
      <c r="S2026">
        <v>-3.0683289999999999</v>
      </c>
      <c r="T2026">
        <v>-6.1408879999999999E-2</v>
      </c>
      <c r="U2026">
        <v>1.196442</v>
      </c>
      <c r="V2026">
        <v>-3.791336E-2</v>
      </c>
      <c r="W2026">
        <v>0.16694289999999901</v>
      </c>
      <c r="X2026">
        <v>0.98523740000000004</v>
      </c>
      <c r="Y2026">
        <v>0.34297749999999999</v>
      </c>
      <c r="Z2026">
        <v>4.7845190000000001E-3</v>
      </c>
      <c r="AA2026">
        <v>0.93933140000000004</v>
      </c>
      <c r="AB2026">
        <v>29</v>
      </c>
      <c r="AC2026">
        <v>-46.600299999999997</v>
      </c>
      <c r="AD2026">
        <v>-0.9361351</v>
      </c>
      <c r="AE2026">
        <v>18.233999999999899</v>
      </c>
      <c r="AF2026">
        <v>17.216463852609301</v>
      </c>
      <c r="AG2026">
        <v>-0.9361351</v>
      </c>
      <c r="AH2026">
        <v>46.967098167866098</v>
      </c>
      <c r="AI2026">
        <v>91.072110344046706</v>
      </c>
      <c r="AJ2026">
        <v>69.868864261232403</v>
      </c>
      <c r="AK2026">
        <v>50.031902690419699</v>
      </c>
      <c r="AL2026">
        <v>80.389880313091993</v>
      </c>
      <c r="AM2026">
        <v>92.203737105323896</v>
      </c>
      <c r="AN2026">
        <v>1.0000000445428201</v>
      </c>
    </row>
    <row r="2027" spans="1:40" x14ac:dyDescent="0.25">
      <c r="A2027" t="str">
        <f>"20190304155635009"</f>
        <v>20190304155635009</v>
      </c>
      <c r="B2027" t="str">
        <f>"1551686195006448"</f>
        <v>1551686195006448</v>
      </c>
      <c r="C2027" t="s">
        <v>40</v>
      </c>
      <c r="D2027">
        <v>4.7698330000000002</v>
      </c>
      <c r="E2027">
        <v>0.65896509999999997</v>
      </c>
      <c r="F2027" t="s">
        <v>59</v>
      </c>
      <c r="G2027">
        <v>-323.54390000000001</v>
      </c>
      <c r="H2027">
        <v>0.1571081</v>
      </c>
      <c r="I2027">
        <v>301.88839999999999</v>
      </c>
      <c r="J2027">
        <v>-277.09690000000001</v>
      </c>
      <c r="K2027">
        <v>1.10949599999999</v>
      </c>
      <c r="L2027">
        <v>283.66030000000001</v>
      </c>
      <c r="M2027">
        <v>-0.99971580000000004</v>
      </c>
      <c r="N2027">
        <v>-9.5243770000000005E-3</v>
      </c>
      <c r="O2027">
        <v>2.1856199999999999E-2</v>
      </c>
      <c r="P2027">
        <v>-0.98743130000000001</v>
      </c>
      <c r="Q2027">
        <v>0.1571081</v>
      </c>
      <c r="R2027">
        <v>-1.7224389999999999E-2</v>
      </c>
      <c r="S2027">
        <v>-3.0685419999999999</v>
      </c>
      <c r="T2027">
        <v>-6.2565679999999999E-2</v>
      </c>
      <c r="U2027">
        <v>1.1979059999999999</v>
      </c>
      <c r="V2027">
        <v>-3.871716E-2</v>
      </c>
      <c r="W2027">
        <v>0.1665198</v>
      </c>
      <c r="X2027">
        <v>0.98527770000000003</v>
      </c>
      <c r="Y2027">
        <v>0.34311399999999997</v>
      </c>
      <c r="Z2027">
        <v>4.8374799999999999E-3</v>
      </c>
      <c r="AA2027">
        <v>0.93928129999999999</v>
      </c>
      <c r="AB2027">
        <v>29</v>
      </c>
      <c r="AC2027">
        <v>-46.446999999999903</v>
      </c>
      <c r="AD2027">
        <v>-0.95238789999999895</v>
      </c>
      <c r="AE2027">
        <v>18.228099999999898</v>
      </c>
      <c r="AF2027">
        <v>17.202277055066101</v>
      </c>
      <c r="AG2027">
        <v>-0.95238789999999895</v>
      </c>
      <c r="AH2027">
        <v>46.817261861691698</v>
      </c>
      <c r="AI2027">
        <v>91.093901546251203</v>
      </c>
      <c r="AJ2027">
        <v>69.824926488343095</v>
      </c>
      <c r="AK2027">
        <v>49.886685466339898</v>
      </c>
      <c r="AL2027">
        <v>80.414465911868305</v>
      </c>
      <c r="AM2027">
        <v>92.250318978682799</v>
      </c>
      <c r="AN2027">
        <v>1.0000000041938899</v>
      </c>
    </row>
    <row r="2028" spans="1:40" x14ac:dyDescent="0.25">
      <c r="A2028" t="str">
        <f>"20190304155635031"</f>
        <v>20190304155635031</v>
      </c>
      <c r="B2028" t="str">
        <f>"1551686195026945"</f>
        <v>1551686195026945</v>
      </c>
      <c r="C2028" t="s">
        <v>40</v>
      </c>
      <c r="D2028">
        <v>4.8142300000000002</v>
      </c>
      <c r="E2028">
        <v>0.65972509999999995</v>
      </c>
      <c r="F2028" t="s">
        <v>59</v>
      </c>
      <c r="G2028">
        <v>-323.42110000000002</v>
      </c>
      <c r="H2028">
        <v>0.17929629999999999</v>
      </c>
      <c r="I2028">
        <v>301.88839999999999</v>
      </c>
      <c r="J2028">
        <v>-277.3818</v>
      </c>
      <c r="K2028">
        <v>1.109467</v>
      </c>
      <c r="L2028">
        <v>283.6669</v>
      </c>
      <c r="M2028">
        <v>-0.99970919999999996</v>
      </c>
      <c r="N2028">
        <v>-9.5210150000000007E-3</v>
      </c>
      <c r="O2028">
        <v>2.215725E-2</v>
      </c>
      <c r="P2028">
        <v>-0.98749819999999999</v>
      </c>
      <c r="Q2028">
        <v>0.156675799999999</v>
      </c>
      <c r="R2028">
        <v>-1.732597E-2</v>
      </c>
      <c r="S2028">
        <v>-3.069061</v>
      </c>
      <c r="T2028">
        <v>-6.1622259999999998E-2</v>
      </c>
      <c r="U2028">
        <v>1.2076420000000001</v>
      </c>
      <c r="V2028">
        <v>-3.9107179999999998E-2</v>
      </c>
      <c r="W2028">
        <v>0.16608719999999999</v>
      </c>
      <c r="X2028">
        <v>0.98533530000000003</v>
      </c>
      <c r="Y2028">
        <v>0.34536080000000002</v>
      </c>
      <c r="Z2028">
        <v>4.8208829999999998E-3</v>
      </c>
      <c r="AA2028">
        <v>0.9384576</v>
      </c>
      <c r="AB2028">
        <v>29</v>
      </c>
      <c r="AC2028">
        <v>-46.039299999999997</v>
      </c>
      <c r="AD2028">
        <v>-0.93017070000000002</v>
      </c>
      <c r="AE2028">
        <v>18.221499999999899</v>
      </c>
      <c r="AF2028">
        <v>17.1908088279562</v>
      </c>
      <c r="AG2028">
        <v>-0.93017070000000002</v>
      </c>
      <c r="AH2028">
        <v>46.415372228702502</v>
      </c>
      <c r="AI2028">
        <v>91.076611572760399</v>
      </c>
      <c r="AJ2028">
        <v>69.676938912117805</v>
      </c>
      <c r="AK2028">
        <v>49.505311884882502</v>
      </c>
      <c r="AL2028">
        <v>80.439601974556496</v>
      </c>
      <c r="AM2028">
        <v>92.272831333622605</v>
      </c>
      <c r="AN2028">
        <v>0.99999999147874097</v>
      </c>
    </row>
    <row r="2029" spans="1:40" x14ac:dyDescent="0.25">
      <c r="A2029" t="str">
        <f>"20190304155635043"</f>
        <v>20190304155635043</v>
      </c>
      <c r="B2029" t="str">
        <f>"1551686195036705"</f>
        <v>1551686195036705</v>
      </c>
      <c r="C2029" t="s">
        <v>40</v>
      </c>
      <c r="D2029">
        <v>4.7980429999999998</v>
      </c>
      <c r="E2029">
        <v>0.66010679999999999</v>
      </c>
      <c r="F2029" t="s">
        <v>59</v>
      </c>
      <c r="G2029">
        <v>-323.4699</v>
      </c>
      <c r="H2029">
        <v>0.17548349999999999</v>
      </c>
      <c r="I2029">
        <v>301.88839999999999</v>
      </c>
      <c r="J2029">
        <v>-277.55430000000001</v>
      </c>
      <c r="K2029">
        <v>1.109456</v>
      </c>
      <c r="L2029">
        <v>283.67090000000002</v>
      </c>
      <c r="M2029">
        <v>-0.9997047</v>
      </c>
      <c r="N2029">
        <v>-9.5193980000000001E-3</v>
      </c>
      <c r="O2029">
        <v>2.2359489999999999E-2</v>
      </c>
      <c r="P2029">
        <v>-0.98753080000000004</v>
      </c>
      <c r="Q2029">
        <v>0.15647329999999901</v>
      </c>
      <c r="R2029">
        <v>-1.729193E-2</v>
      </c>
      <c r="S2029">
        <v>-3.0691830000000002</v>
      </c>
      <c r="T2029">
        <v>-6.2192440000000002E-2</v>
      </c>
      <c r="U2029">
        <v>1.2134400000000001</v>
      </c>
      <c r="V2029">
        <v>-3.9266870000000002E-2</v>
      </c>
      <c r="W2029">
        <v>0.165885</v>
      </c>
      <c r="X2029">
        <v>0.98536299999999999</v>
      </c>
      <c r="Y2029">
        <v>0.34669050000000001</v>
      </c>
      <c r="Z2029">
        <v>4.8643480000000001E-3</v>
      </c>
      <c r="AA2029">
        <v>0.93796690000000005</v>
      </c>
      <c r="AB2029">
        <v>29</v>
      </c>
      <c r="AC2029">
        <v>-45.915599999999898</v>
      </c>
      <c r="AD2029">
        <v>-0.93397249999999998</v>
      </c>
      <c r="AE2029">
        <v>18.217499999999902</v>
      </c>
      <c r="AF2029">
        <v>17.180107615829801</v>
      </c>
      <c r="AG2029">
        <v>-0.93397249999999998</v>
      </c>
      <c r="AH2029">
        <v>46.294922591112503</v>
      </c>
      <c r="AI2029">
        <v>91.083564099696503</v>
      </c>
      <c r="AJ2029">
        <v>69.640042724134801</v>
      </c>
      <c r="AK2029">
        <v>49.388746289406299</v>
      </c>
      <c r="AL2029">
        <v>80.451350050274598</v>
      </c>
      <c r="AM2029">
        <v>92.282038319940199</v>
      </c>
      <c r="AN2029">
        <v>0.99999998103679799</v>
      </c>
    </row>
    <row r="2030" spans="1:40" x14ac:dyDescent="0.25">
      <c r="A2030" t="str">
        <f>"20190304155635056"</f>
        <v>20190304155635056</v>
      </c>
      <c r="B2030" t="str">
        <f>"1551686195046464"</f>
        <v>1551686195046464</v>
      </c>
      <c r="C2030" t="s">
        <v>40</v>
      </c>
      <c r="D2030">
        <v>4.2467230000000002</v>
      </c>
      <c r="E2030">
        <v>0.66010679999999999</v>
      </c>
      <c r="F2030" t="s">
        <v>59</v>
      </c>
      <c r="G2030">
        <v>-323.51499999999999</v>
      </c>
      <c r="H2030">
        <v>0.16637589999999999</v>
      </c>
      <c r="I2030">
        <v>301.88839999999999</v>
      </c>
      <c r="J2030">
        <v>-277.70650000000001</v>
      </c>
      <c r="K2030">
        <v>1.109443</v>
      </c>
      <c r="L2030">
        <v>283.67450000000002</v>
      </c>
      <c r="M2030">
        <v>-0.9997007</v>
      </c>
      <c r="N2030">
        <v>-9.5181659999999998E-3</v>
      </c>
      <c r="O2030">
        <v>2.254418E-2</v>
      </c>
      <c r="P2030">
        <v>-0.9875815</v>
      </c>
      <c r="Q2030">
        <v>0.15615879999999999</v>
      </c>
      <c r="R2030">
        <v>-1.725732E-2</v>
      </c>
      <c r="S2030">
        <v>-3.069153</v>
      </c>
      <c r="T2030">
        <v>-6.2971589999999994E-2</v>
      </c>
      <c r="U2030">
        <v>1.2165220000000001</v>
      </c>
      <c r="V2030">
        <v>-3.9410870000000001E-2</v>
      </c>
      <c r="W2030">
        <v>0.1655713</v>
      </c>
      <c r="X2030">
        <v>0.98541000000000001</v>
      </c>
      <c r="Y2030">
        <v>0.34733269999999999</v>
      </c>
      <c r="Z2030">
        <v>4.908356E-3</v>
      </c>
      <c r="AA2030">
        <v>0.93772909999999998</v>
      </c>
      <c r="AB2030">
        <v>29</v>
      </c>
      <c r="AC2030">
        <v>-45.808499999999903</v>
      </c>
      <c r="AD2030">
        <v>-0.94306710000000005</v>
      </c>
      <c r="AE2030">
        <v>18.213899999999899</v>
      </c>
      <c r="AF2030">
        <v>17.170224947884201</v>
      </c>
      <c r="AG2030">
        <v>-0.94306710000000005</v>
      </c>
      <c r="AH2030">
        <v>46.190588062675999</v>
      </c>
      <c r="AI2030">
        <v>91.096360201644998</v>
      </c>
      <c r="AJ2030">
        <v>69.608610003659805</v>
      </c>
      <c r="AK2030">
        <v>49.287690409390002</v>
      </c>
      <c r="AL2030">
        <v>80.469575666155606</v>
      </c>
      <c r="AM2030">
        <v>92.2902890193199</v>
      </c>
      <c r="AN2030">
        <v>0.99999997007892205</v>
      </c>
    </row>
    <row r="2031" spans="1:40" x14ac:dyDescent="0.25">
      <c r="A2031" t="str">
        <f>"20190304155635076"</f>
        <v>20190304155635076</v>
      </c>
      <c r="B2031" t="str">
        <f>"1551686195066964"</f>
        <v>1551686195066964</v>
      </c>
      <c r="C2031" t="s">
        <v>40</v>
      </c>
      <c r="D2031">
        <v>4.7453010000000004</v>
      </c>
      <c r="E2031">
        <v>0.66051309999999996</v>
      </c>
      <c r="F2031" t="s">
        <v>59</v>
      </c>
      <c r="G2031">
        <v>-323.65499999999997</v>
      </c>
      <c r="H2031">
        <v>0.15237020000000001</v>
      </c>
      <c r="I2031">
        <v>301.88839999999999</v>
      </c>
      <c r="J2031">
        <v>-277.96789999999999</v>
      </c>
      <c r="K2031">
        <v>1.109423</v>
      </c>
      <c r="L2031">
        <v>283.6807</v>
      </c>
      <c r="M2031">
        <v>-0.99969300000000005</v>
      </c>
      <c r="N2031">
        <v>-9.5164819999999997E-3</v>
      </c>
      <c r="O2031">
        <v>2.2878740000000002E-2</v>
      </c>
      <c r="P2031">
        <v>-0.98754719999999996</v>
      </c>
      <c r="Q2031">
        <v>0.15636900000000001</v>
      </c>
      <c r="R2031">
        <v>-1.7302000000000001E-2</v>
      </c>
      <c r="S2031">
        <v>-3.0690919999999999</v>
      </c>
      <c r="T2031">
        <v>-6.3921690000000003E-2</v>
      </c>
      <c r="U2031">
        <v>1.216583</v>
      </c>
      <c r="V2031">
        <v>-3.9776430000000002E-2</v>
      </c>
      <c r="W2031">
        <v>0.1657815</v>
      </c>
      <c r="X2031">
        <v>0.98536000000000001</v>
      </c>
      <c r="Y2031">
        <v>0.34703919999999999</v>
      </c>
      <c r="Z2031">
        <v>4.9451290000000004E-3</v>
      </c>
      <c r="AA2031">
        <v>0.93783760000000005</v>
      </c>
      <c r="AB2031">
        <v>29</v>
      </c>
      <c r="AC2031">
        <v>-45.687100000000001</v>
      </c>
      <c r="AD2031">
        <v>-0.95705280000000004</v>
      </c>
      <c r="AE2031">
        <v>18.2076999999999</v>
      </c>
      <c r="AF2031">
        <v>17.151128391053401</v>
      </c>
      <c r="AG2031">
        <v>-0.95705280000000004</v>
      </c>
      <c r="AH2031">
        <v>46.074281117621403</v>
      </c>
      <c r="AI2031">
        <v>91.115232203137396</v>
      </c>
      <c r="AJ2031">
        <v>69.582242139639504</v>
      </c>
      <c r="AK2031">
        <v>49.172314727435698</v>
      </c>
      <c r="AL2031">
        <v>80.457363607256596</v>
      </c>
      <c r="AM2031">
        <v>92.311627082921703</v>
      </c>
      <c r="AN2031">
        <v>0.999999999862897</v>
      </c>
    </row>
    <row r="2032" spans="1:40" x14ac:dyDescent="0.25">
      <c r="A2032" t="str">
        <f>"20190304155635087"</f>
        <v>20190304155635087</v>
      </c>
      <c r="B2032" t="str">
        <f>"1551686195076721"</f>
        <v>1551686195076721</v>
      </c>
      <c r="C2032" t="s">
        <v>40</v>
      </c>
      <c r="D2032">
        <v>4.0076780000000003</v>
      </c>
      <c r="E2032">
        <v>0.66051309999999996</v>
      </c>
      <c r="F2032" t="s">
        <v>59</v>
      </c>
      <c r="G2032">
        <v>-323.77069999999998</v>
      </c>
      <c r="H2032">
        <v>0.18511179999999999</v>
      </c>
      <c r="I2032">
        <v>301.88839999999999</v>
      </c>
      <c r="J2032">
        <v>-278.12200000000001</v>
      </c>
      <c r="K2032">
        <v>1.1094109999999999</v>
      </c>
      <c r="L2032">
        <v>283.68439999999998</v>
      </c>
      <c r="M2032">
        <v>-0.99968820000000003</v>
      </c>
      <c r="N2032">
        <v>-9.5156649999999995E-3</v>
      </c>
      <c r="O2032">
        <v>2.3084500000000001E-2</v>
      </c>
      <c r="P2032">
        <v>-0.98751129999999998</v>
      </c>
      <c r="Q2032">
        <v>0.15660679999999999</v>
      </c>
      <c r="R2032">
        <v>-1.719967E-2</v>
      </c>
      <c r="S2032">
        <v>-3.069</v>
      </c>
      <c r="T2032">
        <v>-6.1927910000000003E-2</v>
      </c>
      <c r="U2032">
        <v>1.2200009999999999</v>
      </c>
      <c r="V2032">
        <v>-3.9870650000000001E-2</v>
      </c>
      <c r="W2032">
        <v>0.16601949999999999</v>
      </c>
      <c r="X2032">
        <v>0.98531610000000003</v>
      </c>
      <c r="Y2032">
        <v>0.34776259999999998</v>
      </c>
      <c r="Z2032">
        <v>4.8589519999999997E-3</v>
      </c>
      <c r="AA2032">
        <v>0.93757000000000001</v>
      </c>
      <c r="AB2032">
        <v>29</v>
      </c>
      <c r="AC2032">
        <v>-45.648699999999899</v>
      </c>
      <c r="AD2032">
        <v>-0.92429919999999999</v>
      </c>
      <c r="AE2032">
        <v>18.204000000000001</v>
      </c>
      <c r="AF2032">
        <v>17.139260653020099</v>
      </c>
      <c r="AG2032">
        <v>-0.92429919999999999</v>
      </c>
      <c r="AH2032">
        <v>46.040497609364401</v>
      </c>
      <c r="AI2032">
        <v>91.077859044619402</v>
      </c>
      <c r="AJ2032">
        <v>69.581468123707694</v>
      </c>
      <c r="AK2032">
        <v>49.135893243749798</v>
      </c>
      <c r="AL2032">
        <v>80.443535398450393</v>
      </c>
      <c r="AM2032">
        <v>92.317199887999806</v>
      </c>
      <c r="AN2032">
        <v>0.99999998001544099</v>
      </c>
    </row>
    <row r="2033" spans="1:40" x14ac:dyDescent="0.25">
      <c r="A2033" t="str">
        <f>"20190304155635100"</f>
        <v>20190304155635100</v>
      </c>
      <c r="B2033" t="str">
        <f>"1551686195096241"</f>
        <v>1551686195096241</v>
      </c>
      <c r="C2033" t="s">
        <v>40</v>
      </c>
      <c r="D2033">
        <v>4.5840269999999999</v>
      </c>
      <c r="E2033">
        <v>0.59016499999999905</v>
      </c>
      <c r="F2033" t="s">
        <v>59</v>
      </c>
      <c r="G2033">
        <v>-323.90269999999998</v>
      </c>
      <c r="H2033">
        <v>0.19567470000000001</v>
      </c>
      <c r="I2033">
        <v>301.88839999999999</v>
      </c>
      <c r="J2033">
        <v>-278.27210000000002</v>
      </c>
      <c r="K2033">
        <v>1.1093999999999999</v>
      </c>
      <c r="L2033">
        <v>283.68810000000002</v>
      </c>
      <c r="M2033">
        <v>-0.99968349999999995</v>
      </c>
      <c r="N2033">
        <v>-9.5151880000000008E-3</v>
      </c>
      <c r="O2033">
        <v>2.3293999999999999E-2</v>
      </c>
      <c r="P2033">
        <v>-0.98746420000000001</v>
      </c>
      <c r="Q2033">
        <v>0.15694839999999999</v>
      </c>
      <c r="R2033">
        <v>-1.6789209999999999E-2</v>
      </c>
      <c r="S2033">
        <v>-3.0689090000000001</v>
      </c>
      <c r="T2033">
        <v>-6.124711E-2</v>
      </c>
      <c r="U2033">
        <v>1.2203059999999999</v>
      </c>
      <c r="V2033">
        <v>-3.9662080000000002E-2</v>
      </c>
      <c r="W2033">
        <v>0.1663608</v>
      </c>
      <c r="X2033">
        <v>0.985267</v>
      </c>
      <c r="Y2033">
        <v>0.34765790000000002</v>
      </c>
      <c r="Z2033">
        <v>4.8230699999999996E-3</v>
      </c>
      <c r="AA2033">
        <v>0.93760900000000003</v>
      </c>
      <c r="AB2033">
        <v>29</v>
      </c>
      <c r="AC2033">
        <v>-45.630599999999902</v>
      </c>
      <c r="AD2033">
        <v>-0.91372529999999996</v>
      </c>
      <c r="AE2033">
        <v>18.200299999999899</v>
      </c>
      <c r="AF2033">
        <v>17.126469121897099</v>
      </c>
      <c r="AG2033">
        <v>-0.91372529999999996</v>
      </c>
      <c r="AH2033">
        <v>46.026271955162599</v>
      </c>
      <c r="AI2033">
        <v>91.065917281822394</v>
      </c>
      <c r="AJ2033">
        <v>69.589663994287307</v>
      </c>
      <c r="AK2033">
        <v>49.117904562366498</v>
      </c>
      <c r="AL2033">
        <v>80.423705047356293</v>
      </c>
      <c r="AM2033">
        <v>92.305206088457993</v>
      </c>
      <c r="AN2033">
        <v>1.0000000288277799</v>
      </c>
    </row>
    <row r="2034" spans="1:40" x14ac:dyDescent="0.25">
      <c r="A2034" t="str">
        <f>"20190304155635114"</f>
        <v>20190304155635114</v>
      </c>
      <c r="B2034" t="str">
        <f>"1551686195106976"</f>
        <v>1551686195106976</v>
      </c>
      <c r="C2034" t="s">
        <v>40</v>
      </c>
      <c r="D2034">
        <v>4.634201</v>
      </c>
      <c r="E2034">
        <v>0.52994830000000004</v>
      </c>
      <c r="F2034" t="s">
        <v>59</v>
      </c>
      <c r="G2034">
        <v>-362.36720000000003</v>
      </c>
      <c r="H2034">
        <v>0.28424240000000001</v>
      </c>
      <c r="I2034">
        <v>301.88839999999999</v>
      </c>
      <c r="J2034">
        <v>-278.46690000000001</v>
      </c>
      <c r="K2034">
        <v>1.1093869999999999</v>
      </c>
      <c r="L2034">
        <v>283.69290000000001</v>
      </c>
      <c r="M2034">
        <v>-0.99967689999999998</v>
      </c>
      <c r="N2034">
        <v>-9.5147649999999997E-3</v>
      </c>
      <c r="O2034">
        <v>2.3572909999999999E-2</v>
      </c>
      <c r="P2034">
        <v>-0.9874368</v>
      </c>
      <c r="Q2034">
        <v>0.1571398</v>
      </c>
      <c r="R2034">
        <v>-1.6608890000000001E-2</v>
      </c>
      <c r="S2034">
        <v>-3.0540769999999999</v>
      </c>
      <c r="T2034">
        <v>-2.996445E-2</v>
      </c>
      <c r="U2034">
        <v>0.66098020000000002</v>
      </c>
      <c r="V2034">
        <v>-3.9750500000000001E-2</v>
      </c>
      <c r="W2034">
        <v>0.16655320000000001</v>
      </c>
      <c r="X2034">
        <v>0.98523090000000002</v>
      </c>
      <c r="Y2034">
        <v>0.18841140000000001</v>
      </c>
      <c r="Z2034">
        <v>1.813765E-3</v>
      </c>
      <c r="AA2034">
        <v>0.98208850000000003</v>
      </c>
      <c r="AB2034">
        <v>29</v>
      </c>
      <c r="AC2034">
        <v>-83.900300000000001</v>
      </c>
      <c r="AD2034">
        <v>-0.82514460000000001</v>
      </c>
      <c r="AE2034">
        <v>18.1954999999999</v>
      </c>
      <c r="AF2034">
        <v>16.211082185850799</v>
      </c>
      <c r="AG2034">
        <v>-0.82514460000000001</v>
      </c>
      <c r="AH2034">
        <v>84.298136611379704</v>
      </c>
      <c r="AI2034">
        <v>90.550726249459004</v>
      </c>
      <c r="AJ2034">
        <v>79.114537133781198</v>
      </c>
      <c r="AK2034">
        <v>85.846699909770294</v>
      </c>
      <c r="AL2034">
        <v>80.412525075263105</v>
      </c>
      <c r="AM2034">
        <v>92.310424160604597</v>
      </c>
      <c r="AN2034">
        <v>0.99999999849764998</v>
      </c>
    </row>
    <row r="2035" spans="1:40" x14ac:dyDescent="0.25">
      <c r="A2035" t="str">
        <f>"20190304155635134"</f>
        <v>20190304155635134</v>
      </c>
      <c r="B2035" t="str">
        <f>"1551686195126496"</f>
        <v>1551686195126496</v>
      </c>
      <c r="C2035" t="s">
        <v>40</v>
      </c>
      <c r="D2035">
        <v>4.6935580000000003</v>
      </c>
      <c r="E2035">
        <v>0.52498480000000003</v>
      </c>
      <c r="F2035" t="s">
        <v>55</v>
      </c>
      <c r="G2035">
        <v>-327.31270000000001</v>
      </c>
      <c r="H2035" s="1">
        <v>2.2685719999999998E-6</v>
      </c>
      <c r="I2035">
        <v>286.58600000000001</v>
      </c>
      <c r="J2035">
        <v>-278.7174</v>
      </c>
      <c r="K2035">
        <v>1.109372</v>
      </c>
      <c r="L2035">
        <v>283.69920000000002</v>
      </c>
      <c r="M2035">
        <v>-0.99966809999999995</v>
      </c>
      <c r="N2035">
        <v>-9.5147559999999992E-3</v>
      </c>
      <c r="O2035">
        <v>2.394632E-2</v>
      </c>
      <c r="P2035">
        <v>-0.98741699999999999</v>
      </c>
      <c r="Q2035">
        <v>0.15729399999999999</v>
      </c>
      <c r="R2035">
        <v>-1.6314099999999901E-2</v>
      </c>
      <c r="S2035">
        <v>-3.0522770000000001</v>
      </c>
      <c r="T2035">
        <v>-6.9323300000000004E-2</v>
      </c>
      <c r="U2035">
        <v>0.18078610000000001</v>
      </c>
      <c r="V2035">
        <v>-3.9817100000000001E-2</v>
      </c>
      <c r="W2035">
        <v>0.166708299999999</v>
      </c>
      <c r="X2035">
        <v>0.98520200000000002</v>
      </c>
      <c r="Y2035">
        <v>3.5193080000000002E-2</v>
      </c>
      <c r="Z2035">
        <v>2.5136039999999998E-4</v>
      </c>
      <c r="AA2035">
        <v>0.9993805</v>
      </c>
      <c r="AB2035">
        <v>29</v>
      </c>
      <c r="AC2035">
        <v>-48.595300000000002</v>
      </c>
      <c r="AD2035">
        <v>-1.109369731428</v>
      </c>
      <c r="AE2035">
        <v>2.8867999999999898</v>
      </c>
      <c r="AF2035">
        <v>1.7213470681908001</v>
      </c>
      <c r="AG2035">
        <v>-1.109369731428</v>
      </c>
      <c r="AH2035">
        <v>48.6252431793556</v>
      </c>
      <c r="AI2035">
        <v>91.306140704298301</v>
      </c>
      <c r="AJ2035">
        <v>87.972560178128901</v>
      </c>
      <c r="AK2035">
        <v>48.6683471178305</v>
      </c>
      <c r="AL2035">
        <v>80.403512704407106</v>
      </c>
      <c r="AM2035">
        <v>92.314358770488695</v>
      </c>
      <c r="AN2035">
        <v>1.00000001977264</v>
      </c>
    </row>
    <row r="2036" spans="1:40" x14ac:dyDescent="0.25">
      <c r="A2036" t="str">
        <f>"20190304155635154"</f>
        <v>20190304155635154</v>
      </c>
      <c r="B2036" t="str">
        <f>"1551686195146993"</f>
        <v>1551686195146993</v>
      </c>
      <c r="C2036" t="s">
        <v>40</v>
      </c>
      <c r="D2036">
        <v>4.6910470000000002</v>
      </c>
      <c r="E2036">
        <v>0.52332100000000004</v>
      </c>
      <c r="F2036" t="s">
        <v>55</v>
      </c>
      <c r="G2036">
        <v>-334.48329999999999</v>
      </c>
      <c r="H2036" s="1">
        <v>7.7530129999999997E-7</v>
      </c>
      <c r="I2036">
        <v>286.30189999999999</v>
      </c>
      <c r="J2036">
        <v>-278.98630000000003</v>
      </c>
      <c r="K2036">
        <v>1.1093519999999999</v>
      </c>
      <c r="L2036">
        <v>283.70600000000002</v>
      </c>
      <c r="M2036">
        <v>-0.99965800000000005</v>
      </c>
      <c r="N2036">
        <v>-9.5155029999999998E-3</v>
      </c>
      <c r="O2036">
        <v>2.4363639999999999E-2</v>
      </c>
      <c r="P2036">
        <v>-0.98743029999999998</v>
      </c>
      <c r="Q2036">
        <v>0.15725839999999999</v>
      </c>
      <c r="R2036">
        <v>-1.585872E-2</v>
      </c>
      <c r="S2036">
        <v>-3.050262</v>
      </c>
      <c r="T2036">
        <v>-6.0680030000000003E-2</v>
      </c>
      <c r="U2036">
        <v>0.1423645</v>
      </c>
      <c r="V2036">
        <v>-3.9767999999999998E-2</v>
      </c>
      <c r="W2036">
        <v>0.1666754</v>
      </c>
      <c r="X2036">
        <v>0.98520949999999996</v>
      </c>
      <c r="Y2036">
        <v>2.2264840000000001E-2</v>
      </c>
      <c r="Z2036" s="1">
        <v>7.4815979999999995E-5</v>
      </c>
      <c r="AA2036">
        <v>0.99975210000000003</v>
      </c>
      <c r="AB2036">
        <v>29</v>
      </c>
      <c r="AC2036">
        <v>-55.4969999999999</v>
      </c>
      <c r="AD2036">
        <v>-1.1093512246987001</v>
      </c>
      <c r="AE2036">
        <v>2.5959000000000199</v>
      </c>
      <c r="AF2036">
        <v>1.2424640169343599</v>
      </c>
      <c r="AG2036">
        <v>-1.1093512246987001</v>
      </c>
      <c r="AH2036">
        <v>55.521636682649799</v>
      </c>
      <c r="AI2036">
        <v>91.144360794533796</v>
      </c>
      <c r="AJ2036">
        <v>88.718048149724893</v>
      </c>
      <c r="AK2036">
        <v>55.5466157105298</v>
      </c>
      <c r="AL2036">
        <v>80.405424009205305</v>
      </c>
      <c r="AM2036">
        <v>92.311490365624607</v>
      </c>
      <c r="AN2036">
        <v>0.99999997083970404</v>
      </c>
    </row>
    <row r="2037" spans="1:40" x14ac:dyDescent="0.25">
      <c r="A2037" t="str">
        <f>"20190304155635166"</f>
        <v>20190304155635166</v>
      </c>
      <c r="B2037" t="str">
        <f>"1551686195156753"</f>
        <v>1551686195156753</v>
      </c>
      <c r="C2037" t="s">
        <v>40</v>
      </c>
      <c r="D2037">
        <v>4.6172930000000001</v>
      </c>
      <c r="E2037">
        <v>0.52344619999999997</v>
      </c>
      <c r="F2037" t="s">
        <v>55</v>
      </c>
      <c r="G2037">
        <v>-334.92939999999999</v>
      </c>
      <c r="H2037" s="1">
        <v>1.021695E-6</v>
      </c>
      <c r="I2037">
        <v>286.09629999999999</v>
      </c>
      <c r="J2037">
        <v>-279.15640000000002</v>
      </c>
      <c r="K2037">
        <v>1.1093420000000001</v>
      </c>
      <c r="L2037">
        <v>283.71039999999999</v>
      </c>
      <c r="M2037">
        <v>-0.99965130000000002</v>
      </c>
      <c r="N2037">
        <v>-9.5159540000000001E-3</v>
      </c>
      <c r="O2037">
        <v>2.4634509999999998E-2</v>
      </c>
      <c r="P2037">
        <v>-0.98740499999999998</v>
      </c>
      <c r="Q2037">
        <v>0.1574342</v>
      </c>
      <c r="R2037">
        <v>-1.5688509999999999E-2</v>
      </c>
      <c r="S2037">
        <v>-3.0498959999999999</v>
      </c>
      <c r="T2037">
        <v>-6.0479400000000003E-2</v>
      </c>
      <c r="U2037">
        <v>0.13031010000000001</v>
      </c>
      <c r="V2037">
        <v>-3.9860739999999999E-2</v>
      </c>
      <c r="W2037">
        <v>0.16685220000000001</v>
      </c>
      <c r="X2037">
        <v>0.98517580000000005</v>
      </c>
      <c r="Y2037">
        <v>1.8057050000000002E-2</v>
      </c>
      <c r="Z2037" s="1">
        <v>1.11308E-5</v>
      </c>
      <c r="AA2037">
        <v>0.99983699999999998</v>
      </c>
      <c r="AB2037">
        <v>29</v>
      </c>
      <c r="AC2037">
        <v>-55.772999999999897</v>
      </c>
      <c r="AD2037">
        <v>-1.1093409783049999</v>
      </c>
      <c r="AE2037">
        <v>2.3858999999999901</v>
      </c>
      <c r="AF2037">
        <v>1.01077407074379</v>
      </c>
      <c r="AG2037">
        <v>-1.1093409783049999</v>
      </c>
      <c r="AH2037">
        <v>55.792818229119497</v>
      </c>
      <c r="AI2037">
        <v>91.138887765937994</v>
      </c>
      <c r="AJ2037">
        <v>88.962110975953394</v>
      </c>
      <c r="AK2037">
        <v>55.812999091392697</v>
      </c>
      <c r="AL2037">
        <v>80.395150010181297</v>
      </c>
      <c r="AM2037">
        <v>92.316954120438595</v>
      </c>
      <c r="AN2037">
        <v>0.999999946071912</v>
      </c>
    </row>
    <row r="2038" spans="1:40" x14ac:dyDescent="0.25">
      <c r="A2038" t="str">
        <f>"20190304155635179"</f>
        <v>20190304155635179</v>
      </c>
      <c r="B2038" t="str">
        <f>"1551686195176273"</f>
        <v>1551686195176273</v>
      </c>
      <c r="C2038" t="s">
        <v>40</v>
      </c>
      <c r="D2038">
        <v>4.5993729999999999</v>
      </c>
      <c r="E2038">
        <v>0.52359630000000001</v>
      </c>
      <c r="F2038" t="s">
        <v>55</v>
      </c>
      <c r="G2038">
        <v>-335.78449999999998</v>
      </c>
      <c r="H2038" s="1">
        <v>1.47406E-6</v>
      </c>
      <c r="I2038">
        <v>286.15719999999999</v>
      </c>
      <c r="J2038">
        <v>-279.31020000000001</v>
      </c>
      <c r="K2038">
        <v>1.109343</v>
      </c>
      <c r="L2038">
        <v>283.71449999999999</v>
      </c>
      <c r="M2038">
        <v>-0.99964509999999995</v>
      </c>
      <c r="N2038">
        <v>-9.5165330000000006E-3</v>
      </c>
      <c r="O2038">
        <v>2.4884150000000001E-2</v>
      </c>
      <c r="P2038">
        <v>-0.98741990000000002</v>
      </c>
      <c r="Q2038">
        <v>0.1573533</v>
      </c>
      <c r="R2038">
        <v>-1.556563E-2</v>
      </c>
      <c r="S2038">
        <v>-3.0498660000000002</v>
      </c>
      <c r="T2038">
        <v>-5.974674E-2</v>
      </c>
      <c r="U2038">
        <v>0.1317749</v>
      </c>
      <c r="V2038">
        <v>-3.9981549999999998E-2</v>
      </c>
      <c r="W2038">
        <v>0.1667727</v>
      </c>
      <c r="X2038">
        <v>0.98518439999999996</v>
      </c>
      <c r="Y2038">
        <v>1.8287129999999999E-2</v>
      </c>
      <c r="Z2038" s="1">
        <v>1.5733279999999999E-5</v>
      </c>
      <c r="AA2038">
        <v>0.99983270000000002</v>
      </c>
      <c r="AB2038">
        <v>29</v>
      </c>
      <c r="AC2038">
        <v>-56.4742999999999</v>
      </c>
      <c r="AD2038">
        <v>-1.1093415259399999</v>
      </c>
      <c r="AE2038">
        <v>2.4426999999999999</v>
      </c>
      <c r="AF2038">
        <v>1.0361659472184199</v>
      </c>
      <c r="AG2038">
        <v>-1.1093415259399999</v>
      </c>
      <c r="AH2038">
        <v>56.495839208184897</v>
      </c>
      <c r="AI2038">
        <v>91.124715342072506</v>
      </c>
      <c r="AJ2038">
        <v>88.949280492765197</v>
      </c>
      <c r="AK2038">
        <v>56.516228875681698</v>
      </c>
      <c r="AL2038">
        <v>80.399770081652704</v>
      </c>
      <c r="AM2038">
        <v>92.323948396788794</v>
      </c>
      <c r="AN2038">
        <v>0.99999997990452605</v>
      </c>
    </row>
    <row r="2039" spans="1:40" x14ac:dyDescent="0.25">
      <c r="A2039" t="str">
        <f>"20190304155635198"</f>
        <v>20190304155635198</v>
      </c>
      <c r="B2039" t="str">
        <f>"1551686195187012"</f>
        <v>1551686195187012</v>
      </c>
      <c r="C2039" t="s">
        <v>40</v>
      </c>
      <c r="D2039">
        <v>4.7315509999999996</v>
      </c>
      <c r="E2039">
        <v>0.52398199999999995</v>
      </c>
      <c r="F2039" t="s">
        <v>55</v>
      </c>
      <c r="G2039">
        <v>-336.61200000000002</v>
      </c>
      <c r="H2039" s="1">
        <v>1.91166E-6</v>
      </c>
      <c r="I2039">
        <v>286.2208</v>
      </c>
      <c r="J2039">
        <v>-279.56479999999999</v>
      </c>
      <c r="K2039">
        <v>1.1093309999999901</v>
      </c>
      <c r="L2039">
        <v>283.72129999999999</v>
      </c>
      <c r="M2039">
        <v>-0.99963440000000003</v>
      </c>
      <c r="N2039">
        <v>-9.517724E-3</v>
      </c>
      <c r="O2039">
        <v>2.5306200000000001E-2</v>
      </c>
      <c r="P2039">
        <v>-0.98739690000000002</v>
      </c>
      <c r="Q2039">
        <v>0.1574998</v>
      </c>
      <c r="R2039">
        <v>-1.552893E-2</v>
      </c>
      <c r="S2039">
        <v>-3.049744</v>
      </c>
      <c r="T2039">
        <v>-5.9041860000000002E-2</v>
      </c>
      <c r="U2039">
        <v>0.13339229999999899</v>
      </c>
      <c r="V2039">
        <v>-4.0356330000000003E-2</v>
      </c>
      <c r="W2039">
        <v>0.16692179999999901</v>
      </c>
      <c r="X2039">
        <v>0.98514389999999996</v>
      </c>
      <c r="Y2039">
        <v>1.8396010000000001E-2</v>
      </c>
      <c r="Z2039" s="1">
        <v>1.6825619999999998E-5</v>
      </c>
      <c r="AA2039">
        <v>0.99983080000000002</v>
      </c>
      <c r="AB2039">
        <v>29</v>
      </c>
      <c r="AC2039">
        <v>-57.047199999999897</v>
      </c>
      <c r="AD2039">
        <v>-1.10932908833999</v>
      </c>
      <c r="AE2039">
        <v>2.49950000000001</v>
      </c>
      <c r="AF2039">
        <v>1.0545881376941399</v>
      </c>
      <c r="AG2039">
        <v>-1.10932908833999</v>
      </c>
      <c r="AH2039">
        <v>57.070645191288001</v>
      </c>
      <c r="AI2039">
        <v>91.113374955238697</v>
      </c>
      <c r="AJ2039">
        <v>88.941372167462902</v>
      </c>
      <c r="AK2039">
        <v>57.0911666522614</v>
      </c>
      <c r="AL2039">
        <v>80.391106145073195</v>
      </c>
      <c r="AM2039">
        <v>92.345804784420594</v>
      </c>
      <c r="AN2039">
        <v>1.0000000121967501</v>
      </c>
    </row>
    <row r="2040" spans="1:40" x14ac:dyDescent="0.25">
      <c r="A2040" t="str">
        <f>"20190304155635211"</f>
        <v>20190304155635211</v>
      </c>
      <c r="B2040" t="str">
        <f>"1551686195206528"</f>
        <v>1551686195206528</v>
      </c>
      <c r="C2040" t="s">
        <v>40</v>
      </c>
      <c r="D2040">
        <v>4.78559</v>
      </c>
      <c r="E2040">
        <v>0.52345379999999997</v>
      </c>
      <c r="F2040" t="s">
        <v>55</v>
      </c>
      <c r="G2040">
        <v>-337.21429999999998</v>
      </c>
      <c r="H2040" s="1">
        <v>2.2283860000000002E-6</v>
      </c>
      <c r="I2040">
        <v>286.3073</v>
      </c>
      <c r="J2040">
        <v>-279.73410000000001</v>
      </c>
      <c r="K2040">
        <v>1.109321</v>
      </c>
      <c r="L2040">
        <v>283.72579999999999</v>
      </c>
      <c r="M2040">
        <v>-0.99962720000000005</v>
      </c>
      <c r="N2040">
        <v>-9.5186620000000007E-3</v>
      </c>
      <c r="O2040">
        <v>2.559256E-2</v>
      </c>
      <c r="P2040">
        <v>-0.98735479999999998</v>
      </c>
      <c r="Q2040">
        <v>0.15776479999999901</v>
      </c>
      <c r="R2040">
        <v>-1.552538E-2</v>
      </c>
      <c r="S2040">
        <v>-3.0498050000000001</v>
      </c>
      <c r="T2040">
        <v>-5.8686380000000003E-2</v>
      </c>
      <c r="U2040">
        <v>0.1368103</v>
      </c>
      <c r="V2040">
        <v>-4.0630220000000002E-2</v>
      </c>
      <c r="W2040">
        <v>0.1671879</v>
      </c>
      <c r="X2040">
        <v>0.9850875</v>
      </c>
      <c r="Y2040">
        <v>1.922685E-2</v>
      </c>
      <c r="Z2040" s="1">
        <v>2.791384E-5</v>
      </c>
      <c r="AA2040">
        <v>0.99981520000000002</v>
      </c>
      <c r="AB2040">
        <v>29</v>
      </c>
      <c r="AC2040">
        <v>-57.480199999999897</v>
      </c>
      <c r="AD2040">
        <v>-1.1093187716140001</v>
      </c>
      <c r="AE2040">
        <v>2.5815000000000001</v>
      </c>
      <c r="AF2040">
        <v>1.1091100821511799</v>
      </c>
      <c r="AG2040">
        <v>-1.1093187716140001</v>
      </c>
      <c r="AH2040">
        <v>57.506065805422203</v>
      </c>
      <c r="AI2040">
        <v>91.104919749189705</v>
      </c>
      <c r="AJ2040">
        <v>88.895082664716398</v>
      </c>
      <c r="AK2040">
        <v>57.527457076850901</v>
      </c>
      <c r="AL2040">
        <v>80.375642275545104</v>
      </c>
      <c r="AM2040">
        <v>92.361842369743599</v>
      </c>
      <c r="AN2040">
        <v>0.99999999566995401</v>
      </c>
    </row>
    <row r="2041" spans="1:40" x14ac:dyDescent="0.25">
      <c r="A2041" t="str">
        <f>"20190304155635224"</f>
        <v>20190304155635224</v>
      </c>
      <c r="B2041" t="str">
        <f>"1551686195216289"</f>
        <v>1551686195216289</v>
      </c>
      <c r="C2041" t="s">
        <v>40</v>
      </c>
      <c r="D2041">
        <v>4.6387369999999999</v>
      </c>
      <c r="E2041">
        <v>0.52333589999999997</v>
      </c>
      <c r="F2041" t="s">
        <v>55</v>
      </c>
      <c r="G2041">
        <v>-336.51670000000001</v>
      </c>
      <c r="H2041" s="1">
        <v>1.8619699999999999E-6</v>
      </c>
      <c r="I2041">
        <v>286.19729999999998</v>
      </c>
      <c r="J2041">
        <v>-279.90750000000003</v>
      </c>
      <c r="K2041">
        <v>1.1093109999999999</v>
      </c>
      <c r="L2041">
        <v>283.73059999999998</v>
      </c>
      <c r="M2041">
        <v>-0.99961940000000005</v>
      </c>
      <c r="N2041">
        <v>-9.5198430000000001E-3</v>
      </c>
      <c r="O2041">
        <v>2.589346E-2</v>
      </c>
      <c r="P2041">
        <v>-0.98735280000000003</v>
      </c>
      <c r="Q2041">
        <v>0.15778589999999901</v>
      </c>
      <c r="R2041">
        <v>-1.5432990000000001E-2</v>
      </c>
      <c r="S2041">
        <v>-3.050049</v>
      </c>
      <c r="T2041">
        <v>-5.9586519999999997E-2</v>
      </c>
      <c r="U2041">
        <v>0.13275149999999999</v>
      </c>
      <c r="V2041">
        <v>-4.0831569999999998E-2</v>
      </c>
      <c r="W2041">
        <v>0.1672109</v>
      </c>
      <c r="X2041">
        <v>0.98507529999999999</v>
      </c>
      <c r="Y2041">
        <v>1.75947999999999E-2</v>
      </c>
      <c r="Z2041" s="1">
        <v>-3.452369E-6</v>
      </c>
      <c r="AA2041">
        <v>0.99984519999999999</v>
      </c>
      <c r="AB2041">
        <v>29</v>
      </c>
      <c r="AC2041">
        <v>-56.609199999999902</v>
      </c>
      <c r="AD2041">
        <v>-1.10930913803</v>
      </c>
      <c r="AE2041">
        <v>2.4666999999999999</v>
      </c>
      <c r="AF2041">
        <v>0.999615286280233</v>
      </c>
      <c r="AG2041">
        <v>-1.10930913803</v>
      </c>
      <c r="AH2041">
        <v>56.632386348143498</v>
      </c>
      <c r="AI2041">
        <v>91.121985386012597</v>
      </c>
      <c r="AJ2041">
        <v>88.988780204158004</v>
      </c>
      <c r="AK2041">
        <v>56.652069520624501</v>
      </c>
      <c r="AL2041">
        <v>80.374305936626001</v>
      </c>
      <c r="AM2041">
        <v>92.373562892229501</v>
      </c>
      <c r="AN2041">
        <v>1.0000000244287801</v>
      </c>
    </row>
    <row r="2042" spans="1:40" x14ac:dyDescent="0.25">
      <c r="A2042" t="str">
        <f>"20190304155635243"</f>
        <v>20190304155635243</v>
      </c>
      <c r="B2042" t="str">
        <f>"1551686195236785"</f>
        <v>1551686195236785</v>
      </c>
      <c r="C2042" t="s">
        <v>40</v>
      </c>
      <c r="D2042">
        <v>4.6275449999999996</v>
      </c>
      <c r="E2042">
        <v>0.5229992</v>
      </c>
      <c r="F2042" t="s">
        <v>55</v>
      </c>
      <c r="G2042">
        <v>-335.35879999999997</v>
      </c>
      <c r="H2042" s="1">
        <v>1.2487439999999999E-6</v>
      </c>
      <c r="I2042">
        <v>286.13</v>
      </c>
      <c r="J2042">
        <v>-280.15719999999999</v>
      </c>
      <c r="K2042">
        <v>1.109294</v>
      </c>
      <c r="L2042">
        <v>283.73750000000001</v>
      </c>
      <c r="M2042">
        <v>-0.99960789999999999</v>
      </c>
      <c r="N2042">
        <v>-9.5217540000000003E-3</v>
      </c>
      <c r="O2042">
        <v>2.6334650000000001E-2</v>
      </c>
      <c r="P2042">
        <v>-0.98731429999999998</v>
      </c>
      <c r="Q2042">
        <v>0.15800149999999999</v>
      </c>
      <c r="R2042">
        <v>-1.5683989999999998E-2</v>
      </c>
      <c r="S2042">
        <v>-3.050262</v>
      </c>
      <c r="T2042">
        <v>-6.1020850000000001E-2</v>
      </c>
      <c r="U2042">
        <v>0.13198850000000001</v>
      </c>
      <c r="V2042">
        <v>-4.1511550000000001E-2</v>
      </c>
      <c r="W2042">
        <v>0.16743</v>
      </c>
      <c r="X2042">
        <v>0.98500969999999999</v>
      </c>
      <c r="Y2042">
        <v>1.6900999999999999E-2</v>
      </c>
      <c r="Z2042" s="1">
        <v>-2.6251079999999999E-5</v>
      </c>
      <c r="AA2042">
        <v>0.9998572</v>
      </c>
      <c r="AB2042">
        <v>29</v>
      </c>
      <c r="AC2042">
        <v>-55.2015999999999</v>
      </c>
      <c r="AD2042">
        <v>-1.109292751256</v>
      </c>
      <c r="AE2042">
        <v>2.3924999999999801</v>
      </c>
      <c r="AF2042">
        <v>0.93751166382171902</v>
      </c>
      <c r="AG2042">
        <v>-1.109292751256</v>
      </c>
      <c r="AH2042">
        <v>55.223203429558403</v>
      </c>
      <c r="AI2042">
        <v>91.150604981845703</v>
      </c>
      <c r="AJ2042">
        <v>89.027396118295499</v>
      </c>
      <c r="AK2042">
        <v>55.242299513599001</v>
      </c>
      <c r="AL2042">
        <v>80.361573288503294</v>
      </c>
      <c r="AM2042">
        <v>92.413204697399095</v>
      </c>
      <c r="AN2042">
        <v>1.0000000613887401</v>
      </c>
    </row>
    <row r="2043" spans="1:40" x14ac:dyDescent="0.25">
      <c r="A2043" t="str">
        <f>"20190304155635256"</f>
        <v>20190304155635256</v>
      </c>
      <c r="B2043" t="str">
        <f>"1551686195246545"</f>
        <v>1551686195246545</v>
      </c>
      <c r="C2043" t="s">
        <v>40</v>
      </c>
      <c r="D2043">
        <v>4.6404500000000004</v>
      </c>
      <c r="E2043">
        <v>0.52296229999999999</v>
      </c>
      <c r="F2043" t="s">
        <v>55</v>
      </c>
      <c r="G2043">
        <v>-334.55970000000002</v>
      </c>
      <c r="H2043" s="1">
        <v>8.2801610000000001E-7</v>
      </c>
      <c r="I2043">
        <v>286.02659999999997</v>
      </c>
      <c r="J2043">
        <v>-280.32029999999997</v>
      </c>
      <c r="K2043">
        <v>1.109286</v>
      </c>
      <c r="L2043">
        <v>283.74200000000002</v>
      </c>
      <c r="M2043">
        <v>-0.99960009999999999</v>
      </c>
      <c r="N2043">
        <v>-9.5231780000000002E-3</v>
      </c>
      <c r="O2043">
        <v>2.6629110000000001E-2</v>
      </c>
      <c r="P2043">
        <v>-0.98730640000000003</v>
      </c>
      <c r="Q2043">
        <v>0.15807019999999999</v>
      </c>
      <c r="R2043">
        <v>-1.54961E-2</v>
      </c>
      <c r="S2043">
        <v>-3.0505070000000001</v>
      </c>
      <c r="T2043">
        <v>-6.2201260000000001E-2</v>
      </c>
      <c r="U2043">
        <v>0.1283569</v>
      </c>
      <c r="V2043">
        <v>-4.1610620000000001E-2</v>
      </c>
      <c r="W2043">
        <v>0.16750100000000001</v>
      </c>
      <c r="X2043">
        <v>0.98499340000000002</v>
      </c>
      <c r="Y2043">
        <v>1.541525E-2</v>
      </c>
      <c r="Z2043" s="1">
        <v>-5.850554E-5</v>
      </c>
      <c r="AA2043">
        <v>0.99988109999999997</v>
      </c>
      <c r="AB2043">
        <v>29</v>
      </c>
      <c r="AC2043">
        <v>-54.239400000000003</v>
      </c>
      <c r="AD2043">
        <v>-1.1092851719838901</v>
      </c>
      <c r="AE2043">
        <v>2.28459999999995</v>
      </c>
      <c r="AF2043">
        <v>0.83902711673851105</v>
      </c>
      <c r="AG2043">
        <v>-1.1092851719838901</v>
      </c>
      <c r="AH2043">
        <v>54.2583491851735</v>
      </c>
      <c r="AI2043">
        <v>91.171080804768195</v>
      </c>
      <c r="AJ2043">
        <v>89.114074014118401</v>
      </c>
      <c r="AK2043">
        <v>54.276172823768803</v>
      </c>
      <c r="AL2043">
        <v>80.357446549507998</v>
      </c>
      <c r="AM2043">
        <v>92.418997115638703</v>
      </c>
      <c r="AN2043">
        <v>1.0000000133706699</v>
      </c>
    </row>
    <row r="2044" spans="1:40" x14ac:dyDescent="0.25">
      <c r="A2044" t="str">
        <f>"20190304155635268"</f>
        <v>20190304155635268</v>
      </c>
      <c r="B2044" t="str">
        <f>"1551686195256305"</f>
        <v>1551686195256305</v>
      </c>
      <c r="C2044" t="s">
        <v>40</v>
      </c>
      <c r="D2044">
        <v>4.6840199999999896</v>
      </c>
      <c r="E2044">
        <v>0.52287980000000001</v>
      </c>
      <c r="F2044" t="s">
        <v>55</v>
      </c>
      <c r="G2044">
        <v>-333.81950000000001</v>
      </c>
      <c r="H2044" s="1">
        <v>4.3529220000000002E-7</v>
      </c>
      <c r="I2044">
        <v>285.99939999999998</v>
      </c>
      <c r="J2044">
        <v>-280.48649999999998</v>
      </c>
      <c r="K2044">
        <v>1.1092770000000001</v>
      </c>
      <c r="L2044">
        <v>283.74680000000001</v>
      </c>
      <c r="M2044">
        <v>-0.99959189999999998</v>
      </c>
      <c r="N2044">
        <v>-9.5247509999999997E-3</v>
      </c>
      <c r="O2044">
        <v>2.693334E-2</v>
      </c>
      <c r="P2044">
        <v>-0.98726510000000001</v>
      </c>
      <c r="Q2044">
        <v>0.1583251</v>
      </c>
      <c r="R2044">
        <v>-1.551743E-2</v>
      </c>
      <c r="S2044">
        <v>-3.0507200000000001</v>
      </c>
      <c r="T2044">
        <v>-6.3255549999999994E-2</v>
      </c>
      <c r="U2044">
        <v>0.12872310000000001</v>
      </c>
      <c r="V2044">
        <v>-4.1928149999999997E-2</v>
      </c>
      <c r="W2044">
        <v>0.16775809999999999</v>
      </c>
      <c r="X2044">
        <v>0.98493620000000004</v>
      </c>
      <c r="Y2044">
        <v>1.5227849999999999E-2</v>
      </c>
      <c r="Z2044" s="1">
        <v>-7.1194019999999998E-5</v>
      </c>
      <c r="AA2044">
        <v>0.99988410000000005</v>
      </c>
      <c r="AB2044">
        <v>29</v>
      </c>
      <c r="AC2044">
        <v>-53.332999999999998</v>
      </c>
      <c r="AD2044">
        <v>-1.1092765647078</v>
      </c>
      <c r="AE2044">
        <v>2.25259999999997</v>
      </c>
      <c r="AF2044">
        <v>0.81492992468157699</v>
      </c>
      <c r="AG2044">
        <v>-1.1092765647078</v>
      </c>
      <c r="AH2044">
        <v>53.351284793926702</v>
      </c>
      <c r="AI2044">
        <v>91.190979737877299</v>
      </c>
      <c r="AJ2044">
        <v>89.124886784154697</v>
      </c>
      <c r="AK2044">
        <v>53.369037788232802</v>
      </c>
      <c r="AL2044">
        <v>80.342504574695994</v>
      </c>
      <c r="AM2044">
        <v>92.437575649105597</v>
      </c>
      <c r="AN2044">
        <v>1.0000000339742301</v>
      </c>
    </row>
    <row r="2045" spans="1:40" x14ac:dyDescent="0.25">
      <c r="A2045" t="str">
        <f>"20190304155635281"</f>
        <v>20190304155635281</v>
      </c>
      <c r="B2045" t="str">
        <f>"1551686195276802"</f>
        <v>1551686195276802</v>
      </c>
      <c r="C2045" t="s">
        <v>40</v>
      </c>
      <c r="D2045">
        <v>4.6438290000000002</v>
      </c>
      <c r="E2045">
        <v>0.52294770000000002</v>
      </c>
      <c r="F2045" t="s">
        <v>55</v>
      </c>
      <c r="G2045">
        <v>-333.9803</v>
      </c>
      <c r="H2045" s="1">
        <v>5.2122900000000004E-7</v>
      </c>
      <c r="I2045">
        <v>285.99099999999999</v>
      </c>
      <c r="J2045">
        <v>-280.6508</v>
      </c>
      <c r="K2045">
        <v>1.1092740000000001</v>
      </c>
      <c r="L2045">
        <v>283.75150000000002</v>
      </c>
      <c r="M2045">
        <v>-0.99958369999999996</v>
      </c>
      <c r="N2045">
        <v>-9.5263569999999992E-3</v>
      </c>
      <c r="O2045">
        <v>2.7240250000000001E-2</v>
      </c>
      <c r="P2045">
        <v>-0.98723499999999997</v>
      </c>
      <c r="Q2045">
        <v>0.15853159999999999</v>
      </c>
      <c r="R2045">
        <v>-1.53261E-2</v>
      </c>
      <c r="S2045">
        <v>-3.0508419999999998</v>
      </c>
      <c r="T2045">
        <v>-6.3263890000000003E-2</v>
      </c>
      <c r="U2045">
        <v>0.12799070000000001</v>
      </c>
      <c r="V2045">
        <v>-4.2035120000000002E-2</v>
      </c>
      <c r="W2045">
        <v>0.1679668</v>
      </c>
      <c r="X2045">
        <v>0.98489610000000005</v>
      </c>
      <c r="Y2045">
        <v>1.467973E-2</v>
      </c>
      <c r="Z2045" s="1">
        <v>-8.2902539999999997E-5</v>
      </c>
      <c r="AA2045">
        <v>0.99989220000000001</v>
      </c>
      <c r="AB2045">
        <v>29</v>
      </c>
      <c r="AC2045">
        <v>-53.329500000000003</v>
      </c>
      <c r="AD2045">
        <v>-1.1092734787709999</v>
      </c>
      <c r="AE2045">
        <v>2.2394999999999601</v>
      </c>
      <c r="AF2045">
        <v>0.785555028815345</v>
      </c>
      <c r="AG2045">
        <v>-1.1092734787709999</v>
      </c>
      <c r="AH2045">
        <v>53.347675224867402</v>
      </c>
      <c r="AI2045">
        <v>91.1910667993467</v>
      </c>
      <c r="AJ2045">
        <v>89.156369329331895</v>
      </c>
      <c r="AK2045">
        <v>53.364988862098798</v>
      </c>
      <c r="AL2045">
        <v>80.330375108542398</v>
      </c>
      <c r="AM2045">
        <v>92.4438864089622</v>
      </c>
      <c r="AN2045">
        <v>1.0000000625054299</v>
      </c>
    </row>
    <row r="2046" spans="1:40" x14ac:dyDescent="0.25">
      <c r="A2046" t="str">
        <f>"20190304155635300"</f>
        <v>20190304155635300</v>
      </c>
      <c r="B2046" t="str">
        <f>"1551686195296321"</f>
        <v>1551686195296321</v>
      </c>
      <c r="C2046" t="s">
        <v>40</v>
      </c>
      <c r="D2046">
        <v>4.6534129999999996</v>
      </c>
      <c r="E2046">
        <v>0.52298619999999996</v>
      </c>
      <c r="F2046" t="s">
        <v>55</v>
      </c>
      <c r="G2046">
        <v>-333.46730000000002</v>
      </c>
      <c r="H2046" s="1">
        <v>2.4855760000000003E-7</v>
      </c>
      <c r="I2046">
        <v>285.98399999999998</v>
      </c>
      <c r="J2046">
        <v>-280.89460000000003</v>
      </c>
      <c r="K2046">
        <v>1.109264</v>
      </c>
      <c r="L2046">
        <v>283.7586</v>
      </c>
      <c r="M2046">
        <v>-0.99957079999999998</v>
      </c>
      <c r="N2046">
        <v>-9.5287710000000001E-3</v>
      </c>
      <c r="O2046">
        <v>2.7701190000000001E-2</v>
      </c>
      <c r="P2046">
        <v>-0.98719920000000005</v>
      </c>
      <c r="Q2046">
        <v>0.1587324</v>
      </c>
      <c r="R2046">
        <v>-1.5561719999999999E-2</v>
      </c>
      <c r="S2046">
        <v>-3.051056</v>
      </c>
      <c r="T2046">
        <v>-6.4079520000000001E-2</v>
      </c>
      <c r="U2046">
        <v>0.12896730000000001</v>
      </c>
      <c r="V2046">
        <v>-4.2720210000000002E-2</v>
      </c>
      <c r="W2046">
        <v>0.16817079999999901</v>
      </c>
      <c r="X2046">
        <v>0.98483180000000003</v>
      </c>
      <c r="Y2046">
        <v>1.453523E-2</v>
      </c>
      <c r="Z2046" s="1">
        <v>-9.5585090000000007E-5</v>
      </c>
      <c r="AA2046">
        <v>0.99989439999999996</v>
      </c>
      <c r="AB2046">
        <v>29</v>
      </c>
      <c r="AC2046">
        <v>-52.572699999999998</v>
      </c>
      <c r="AD2046">
        <v>-1.1092637514424</v>
      </c>
      <c r="AE2046">
        <v>2.2254000000000298</v>
      </c>
      <c r="AF2046">
        <v>0.767812190946078</v>
      </c>
      <c r="AG2046">
        <v>-1.1092637514424</v>
      </c>
      <c r="AH2046">
        <v>52.590801117928599</v>
      </c>
      <c r="AI2046">
        <v>91.208194929572201</v>
      </c>
      <c r="AJ2046">
        <v>89.163555759411395</v>
      </c>
      <c r="AK2046">
        <v>52.608101694096</v>
      </c>
      <c r="AL2046">
        <v>80.318518027412097</v>
      </c>
      <c r="AM2046">
        <v>92.483829441688997</v>
      </c>
      <c r="AN2046">
        <v>1.00000005430316</v>
      </c>
    </row>
    <row r="2047" spans="1:40" x14ac:dyDescent="0.25">
      <c r="A2047" t="str">
        <f>"20190304155635314"</f>
        <v>20190304155635314</v>
      </c>
      <c r="B2047" t="str">
        <f>"1551686195307056"</f>
        <v>1551686195307056</v>
      </c>
      <c r="C2047" t="s">
        <v>40</v>
      </c>
      <c r="D2047">
        <v>4.6386710000000004</v>
      </c>
      <c r="E2047">
        <v>0.52304200000000001</v>
      </c>
      <c r="F2047" t="s">
        <v>55</v>
      </c>
      <c r="G2047">
        <v>-333.22390000000001</v>
      </c>
      <c r="H2047" s="1">
        <v>1.19844899999999E-7</v>
      </c>
      <c r="I2047">
        <v>285.96510000000001</v>
      </c>
      <c r="J2047">
        <v>-281.07900000000001</v>
      </c>
      <c r="K2047">
        <v>1.109259</v>
      </c>
      <c r="L2047">
        <v>283.76409999999998</v>
      </c>
      <c r="M2047">
        <v>-0.99956109999999998</v>
      </c>
      <c r="N2047">
        <v>-9.5306369999999998E-3</v>
      </c>
      <c r="O2047">
        <v>2.8053749999999999E-2</v>
      </c>
      <c r="P2047">
        <v>-0.98718070000000002</v>
      </c>
      <c r="Q2047">
        <v>0.1588802</v>
      </c>
      <c r="R2047">
        <v>-1.5223570000000001E-2</v>
      </c>
      <c r="S2047">
        <v>-3.0513309999999998</v>
      </c>
      <c r="T2047">
        <v>-6.4681409999999995E-2</v>
      </c>
      <c r="U2047">
        <v>0.1286621</v>
      </c>
      <c r="V2047">
        <v>-4.2727080000000001E-2</v>
      </c>
      <c r="W2047">
        <v>0.1683212</v>
      </c>
      <c r="X2047">
        <v>0.98480579999999995</v>
      </c>
      <c r="Y2047">
        <v>1.4079100000000001E-2</v>
      </c>
      <c r="Z2047">
        <v>-1.1061959999999999E-4</v>
      </c>
      <c r="AA2047">
        <v>0.99990089999999998</v>
      </c>
      <c r="AB2047">
        <v>29</v>
      </c>
      <c r="AC2047">
        <v>-52.1449</v>
      </c>
      <c r="AD2047">
        <v>-1.1092588801551</v>
      </c>
      <c r="AE2047">
        <v>2.2010000000000201</v>
      </c>
      <c r="AF2047">
        <v>0.73687452615633697</v>
      </c>
      <c r="AG2047">
        <v>-1.1092588801551</v>
      </c>
      <c r="AH2047">
        <v>52.162560988465899</v>
      </c>
      <c r="AI2047">
        <v>91.2181138256568</v>
      </c>
      <c r="AJ2047">
        <v>89.190664885276902</v>
      </c>
      <c r="AK2047">
        <v>52.179557378401803</v>
      </c>
      <c r="AL2047">
        <v>80.309776053056098</v>
      </c>
      <c r="AM2047">
        <v>92.484293879709298</v>
      </c>
      <c r="AN2047">
        <v>1.0000000467242001</v>
      </c>
    </row>
    <row r="2048" spans="1:40" x14ac:dyDescent="0.25">
      <c r="A2048" t="str">
        <f>"20190304155635334"</f>
        <v>20190304155635334</v>
      </c>
      <c r="B2048" t="str">
        <f>"1551686195326577"</f>
        <v>1551686195326577</v>
      </c>
      <c r="C2048" t="s">
        <v>40</v>
      </c>
      <c r="D2048">
        <v>4.6525689999999997</v>
      </c>
      <c r="E2048">
        <v>0.52311969999999997</v>
      </c>
      <c r="F2048" t="s">
        <v>55</v>
      </c>
      <c r="G2048">
        <v>-333.63889999999998</v>
      </c>
      <c r="H2048" s="1">
        <v>3.3899409999999898E-7</v>
      </c>
      <c r="I2048">
        <v>286.00400000000002</v>
      </c>
      <c r="J2048">
        <v>-281.3519</v>
      </c>
      <c r="K2048">
        <v>1.109256</v>
      </c>
      <c r="L2048">
        <v>283.77229999999997</v>
      </c>
      <c r="M2048">
        <v>-0.99954600000000005</v>
      </c>
      <c r="N2048">
        <v>-9.5335620000000006E-3</v>
      </c>
      <c r="O2048">
        <v>2.8581479999999999E-2</v>
      </c>
      <c r="P2048">
        <v>-0.98716809999999999</v>
      </c>
      <c r="Q2048">
        <v>0.15898899999999999</v>
      </c>
      <c r="R2048">
        <v>-1.4898639999999999E-2</v>
      </c>
      <c r="S2048">
        <v>-3.0513309999999998</v>
      </c>
      <c r="T2048">
        <v>-6.4397339999999997E-2</v>
      </c>
      <c r="U2048">
        <v>0.1300354</v>
      </c>
      <c r="V2048">
        <v>-4.2919239999999997E-2</v>
      </c>
      <c r="W2048">
        <v>0.16843350000000001</v>
      </c>
      <c r="X2048">
        <v>0.98477820000000005</v>
      </c>
      <c r="Y2048">
        <v>1.4000459999999999E-2</v>
      </c>
      <c r="Z2048">
        <v>-1.158564E-4</v>
      </c>
      <c r="AA2048">
        <v>0.99990199999999996</v>
      </c>
      <c r="AB2048">
        <v>30</v>
      </c>
      <c r="AC2048">
        <v>-52.2869999999999</v>
      </c>
      <c r="AD2048">
        <v>-1.1092556610058999</v>
      </c>
      <c r="AE2048">
        <v>2.23170000000004</v>
      </c>
      <c r="AF2048">
        <v>0.73594980211451599</v>
      </c>
      <c r="AG2048">
        <v>-1.1092556610058999</v>
      </c>
      <c r="AH2048">
        <v>52.305926938247403</v>
      </c>
      <c r="AI2048">
        <v>91.214773525631003</v>
      </c>
      <c r="AJ2048">
        <v>89.193895647478399</v>
      </c>
      <c r="AK2048">
        <v>52.322863674516</v>
      </c>
      <c r="AL2048">
        <v>80.303248124589899</v>
      </c>
      <c r="AM2048">
        <v>92.495522456407897</v>
      </c>
      <c r="AN2048">
        <v>1.00000000413983</v>
      </c>
    </row>
    <row r="2049" spans="1:40" x14ac:dyDescent="0.25">
      <c r="A2049" t="str">
        <f>"20190304155635355"</f>
        <v>20190304155635355</v>
      </c>
      <c r="B2049" t="str">
        <f>"1551686195347075"</f>
        <v>1551686195347075</v>
      </c>
      <c r="C2049" t="s">
        <v>40</v>
      </c>
      <c r="D2049">
        <v>4.652704</v>
      </c>
      <c r="E2049">
        <v>0.52291350000000003</v>
      </c>
      <c r="F2049" t="s">
        <v>55</v>
      </c>
      <c r="G2049">
        <v>-333.45569999999998</v>
      </c>
      <c r="H2049" s="1">
        <v>2.4077239999999998E-7</v>
      </c>
      <c r="I2049">
        <v>286.02080000000001</v>
      </c>
      <c r="J2049">
        <v>-281.62950000000001</v>
      </c>
      <c r="K2049">
        <v>1.109254</v>
      </c>
      <c r="L2049">
        <v>283.7808</v>
      </c>
      <c r="M2049">
        <v>-0.99953040000000004</v>
      </c>
      <c r="N2049">
        <v>-9.5368290000000001E-3</v>
      </c>
      <c r="O2049">
        <v>2.9121939999999999E-2</v>
      </c>
      <c r="P2049">
        <v>-0.9870852</v>
      </c>
      <c r="Q2049">
        <v>0.15953529999999999</v>
      </c>
      <c r="R2049">
        <v>-1.4543E-2</v>
      </c>
      <c r="S2049">
        <v>-3.051453</v>
      </c>
      <c r="T2049">
        <v>-6.4963460000000001E-2</v>
      </c>
      <c r="U2049">
        <v>0.131683299999999</v>
      </c>
      <c r="V2049">
        <v>-4.3092169999999999E-2</v>
      </c>
      <c r="W2049">
        <v>0.16898250000000001</v>
      </c>
      <c r="X2049">
        <v>0.98467660000000001</v>
      </c>
      <c r="Y2049">
        <v>1.399714E-2</v>
      </c>
      <c r="Z2049">
        <v>-1.261054E-4</v>
      </c>
      <c r="AA2049">
        <v>0.99990199999999996</v>
      </c>
      <c r="AB2049">
        <v>30</v>
      </c>
      <c r="AC2049">
        <v>-51.826199999999901</v>
      </c>
      <c r="AD2049">
        <v>-1.1092537592275999</v>
      </c>
      <c r="AE2049">
        <v>2.2400000000000002</v>
      </c>
      <c r="AF2049">
        <v>0.72936826924314102</v>
      </c>
      <c r="AG2049">
        <v>-1.1092537592275999</v>
      </c>
      <c r="AH2049">
        <v>51.845746473471799</v>
      </c>
      <c r="AI2049">
        <v>91.225550460574794</v>
      </c>
      <c r="AJ2049">
        <v>89.194013591437894</v>
      </c>
      <c r="AK2049">
        <v>51.862740472964397</v>
      </c>
      <c r="AL2049">
        <v>80.2713353973528</v>
      </c>
      <c r="AM2049">
        <v>92.505822812662501</v>
      </c>
      <c r="AN2049">
        <v>1.0000000135045499</v>
      </c>
    </row>
    <row r="2050" spans="1:40" x14ac:dyDescent="0.25">
      <c r="A2050" t="str">
        <f>"20190304155635367"</f>
        <v>20190304155635367</v>
      </c>
      <c r="B2050" t="str">
        <f>"1551686195356833"</f>
        <v>1551686195356833</v>
      </c>
      <c r="C2050" t="s">
        <v>40</v>
      </c>
      <c r="D2050">
        <v>4.6377499999999996</v>
      </c>
      <c r="E2050">
        <v>0.52276219999999995</v>
      </c>
      <c r="F2050" t="s">
        <v>55</v>
      </c>
      <c r="G2050">
        <v>-335.92020000000002</v>
      </c>
      <c r="H2050" s="1">
        <v>1.5479320000000001E-6</v>
      </c>
      <c r="I2050">
        <v>286.12</v>
      </c>
      <c r="J2050">
        <v>-281.80290000000002</v>
      </c>
      <c r="K2050">
        <v>1.109253</v>
      </c>
      <c r="L2050">
        <v>283.78620000000001</v>
      </c>
      <c r="M2050">
        <v>-0.99952039999999998</v>
      </c>
      <c r="N2050">
        <v>-9.5389859999999993E-3</v>
      </c>
      <c r="O2050">
        <v>2.9460259999999999E-2</v>
      </c>
      <c r="P2050">
        <v>-0.98705770000000004</v>
      </c>
      <c r="Q2050">
        <v>0.15974279999999999</v>
      </c>
      <c r="R2050">
        <v>-1.412442E-2</v>
      </c>
      <c r="S2050">
        <v>-3.0512700000000001</v>
      </c>
      <c r="T2050">
        <v>-6.2342639999999998E-2</v>
      </c>
      <c r="U2050">
        <v>0.13146969999999999</v>
      </c>
      <c r="V2050">
        <v>-4.3005139999999997E-2</v>
      </c>
      <c r="W2050">
        <v>0.16919210000000001</v>
      </c>
      <c r="X2050">
        <v>0.98464439999999998</v>
      </c>
      <c r="Y2050">
        <v>1.3591570000000001E-2</v>
      </c>
      <c r="Z2050">
        <v>-1.168274E-4</v>
      </c>
      <c r="AA2050">
        <v>0.99990760000000001</v>
      </c>
      <c r="AB2050">
        <v>30</v>
      </c>
      <c r="AC2050">
        <v>-54.1173</v>
      </c>
      <c r="AD2050">
        <v>-1.1092514520679999</v>
      </c>
      <c r="AE2050">
        <v>2.3337999999999899</v>
      </c>
      <c r="AF2050">
        <v>0.73809507932061902</v>
      </c>
      <c r="AG2050">
        <v>-1.1092514520679999</v>
      </c>
      <c r="AH2050">
        <v>54.1398620881087</v>
      </c>
      <c r="AI2050">
        <v>91.173638614242705</v>
      </c>
      <c r="AJ2050">
        <v>89.218928316970604</v>
      </c>
      <c r="AK2050">
        <v>54.156254394570702</v>
      </c>
      <c r="AL2050">
        <v>80.259150639423297</v>
      </c>
      <c r="AM2050">
        <v>92.500850099735899</v>
      </c>
      <c r="AN2050">
        <v>1.0000000016100901</v>
      </c>
    </row>
    <row r="2051" spans="1:40" x14ac:dyDescent="0.25">
      <c r="A2051" t="str">
        <f>"20190304155635380"</f>
        <v>20190304155635380</v>
      </c>
      <c r="B2051" t="str">
        <f>"1551686195376353"</f>
        <v>1551686195376353</v>
      </c>
      <c r="C2051" t="s">
        <v>40</v>
      </c>
      <c r="D2051">
        <v>4.6378430000000002</v>
      </c>
      <c r="E2051">
        <v>0.52279979999999904</v>
      </c>
      <c r="F2051" t="s">
        <v>55</v>
      </c>
      <c r="G2051">
        <v>-334.83479999999997</v>
      </c>
      <c r="H2051" s="1">
        <v>9.7232239999999993E-7</v>
      </c>
      <c r="I2051">
        <v>286.07409999999999</v>
      </c>
      <c r="J2051">
        <v>-281.9615</v>
      </c>
      <c r="K2051">
        <v>1.1092489999999999</v>
      </c>
      <c r="L2051">
        <v>283.79109999999997</v>
      </c>
      <c r="M2051">
        <v>-0.99951129999999999</v>
      </c>
      <c r="N2051">
        <v>-9.5408909999999993E-3</v>
      </c>
      <c r="O2051">
        <v>2.977014E-2</v>
      </c>
      <c r="P2051">
        <v>-0.98698209999999997</v>
      </c>
      <c r="Q2051">
        <v>0.16023560000000001</v>
      </c>
      <c r="R2051">
        <v>-1.3819430000000001E-2</v>
      </c>
      <c r="S2051">
        <v>-3.0515439999999998</v>
      </c>
      <c r="T2051">
        <v>-6.382823E-2</v>
      </c>
      <c r="U2051">
        <v>0.13165279999999999</v>
      </c>
      <c r="V2051">
        <v>-4.3003310000000003E-2</v>
      </c>
      <c r="W2051">
        <v>0.169686</v>
      </c>
      <c r="X2051">
        <v>0.98455950000000003</v>
      </c>
      <c r="Y2051">
        <v>1.3337669999999999E-2</v>
      </c>
      <c r="Z2051">
        <v>-1.351208E-4</v>
      </c>
      <c r="AA2051">
        <v>0.99991110000000005</v>
      </c>
      <c r="AB2051">
        <v>30</v>
      </c>
      <c r="AC2051">
        <v>-52.873299999999901</v>
      </c>
      <c r="AD2051">
        <v>-1.1092480276776</v>
      </c>
      <c r="AE2051">
        <v>2.2830000000000101</v>
      </c>
      <c r="AF2051">
        <v>0.70756008666478398</v>
      </c>
      <c r="AG2051">
        <v>-1.1092480276776</v>
      </c>
      <c r="AH2051">
        <v>52.8945938535255</v>
      </c>
      <c r="AI2051">
        <v>91.201261386267902</v>
      </c>
      <c r="AJ2051">
        <v>89.233611869293995</v>
      </c>
      <c r="AK2051">
        <v>52.910954739000502</v>
      </c>
      <c r="AL2051">
        <v>80.230437218158499</v>
      </c>
      <c r="AM2051">
        <v>92.500959185018004</v>
      </c>
      <c r="AN2051">
        <v>1.0000000161536</v>
      </c>
    </row>
    <row r="2052" spans="1:40" x14ac:dyDescent="0.25">
      <c r="A2052" t="str">
        <f>"20190304155635399"</f>
        <v>20190304155635399</v>
      </c>
      <c r="B2052" t="str">
        <f>"1551686195396849"</f>
        <v>1551686195396849</v>
      </c>
      <c r="C2052" t="s">
        <v>40</v>
      </c>
      <c r="D2052">
        <v>4.6071519999999904</v>
      </c>
      <c r="E2052">
        <v>0.52292519999999998</v>
      </c>
      <c r="F2052" t="s">
        <v>55</v>
      </c>
      <c r="G2052">
        <v>-335.60070000000002</v>
      </c>
      <c r="H2052" s="1">
        <v>1.3775909999999999E-6</v>
      </c>
      <c r="I2052">
        <v>286.12720000000002</v>
      </c>
      <c r="J2052">
        <v>-282.22210000000001</v>
      </c>
      <c r="K2052">
        <v>1.1092489999999999</v>
      </c>
      <c r="L2052">
        <v>283.79939999999999</v>
      </c>
      <c r="M2052">
        <v>-0.9994961</v>
      </c>
      <c r="N2052">
        <v>-9.5440239999999999E-3</v>
      </c>
      <c r="O2052">
        <v>3.0278869999999999E-2</v>
      </c>
      <c r="P2052">
        <v>-0.98687519999999995</v>
      </c>
      <c r="Q2052">
        <v>0.16092010000000001</v>
      </c>
      <c r="R2052">
        <v>-1.3499799999999999E-2</v>
      </c>
      <c r="S2052">
        <v>-3.051666</v>
      </c>
      <c r="T2052">
        <v>-6.3107849999999993E-2</v>
      </c>
      <c r="U2052">
        <v>0.1329041</v>
      </c>
      <c r="V2052">
        <v>-4.3180280000000001E-2</v>
      </c>
      <c r="W2052">
        <v>0.170373</v>
      </c>
      <c r="X2052">
        <v>0.98443309999999995</v>
      </c>
      <c r="Y2052">
        <v>1.323629E-2</v>
      </c>
      <c r="Z2052">
        <v>-1.367191E-4</v>
      </c>
      <c r="AA2052">
        <v>0.99991240000000003</v>
      </c>
      <c r="AB2052">
        <v>30</v>
      </c>
      <c r="AC2052">
        <v>-53.378599999999999</v>
      </c>
      <c r="AD2052">
        <v>-1.109247622409</v>
      </c>
      <c r="AE2052">
        <v>2.3278000000000199</v>
      </c>
      <c r="AF2052">
        <v>0.71010949084720998</v>
      </c>
      <c r="AG2052">
        <v>-1.109247622409</v>
      </c>
      <c r="AH2052">
        <v>53.401592343693501</v>
      </c>
      <c r="AI2052">
        <v>91.1898606428812</v>
      </c>
      <c r="AJ2052">
        <v>89.238152325097204</v>
      </c>
      <c r="AK2052">
        <v>53.417831766357203</v>
      </c>
      <c r="AL2052">
        <v>80.190493353590199</v>
      </c>
      <c r="AM2052">
        <v>92.511560172037704</v>
      </c>
      <c r="AN2052">
        <v>1.0000000120427399</v>
      </c>
    </row>
    <row r="2053" spans="1:40" x14ac:dyDescent="0.25">
      <c r="A2053" t="str">
        <f>"20190304155635412"</f>
        <v>20190304155635412</v>
      </c>
      <c r="B2053" t="str">
        <f>"1551686195406609"</f>
        <v>1551686195406609</v>
      </c>
      <c r="C2053" t="s">
        <v>40</v>
      </c>
      <c r="D2053">
        <v>4.6119320000000004</v>
      </c>
      <c r="E2053">
        <v>0.52297829999999901</v>
      </c>
      <c r="F2053" t="s">
        <v>55</v>
      </c>
      <c r="G2053">
        <v>-337.30290000000002</v>
      </c>
      <c r="H2053" s="1">
        <v>2.2784979999999998E-6</v>
      </c>
      <c r="I2053">
        <v>286.23939999999999</v>
      </c>
      <c r="J2053">
        <v>-282.38490000000002</v>
      </c>
      <c r="K2053">
        <v>1.1092500000000001</v>
      </c>
      <c r="L2053">
        <v>283.80459999999999</v>
      </c>
      <c r="M2053">
        <v>-0.99948630000000005</v>
      </c>
      <c r="N2053">
        <v>-9.5460100000000006E-3</v>
      </c>
      <c r="O2053">
        <v>3.059626E-2</v>
      </c>
      <c r="P2053">
        <v>-0.98687449999999999</v>
      </c>
      <c r="Q2053">
        <v>0.160935299999999</v>
      </c>
      <c r="R2053">
        <v>-1.335363E-2</v>
      </c>
      <c r="S2053">
        <v>-3.051758</v>
      </c>
      <c r="T2053">
        <v>-6.1457989999999997E-2</v>
      </c>
      <c r="U2053">
        <v>0.13519289999999901</v>
      </c>
      <c r="V2053">
        <v>-4.3347249999999997E-2</v>
      </c>
      <c r="W2053">
        <v>0.1703904</v>
      </c>
      <c r="X2053">
        <v>0.98442269999999998</v>
      </c>
      <c r="Y2053">
        <v>1.366584E-2</v>
      </c>
      <c r="Z2053">
        <v>-1.208259E-4</v>
      </c>
      <c r="AA2053">
        <v>0.99990659999999998</v>
      </c>
      <c r="AB2053">
        <v>30</v>
      </c>
      <c r="AC2053">
        <v>-54.917999999999999</v>
      </c>
      <c r="AD2053">
        <v>-1.109247721502</v>
      </c>
      <c r="AE2053">
        <v>2.4347999999999899</v>
      </c>
      <c r="AF2053">
        <v>0.75299151937625597</v>
      </c>
      <c r="AG2053">
        <v>-1.109247721502</v>
      </c>
      <c r="AH2053">
        <v>54.944413910431898</v>
      </c>
      <c r="AI2053">
        <v>91.156452691600194</v>
      </c>
      <c r="AJ2053">
        <v>89.2148330957843</v>
      </c>
      <c r="AK2053">
        <v>54.960768250605597</v>
      </c>
      <c r="AL2053">
        <v>80.189481121530306</v>
      </c>
      <c r="AM2053">
        <v>92.521285995144297</v>
      </c>
      <c r="AN2053">
        <v>0.99999996238500499</v>
      </c>
    </row>
    <row r="2054" spans="1:40" x14ac:dyDescent="0.25">
      <c r="A2054" t="str">
        <f>"20190304155635425"</f>
        <v>20190304155635425</v>
      </c>
      <c r="B2054" t="str">
        <f>"1551686195416369"</f>
        <v>1551686195416369</v>
      </c>
      <c r="C2054" t="s">
        <v>40</v>
      </c>
      <c r="D2054">
        <v>4.5688209999999998</v>
      </c>
      <c r="E2054">
        <v>0.52292109999999903</v>
      </c>
      <c r="F2054" t="s">
        <v>55</v>
      </c>
      <c r="G2054">
        <v>-337.32589999999999</v>
      </c>
      <c r="H2054" s="1">
        <v>2.2898559999999999E-6</v>
      </c>
      <c r="I2054">
        <v>286.25940000000003</v>
      </c>
      <c r="J2054">
        <v>-282.5591</v>
      </c>
      <c r="K2054">
        <v>1.1092489999999999</v>
      </c>
      <c r="L2054">
        <v>283.81029999999998</v>
      </c>
      <c r="M2054">
        <v>-0.99947569999999997</v>
      </c>
      <c r="N2054">
        <v>-9.5482150000000005E-3</v>
      </c>
      <c r="O2054">
        <v>3.0935819999999999E-2</v>
      </c>
      <c r="P2054">
        <v>-0.98684559999999999</v>
      </c>
      <c r="Q2054">
        <v>0.16113250000000001</v>
      </c>
      <c r="R2054">
        <v>-1.3123910000000001E-2</v>
      </c>
      <c r="S2054">
        <v>-3.051758</v>
      </c>
      <c r="T2054">
        <v>-6.1614389999999998E-2</v>
      </c>
      <c r="U2054">
        <v>0.13635249999999999</v>
      </c>
      <c r="V2054">
        <v>-4.3450410000000002E-2</v>
      </c>
      <c r="W2054">
        <v>0.17058960000000001</v>
      </c>
      <c r="X2054">
        <v>0.98438369999999997</v>
      </c>
      <c r="Y2054">
        <v>1.370535E-2</v>
      </c>
      <c r="Z2054">
        <v>-1.2497309999999999E-4</v>
      </c>
      <c r="AA2054">
        <v>0.99990610000000002</v>
      </c>
      <c r="AB2054">
        <v>30</v>
      </c>
      <c r="AC2054">
        <v>-54.766799999999897</v>
      </c>
      <c r="AD2054">
        <v>-1.109246710144</v>
      </c>
      <c r="AE2054">
        <v>2.44910000000004</v>
      </c>
      <c r="AF2054">
        <v>0.75328607286669702</v>
      </c>
      <c r="AG2054">
        <v>-1.109246710144</v>
      </c>
      <c r="AH2054">
        <v>54.793920164770299</v>
      </c>
      <c r="AI2054">
        <v>91.159626328765</v>
      </c>
      <c r="AJ2054">
        <v>89.212368929354895</v>
      </c>
      <c r="AK2054">
        <v>54.810323436326897</v>
      </c>
      <c r="AL2054">
        <v>80.177898686540303</v>
      </c>
      <c r="AM2054">
        <v>92.527378507351997</v>
      </c>
      <c r="AN2054">
        <v>1.0000000092915</v>
      </c>
    </row>
    <row r="2055" spans="1:40" x14ac:dyDescent="0.25">
      <c r="A2055" t="str">
        <f>"20190304155635443"</f>
        <v>20190304155635443</v>
      </c>
      <c r="B2055" t="str">
        <f>"1551686195436868"</f>
        <v>1551686195436868</v>
      </c>
      <c r="C2055" t="s">
        <v>40</v>
      </c>
      <c r="D2055">
        <v>4.5919309999999998</v>
      </c>
      <c r="E2055">
        <v>0.52284600000000003</v>
      </c>
      <c r="F2055" t="s">
        <v>55</v>
      </c>
      <c r="G2055">
        <v>-337.79360000000003</v>
      </c>
      <c r="H2055" s="1">
        <v>2.537522E-6</v>
      </c>
      <c r="I2055">
        <v>286.28809999999999</v>
      </c>
      <c r="J2055">
        <v>-282.80919999999998</v>
      </c>
      <c r="K2055">
        <v>1.10924</v>
      </c>
      <c r="L2055">
        <v>283.81849999999997</v>
      </c>
      <c r="M2055">
        <v>-0.99946060000000003</v>
      </c>
      <c r="N2055">
        <v>-9.5516030000000005E-3</v>
      </c>
      <c r="O2055">
        <v>3.1422180000000001E-2</v>
      </c>
      <c r="P2055">
        <v>-0.98684989999999995</v>
      </c>
      <c r="Q2055">
        <v>0.16111389999999901</v>
      </c>
      <c r="R2055">
        <v>-1.3025989999999999E-2</v>
      </c>
      <c r="S2055">
        <v>-3.0518190000000001</v>
      </c>
      <c r="T2055">
        <v>-6.1288120000000001E-2</v>
      </c>
      <c r="U2055">
        <v>0.13690189999999999</v>
      </c>
      <c r="V2055">
        <v>-4.3832129999999997E-2</v>
      </c>
      <c r="W2055">
        <v>0.17057510000000001</v>
      </c>
      <c r="X2055">
        <v>0.9843693</v>
      </c>
      <c r="Y2055">
        <v>1.3397620000000001E-2</v>
      </c>
      <c r="Z2055">
        <v>-1.3192870000000001E-4</v>
      </c>
      <c r="AA2055">
        <v>0.99991019999999997</v>
      </c>
      <c r="AB2055">
        <v>30</v>
      </c>
      <c r="AC2055">
        <v>-54.984400000000001</v>
      </c>
      <c r="AD2055">
        <v>-1.1092374624779999</v>
      </c>
      <c r="AE2055">
        <v>2.46960000000001</v>
      </c>
      <c r="AF2055">
        <v>0.740271271209611</v>
      </c>
      <c r="AG2055">
        <v>-1.1092374624779999</v>
      </c>
      <c r="AH2055">
        <v>55.012506295173502</v>
      </c>
      <c r="AI2055">
        <v>91.155014878260602</v>
      </c>
      <c r="AJ2055">
        <v>89.229050581345902</v>
      </c>
      <c r="AK2055">
        <v>55.028667603165196</v>
      </c>
      <c r="AL2055">
        <v>80.178741934937904</v>
      </c>
      <c r="AM2055">
        <v>92.549590077922801</v>
      </c>
      <c r="AN2055">
        <v>1.00000001957141</v>
      </c>
    </row>
    <row r="2056" spans="1:40" x14ac:dyDescent="0.25">
      <c r="A2056" t="str">
        <f>"20190304155635456"</f>
        <v>20190304155635456</v>
      </c>
      <c r="B2056" t="str">
        <f>"1551686195446624"</f>
        <v>1551686195446624</v>
      </c>
      <c r="C2056" t="s">
        <v>40</v>
      </c>
      <c r="D2056">
        <v>4.6065440000000004</v>
      </c>
      <c r="E2056">
        <v>0.52276250000000002</v>
      </c>
      <c r="F2056" t="s">
        <v>55</v>
      </c>
      <c r="G2056">
        <v>-337.40309999999999</v>
      </c>
      <c r="H2056" s="1">
        <v>2.3306530000000002E-6</v>
      </c>
      <c r="I2056">
        <v>286.26580000000001</v>
      </c>
      <c r="J2056">
        <v>-282.9735</v>
      </c>
      <c r="K2056">
        <v>1.1092360000000001</v>
      </c>
      <c r="L2056">
        <v>283.82400000000001</v>
      </c>
      <c r="M2056">
        <v>-0.99945039999999996</v>
      </c>
      <c r="N2056">
        <v>-9.5538710000000002E-3</v>
      </c>
      <c r="O2056">
        <v>3.1741529999999997E-2</v>
      </c>
      <c r="P2056">
        <v>-0.9867939</v>
      </c>
      <c r="Q2056">
        <v>0.16144710000000001</v>
      </c>
      <c r="R2056">
        <v>-1.3145240000000001E-2</v>
      </c>
      <c r="S2056">
        <v>-3.0519099999999999</v>
      </c>
      <c r="T2056">
        <v>-6.200874E-2</v>
      </c>
      <c r="U2056">
        <v>0.1368103</v>
      </c>
      <c r="V2056">
        <v>-4.4263700000000003E-2</v>
      </c>
      <c r="W2056">
        <v>0.17091049999999999</v>
      </c>
      <c r="X2056">
        <v>0.98429180000000005</v>
      </c>
      <c r="Y2056">
        <v>1.304696E-2</v>
      </c>
      <c r="Z2056">
        <v>-1.463235E-4</v>
      </c>
      <c r="AA2056">
        <v>0.99991490000000005</v>
      </c>
      <c r="AB2056">
        <v>30</v>
      </c>
      <c r="AC2056">
        <v>-54.429599999999901</v>
      </c>
      <c r="AD2056">
        <v>-1.109233669347</v>
      </c>
      <c r="AE2056">
        <v>2.4418000000000002</v>
      </c>
      <c r="AF2056">
        <v>0.71251644895183597</v>
      </c>
      <c r="AG2056">
        <v>-1.109233669347</v>
      </c>
      <c r="AH2056">
        <v>54.457109674705499</v>
      </c>
      <c r="AI2056">
        <v>91.166793167288603</v>
      </c>
      <c r="AJ2056">
        <v>89.250385188166106</v>
      </c>
      <c r="AK2056">
        <v>54.473065575072397</v>
      </c>
      <c r="AL2056">
        <v>80.159238448996106</v>
      </c>
      <c r="AM2056">
        <v>92.574862107048602</v>
      </c>
      <c r="AN2056">
        <v>1.0000000108475899</v>
      </c>
    </row>
    <row r="2057" spans="1:40" x14ac:dyDescent="0.25">
      <c r="A2057" t="str">
        <f>"20190304155635468"</f>
        <v>20190304155635468</v>
      </c>
      <c r="B2057" t="str">
        <f>"1551686195456385"</f>
        <v>1551686195456385</v>
      </c>
      <c r="C2057" t="s">
        <v>40</v>
      </c>
      <c r="D2057">
        <v>4.6565219999999998</v>
      </c>
      <c r="E2057">
        <v>0.5227079</v>
      </c>
      <c r="F2057" t="s">
        <v>55</v>
      </c>
      <c r="G2057">
        <v>-338.13</v>
      </c>
      <c r="H2057" s="1">
        <v>2.7168540000000002E-6</v>
      </c>
      <c r="I2057">
        <v>286.28039999999999</v>
      </c>
      <c r="J2057">
        <v>-283.14420000000001</v>
      </c>
      <c r="K2057">
        <v>1.1092360000000001</v>
      </c>
      <c r="L2057">
        <v>283.8297</v>
      </c>
      <c r="M2057">
        <v>-0.99943990000000005</v>
      </c>
      <c r="N2057">
        <v>-9.5562210000000002E-3</v>
      </c>
      <c r="O2057">
        <v>3.2072919999999998E-2</v>
      </c>
      <c r="P2057">
        <v>-0.98678529999999998</v>
      </c>
      <c r="Q2057">
        <v>0.161497</v>
      </c>
      <c r="R2057">
        <v>-1.317946E-2</v>
      </c>
      <c r="S2057">
        <v>-3.0520320000000001</v>
      </c>
      <c r="T2057">
        <v>-6.137836E-2</v>
      </c>
      <c r="U2057">
        <v>0.1359253</v>
      </c>
      <c r="V2057">
        <v>-4.462468E-2</v>
      </c>
      <c r="W2057">
        <v>0.17096310000000001</v>
      </c>
      <c r="X2057">
        <v>0.98426630000000004</v>
      </c>
      <c r="Y2057">
        <v>1.242446E-2</v>
      </c>
      <c r="Z2057">
        <v>-1.537334E-4</v>
      </c>
      <c r="AA2057">
        <v>0.9999228</v>
      </c>
      <c r="AB2057">
        <v>30</v>
      </c>
      <c r="AC2057">
        <v>-54.985799999999898</v>
      </c>
      <c r="AD2057">
        <v>-1.1092332831459999</v>
      </c>
      <c r="AE2057">
        <v>2.4506999999999799</v>
      </c>
      <c r="AF2057">
        <v>0.68552505289847998</v>
      </c>
      <c r="AG2057">
        <v>-1.1092332831459999</v>
      </c>
      <c r="AH2057">
        <v>55.013769993830302</v>
      </c>
      <c r="AI2057">
        <v>91.154998896022306</v>
      </c>
      <c r="AJ2057">
        <v>89.286075840345902</v>
      </c>
      <c r="AK2057">
        <v>55.029221619142</v>
      </c>
      <c r="AL2057">
        <v>80.1561790319127</v>
      </c>
      <c r="AM2057">
        <v>92.595899214596002</v>
      </c>
      <c r="AN2057">
        <v>0.99999994647119905</v>
      </c>
    </row>
    <row r="2058" spans="1:40" x14ac:dyDescent="0.25">
      <c r="A2058" t="str">
        <f>"20190304155635490"</f>
        <v>20190304155635490</v>
      </c>
      <c r="B2058" t="str">
        <f>"1551686195486793"</f>
        <v>1551686195486793</v>
      </c>
      <c r="C2058" t="s">
        <v>40</v>
      </c>
      <c r="D2058">
        <v>4.5534309999999998</v>
      </c>
      <c r="E2058">
        <v>0.52251179999999997</v>
      </c>
      <c r="F2058" t="s">
        <v>55</v>
      </c>
      <c r="G2058">
        <v>-338.24599999999998</v>
      </c>
      <c r="H2058" s="1">
        <v>2.7789339999999999E-6</v>
      </c>
      <c r="I2058">
        <v>286.2722</v>
      </c>
      <c r="J2058">
        <v>-283.42329999999998</v>
      </c>
      <c r="K2058">
        <v>1.109243</v>
      </c>
      <c r="L2058">
        <v>283.83929999999998</v>
      </c>
      <c r="M2058">
        <v>-0.99942229999999999</v>
      </c>
      <c r="N2058">
        <v>-9.5602629999999994E-3</v>
      </c>
      <c r="O2058">
        <v>3.261406E-2</v>
      </c>
      <c r="P2058">
        <v>-0.98677689999999996</v>
      </c>
      <c r="Q2058">
        <v>0.1615238</v>
      </c>
      <c r="R2058">
        <v>-1.3483210000000001E-2</v>
      </c>
      <c r="S2058">
        <v>-3.0520320000000001</v>
      </c>
      <c r="T2058">
        <v>-6.1439279999999999E-2</v>
      </c>
      <c r="U2058">
        <v>0.1352844</v>
      </c>
      <c r="V2058">
        <v>-4.5460769999999998E-2</v>
      </c>
      <c r="W2058">
        <v>0.1709946</v>
      </c>
      <c r="X2058">
        <v>0.98422259999999995</v>
      </c>
      <c r="Y2058">
        <v>1.167375E-2</v>
      </c>
      <c r="Z2058">
        <v>-1.709429E-4</v>
      </c>
      <c r="AA2058">
        <v>0.99993189999999998</v>
      </c>
      <c r="AB2058">
        <v>30</v>
      </c>
      <c r="AC2058">
        <v>-54.822699999999998</v>
      </c>
      <c r="AD2058">
        <v>-1.109240221066</v>
      </c>
      <c r="AE2058">
        <v>2.4329000000000098</v>
      </c>
      <c r="AF2058">
        <v>0.64327026656138198</v>
      </c>
      <c r="AG2058">
        <v>-1.109240221066</v>
      </c>
      <c r="AH2058">
        <v>54.850472383292399</v>
      </c>
      <c r="AI2058">
        <v>91.158454068312295</v>
      </c>
      <c r="AJ2058">
        <v>89.328082691840507</v>
      </c>
      <c r="AK2058">
        <v>54.865458452237498</v>
      </c>
      <c r="AL2058">
        <v>80.154347580399602</v>
      </c>
      <c r="AM2058">
        <v>92.644584937745407</v>
      </c>
      <c r="AN2058">
        <v>0.99999998059445605</v>
      </c>
    </row>
    <row r="2059" spans="1:40" x14ac:dyDescent="0.25">
      <c r="A2059" t="str">
        <f>"20190304155635503"</f>
        <v>20190304155635503</v>
      </c>
      <c r="B2059" t="str">
        <f>"1551686195496552"</f>
        <v>1551686195496552</v>
      </c>
      <c r="C2059" t="s">
        <v>40</v>
      </c>
      <c r="D2059">
        <v>4.5804539999999996</v>
      </c>
      <c r="E2059">
        <v>0.52249639999999997</v>
      </c>
      <c r="F2059" t="s">
        <v>55</v>
      </c>
      <c r="G2059">
        <v>-337.71480000000003</v>
      </c>
      <c r="H2059" s="1">
        <v>2.499316E-6</v>
      </c>
      <c r="I2059">
        <v>286.2022</v>
      </c>
      <c r="J2059">
        <v>-283.5967</v>
      </c>
      <c r="K2059">
        <v>1.1092420000000001</v>
      </c>
      <c r="L2059">
        <v>283.84530000000001</v>
      </c>
      <c r="M2059">
        <v>-0.99941139999999995</v>
      </c>
      <c r="N2059">
        <v>-9.5628239999999993E-3</v>
      </c>
      <c r="O2059">
        <v>3.2950449999999999E-2</v>
      </c>
      <c r="P2059">
        <v>-0.98670159999999996</v>
      </c>
      <c r="Q2059">
        <v>0.16196389999999999</v>
      </c>
      <c r="R2059">
        <v>-1.3708680000000001E-2</v>
      </c>
      <c r="S2059">
        <v>-3.052216</v>
      </c>
      <c r="T2059">
        <v>-6.2360409999999998E-2</v>
      </c>
      <c r="U2059">
        <v>0.13284299999999999</v>
      </c>
      <c r="V2059">
        <v>-4.6015189999999997E-2</v>
      </c>
      <c r="W2059">
        <v>0.17143630000000001</v>
      </c>
      <c r="X2059">
        <v>0.98411999999999999</v>
      </c>
      <c r="Y2059">
        <v>1.053662E-2</v>
      </c>
      <c r="Z2059">
        <v>-1.9958890000000001E-4</v>
      </c>
      <c r="AA2059">
        <v>0.99994439999999996</v>
      </c>
      <c r="AB2059">
        <v>30</v>
      </c>
      <c r="AC2059">
        <v>-54.118099999999998</v>
      </c>
      <c r="AD2059">
        <v>-1.1092395006839999</v>
      </c>
      <c r="AE2059">
        <v>2.3568999999999898</v>
      </c>
      <c r="AF2059">
        <v>0.57208317225967298</v>
      </c>
      <c r="AG2059">
        <v>-1.1092395006839999</v>
      </c>
      <c r="AH2059">
        <v>54.143671545788798</v>
      </c>
      <c r="AI2059">
        <v>91.173586954396797</v>
      </c>
      <c r="AJ2059">
        <v>89.3946341158385</v>
      </c>
      <c r="AK2059">
        <v>54.158054432227601</v>
      </c>
      <c r="AL2059">
        <v>80.128660811033697</v>
      </c>
      <c r="AM2059">
        <v>92.677069194985805</v>
      </c>
      <c r="AN2059">
        <v>0.99999998853421301</v>
      </c>
    </row>
    <row r="2060" spans="1:40" x14ac:dyDescent="0.25">
      <c r="A2060" t="str">
        <f>"20190304155635516"</f>
        <v>20190304155635516</v>
      </c>
      <c r="B2060" t="str">
        <f>"1551686195506312"</f>
        <v>1551686195506312</v>
      </c>
      <c r="C2060" t="s">
        <v>40</v>
      </c>
      <c r="D2060">
        <v>4.730791</v>
      </c>
      <c r="E2060">
        <v>0.52239230000000003</v>
      </c>
      <c r="F2060" t="s">
        <v>55</v>
      </c>
      <c r="G2060">
        <v>-338.94630000000001</v>
      </c>
      <c r="H2060" s="1">
        <v>3.1529069999999999E-6</v>
      </c>
      <c r="I2060">
        <v>286.24209999999999</v>
      </c>
      <c r="J2060">
        <v>-283.76949999999999</v>
      </c>
      <c r="K2060">
        <v>1.109245</v>
      </c>
      <c r="L2060">
        <v>283.85129999999998</v>
      </c>
      <c r="M2060">
        <v>-0.99940019999999996</v>
      </c>
      <c r="N2060">
        <v>-9.5654369999999996E-3</v>
      </c>
      <c r="O2060">
        <v>3.3285299999999997E-2</v>
      </c>
      <c r="P2060">
        <v>-0.98669890000000005</v>
      </c>
      <c r="Q2060">
        <v>0.16196050000000001</v>
      </c>
      <c r="R2060">
        <v>-1.39466E-2</v>
      </c>
      <c r="S2060">
        <v>-3.0522770000000001</v>
      </c>
      <c r="T2060">
        <v>-6.1169510000000003E-2</v>
      </c>
      <c r="U2060">
        <v>0.1321716</v>
      </c>
      <c r="V2060">
        <v>-4.658205E-2</v>
      </c>
      <c r="W2060">
        <v>0.17143620000000001</v>
      </c>
      <c r="X2060">
        <v>0.98409340000000001</v>
      </c>
      <c r="Y2060">
        <v>9.9813309999999995E-3</v>
      </c>
      <c r="Z2060">
        <v>-2.0040729999999999E-4</v>
      </c>
      <c r="AA2060">
        <v>0.99995020000000001</v>
      </c>
      <c r="AB2060">
        <v>30</v>
      </c>
      <c r="AC2060">
        <v>-55.1768</v>
      </c>
      <c r="AD2060">
        <v>-1.1092418470929899</v>
      </c>
      <c r="AE2060">
        <v>2.3908000000000098</v>
      </c>
      <c r="AF2060">
        <v>0.55259199177865004</v>
      </c>
      <c r="AG2060">
        <v>-1.1092418470929899</v>
      </c>
      <c r="AH2060">
        <v>55.2035368272076</v>
      </c>
      <c r="AI2060">
        <v>91.151070127785601</v>
      </c>
      <c r="AJ2060">
        <v>89.4264836403147</v>
      </c>
      <c r="AK2060">
        <v>55.217445192779302</v>
      </c>
      <c r="AL2060">
        <v>80.128667129745693</v>
      </c>
      <c r="AM2060">
        <v>92.710072221923895</v>
      </c>
      <c r="AN2060">
        <v>1.0000000389881001</v>
      </c>
    </row>
    <row r="2061" spans="1:40" x14ac:dyDescent="0.25">
      <c r="A2061" t="str">
        <f>"20190304155635535"</f>
        <v>20190304155635535</v>
      </c>
      <c r="B2061" t="str">
        <f>"1551686195526807"</f>
        <v>1551686195526807</v>
      </c>
      <c r="C2061" t="s">
        <v>40</v>
      </c>
      <c r="D2061">
        <v>4.6498989999999996</v>
      </c>
      <c r="E2061">
        <v>0.52216010000000002</v>
      </c>
      <c r="F2061" t="s">
        <v>55</v>
      </c>
      <c r="G2061">
        <v>-338.94650000000001</v>
      </c>
      <c r="H2061" s="1">
        <v>3.1542950000000001E-6</v>
      </c>
      <c r="I2061">
        <v>286.21289999999999</v>
      </c>
      <c r="J2061">
        <v>-284.03089999999997</v>
      </c>
      <c r="K2061">
        <v>1.1092439999999999</v>
      </c>
      <c r="L2061">
        <v>283.8605</v>
      </c>
      <c r="M2061">
        <v>-0.99938320000000003</v>
      </c>
      <c r="N2061">
        <v>-9.5694639999999997E-3</v>
      </c>
      <c r="O2061">
        <v>3.3791740000000001E-2</v>
      </c>
      <c r="P2061">
        <v>-0.98665340000000001</v>
      </c>
      <c r="Q2061">
        <v>0.1622149</v>
      </c>
      <c r="R2061">
        <v>-1.418907E-2</v>
      </c>
      <c r="S2061">
        <v>-3.052368</v>
      </c>
      <c r="T2061">
        <v>-6.1362859999999998E-2</v>
      </c>
      <c r="U2061">
        <v>0.13064580000000001</v>
      </c>
      <c r="V2061">
        <v>-4.732223E-2</v>
      </c>
      <c r="W2061">
        <v>0.17169509999999999</v>
      </c>
      <c r="X2061">
        <v>0.98401289999999997</v>
      </c>
      <c r="Y2061">
        <v>8.9746879999999998E-3</v>
      </c>
      <c r="Z2061">
        <v>-2.22284E-4</v>
      </c>
      <c r="AA2061">
        <v>0.99995970000000001</v>
      </c>
      <c r="AB2061">
        <v>30</v>
      </c>
      <c r="AC2061">
        <v>-54.915599999999998</v>
      </c>
      <c r="AD2061">
        <v>-1.109240845705</v>
      </c>
      <c r="AE2061">
        <v>2.3523999999999798</v>
      </c>
      <c r="AF2061">
        <v>0.49507636064869798</v>
      </c>
      <c r="AG2061">
        <v>-1.109240845705</v>
      </c>
      <c r="AH2061">
        <v>54.9413549201671</v>
      </c>
      <c r="AI2061">
        <v>91.156571524587505</v>
      </c>
      <c r="AJ2061">
        <v>89.483721900714599</v>
      </c>
      <c r="AK2061">
        <v>54.954781378151502</v>
      </c>
      <c r="AL2061">
        <v>80.113609547855901</v>
      </c>
      <c r="AM2061">
        <v>92.753293900428304</v>
      </c>
      <c r="AN2061">
        <v>0.99999999409129603</v>
      </c>
    </row>
    <row r="2062" spans="1:40" x14ac:dyDescent="0.25">
      <c r="A2062" t="str">
        <f>"20190304155635556"</f>
        <v>20190304155635556</v>
      </c>
      <c r="B2062" t="str">
        <f>"1551686195546328"</f>
        <v>1551686195546328</v>
      </c>
      <c r="C2062" t="s">
        <v>40</v>
      </c>
      <c r="D2062">
        <v>4.5420800000000003</v>
      </c>
      <c r="E2062">
        <v>0.52226530000000004</v>
      </c>
      <c r="F2062" t="s">
        <v>55</v>
      </c>
      <c r="G2062">
        <v>-340.71390000000002</v>
      </c>
      <c r="H2062" s="1">
        <v>-1.1569089999999999E-6</v>
      </c>
      <c r="I2062">
        <v>286.24020000000002</v>
      </c>
      <c r="J2062">
        <v>-284.31310000000002</v>
      </c>
      <c r="K2062">
        <v>1.1092390000000001</v>
      </c>
      <c r="L2062">
        <v>283.87060000000002</v>
      </c>
      <c r="M2062">
        <v>-0.99936460000000005</v>
      </c>
      <c r="N2062">
        <v>-9.5737329999999992E-3</v>
      </c>
      <c r="O2062">
        <v>3.4338359999999998E-2</v>
      </c>
      <c r="P2062">
        <v>-0.98666379999999998</v>
      </c>
      <c r="Q2062">
        <v>0.1621445</v>
      </c>
      <c r="R2062">
        <v>-1.429237E-2</v>
      </c>
      <c r="S2062">
        <v>-3.0522459999999998</v>
      </c>
      <c r="T2062">
        <v>-5.9730289999999998E-2</v>
      </c>
      <c r="U2062">
        <v>0.12814329999999999</v>
      </c>
      <c r="V2062">
        <v>-4.7964199999999999E-2</v>
      </c>
      <c r="W2062">
        <v>0.17162929999999901</v>
      </c>
      <c r="X2062">
        <v>0.98399329999999996</v>
      </c>
      <c r="Y2062">
        <v>7.6114279999999999E-3</v>
      </c>
      <c r="Z2062">
        <v>-2.318043E-4</v>
      </c>
      <c r="AA2062">
        <v>0.99997100000000005</v>
      </c>
      <c r="AB2062">
        <v>30</v>
      </c>
      <c r="AC2062">
        <v>-56.400799999999997</v>
      </c>
      <c r="AD2062">
        <v>-1.10924015690899</v>
      </c>
      <c r="AE2062">
        <v>2.3695999999999899</v>
      </c>
      <c r="AF2062">
        <v>0.43123656355399198</v>
      </c>
      <c r="AG2062">
        <v>-1.10924015690899</v>
      </c>
      <c r="AH2062">
        <v>56.427120047709799</v>
      </c>
      <c r="AI2062">
        <v>91.126138274307095</v>
      </c>
      <c r="AJ2062">
        <v>89.5621333495464</v>
      </c>
      <c r="AK2062">
        <v>56.439669166093601</v>
      </c>
      <c r="AL2062">
        <v>80.117436453453493</v>
      </c>
      <c r="AM2062">
        <v>92.790641740211697</v>
      </c>
      <c r="AN2062">
        <v>0.99999999777250903</v>
      </c>
    </row>
    <row r="2063" spans="1:40" x14ac:dyDescent="0.25">
      <c r="A2063" t="str">
        <f>"20190304155635568"</f>
        <v>20190304155635568</v>
      </c>
      <c r="B2063" t="str">
        <f>"1551686195566445"</f>
        <v>1551686195566445</v>
      </c>
      <c r="C2063" t="s">
        <v>40</v>
      </c>
      <c r="D2063">
        <v>4.5134530000000002</v>
      </c>
      <c r="E2063">
        <v>0.55067290000000002</v>
      </c>
      <c r="F2063" t="s">
        <v>55</v>
      </c>
      <c r="G2063">
        <v>-340.65550000000002</v>
      </c>
      <c r="H2063" s="1">
        <v>-1.187943E-6</v>
      </c>
      <c r="I2063">
        <v>286.25290000000001</v>
      </c>
      <c r="J2063">
        <v>-284.48689999999999</v>
      </c>
      <c r="K2063">
        <v>1.1092379999999999</v>
      </c>
      <c r="L2063">
        <v>283.87689999999998</v>
      </c>
      <c r="M2063">
        <v>-0.99935280000000004</v>
      </c>
      <c r="N2063">
        <v>-9.5763629999999992E-3</v>
      </c>
      <c r="O2063">
        <v>3.4674940000000001E-2</v>
      </c>
      <c r="P2063">
        <v>-0.98665729999999996</v>
      </c>
      <c r="Q2063">
        <v>0.16218929999999901</v>
      </c>
      <c r="R2063">
        <v>-1.420656E-2</v>
      </c>
      <c r="S2063">
        <v>-3.0523380000000002</v>
      </c>
      <c r="T2063">
        <v>-6.0092810000000003E-2</v>
      </c>
      <c r="U2063">
        <v>0.1290588</v>
      </c>
      <c r="V2063">
        <v>-4.821011E-2</v>
      </c>
      <c r="W2063">
        <v>0.1716772</v>
      </c>
      <c r="X2063">
        <v>0.98397290000000004</v>
      </c>
      <c r="Y2063">
        <v>7.5728330000000002E-3</v>
      </c>
      <c r="Z2063">
        <v>-2.3926319999999999E-4</v>
      </c>
      <c r="AA2063">
        <v>0.99997130000000001</v>
      </c>
      <c r="AB2063">
        <v>30</v>
      </c>
      <c r="AC2063">
        <v>-56.168599999999998</v>
      </c>
      <c r="AD2063">
        <v>-1.1092391879429999</v>
      </c>
      <c r="AE2063">
        <v>2.3760000000000301</v>
      </c>
      <c r="AF2063">
        <v>0.42667286926353598</v>
      </c>
      <c r="AG2063">
        <v>-1.1092391879429999</v>
      </c>
      <c r="AH2063">
        <v>56.195334017429801</v>
      </c>
      <c r="AI2063">
        <v>91.130781436225405</v>
      </c>
      <c r="AJ2063">
        <v>89.564980165800193</v>
      </c>
      <c r="AK2063">
        <v>56.207900037663201</v>
      </c>
      <c r="AL2063">
        <v>80.114650377807706</v>
      </c>
      <c r="AM2063">
        <v>92.804984486749007</v>
      </c>
      <c r="AN2063">
        <v>0.99999997182023004</v>
      </c>
    </row>
    <row r="2064" spans="1:40" x14ac:dyDescent="0.25">
      <c r="A2064" t="str">
        <f>"20190304155635582"</f>
        <v>20190304155635582</v>
      </c>
      <c r="B2064" t="str">
        <f>"1551686195577182"</f>
        <v>1551686195577182</v>
      </c>
      <c r="C2064" t="s">
        <v>40</v>
      </c>
      <c r="D2064">
        <v>4.4666069999999998</v>
      </c>
      <c r="E2064">
        <v>0.55251169999999905</v>
      </c>
      <c r="F2064" t="s">
        <v>55</v>
      </c>
      <c r="G2064">
        <v>-363.29860000000002</v>
      </c>
      <c r="H2064">
        <v>8.0000979999999999E-2</v>
      </c>
      <c r="I2064">
        <v>293.07819999999998</v>
      </c>
      <c r="J2064">
        <v>-284.66059999999999</v>
      </c>
      <c r="K2064">
        <v>1.10924</v>
      </c>
      <c r="L2064">
        <v>283.88330000000002</v>
      </c>
      <c r="M2064">
        <v>-0.99934109999999998</v>
      </c>
      <c r="N2064">
        <v>-9.5789099999999995E-3</v>
      </c>
      <c r="O2064">
        <v>3.501133E-2</v>
      </c>
      <c r="P2064">
        <v>-0.98663469999999998</v>
      </c>
      <c r="Q2064">
        <v>0.16233900000000001</v>
      </c>
      <c r="R2064">
        <v>-1.4079100000000001E-2</v>
      </c>
      <c r="S2064">
        <v>-3.0522459999999998</v>
      </c>
      <c r="T2064">
        <v>-3.9860609999999998E-2</v>
      </c>
      <c r="U2064">
        <v>0.3563538</v>
      </c>
      <c r="V2064">
        <v>-4.8412910000000003E-2</v>
      </c>
      <c r="W2064">
        <v>0.17182939999999999</v>
      </c>
      <c r="X2064">
        <v>0.98393640000000004</v>
      </c>
      <c r="Y2064">
        <v>8.1104170000000003E-2</v>
      </c>
      <c r="Z2064">
        <v>7.9667179999999896E-4</v>
      </c>
      <c r="AA2064">
        <v>0.99670530000000002</v>
      </c>
      <c r="AB2064">
        <v>30</v>
      </c>
      <c r="AC2064">
        <v>-78.638000000000005</v>
      </c>
      <c r="AD2064">
        <v>-1.0292390199999999</v>
      </c>
      <c r="AE2064">
        <v>9.1948999999999597</v>
      </c>
      <c r="AF2064">
        <v>6.4348277509613103</v>
      </c>
      <c r="AG2064">
        <v>-1.0292390199999999</v>
      </c>
      <c r="AH2064">
        <v>78.898390939519402</v>
      </c>
      <c r="AI2064">
        <v>90.744914839720593</v>
      </c>
      <c r="AJ2064">
        <v>85.337366995403698</v>
      </c>
      <c r="AK2064">
        <v>79.167053968112697</v>
      </c>
      <c r="AL2064">
        <v>80.105798660402698</v>
      </c>
      <c r="AM2064">
        <v>92.816869255880107</v>
      </c>
      <c r="AN2064">
        <v>0.99999999590199395</v>
      </c>
    </row>
    <row r="2065" spans="1:40" x14ac:dyDescent="0.25">
      <c r="A2065" t="str">
        <f>"20190304155635601"</f>
        <v>20190304155635601</v>
      </c>
      <c r="B2065" t="str">
        <f>"1551686195596700"</f>
        <v>1551686195596700</v>
      </c>
      <c r="C2065" t="s">
        <v>40</v>
      </c>
      <c r="D2065">
        <v>4.4966609999999996</v>
      </c>
      <c r="E2065">
        <v>0.55456019999999995</v>
      </c>
      <c r="F2065" t="s">
        <v>55</v>
      </c>
      <c r="G2065">
        <v>-369.18470000000002</v>
      </c>
      <c r="H2065">
        <v>8.0001249999999996E-2</v>
      </c>
      <c r="I2065">
        <v>294.17469999999997</v>
      </c>
      <c r="J2065">
        <v>-284.91829999999999</v>
      </c>
      <c r="K2065">
        <v>1.1092360000000001</v>
      </c>
      <c r="L2065">
        <v>283.89280000000002</v>
      </c>
      <c r="M2065">
        <v>-0.99932350000000003</v>
      </c>
      <c r="N2065">
        <v>-9.5827359999999997E-3</v>
      </c>
      <c r="O2065">
        <v>3.5509239999999997E-2</v>
      </c>
      <c r="P2065">
        <v>-0.98658040000000002</v>
      </c>
      <c r="Q2065">
        <v>0.16268469999999999</v>
      </c>
      <c r="R2065">
        <v>-1.38987E-2</v>
      </c>
      <c r="S2065">
        <v>-3.052063</v>
      </c>
      <c r="T2065">
        <v>-3.7164570000000001E-2</v>
      </c>
      <c r="U2065">
        <v>0.37161250000000001</v>
      </c>
      <c r="V2065">
        <v>-4.8720960000000001E-2</v>
      </c>
      <c r="W2065">
        <v>0.17217839999999901</v>
      </c>
      <c r="X2065">
        <v>0.98386019999999996</v>
      </c>
      <c r="Y2065">
        <v>8.5527329999999999E-2</v>
      </c>
      <c r="Z2065">
        <v>8.3891119999999998E-4</v>
      </c>
      <c r="AA2065">
        <v>0.99633539999999998</v>
      </c>
      <c r="AB2065">
        <v>30</v>
      </c>
      <c r="AC2065">
        <v>-84.266400000000004</v>
      </c>
      <c r="AD2065">
        <v>-1.0292347500000001</v>
      </c>
      <c r="AE2065">
        <v>10.281899999999901</v>
      </c>
      <c r="AF2065">
        <v>7.2819717642848003</v>
      </c>
      <c r="AG2065">
        <v>-1.0292347500000001</v>
      </c>
      <c r="AH2065">
        <v>84.565940794782904</v>
      </c>
      <c r="AI2065">
        <v>90.694730095301693</v>
      </c>
      <c r="AJ2065">
        <v>85.078401847113497</v>
      </c>
      <c r="AK2065">
        <v>84.885126962579093</v>
      </c>
      <c r="AL2065">
        <v>80.085500079773993</v>
      </c>
      <c r="AM2065">
        <v>92.834982967628207</v>
      </c>
      <c r="AN2065">
        <v>1.00000001325696</v>
      </c>
    </row>
    <row r="2066" spans="1:40" x14ac:dyDescent="0.25">
      <c r="A2066" t="str">
        <f>"20190304155635613"</f>
        <v>20190304155635613</v>
      </c>
      <c r="B2066" t="str">
        <f>"1551686195606462"</f>
        <v>1551686195606462</v>
      </c>
      <c r="C2066" t="s">
        <v>40</v>
      </c>
      <c r="D2066">
        <v>4.526643</v>
      </c>
      <c r="E2066">
        <v>0.55505249999999995</v>
      </c>
      <c r="F2066" t="s">
        <v>44</v>
      </c>
      <c r="G2066">
        <v>-401.43759999999997</v>
      </c>
      <c r="H2066">
        <v>-0.05</v>
      </c>
      <c r="I2066">
        <v>298.75709999999998</v>
      </c>
      <c r="J2066">
        <v>-285.07549999999998</v>
      </c>
      <c r="K2066">
        <v>1.1092340000000001</v>
      </c>
      <c r="L2066">
        <v>283.89870000000002</v>
      </c>
      <c r="M2066">
        <v>-0.99931270000000005</v>
      </c>
      <c r="N2066">
        <v>-9.5850899999999992E-3</v>
      </c>
      <c r="O2066">
        <v>3.5812320000000002E-2</v>
      </c>
      <c r="P2066">
        <v>-0.9865507</v>
      </c>
      <c r="Q2066">
        <v>0.1628676</v>
      </c>
      <c r="R2066">
        <v>-1.386221E-2</v>
      </c>
      <c r="S2066">
        <v>-3.0512999999999999</v>
      </c>
      <c r="T2066">
        <v>-3.0356999999999999E-2</v>
      </c>
      <c r="U2066">
        <v>0.38925169999999998</v>
      </c>
      <c r="V2066">
        <v>-4.8982070000000003E-2</v>
      </c>
      <c r="W2066">
        <v>0.1723635</v>
      </c>
      <c r="X2066">
        <v>0.98381479999999999</v>
      </c>
      <c r="Y2066">
        <v>9.0927649999999999E-2</v>
      </c>
      <c r="Z2066">
        <v>8.7559230000000001E-4</v>
      </c>
      <c r="AA2066">
        <v>0.99585710000000005</v>
      </c>
      <c r="AB2066">
        <v>30</v>
      </c>
      <c r="AC2066">
        <v>-116.3621</v>
      </c>
      <c r="AD2066">
        <v>-1.1592340000000001</v>
      </c>
      <c r="AE2066">
        <v>14.8583999999999</v>
      </c>
      <c r="AF2066">
        <v>10.6804373127347</v>
      </c>
      <c r="AG2066">
        <v>-1.1592340000000001</v>
      </c>
      <c r="AH2066">
        <v>116.808181958661</v>
      </c>
      <c r="AI2066">
        <v>90.5662372415227</v>
      </c>
      <c r="AJ2066">
        <v>84.775647630293307</v>
      </c>
      <c r="AK2066">
        <v>117.301180459302</v>
      </c>
      <c r="AL2066">
        <v>80.074733435890906</v>
      </c>
      <c r="AM2066">
        <v>92.850282801180398</v>
      </c>
      <c r="AN2066">
        <v>0.99999999000638695</v>
      </c>
    </row>
    <row r="2067" spans="1:40" x14ac:dyDescent="0.25">
      <c r="A2067" t="str">
        <f>"20190304155635625"</f>
        <v>20190304155635625</v>
      </c>
      <c r="B2067" t="str">
        <f>"1551686195617198"</f>
        <v>1551686195617198</v>
      </c>
      <c r="C2067" t="s">
        <v>40</v>
      </c>
      <c r="D2067">
        <v>4.5190919999999997</v>
      </c>
      <c r="E2067">
        <v>0.55577209999999999</v>
      </c>
      <c r="F2067" t="s">
        <v>44</v>
      </c>
      <c r="G2067">
        <v>-407.28160000000003</v>
      </c>
      <c r="H2067">
        <v>-0.05</v>
      </c>
      <c r="I2067">
        <v>299.65030000000002</v>
      </c>
      <c r="J2067">
        <v>-285.24400000000003</v>
      </c>
      <c r="K2067">
        <v>1.1092280000000001</v>
      </c>
      <c r="L2067">
        <v>283.9051</v>
      </c>
      <c r="M2067">
        <v>-0.99930099999999999</v>
      </c>
      <c r="N2067">
        <v>-9.5875950000000008E-3</v>
      </c>
      <c r="O2067">
        <v>3.6137089999999997E-2</v>
      </c>
      <c r="P2067">
        <v>-0.98650930000000003</v>
      </c>
      <c r="Q2067">
        <v>0.16311879999999901</v>
      </c>
      <c r="R2067">
        <v>-1.384909E-2</v>
      </c>
      <c r="S2067">
        <v>-3.0512079999999999</v>
      </c>
      <c r="T2067">
        <v>-2.8943420000000001E-2</v>
      </c>
      <c r="U2067">
        <v>0.39328000000000002</v>
      </c>
      <c r="V2067">
        <v>-4.928805E-2</v>
      </c>
      <c r="W2067">
        <v>0.17261660000000001</v>
      </c>
      <c r="X2067">
        <v>0.98375520000000005</v>
      </c>
      <c r="Y2067">
        <v>9.1901689999999994E-2</v>
      </c>
      <c r="Z2067">
        <v>8.8066999999999996E-4</v>
      </c>
      <c r="AA2067">
        <v>0.99576770000000003</v>
      </c>
      <c r="AB2067">
        <v>30</v>
      </c>
      <c r="AC2067">
        <v>-122.0376</v>
      </c>
      <c r="AD2067">
        <v>-1.1592279999999999</v>
      </c>
      <c r="AE2067">
        <v>15.745200000000001</v>
      </c>
      <c r="AF2067">
        <v>11.3236241756775</v>
      </c>
      <c r="AG2067">
        <v>-1.1592279999999999</v>
      </c>
      <c r="AH2067">
        <v>122.516021037957</v>
      </c>
      <c r="AI2067">
        <v>90.539807182111005</v>
      </c>
      <c r="AJ2067">
        <v>84.719402136718003</v>
      </c>
      <c r="AK2067">
        <v>123.043665765455</v>
      </c>
      <c r="AL2067">
        <v>80.060011788519603</v>
      </c>
      <c r="AM2067">
        <v>92.868231711098403</v>
      </c>
      <c r="AN2067">
        <v>1.0000000479977</v>
      </c>
    </row>
    <row r="2068" spans="1:40" x14ac:dyDescent="0.25">
      <c r="A2068" t="str">
        <f>"20190304155635647"</f>
        <v>20190304155635647</v>
      </c>
      <c r="B2068" t="str">
        <f>"1551686195636717"</f>
        <v>1551686195636717</v>
      </c>
      <c r="C2068" t="s">
        <v>40</v>
      </c>
      <c r="D2068">
        <v>4.5184340000000001</v>
      </c>
      <c r="E2068">
        <v>0.55700959999999999</v>
      </c>
      <c r="F2068" t="s">
        <v>41</v>
      </c>
      <c r="G2068">
        <v>-409.60230000000001</v>
      </c>
      <c r="H2068">
        <v>7.9985509999999996E-2</v>
      </c>
      <c r="I2068">
        <v>300.1798</v>
      </c>
      <c r="J2068">
        <v>-285.53269999999998</v>
      </c>
      <c r="K2068">
        <v>1.1092329999999999</v>
      </c>
      <c r="L2068">
        <v>283.91609999999997</v>
      </c>
      <c r="M2068">
        <v>-0.99928059999999996</v>
      </c>
      <c r="N2068">
        <v>-9.5918280000000002E-3</v>
      </c>
      <c r="O2068">
        <v>3.669161E-2</v>
      </c>
      <c r="P2068">
        <v>-0.98646619999999996</v>
      </c>
      <c r="Q2068">
        <v>0.16338859999999999</v>
      </c>
      <c r="R2068">
        <v>-1.3739400000000001E-2</v>
      </c>
      <c r="S2068">
        <v>-3.0508120000000001</v>
      </c>
      <c r="T2068">
        <v>-2.5249839999999999E-2</v>
      </c>
      <c r="U2068">
        <v>0.39926149999999999</v>
      </c>
      <c r="V2068">
        <v>-4.9723290000000003E-2</v>
      </c>
      <c r="W2068">
        <v>0.17289089999999999</v>
      </c>
      <c r="X2068">
        <v>0.98368509999999998</v>
      </c>
      <c r="Y2068">
        <v>9.328678E-2</v>
      </c>
      <c r="Z2068">
        <v>8.8229219999999998E-4</v>
      </c>
      <c r="AA2068">
        <v>0.99563889999999999</v>
      </c>
      <c r="AB2068">
        <v>30</v>
      </c>
      <c r="AC2068">
        <v>-124.06959999999999</v>
      </c>
      <c r="AD2068">
        <v>-1.0292474899999999</v>
      </c>
      <c r="AE2068">
        <v>16.2637</v>
      </c>
      <c r="AF2068">
        <v>11.6994332460867</v>
      </c>
      <c r="AG2068">
        <v>-1.0292474899999999</v>
      </c>
      <c r="AH2068">
        <v>124.57438885170301</v>
      </c>
      <c r="AI2068">
        <v>90.471299556593095</v>
      </c>
      <c r="AJ2068">
        <v>84.634790206293701</v>
      </c>
      <c r="AK2068">
        <v>125.12679347945701</v>
      </c>
      <c r="AL2068">
        <v>80.044055399942806</v>
      </c>
      <c r="AM2068">
        <v>92.893722735094002</v>
      </c>
      <c r="AN2068">
        <v>1.0000000224166199</v>
      </c>
    </row>
    <row r="2069" spans="1:40" x14ac:dyDescent="0.25">
      <c r="A2069" t="str">
        <f>"20190304155635667"</f>
        <v>20190304155635667</v>
      </c>
      <c r="B2069" t="str">
        <f>"1551686195656237"</f>
        <v>1551686195656237</v>
      </c>
      <c r="C2069" t="s">
        <v>40</v>
      </c>
      <c r="D2069">
        <v>4.5635370000000002</v>
      </c>
      <c r="E2069">
        <v>0.55769930000000001</v>
      </c>
      <c r="F2069" t="s">
        <v>41</v>
      </c>
      <c r="G2069">
        <v>-430.28980000000001</v>
      </c>
      <c r="H2069">
        <v>7.9985719999999996E-2</v>
      </c>
      <c r="I2069">
        <v>303.35390000000001</v>
      </c>
      <c r="J2069">
        <v>-285.81909999999999</v>
      </c>
      <c r="K2069">
        <v>1.1092329999999999</v>
      </c>
      <c r="L2069">
        <v>283.92720000000003</v>
      </c>
      <c r="M2069">
        <v>-0.99926020000000004</v>
      </c>
      <c r="N2069">
        <v>-9.5959909999999999E-3</v>
      </c>
      <c r="O2069">
        <v>3.7240660000000002E-2</v>
      </c>
      <c r="P2069">
        <v>-0.98639719999999997</v>
      </c>
      <c r="Q2069">
        <v>0.1637863</v>
      </c>
      <c r="R2069">
        <v>-1.3956700000000001E-2</v>
      </c>
      <c r="S2069">
        <v>-3.050446</v>
      </c>
      <c r="T2069">
        <v>-2.1689179999999999E-2</v>
      </c>
      <c r="U2069">
        <v>0.4096069</v>
      </c>
      <c r="V2069">
        <v>-5.0478589999999997E-2</v>
      </c>
      <c r="W2069">
        <v>0.173292</v>
      </c>
      <c r="X2069">
        <v>0.98357600000000001</v>
      </c>
      <c r="Y2069">
        <v>9.6074339999999994E-2</v>
      </c>
      <c r="Z2069">
        <v>8.9573840000000001E-4</v>
      </c>
      <c r="AA2069">
        <v>0.99537379999999998</v>
      </c>
      <c r="AB2069">
        <v>30</v>
      </c>
      <c r="AC2069">
        <v>-144.47069999999999</v>
      </c>
      <c r="AD2069">
        <v>-1.0292472800000001</v>
      </c>
      <c r="AE2069">
        <v>19.426699999999901</v>
      </c>
      <c r="AF2069">
        <v>14.032091185094901</v>
      </c>
      <c r="AG2069">
        <v>-1.0292472800000001</v>
      </c>
      <c r="AH2069">
        <v>145.08673856301701</v>
      </c>
      <c r="AI2069">
        <v>90.404562577357495</v>
      </c>
      <c r="AJ2069">
        <v>84.475809272654502</v>
      </c>
      <c r="AK2069">
        <v>145.76735107644501</v>
      </c>
      <c r="AL2069">
        <v>80.020721398568895</v>
      </c>
      <c r="AM2069">
        <v>92.937927428167995</v>
      </c>
      <c r="AN2069">
        <v>0.99999997654419304</v>
      </c>
    </row>
    <row r="2070" spans="1:40" x14ac:dyDescent="0.25">
      <c r="A2070" t="str">
        <f>"20190304155635691"</f>
        <v>20190304155635691</v>
      </c>
      <c r="B2070" t="str">
        <f>"1551686195686493"</f>
        <v>1551686195686493</v>
      </c>
      <c r="C2070" t="s">
        <v>40</v>
      </c>
      <c r="D2070">
        <v>4.5663289999999996</v>
      </c>
      <c r="E2070">
        <v>0.55857029999999996</v>
      </c>
      <c r="F2070" t="s">
        <v>60</v>
      </c>
      <c r="G2070">
        <v>-440.87110000000001</v>
      </c>
      <c r="H2070">
        <v>0.1491905</v>
      </c>
      <c r="I2070">
        <v>304.98050000000001</v>
      </c>
      <c r="J2070">
        <v>-286.12619999999998</v>
      </c>
      <c r="K2070">
        <v>1.1092390000000001</v>
      </c>
      <c r="L2070">
        <v>283.93920000000003</v>
      </c>
      <c r="M2070">
        <v>-0.99923819999999997</v>
      </c>
      <c r="N2070">
        <v>-9.6004750000000007E-3</v>
      </c>
      <c r="O2070">
        <v>3.7825579999999998E-2</v>
      </c>
      <c r="P2070">
        <v>-0.98650040000000006</v>
      </c>
      <c r="Q2070">
        <v>0.16315569999999999</v>
      </c>
      <c r="R2070">
        <v>-1.4047570000000001E-2</v>
      </c>
      <c r="S2070">
        <v>-3.050354</v>
      </c>
      <c r="T2070">
        <v>-1.8886799999999999E-2</v>
      </c>
      <c r="U2070">
        <v>0.41418460000000001</v>
      </c>
      <c r="V2070">
        <v>-5.115074E-2</v>
      </c>
      <c r="W2070">
        <v>0.17266790000000001</v>
      </c>
      <c r="X2070">
        <v>0.98365100000000005</v>
      </c>
      <c r="Y2070">
        <v>9.6963649999999998E-2</v>
      </c>
      <c r="Z2070">
        <v>8.9525869999999895E-4</v>
      </c>
      <c r="AA2070">
        <v>0.99528749999999999</v>
      </c>
      <c r="AB2070">
        <v>30</v>
      </c>
      <c r="AC2070">
        <v>-154.7449</v>
      </c>
      <c r="AD2070">
        <v>-0.96004849999999997</v>
      </c>
      <c r="AE2070">
        <v>21.0412999999999</v>
      </c>
      <c r="AF2070">
        <v>15.1720815812885</v>
      </c>
      <c r="AG2070">
        <v>-0.96004849999999997</v>
      </c>
      <c r="AH2070">
        <v>155.42420995597101</v>
      </c>
      <c r="AI2070">
        <v>90.352234782727393</v>
      </c>
      <c r="AJ2070">
        <v>84.424609196579993</v>
      </c>
      <c r="AK2070">
        <v>156.16593352287001</v>
      </c>
      <c r="AL2070">
        <v>80.057026681997698</v>
      </c>
      <c r="AM2070">
        <v>92.976751052916597</v>
      </c>
      <c r="AN2070">
        <v>0.99999994584697705</v>
      </c>
    </row>
    <row r="2071" spans="1:40" x14ac:dyDescent="0.25">
      <c r="A2071" t="str">
        <f>"20190304155635712"</f>
        <v>20190304155635712</v>
      </c>
      <c r="B2071" t="str">
        <f>"1551686195706989"</f>
        <v>1551686195706989</v>
      </c>
      <c r="C2071" t="s">
        <v>40</v>
      </c>
      <c r="D2071">
        <v>4.5922929999999997</v>
      </c>
      <c r="E2071">
        <v>0.55883229999999995</v>
      </c>
      <c r="F2071" t="s">
        <v>60</v>
      </c>
      <c r="G2071">
        <v>-440.87110000000001</v>
      </c>
      <c r="H2071">
        <v>4.7397849999999998E-2</v>
      </c>
      <c r="I2071">
        <v>305.29770000000002</v>
      </c>
      <c r="J2071">
        <v>-286.42529999999999</v>
      </c>
      <c r="K2071">
        <v>1.10924</v>
      </c>
      <c r="L2071">
        <v>283.9511</v>
      </c>
      <c r="M2071">
        <v>-0.99921669999999996</v>
      </c>
      <c r="N2071">
        <v>-9.6048799999999997E-3</v>
      </c>
      <c r="O2071">
        <v>3.838987E-2</v>
      </c>
      <c r="P2071">
        <v>-0.98647510000000005</v>
      </c>
      <c r="Q2071">
        <v>0.16327429999999901</v>
      </c>
      <c r="R2071">
        <v>-1.444001E-2</v>
      </c>
      <c r="S2071">
        <v>-3.0505680000000002</v>
      </c>
      <c r="T2071">
        <v>-2.093244E-2</v>
      </c>
      <c r="U2071">
        <v>0.42105100000000001</v>
      </c>
      <c r="V2071">
        <v>-5.2099380000000001E-2</v>
      </c>
      <c r="W2071">
        <v>0.17279040000000001</v>
      </c>
      <c r="X2071">
        <v>0.9835798</v>
      </c>
      <c r="Y2071">
        <v>9.8590339999999999E-2</v>
      </c>
      <c r="Z2071">
        <v>9.1774239999999996E-4</v>
      </c>
      <c r="AA2071">
        <v>0.99512769999999995</v>
      </c>
      <c r="AB2071">
        <v>30</v>
      </c>
      <c r="AC2071">
        <v>-154.44579999999999</v>
      </c>
      <c r="AD2071">
        <v>-1.0618421499999999</v>
      </c>
      <c r="AE2071">
        <v>21.346599999999999</v>
      </c>
      <c r="AF2071">
        <v>15.4007207635964</v>
      </c>
      <c r="AG2071">
        <v>-1.0618421499999999</v>
      </c>
      <c r="AH2071">
        <v>155.144272883459</v>
      </c>
      <c r="AI2071">
        <v>90.390221185869706</v>
      </c>
      <c r="AJ2071">
        <v>84.330986656762704</v>
      </c>
      <c r="AK2071">
        <v>155.91040734129001</v>
      </c>
      <c r="AL2071">
        <v>80.049901842809604</v>
      </c>
      <c r="AM2071">
        <v>93.032074782652899</v>
      </c>
      <c r="AN2071">
        <v>1.00000004534829</v>
      </c>
    </row>
    <row r="2072" spans="1:40" x14ac:dyDescent="0.25">
      <c r="A2072" t="str">
        <f>"20190304155635725"</f>
        <v>20190304155635725</v>
      </c>
      <c r="B2072" t="str">
        <f>"1551686195716749"</f>
        <v>1551686195716749</v>
      </c>
      <c r="C2072" t="s">
        <v>40</v>
      </c>
      <c r="D2072">
        <v>4.6099309999999996</v>
      </c>
      <c r="E2072">
        <v>0.55899949999999998</v>
      </c>
      <c r="F2072" t="s">
        <v>60</v>
      </c>
      <c r="G2072">
        <v>-440.87110000000001</v>
      </c>
      <c r="H2072">
        <v>4.7135000000000003E-2</v>
      </c>
      <c r="I2072">
        <v>305.31470000000002</v>
      </c>
      <c r="J2072">
        <v>-286.60309999999998</v>
      </c>
      <c r="K2072">
        <v>1.1092409999999999</v>
      </c>
      <c r="L2072">
        <v>283.95830000000001</v>
      </c>
      <c r="M2072">
        <v>-0.99920390000000003</v>
      </c>
      <c r="N2072">
        <v>-9.6074920000000005E-3</v>
      </c>
      <c r="O2072">
        <v>3.8723090000000002E-2</v>
      </c>
      <c r="P2072">
        <v>-0.98649299999999995</v>
      </c>
      <c r="Q2072">
        <v>0.1631744</v>
      </c>
      <c r="R2072">
        <v>-1.434445E-2</v>
      </c>
      <c r="S2072">
        <v>-3.0507810000000002</v>
      </c>
      <c r="T2072">
        <v>-2.0979640000000001E-2</v>
      </c>
      <c r="U2072">
        <v>0.42199710000000001</v>
      </c>
      <c r="V2072">
        <v>-5.2333369999999997E-2</v>
      </c>
      <c r="W2072">
        <v>0.17269370000000001</v>
      </c>
      <c r="X2072">
        <v>0.98358429999999997</v>
      </c>
      <c r="Y2072">
        <v>9.855179E-2</v>
      </c>
      <c r="Z2072">
        <v>9.1873460000000003E-4</v>
      </c>
      <c r="AA2072">
        <v>0.99513149999999995</v>
      </c>
      <c r="AB2072">
        <v>30</v>
      </c>
      <c r="AC2072">
        <v>-154.268</v>
      </c>
      <c r="AD2072">
        <v>-1.062106</v>
      </c>
      <c r="AE2072">
        <v>21.356400000000001</v>
      </c>
      <c r="AF2072">
        <v>15.365657425753</v>
      </c>
      <c r="AG2072">
        <v>-1.062106</v>
      </c>
      <c r="AH2072">
        <v>154.97210147607601</v>
      </c>
      <c r="AI2072">
        <v>90.390756221628095</v>
      </c>
      <c r="AJ2072">
        <v>84.337566584927004</v>
      </c>
      <c r="AK2072">
        <v>155.735621272694</v>
      </c>
      <c r="AL2072">
        <v>80.0555263034435</v>
      </c>
      <c r="AM2072">
        <v>93.0456530214487</v>
      </c>
      <c r="AN2072">
        <v>0.99999998542086799</v>
      </c>
    </row>
    <row r="2073" spans="1:40" x14ac:dyDescent="0.25">
      <c r="A2073" t="str">
        <f>"20190304155635739"</f>
        <v>20190304155635739</v>
      </c>
      <c r="B2073" t="str">
        <f>"1551686195736269"</f>
        <v>1551686195736269</v>
      </c>
      <c r="C2073" t="s">
        <v>40</v>
      </c>
      <c r="D2073">
        <v>4.6116190000000001</v>
      </c>
      <c r="E2073">
        <v>0.55926949999999997</v>
      </c>
      <c r="F2073" t="s">
        <v>41</v>
      </c>
      <c r="G2073">
        <v>-433.26530000000002</v>
      </c>
      <c r="H2073">
        <v>7.9985580000000001E-2</v>
      </c>
      <c r="I2073">
        <v>304.31729999999999</v>
      </c>
      <c r="J2073">
        <v>-286.78750000000002</v>
      </c>
      <c r="K2073">
        <v>1.1092409999999999</v>
      </c>
      <c r="L2073">
        <v>283.9658</v>
      </c>
      <c r="M2073">
        <v>-0.99919040000000003</v>
      </c>
      <c r="N2073">
        <v>-9.6102240000000005E-3</v>
      </c>
      <c r="O2073">
        <v>3.9066009999999998E-2</v>
      </c>
      <c r="P2073">
        <v>-0.98647490000000004</v>
      </c>
      <c r="Q2073">
        <v>0.1632932</v>
      </c>
      <c r="R2073">
        <v>-1.4232E-2</v>
      </c>
      <c r="S2073">
        <v>-3.050751</v>
      </c>
      <c r="T2073">
        <v>-2.1409750000000002E-2</v>
      </c>
      <c r="U2073">
        <v>0.42349239999999999</v>
      </c>
      <c r="V2073">
        <v>-5.2559250000000002E-2</v>
      </c>
      <c r="W2073">
        <v>0.17281489999999999</v>
      </c>
      <c r="X2073">
        <v>0.98355099999999995</v>
      </c>
      <c r="Y2073">
        <v>9.8690050000000001E-2</v>
      </c>
      <c r="Z2073">
        <v>9.2251010000000001E-4</v>
      </c>
      <c r="AA2073">
        <v>0.99511780000000005</v>
      </c>
      <c r="AB2073">
        <v>30</v>
      </c>
      <c r="AC2073">
        <v>-146.4778</v>
      </c>
      <c r="AD2073">
        <v>-1.0292554199999999</v>
      </c>
      <c r="AE2073">
        <v>20.351499999999898</v>
      </c>
      <c r="AF2073">
        <v>14.612687487597301</v>
      </c>
      <c r="AG2073">
        <v>-1.0292554199999999</v>
      </c>
      <c r="AH2073">
        <v>147.15393379035399</v>
      </c>
      <c r="AI2073">
        <v>90.398782533073302</v>
      </c>
      <c r="AJ2073">
        <v>84.329003169426997</v>
      </c>
      <c r="AK2073">
        <v>147.88127072860101</v>
      </c>
      <c r="AL2073">
        <v>80.048476371579</v>
      </c>
      <c r="AM2073">
        <v>93.058877048680898</v>
      </c>
      <c r="AN2073">
        <v>1.00000001701178</v>
      </c>
    </row>
    <row r="2074" spans="1:40" x14ac:dyDescent="0.25">
      <c r="A2074" t="str">
        <f>"20190304155635757"</f>
        <v>20190304155635757</v>
      </c>
      <c r="B2074" t="str">
        <f>"1551686195747004"</f>
        <v>1551686195747004</v>
      </c>
      <c r="C2074" t="s">
        <v>40</v>
      </c>
      <c r="D2074">
        <v>4.644145</v>
      </c>
      <c r="E2074">
        <v>0.55934680000000003</v>
      </c>
      <c r="F2074" t="s">
        <v>41</v>
      </c>
      <c r="G2074">
        <v>-431.55250000000001</v>
      </c>
      <c r="H2074">
        <v>7.9985539999999994E-2</v>
      </c>
      <c r="I2074">
        <v>304.17939999999999</v>
      </c>
      <c r="J2074">
        <v>-287.03930000000003</v>
      </c>
      <c r="K2074">
        <v>1.1092390000000001</v>
      </c>
      <c r="L2074">
        <v>283.97609999999997</v>
      </c>
      <c r="M2074">
        <v>-0.99917230000000001</v>
      </c>
      <c r="N2074">
        <v>-9.6139759999999998E-3</v>
      </c>
      <c r="O2074">
        <v>3.952746E-2</v>
      </c>
      <c r="P2074">
        <v>-0.98650709999999997</v>
      </c>
      <c r="Q2074">
        <v>0.163092299999999</v>
      </c>
      <c r="R2074">
        <v>-1.43169E-2</v>
      </c>
      <c r="S2074">
        <v>-3.0508730000000002</v>
      </c>
      <c r="T2074">
        <v>-2.1691200000000001E-2</v>
      </c>
      <c r="U2074">
        <v>0.42599490000000001</v>
      </c>
      <c r="V2074">
        <v>-5.310231E-2</v>
      </c>
      <c r="W2074">
        <v>0.1726181</v>
      </c>
      <c r="X2074">
        <v>0.9835564</v>
      </c>
      <c r="Y2074">
        <v>9.9025619999999995E-2</v>
      </c>
      <c r="Z2074">
        <v>9.2776359999999995E-4</v>
      </c>
      <c r="AA2074">
        <v>0.99508450000000004</v>
      </c>
      <c r="AB2074">
        <v>30</v>
      </c>
      <c r="AC2074">
        <v>-144.51319999999899</v>
      </c>
      <c r="AD2074">
        <v>-1.0292534599999901</v>
      </c>
      <c r="AE2074">
        <v>20.203299999999999</v>
      </c>
      <c r="AF2074">
        <v>14.4742858496487</v>
      </c>
      <c r="AG2074">
        <v>-1.0292534599999901</v>
      </c>
      <c r="AH2074">
        <v>145.19164847543101</v>
      </c>
      <c r="AI2074">
        <v>90.404155704371107</v>
      </c>
      <c r="AJ2074">
        <v>84.306942277611896</v>
      </c>
      <c r="AK2074">
        <v>145.91497216034901</v>
      </c>
      <c r="AL2074">
        <v>80.059924333067102</v>
      </c>
      <c r="AM2074">
        <v>93.090404517670706</v>
      </c>
      <c r="AN2074">
        <v>1.0000000278779499</v>
      </c>
    </row>
    <row r="2075" spans="1:40" x14ac:dyDescent="0.25">
      <c r="A2075" t="str">
        <f>"20190304155635779"</f>
        <v>20190304155635779</v>
      </c>
      <c r="B2075" t="str">
        <f>"1551686195776794"</f>
        <v>1551686195776794</v>
      </c>
      <c r="C2075" t="s">
        <v>40</v>
      </c>
      <c r="D2075">
        <v>4.6099540000000001</v>
      </c>
      <c r="E2075">
        <v>0.55949740000000003</v>
      </c>
      <c r="F2075" t="s">
        <v>41</v>
      </c>
      <c r="G2075">
        <v>-429.95780000000002</v>
      </c>
      <c r="H2075">
        <v>4.3521520000000001E-2</v>
      </c>
      <c r="I2075">
        <v>303.94560000000001</v>
      </c>
      <c r="J2075">
        <v>-287.33479999999997</v>
      </c>
      <c r="K2075">
        <v>1.109246</v>
      </c>
      <c r="L2075">
        <v>283.98829999999998</v>
      </c>
      <c r="M2075">
        <v>-0.99915120000000002</v>
      </c>
      <c r="N2075">
        <v>-9.6183550000000003E-3</v>
      </c>
      <c r="O2075">
        <v>4.005413E-2</v>
      </c>
      <c r="P2075">
        <v>-0.98649980000000004</v>
      </c>
      <c r="Q2075">
        <v>0.16314439999999999</v>
      </c>
      <c r="R2075">
        <v>-1.420918E-2</v>
      </c>
      <c r="S2075">
        <v>-3.050964</v>
      </c>
      <c r="T2075">
        <v>-2.27505E-2</v>
      </c>
      <c r="U2075">
        <v>0.42630000000000001</v>
      </c>
      <c r="V2075">
        <v>-5.3516849999999998E-2</v>
      </c>
      <c r="W2075">
        <v>0.17267299999999999</v>
      </c>
      <c r="X2075">
        <v>0.98352430000000002</v>
      </c>
      <c r="Y2075">
        <v>9.8594219999999996E-2</v>
      </c>
      <c r="Z2075">
        <v>9.2908070000000001E-4</v>
      </c>
      <c r="AA2075">
        <v>0.99512730000000005</v>
      </c>
      <c r="AB2075">
        <v>30</v>
      </c>
      <c r="AC2075">
        <v>-142.62299999999999</v>
      </c>
      <c r="AD2075">
        <v>-1.0657244800000001</v>
      </c>
      <c r="AE2075">
        <v>19.9573</v>
      </c>
      <c r="AF2075">
        <v>14.227599317663</v>
      </c>
      <c r="AG2075">
        <v>-1.0657244800000001</v>
      </c>
      <c r="AH2075">
        <v>143.300097764073</v>
      </c>
      <c r="AI2075">
        <v>90.424016829484003</v>
      </c>
      <c r="AJ2075">
        <v>84.329951156456801</v>
      </c>
      <c r="AK2075">
        <v>144.00860519498201</v>
      </c>
      <c r="AL2075">
        <v>80.056730897179804</v>
      </c>
      <c r="AM2075">
        <v>93.114583713278193</v>
      </c>
      <c r="AN2075">
        <v>1.0000000334267001</v>
      </c>
    </row>
    <row r="2076" spans="1:40" x14ac:dyDescent="0.25">
      <c r="A2076" t="str">
        <f>"20190304155635793"</f>
        <v>20190304155635793</v>
      </c>
      <c r="B2076" t="str">
        <f>"1551686195786554"</f>
        <v>1551686195786554</v>
      </c>
      <c r="C2076" t="s">
        <v>40</v>
      </c>
      <c r="D2076">
        <v>4.6451799999999999</v>
      </c>
      <c r="E2076">
        <v>0.5801463</v>
      </c>
      <c r="F2076" t="s">
        <v>41</v>
      </c>
      <c r="G2076">
        <v>-427.23590000000002</v>
      </c>
      <c r="H2076" s="1">
        <v>-3.5332299999999999E-6</v>
      </c>
      <c r="I2076">
        <v>303.5976</v>
      </c>
      <c r="J2076">
        <v>-287.51729999999998</v>
      </c>
      <c r="K2076">
        <v>1.109254</v>
      </c>
      <c r="L2076">
        <v>283.99599999999998</v>
      </c>
      <c r="M2076">
        <v>-0.99913850000000004</v>
      </c>
      <c r="N2076">
        <v>-9.6210429999999993E-3</v>
      </c>
      <c r="O2076">
        <v>4.0371129999999998E-2</v>
      </c>
      <c r="P2076">
        <v>-0.98655870000000001</v>
      </c>
      <c r="Q2076">
        <v>0.16281789999999999</v>
      </c>
      <c r="R2076">
        <v>-1.388206E-2</v>
      </c>
      <c r="S2076">
        <v>-3.0512079999999999</v>
      </c>
      <c r="T2076">
        <v>-2.4192450000000001E-2</v>
      </c>
      <c r="U2076">
        <v>0.42767329999999998</v>
      </c>
      <c r="V2076">
        <v>-5.3508680000000003E-2</v>
      </c>
      <c r="W2076">
        <v>0.1723489</v>
      </c>
      <c r="X2076">
        <v>0.9835815</v>
      </c>
      <c r="Y2076">
        <v>9.8706269999999999E-2</v>
      </c>
      <c r="Z2076">
        <v>9.3521100000000003E-4</v>
      </c>
      <c r="AA2076">
        <v>0.99511620000000001</v>
      </c>
      <c r="AB2076">
        <v>30</v>
      </c>
      <c r="AC2076">
        <v>-139.71860000000001</v>
      </c>
      <c r="AD2076">
        <v>-1.1092575332300001</v>
      </c>
      <c r="AE2076">
        <v>19.601600000000001</v>
      </c>
      <c r="AF2076">
        <v>13.943897990048301</v>
      </c>
      <c r="AG2076">
        <v>-1.1092575332300001</v>
      </c>
      <c r="AH2076">
        <v>140.387381701398</v>
      </c>
      <c r="AI2076">
        <v>90.450491147432999</v>
      </c>
      <c r="AJ2076">
        <v>84.327732954631401</v>
      </c>
      <c r="AK2076">
        <v>141.082527920384</v>
      </c>
      <c r="AL2076">
        <v>80.075582208582802</v>
      </c>
      <c r="AM2076">
        <v>93.113928425973697</v>
      </c>
      <c r="AN2076">
        <v>0.99999994465439901</v>
      </c>
    </row>
    <row r="2077" spans="1:40" x14ac:dyDescent="0.25">
      <c r="A2077" t="str">
        <f>"20190304155635806"</f>
        <v>20190304155635806</v>
      </c>
      <c r="B2077" t="str">
        <f>"1551686195797290"</f>
        <v>1551686195797290</v>
      </c>
      <c r="C2077" t="s">
        <v>40</v>
      </c>
      <c r="D2077">
        <v>4.613054</v>
      </c>
      <c r="E2077">
        <v>0.58952700000000002</v>
      </c>
      <c r="F2077" t="s">
        <v>60</v>
      </c>
      <c r="G2077">
        <v>-440.87139999999999</v>
      </c>
      <c r="H2077">
        <v>1.0935649999999999</v>
      </c>
      <c r="I2077">
        <v>313.8494</v>
      </c>
      <c r="J2077">
        <v>-287.70119999999997</v>
      </c>
      <c r="K2077">
        <v>1.1092610000000001</v>
      </c>
      <c r="L2077">
        <v>284.00369999999998</v>
      </c>
      <c r="M2077">
        <v>-0.99912590000000001</v>
      </c>
      <c r="N2077">
        <v>-9.6237240000000002E-3</v>
      </c>
      <c r="O2077">
        <v>4.0680840000000003E-2</v>
      </c>
      <c r="P2077">
        <v>-0.98658760000000001</v>
      </c>
      <c r="Q2077">
        <v>0.16266810000000001</v>
      </c>
      <c r="R2077">
        <v>-1.3569060000000001E-2</v>
      </c>
      <c r="S2077">
        <v>-3.049255</v>
      </c>
      <c r="T2077">
        <v>-3.117323E-4</v>
      </c>
      <c r="U2077">
        <v>0.59359740000000005</v>
      </c>
      <c r="V2077">
        <v>-5.3506329999999998E-2</v>
      </c>
      <c r="W2077">
        <v>0.17220099999999999</v>
      </c>
      <c r="X2077">
        <v>0.98360760000000003</v>
      </c>
      <c r="Y2077">
        <v>0.15099299999999999</v>
      </c>
      <c r="Z2077">
        <v>1.1252E-3</v>
      </c>
      <c r="AA2077">
        <v>0.98853420000000003</v>
      </c>
      <c r="AB2077">
        <v>31</v>
      </c>
      <c r="AC2077">
        <v>-153.17019999999999</v>
      </c>
      <c r="AD2077">
        <v>-1.5696000000000099E-2</v>
      </c>
      <c r="AE2077">
        <v>29.845700000000001</v>
      </c>
      <c r="AF2077">
        <v>23.589610342137199</v>
      </c>
      <c r="AG2077">
        <v>-1.5696000000000099E-2</v>
      </c>
      <c r="AH2077">
        <v>154.25759549437799</v>
      </c>
      <c r="AI2077">
        <v>90.005762957459396</v>
      </c>
      <c r="AJ2077">
        <v>81.305487149319006</v>
      </c>
      <c r="AK2077">
        <v>156.05087545465901</v>
      </c>
      <c r="AL2077">
        <v>80.084185541317595</v>
      </c>
      <c r="AM2077">
        <v>93.1137094754515</v>
      </c>
      <c r="AN2077">
        <v>1.0000000112644101</v>
      </c>
    </row>
    <row r="2078" spans="1:40" x14ac:dyDescent="0.25">
      <c r="A2078" t="str">
        <f>"20190304155635824"</f>
        <v>20190304155635824</v>
      </c>
      <c r="B2078" t="str">
        <f>"1551686195816809"</f>
        <v>1551686195816809</v>
      </c>
      <c r="C2078" t="s">
        <v>40</v>
      </c>
      <c r="D2078">
        <v>4.7048129999999997</v>
      </c>
      <c r="E2078">
        <v>0.60122189999999998</v>
      </c>
      <c r="F2078" t="s">
        <v>59</v>
      </c>
      <c r="G2078">
        <v>-369.17270000000002</v>
      </c>
      <c r="H2078">
        <v>1.294195</v>
      </c>
      <c r="I2078">
        <v>301.88839999999999</v>
      </c>
      <c r="J2078">
        <v>-287.95490000000001</v>
      </c>
      <c r="K2078">
        <v>1.109278</v>
      </c>
      <c r="L2078">
        <v>284.01440000000002</v>
      </c>
      <c r="M2078">
        <v>-0.99910909999999997</v>
      </c>
      <c r="N2078">
        <v>-9.6274350000000002E-3</v>
      </c>
      <c r="O2078">
        <v>4.1091089999999997E-2</v>
      </c>
      <c r="P2078">
        <v>-0.98660619999999999</v>
      </c>
      <c r="Q2078">
        <v>0.16259960000000001</v>
      </c>
      <c r="R2078">
        <v>-1.30317E-2</v>
      </c>
      <c r="S2078">
        <v>-3.0488279999999999</v>
      </c>
      <c r="T2078">
        <v>6.923556E-3</v>
      </c>
      <c r="U2078">
        <v>0.66928100000000001</v>
      </c>
      <c r="V2078">
        <v>-5.3381270000000001E-2</v>
      </c>
      <c r="W2078">
        <v>0.17213429999999999</v>
      </c>
      <c r="X2078">
        <v>0.98362609999999995</v>
      </c>
      <c r="Y2078">
        <v>0.17410100000000001</v>
      </c>
      <c r="Z2078">
        <v>1.1361699999999999E-3</v>
      </c>
      <c r="AA2078">
        <v>0.98472709999999997</v>
      </c>
      <c r="AB2078">
        <v>31</v>
      </c>
      <c r="AC2078">
        <v>-81.217799999999997</v>
      </c>
      <c r="AD2078">
        <v>0.184917</v>
      </c>
      <c r="AE2078">
        <v>17.873999999999899</v>
      </c>
      <c r="AF2078">
        <v>14.5213481641598</v>
      </c>
      <c r="AG2078">
        <v>0.184917</v>
      </c>
      <c r="AH2078">
        <v>81.883288723943394</v>
      </c>
      <c r="AI2078">
        <v>89.872597090031903</v>
      </c>
      <c r="AJ2078">
        <v>79.943605772937701</v>
      </c>
      <c r="AK2078">
        <v>83.161149096499997</v>
      </c>
      <c r="AL2078">
        <v>80.088065397490297</v>
      </c>
      <c r="AM2078">
        <v>93.106387781220405</v>
      </c>
      <c r="AN2078">
        <v>1.00000004091225</v>
      </c>
    </row>
    <row r="2079" spans="1:40" x14ac:dyDescent="0.25">
      <c r="A2079" t="str">
        <f>"20190304155635847"</f>
        <v>20190304155635847</v>
      </c>
      <c r="B2079" t="str">
        <f>"1551686195837309"</f>
        <v>1551686195837309</v>
      </c>
      <c r="C2079" t="s">
        <v>40</v>
      </c>
      <c r="D2079">
        <v>4.6770389999999997</v>
      </c>
      <c r="E2079">
        <v>0.60604179999999996</v>
      </c>
      <c r="F2079" t="s">
        <v>59</v>
      </c>
      <c r="G2079">
        <v>-359.26510000000002</v>
      </c>
      <c r="H2079">
        <v>1.3396319999999999</v>
      </c>
      <c r="I2079">
        <v>301.88839999999999</v>
      </c>
      <c r="J2079">
        <v>-288.25619999999998</v>
      </c>
      <c r="K2079">
        <v>1.1092959999999901</v>
      </c>
      <c r="L2079">
        <v>284.02730000000003</v>
      </c>
      <c r="M2079">
        <v>-0.99909020000000004</v>
      </c>
      <c r="N2079">
        <v>-9.6318329999999994E-3</v>
      </c>
      <c r="O2079">
        <v>4.1548700000000001E-2</v>
      </c>
      <c r="P2079">
        <v>-0.98656980000000005</v>
      </c>
      <c r="Q2079">
        <v>0.16287189999999999</v>
      </c>
      <c r="R2079">
        <v>-1.237253E-2</v>
      </c>
      <c r="S2079">
        <v>-3.049194</v>
      </c>
      <c r="T2079">
        <v>9.8532440000000006E-3</v>
      </c>
      <c r="U2079">
        <v>0.76428219999999902</v>
      </c>
      <c r="V2079">
        <v>-5.3181699999999998E-2</v>
      </c>
      <c r="W2079">
        <v>0.17240720000000001</v>
      </c>
      <c r="X2079">
        <v>0.98358909999999999</v>
      </c>
      <c r="Y2079">
        <v>0.20262089999999999</v>
      </c>
      <c r="Z2079">
        <v>1.195022E-3</v>
      </c>
      <c r="AA2079">
        <v>0.97925649999999997</v>
      </c>
      <c r="AB2079">
        <v>31</v>
      </c>
      <c r="AC2079">
        <v>-71.008899999999997</v>
      </c>
      <c r="AD2079">
        <v>0.23033600000000001</v>
      </c>
      <c r="AE2079">
        <v>17.861099999999901</v>
      </c>
      <c r="AF2079">
        <v>14.895063841902999</v>
      </c>
      <c r="AG2079">
        <v>0.23033600000000001</v>
      </c>
      <c r="AH2079">
        <v>71.689007091707495</v>
      </c>
      <c r="AI2079">
        <v>89.819759260255296</v>
      </c>
      <c r="AJ2079">
        <v>78.262465558944996</v>
      </c>
      <c r="AK2079">
        <v>73.220418732223493</v>
      </c>
      <c r="AL2079">
        <v>80.072191925639203</v>
      </c>
      <c r="AM2079">
        <v>93.094913119992796</v>
      </c>
      <c r="AN2079">
        <v>1.00000002673276</v>
      </c>
    </row>
    <row r="2080" spans="1:40" x14ac:dyDescent="0.25">
      <c r="A2080" t="str">
        <f>"20190304155635860"</f>
        <v>20190304155635860</v>
      </c>
      <c r="B2080" t="str">
        <f>"1551686195856826"</f>
        <v>1551686195856826</v>
      </c>
      <c r="C2080" t="s">
        <v>40</v>
      </c>
      <c r="D2080">
        <v>4.6909239999999999</v>
      </c>
      <c r="E2080">
        <v>0.60843599999999998</v>
      </c>
      <c r="F2080" t="s">
        <v>59</v>
      </c>
      <c r="G2080">
        <v>-355.91730000000001</v>
      </c>
      <c r="H2080">
        <v>1.421289</v>
      </c>
      <c r="I2080">
        <v>301.88839999999999</v>
      </c>
      <c r="J2080">
        <v>-288.43689999999998</v>
      </c>
      <c r="K2080">
        <v>1.10931</v>
      </c>
      <c r="L2080">
        <v>284.0351</v>
      </c>
      <c r="M2080">
        <v>-0.99907950000000001</v>
      </c>
      <c r="N2080">
        <v>-9.6343959999999999E-3</v>
      </c>
      <c r="O2080">
        <v>4.1803029999999998E-2</v>
      </c>
      <c r="P2080">
        <v>-0.98654149999999996</v>
      </c>
      <c r="Q2080">
        <v>0.1630742</v>
      </c>
      <c r="R2080">
        <v>-1.1950270000000001E-2</v>
      </c>
      <c r="S2080">
        <v>-3.048645</v>
      </c>
      <c r="T2080">
        <v>1.406133E-2</v>
      </c>
      <c r="U2080">
        <v>0.80477909999999997</v>
      </c>
      <c r="V2080">
        <v>-5.3015630000000001E-2</v>
      </c>
      <c r="W2080">
        <v>0.1726096</v>
      </c>
      <c r="X2080">
        <v>0.98356250000000001</v>
      </c>
      <c r="Y2080">
        <v>0.21459880000000001</v>
      </c>
      <c r="Z2080">
        <v>1.150503E-3</v>
      </c>
      <c r="AA2080">
        <v>0.97670159999999995</v>
      </c>
      <c r="AB2080">
        <v>31</v>
      </c>
      <c r="AC2080">
        <v>-67.480400000000003</v>
      </c>
      <c r="AD2080">
        <v>0.31197900000000001</v>
      </c>
      <c r="AE2080">
        <v>17.853299999999901</v>
      </c>
      <c r="AF2080">
        <v>15.016376615663001</v>
      </c>
      <c r="AG2080">
        <v>0.31197900000000001</v>
      </c>
      <c r="AH2080">
        <v>68.166402886073101</v>
      </c>
      <c r="AI2080">
        <v>89.743914626179702</v>
      </c>
      <c r="AJ2080">
        <v>77.576733959722802</v>
      </c>
      <c r="AK2080">
        <v>69.8014855141802</v>
      </c>
      <c r="AL2080">
        <v>80.060418099605499</v>
      </c>
      <c r="AM2080">
        <v>93.085350642476001</v>
      </c>
      <c r="AN2080">
        <v>0.99999996122135204</v>
      </c>
    </row>
    <row r="2081" spans="1:40" x14ac:dyDescent="0.25">
      <c r="A2081" t="str">
        <f>"20190304155635881"</f>
        <v>20190304155635881</v>
      </c>
      <c r="B2081" t="str">
        <f>"1551686195877322"</f>
        <v>1551686195877322</v>
      </c>
      <c r="C2081" t="s">
        <v>40</v>
      </c>
      <c r="D2081">
        <v>4.6820029999999999</v>
      </c>
      <c r="E2081">
        <v>0.61028579999999999</v>
      </c>
      <c r="F2081" t="s">
        <v>59</v>
      </c>
      <c r="G2081">
        <v>-354.3965</v>
      </c>
      <c r="H2081">
        <v>1.4479630000000001</v>
      </c>
      <c r="I2081">
        <v>301.88839999999999</v>
      </c>
      <c r="J2081">
        <v>-288.71890000000002</v>
      </c>
      <c r="K2081">
        <v>1.1093440000000001</v>
      </c>
      <c r="L2081">
        <v>284.04730000000001</v>
      </c>
      <c r="M2081">
        <v>-0.99906379999999995</v>
      </c>
      <c r="N2081">
        <v>-9.6384899999999996E-3</v>
      </c>
      <c r="O2081">
        <v>4.2175129999999998E-2</v>
      </c>
      <c r="P2081">
        <v>-0.98650450000000001</v>
      </c>
      <c r="Q2081">
        <v>0.1633385</v>
      </c>
      <c r="R2081">
        <v>-1.1383239999999999E-2</v>
      </c>
      <c r="S2081">
        <v>-3.0483699999999998</v>
      </c>
      <c r="T2081">
        <v>1.56548E-2</v>
      </c>
      <c r="U2081">
        <v>0.82510380000000005</v>
      </c>
      <c r="V2081">
        <v>-5.2825539999999997E-2</v>
      </c>
      <c r="W2081">
        <v>0.172874</v>
      </c>
      <c r="X2081">
        <v>0.98352629999999996</v>
      </c>
      <c r="Y2081">
        <v>0.2203311</v>
      </c>
      <c r="Z2081">
        <v>1.1372730000000001E-3</v>
      </c>
      <c r="AA2081">
        <v>0.97542450000000003</v>
      </c>
      <c r="AB2081">
        <v>31</v>
      </c>
      <c r="AC2081">
        <v>-65.677599999999899</v>
      </c>
      <c r="AD2081">
        <v>0.338618999999999</v>
      </c>
      <c r="AE2081">
        <v>17.841099999999901</v>
      </c>
      <c r="AF2081">
        <v>15.0547615976187</v>
      </c>
      <c r="AG2081">
        <v>0.338618999999999</v>
      </c>
      <c r="AH2081">
        <v>66.369999450578405</v>
      </c>
      <c r="AI2081">
        <v>89.714921945874593</v>
      </c>
      <c r="AJ2081">
        <v>77.219811904651394</v>
      </c>
      <c r="AK2081">
        <v>68.056868401786502</v>
      </c>
      <c r="AL2081">
        <v>80.045037976292704</v>
      </c>
      <c r="AM2081">
        <v>93.074422170838602</v>
      </c>
      <c r="AN2081">
        <v>0.99999997017199005</v>
      </c>
    </row>
    <row r="2082" spans="1:40" x14ac:dyDescent="0.25">
      <c r="A2082" t="str">
        <f>"20190304155635893"</f>
        <v>20190304155635893</v>
      </c>
      <c r="B2082" t="str">
        <f>"1551686195887081"</f>
        <v>1551686195887081</v>
      </c>
      <c r="C2082" t="s">
        <v>40</v>
      </c>
      <c r="D2082">
        <v>4.7438140000000004</v>
      </c>
      <c r="E2082">
        <v>0.61112230000000001</v>
      </c>
      <c r="F2082" t="s">
        <v>59</v>
      </c>
      <c r="G2082">
        <v>-353.34629999999999</v>
      </c>
      <c r="H2082">
        <v>1.407516</v>
      </c>
      <c r="I2082">
        <v>301.88839999999999</v>
      </c>
      <c r="J2082">
        <v>-288.90320000000003</v>
      </c>
      <c r="K2082">
        <v>1.109361</v>
      </c>
      <c r="L2082">
        <v>284.05529999999999</v>
      </c>
      <c r="M2082">
        <v>-0.99905429999999995</v>
      </c>
      <c r="N2082">
        <v>-9.6412019999999998E-3</v>
      </c>
      <c r="O2082">
        <v>4.2401229999999998E-2</v>
      </c>
      <c r="P2082">
        <v>-0.98647499999999999</v>
      </c>
      <c r="Q2082">
        <v>0.1635209</v>
      </c>
      <c r="R2082">
        <v>-1.1319569999999999E-2</v>
      </c>
      <c r="S2082">
        <v>-3.0484309999999999</v>
      </c>
      <c r="T2082">
        <v>1.406837E-2</v>
      </c>
      <c r="U2082">
        <v>0.84155270000000004</v>
      </c>
      <c r="V2082">
        <v>-5.2991709999999997E-2</v>
      </c>
      <c r="W2082">
        <v>0.17305670000000001</v>
      </c>
      <c r="X2082">
        <v>0.98348530000000001</v>
      </c>
      <c r="Y2082">
        <v>0.2249999</v>
      </c>
      <c r="Z2082">
        <v>1.1886749999999999E-3</v>
      </c>
      <c r="AA2082">
        <v>0.97435799999999995</v>
      </c>
      <c r="AB2082">
        <v>31</v>
      </c>
      <c r="AC2082">
        <v>-64.443099999999902</v>
      </c>
      <c r="AD2082">
        <v>0.298154999999999</v>
      </c>
      <c r="AE2082">
        <v>17.833100000000002</v>
      </c>
      <c r="AF2082">
        <v>15.0841673498047</v>
      </c>
      <c r="AG2082">
        <v>0.298154999999999</v>
      </c>
      <c r="AH2082">
        <v>65.140023803169697</v>
      </c>
      <c r="AI2082">
        <v>89.744511459907898</v>
      </c>
      <c r="AJ2082">
        <v>76.962087062064995</v>
      </c>
      <c r="AK2082">
        <v>66.864367955724006</v>
      </c>
      <c r="AL2082">
        <v>80.034410542158298</v>
      </c>
      <c r="AM2082">
        <v>93.084202870313007</v>
      </c>
      <c r="AN2082">
        <v>1.00000003902985</v>
      </c>
    </row>
    <row r="2083" spans="1:40" x14ac:dyDescent="0.25">
      <c r="A2083" t="str">
        <f>"20190304155635906"</f>
        <v>20190304155635906</v>
      </c>
      <c r="B2083" t="str">
        <f>"1551686195896841"</f>
        <v>1551686195896841</v>
      </c>
      <c r="C2083" t="s">
        <v>40</v>
      </c>
      <c r="D2083">
        <v>4.7131220000000003</v>
      </c>
      <c r="E2083">
        <v>0.61144670000000001</v>
      </c>
      <c r="F2083" t="s">
        <v>59</v>
      </c>
      <c r="G2083">
        <v>-352.98570000000001</v>
      </c>
      <c r="H2083">
        <v>1.3937679999999999</v>
      </c>
      <c r="I2083">
        <v>301.88839999999999</v>
      </c>
      <c r="J2083">
        <v>-289.07589999999999</v>
      </c>
      <c r="K2083">
        <v>1.109378</v>
      </c>
      <c r="L2083">
        <v>284.06279999999998</v>
      </c>
      <c r="M2083">
        <v>-0.99904570000000004</v>
      </c>
      <c r="N2083">
        <v>-9.6436720000000007E-3</v>
      </c>
      <c r="O2083">
        <v>4.2599339999999999E-2</v>
      </c>
      <c r="P2083">
        <v>-0.98641909999999999</v>
      </c>
      <c r="Q2083">
        <v>0.16387299999999999</v>
      </c>
      <c r="R2083">
        <v>-1.1099670000000001E-2</v>
      </c>
      <c r="S2083">
        <v>-3.048645</v>
      </c>
      <c r="T2083">
        <v>1.353407E-2</v>
      </c>
      <c r="U2083">
        <v>0.848388699999999</v>
      </c>
      <c r="V2083">
        <v>-5.2971499999999998E-2</v>
      </c>
      <c r="W2083">
        <v>0.17340800000000001</v>
      </c>
      <c r="X2083">
        <v>0.98342450000000003</v>
      </c>
      <c r="Y2083">
        <v>0.22681770000000001</v>
      </c>
      <c r="Z2083">
        <v>1.20915E-3</v>
      </c>
      <c r="AA2083">
        <v>0.97393649999999998</v>
      </c>
      <c r="AB2083">
        <v>31</v>
      </c>
      <c r="AC2083">
        <v>-63.909799999999997</v>
      </c>
      <c r="AD2083">
        <v>0.28438999999999998</v>
      </c>
      <c r="AE2083">
        <v>17.825600000000001</v>
      </c>
      <c r="AF2083">
        <v>15.086498002905699</v>
      </c>
      <c r="AG2083">
        <v>0.28438999999999998</v>
      </c>
      <c r="AH2083">
        <v>64.609986677925207</v>
      </c>
      <c r="AI2083">
        <v>89.754412266970306</v>
      </c>
      <c r="AJ2083">
        <v>76.856866194910495</v>
      </c>
      <c r="AK2083">
        <v>66.348577062250897</v>
      </c>
      <c r="AL2083">
        <v>80.013973464624996</v>
      </c>
      <c r="AM2083">
        <v>93.083219125198397</v>
      </c>
      <c r="AN2083">
        <v>1.00000003073824</v>
      </c>
    </row>
    <row r="2084" spans="1:40" x14ac:dyDescent="0.25">
      <c r="A2084" t="str">
        <f>"20190304155635924"</f>
        <v>20190304155635924</v>
      </c>
      <c r="B2084" t="str">
        <f>"1551686195917340"</f>
        <v>1551686195917340</v>
      </c>
      <c r="C2084" t="s">
        <v>40</v>
      </c>
      <c r="D2084">
        <v>4.6941290000000002</v>
      </c>
      <c r="E2084">
        <v>0.61275170000000001</v>
      </c>
      <c r="F2084" t="s">
        <v>59</v>
      </c>
      <c r="G2084">
        <v>-352.8648</v>
      </c>
      <c r="H2084">
        <v>1.3791880000000001</v>
      </c>
      <c r="I2084">
        <v>301.88839999999999</v>
      </c>
      <c r="J2084">
        <v>-289.31799999999998</v>
      </c>
      <c r="K2084">
        <v>1.1093980000000001</v>
      </c>
      <c r="L2084">
        <v>284.07339999999999</v>
      </c>
      <c r="M2084">
        <v>-0.9990348</v>
      </c>
      <c r="N2084">
        <v>-9.6470900000000005E-3</v>
      </c>
      <c r="O2084">
        <v>4.2854419999999997E-2</v>
      </c>
      <c r="P2084">
        <v>-0.9864214</v>
      </c>
      <c r="Q2084">
        <v>0.16387560000000001</v>
      </c>
      <c r="R2084">
        <v>-1.085332E-2</v>
      </c>
      <c r="S2084">
        <v>-3.048737</v>
      </c>
      <c r="T2084">
        <v>1.289916E-2</v>
      </c>
      <c r="U2084">
        <v>0.85195919999999903</v>
      </c>
      <c r="V2084">
        <v>-5.298601E-2</v>
      </c>
      <c r="W2084">
        <v>0.17341129999999999</v>
      </c>
      <c r="X2084">
        <v>0.98342309999999999</v>
      </c>
      <c r="Y2084">
        <v>0.22761960000000001</v>
      </c>
      <c r="Z2084">
        <v>1.230089E-3</v>
      </c>
      <c r="AA2084">
        <v>0.97374930000000004</v>
      </c>
      <c r="AB2084">
        <v>31</v>
      </c>
      <c r="AC2084">
        <v>-63.546799999999998</v>
      </c>
      <c r="AD2084">
        <v>0.26978999999999997</v>
      </c>
      <c r="AE2084">
        <v>17.814999999999898</v>
      </c>
      <c r="AF2084">
        <v>15.074992551456001</v>
      </c>
      <c r="AG2084">
        <v>0.26978999999999997</v>
      </c>
      <c r="AH2084">
        <v>64.250829139975394</v>
      </c>
      <c r="AI2084">
        <v>89.765776309745604</v>
      </c>
      <c r="AJ2084">
        <v>76.795692140882394</v>
      </c>
      <c r="AK2084">
        <v>65.996191043459902</v>
      </c>
      <c r="AL2084">
        <v>80.013781118578507</v>
      </c>
      <c r="AM2084">
        <v>93.084066435139505</v>
      </c>
      <c r="AN2084">
        <v>0.99999999491850999</v>
      </c>
    </row>
    <row r="2085" spans="1:40" x14ac:dyDescent="0.25">
      <c r="A2085" t="str">
        <f>"20190304155635939"</f>
        <v>20190304155635939</v>
      </c>
      <c r="B2085" t="str">
        <f>"1551686195936858"</f>
        <v>1551686195936858</v>
      </c>
      <c r="C2085" t="s">
        <v>40</v>
      </c>
      <c r="D2085">
        <v>4.7257189999999998</v>
      </c>
      <c r="E2085">
        <v>0.6136703</v>
      </c>
      <c r="F2085" t="s">
        <v>59</v>
      </c>
      <c r="G2085">
        <v>-352.26519999999999</v>
      </c>
      <c r="H2085">
        <v>1.357219</v>
      </c>
      <c r="I2085">
        <v>301.88839999999999</v>
      </c>
      <c r="J2085">
        <v>-289.5283</v>
      </c>
      <c r="K2085">
        <v>1.1094170000000001</v>
      </c>
      <c r="L2085">
        <v>284.08260000000001</v>
      </c>
      <c r="M2085">
        <v>-0.99902610000000003</v>
      </c>
      <c r="N2085">
        <v>-9.6501239999999995E-3</v>
      </c>
      <c r="O2085">
        <v>4.3055889999999999E-2</v>
      </c>
      <c r="P2085">
        <v>-0.98641999999999996</v>
      </c>
      <c r="Q2085">
        <v>0.16390629999999901</v>
      </c>
      <c r="R2085">
        <v>-1.049981E-2</v>
      </c>
      <c r="S2085">
        <v>-3.0487980000000001</v>
      </c>
      <c r="T2085">
        <v>1.2006879999999999E-2</v>
      </c>
      <c r="U2085">
        <v>0.86285400000000001</v>
      </c>
      <c r="V2085">
        <v>-5.2840350000000001E-2</v>
      </c>
      <c r="W2085">
        <v>0.17344229999999899</v>
      </c>
      <c r="X2085">
        <v>0.98342549999999995</v>
      </c>
      <c r="Y2085">
        <v>0.2306415</v>
      </c>
      <c r="Z2085">
        <v>1.2631400000000001E-3</v>
      </c>
      <c r="AA2085">
        <v>0.97303799999999996</v>
      </c>
      <c r="AB2085">
        <v>31</v>
      </c>
      <c r="AC2085">
        <v>-62.736899999999899</v>
      </c>
      <c r="AD2085">
        <v>0.247801999999999</v>
      </c>
      <c r="AE2085">
        <v>17.805799999999898</v>
      </c>
      <c r="AF2085">
        <v>15.087749946294601</v>
      </c>
      <c r="AG2085">
        <v>0.247801999999999</v>
      </c>
      <c r="AH2085">
        <v>63.444480672517301</v>
      </c>
      <c r="AI2085">
        <v>89.7822863250545</v>
      </c>
      <c r="AJ2085">
        <v>76.622954028502406</v>
      </c>
      <c r="AK2085">
        <v>65.2142908577448</v>
      </c>
      <c r="AL2085">
        <v>80.011977914356507</v>
      </c>
      <c r="AM2085">
        <v>93.075597059634106</v>
      </c>
      <c r="AN2085">
        <v>1.00000002403383</v>
      </c>
    </row>
    <row r="2086" spans="1:40" x14ac:dyDescent="0.25">
      <c r="A2086" t="str">
        <f>"20190304155635960"</f>
        <v>20190304155635960</v>
      </c>
      <c r="B2086" t="str">
        <f>"1551686195957353"</f>
        <v>1551686195957353</v>
      </c>
      <c r="C2086" t="s">
        <v>40</v>
      </c>
      <c r="D2086">
        <v>4.7399589999999998</v>
      </c>
      <c r="E2086">
        <v>0.61458590000000002</v>
      </c>
      <c r="F2086" t="s">
        <v>59</v>
      </c>
      <c r="G2086">
        <v>-351.8372</v>
      </c>
      <c r="H2086">
        <v>1.3330759999999999</v>
      </c>
      <c r="I2086">
        <v>301.88839999999999</v>
      </c>
      <c r="J2086">
        <v>-289.8064</v>
      </c>
      <c r="K2086">
        <v>1.109445</v>
      </c>
      <c r="L2086">
        <v>284.09480000000002</v>
      </c>
      <c r="M2086">
        <v>-0.99901580000000001</v>
      </c>
      <c r="N2086">
        <v>-9.6541960000000003E-3</v>
      </c>
      <c r="O2086">
        <v>4.3295849999999997E-2</v>
      </c>
      <c r="P2086">
        <v>-0.98644549999999998</v>
      </c>
      <c r="Q2086">
        <v>0.16375809999999999</v>
      </c>
      <c r="R2086">
        <v>-1.04131E-2</v>
      </c>
      <c r="S2086">
        <v>-3.0487060000000001</v>
      </c>
      <c r="T2086">
        <v>1.094735E-2</v>
      </c>
      <c r="U2086">
        <v>0.87121579999999998</v>
      </c>
      <c r="V2086">
        <v>-5.3002590000000002E-2</v>
      </c>
      <c r="W2086">
        <v>0.1732948</v>
      </c>
      <c r="X2086">
        <v>0.9834427</v>
      </c>
      <c r="Y2086">
        <v>0.2328837</v>
      </c>
      <c r="Z2086">
        <v>1.299E-3</v>
      </c>
      <c r="AA2086">
        <v>0.97250369999999997</v>
      </c>
      <c r="AB2086">
        <v>31</v>
      </c>
      <c r="AC2086">
        <v>-62.030799999999999</v>
      </c>
      <c r="AD2086">
        <v>0.223630999999999</v>
      </c>
      <c r="AE2086">
        <v>17.793599999999898</v>
      </c>
      <c r="AF2086">
        <v>15.0909311030483</v>
      </c>
      <c r="AG2086">
        <v>0.223630999999999</v>
      </c>
      <c r="AH2086">
        <v>62.742299353756898</v>
      </c>
      <c r="AI2086">
        <v>89.801445282774793</v>
      </c>
      <c r="AJ2086">
        <v>76.475966593852107</v>
      </c>
      <c r="AK2086">
        <v>64.532025697149393</v>
      </c>
      <c r="AL2086">
        <v>80.020558270695403</v>
      </c>
      <c r="AM2086">
        <v>93.084968249279399</v>
      </c>
      <c r="AN2086">
        <v>0.99999995321851798</v>
      </c>
    </row>
    <row r="2087" spans="1:40" x14ac:dyDescent="0.25">
      <c r="A2087" t="str">
        <f>"20190304155635979"</f>
        <v>20190304155635979</v>
      </c>
      <c r="B2087" t="str">
        <f>"1551686195976874"</f>
        <v>1551686195976874</v>
      </c>
      <c r="C2087" t="s">
        <v>40</v>
      </c>
      <c r="D2087">
        <v>4.759449</v>
      </c>
      <c r="E2087">
        <v>0.61515489999999995</v>
      </c>
      <c r="F2087" t="s">
        <v>59</v>
      </c>
      <c r="G2087">
        <v>-351.53059999999999</v>
      </c>
      <c r="H2087">
        <v>1.300049</v>
      </c>
      <c r="I2087">
        <v>301.88839999999999</v>
      </c>
      <c r="J2087">
        <v>-290.08589999999998</v>
      </c>
      <c r="K2087">
        <v>1.1094710000000001</v>
      </c>
      <c r="L2087">
        <v>284.10719999999998</v>
      </c>
      <c r="M2087">
        <v>-0.99900650000000002</v>
      </c>
      <c r="N2087">
        <v>-9.6583769999999992E-3</v>
      </c>
      <c r="O2087">
        <v>4.3508930000000001E-2</v>
      </c>
      <c r="P2087">
        <v>-0.98643020000000003</v>
      </c>
      <c r="Q2087">
        <v>0.1638539</v>
      </c>
      <c r="R2087">
        <v>-1.039613E-2</v>
      </c>
      <c r="S2087">
        <v>-3.04895</v>
      </c>
      <c r="T2087">
        <v>9.4190839999999994E-3</v>
      </c>
      <c r="U2087">
        <v>0.87893679999999996</v>
      </c>
      <c r="V2087">
        <v>-5.3205200000000001E-2</v>
      </c>
      <c r="W2087">
        <v>0.17339109999999999</v>
      </c>
      <c r="X2087">
        <v>0.98341480000000003</v>
      </c>
      <c r="Y2087">
        <v>0.2349301</v>
      </c>
      <c r="Z2087">
        <v>1.3456410000000001E-3</v>
      </c>
      <c r="AA2087">
        <v>0.97201130000000002</v>
      </c>
      <c r="AB2087">
        <v>31</v>
      </c>
      <c r="AC2087">
        <v>-61.444699999999997</v>
      </c>
      <c r="AD2087">
        <v>0.190578</v>
      </c>
      <c r="AE2087">
        <v>17.781199999999998</v>
      </c>
      <c r="AF2087">
        <v>15.0907089060356</v>
      </c>
      <c r="AG2087">
        <v>0.190578</v>
      </c>
      <c r="AH2087">
        <v>62.159633985910098</v>
      </c>
      <c r="AI2087">
        <v>89.829293443199802</v>
      </c>
      <c r="AJ2087">
        <v>76.354109031619799</v>
      </c>
      <c r="AK2087">
        <v>63.965505645801798</v>
      </c>
      <c r="AL2087">
        <v>80.014956022850299</v>
      </c>
      <c r="AM2087">
        <v>93.096825758745297</v>
      </c>
      <c r="AN2087">
        <v>0.999999967862644</v>
      </c>
    </row>
    <row r="2088" spans="1:40" x14ac:dyDescent="0.25">
      <c r="A2088" t="str">
        <f>"20190304155636025"</f>
        <v>20190304155636025</v>
      </c>
      <c r="B2088" t="str">
        <f>"1551686196016890"</f>
        <v>1551686196016890</v>
      </c>
      <c r="C2088" t="s">
        <v>40</v>
      </c>
      <c r="D2088">
        <v>4.7656090000000004</v>
      </c>
      <c r="E2088">
        <v>0.61567879999999997</v>
      </c>
      <c r="F2088" t="s">
        <v>59</v>
      </c>
      <c r="G2088">
        <v>-351.44380000000001</v>
      </c>
      <c r="H2088">
        <v>1.280041</v>
      </c>
      <c r="I2088">
        <v>301.88839999999999</v>
      </c>
      <c r="J2088">
        <v>-290.71260000000001</v>
      </c>
      <c r="K2088">
        <v>1.1095109999999999</v>
      </c>
      <c r="L2088">
        <v>284.13510000000002</v>
      </c>
      <c r="M2088">
        <v>-0.99898940000000003</v>
      </c>
      <c r="N2088">
        <v>-9.6676799999999997E-3</v>
      </c>
      <c r="O2088">
        <v>4.3895190000000001E-2</v>
      </c>
      <c r="P2088">
        <v>-0.98651080000000002</v>
      </c>
      <c r="Q2088">
        <v>0.1633598</v>
      </c>
      <c r="R2088">
        <v>-1.048818E-2</v>
      </c>
      <c r="S2088">
        <v>-3.049194</v>
      </c>
      <c r="T2088">
        <v>8.4804300000000006E-3</v>
      </c>
      <c r="U2088">
        <v>0.88363649999999905</v>
      </c>
      <c r="V2088">
        <v>-5.3704139999999997E-2</v>
      </c>
      <c r="W2088">
        <v>0.17290079999999999</v>
      </c>
      <c r="X2088">
        <v>0.98347399999999996</v>
      </c>
      <c r="Y2088">
        <v>0.23591580000000001</v>
      </c>
      <c r="Z2088">
        <v>1.377936E-3</v>
      </c>
      <c r="AA2088">
        <v>0.97177259999999999</v>
      </c>
      <c r="AB2088">
        <v>31</v>
      </c>
      <c r="AC2088">
        <v>-60.731200000000001</v>
      </c>
      <c r="AD2088">
        <v>0.17052999999999899</v>
      </c>
      <c r="AE2088">
        <v>17.7532999999999</v>
      </c>
      <c r="AF2088">
        <v>15.070145214343899</v>
      </c>
      <c r="AG2088">
        <v>0.17052999999999899</v>
      </c>
      <c r="AH2088">
        <v>61.451532749155099</v>
      </c>
      <c r="AI2088">
        <v>89.845578462522695</v>
      </c>
      <c r="AJ2088">
        <v>76.220928827826498</v>
      </c>
      <c r="AK2088">
        <v>63.272657874336197</v>
      </c>
      <c r="AL2088">
        <v>80.043478921084798</v>
      </c>
      <c r="AM2088">
        <v>93.125621614907203</v>
      </c>
      <c r="AN2088">
        <v>0.99999996498488897</v>
      </c>
    </row>
    <row r="2089" spans="1:40" x14ac:dyDescent="0.25">
      <c r="A2089" t="str">
        <f>"20190304155636038"</f>
        <v>20190304155636038</v>
      </c>
      <c r="B2089" t="str">
        <f>"1551686196026649"</f>
        <v>1551686196026649</v>
      </c>
      <c r="C2089" t="s">
        <v>40</v>
      </c>
      <c r="D2089">
        <v>4.757504</v>
      </c>
      <c r="E2089">
        <v>0.61593949999999997</v>
      </c>
      <c r="F2089" t="s">
        <v>59</v>
      </c>
      <c r="G2089">
        <v>-351.72969999999998</v>
      </c>
      <c r="H2089">
        <v>1.210356</v>
      </c>
      <c r="I2089">
        <v>301.88839999999999</v>
      </c>
      <c r="J2089">
        <v>-290.89479999999998</v>
      </c>
      <c r="K2089">
        <v>1.1095250000000001</v>
      </c>
      <c r="L2089">
        <v>284.14319999999998</v>
      </c>
      <c r="M2089">
        <v>-0.99898560000000003</v>
      </c>
      <c r="N2089">
        <v>-9.6703420000000002E-3</v>
      </c>
      <c r="O2089">
        <v>4.3982750000000001E-2</v>
      </c>
      <c r="P2089">
        <v>-0.98651800000000001</v>
      </c>
      <c r="Q2089">
        <v>0.16330430000000001</v>
      </c>
      <c r="R2089">
        <v>-1.068558E-2</v>
      </c>
      <c r="S2089">
        <v>-3.0495909999999999</v>
      </c>
      <c r="T2089">
        <v>5.0441030000000003E-3</v>
      </c>
      <c r="U2089">
        <v>0.88729859999999905</v>
      </c>
      <c r="V2089">
        <v>-5.399354E-2</v>
      </c>
      <c r="W2089">
        <v>0.1728459</v>
      </c>
      <c r="X2089">
        <v>0.98346789999999995</v>
      </c>
      <c r="Y2089">
        <v>0.23687169999999999</v>
      </c>
      <c r="Z2089">
        <v>1.4653089999999999E-3</v>
      </c>
      <c r="AA2089">
        <v>0.97153990000000001</v>
      </c>
      <c r="AB2089">
        <v>31</v>
      </c>
      <c r="AC2089">
        <v>-60.834899999999998</v>
      </c>
      <c r="AD2089">
        <v>0.100830999999999</v>
      </c>
      <c r="AE2089">
        <v>17.745200000000001</v>
      </c>
      <c r="AF2089">
        <v>15.052177080127199</v>
      </c>
      <c r="AG2089">
        <v>0.100830999999999</v>
      </c>
      <c r="AH2089">
        <v>61.556387259930901</v>
      </c>
      <c r="AI2089">
        <v>89.908834055444203</v>
      </c>
      <c r="AJ2089">
        <v>76.259287390128307</v>
      </c>
      <c r="AK2089">
        <v>63.370079802984698</v>
      </c>
      <c r="AL2089">
        <v>80.046673486941799</v>
      </c>
      <c r="AM2089">
        <v>93.142450699452198</v>
      </c>
      <c r="AN2089">
        <v>1.00000005891947</v>
      </c>
    </row>
    <row r="2090" spans="1:40" x14ac:dyDescent="0.25">
      <c r="A2090" t="str">
        <f>"20190304155636051"</f>
        <v>20190304155636051</v>
      </c>
      <c r="B2090" t="str">
        <f>"1551686196047146"</f>
        <v>1551686196047146</v>
      </c>
      <c r="C2090" t="s">
        <v>40</v>
      </c>
      <c r="D2090">
        <v>4.7590089999999998</v>
      </c>
      <c r="E2090">
        <v>0.61648239999999999</v>
      </c>
      <c r="F2090" t="s">
        <v>59</v>
      </c>
      <c r="G2090">
        <v>-351.7876</v>
      </c>
      <c r="H2090">
        <v>1.1986920000000001</v>
      </c>
      <c r="I2090">
        <v>301.88839999999999</v>
      </c>
      <c r="J2090">
        <v>-291.06580000000002</v>
      </c>
      <c r="K2090">
        <v>1.1095389999999901</v>
      </c>
      <c r="L2090">
        <v>284.1508</v>
      </c>
      <c r="M2090">
        <v>-0.99898220000000004</v>
      </c>
      <c r="N2090">
        <v>-9.6728409999999997E-3</v>
      </c>
      <c r="O2090">
        <v>4.4058390000000003E-2</v>
      </c>
      <c r="P2090">
        <v>-0.9865543</v>
      </c>
      <c r="Q2090">
        <v>0.16308789999999901</v>
      </c>
      <c r="R2090">
        <v>-1.0631710000000001E-2</v>
      </c>
      <c r="S2090">
        <v>-3.0498959999999999</v>
      </c>
      <c r="T2090">
        <v>4.4699910000000004E-3</v>
      </c>
      <c r="U2090">
        <v>0.88879390000000003</v>
      </c>
      <c r="V2090">
        <v>-5.4022340000000002E-2</v>
      </c>
      <c r="W2090">
        <v>0.1726308</v>
      </c>
      <c r="X2090">
        <v>0.98350409999999999</v>
      </c>
      <c r="Y2090">
        <v>0.2372109</v>
      </c>
      <c r="Z2090">
        <v>1.481787E-3</v>
      </c>
      <c r="AA2090">
        <v>0.97145709999999996</v>
      </c>
      <c r="AB2090">
        <v>31</v>
      </c>
      <c r="AC2090">
        <v>-60.721799999999902</v>
      </c>
      <c r="AD2090">
        <v>8.9153000000000204E-2</v>
      </c>
      <c r="AE2090">
        <v>17.737599999999901</v>
      </c>
      <c r="AF2090">
        <v>15.0449148262358</v>
      </c>
      <c r="AG2090">
        <v>8.9153000000000204E-2</v>
      </c>
      <c r="AH2090">
        <v>61.444235615750301</v>
      </c>
      <c r="AI2090">
        <v>89.9192516457382</v>
      </c>
      <c r="AJ2090">
        <v>76.241548886225701</v>
      </c>
      <c r="AK2090">
        <v>63.2593985174531</v>
      </c>
      <c r="AL2090">
        <v>80.059185914219896</v>
      </c>
      <c r="AM2090">
        <v>93.144008017514693</v>
      </c>
      <c r="AN2090">
        <v>1.0000000605222601</v>
      </c>
    </row>
    <row r="2091" spans="1:40" x14ac:dyDescent="0.25">
      <c r="A2091" t="str">
        <f>"20190304155636069"</f>
        <v>20190304155636069</v>
      </c>
      <c r="B2091" t="str">
        <f>"1551686196066666"</f>
        <v>1551686196066666</v>
      </c>
      <c r="C2091" t="s">
        <v>40</v>
      </c>
      <c r="D2091">
        <v>4.774095</v>
      </c>
      <c r="E2091">
        <v>0.61723609999999995</v>
      </c>
      <c r="F2091" t="s">
        <v>59</v>
      </c>
      <c r="G2091">
        <v>-351.6361</v>
      </c>
      <c r="H2091">
        <v>1.166914</v>
      </c>
      <c r="I2091">
        <v>301.88839999999999</v>
      </c>
      <c r="J2091">
        <v>-291.32859999999999</v>
      </c>
      <c r="K2091">
        <v>1.1095680000000001</v>
      </c>
      <c r="L2091">
        <v>284.16239999999999</v>
      </c>
      <c r="M2091">
        <v>-0.99897800000000003</v>
      </c>
      <c r="N2091">
        <v>-9.6766860000000003E-3</v>
      </c>
      <c r="O2091">
        <v>4.4151210000000003E-2</v>
      </c>
      <c r="P2091">
        <v>-0.98660829999999999</v>
      </c>
      <c r="Q2091">
        <v>0.162745</v>
      </c>
      <c r="R2091">
        <v>-1.085389E-2</v>
      </c>
      <c r="S2091">
        <v>-3.050049</v>
      </c>
      <c r="T2091">
        <v>2.8932089999999999E-3</v>
      </c>
      <c r="U2091">
        <v>0.89318850000000005</v>
      </c>
      <c r="V2091">
        <v>-5.4347840000000001E-2</v>
      </c>
      <c r="W2091">
        <v>0.17228829999999901</v>
      </c>
      <c r="X2091">
        <v>0.98354609999999998</v>
      </c>
      <c r="Y2091">
        <v>0.23839640000000001</v>
      </c>
      <c r="Z2091">
        <v>1.5266469999999999E-3</v>
      </c>
      <c r="AA2091">
        <v>0.97116670000000005</v>
      </c>
      <c r="AB2091">
        <v>31</v>
      </c>
      <c r="AC2091">
        <v>-60.307499999999997</v>
      </c>
      <c r="AD2091">
        <v>5.7345999999999897E-2</v>
      </c>
      <c r="AE2091">
        <v>17.725999999999999</v>
      </c>
      <c r="AF2091">
        <v>15.045926771628</v>
      </c>
      <c r="AG2091">
        <v>5.7345999999999897E-2</v>
      </c>
      <c r="AH2091">
        <v>61.031296420062901</v>
      </c>
      <c r="AI2091">
        <v>89.947728954390101</v>
      </c>
      <c r="AJ2091">
        <v>76.151135125233594</v>
      </c>
      <c r="AK2091">
        <v>62.858590054935902</v>
      </c>
      <c r="AL2091">
        <v>80.079106997929301</v>
      </c>
      <c r="AM2091">
        <v>93.162778424244905</v>
      </c>
      <c r="AN2091">
        <v>0.99999993842738</v>
      </c>
    </row>
    <row r="2092" spans="1:40" x14ac:dyDescent="0.25">
      <c r="A2092" t="str">
        <f>"20190304155636082"</f>
        <v>20190304155636082</v>
      </c>
      <c r="B2092" t="str">
        <f>"1551686196076426"</f>
        <v>1551686196076426</v>
      </c>
      <c r="C2092" t="s">
        <v>40</v>
      </c>
      <c r="D2092">
        <v>4.769876</v>
      </c>
      <c r="E2092">
        <v>0.61769010000000002</v>
      </c>
      <c r="F2092" t="s">
        <v>59</v>
      </c>
      <c r="G2092">
        <v>-351.51979999999998</v>
      </c>
      <c r="H2092">
        <v>1.125391</v>
      </c>
      <c r="I2092">
        <v>301.88839999999999</v>
      </c>
      <c r="J2092">
        <v>-291.49849999999998</v>
      </c>
      <c r="K2092">
        <v>1.1095820000000001</v>
      </c>
      <c r="L2092">
        <v>284.17</v>
      </c>
      <c r="M2092">
        <v>-0.99897610000000003</v>
      </c>
      <c r="N2092">
        <v>-9.6791670000000007E-3</v>
      </c>
      <c r="O2092">
        <v>4.4196029999999997E-2</v>
      </c>
      <c r="P2092">
        <v>-0.98661620000000005</v>
      </c>
      <c r="Q2092">
        <v>0.16269589999999901</v>
      </c>
      <c r="R2092">
        <v>-1.088569E-2</v>
      </c>
      <c r="S2092">
        <v>-3.0504760000000002</v>
      </c>
      <c r="T2092">
        <v>8.0597399999999999E-4</v>
      </c>
      <c r="U2092">
        <v>0.89834590000000003</v>
      </c>
      <c r="V2092">
        <v>-5.4430829999999999E-2</v>
      </c>
      <c r="W2092">
        <v>0.17224</v>
      </c>
      <c r="X2092">
        <v>0.98355000000000004</v>
      </c>
      <c r="Y2092">
        <v>0.2398265</v>
      </c>
      <c r="Z2092">
        <v>1.584904E-3</v>
      </c>
      <c r="AA2092">
        <v>0.97081450000000002</v>
      </c>
      <c r="AB2092">
        <v>31</v>
      </c>
      <c r="AC2092">
        <v>-60.021299999999997</v>
      </c>
      <c r="AD2092">
        <v>1.58089999999999E-2</v>
      </c>
      <c r="AE2092">
        <v>17.7183999999999</v>
      </c>
      <c r="AF2092">
        <v>15.0482572353298</v>
      </c>
      <c r="AG2092">
        <v>1.58089999999999E-2</v>
      </c>
      <c r="AH2092">
        <v>60.745762046256601</v>
      </c>
      <c r="AI2092">
        <v>89.9855263493005</v>
      </c>
      <c r="AJ2092">
        <v>76.086490576373805</v>
      </c>
      <c r="AK2092">
        <v>62.581929519035803</v>
      </c>
      <c r="AL2092">
        <v>80.081916675363104</v>
      </c>
      <c r="AM2092">
        <v>93.167585674157493</v>
      </c>
      <c r="AN2092">
        <v>0.99999996767724397</v>
      </c>
    </row>
    <row r="2093" spans="1:40" x14ac:dyDescent="0.25">
      <c r="A2093" t="str">
        <f>"20190304155636095"</f>
        <v>20190304155636095</v>
      </c>
      <c r="B2093" t="str">
        <f>"1551686196087162"</f>
        <v>1551686196087162</v>
      </c>
      <c r="C2093" t="s">
        <v>40</v>
      </c>
      <c r="D2093">
        <v>4.7690199999999896</v>
      </c>
      <c r="E2093">
        <v>0.61803129999999995</v>
      </c>
      <c r="F2093" t="s">
        <v>59</v>
      </c>
      <c r="G2093">
        <v>-351.43979999999999</v>
      </c>
      <c r="H2093">
        <v>1.1170899999999999</v>
      </c>
      <c r="I2093">
        <v>301.88839999999999</v>
      </c>
      <c r="J2093">
        <v>-291.68490000000003</v>
      </c>
      <c r="K2093">
        <v>1.109599</v>
      </c>
      <c r="L2093">
        <v>284.17829999999998</v>
      </c>
      <c r="M2093">
        <v>-0.99897429999999998</v>
      </c>
      <c r="N2093">
        <v>-9.6819000000000002E-3</v>
      </c>
      <c r="O2093">
        <v>4.4238329999999999E-2</v>
      </c>
      <c r="P2093">
        <v>-0.9866317</v>
      </c>
      <c r="Q2093">
        <v>0.16259979999999999</v>
      </c>
      <c r="R2093">
        <v>-1.093029E-2</v>
      </c>
      <c r="S2093">
        <v>-3.0505680000000002</v>
      </c>
      <c r="T2093">
        <v>3.861189E-4</v>
      </c>
      <c r="U2093">
        <v>0.90173340000000002</v>
      </c>
      <c r="V2093">
        <v>-5.452415E-2</v>
      </c>
      <c r="W2093">
        <v>0.17214460000000001</v>
      </c>
      <c r="X2093">
        <v>0.98356160000000004</v>
      </c>
      <c r="Y2093">
        <v>0.24076890000000001</v>
      </c>
      <c r="Z2093">
        <v>1.6006939999999999E-3</v>
      </c>
      <c r="AA2093">
        <v>0.97058120000000003</v>
      </c>
      <c r="AB2093">
        <v>31</v>
      </c>
      <c r="AC2093">
        <v>-59.7548999999999</v>
      </c>
      <c r="AD2093">
        <v>7.4909999999999101E-3</v>
      </c>
      <c r="AE2093">
        <v>17.710100000000001</v>
      </c>
      <c r="AF2093">
        <v>15.0491797445126</v>
      </c>
      <c r="AG2093">
        <v>7.4909999999999101E-3</v>
      </c>
      <c r="AH2093">
        <v>60.479895773779099</v>
      </c>
      <c r="AI2093">
        <v>89.9931133772848</v>
      </c>
      <c r="AJ2093">
        <v>76.026895835482506</v>
      </c>
      <c r="AK2093">
        <v>62.324117802861203</v>
      </c>
      <c r="AL2093">
        <v>80.0874662351045</v>
      </c>
      <c r="AM2093">
        <v>93.172967970440496</v>
      </c>
      <c r="AN2093">
        <v>1.00000003361847</v>
      </c>
    </row>
    <row r="2094" spans="1:40" x14ac:dyDescent="0.25">
      <c r="A2094" t="str">
        <f>"20190304155636114"</f>
        <v>20190304155636114</v>
      </c>
      <c r="B2094" t="str">
        <f>"1551686196106684"</f>
        <v>1551686196106684</v>
      </c>
      <c r="C2094" t="s">
        <v>40</v>
      </c>
      <c r="D2094">
        <v>4.7062030000000004</v>
      </c>
      <c r="E2094">
        <v>0.61834339999999999</v>
      </c>
      <c r="F2094" t="s">
        <v>59</v>
      </c>
      <c r="G2094">
        <v>-351.41739999999999</v>
      </c>
      <c r="H2094">
        <v>1.1129910000000001</v>
      </c>
      <c r="I2094">
        <v>301.88839999999999</v>
      </c>
      <c r="J2094">
        <v>-291.95499999999998</v>
      </c>
      <c r="K2094">
        <v>1.109621</v>
      </c>
      <c r="L2094">
        <v>284.19029999999998</v>
      </c>
      <c r="M2094">
        <v>-0.99897239999999998</v>
      </c>
      <c r="N2094">
        <v>-9.6858599999999993E-3</v>
      </c>
      <c r="O2094">
        <v>4.4280609999999998E-2</v>
      </c>
      <c r="P2094">
        <v>-0.98664669999999999</v>
      </c>
      <c r="Q2094">
        <v>0.16251309999999999</v>
      </c>
      <c r="R2094">
        <v>-1.0864230000000001E-2</v>
      </c>
      <c r="S2094">
        <v>-3.0506289999999998</v>
      </c>
      <c r="T2094">
        <v>1.7726419999999999E-4</v>
      </c>
      <c r="U2094">
        <v>0.90447999999999995</v>
      </c>
      <c r="V2094">
        <v>-5.451044E-2</v>
      </c>
      <c r="W2094">
        <v>0.17205909999999999</v>
      </c>
      <c r="X2094">
        <v>0.98357729999999999</v>
      </c>
      <c r="Y2094">
        <v>0.24152580000000001</v>
      </c>
      <c r="Z2094">
        <v>1.610682E-3</v>
      </c>
      <c r="AA2094">
        <v>0.97039310000000001</v>
      </c>
      <c r="AB2094">
        <v>31</v>
      </c>
      <c r="AC2094">
        <v>-59.462400000000002</v>
      </c>
      <c r="AD2094">
        <v>3.3700000000000899E-3</v>
      </c>
      <c r="AE2094">
        <v>17.6981</v>
      </c>
      <c r="AF2094">
        <v>15.047584569023901</v>
      </c>
      <c r="AG2094">
        <v>3.3700000000000899E-3</v>
      </c>
      <c r="AH2094">
        <v>60.187788905178003</v>
      </c>
      <c r="AI2094">
        <v>89.996887720498904</v>
      </c>
      <c r="AJ2094">
        <v>75.963185504265098</v>
      </c>
      <c r="AK2094">
        <v>62.0403074300337</v>
      </c>
      <c r="AL2094">
        <v>80.092439024120793</v>
      </c>
      <c r="AM2094">
        <v>93.172121231664903</v>
      </c>
      <c r="AN2094">
        <v>1.0000000135185401</v>
      </c>
    </row>
    <row r="2095" spans="1:40" x14ac:dyDescent="0.25">
      <c r="A2095" t="str">
        <f>"20190304155636127"</f>
        <v>20190304155636127</v>
      </c>
      <c r="B2095" t="str">
        <f>"1551686196116442"</f>
        <v>1551686196116442</v>
      </c>
      <c r="C2095" t="s">
        <v>40</v>
      </c>
      <c r="D2095">
        <v>4.2272369999999997</v>
      </c>
      <c r="E2095">
        <v>0.61834339999999999</v>
      </c>
      <c r="F2095" t="s">
        <v>59</v>
      </c>
      <c r="G2095">
        <v>-351.48090000000002</v>
      </c>
      <c r="H2095">
        <v>1.100366</v>
      </c>
      <c r="I2095">
        <v>301.88839999999999</v>
      </c>
      <c r="J2095">
        <v>-292.13420000000002</v>
      </c>
      <c r="K2095">
        <v>1.1096349999999999</v>
      </c>
      <c r="L2095">
        <v>284.19830000000002</v>
      </c>
      <c r="M2095">
        <v>-0.99897139999999995</v>
      </c>
      <c r="N2095">
        <v>-9.6884250000000005E-3</v>
      </c>
      <c r="O2095">
        <v>4.4299030000000003E-2</v>
      </c>
      <c r="P2095">
        <v>-0.986649</v>
      </c>
      <c r="Q2095">
        <v>0.16250249999999999</v>
      </c>
      <c r="R2095">
        <v>-1.0809869999999999E-2</v>
      </c>
      <c r="S2095">
        <v>-3.050659</v>
      </c>
      <c r="T2095">
        <v>-4.701614E-4</v>
      </c>
      <c r="U2095">
        <v>0.90701290000000001</v>
      </c>
      <c r="V2095">
        <v>-5.447958E-2</v>
      </c>
      <c r="W2095">
        <v>0.17204929999999999</v>
      </c>
      <c r="X2095">
        <v>0.98358069999999997</v>
      </c>
      <c r="Y2095">
        <v>0.2422453</v>
      </c>
      <c r="Z2095">
        <v>1.6308879999999901E-3</v>
      </c>
      <c r="AA2095">
        <v>0.97021369999999896</v>
      </c>
      <c r="AB2095">
        <v>31</v>
      </c>
      <c r="AC2095">
        <v>-59.346699999999998</v>
      </c>
      <c r="AD2095">
        <v>-9.26899999999997E-3</v>
      </c>
      <c r="AE2095">
        <v>17.690099999999902</v>
      </c>
      <c r="AF2095">
        <v>15.043607477219</v>
      </c>
      <c r="AG2095">
        <v>-9.26899999999997E-3</v>
      </c>
      <c r="AH2095">
        <v>60.072124493334201</v>
      </c>
      <c r="AI2095">
        <v>90.008575797366703</v>
      </c>
      <c r="AJ2095">
        <v>75.940799496537906</v>
      </c>
      <c r="AK2095">
        <v>61.927137451892897</v>
      </c>
      <c r="AL2095">
        <v>80.093008785917803</v>
      </c>
      <c r="AM2095">
        <v>93.170318126032399</v>
      </c>
      <c r="AN2095">
        <v>0.99999998983997795</v>
      </c>
    </row>
    <row r="2096" spans="1:40" x14ac:dyDescent="0.25">
      <c r="A2096" t="str">
        <f>"20190304155636141"</f>
        <v>20190304155636141</v>
      </c>
      <c r="B2096" t="str">
        <f>"1551686196136938"</f>
        <v>1551686196136938</v>
      </c>
      <c r="C2096" t="s">
        <v>40</v>
      </c>
      <c r="D2096">
        <v>3.9492069999999999</v>
      </c>
      <c r="E2096">
        <v>0.61863210000000002</v>
      </c>
      <c r="F2096" t="s">
        <v>59</v>
      </c>
      <c r="G2096">
        <v>-351.6148</v>
      </c>
      <c r="H2096">
        <v>1.104328</v>
      </c>
      <c r="I2096">
        <v>301.88839999999999</v>
      </c>
      <c r="J2096">
        <v>-292.31920000000002</v>
      </c>
      <c r="K2096">
        <v>1.1096459999999999</v>
      </c>
      <c r="L2096">
        <v>284.20650000000001</v>
      </c>
      <c r="M2096">
        <v>-0.99897080000000005</v>
      </c>
      <c r="N2096">
        <v>-9.6911689999999995E-3</v>
      </c>
      <c r="O2096">
        <v>4.4310099999999998E-2</v>
      </c>
      <c r="P2096">
        <v>-0.98664799999999997</v>
      </c>
      <c r="Q2096">
        <v>0.16252169999999999</v>
      </c>
      <c r="R2096">
        <v>-1.0597550000000001E-2</v>
      </c>
      <c r="S2096">
        <v>-3.0505369999999998</v>
      </c>
      <c r="T2096">
        <v>-2.6810169999999999E-4</v>
      </c>
      <c r="U2096">
        <v>0.90725710000000004</v>
      </c>
      <c r="V2096">
        <v>-5.4283339999999999E-2</v>
      </c>
      <c r="W2096">
        <v>0.17206939999999901</v>
      </c>
      <c r="X2096">
        <v>0.98358800000000002</v>
      </c>
      <c r="Y2096">
        <v>0.24231659999999999</v>
      </c>
      <c r="Z2096">
        <v>1.6268299999999999E-3</v>
      </c>
      <c r="AA2096">
        <v>0.9701959</v>
      </c>
      <c r="AB2096">
        <v>31</v>
      </c>
      <c r="AC2096">
        <v>-59.295599999999901</v>
      </c>
      <c r="AD2096">
        <v>-5.3179999999999304E-3</v>
      </c>
      <c r="AE2096">
        <v>17.681899999999899</v>
      </c>
      <c r="AF2096">
        <v>15.0370141357199</v>
      </c>
      <c r="AG2096">
        <v>-5.3179999999999304E-3</v>
      </c>
      <c r="AH2096">
        <v>60.020879002976102</v>
      </c>
      <c r="AI2096">
        <v>90.004924361898304</v>
      </c>
      <c r="AJ2096">
        <v>75.935194598317906</v>
      </c>
      <c r="AK2096">
        <v>61.875825155620099</v>
      </c>
      <c r="AL2096">
        <v>80.091839372899699</v>
      </c>
      <c r="AM2096">
        <v>93.1588981472146</v>
      </c>
      <c r="AN2096">
        <v>0.99999995658095597</v>
      </c>
    </row>
    <row r="2097" spans="1:40" x14ac:dyDescent="0.25">
      <c r="A2097" t="str">
        <f>"20190304155636160"</f>
        <v>20190304155636160</v>
      </c>
      <c r="B2097" t="str">
        <f>"1551686196156458"</f>
        <v>1551686196156458</v>
      </c>
      <c r="C2097" t="s">
        <v>40</v>
      </c>
      <c r="D2097">
        <v>4.7424410000000004</v>
      </c>
      <c r="E2097">
        <v>0.61610069999999995</v>
      </c>
      <c r="F2097" t="s">
        <v>59</v>
      </c>
      <c r="G2097">
        <v>-351.58030000000002</v>
      </c>
      <c r="H2097">
        <v>1.092962</v>
      </c>
      <c r="I2097">
        <v>301.88839999999999</v>
      </c>
      <c r="J2097">
        <v>-292.58749999999998</v>
      </c>
      <c r="K2097">
        <v>1.109659</v>
      </c>
      <c r="L2097">
        <v>284.21839999999997</v>
      </c>
      <c r="M2097">
        <v>-0.99897060000000004</v>
      </c>
      <c r="N2097">
        <v>-9.6951729999999996E-3</v>
      </c>
      <c r="O2097">
        <v>4.4316050000000003E-2</v>
      </c>
      <c r="P2097">
        <v>-0.98664810000000003</v>
      </c>
      <c r="Q2097">
        <v>0.162526799999999</v>
      </c>
      <c r="R2097">
        <v>-1.0544929999999999E-2</v>
      </c>
      <c r="S2097">
        <v>-3.0505070000000001</v>
      </c>
      <c r="T2097">
        <v>-8.5473059999999895E-4</v>
      </c>
      <c r="U2097">
        <v>0.91018679999999996</v>
      </c>
      <c r="V2097">
        <v>-5.4241999999999999E-2</v>
      </c>
      <c r="W2097">
        <v>0.17207700000000001</v>
      </c>
      <c r="X2097">
        <v>0.98358900000000005</v>
      </c>
      <c r="Y2097">
        <v>0.24316879999999999</v>
      </c>
      <c r="Z2097">
        <v>1.6464699999999999E-3</v>
      </c>
      <c r="AA2097">
        <v>0.96998260000000003</v>
      </c>
      <c r="AB2097">
        <v>31</v>
      </c>
      <c r="AC2097">
        <v>-58.992800000000003</v>
      </c>
      <c r="AD2097">
        <v>-1.6696999999999899E-2</v>
      </c>
      <c r="AE2097">
        <v>17.670000000000002</v>
      </c>
      <c r="AF2097">
        <v>15.0381870405249</v>
      </c>
      <c r="AG2097">
        <v>-1.6696999999999899E-2</v>
      </c>
      <c r="AH2097">
        <v>59.717934699674899</v>
      </c>
      <c r="AI2097">
        <v>90.015534783825203</v>
      </c>
      <c r="AJ2097">
        <v>75.865639249587602</v>
      </c>
      <c r="AK2097">
        <v>61.582295126523597</v>
      </c>
      <c r="AL2097">
        <v>80.091397813213604</v>
      </c>
      <c r="AM2097">
        <v>93.156494121738305</v>
      </c>
      <c r="AN2097">
        <v>1.0000000047069999</v>
      </c>
    </row>
    <row r="2098" spans="1:40" x14ac:dyDescent="0.25">
      <c r="A2098" t="str">
        <f>"20190304155636180"</f>
        <v>20190304155636180</v>
      </c>
      <c r="B2098" t="str">
        <f>"1551686196176954"</f>
        <v>1551686196176954</v>
      </c>
      <c r="C2098" t="s">
        <v>40</v>
      </c>
      <c r="D2098">
        <v>4.7013740000000004</v>
      </c>
      <c r="E2098">
        <v>0.52803239999999996</v>
      </c>
      <c r="F2098" t="s">
        <v>59</v>
      </c>
      <c r="G2098">
        <v>-353.1379</v>
      </c>
      <c r="H2098">
        <v>1.0372539999999999</v>
      </c>
      <c r="I2098">
        <v>301.88839999999999</v>
      </c>
      <c r="J2098">
        <v>-292.88200000000001</v>
      </c>
      <c r="K2098">
        <v>1.109669</v>
      </c>
      <c r="L2098">
        <v>284.23149999999998</v>
      </c>
      <c r="M2098">
        <v>-0.99897100000000005</v>
      </c>
      <c r="N2098">
        <v>-9.6995550000000003E-3</v>
      </c>
      <c r="O2098">
        <v>4.4306100000000001E-2</v>
      </c>
      <c r="P2098">
        <v>-0.98662289999999997</v>
      </c>
      <c r="Q2098">
        <v>0.16268179999999999</v>
      </c>
      <c r="R2098">
        <v>-1.049285E-2</v>
      </c>
      <c r="S2098">
        <v>-3.0506899999999999</v>
      </c>
      <c r="T2098">
        <v>-3.6439900000000002E-3</v>
      </c>
      <c r="U2098">
        <v>0.89025880000000002</v>
      </c>
      <c r="V2098">
        <v>-5.4185150000000001E-2</v>
      </c>
      <c r="W2098">
        <v>0.17223379999999999</v>
      </c>
      <c r="X2098">
        <v>0.98356469999999896</v>
      </c>
      <c r="Y2098">
        <v>0.23732809999999999</v>
      </c>
      <c r="Z2098">
        <v>1.683414E-3</v>
      </c>
      <c r="AA2098">
        <v>0.97142810000000002</v>
      </c>
      <c r="AB2098">
        <v>31</v>
      </c>
      <c r="AC2098">
        <v>-60.255899999999997</v>
      </c>
      <c r="AD2098">
        <v>-7.2414999999999896E-2</v>
      </c>
      <c r="AE2098">
        <v>17.6569</v>
      </c>
      <c r="AF2098">
        <v>14.9697101329803</v>
      </c>
      <c r="AG2098">
        <v>-7.2414999999999896E-2</v>
      </c>
      <c r="AH2098">
        <v>60.978987308014702</v>
      </c>
      <c r="AI2098">
        <v>90.066079008867604</v>
      </c>
      <c r="AJ2098">
        <v>76.207236174162901</v>
      </c>
      <c r="AK2098">
        <v>62.789603904696598</v>
      </c>
      <c r="AL2098">
        <v>80.082277779756595</v>
      </c>
      <c r="AM2098">
        <v>93.153270285768798</v>
      </c>
      <c r="AN2098">
        <v>1.0000000157145199</v>
      </c>
    </row>
    <row r="2099" spans="1:40" x14ac:dyDescent="0.25">
      <c r="A2099" t="str">
        <f>"20190304155636194"</f>
        <v>20190304155636194</v>
      </c>
      <c r="B2099" t="str">
        <f>"1551686196186714"</f>
        <v>1551686196186714</v>
      </c>
      <c r="C2099" t="s">
        <v>40</v>
      </c>
      <c r="D2099">
        <v>4.6671440000000004</v>
      </c>
      <c r="E2099">
        <v>0.52680839999999995</v>
      </c>
      <c r="F2099" t="s">
        <v>55</v>
      </c>
      <c r="G2099">
        <v>-322.71730000000002</v>
      </c>
      <c r="H2099" s="1">
        <v>-1.5364760000000001E-7</v>
      </c>
      <c r="I2099">
        <v>286.05520000000001</v>
      </c>
      <c r="J2099">
        <v>-293.06619999999998</v>
      </c>
      <c r="K2099">
        <v>1.1096760000000001</v>
      </c>
      <c r="L2099">
        <v>284.23970000000003</v>
      </c>
      <c r="M2099">
        <v>-0.99897159999999996</v>
      </c>
      <c r="N2099">
        <v>-9.7022989999999993E-3</v>
      </c>
      <c r="O2099">
        <v>4.4290169999999997E-2</v>
      </c>
      <c r="P2099">
        <v>-0.98662530000000004</v>
      </c>
      <c r="Q2099">
        <v>0.16266910000000001</v>
      </c>
      <c r="R2099">
        <v>-1.046439E-2</v>
      </c>
      <c r="S2099">
        <v>-3.0614319999999999</v>
      </c>
      <c r="T2099">
        <v>-0.1138643</v>
      </c>
      <c r="U2099">
        <v>0.18713379999999999</v>
      </c>
      <c r="V2099">
        <v>-5.4145369999999998E-2</v>
      </c>
      <c r="W2099">
        <v>0.17222309999999999</v>
      </c>
      <c r="X2099">
        <v>0.98356869999999996</v>
      </c>
      <c r="Y2099">
        <v>1.6744820000000001E-2</v>
      </c>
      <c r="Z2099">
        <v>-8.224177E-4</v>
      </c>
      <c r="AA2099">
        <v>0.99985950000000001</v>
      </c>
      <c r="AB2099">
        <v>31</v>
      </c>
      <c r="AC2099">
        <v>-29.6511</v>
      </c>
      <c r="AD2099">
        <v>-1.1096761536476001</v>
      </c>
      <c r="AE2099">
        <v>1.8154999999999799</v>
      </c>
      <c r="AF2099">
        <v>0.49970696018237099</v>
      </c>
      <c r="AG2099">
        <v>-1.1096761536476001</v>
      </c>
      <c r="AH2099">
        <v>29.661025726748399</v>
      </c>
      <c r="AI2099">
        <v>92.142242622248901</v>
      </c>
      <c r="AJ2099">
        <v>89.034814515610407</v>
      </c>
      <c r="AK2099">
        <v>29.685982135931798</v>
      </c>
      <c r="AL2099">
        <v>80.082899510749797</v>
      </c>
      <c r="AM2099">
        <v>93.150947191934605</v>
      </c>
      <c r="AN2099">
        <v>0.99999995244286699</v>
      </c>
    </row>
    <row r="2100" spans="1:40" x14ac:dyDescent="0.25">
      <c r="A2100" t="str">
        <f>"20190304155636207"</f>
        <v>20190304155636207</v>
      </c>
      <c r="B2100" t="str">
        <f>"1551686196196474"</f>
        <v>1551686196196474</v>
      </c>
      <c r="C2100" t="s">
        <v>40</v>
      </c>
      <c r="D2100">
        <v>4.67089</v>
      </c>
      <c r="E2100">
        <v>0.52628369999999902</v>
      </c>
      <c r="F2100" t="s">
        <v>55</v>
      </c>
      <c r="G2100">
        <v>-322.43779999999998</v>
      </c>
      <c r="H2100" s="1">
        <v>-2.9752609999999998E-7</v>
      </c>
      <c r="I2100">
        <v>285.9436</v>
      </c>
      <c r="J2100">
        <v>-293.24880000000002</v>
      </c>
      <c r="K2100">
        <v>1.1096839999999999</v>
      </c>
      <c r="L2100">
        <v>284.24770000000001</v>
      </c>
      <c r="M2100">
        <v>-0.99897270000000005</v>
      </c>
      <c r="N2100">
        <v>-9.7050350000000007E-3</v>
      </c>
      <c r="O2100">
        <v>4.4264989999999997E-2</v>
      </c>
      <c r="P2100">
        <v>-0.98667289999999996</v>
      </c>
      <c r="Q2100">
        <v>0.1623713</v>
      </c>
      <c r="R2100">
        <v>-1.059679E-2</v>
      </c>
      <c r="S2100">
        <v>-3.0616150000000002</v>
      </c>
      <c r="T2100">
        <v>-0.11566949999999999</v>
      </c>
      <c r="U2100">
        <v>0.177612299999999</v>
      </c>
      <c r="V2100">
        <v>-5.4259370000000001E-2</v>
      </c>
      <c r="W2100">
        <v>0.1719271</v>
      </c>
      <c r="X2100">
        <v>0.98361430000000005</v>
      </c>
      <c r="Y2100">
        <v>1.367082E-2</v>
      </c>
      <c r="Z2100">
        <v>-9.1567790000000003E-4</v>
      </c>
      <c r="AA2100">
        <v>0.99990610000000002</v>
      </c>
      <c r="AB2100">
        <v>31</v>
      </c>
      <c r="AC2100">
        <v>-29.188999999999901</v>
      </c>
      <c r="AD2100">
        <v>-1.1096842975261001</v>
      </c>
      <c r="AE2100">
        <v>1.69589999999999</v>
      </c>
      <c r="AF2100">
        <v>0.40154753301722101</v>
      </c>
      <c r="AG2100">
        <v>-1.1096842975261001</v>
      </c>
      <c r="AH2100">
        <v>29.1934079887519</v>
      </c>
      <c r="AI2100">
        <v>92.176642983889494</v>
      </c>
      <c r="AJ2100">
        <v>89.211961543784696</v>
      </c>
      <c r="AK2100">
        <v>29.217250207012501</v>
      </c>
      <c r="AL2100">
        <v>80.100116830466106</v>
      </c>
      <c r="AM2100">
        <v>93.157421834518502</v>
      </c>
      <c r="AN2100">
        <v>1.0000000490558401</v>
      </c>
    </row>
    <row r="2101" spans="1:40" x14ac:dyDescent="0.25">
      <c r="A2101" t="str">
        <f>"20190304155636225"</f>
        <v>20190304155636225</v>
      </c>
      <c r="B2101" t="str">
        <f>"1551686196216970"</f>
        <v>1551686196216970</v>
      </c>
      <c r="C2101" t="s">
        <v>40</v>
      </c>
      <c r="D2101">
        <v>4.6758610000000003</v>
      </c>
      <c r="E2101">
        <v>0.52399979999999902</v>
      </c>
      <c r="F2101" t="s">
        <v>55</v>
      </c>
      <c r="G2101">
        <v>-322.0609</v>
      </c>
      <c r="H2101" s="1">
        <v>-4.9510210000000003E-7</v>
      </c>
      <c r="I2101">
        <v>285.87540000000001</v>
      </c>
      <c r="J2101">
        <v>-293.50360000000001</v>
      </c>
      <c r="K2101">
        <v>1.1097049999999999</v>
      </c>
      <c r="L2101">
        <v>284.25900000000001</v>
      </c>
      <c r="M2101">
        <v>-0.99897519999999995</v>
      </c>
      <c r="N2101">
        <v>-9.7088699999999997E-3</v>
      </c>
      <c r="O2101">
        <v>4.4208829999999998E-2</v>
      </c>
      <c r="P2101">
        <v>-0.98674799999999996</v>
      </c>
      <c r="Q2101">
        <v>0.16187739999999901</v>
      </c>
      <c r="R2101">
        <v>-1.1150749999999999E-2</v>
      </c>
      <c r="S2101">
        <v>-3.0618590000000001</v>
      </c>
      <c r="T2101">
        <v>-0.11792610000000001</v>
      </c>
      <c r="U2101">
        <v>0.17297360000000001</v>
      </c>
      <c r="V2101">
        <v>-5.4769760000000001E-2</v>
      </c>
      <c r="W2101">
        <v>0.17143429999999901</v>
      </c>
      <c r="X2101">
        <v>0.98367199999999999</v>
      </c>
      <c r="Y2101">
        <v>1.2214340000000001E-2</v>
      </c>
      <c r="Z2101">
        <v>-9.7643529999999999E-4</v>
      </c>
      <c r="AA2101">
        <v>0.99992490000000001</v>
      </c>
      <c r="AB2101">
        <v>31</v>
      </c>
      <c r="AC2101">
        <v>-28.557300000000001</v>
      </c>
      <c r="AD2101">
        <v>-1.1097054951020999</v>
      </c>
      <c r="AE2101">
        <v>1.6163999999999901</v>
      </c>
      <c r="AF2101">
        <v>0.35174582724078901</v>
      </c>
      <c r="AG2101">
        <v>-1.1097054951020999</v>
      </c>
      <c r="AH2101">
        <v>28.557854683138</v>
      </c>
      <c r="AI2101">
        <v>92.225119997342105</v>
      </c>
      <c r="AJ2101">
        <v>89.294326113393097</v>
      </c>
      <c r="AK2101">
        <v>28.581571606825101</v>
      </c>
      <c r="AL2101">
        <v>80.128777485201496</v>
      </c>
      <c r="AM2101">
        <v>93.1868745764165</v>
      </c>
      <c r="AN2101">
        <v>1.0000000247054699</v>
      </c>
    </row>
    <row r="2102" spans="1:40" x14ac:dyDescent="0.25">
      <c r="A2102" t="str">
        <f>"20190304155636238"</f>
        <v>20190304155636238</v>
      </c>
      <c r="B2102" t="str">
        <f>"1551686196226733"</f>
        <v>1551686196226733</v>
      </c>
      <c r="C2102" t="s">
        <v>40</v>
      </c>
      <c r="D2102">
        <v>4.8369780000000002</v>
      </c>
      <c r="E2102">
        <v>0.52304209999999995</v>
      </c>
      <c r="F2102" t="s">
        <v>55</v>
      </c>
      <c r="G2102">
        <v>-320.45069999999998</v>
      </c>
      <c r="H2102" s="1">
        <v>-1.340142E-6</v>
      </c>
      <c r="I2102">
        <v>285.60480000000001</v>
      </c>
      <c r="J2102">
        <v>-293.68619999999999</v>
      </c>
      <c r="K2102">
        <v>1.1097189999999999</v>
      </c>
      <c r="L2102">
        <v>284.267</v>
      </c>
      <c r="M2102">
        <v>-0.99897769999999997</v>
      </c>
      <c r="N2102">
        <v>-9.7116230000000008E-3</v>
      </c>
      <c r="O2102">
        <v>4.4150780000000001E-2</v>
      </c>
      <c r="P2102">
        <v>-0.98675270000000004</v>
      </c>
      <c r="Q2102">
        <v>0.16183410000000001</v>
      </c>
      <c r="R2102">
        <v>-1.136006E-2</v>
      </c>
      <c r="S2102">
        <v>-3.0627140000000002</v>
      </c>
      <c r="T2102">
        <v>-0.1261253</v>
      </c>
      <c r="U2102">
        <v>0.15295410000000001</v>
      </c>
      <c r="V2102">
        <v>-5.4929180000000001E-2</v>
      </c>
      <c r="W2102">
        <v>0.17139109999999999</v>
      </c>
      <c r="X2102">
        <v>0.98367059999999995</v>
      </c>
      <c r="Y2102">
        <v>5.7477669999999896E-3</v>
      </c>
      <c r="Z2102">
        <v>-1.240555E-3</v>
      </c>
      <c r="AA2102">
        <v>0.9999827</v>
      </c>
      <c r="AB2102">
        <v>31</v>
      </c>
      <c r="AC2102">
        <v>-26.764500000000002</v>
      </c>
      <c r="AD2102">
        <v>-1.1097203401419999</v>
      </c>
      <c r="AE2102">
        <v>1.3378000000000101</v>
      </c>
      <c r="AF2102">
        <v>0.15450116461433899</v>
      </c>
      <c r="AG2102">
        <v>-1.1097203401419999</v>
      </c>
      <c r="AH2102">
        <v>26.7515917461116</v>
      </c>
      <c r="AI2102">
        <v>92.375365211925697</v>
      </c>
      <c r="AJ2102">
        <v>89.669097587722604</v>
      </c>
      <c r="AK2102">
        <v>26.775044552602001</v>
      </c>
      <c r="AL2102">
        <v>80.131289468080297</v>
      </c>
      <c r="AM2102">
        <v>93.196136044725705</v>
      </c>
      <c r="AN2102">
        <v>0.99999998663952105</v>
      </c>
    </row>
    <row r="2103" spans="1:40" x14ac:dyDescent="0.25">
      <c r="A2103" t="str">
        <f>"20190304155636258"</f>
        <v>20190304155636258</v>
      </c>
      <c r="B2103" t="str">
        <f>"1551686196247226"</f>
        <v>1551686196247226</v>
      </c>
      <c r="C2103" t="s">
        <v>40</v>
      </c>
      <c r="D2103">
        <v>4.6566260000000002</v>
      </c>
      <c r="E2103">
        <v>0.52314850000000002</v>
      </c>
      <c r="F2103" t="s">
        <v>55</v>
      </c>
      <c r="G2103">
        <v>-320.04770000000002</v>
      </c>
      <c r="H2103" s="1">
        <v>-1.5505809999999999E-6</v>
      </c>
      <c r="I2103">
        <v>285.51249999999999</v>
      </c>
      <c r="J2103">
        <v>-293.97669999999999</v>
      </c>
      <c r="K2103">
        <v>1.1097539999999999</v>
      </c>
      <c r="L2103">
        <v>284.27980000000002</v>
      </c>
      <c r="M2103">
        <v>-0.99898310000000001</v>
      </c>
      <c r="N2103">
        <v>-9.7160400000000004E-3</v>
      </c>
      <c r="O2103">
        <v>4.4027009999999998E-2</v>
      </c>
      <c r="P2103">
        <v>-0.98684000000000005</v>
      </c>
      <c r="Q2103">
        <v>0.16125719999999999</v>
      </c>
      <c r="R2103">
        <v>-1.196445E-2</v>
      </c>
      <c r="S2103">
        <v>-3.0630489999999999</v>
      </c>
      <c r="T2103">
        <v>-0.1289428</v>
      </c>
      <c r="U2103">
        <v>0.14471439999999999</v>
      </c>
      <c r="V2103">
        <v>-5.5429649999999997E-2</v>
      </c>
      <c r="W2103">
        <v>0.1708152</v>
      </c>
      <c r="X2103">
        <v>0.98374269999999997</v>
      </c>
      <c r="Y2103">
        <v>3.1862710000000001E-3</v>
      </c>
      <c r="Z2103">
        <v>-1.3404860000000001E-3</v>
      </c>
      <c r="AA2103">
        <v>0.99999400000000005</v>
      </c>
      <c r="AB2103">
        <v>31</v>
      </c>
      <c r="AC2103">
        <v>-26.071000000000002</v>
      </c>
      <c r="AD2103">
        <v>-1.1097555505809999</v>
      </c>
      <c r="AE2103">
        <v>1.2326999999999599</v>
      </c>
      <c r="AF2103">
        <v>8.3471330142567302E-2</v>
      </c>
      <c r="AG2103">
        <v>-1.1097555505809999</v>
      </c>
      <c r="AH2103">
        <v>26.052891807236701</v>
      </c>
      <c r="AI2103">
        <v>92.439098477555206</v>
      </c>
      <c r="AJ2103">
        <v>89.816429646330803</v>
      </c>
      <c r="AK2103">
        <v>26.076650405383401</v>
      </c>
      <c r="AL2103">
        <v>80.164780014835102</v>
      </c>
      <c r="AM2103">
        <v>93.224959556910505</v>
      </c>
      <c r="AN2103">
        <v>0.99999998922672595</v>
      </c>
    </row>
    <row r="2104" spans="1:40" x14ac:dyDescent="0.25">
      <c r="A2104" t="str">
        <f>"20190304155636271"</f>
        <v>20190304155636271</v>
      </c>
      <c r="B2104" t="str">
        <f>"1551686196266747"</f>
        <v>1551686196266747</v>
      </c>
      <c r="C2104" t="s">
        <v>40</v>
      </c>
      <c r="D2104">
        <v>4.810683</v>
      </c>
      <c r="E2104">
        <v>0.52235100000000001</v>
      </c>
      <c r="F2104" t="s">
        <v>55</v>
      </c>
      <c r="G2104">
        <v>-319.96949999999998</v>
      </c>
      <c r="H2104" s="1">
        <v>-1.5916139999999999E-6</v>
      </c>
      <c r="I2104">
        <v>285.49900000000002</v>
      </c>
      <c r="J2104">
        <v>-294.14929999999998</v>
      </c>
      <c r="K2104">
        <v>1.10978</v>
      </c>
      <c r="L2104">
        <v>284.28730000000002</v>
      </c>
      <c r="M2104">
        <v>-0.99898710000000002</v>
      </c>
      <c r="N2104">
        <v>-9.7186749999999995E-3</v>
      </c>
      <c r="O2104">
        <v>4.3936419999999997E-2</v>
      </c>
      <c r="P2104">
        <v>-0.98683659999999995</v>
      </c>
      <c r="Q2104">
        <v>0.16126689999999999</v>
      </c>
      <c r="R2104">
        <v>-1.211166E-2</v>
      </c>
      <c r="S2104">
        <v>-3.0631409999999999</v>
      </c>
      <c r="T2104">
        <v>-0.13078029999999999</v>
      </c>
      <c r="U2104">
        <v>0.14367679999999999</v>
      </c>
      <c r="V2104">
        <v>-5.549664E-2</v>
      </c>
      <c r="W2104">
        <v>0.17082410000000001</v>
      </c>
      <c r="X2104">
        <v>0.98373739999999998</v>
      </c>
      <c r="Y2104">
        <v>2.9385510000000002E-3</v>
      </c>
      <c r="Z2104">
        <v>-1.369236E-3</v>
      </c>
      <c r="AA2104">
        <v>0.99999479999999996</v>
      </c>
      <c r="AB2104">
        <v>31</v>
      </c>
      <c r="AC2104">
        <v>-25.8202</v>
      </c>
      <c r="AD2104">
        <v>-1.1097815916139999</v>
      </c>
      <c r="AE2104">
        <v>1.2117</v>
      </c>
      <c r="AF2104">
        <v>7.5889216697126505E-2</v>
      </c>
      <c r="AG2104">
        <v>-1.1097815916139999</v>
      </c>
      <c r="AH2104">
        <v>25.800944739912399</v>
      </c>
      <c r="AI2104">
        <v>92.462946873009898</v>
      </c>
      <c r="AJ2104">
        <v>89.831474415685904</v>
      </c>
      <c r="AK2104">
        <v>25.824912852250002</v>
      </c>
      <c r="AL2104">
        <v>80.164262693791898</v>
      </c>
      <c r="AM2104">
        <v>93.228866228018205</v>
      </c>
      <c r="AN2104">
        <v>1.0000000111754199</v>
      </c>
    </row>
    <row r="2105" spans="1:40" x14ac:dyDescent="0.25">
      <c r="A2105" t="str">
        <f>"20190304155636284"</f>
        <v>20190304155636284</v>
      </c>
      <c r="B2105" t="str">
        <f>"1551686196276506"</f>
        <v>1551686196276506</v>
      </c>
      <c r="C2105" t="s">
        <v>40</v>
      </c>
      <c r="D2105">
        <v>4.663278</v>
      </c>
      <c r="E2105">
        <v>0.52239409999999997</v>
      </c>
      <c r="F2105" t="s">
        <v>64</v>
      </c>
      <c r="G2105">
        <v>-319.899</v>
      </c>
      <c r="H2105" s="1">
        <v>6.5349709999999999E-6</v>
      </c>
      <c r="I2105">
        <v>285.43810000000002</v>
      </c>
      <c r="J2105">
        <v>-294.334</v>
      </c>
      <c r="K2105">
        <v>1.1098059999999901</v>
      </c>
      <c r="L2105">
        <v>284.2953</v>
      </c>
      <c r="M2105">
        <v>-0.9989924</v>
      </c>
      <c r="N2105">
        <v>-9.7215070000000008E-3</v>
      </c>
      <c r="O2105">
        <v>4.3815390000000003E-2</v>
      </c>
      <c r="P2105">
        <v>-0.98687230000000004</v>
      </c>
      <c r="Q2105">
        <v>0.16101379999999901</v>
      </c>
      <c r="R2105">
        <v>-1.2565979999999999E-2</v>
      </c>
      <c r="S2105">
        <v>-3.0632630000000001</v>
      </c>
      <c r="T2105">
        <v>-0.13202150000000001</v>
      </c>
      <c r="U2105">
        <v>0.13690189999999999</v>
      </c>
      <c r="V2105">
        <v>-5.5843909999999997E-2</v>
      </c>
      <c r="W2105">
        <v>0.1705699</v>
      </c>
      <c r="X2105">
        <v>0.98376180000000002</v>
      </c>
      <c r="Y2105">
        <v>8.5364100000000004E-4</v>
      </c>
      <c r="Z2105">
        <v>-1.437305E-3</v>
      </c>
      <c r="AA2105">
        <v>0.99999859999999896</v>
      </c>
      <c r="AB2105">
        <v>31</v>
      </c>
      <c r="AC2105">
        <v>-25.565000000000001</v>
      </c>
      <c r="AD2105">
        <v>-1.109799465029</v>
      </c>
      <c r="AE2105">
        <v>1.14280000000002</v>
      </c>
      <c r="AF2105">
        <v>2.14687073681516E-2</v>
      </c>
      <c r="AG2105">
        <v>-1.109799465029</v>
      </c>
      <c r="AH2105">
        <v>25.542481832014001</v>
      </c>
      <c r="AI2105">
        <v>92.487888021721304</v>
      </c>
      <c r="AJ2105">
        <v>89.951842344756301</v>
      </c>
      <c r="AK2105">
        <v>25.566589406816501</v>
      </c>
      <c r="AL2105">
        <v>80.179043674686497</v>
      </c>
      <c r="AM2105">
        <v>93.248947281877093</v>
      </c>
      <c r="AN2105">
        <v>0.99999995610466796</v>
      </c>
    </row>
    <row r="2106" spans="1:40" x14ac:dyDescent="0.25">
      <c r="A2106" t="str">
        <f>"20190304155636297"</f>
        <v>20190304155636297</v>
      </c>
      <c r="B2106" t="str">
        <f>"1551686196287242"</f>
        <v>1551686196287242</v>
      </c>
      <c r="C2106" t="s">
        <v>40</v>
      </c>
      <c r="D2106">
        <v>4.6540269999999904</v>
      </c>
      <c r="E2106">
        <v>0.52241309999999996</v>
      </c>
      <c r="F2106" t="s">
        <v>55</v>
      </c>
      <c r="G2106">
        <v>-319.9633</v>
      </c>
      <c r="H2106" s="1">
        <v>-1.5919430000000001E-6</v>
      </c>
      <c r="I2106">
        <v>285.43180000000001</v>
      </c>
      <c r="J2106">
        <v>-294.51249999999999</v>
      </c>
      <c r="K2106">
        <v>1.1098300000000001</v>
      </c>
      <c r="L2106">
        <v>284.303</v>
      </c>
      <c r="M2106">
        <v>-0.99899819999999995</v>
      </c>
      <c r="N2106">
        <v>-9.7242649999999993E-3</v>
      </c>
      <c r="O2106">
        <v>4.3681070000000002E-2</v>
      </c>
      <c r="P2106">
        <v>-0.98687369999999996</v>
      </c>
      <c r="Q2106">
        <v>0.16097620000000001</v>
      </c>
      <c r="R2106">
        <v>-1.292743E-2</v>
      </c>
      <c r="S2106">
        <v>-3.0633240000000002</v>
      </c>
      <c r="T2106">
        <v>-0.13264870000000001</v>
      </c>
      <c r="U2106">
        <v>0.1358337</v>
      </c>
      <c r="V2106">
        <v>-5.6083059999999997E-2</v>
      </c>
      <c r="W2106">
        <v>0.170531399999999</v>
      </c>
      <c r="X2106">
        <v>0.98375489999999999</v>
      </c>
      <c r="Y2106">
        <v>6.3966730000000001E-4</v>
      </c>
      <c r="Z2106">
        <v>-1.44719799999999E-3</v>
      </c>
      <c r="AA2106">
        <v>0.99999870000000002</v>
      </c>
      <c r="AB2106">
        <v>31</v>
      </c>
      <c r="AC2106">
        <v>-25.450800000000001</v>
      </c>
      <c r="AD2106">
        <v>-1.109831591943</v>
      </c>
      <c r="AE2106">
        <v>1.12880000000001</v>
      </c>
      <c r="AF2106">
        <v>1.59215296323649E-2</v>
      </c>
      <c r="AG2106">
        <v>-1.109831591943</v>
      </c>
      <c r="AH2106">
        <v>25.427557873009199</v>
      </c>
      <c r="AI2106">
        <v>92.499190855630204</v>
      </c>
      <c r="AJ2106">
        <v>89.9641241075268</v>
      </c>
      <c r="AK2106">
        <v>25.451771628765101</v>
      </c>
      <c r="AL2106">
        <v>80.181282654364395</v>
      </c>
      <c r="AM2106">
        <v>93.262853647157996</v>
      </c>
      <c r="AN2106">
        <v>0.99999998563946602</v>
      </c>
    </row>
    <row r="2107" spans="1:40" x14ac:dyDescent="0.25">
      <c r="A2107" t="str">
        <f>"20190304155636316"</f>
        <v>20190304155636316</v>
      </c>
      <c r="B2107" t="str">
        <f>"1551686196306765"</f>
        <v>1551686196306765</v>
      </c>
      <c r="C2107" t="s">
        <v>40</v>
      </c>
      <c r="D2107">
        <v>4.7953950000000001</v>
      </c>
      <c r="E2107">
        <v>0.52194169999999995</v>
      </c>
      <c r="F2107" t="s">
        <v>55</v>
      </c>
      <c r="G2107">
        <v>-320.20420000000001</v>
      </c>
      <c r="H2107" s="1">
        <v>-1.463904E-6</v>
      </c>
      <c r="I2107">
        <v>285.43459999999999</v>
      </c>
      <c r="J2107">
        <v>-294.77449999999999</v>
      </c>
      <c r="K2107">
        <v>1.109864</v>
      </c>
      <c r="L2107">
        <v>284.3143</v>
      </c>
      <c r="M2107">
        <v>-0.99900829999999996</v>
      </c>
      <c r="N2107">
        <v>-9.7283330000000005E-3</v>
      </c>
      <c r="O2107">
        <v>4.344924E-2</v>
      </c>
      <c r="P2107">
        <v>-0.98692789999999997</v>
      </c>
      <c r="Q2107">
        <v>0.16059560000000001</v>
      </c>
      <c r="R2107">
        <v>-1.35186E-2</v>
      </c>
      <c r="S2107">
        <v>-3.0632630000000001</v>
      </c>
      <c r="T2107">
        <v>-0.13232720000000001</v>
      </c>
      <c r="U2107">
        <v>0.13491819999999999</v>
      </c>
      <c r="V2107">
        <v>-5.6463520000000003E-2</v>
      </c>
      <c r="W2107">
        <v>0.17014939999999901</v>
      </c>
      <c r="X2107">
        <v>0.98379930000000004</v>
      </c>
      <c r="Y2107">
        <v>5.7411050000000003E-4</v>
      </c>
      <c r="Z2107">
        <v>-1.4365249999999999E-3</v>
      </c>
      <c r="AA2107">
        <v>0.99999879999999997</v>
      </c>
      <c r="AB2107">
        <v>32</v>
      </c>
      <c r="AC2107">
        <v>-25.4297</v>
      </c>
      <c r="AD2107">
        <v>-1.109865463904</v>
      </c>
      <c r="AE2107">
        <v>1.1202999999999801</v>
      </c>
      <c r="AF2107">
        <v>1.4261422695495501E-2</v>
      </c>
      <c r="AG2107">
        <v>-1.109865463904</v>
      </c>
      <c r="AH2107">
        <v>25.406060612433802</v>
      </c>
      <c r="AI2107">
        <v>92.501379192373506</v>
      </c>
      <c r="AJ2107">
        <v>89.9678376251657</v>
      </c>
      <c r="AK2107">
        <v>25.430295330153101</v>
      </c>
      <c r="AL2107">
        <v>80.203494451004701</v>
      </c>
      <c r="AM2107">
        <v>93.284792171542605</v>
      </c>
      <c r="AN2107">
        <v>1.00000000504582</v>
      </c>
    </row>
    <row r="2108" spans="1:40" x14ac:dyDescent="0.25">
      <c r="A2108" t="str">
        <f>"20190304155636327"</f>
        <v>20190304155636327</v>
      </c>
      <c r="B2108" t="str">
        <f>"1551686196316522"</f>
        <v>1551686196316522</v>
      </c>
      <c r="C2108" t="s">
        <v>40</v>
      </c>
      <c r="D2108">
        <v>4.8208099999999998</v>
      </c>
      <c r="E2108">
        <v>0.52148989999999995</v>
      </c>
      <c r="F2108" t="s">
        <v>55</v>
      </c>
      <c r="G2108">
        <v>-320.11309999999997</v>
      </c>
      <c r="H2108" s="1">
        <v>-1.51027E-6</v>
      </c>
      <c r="I2108">
        <v>285.38639999999998</v>
      </c>
      <c r="J2108">
        <v>-294.94540000000001</v>
      </c>
      <c r="K2108">
        <v>1.1098889999999999</v>
      </c>
      <c r="L2108">
        <v>284.32159999999999</v>
      </c>
      <c r="M2108">
        <v>-0.99901589999999996</v>
      </c>
      <c r="N2108">
        <v>-9.7310000000000001E-3</v>
      </c>
      <c r="O2108">
        <v>4.327508E-2</v>
      </c>
      <c r="P2108">
        <v>-0.98691620000000002</v>
      </c>
      <c r="Q2108">
        <v>0.16065860000000001</v>
      </c>
      <c r="R2108">
        <v>-1.361776E-2</v>
      </c>
      <c r="S2108">
        <v>-3.0633240000000002</v>
      </c>
      <c r="T2108">
        <v>-0.13417799999999999</v>
      </c>
      <c r="U2108">
        <v>0.12960819999999901</v>
      </c>
      <c r="V2108">
        <v>-5.6401449999999999E-2</v>
      </c>
      <c r="W2108">
        <v>0.17021140000000001</v>
      </c>
      <c r="X2108">
        <v>0.98379209999999995</v>
      </c>
      <c r="Y2108">
        <v>-9.8005480000000001E-4</v>
      </c>
      <c r="Z2108">
        <v>-1.4981279999999901E-3</v>
      </c>
      <c r="AA2108">
        <v>0.99999839999999995</v>
      </c>
      <c r="AB2108">
        <v>32</v>
      </c>
      <c r="AC2108">
        <v>-25.1676999999999</v>
      </c>
      <c r="AD2108">
        <v>-1.1098905102700001</v>
      </c>
      <c r="AE2108">
        <v>1.06479999999999</v>
      </c>
      <c r="AF2108">
        <v>-2.5334118409134399E-2</v>
      </c>
      <c r="AG2108">
        <v>-1.1098905102700001</v>
      </c>
      <c r="AH2108">
        <v>25.141394598818799</v>
      </c>
      <c r="AI2108">
        <v>92.527733574110698</v>
      </c>
      <c r="AJ2108">
        <v>90.057734966353195</v>
      </c>
      <c r="AK2108">
        <v>25.165894006290699</v>
      </c>
      <c r="AL2108">
        <v>80.199889181915594</v>
      </c>
      <c r="AM2108">
        <v>93.281213075100197</v>
      </c>
      <c r="AN2108">
        <v>0.99999997013723496</v>
      </c>
    </row>
    <row r="2109" spans="1:40" x14ac:dyDescent="0.25">
      <c r="A2109" t="str">
        <f>"20190304155636341"</f>
        <v>20190304155636341</v>
      </c>
      <c r="B2109" t="str">
        <f>"1551686196337017"</f>
        <v>1551686196337017</v>
      </c>
      <c r="C2109" t="s">
        <v>40</v>
      </c>
      <c r="D2109">
        <v>4.6229889999999996</v>
      </c>
      <c r="E2109">
        <v>0.52120409999999995</v>
      </c>
      <c r="F2109" t="s">
        <v>55</v>
      </c>
      <c r="G2109">
        <v>-320.22489999999999</v>
      </c>
      <c r="H2109" s="1">
        <v>-1.449497E-6</v>
      </c>
      <c r="I2109">
        <v>285.35789999999997</v>
      </c>
      <c r="J2109">
        <v>-295.13760000000002</v>
      </c>
      <c r="K2109">
        <v>1.1099190000000001</v>
      </c>
      <c r="L2109">
        <v>284.3297</v>
      </c>
      <c r="M2109">
        <v>-0.99902559999999996</v>
      </c>
      <c r="N2109">
        <v>-9.7340459999999997E-3</v>
      </c>
      <c r="O2109">
        <v>4.3046929999999997E-2</v>
      </c>
      <c r="P2109">
        <v>-0.98690069999999996</v>
      </c>
      <c r="Q2109">
        <v>0.16073099999999901</v>
      </c>
      <c r="R2109">
        <v>-1.388116E-2</v>
      </c>
      <c r="S2109">
        <v>-3.0633849999999998</v>
      </c>
      <c r="T2109">
        <v>-0.1344969</v>
      </c>
      <c r="U2109">
        <v>0.12557979999999999</v>
      </c>
      <c r="V2109">
        <v>-5.6452349999999998E-2</v>
      </c>
      <c r="W2109">
        <v>0.1702823</v>
      </c>
      <c r="X2109">
        <v>0.98377689999999995</v>
      </c>
      <c r="Y2109">
        <v>-2.063938E-3</v>
      </c>
      <c r="Z2109">
        <v>-1.523841E-3</v>
      </c>
      <c r="AA2109">
        <v>0.99999669999999896</v>
      </c>
      <c r="AB2109">
        <v>32</v>
      </c>
      <c r="AC2109">
        <v>-25.0872999999999</v>
      </c>
      <c r="AD2109">
        <v>-1.1099204494970001</v>
      </c>
      <c r="AE2109">
        <v>1.02819999999996</v>
      </c>
      <c r="AF2109">
        <v>-5.2632775374803903E-2</v>
      </c>
      <c r="AG2109">
        <v>-1.1099204494970001</v>
      </c>
      <c r="AH2109">
        <v>25.059337633892799</v>
      </c>
      <c r="AI2109">
        <v>92.536063884269694</v>
      </c>
      <c r="AJ2109">
        <v>90.120339631587399</v>
      </c>
      <c r="AK2109">
        <v>25.083960936476799</v>
      </c>
      <c r="AL2109">
        <v>80.195766621316395</v>
      </c>
      <c r="AM2109">
        <v>93.284218388256903</v>
      </c>
      <c r="AN2109">
        <v>0.99999995924370999</v>
      </c>
    </row>
    <row r="2110" spans="1:40" x14ac:dyDescent="0.25">
      <c r="A2110" t="str">
        <f>"20190304155636362"</f>
        <v>20190304155636362</v>
      </c>
      <c r="B2110" t="str">
        <f>"1551686196356538"</f>
        <v>1551686196356538</v>
      </c>
      <c r="C2110" t="s">
        <v>40</v>
      </c>
      <c r="D2110">
        <v>4.6874219999999998</v>
      </c>
      <c r="E2110">
        <v>0.52131379999999905</v>
      </c>
      <c r="F2110" t="s">
        <v>64</v>
      </c>
      <c r="G2110">
        <v>-319.84730000000002</v>
      </c>
      <c r="H2110" s="1">
        <v>6.5225109999999999E-6</v>
      </c>
      <c r="I2110">
        <v>285.31790000000001</v>
      </c>
      <c r="J2110">
        <v>-295.41550000000001</v>
      </c>
      <c r="K2110">
        <v>1.109966</v>
      </c>
      <c r="L2110">
        <v>284.34129999999999</v>
      </c>
      <c r="M2110">
        <v>-0.99904170000000003</v>
      </c>
      <c r="N2110">
        <v>-9.7384989999999994E-3</v>
      </c>
      <c r="O2110">
        <v>4.26734E-2</v>
      </c>
      <c r="P2110">
        <v>-0.9868635</v>
      </c>
      <c r="Q2110">
        <v>0.16095019999999999</v>
      </c>
      <c r="R2110">
        <v>-1.399269E-2</v>
      </c>
      <c r="S2110">
        <v>-3.063965</v>
      </c>
      <c r="T2110">
        <v>-0.13762750000000001</v>
      </c>
      <c r="U2110">
        <v>0.1225281</v>
      </c>
      <c r="V2110">
        <v>-5.621425E-2</v>
      </c>
      <c r="W2110">
        <v>0.17049890000000001</v>
      </c>
      <c r="X2110">
        <v>0.98375299999999999</v>
      </c>
      <c r="Y2110">
        <v>-2.6900349999999999E-3</v>
      </c>
      <c r="Z2110">
        <v>-1.5722689999999901E-3</v>
      </c>
      <c r="AA2110">
        <v>0.99999519999999997</v>
      </c>
      <c r="AB2110">
        <v>32</v>
      </c>
      <c r="AC2110">
        <v>-24.431799999999999</v>
      </c>
      <c r="AD2110">
        <v>-1.109959477489</v>
      </c>
      <c r="AE2110">
        <v>0.97660000000001901</v>
      </c>
      <c r="AF2110">
        <v>-6.6789386354855901E-2</v>
      </c>
      <c r="AG2110">
        <v>-1.109959477489</v>
      </c>
      <c r="AH2110">
        <v>24.400936730928201</v>
      </c>
      <c r="AI2110">
        <v>92.6044879619254</v>
      </c>
      <c r="AJ2110">
        <v>90.156827602148198</v>
      </c>
      <c r="AK2110">
        <v>24.426260135570502</v>
      </c>
      <c r="AL2110">
        <v>80.183171999596098</v>
      </c>
      <c r="AM2110">
        <v>93.270475898027101</v>
      </c>
      <c r="AN2110">
        <v>0.99999994090663402</v>
      </c>
    </row>
    <row r="2111" spans="1:40" x14ac:dyDescent="0.25">
      <c r="A2111" t="str">
        <f>"20190304155636381"</f>
        <v>20190304155636381</v>
      </c>
      <c r="B2111" t="str">
        <f>"1551686196377034"</f>
        <v>1551686196377034</v>
      </c>
      <c r="C2111" t="s">
        <v>40</v>
      </c>
      <c r="D2111">
        <v>4.7844300000000004</v>
      </c>
      <c r="E2111">
        <v>0.52062699999999995</v>
      </c>
      <c r="F2111" t="s">
        <v>55</v>
      </c>
      <c r="G2111">
        <v>-320.38760000000002</v>
      </c>
      <c r="H2111" s="1">
        <v>-1.362404E-6</v>
      </c>
      <c r="I2111">
        <v>285.34519999999998</v>
      </c>
      <c r="J2111">
        <v>-295.71089999999998</v>
      </c>
      <c r="K2111">
        <v>1.1100239999999999</v>
      </c>
      <c r="L2111">
        <v>284.3535</v>
      </c>
      <c r="M2111">
        <v>-0.99906130000000004</v>
      </c>
      <c r="N2111">
        <v>-9.7434329999999993E-3</v>
      </c>
      <c r="O2111">
        <v>4.2209589999999998E-2</v>
      </c>
      <c r="P2111">
        <v>-0.98684000000000005</v>
      </c>
      <c r="Q2111">
        <v>0.16108439999999999</v>
      </c>
      <c r="R2111">
        <v>-1.409841E-2</v>
      </c>
      <c r="S2111">
        <v>-3.063904</v>
      </c>
      <c r="T2111">
        <v>-0.13618540000000001</v>
      </c>
      <c r="U2111">
        <v>0.123168899999999</v>
      </c>
      <c r="V2111">
        <v>-5.5885530000000003E-2</v>
      </c>
      <c r="W2111">
        <v>0.170631</v>
      </c>
      <c r="X2111">
        <v>0.98374890000000004</v>
      </c>
      <c r="Y2111">
        <v>-2.0180060000000001E-3</v>
      </c>
      <c r="Z2111">
        <v>-1.5171679999999999E-3</v>
      </c>
      <c r="AA2111">
        <v>0.99999680000000002</v>
      </c>
      <c r="AB2111">
        <v>32</v>
      </c>
      <c r="AC2111">
        <v>-24.6767</v>
      </c>
      <c r="AD2111">
        <v>-1.110025362404</v>
      </c>
      <c r="AE2111">
        <v>0.99169999999998004</v>
      </c>
      <c r="AF2111">
        <v>-5.0724237086855299E-2</v>
      </c>
      <c r="AG2111">
        <v>-1.110025362404</v>
      </c>
      <c r="AH2111">
        <v>24.646775726305901</v>
      </c>
      <c r="AI2111">
        <v>92.578701808111603</v>
      </c>
      <c r="AJ2111">
        <v>90.117917273769706</v>
      </c>
      <c r="AK2111">
        <v>24.671811505364399</v>
      </c>
      <c r="AL2111">
        <v>80.175491397335506</v>
      </c>
      <c r="AM2111">
        <v>93.251406046106197</v>
      </c>
      <c r="AN2111">
        <v>1.0000000144377901</v>
      </c>
    </row>
    <row r="2112" spans="1:40" x14ac:dyDescent="0.25">
      <c r="A2112" t="str">
        <f>"20190304155636394"</f>
        <v>20190304155636394</v>
      </c>
      <c r="B2112" t="str">
        <f>"1551686196386794"</f>
        <v>1551686196386794</v>
      </c>
      <c r="C2112" t="s">
        <v>40</v>
      </c>
      <c r="D2112">
        <v>4.6445280000000002</v>
      </c>
      <c r="E2112">
        <v>0.52056990000000003</v>
      </c>
      <c r="F2112" t="s">
        <v>55</v>
      </c>
      <c r="G2112">
        <v>-320.58980000000003</v>
      </c>
      <c r="H2112" s="1">
        <v>-1.2531910000000001E-6</v>
      </c>
      <c r="I2112">
        <v>285.30799999999999</v>
      </c>
      <c r="J2112">
        <v>-295.89030000000002</v>
      </c>
      <c r="K2112">
        <v>1.1100620000000001</v>
      </c>
      <c r="L2112">
        <v>284.36090000000002</v>
      </c>
      <c r="M2112">
        <v>-0.99907460000000003</v>
      </c>
      <c r="N2112">
        <v>-9.7464720000000008E-3</v>
      </c>
      <c r="O2112">
        <v>4.1894630000000002E-2</v>
      </c>
      <c r="P2112">
        <v>-0.98685880000000004</v>
      </c>
      <c r="Q2112">
        <v>0.160969</v>
      </c>
      <c r="R2112">
        <v>-1.409356E-2</v>
      </c>
      <c r="S2112">
        <v>-3.0639949999999998</v>
      </c>
      <c r="T2112">
        <v>-0.13670679999999999</v>
      </c>
      <c r="U2112">
        <v>0.1175537</v>
      </c>
      <c r="V2112">
        <v>-5.5586450000000003E-2</v>
      </c>
      <c r="W2112">
        <v>0.170514</v>
      </c>
      <c r="X2112">
        <v>0.9837861</v>
      </c>
      <c r="Y2112">
        <v>-3.531873E-3</v>
      </c>
      <c r="Z2112">
        <v>-1.554574E-3</v>
      </c>
      <c r="AA2112">
        <v>0.99999249999999995</v>
      </c>
      <c r="AB2112">
        <v>32</v>
      </c>
      <c r="AC2112">
        <v>-24.6995</v>
      </c>
      <c r="AD2112">
        <v>-1.110063253191</v>
      </c>
      <c r="AE2112">
        <v>0.94709999999997696</v>
      </c>
      <c r="AF2112">
        <v>-8.8378807151884897E-2</v>
      </c>
      <c r="AG2112">
        <v>-1.110063253191</v>
      </c>
      <c r="AH2112">
        <v>24.6677409353718</v>
      </c>
      <c r="AI2112">
        <v>92.576589879784706</v>
      </c>
      <c r="AJ2112">
        <v>90.205276640257495</v>
      </c>
      <c r="AK2112">
        <v>24.692863221875601</v>
      </c>
      <c r="AL2112">
        <v>80.182294404111403</v>
      </c>
      <c r="AM2112">
        <v>93.233920651465297</v>
      </c>
      <c r="AN2112">
        <v>0.999999984086406</v>
      </c>
    </row>
    <row r="2113" spans="1:40" x14ac:dyDescent="0.25">
      <c r="A2113" t="str">
        <f>"20190304155636406"</f>
        <v>20190304155636406</v>
      </c>
      <c r="B2113" t="str">
        <f>"1551686196396554"</f>
        <v>1551686196396554</v>
      </c>
      <c r="C2113" t="s">
        <v>40</v>
      </c>
      <c r="D2113">
        <v>4.8463320000000003</v>
      </c>
      <c r="E2113">
        <v>0.52038039999999997</v>
      </c>
      <c r="F2113" t="s">
        <v>55</v>
      </c>
      <c r="G2113">
        <v>-320.48520000000002</v>
      </c>
      <c r="H2113" s="1">
        <v>-1.3085710000000001E-6</v>
      </c>
      <c r="I2113">
        <v>285.30169999999998</v>
      </c>
      <c r="J2113">
        <v>-296.065</v>
      </c>
      <c r="K2113">
        <v>1.110106</v>
      </c>
      <c r="L2113">
        <v>284.36790000000002</v>
      </c>
      <c r="M2113">
        <v>-0.99908830000000004</v>
      </c>
      <c r="N2113">
        <v>-9.7493890000000007E-3</v>
      </c>
      <c r="O2113">
        <v>4.1563749999999997E-2</v>
      </c>
      <c r="P2113">
        <v>-0.98685120000000004</v>
      </c>
      <c r="Q2113">
        <v>0.16100829999999999</v>
      </c>
      <c r="R2113">
        <v>-1.417992E-2</v>
      </c>
      <c r="S2113">
        <v>-3.064209</v>
      </c>
      <c r="T2113">
        <v>-0.1382999</v>
      </c>
      <c r="U2113">
        <v>0.117218</v>
      </c>
      <c r="V2113">
        <v>-5.5361390000000003E-2</v>
      </c>
      <c r="W2113">
        <v>0.1705516</v>
      </c>
      <c r="X2113">
        <v>0.98379229999999995</v>
      </c>
      <c r="Y2113">
        <v>-3.3123860000000001E-3</v>
      </c>
      <c r="Z2113">
        <v>-1.5592799999999999E-3</v>
      </c>
      <c r="AA2113">
        <v>0.99999329999999997</v>
      </c>
      <c r="AB2113">
        <v>32</v>
      </c>
      <c r="AC2113">
        <v>-24.420200000000001</v>
      </c>
      <c r="AD2113">
        <v>-1.110107308571</v>
      </c>
      <c r="AE2113">
        <v>0.93379999999996199</v>
      </c>
      <c r="AF2113">
        <v>-8.1881372381504294E-2</v>
      </c>
      <c r="AG2113">
        <v>-1.110107308571</v>
      </c>
      <c r="AH2113">
        <v>24.387586538450901</v>
      </c>
      <c r="AI2113">
        <v>92.606253411985904</v>
      </c>
      <c r="AJ2113">
        <v>90.1923699756952</v>
      </c>
      <c r="AK2113">
        <v>24.4129764667506</v>
      </c>
      <c r="AL2113">
        <v>80.180108320615105</v>
      </c>
      <c r="AM2113">
        <v>93.220834428860698</v>
      </c>
      <c r="AN2113">
        <v>1.0000000106522899</v>
      </c>
    </row>
    <row r="2114" spans="1:40" x14ac:dyDescent="0.25">
      <c r="A2114" t="str">
        <f>"20190304155636426"</f>
        <v>20190304155636426</v>
      </c>
      <c r="B2114" t="str">
        <f>"1551686196417053"</f>
        <v>1551686196417053</v>
      </c>
      <c r="C2114" t="s">
        <v>40</v>
      </c>
      <c r="D2114">
        <v>4.6712480000000003</v>
      </c>
      <c r="E2114">
        <v>0.52051219999999998</v>
      </c>
      <c r="F2114" t="s">
        <v>55</v>
      </c>
      <c r="G2114">
        <v>-320.72300000000001</v>
      </c>
      <c r="H2114" s="1">
        <v>-1.181751E-6</v>
      </c>
      <c r="I2114">
        <v>285.29539999999997</v>
      </c>
      <c r="J2114">
        <v>-296.33839999999998</v>
      </c>
      <c r="K2114">
        <v>1.110168</v>
      </c>
      <c r="L2114">
        <v>284.37869999999998</v>
      </c>
      <c r="M2114">
        <v>-0.99911220000000001</v>
      </c>
      <c r="N2114">
        <v>-9.7539069999999992E-3</v>
      </c>
      <c r="O2114">
        <v>4.0986330000000001E-2</v>
      </c>
      <c r="P2114">
        <v>-0.98679170000000005</v>
      </c>
      <c r="Q2114">
        <v>0.16136020000000001</v>
      </c>
      <c r="R2114">
        <v>-1.4330209999999999E-2</v>
      </c>
      <c r="S2114">
        <v>-3.0641479999999999</v>
      </c>
      <c r="T2114">
        <v>-0.1379485</v>
      </c>
      <c r="U2114">
        <v>0.1152649</v>
      </c>
      <c r="V2114">
        <v>-5.4964909999999999E-2</v>
      </c>
      <c r="W2114">
        <v>0.17089969999999999</v>
      </c>
      <c r="X2114">
        <v>0.98375409999999996</v>
      </c>
      <c r="Y2114">
        <v>-3.370652E-3</v>
      </c>
      <c r="Z2114">
        <v>-1.5355E-3</v>
      </c>
      <c r="AA2114">
        <v>0.99999309999999997</v>
      </c>
      <c r="AB2114">
        <v>32</v>
      </c>
      <c r="AC2114">
        <v>-24.384599999999999</v>
      </c>
      <c r="AD2114">
        <v>-1.110169181751</v>
      </c>
      <c r="AE2114">
        <v>0.91669999999999097</v>
      </c>
      <c r="AF2114">
        <v>-8.3380491761839398E-2</v>
      </c>
      <c r="AG2114">
        <v>-1.110169181751</v>
      </c>
      <c r="AH2114">
        <v>24.351278908539499</v>
      </c>
      <c r="AI2114">
        <v>92.610278641592799</v>
      </c>
      <c r="AJ2114">
        <v>90.196184012324693</v>
      </c>
      <c r="AK2114">
        <v>24.376714553031899</v>
      </c>
      <c r="AL2114">
        <v>80.159866266534195</v>
      </c>
      <c r="AM2114">
        <v>93.197939836247897</v>
      </c>
      <c r="AN2114">
        <v>0.99999998902910403</v>
      </c>
    </row>
    <row r="2115" spans="1:40" x14ac:dyDescent="0.25">
      <c r="A2115" t="str">
        <f>"20190304155636439"</f>
        <v>20190304155636439</v>
      </c>
      <c r="B2115" t="str">
        <f>"1551686196436570"</f>
        <v>1551686196436570</v>
      </c>
      <c r="C2115" t="s">
        <v>40</v>
      </c>
      <c r="D2115">
        <v>4.7230080000000001</v>
      </c>
      <c r="E2115">
        <v>0.52057279999999995</v>
      </c>
      <c r="F2115" t="s">
        <v>55</v>
      </c>
      <c r="G2115">
        <v>-321.2679</v>
      </c>
      <c r="H2115" s="1">
        <v>-8.9307130000000005E-7</v>
      </c>
      <c r="I2115">
        <v>285.32470000000001</v>
      </c>
      <c r="J2115">
        <v>-296.51769999999999</v>
      </c>
      <c r="K2115">
        <v>1.1102129999999999</v>
      </c>
      <c r="L2115">
        <v>284.38569999999999</v>
      </c>
      <c r="M2115">
        <v>-0.99912939999999995</v>
      </c>
      <c r="N2115">
        <v>-9.7570569999999995E-3</v>
      </c>
      <c r="O2115">
        <v>4.0565539999999997E-2</v>
      </c>
      <c r="P2115">
        <v>-0.98675840000000004</v>
      </c>
      <c r="Q2115">
        <v>0.16153429999999999</v>
      </c>
      <c r="R2115">
        <v>-1.466804E-2</v>
      </c>
      <c r="S2115">
        <v>-3.0641780000000001</v>
      </c>
      <c r="T2115">
        <v>-0.13645539999999901</v>
      </c>
      <c r="U2115">
        <v>0.116272</v>
      </c>
      <c r="V2115">
        <v>-5.4904139999999997E-2</v>
      </c>
      <c r="W2115">
        <v>0.17107120000000001</v>
      </c>
      <c r="X2115">
        <v>0.98372769999999998</v>
      </c>
      <c r="Y2115">
        <v>-2.6236200000000001E-3</v>
      </c>
      <c r="Z2115">
        <v>-1.4797300000000001E-3</v>
      </c>
      <c r="AA2115">
        <v>0.99999550000000004</v>
      </c>
      <c r="AB2115">
        <v>32</v>
      </c>
      <c r="AC2115">
        <v>-24.7502</v>
      </c>
      <c r="AD2115">
        <v>-1.1102138930712999</v>
      </c>
      <c r="AE2115">
        <v>0.93900000000002104</v>
      </c>
      <c r="AF2115">
        <v>-6.5693849795909698E-2</v>
      </c>
      <c r="AG2115">
        <v>-1.1102138930712999</v>
      </c>
      <c r="AH2115">
        <v>24.718253686975601</v>
      </c>
      <c r="AI2115">
        <v>92.571687472424998</v>
      </c>
      <c r="AJ2115">
        <v>90.152274975360598</v>
      </c>
      <c r="AK2115">
        <v>24.743260817926799</v>
      </c>
      <c r="AL2115">
        <v>80.149893319952596</v>
      </c>
      <c r="AM2115">
        <v>93.194497023947505</v>
      </c>
      <c r="AN2115">
        <v>1.00000000390293</v>
      </c>
    </row>
    <row r="2116" spans="1:40" x14ac:dyDescent="0.25">
      <c r="A2116" t="str">
        <f>"20190304155636451"</f>
        <v>20190304155636451</v>
      </c>
      <c r="B2116" t="str">
        <f>"1551686196447306"</f>
        <v>1551686196447306</v>
      </c>
      <c r="C2116" t="s">
        <v>40</v>
      </c>
      <c r="D2116">
        <v>4.6927269999999996</v>
      </c>
      <c r="E2116">
        <v>0.52061290000000005</v>
      </c>
      <c r="F2116" t="s">
        <v>55</v>
      </c>
      <c r="G2116">
        <v>-321.61399999999998</v>
      </c>
      <c r="H2116" s="1">
        <v>-7.0914329999999996E-7</v>
      </c>
      <c r="I2116">
        <v>285.33170000000001</v>
      </c>
      <c r="J2116">
        <v>-296.6848</v>
      </c>
      <c r="K2116">
        <v>1.1102540000000001</v>
      </c>
      <c r="L2116">
        <v>284.3922</v>
      </c>
      <c r="M2116">
        <v>-0.99914570000000003</v>
      </c>
      <c r="N2116">
        <v>-9.7600299999999994E-3</v>
      </c>
      <c r="O2116">
        <v>4.015759E-2</v>
      </c>
      <c r="P2116">
        <v>-0.98673730000000004</v>
      </c>
      <c r="Q2116">
        <v>0.16164700000000001</v>
      </c>
      <c r="R2116">
        <v>-1.484597E-2</v>
      </c>
      <c r="S2116">
        <v>-3.0641479999999999</v>
      </c>
      <c r="T2116">
        <v>-0.1355517</v>
      </c>
      <c r="U2116">
        <v>0.115509</v>
      </c>
      <c r="V2116">
        <v>-5.4695279999999999E-2</v>
      </c>
      <c r="W2116">
        <v>0.1711811</v>
      </c>
      <c r="X2116">
        <v>0.98372020000000004</v>
      </c>
      <c r="Y2116">
        <v>-2.4644580000000001E-3</v>
      </c>
      <c r="Z2116">
        <v>-1.4489889999999999E-3</v>
      </c>
      <c r="AA2116">
        <v>0.99999590000000005</v>
      </c>
      <c r="AB2116">
        <v>32</v>
      </c>
      <c r="AC2116">
        <v>-24.929200000000002</v>
      </c>
      <c r="AD2116">
        <v>-1.1102547091432999</v>
      </c>
      <c r="AE2116">
        <v>0.93950000000000899</v>
      </c>
      <c r="AF2116">
        <v>-6.2278825266141299E-2</v>
      </c>
      <c r="AG2116">
        <v>-1.1102547091432999</v>
      </c>
      <c r="AH2116">
        <v>24.897505264902499</v>
      </c>
      <c r="AI2116">
        <v>92.553291762725493</v>
      </c>
      <c r="AJ2116">
        <v>90.143319837087205</v>
      </c>
      <c r="AK2116">
        <v>24.922325585448501</v>
      </c>
      <c r="AL2116">
        <v>80.143502074207902</v>
      </c>
      <c r="AM2116">
        <v>93.182394124592903</v>
      </c>
      <c r="AN2116">
        <v>0.99999998726976402</v>
      </c>
    </row>
    <row r="2117" spans="1:40" x14ac:dyDescent="0.25">
      <c r="A2117" t="str">
        <f>"20190304155636470"</f>
        <v>20190304155636470</v>
      </c>
      <c r="B2117" t="str">
        <f>"1551686196466825"</f>
        <v>1551686196466825</v>
      </c>
      <c r="C2117" t="s">
        <v>40</v>
      </c>
      <c r="D2117">
        <v>4.7031960000000002</v>
      </c>
      <c r="E2117">
        <v>0.52052019999999999</v>
      </c>
      <c r="F2117" t="s">
        <v>55</v>
      </c>
      <c r="G2117">
        <v>-321.83659999999998</v>
      </c>
      <c r="H2117" s="1">
        <v>-5.9088610000000001E-7</v>
      </c>
      <c r="I2117">
        <v>285.33530000000002</v>
      </c>
      <c r="J2117">
        <v>-296.9649</v>
      </c>
      <c r="K2117">
        <v>1.1103270000000001</v>
      </c>
      <c r="L2117">
        <v>284.40269999999998</v>
      </c>
      <c r="M2117">
        <v>-0.99917579999999995</v>
      </c>
      <c r="N2117">
        <v>-9.7649179999999992E-3</v>
      </c>
      <c r="O2117">
        <v>3.9399330000000003E-2</v>
      </c>
      <c r="P2117">
        <v>-0.98678739999999998</v>
      </c>
      <c r="Q2117">
        <v>0.1613058</v>
      </c>
      <c r="R2117">
        <v>-1.5202230000000001E-2</v>
      </c>
      <c r="S2117">
        <v>-3.064209</v>
      </c>
      <c r="T2117">
        <v>-0.13526070000000001</v>
      </c>
      <c r="U2117">
        <v>0.11489870000000001</v>
      </c>
      <c r="V2117">
        <v>-5.4335500000000002E-2</v>
      </c>
      <c r="W2117">
        <v>0.17083719999999999</v>
      </c>
      <c r="X2117">
        <v>0.98379989999999995</v>
      </c>
      <c r="Y2117">
        <v>-1.906484E-3</v>
      </c>
      <c r="Z2117">
        <v>-1.403811E-3</v>
      </c>
      <c r="AA2117">
        <v>0.99999720000000003</v>
      </c>
      <c r="AB2117">
        <v>32</v>
      </c>
      <c r="AC2117">
        <v>-24.871699999999901</v>
      </c>
      <c r="AD2117">
        <v>-1.1103275908860999</v>
      </c>
      <c r="AE2117">
        <v>0.93260000000003596</v>
      </c>
      <c r="AF2117">
        <v>-4.8003726006791897E-2</v>
      </c>
      <c r="AG2117">
        <v>-1.1103275908860999</v>
      </c>
      <c r="AH2117">
        <v>24.8396977748632</v>
      </c>
      <c r="AI2117">
        <v>92.559396946564405</v>
      </c>
      <c r="AJ2117">
        <v>90.110726285884297</v>
      </c>
      <c r="AK2117">
        <v>24.864547397114201</v>
      </c>
      <c r="AL2117">
        <v>80.163500505857101</v>
      </c>
      <c r="AM2117">
        <v>93.161247662332698</v>
      </c>
      <c r="AN2117">
        <v>0.99999996935204905</v>
      </c>
    </row>
    <row r="2118" spans="1:40" x14ac:dyDescent="0.25">
      <c r="A2118" t="str">
        <f>"20190304155636483"</f>
        <v>20190304155636483</v>
      </c>
      <c r="B2118" t="str">
        <f>"1551686196476587"</f>
        <v>1551686196476587</v>
      </c>
      <c r="C2118" t="s">
        <v>40</v>
      </c>
      <c r="D2118">
        <v>4.6411910000000001</v>
      </c>
      <c r="E2118">
        <v>0.52048809999999901</v>
      </c>
      <c r="F2118" t="s">
        <v>55</v>
      </c>
      <c r="G2118">
        <v>-321.81110000000001</v>
      </c>
      <c r="H2118" s="1">
        <v>-6.0369919999999904E-7</v>
      </c>
      <c r="I2118">
        <v>285.31830000000002</v>
      </c>
      <c r="J2118">
        <v>-297.15089999999998</v>
      </c>
      <c r="K2118">
        <v>1.1103730000000001</v>
      </c>
      <c r="L2118">
        <v>284.40949999999998</v>
      </c>
      <c r="M2118">
        <v>-0.99919749999999996</v>
      </c>
      <c r="N2118">
        <v>-9.7684020000000007E-3</v>
      </c>
      <c r="O2118">
        <v>3.8848880000000002E-2</v>
      </c>
      <c r="P2118">
        <v>-0.98678889999999997</v>
      </c>
      <c r="Q2118">
        <v>0.16126109999999999</v>
      </c>
      <c r="R2118">
        <v>-1.557683E-2</v>
      </c>
      <c r="S2118">
        <v>-3.0643009999999999</v>
      </c>
      <c r="T2118">
        <v>-0.1369377</v>
      </c>
      <c r="U2118">
        <v>0.112915</v>
      </c>
      <c r="V2118">
        <v>-5.4186310000000001E-2</v>
      </c>
      <c r="W2118">
        <v>0.17078979999999999</v>
      </c>
      <c r="X2118">
        <v>0.98381640000000004</v>
      </c>
      <c r="Y2118">
        <v>-2.0025730000000001E-3</v>
      </c>
      <c r="Z2118">
        <v>-1.4091259999999999E-3</v>
      </c>
      <c r="AA2118">
        <v>0.99999700000000002</v>
      </c>
      <c r="AB2118">
        <v>32</v>
      </c>
      <c r="AC2118">
        <v>-24.6602</v>
      </c>
      <c r="AD2118">
        <v>-1.1103736036992</v>
      </c>
      <c r="AE2118">
        <v>0.90880000000004202</v>
      </c>
      <c r="AF2118">
        <v>-4.9851904423962E-2</v>
      </c>
      <c r="AG2118">
        <v>-1.1103736036992</v>
      </c>
      <c r="AH2118">
        <v>24.627027954520599</v>
      </c>
      <c r="AI2118">
        <v>92.581575537603499</v>
      </c>
      <c r="AJ2118">
        <v>90.115982319427502</v>
      </c>
      <c r="AK2118">
        <v>24.652097692182402</v>
      </c>
      <c r="AL2118">
        <v>80.166257242696702</v>
      </c>
      <c r="AM2118">
        <v>93.152532531248397</v>
      </c>
      <c r="AN2118">
        <v>1.0000000104422</v>
      </c>
    </row>
    <row r="2119" spans="1:40" x14ac:dyDescent="0.25">
      <c r="A2119" t="str">
        <f>"20190304155636496"</f>
        <v>20190304155636496</v>
      </c>
      <c r="B2119" t="str">
        <f>"1551686196487322"</f>
        <v>1551686196487322</v>
      </c>
      <c r="C2119" t="s">
        <v>40</v>
      </c>
      <c r="D2119">
        <v>4.6776609999999996</v>
      </c>
      <c r="E2119">
        <v>0.52048570000000005</v>
      </c>
      <c r="F2119" t="s">
        <v>55</v>
      </c>
      <c r="G2119">
        <v>-321.87079999999997</v>
      </c>
      <c r="H2119" s="1">
        <v>-5.7151999999999997E-7</v>
      </c>
      <c r="I2119">
        <v>285.3098</v>
      </c>
      <c r="J2119">
        <v>-297.31849999999997</v>
      </c>
      <c r="K2119">
        <v>1.110412</v>
      </c>
      <c r="L2119">
        <v>284.41559999999998</v>
      </c>
      <c r="M2119">
        <v>-0.99921720000000003</v>
      </c>
      <c r="N2119">
        <v>-9.7714359999999997E-3</v>
      </c>
      <c r="O2119">
        <v>3.8334569999999998E-2</v>
      </c>
      <c r="P2119">
        <v>-0.98681490000000005</v>
      </c>
      <c r="Q2119">
        <v>0.16104849999999901</v>
      </c>
      <c r="R2119">
        <v>-1.611887E-2</v>
      </c>
      <c r="S2119">
        <v>-3.0644529999999999</v>
      </c>
      <c r="T2119">
        <v>-0.13764949999999901</v>
      </c>
      <c r="U2119">
        <v>0.1116028</v>
      </c>
      <c r="V2119">
        <v>-5.4238550000000003E-2</v>
      </c>
      <c r="W2119">
        <v>0.17057510000000001</v>
      </c>
      <c r="X2119">
        <v>0.98385080000000003</v>
      </c>
      <c r="Y2119">
        <v>-1.9174249999999999E-3</v>
      </c>
      <c r="Z2119">
        <v>-1.3978129999999999E-3</v>
      </c>
      <c r="AA2119">
        <v>0.99999720000000003</v>
      </c>
      <c r="AB2119">
        <v>32</v>
      </c>
      <c r="AC2119">
        <v>-24.552299999999999</v>
      </c>
      <c r="AD2119">
        <v>-1.1104125715199999</v>
      </c>
      <c r="AE2119">
        <v>0.89420000000001199</v>
      </c>
      <c r="AF2119">
        <v>-4.7606871978963801E-2</v>
      </c>
      <c r="AG2119">
        <v>-1.1104125715199999</v>
      </c>
      <c r="AH2119">
        <v>24.5184474620117</v>
      </c>
      <c r="AI2119">
        <v>92.5930838323237</v>
      </c>
      <c r="AJ2119">
        <v>90.111249679107004</v>
      </c>
      <c r="AK2119">
        <v>24.543625413550402</v>
      </c>
      <c r="AL2119">
        <v>80.178742146025002</v>
      </c>
      <c r="AM2119">
        <v>93.155455578841895</v>
      </c>
      <c r="AN2119">
        <v>1.00000004085337</v>
      </c>
    </row>
    <row r="2120" spans="1:40" x14ac:dyDescent="0.25">
      <c r="A2120" t="str">
        <f>"20190304155636516"</f>
        <v>20190304155636516</v>
      </c>
      <c r="B2120" t="str">
        <f>"1551686196506845"</f>
        <v>1551686196506845</v>
      </c>
      <c r="C2120" t="s">
        <v>40</v>
      </c>
      <c r="D2120">
        <v>4.660482</v>
      </c>
      <c r="E2120">
        <v>0.52045470000000005</v>
      </c>
      <c r="F2120" t="s">
        <v>55</v>
      </c>
      <c r="G2120">
        <v>-321.8809</v>
      </c>
      <c r="H2120" s="1">
        <v>-5.6573789999999999E-7</v>
      </c>
      <c r="I2120">
        <v>285.29930000000002</v>
      </c>
      <c r="J2120">
        <v>-297.61160000000001</v>
      </c>
      <c r="K2120">
        <v>1.110476</v>
      </c>
      <c r="L2120">
        <v>284.42590000000001</v>
      </c>
      <c r="M2120">
        <v>-0.99925359999999996</v>
      </c>
      <c r="N2120">
        <v>-9.7766729999999996E-3</v>
      </c>
      <c r="O2120">
        <v>3.737327E-2</v>
      </c>
      <c r="P2120">
        <v>-0.98677649999999995</v>
      </c>
      <c r="Q2120">
        <v>0.1611852</v>
      </c>
      <c r="R2120">
        <v>-1.7081470000000001E-2</v>
      </c>
      <c r="S2120">
        <v>-3.0644840000000002</v>
      </c>
      <c r="T2120">
        <v>-0.13853850000000001</v>
      </c>
      <c r="U2120">
        <v>0.11026</v>
      </c>
      <c r="V2120">
        <v>-5.4280450000000001E-2</v>
      </c>
      <c r="W2120">
        <v>0.17070759999999999</v>
      </c>
      <c r="X2120">
        <v>0.98382539999999996</v>
      </c>
      <c r="Y2120">
        <v>-1.394199E-3</v>
      </c>
      <c r="Z2120">
        <v>-1.36063E-3</v>
      </c>
      <c r="AA2120">
        <v>0.9999981</v>
      </c>
      <c r="AB2120">
        <v>32</v>
      </c>
      <c r="AC2120">
        <v>-24.269299999999902</v>
      </c>
      <c r="AD2120">
        <v>-1.1104765657378901</v>
      </c>
      <c r="AE2120">
        <v>0.87340000000000295</v>
      </c>
      <c r="AF2120">
        <v>-3.4205122841876601E-2</v>
      </c>
      <c r="AG2120">
        <v>-1.1104765657378901</v>
      </c>
      <c r="AH2120">
        <v>24.234314051248599</v>
      </c>
      <c r="AI2120">
        <v>92.623597330834201</v>
      </c>
      <c r="AJ2120">
        <v>90.080869129244405</v>
      </c>
      <c r="AK2120">
        <v>24.259767223286101</v>
      </c>
      <c r="AL2120">
        <v>80.171036399841995</v>
      </c>
      <c r="AM2120">
        <v>93.157969642548593</v>
      </c>
      <c r="AN2120">
        <v>0.999999934817559</v>
      </c>
    </row>
    <row r="2121" spans="1:40" x14ac:dyDescent="0.25">
      <c r="A2121" t="str">
        <f>"20190304155636528"</f>
        <v>20190304155636528</v>
      </c>
      <c r="B2121" t="str">
        <f>"1551686196516602"</f>
        <v>1551686196516602</v>
      </c>
      <c r="C2121" t="s">
        <v>40</v>
      </c>
      <c r="D2121">
        <v>4.6758290000000002</v>
      </c>
      <c r="E2121">
        <v>0.52046320000000001</v>
      </c>
      <c r="F2121" t="s">
        <v>55</v>
      </c>
      <c r="G2121">
        <v>-322.10739999999998</v>
      </c>
      <c r="H2121" s="1">
        <v>-4.4444739999999998E-7</v>
      </c>
      <c r="I2121">
        <v>285.28250000000003</v>
      </c>
      <c r="J2121">
        <v>-297.7901</v>
      </c>
      <c r="K2121">
        <v>1.11052</v>
      </c>
      <c r="L2121">
        <v>284.43200000000002</v>
      </c>
      <c r="M2121">
        <v>-0.99927659999999996</v>
      </c>
      <c r="N2121">
        <v>-9.7799779999999999E-3</v>
      </c>
      <c r="O2121">
        <v>3.6752750000000001E-2</v>
      </c>
      <c r="P2121">
        <v>-0.9868268</v>
      </c>
      <c r="Q2121">
        <v>0.16083239999999999</v>
      </c>
      <c r="R2121">
        <v>-1.749614E-2</v>
      </c>
      <c r="S2121">
        <v>-3.0647890000000002</v>
      </c>
      <c r="T2121">
        <v>-0.13893699999999901</v>
      </c>
      <c r="U2121">
        <v>0.1071777</v>
      </c>
      <c r="V2121">
        <v>-5.4102259999999999E-2</v>
      </c>
      <c r="W2121">
        <v>0.17035330000000001</v>
      </c>
      <c r="X2121">
        <v>0.98389669999999896</v>
      </c>
      <c r="Y2121">
        <v>-1.780972E-3</v>
      </c>
      <c r="Z2121">
        <v>-1.3539509999999999E-3</v>
      </c>
      <c r="AA2121">
        <v>0.99999749999999998</v>
      </c>
      <c r="AB2121">
        <v>32</v>
      </c>
      <c r="AC2121">
        <v>-24.3172999999999</v>
      </c>
      <c r="AD2121">
        <v>-1.1105204444473999</v>
      </c>
      <c r="AE2121">
        <v>0.85050000000001003</v>
      </c>
      <c r="AF2121">
        <v>-4.37538534469036E-2</v>
      </c>
      <c r="AG2121">
        <v>-1.1105204444473999</v>
      </c>
      <c r="AH2121">
        <v>24.281550385645101</v>
      </c>
      <c r="AI2121">
        <v>92.618602283749993</v>
      </c>
      <c r="AJ2121">
        <v>90.103243342654494</v>
      </c>
      <c r="AK2121">
        <v>24.3069714112608</v>
      </c>
      <c r="AL2121">
        <v>80.191638793715597</v>
      </c>
      <c r="AM2121">
        <v>93.147396007828206</v>
      </c>
      <c r="AN2121">
        <v>1.0000000088144401</v>
      </c>
    </row>
    <row r="2122" spans="1:40" x14ac:dyDescent="0.25">
      <c r="A2122" t="str">
        <f>"20190304155636542"</f>
        <v>20190304155636542</v>
      </c>
      <c r="B2122" t="str">
        <f>"1551686196537098"</f>
        <v>1551686196537098</v>
      </c>
      <c r="C2122" t="s">
        <v>40</v>
      </c>
      <c r="D2122">
        <v>4.669524</v>
      </c>
      <c r="E2122">
        <v>0.52043819999999996</v>
      </c>
      <c r="F2122" t="s">
        <v>55</v>
      </c>
      <c r="G2122">
        <v>-322.065</v>
      </c>
      <c r="H2122" s="1">
        <v>-4.6655769999999999E-7</v>
      </c>
      <c r="I2122">
        <v>285.2715</v>
      </c>
      <c r="J2122">
        <v>-297.98360000000002</v>
      </c>
      <c r="K2122">
        <v>1.1105640000000001</v>
      </c>
      <c r="L2122">
        <v>284.43849999999998</v>
      </c>
      <c r="M2122">
        <v>-0.99930280000000005</v>
      </c>
      <c r="N2122">
        <v>-9.7834989999999993E-3</v>
      </c>
      <c r="O2122">
        <v>3.6033530000000001E-2</v>
      </c>
      <c r="P2122">
        <v>-0.98683889999999996</v>
      </c>
      <c r="Q2122">
        <v>0.16068070000000001</v>
      </c>
      <c r="R2122">
        <v>-1.819842E-2</v>
      </c>
      <c r="S2122">
        <v>-3.0647579999999999</v>
      </c>
      <c r="T2122">
        <v>-0.14020560000000001</v>
      </c>
      <c r="U2122">
        <v>0.1059875</v>
      </c>
      <c r="V2122">
        <v>-5.4114990000000002E-2</v>
      </c>
      <c r="W2122">
        <v>0.17019870000000001</v>
      </c>
      <c r="X2122">
        <v>0.98392270000000004</v>
      </c>
      <c r="Y2122">
        <v>-1.449072E-3</v>
      </c>
      <c r="Z2122">
        <v>-1.334383E-3</v>
      </c>
      <c r="AA2122">
        <v>0.99999800000000005</v>
      </c>
      <c r="AB2122">
        <v>32</v>
      </c>
      <c r="AC2122">
        <v>-24.081399999999899</v>
      </c>
      <c r="AD2122">
        <v>-1.1105644665576999</v>
      </c>
      <c r="AE2122">
        <v>0.83300000000002605</v>
      </c>
      <c r="AF2122">
        <v>-3.5245433542308802E-2</v>
      </c>
      <c r="AG2122">
        <v>-1.1105644665576999</v>
      </c>
      <c r="AH2122">
        <v>24.0447001121893</v>
      </c>
      <c r="AI2122">
        <v>92.644466293675293</v>
      </c>
      <c r="AJ2122">
        <v>90.083985790353793</v>
      </c>
      <c r="AK2122">
        <v>24.070359348378801</v>
      </c>
      <c r="AL2122">
        <v>80.200627459273207</v>
      </c>
      <c r="AM2122">
        <v>93.148052063802496</v>
      </c>
      <c r="AN2122">
        <v>0.99999995459983904</v>
      </c>
    </row>
    <row r="2123" spans="1:40" x14ac:dyDescent="0.25">
      <c r="A2123" t="str">
        <f>"20190304155636562"</f>
        <v>20190304155636562</v>
      </c>
      <c r="B2123" t="str">
        <f>"1551686196556618"</f>
        <v>1551686196556618</v>
      </c>
      <c r="C2123" t="s">
        <v>40</v>
      </c>
      <c r="D2123">
        <v>4.6976550000000001</v>
      </c>
      <c r="E2123">
        <v>0.52027020000000002</v>
      </c>
      <c r="F2123" t="s">
        <v>55</v>
      </c>
      <c r="G2123">
        <v>-321.98939999999999</v>
      </c>
      <c r="H2123" s="1">
        <v>-5.0587719999999998E-7</v>
      </c>
      <c r="I2123">
        <v>285.2516</v>
      </c>
      <c r="J2123">
        <v>-298.2645</v>
      </c>
      <c r="K2123">
        <v>1.1106339999999999</v>
      </c>
      <c r="L2123">
        <v>284.44760000000002</v>
      </c>
      <c r="M2123">
        <v>-0.99934179999999995</v>
      </c>
      <c r="N2123">
        <v>-9.7888890000000003E-3</v>
      </c>
      <c r="O2123">
        <v>3.4930290000000003E-2</v>
      </c>
      <c r="P2123">
        <v>-0.98684970000000005</v>
      </c>
      <c r="Q2123">
        <v>0.1604428</v>
      </c>
      <c r="R2123">
        <v>-1.964252E-2</v>
      </c>
      <c r="S2123">
        <v>-3.0650629999999999</v>
      </c>
      <c r="T2123">
        <v>-0.1417967</v>
      </c>
      <c r="U2123">
        <v>0.1038208</v>
      </c>
      <c r="V2123">
        <v>-5.4500609999999998E-2</v>
      </c>
      <c r="W2123">
        <v>0.16995579999999999</v>
      </c>
      <c r="X2123">
        <v>0.98394349999999997</v>
      </c>
      <c r="Y2123">
        <v>-1.0551670000000001E-3</v>
      </c>
      <c r="Z2123">
        <v>-1.301902E-3</v>
      </c>
      <c r="AA2123">
        <v>0.99999859999999896</v>
      </c>
      <c r="AB2123">
        <v>32</v>
      </c>
      <c r="AC2123">
        <v>-23.724899999999899</v>
      </c>
      <c r="AD2123">
        <v>-1.1106345058772</v>
      </c>
      <c r="AE2123">
        <v>0.80399999999997296</v>
      </c>
      <c r="AF2123">
        <v>-2.5192894068423101E-2</v>
      </c>
      <c r="AG2123">
        <v>-1.1106345058772</v>
      </c>
      <c r="AH2123">
        <v>23.686657003348</v>
      </c>
      <c r="AI2123">
        <v>92.684551930077404</v>
      </c>
      <c r="AJ2123">
        <v>90.060939201312706</v>
      </c>
      <c r="AK2123">
        <v>23.7126941464232</v>
      </c>
      <c r="AL2123">
        <v>80.214751315978802</v>
      </c>
      <c r="AM2123">
        <v>93.170372397153102</v>
      </c>
      <c r="AN2123">
        <v>1.0000000508181199</v>
      </c>
    </row>
    <row r="2124" spans="1:40" x14ac:dyDescent="0.25">
      <c r="A2124" t="str">
        <f>"20190304155636583"</f>
        <v>20190304155636583</v>
      </c>
      <c r="B2124" t="str">
        <f>"1551686196577115"</f>
        <v>1551686196577115</v>
      </c>
      <c r="C2124" t="s">
        <v>40</v>
      </c>
      <c r="D2124">
        <v>4.7382559999999998</v>
      </c>
      <c r="E2124">
        <v>0.48977490000000001</v>
      </c>
      <c r="F2124" t="s">
        <v>55</v>
      </c>
      <c r="G2124">
        <v>-322.06</v>
      </c>
      <c r="H2124" s="1">
        <v>-4.6642810000000002E-7</v>
      </c>
      <c r="I2124">
        <v>285.20850000000002</v>
      </c>
      <c r="J2124">
        <v>-298.57830000000001</v>
      </c>
      <c r="K2124">
        <v>1.1107229999999999</v>
      </c>
      <c r="L2124">
        <v>284.45729999999998</v>
      </c>
      <c r="M2124">
        <v>-0.99938740000000004</v>
      </c>
      <c r="N2124">
        <v>-9.7951930000000006E-3</v>
      </c>
      <c r="O2124">
        <v>3.3602779999999999E-2</v>
      </c>
      <c r="P2124">
        <v>-0.98687930000000001</v>
      </c>
      <c r="Q2124">
        <v>0.16005030000000001</v>
      </c>
      <c r="R2124">
        <v>-2.1289869999999999E-2</v>
      </c>
      <c r="S2124">
        <v>-3.0651860000000002</v>
      </c>
      <c r="T2124">
        <v>-0.14306450000000001</v>
      </c>
      <c r="U2124">
        <v>9.8022460000000006E-2</v>
      </c>
      <c r="V2124">
        <v>-5.4874149999999997E-2</v>
      </c>
      <c r="W2124">
        <v>0.16955729999999999</v>
      </c>
      <c r="X2124">
        <v>0.98399139999999996</v>
      </c>
      <c r="Y2124">
        <v>-1.6173979999999999E-3</v>
      </c>
      <c r="Z2124">
        <v>-1.283317E-3</v>
      </c>
      <c r="AA2124">
        <v>0.9999979</v>
      </c>
      <c r="AB2124">
        <v>32</v>
      </c>
      <c r="AC2124">
        <v>-23.481699999999901</v>
      </c>
      <c r="AD2124">
        <v>-1.1107234664280901</v>
      </c>
      <c r="AE2124">
        <v>0.75120000000003895</v>
      </c>
      <c r="AF2124">
        <v>-3.82269737187012E-2</v>
      </c>
      <c r="AG2124">
        <v>-1.1107234664280901</v>
      </c>
      <c r="AH2124">
        <v>23.441286436538402</v>
      </c>
      <c r="AI2124">
        <v>92.712825479478198</v>
      </c>
      <c r="AJ2124">
        <v>90.093435243924105</v>
      </c>
      <c r="AK2124">
        <v>23.467617640489902</v>
      </c>
      <c r="AL2124">
        <v>80.237919084321803</v>
      </c>
      <c r="AM2124">
        <v>93.191901863896007</v>
      </c>
      <c r="AN2124">
        <v>0.99999996279773495</v>
      </c>
    </row>
    <row r="2125" spans="1:40" x14ac:dyDescent="0.25">
      <c r="A2125" t="str">
        <f>"20190304155636596"</f>
        <v>20190304155636596</v>
      </c>
      <c r="B2125" t="str">
        <f>"1551686196586875"</f>
        <v>1551686196586875</v>
      </c>
      <c r="C2125" t="s">
        <v>40</v>
      </c>
      <c r="D2125">
        <v>4.6968800000000002</v>
      </c>
      <c r="E2125">
        <v>0.48896899999999999</v>
      </c>
      <c r="F2125" t="s">
        <v>64</v>
      </c>
      <c r="G2125">
        <v>-317.9744</v>
      </c>
      <c r="H2125" s="1">
        <v>5.8506609999999997E-6</v>
      </c>
      <c r="I2125">
        <v>283.5025</v>
      </c>
      <c r="J2125">
        <v>-298.76100000000002</v>
      </c>
      <c r="K2125">
        <v>1.110771</v>
      </c>
      <c r="L2125">
        <v>284.46269999999998</v>
      </c>
      <c r="M2125">
        <v>-0.99941440000000004</v>
      </c>
      <c r="N2125">
        <v>-9.7989210000000004E-3</v>
      </c>
      <c r="O2125">
        <v>3.2784460000000001E-2</v>
      </c>
      <c r="P2125">
        <v>-0.98683670000000001</v>
      </c>
      <c r="Q2125">
        <v>0.1602045</v>
      </c>
      <c r="R2125">
        <v>-2.2096169999999998E-2</v>
      </c>
      <c r="S2125">
        <v>-3.0651250000000001</v>
      </c>
      <c r="T2125">
        <v>-0.17552470000000001</v>
      </c>
      <c r="U2125">
        <v>-0.15087890000000001</v>
      </c>
      <c r="V2125">
        <v>-5.4892870000000003E-2</v>
      </c>
      <c r="W2125">
        <v>0.1697081</v>
      </c>
      <c r="X2125">
        <v>0.98396439999999996</v>
      </c>
      <c r="Y2125">
        <v>-8.1691520000000004E-2</v>
      </c>
      <c r="Z2125">
        <v>-4.290627E-3</v>
      </c>
      <c r="AA2125">
        <v>0.99664839999999999</v>
      </c>
      <c r="AB2125">
        <v>32</v>
      </c>
      <c r="AC2125">
        <v>-19.2134</v>
      </c>
      <c r="AD2125">
        <v>-1.1107651493390001</v>
      </c>
      <c r="AE2125">
        <v>-0.96019999999998595</v>
      </c>
      <c r="AF2125">
        <v>-1.5843329732790501</v>
      </c>
      <c r="AG2125">
        <v>-1.1107651493390001</v>
      </c>
      <c r="AH2125">
        <v>19.1078857978376</v>
      </c>
      <c r="AI2125">
        <v>93.315578608802298</v>
      </c>
      <c r="AJ2125">
        <v>94.7398452447013</v>
      </c>
      <c r="AK2125">
        <v>19.205603605469101</v>
      </c>
      <c r="AL2125">
        <v>80.229152220432198</v>
      </c>
      <c r="AM2125">
        <v>93.193075944489607</v>
      </c>
      <c r="AN2125">
        <v>1.0000000034248999</v>
      </c>
    </row>
    <row r="2126" spans="1:40" x14ac:dyDescent="0.25">
      <c r="A2126" t="str">
        <f>"20190304155636608"</f>
        <v>20190304155636608</v>
      </c>
      <c r="B2126" t="str">
        <f>"1551686196596634"</f>
        <v>1551686196596634</v>
      </c>
      <c r="C2126" t="s">
        <v>40</v>
      </c>
      <c r="D2126">
        <v>4.7053140000000004</v>
      </c>
      <c r="E2126">
        <v>0.48828139999999998</v>
      </c>
      <c r="F2126" t="s">
        <v>64</v>
      </c>
      <c r="G2126">
        <v>-317.29239999999999</v>
      </c>
      <c r="H2126" s="1">
        <v>5.5487839999999997E-6</v>
      </c>
      <c r="I2126">
        <v>283.49619999999999</v>
      </c>
      <c r="J2126">
        <v>-298.93529999999998</v>
      </c>
      <c r="K2126">
        <v>1.1108199999999999</v>
      </c>
      <c r="L2126">
        <v>284.46769999999998</v>
      </c>
      <c r="M2126">
        <v>-0.99944049999999995</v>
      </c>
      <c r="N2126">
        <v>-9.802491E-3</v>
      </c>
      <c r="O2126">
        <v>3.1979760000000003E-2</v>
      </c>
      <c r="P2126">
        <v>-0.98678829999999995</v>
      </c>
      <c r="Q2126">
        <v>0.1603599</v>
      </c>
      <c r="R2126">
        <v>-2.3100140000000002E-2</v>
      </c>
      <c r="S2126">
        <v>-3.066284</v>
      </c>
      <c r="T2126">
        <v>-0.1837916</v>
      </c>
      <c r="U2126">
        <v>-0.1599121</v>
      </c>
      <c r="V2126">
        <v>-5.512272E-2</v>
      </c>
      <c r="W2126">
        <v>0.16985989999999901</v>
      </c>
      <c r="X2126">
        <v>0.9839253</v>
      </c>
      <c r="Y2126">
        <v>-8.3777550000000006E-2</v>
      </c>
      <c r="Z2126">
        <v>-4.5191470000000003E-3</v>
      </c>
      <c r="AA2126">
        <v>0.99647419999999998</v>
      </c>
      <c r="AB2126">
        <v>32</v>
      </c>
      <c r="AC2126">
        <v>-18.357099999999999</v>
      </c>
      <c r="AD2126">
        <v>-1.1108144512160001</v>
      </c>
      <c r="AE2126">
        <v>-0.97149999999999104</v>
      </c>
      <c r="AF2126">
        <v>-1.5524183627435699</v>
      </c>
      <c r="AG2126">
        <v>-1.1108144512160001</v>
      </c>
      <c r="AH2126">
        <v>18.250001736962702</v>
      </c>
      <c r="AI2126">
        <v>93.470595763339503</v>
      </c>
      <c r="AJ2126">
        <v>94.862104195842704</v>
      </c>
      <c r="AK2126">
        <v>18.349563344045901</v>
      </c>
      <c r="AL2126">
        <v>80.2203260363504</v>
      </c>
      <c r="AM2126">
        <v>93.206545455343502</v>
      </c>
      <c r="AN2126">
        <v>0.99999994793414704</v>
      </c>
    </row>
    <row r="2127" spans="1:40" x14ac:dyDescent="0.25">
      <c r="A2127" t="str">
        <f>"20190304155636627"</f>
        <v>20190304155636627</v>
      </c>
      <c r="B2127" t="str">
        <f>"1551686196617133"</f>
        <v>1551686196617133</v>
      </c>
      <c r="C2127" t="s">
        <v>40</v>
      </c>
      <c r="D2127">
        <v>4.7328060000000001</v>
      </c>
      <c r="E2127">
        <v>0.4879134</v>
      </c>
      <c r="F2127" t="s">
        <v>64</v>
      </c>
      <c r="G2127">
        <v>-317.08089999999999</v>
      </c>
      <c r="H2127" s="1">
        <v>5.45724299999999E-6</v>
      </c>
      <c r="I2127">
        <v>283.47039999999998</v>
      </c>
      <c r="J2127">
        <v>-299.20729999999998</v>
      </c>
      <c r="K2127">
        <v>1.1108990000000001</v>
      </c>
      <c r="L2127">
        <v>284.4751</v>
      </c>
      <c r="M2127">
        <v>-0.99948219999999999</v>
      </c>
      <c r="N2127">
        <v>-9.8081550000000007E-3</v>
      </c>
      <c r="O2127">
        <v>3.0651830000000001E-2</v>
      </c>
      <c r="P2127">
        <v>-0.98676450000000004</v>
      </c>
      <c r="Q2127">
        <v>0.16030259999999999</v>
      </c>
      <c r="R2127">
        <v>-2.4475730000000001E-2</v>
      </c>
      <c r="S2127">
        <v>-3.0667420000000001</v>
      </c>
      <c r="T2127">
        <v>-0.1877365</v>
      </c>
      <c r="U2127">
        <v>-0.16854859999999999</v>
      </c>
      <c r="V2127">
        <v>-5.5219030000000002E-2</v>
      </c>
      <c r="W2127">
        <v>0.16979739999999999</v>
      </c>
      <c r="X2127">
        <v>0.98393079999999999</v>
      </c>
      <c r="Y2127">
        <v>-8.523356E-2</v>
      </c>
      <c r="Z2127">
        <v>-4.596503E-3</v>
      </c>
      <c r="AA2127">
        <v>0.99635039999999997</v>
      </c>
      <c r="AB2127">
        <v>32</v>
      </c>
      <c r="AC2127">
        <v>-17.8736</v>
      </c>
      <c r="AD2127">
        <v>-1.1108935427569999</v>
      </c>
      <c r="AE2127">
        <v>-1.0047000000000099</v>
      </c>
      <c r="AF2127">
        <v>-1.54615871604766</v>
      </c>
      <c r="AG2127">
        <v>-1.1108935427569999</v>
      </c>
      <c r="AH2127">
        <v>17.7659901815049</v>
      </c>
      <c r="AI2127">
        <v>93.564563424545895</v>
      </c>
      <c r="AJ2127">
        <v>94.973869778838406</v>
      </c>
      <c r="AK2127">
        <v>17.867711055641099</v>
      </c>
      <c r="AL2127">
        <v>80.223960902387802</v>
      </c>
      <c r="AM2127">
        <v>93.212118268279994</v>
      </c>
      <c r="AN2127">
        <v>1.0000000587547599</v>
      </c>
    </row>
    <row r="2128" spans="1:40" x14ac:dyDescent="0.25">
      <c r="A2128" t="str">
        <f>"20190304155636641"</f>
        <v>20190304155636641</v>
      </c>
      <c r="B2128" t="str">
        <f>"1551686196636650"</f>
        <v>1551686196636650</v>
      </c>
      <c r="C2128" t="s">
        <v>40</v>
      </c>
      <c r="D2128">
        <v>4.7492830000000001</v>
      </c>
      <c r="E2128">
        <v>0.48756670000000002</v>
      </c>
      <c r="F2128" t="s">
        <v>64</v>
      </c>
      <c r="G2128">
        <v>-316.85610000000003</v>
      </c>
      <c r="H2128" s="1">
        <v>5.3580820000000003E-6</v>
      </c>
      <c r="I2128">
        <v>283.46449999999999</v>
      </c>
      <c r="J2128">
        <v>-299.40100000000001</v>
      </c>
      <c r="K2128">
        <v>1.1109530000000001</v>
      </c>
      <c r="L2128">
        <v>284.48009999999999</v>
      </c>
      <c r="M2128">
        <v>-0.99951219999999996</v>
      </c>
      <c r="N2128">
        <v>-9.8123489999999997E-3</v>
      </c>
      <c r="O2128">
        <v>2.9653840000000001E-2</v>
      </c>
      <c r="P2128">
        <v>-0.98674640000000002</v>
      </c>
      <c r="Q2128">
        <v>0.1602817</v>
      </c>
      <c r="R2128">
        <v>-2.5335860000000002E-2</v>
      </c>
      <c r="S2128">
        <v>-3.067291</v>
      </c>
      <c r="T2128">
        <v>-0.1930685</v>
      </c>
      <c r="U2128">
        <v>-0.1756287</v>
      </c>
      <c r="V2128">
        <v>-5.5116520000000002E-2</v>
      </c>
      <c r="W2128">
        <v>0.16977400000000001</v>
      </c>
      <c r="X2128">
        <v>0.9839405</v>
      </c>
      <c r="Y2128">
        <v>-8.650745E-2</v>
      </c>
      <c r="Z2128">
        <v>-4.7158199999999999E-3</v>
      </c>
      <c r="AA2128">
        <v>0.99624000000000001</v>
      </c>
      <c r="AB2128">
        <v>32</v>
      </c>
      <c r="AC2128">
        <v>-17.455100000000002</v>
      </c>
      <c r="AD2128">
        <v>-1.110947641918</v>
      </c>
      <c r="AE2128">
        <v>-1.0156000000000001</v>
      </c>
      <c r="AF2128">
        <v>-1.5266257025116801</v>
      </c>
      <c r="AG2128">
        <v>-1.110947641918</v>
      </c>
      <c r="AH2128">
        <v>17.347271599672698</v>
      </c>
      <c r="AI2128">
        <v>93.650242036964798</v>
      </c>
      <c r="AJ2128">
        <v>95.029289246189805</v>
      </c>
      <c r="AK2128">
        <v>17.449716979122201</v>
      </c>
      <c r="AL2128">
        <v>80.225320546550407</v>
      </c>
      <c r="AM2128">
        <v>93.206136121315893</v>
      </c>
      <c r="AN2128">
        <v>0.99999997469657997</v>
      </c>
    </row>
    <row r="2129" spans="1:40" x14ac:dyDescent="0.25">
      <c r="A2129" t="str">
        <f>"20190304155636655"</f>
        <v>20190304155636655</v>
      </c>
      <c r="B2129" t="str">
        <f>"1551686196646410"</f>
        <v>1551686196646410</v>
      </c>
      <c r="C2129" t="s">
        <v>40</v>
      </c>
      <c r="D2129">
        <v>4.7461339999999996</v>
      </c>
      <c r="E2129">
        <v>0.4874425</v>
      </c>
      <c r="F2129" t="s">
        <v>64</v>
      </c>
      <c r="G2129">
        <v>-316.67500000000001</v>
      </c>
      <c r="H2129" s="1">
        <v>5.2781710000000004E-6</v>
      </c>
      <c r="I2129">
        <v>283.45999999999998</v>
      </c>
      <c r="J2129">
        <v>-299.59890000000001</v>
      </c>
      <c r="K2129">
        <v>1.1110089999999999</v>
      </c>
      <c r="L2129">
        <v>284.48500000000001</v>
      </c>
      <c r="M2129">
        <v>-0.99954270000000001</v>
      </c>
      <c r="N2129">
        <v>-9.8166269999999996E-3</v>
      </c>
      <c r="O2129">
        <v>2.860445E-2</v>
      </c>
      <c r="P2129">
        <v>-0.98671469999999994</v>
      </c>
      <c r="Q2129">
        <v>0.16031379999999901</v>
      </c>
      <c r="R2129">
        <v>-2.6342549999999999E-2</v>
      </c>
      <c r="S2129">
        <v>-3.067688</v>
      </c>
      <c r="T2129">
        <v>-0.19729279999999999</v>
      </c>
      <c r="U2129">
        <v>-0.18115229999999999</v>
      </c>
      <c r="V2129">
        <v>-5.5110609999999997E-2</v>
      </c>
      <c r="W2129">
        <v>0.1698026</v>
      </c>
      <c r="X2129">
        <v>0.98393600000000003</v>
      </c>
      <c r="Y2129">
        <v>-8.7231520000000007E-2</v>
      </c>
      <c r="Z2129">
        <v>-4.784857E-3</v>
      </c>
      <c r="AA2129">
        <v>0.99617659999999997</v>
      </c>
      <c r="AB2129">
        <v>32</v>
      </c>
      <c r="AC2129">
        <v>-17.076099999999901</v>
      </c>
      <c r="AD2129">
        <v>-1.1110037218290001</v>
      </c>
      <c r="AE2129">
        <v>-1.0250000000000301</v>
      </c>
      <c r="AF2129">
        <v>-1.50670142939142</v>
      </c>
      <c r="AG2129">
        <v>-1.1110037218290001</v>
      </c>
      <c r="AH2129">
        <v>16.968221467318699</v>
      </c>
      <c r="AI2129">
        <v>93.7314857088883</v>
      </c>
      <c r="AJ2129">
        <v>95.074298035765906</v>
      </c>
      <c r="AK2129">
        <v>17.071175068847001</v>
      </c>
      <c r="AL2129">
        <v>80.223658756189707</v>
      </c>
      <c r="AM2129">
        <v>93.205807683843105</v>
      </c>
      <c r="AN2129">
        <v>1.0000000771986599</v>
      </c>
    </row>
    <row r="2130" spans="1:40" x14ac:dyDescent="0.25">
      <c r="A2130" t="str">
        <f>"20190304155636673"</f>
        <v>20190304155636673</v>
      </c>
      <c r="B2130" t="str">
        <f>"1551686196666907"</f>
        <v>1551686196666907</v>
      </c>
      <c r="C2130" t="s">
        <v>40</v>
      </c>
      <c r="D2130">
        <v>4.7258930000000001</v>
      </c>
      <c r="E2130">
        <v>0.48704150000000002</v>
      </c>
      <c r="F2130" t="s">
        <v>64</v>
      </c>
      <c r="G2130">
        <v>-316.7106</v>
      </c>
      <c r="H2130" s="1">
        <v>5.294858E-6</v>
      </c>
      <c r="I2130">
        <v>283.44959999999998</v>
      </c>
      <c r="J2130">
        <v>-299.86160000000001</v>
      </c>
      <c r="K2130">
        <v>1.1110869999999999</v>
      </c>
      <c r="L2130">
        <v>284.49119999999999</v>
      </c>
      <c r="M2130">
        <v>-0.99958320000000001</v>
      </c>
      <c r="N2130">
        <v>-9.8223019999999998E-3</v>
      </c>
      <c r="O2130">
        <v>2.7151560000000002E-2</v>
      </c>
      <c r="P2130">
        <v>-0.98661600000000005</v>
      </c>
      <c r="Q2130">
        <v>0.1606813</v>
      </c>
      <c r="R2130">
        <v>-2.7760590000000002E-2</v>
      </c>
      <c r="S2130">
        <v>-3.067841</v>
      </c>
      <c r="T2130">
        <v>-0.19918420000000001</v>
      </c>
      <c r="U2130">
        <v>-0.18563840000000001</v>
      </c>
      <c r="V2130">
        <v>-5.5124470000000002E-2</v>
      </c>
      <c r="W2130">
        <v>0.17016529999999999</v>
      </c>
      <c r="X2130">
        <v>0.98387250000000004</v>
      </c>
      <c r="Y2130">
        <v>-8.7229710000000002E-2</v>
      </c>
      <c r="Z2130">
        <v>-4.748932E-3</v>
      </c>
      <c r="AA2130">
        <v>0.99617690000000003</v>
      </c>
      <c r="AB2130">
        <v>32</v>
      </c>
      <c r="AC2130">
        <v>-16.848999999999901</v>
      </c>
      <c r="AD2130">
        <v>-1.1110817051420001</v>
      </c>
      <c r="AE2130">
        <v>-1.0416000000000101</v>
      </c>
      <c r="AF2130">
        <v>-1.49225019103844</v>
      </c>
      <c r="AG2130">
        <v>-1.1110817051420001</v>
      </c>
      <c r="AH2130">
        <v>16.741979189930301</v>
      </c>
      <c r="AI2130">
        <v>93.781918271337503</v>
      </c>
      <c r="AJ2130">
        <v>95.093441535797197</v>
      </c>
      <c r="AK2130">
        <v>16.845034294539602</v>
      </c>
      <c r="AL2130">
        <v>80.202570078472107</v>
      </c>
      <c r="AM2130">
        <v>93.206818769346299</v>
      </c>
      <c r="AN2130">
        <v>1.0000000163865601</v>
      </c>
    </row>
    <row r="2131" spans="1:40" x14ac:dyDescent="0.25">
      <c r="A2131" t="str">
        <f>"20190304155636688"</f>
        <v>20190304155636688</v>
      </c>
      <c r="B2131" t="str">
        <f>"1551686196676666"</f>
        <v>1551686196676666</v>
      </c>
      <c r="C2131" t="s">
        <v>40</v>
      </c>
      <c r="D2131">
        <v>4.7405390000000001</v>
      </c>
      <c r="E2131">
        <v>0.48691909999999999</v>
      </c>
      <c r="F2131" t="s">
        <v>64</v>
      </c>
      <c r="G2131">
        <v>-316.80329999999998</v>
      </c>
      <c r="H2131" s="1">
        <v>5.3381020000000002E-6</v>
      </c>
      <c r="I2131">
        <v>283.42509999999999</v>
      </c>
      <c r="J2131">
        <v>-300.0729</v>
      </c>
      <c r="K2131">
        <v>1.111143</v>
      </c>
      <c r="L2131">
        <v>284.49579999999997</v>
      </c>
      <c r="M2131">
        <v>-0.99961529999999998</v>
      </c>
      <c r="N2131">
        <v>-9.8268780000000007E-3</v>
      </c>
      <c r="O2131">
        <v>2.5940629999999999E-2</v>
      </c>
      <c r="P2131">
        <v>-0.98652609999999996</v>
      </c>
      <c r="Q2131">
        <v>0.16102540000000001</v>
      </c>
      <c r="R2131">
        <v>-2.893426E-2</v>
      </c>
      <c r="S2131">
        <v>-3.0680239999999999</v>
      </c>
      <c r="T2131">
        <v>-0.2012089</v>
      </c>
      <c r="U2131">
        <v>-0.19305420000000001</v>
      </c>
      <c r="V2131">
        <v>-5.5125399999999998E-2</v>
      </c>
      <c r="W2131">
        <v>0.17050599999999999</v>
      </c>
      <c r="X2131">
        <v>0.98381350000000001</v>
      </c>
      <c r="Y2131">
        <v>-8.8412060000000001E-2</v>
      </c>
      <c r="Z2131">
        <v>-4.7721150000000004E-3</v>
      </c>
      <c r="AA2131">
        <v>0.99607250000000003</v>
      </c>
      <c r="AB2131">
        <v>32</v>
      </c>
      <c r="AC2131">
        <v>-16.7303999999999</v>
      </c>
      <c r="AD2131">
        <v>-1.111137661898</v>
      </c>
      <c r="AE2131">
        <v>-1.07069999999998</v>
      </c>
      <c r="AF2131">
        <v>-1.4977781419309399</v>
      </c>
      <c r="AG2131">
        <v>-1.111137661898</v>
      </c>
      <c r="AH2131">
        <v>16.623966595080201</v>
      </c>
      <c r="AI2131">
        <v>93.808552523787199</v>
      </c>
      <c r="AJ2131">
        <v>95.148307027777804</v>
      </c>
      <c r="AK2131">
        <v>16.728246519599001</v>
      </c>
      <c r="AL2131">
        <v>80.182760278300805</v>
      </c>
      <c r="AM2131">
        <v>93.207064675401298</v>
      </c>
      <c r="AN2131">
        <v>1.0000000542717</v>
      </c>
    </row>
    <row r="2132" spans="1:40" x14ac:dyDescent="0.25">
      <c r="A2132" t="str">
        <f>"20190304155636707"</f>
        <v>20190304155636707</v>
      </c>
      <c r="B2132" t="str">
        <f>"1551686196697163"</f>
        <v>1551686196697163</v>
      </c>
      <c r="C2132" t="s">
        <v>40</v>
      </c>
      <c r="D2132">
        <v>4.7475969999999998</v>
      </c>
      <c r="E2132">
        <v>0.48663250000000002</v>
      </c>
      <c r="F2132" t="s">
        <v>64</v>
      </c>
      <c r="G2132">
        <v>-316.9873</v>
      </c>
      <c r="H2132" s="1">
        <v>5.4211630000000003E-6</v>
      </c>
      <c r="I2132">
        <v>283.4083</v>
      </c>
      <c r="J2132">
        <v>-300.35629999999998</v>
      </c>
      <c r="K2132">
        <v>1.111205</v>
      </c>
      <c r="L2132">
        <v>284.50150000000002</v>
      </c>
      <c r="M2132">
        <v>-0.99965729999999997</v>
      </c>
      <c r="N2132">
        <v>-9.8328909999999999E-3</v>
      </c>
      <c r="O2132">
        <v>2.42613E-2</v>
      </c>
      <c r="P2132">
        <v>-0.98642470000000004</v>
      </c>
      <c r="Q2132">
        <v>0.16130359999999999</v>
      </c>
      <c r="R2132">
        <v>-3.0786899999999999E-2</v>
      </c>
      <c r="S2132">
        <v>-3.068085</v>
      </c>
      <c r="T2132">
        <v>-0.20154849999999999</v>
      </c>
      <c r="U2132">
        <v>-0.19726560000000001</v>
      </c>
      <c r="V2132">
        <v>-5.5348370000000001E-2</v>
      </c>
      <c r="W2132">
        <v>0.17077989999999901</v>
      </c>
      <c r="X2132">
        <v>0.9837534</v>
      </c>
      <c r="Y2132">
        <v>-8.8101810000000003E-2</v>
      </c>
      <c r="Z2132">
        <v>-4.6743820000000004E-3</v>
      </c>
      <c r="AA2132">
        <v>0.99610050000000006</v>
      </c>
      <c r="AB2132">
        <v>32</v>
      </c>
      <c r="AC2132">
        <v>-16.631</v>
      </c>
      <c r="AD2132">
        <v>-1.1111995788369999</v>
      </c>
      <c r="AE2132">
        <v>-1.0932000000000199</v>
      </c>
      <c r="AF2132">
        <v>-1.4897653161709801</v>
      </c>
      <c r="AG2132">
        <v>-1.1111995788369999</v>
      </c>
      <c r="AH2132">
        <v>16.5261213293483</v>
      </c>
      <c r="AI2132">
        <v>93.831230908661297</v>
      </c>
      <c r="AJ2132">
        <v>95.1510678632782</v>
      </c>
      <c r="AK2132">
        <v>16.6302991973571</v>
      </c>
      <c r="AL2132">
        <v>80.166832667668999</v>
      </c>
      <c r="AM2132">
        <v>93.220205602694193</v>
      </c>
      <c r="AN2132">
        <v>0.99999998415861302</v>
      </c>
    </row>
    <row r="2133" spans="1:40" x14ac:dyDescent="0.25">
      <c r="A2133" t="str">
        <f>"20190304155636727"</f>
        <v>20190304155636727</v>
      </c>
      <c r="B2133" t="str">
        <f>"1551686196716683"</f>
        <v>1551686196716683</v>
      </c>
      <c r="C2133" t="s">
        <v>40</v>
      </c>
      <c r="D2133">
        <v>4.7460940000000003</v>
      </c>
      <c r="E2133">
        <v>0.48639710000000003</v>
      </c>
      <c r="F2133" t="s">
        <v>64</v>
      </c>
      <c r="G2133">
        <v>-317.19690000000003</v>
      </c>
      <c r="H2133" s="1">
        <v>5.5171650000000004E-6</v>
      </c>
      <c r="I2133">
        <v>283.37360000000001</v>
      </c>
      <c r="J2133">
        <v>-300.649</v>
      </c>
      <c r="K2133">
        <v>1.111267</v>
      </c>
      <c r="L2133">
        <v>284.50689999999997</v>
      </c>
      <c r="M2133">
        <v>-0.99969909999999995</v>
      </c>
      <c r="N2133">
        <v>-9.8390370000000001E-3</v>
      </c>
      <c r="O2133">
        <v>2.246979E-2</v>
      </c>
      <c r="P2133">
        <v>-0.98635740000000005</v>
      </c>
      <c r="Q2133">
        <v>0.16133629999999999</v>
      </c>
      <c r="R2133">
        <v>-3.2706829999999999E-2</v>
      </c>
      <c r="S2133">
        <v>-3.0679630000000002</v>
      </c>
      <c r="T2133">
        <v>-0.20243449999999999</v>
      </c>
      <c r="U2133">
        <v>-0.20547489999999999</v>
      </c>
      <c r="V2133">
        <v>-5.5526350000000002E-2</v>
      </c>
      <c r="W2133">
        <v>0.17080909999999999</v>
      </c>
      <c r="X2133">
        <v>0.98373829999999995</v>
      </c>
      <c r="Y2133">
        <v>-8.8971649999999999E-2</v>
      </c>
      <c r="Z2133">
        <v>-4.6265569999999999E-3</v>
      </c>
      <c r="AA2133">
        <v>0.9960234</v>
      </c>
      <c r="AB2133">
        <v>32</v>
      </c>
      <c r="AC2133">
        <v>-16.547899999999998</v>
      </c>
      <c r="AD2133">
        <v>-1.111261482835</v>
      </c>
      <c r="AE2133">
        <v>-1.13329999999996</v>
      </c>
      <c r="AF2133">
        <v>-1.4981350932905799</v>
      </c>
      <c r="AG2133">
        <v>-1.111261482835</v>
      </c>
      <c r="AH2133">
        <v>16.444442237169898</v>
      </c>
      <c r="AI2133">
        <v>93.850087166136504</v>
      </c>
      <c r="AJ2133">
        <v>95.205437703251704</v>
      </c>
      <c r="AK2133">
        <v>16.549893997624199</v>
      </c>
      <c r="AL2133">
        <v>80.165134675643401</v>
      </c>
      <c r="AM2133">
        <v>93.2305881845339</v>
      </c>
      <c r="AN2133">
        <v>0.99999998353701103</v>
      </c>
    </row>
    <row r="2134" spans="1:40" x14ac:dyDescent="0.25">
      <c r="A2134" t="str">
        <f>"20190304155636742"</f>
        <v>20190304155636742</v>
      </c>
      <c r="B2134" t="str">
        <f>"1551686196737178"</f>
        <v>1551686196737178</v>
      </c>
      <c r="C2134" t="s">
        <v>40</v>
      </c>
      <c r="D2134">
        <v>4.7368309999999996</v>
      </c>
      <c r="E2134">
        <v>0.48625950000000001</v>
      </c>
      <c r="F2134" t="s">
        <v>64</v>
      </c>
      <c r="G2134">
        <v>-317.32380000000001</v>
      </c>
      <c r="H2134" s="1">
        <v>5.5755989999999901E-6</v>
      </c>
      <c r="I2134">
        <v>283.34879999999998</v>
      </c>
      <c r="J2134">
        <v>-300.84359999999998</v>
      </c>
      <c r="K2134">
        <v>1.1113109999999999</v>
      </c>
      <c r="L2134">
        <v>284.51010000000002</v>
      </c>
      <c r="M2134">
        <v>-0.99972589999999995</v>
      </c>
      <c r="N2134">
        <v>-9.8430099999999993E-3</v>
      </c>
      <c r="O2134">
        <v>2.1246859999999999E-2</v>
      </c>
      <c r="P2134">
        <v>-0.98627759999999998</v>
      </c>
      <c r="Q2134">
        <v>0.16158349999999999</v>
      </c>
      <c r="R2134">
        <v>-3.387714E-2</v>
      </c>
      <c r="S2134">
        <v>-3.0678709999999998</v>
      </c>
      <c r="T2134">
        <v>-0.2044523</v>
      </c>
      <c r="U2134">
        <v>-0.2130737</v>
      </c>
      <c r="V2134">
        <v>-5.5506109999999997E-2</v>
      </c>
      <c r="W2134">
        <v>0.17105519999999999</v>
      </c>
      <c r="X2134">
        <v>0.98369669999999998</v>
      </c>
      <c r="Y2134">
        <v>-9.0204679999999995E-2</v>
      </c>
      <c r="Z2134">
        <v>-4.6480849999999997E-3</v>
      </c>
      <c r="AA2134">
        <v>0.99591240000000003</v>
      </c>
      <c r="AB2134">
        <v>32</v>
      </c>
      <c r="AC2134">
        <v>-16.4802</v>
      </c>
      <c r="AD2134">
        <v>-1.1113054244009899</v>
      </c>
      <c r="AE2134">
        <v>-1.16130000000003</v>
      </c>
      <c r="AF2134">
        <v>-1.50440028022976</v>
      </c>
      <c r="AG2134">
        <v>-1.1113054244009899</v>
      </c>
      <c r="AH2134">
        <v>16.377699884718002</v>
      </c>
      <c r="AI2134">
        <v>93.865618388941996</v>
      </c>
      <c r="AJ2134">
        <v>95.248269150025095</v>
      </c>
      <c r="AK2134">
        <v>16.484152191221401</v>
      </c>
      <c r="AL2134">
        <v>80.150823764569793</v>
      </c>
      <c r="AM2134">
        <v>93.229549371547606</v>
      </c>
      <c r="AN2134">
        <v>1.00000000364263</v>
      </c>
    </row>
    <row r="2135" spans="1:40" x14ac:dyDescent="0.25">
      <c r="A2135" t="str">
        <f>"20190304155636762"</f>
        <v>20190304155636762</v>
      </c>
      <c r="B2135" t="str">
        <f>"1551686196756698"</f>
        <v>1551686196756698</v>
      </c>
      <c r="C2135" t="s">
        <v>40</v>
      </c>
      <c r="D2135">
        <v>4.7342190000000004</v>
      </c>
      <c r="E2135">
        <v>0.48611680000000002</v>
      </c>
      <c r="F2135" t="s">
        <v>64</v>
      </c>
      <c r="G2135">
        <v>-317.4443</v>
      </c>
      <c r="H2135" s="1">
        <v>5.6304579999999998E-6</v>
      </c>
      <c r="I2135">
        <v>283.33260000000001</v>
      </c>
      <c r="J2135">
        <v>-301.14960000000002</v>
      </c>
      <c r="K2135">
        <v>1.111361</v>
      </c>
      <c r="L2135">
        <v>284.5147</v>
      </c>
      <c r="M2135">
        <v>-0.99976540000000003</v>
      </c>
      <c r="N2135">
        <v>-9.8491099999999995E-3</v>
      </c>
      <c r="O2135">
        <v>1.9296199999999999E-2</v>
      </c>
      <c r="P2135">
        <v>-0.98622370000000004</v>
      </c>
      <c r="Q2135">
        <v>0.16146669999999999</v>
      </c>
      <c r="R2135">
        <v>-3.5935189999999999E-2</v>
      </c>
      <c r="S2135">
        <v>-3.0679020000000001</v>
      </c>
      <c r="T2135">
        <v>-0.20537569999999999</v>
      </c>
      <c r="U2135">
        <v>-0.2176208</v>
      </c>
      <c r="V2135">
        <v>-5.5661120000000001E-2</v>
      </c>
      <c r="W2135">
        <v>0.1709368</v>
      </c>
      <c r="X2135">
        <v>0.98370849999999999</v>
      </c>
      <c r="Y2135">
        <v>-8.9731809999999995E-2</v>
      </c>
      <c r="Z2135">
        <v>-4.5386259999999996E-3</v>
      </c>
      <c r="AA2135">
        <v>0.99595560000000005</v>
      </c>
      <c r="AB2135">
        <v>32</v>
      </c>
      <c r="AC2135">
        <v>-16.294699999999899</v>
      </c>
      <c r="AD2135">
        <v>-1.111355369542</v>
      </c>
      <c r="AE2135">
        <v>-1.1820999999999899</v>
      </c>
      <c r="AF2135">
        <v>-1.48942876696073</v>
      </c>
      <c r="AG2135">
        <v>-1.111355369542</v>
      </c>
      <c r="AH2135">
        <v>16.193919527766099</v>
      </c>
      <c r="AI2135">
        <v>93.909486218727906</v>
      </c>
      <c r="AJ2135">
        <v>95.254970071307994</v>
      </c>
      <c r="AK2135">
        <v>16.3002005656687</v>
      </c>
      <c r="AL2135">
        <v>80.157708771518102</v>
      </c>
      <c r="AM2135">
        <v>93.238510486669398</v>
      </c>
      <c r="AN2135">
        <v>0.999999981423071</v>
      </c>
    </row>
    <row r="2136" spans="1:40" x14ac:dyDescent="0.25">
      <c r="A2136" t="str">
        <f>"20190304155636785"</f>
        <v>20190304155636785</v>
      </c>
      <c r="B2136" t="str">
        <f>"1551686196777385"</f>
        <v>1551686196777385</v>
      </c>
      <c r="C2136" t="s">
        <v>40</v>
      </c>
      <c r="D2136">
        <v>4.7589350000000001</v>
      </c>
      <c r="E2136">
        <v>0.48615079999999999</v>
      </c>
      <c r="F2136" t="s">
        <v>64</v>
      </c>
      <c r="G2136">
        <v>-317.59230000000002</v>
      </c>
      <c r="H2136" s="1">
        <v>5.6980280000000003E-6</v>
      </c>
      <c r="I2136">
        <v>283.31029999999998</v>
      </c>
      <c r="J2136">
        <v>-301.46980000000002</v>
      </c>
      <c r="K2136">
        <v>1.1114029999999999</v>
      </c>
      <c r="L2136">
        <v>284.51889999999997</v>
      </c>
      <c r="M2136">
        <v>-0.99980309999999994</v>
      </c>
      <c r="N2136">
        <v>-9.8553319999999996E-3</v>
      </c>
      <c r="O2136">
        <v>1.7222169999999998E-2</v>
      </c>
      <c r="P2136">
        <v>-0.98623249999999996</v>
      </c>
      <c r="Q2136">
        <v>0.1610066</v>
      </c>
      <c r="R2136">
        <v>-3.7713629999999998E-2</v>
      </c>
      <c r="S2136">
        <v>-3.0676269999999999</v>
      </c>
      <c r="T2136">
        <v>-0.2073393</v>
      </c>
      <c r="U2136">
        <v>-0.22470090000000001</v>
      </c>
      <c r="V2136">
        <v>-5.5411349999999998E-2</v>
      </c>
      <c r="W2136">
        <v>0.1704792</v>
      </c>
      <c r="X2136">
        <v>0.98380199999999995</v>
      </c>
      <c r="Y2136">
        <v>-8.995686E-2</v>
      </c>
      <c r="Z2136">
        <v>-4.4689909999999899E-3</v>
      </c>
      <c r="AA2136">
        <v>0.99593560000000003</v>
      </c>
      <c r="AB2136">
        <v>32</v>
      </c>
      <c r="AC2136">
        <v>-16.122499999999999</v>
      </c>
      <c r="AD2136">
        <v>-1.111397301972</v>
      </c>
      <c r="AE2136">
        <v>-1.2085999999999899</v>
      </c>
      <c r="AF2136">
        <v>-1.47910924847074</v>
      </c>
      <c r="AG2136">
        <v>-1.111397301972</v>
      </c>
      <c r="AH2136">
        <v>16.023574788452201</v>
      </c>
      <c r="AI2136">
        <v>93.950945073632795</v>
      </c>
      <c r="AJ2136">
        <v>95.273931544419696</v>
      </c>
      <c r="AK2136">
        <v>16.130031529196199</v>
      </c>
      <c r="AL2136">
        <v>80.184317837762194</v>
      </c>
      <c r="AM2136">
        <v>93.223703173600398</v>
      </c>
      <c r="AN2136">
        <v>0.99999997527272999</v>
      </c>
    </row>
    <row r="2137" spans="1:40" x14ac:dyDescent="0.25">
      <c r="A2137" t="str">
        <f>"20190304155636796"</f>
        <v>20190304155636796</v>
      </c>
      <c r="B2137" t="str">
        <f>"1551686196787145"</f>
        <v>1551686196787145</v>
      </c>
      <c r="C2137" t="s">
        <v>40</v>
      </c>
      <c r="D2137">
        <v>4.7401819999999999</v>
      </c>
      <c r="E2137">
        <v>0.507826</v>
      </c>
      <c r="F2137" t="s">
        <v>64</v>
      </c>
      <c r="G2137">
        <v>-317.79070000000002</v>
      </c>
      <c r="H2137" s="1">
        <v>5.7870900000000002E-6</v>
      </c>
      <c r="I2137">
        <v>283.29790000000003</v>
      </c>
      <c r="J2137">
        <v>-301.649</v>
      </c>
      <c r="K2137">
        <v>1.1114170000000001</v>
      </c>
      <c r="L2137">
        <v>284.52089999999998</v>
      </c>
      <c r="M2137">
        <v>-0.99982260000000001</v>
      </c>
      <c r="N2137">
        <v>-9.8586360000000005E-3</v>
      </c>
      <c r="O2137">
        <v>1.605198E-2</v>
      </c>
      <c r="P2137">
        <v>-0.9861953</v>
      </c>
      <c r="Q2137">
        <v>0.16098779999999999</v>
      </c>
      <c r="R2137">
        <v>-3.875062E-2</v>
      </c>
      <c r="S2137">
        <v>-3.0672000000000001</v>
      </c>
      <c r="T2137">
        <v>-0.20886669999999999</v>
      </c>
      <c r="U2137">
        <v>-0.22946169999999999</v>
      </c>
      <c r="V2137">
        <v>-5.5302209999999997E-2</v>
      </c>
      <c r="W2137">
        <v>0.1704618</v>
      </c>
      <c r="X2137">
        <v>0.9838112</v>
      </c>
      <c r="Y2137">
        <v>-9.0335940000000003E-2</v>
      </c>
      <c r="Z2137">
        <v>-4.4470580000000003E-3</v>
      </c>
      <c r="AA2137">
        <v>0.99590140000000005</v>
      </c>
      <c r="AB2137">
        <v>32</v>
      </c>
      <c r="AC2137">
        <v>-16.1417</v>
      </c>
      <c r="AD2137">
        <v>-1.11141121291</v>
      </c>
      <c r="AE2137">
        <v>-1.2229999999999499</v>
      </c>
      <c r="AF2137">
        <v>-1.4750084412284901</v>
      </c>
      <c r="AG2137">
        <v>-1.11141121291</v>
      </c>
      <c r="AH2137">
        <v>16.0443587214871</v>
      </c>
      <c r="AI2137">
        <v>93.946027213029694</v>
      </c>
      <c r="AJ2137">
        <v>95.252616857329002</v>
      </c>
      <c r="AK2137">
        <v>16.1503043800925</v>
      </c>
      <c r="AL2137">
        <v>80.185330021785404</v>
      </c>
      <c r="AM2137">
        <v>93.217336991534196</v>
      </c>
      <c r="AN2137">
        <v>1.00000001846778</v>
      </c>
    </row>
    <row r="2138" spans="1:40" x14ac:dyDescent="0.25">
      <c r="A2138" t="str">
        <f>"20190304155636808"</f>
        <v>20190304155636808</v>
      </c>
      <c r="B2138" t="str">
        <f>"1551686196796905"</f>
        <v>1551686196796905</v>
      </c>
      <c r="C2138" t="s">
        <v>40</v>
      </c>
      <c r="D2138">
        <v>4.7457440000000002</v>
      </c>
      <c r="E2138">
        <v>0.51225810000000005</v>
      </c>
      <c r="F2138" t="s">
        <v>55</v>
      </c>
      <c r="G2138">
        <v>-321.56020000000001</v>
      </c>
      <c r="H2138" s="1">
        <v>-6.854518E-7</v>
      </c>
      <c r="I2138">
        <v>284.13409999999999</v>
      </c>
      <c r="J2138">
        <v>-301.8202</v>
      </c>
      <c r="K2138">
        <v>1.1114310000000001</v>
      </c>
      <c r="L2138">
        <v>284.52269999999999</v>
      </c>
      <c r="M2138">
        <v>-0.99983999999999995</v>
      </c>
      <c r="N2138">
        <v>-9.8616740000000008E-3</v>
      </c>
      <c r="O2138">
        <v>1.4931140000000001E-2</v>
      </c>
      <c r="P2138">
        <v>-0.98619590000000001</v>
      </c>
      <c r="Q2138">
        <v>0.16076019999999999</v>
      </c>
      <c r="R2138">
        <v>-3.967234E-2</v>
      </c>
      <c r="S2138">
        <v>-3.067596</v>
      </c>
      <c r="T2138">
        <v>-0.17122970000000001</v>
      </c>
      <c r="U2138">
        <v>-5.960083E-2</v>
      </c>
      <c r="V2138">
        <v>-5.512471E-2</v>
      </c>
      <c r="W2138">
        <v>0.17023629999999901</v>
      </c>
      <c r="X2138">
        <v>0.98386019999999996</v>
      </c>
      <c r="Y2138">
        <v>-3.4273850000000002E-2</v>
      </c>
      <c r="Z2138">
        <v>-1.810482E-3</v>
      </c>
      <c r="AA2138">
        <v>0.99941089999999999</v>
      </c>
      <c r="AB2138">
        <v>32</v>
      </c>
      <c r="AC2138">
        <v>-19.739999999999998</v>
      </c>
      <c r="AD2138">
        <v>-1.1114316854518</v>
      </c>
      <c r="AE2138">
        <v>-0.388599999999996</v>
      </c>
      <c r="AF2138">
        <v>-0.68115320236359</v>
      </c>
      <c r="AG2138">
        <v>-1.1114316854518</v>
      </c>
      <c r="AH2138">
        <v>19.6696663256043</v>
      </c>
      <c r="AI2138">
        <v>93.232117565951199</v>
      </c>
      <c r="AJ2138">
        <v>91.983338895993498</v>
      </c>
      <c r="AK2138">
        <v>19.7128136864611</v>
      </c>
      <c r="AL2138">
        <v>80.1984418045122</v>
      </c>
      <c r="AM2138">
        <v>93.206872709429604</v>
      </c>
      <c r="AN2138">
        <v>1.00000001231715</v>
      </c>
    </row>
    <row r="2139" spans="1:40" x14ac:dyDescent="0.25">
      <c r="A2139" t="str">
        <f>"20190304155636822"</f>
        <v>20190304155636822</v>
      </c>
      <c r="B2139" t="str">
        <f>"1551686196816426"</f>
        <v>1551686196816426</v>
      </c>
      <c r="C2139" t="s">
        <v>40</v>
      </c>
      <c r="D2139">
        <v>4.7647740000000001</v>
      </c>
      <c r="E2139">
        <v>0.51449219999999996</v>
      </c>
      <c r="F2139" t="s">
        <v>55</v>
      </c>
      <c r="G2139">
        <v>-325.37430000000001</v>
      </c>
      <c r="H2139" s="1">
        <v>1.3362330000000001E-6</v>
      </c>
      <c r="I2139">
        <v>284.31700000000001</v>
      </c>
      <c r="J2139">
        <v>-302.00549999999998</v>
      </c>
      <c r="K2139">
        <v>1.111442</v>
      </c>
      <c r="L2139">
        <v>284.52429999999998</v>
      </c>
      <c r="M2139">
        <v>-0.99985729999999995</v>
      </c>
      <c r="N2139">
        <v>-9.8648109999999994E-3</v>
      </c>
      <c r="O2139">
        <v>1.3713599999999999E-2</v>
      </c>
      <c r="P2139">
        <v>-0.98614230000000003</v>
      </c>
      <c r="Q2139">
        <v>0.16081799999999999</v>
      </c>
      <c r="R2139">
        <v>-4.0755920000000001E-2</v>
      </c>
      <c r="S2139">
        <v>-3.0644840000000002</v>
      </c>
      <c r="T2139">
        <v>-0.14460149999999999</v>
      </c>
      <c r="U2139">
        <v>-2.676392E-2</v>
      </c>
      <c r="V2139">
        <v>-5.501296E-2</v>
      </c>
      <c r="W2139">
        <v>0.17029549999999999</v>
      </c>
      <c r="X2139">
        <v>0.98385619999999996</v>
      </c>
      <c r="Y2139">
        <v>-2.2406479999999999E-2</v>
      </c>
      <c r="Z2139">
        <v>-1.150423E-3</v>
      </c>
      <c r="AA2139">
        <v>0.99974830000000003</v>
      </c>
      <c r="AB2139">
        <v>32</v>
      </c>
      <c r="AC2139">
        <v>-23.3688</v>
      </c>
      <c r="AD2139">
        <v>-1.111440663767</v>
      </c>
      <c r="AE2139">
        <v>-0.207299999999975</v>
      </c>
      <c r="AF2139">
        <v>-0.526575435376609</v>
      </c>
      <c r="AG2139">
        <v>-1.111440663767</v>
      </c>
      <c r="AH2139">
        <v>23.311033039338799</v>
      </c>
      <c r="AI2139">
        <v>92.729028193777793</v>
      </c>
      <c r="AJ2139">
        <v>91.294040460386199</v>
      </c>
      <c r="AK2139">
        <v>23.343453973209801</v>
      </c>
      <c r="AL2139">
        <v>80.194999536949297</v>
      </c>
      <c r="AM2139">
        <v>93.200398180072895</v>
      </c>
      <c r="AN2139">
        <v>1.00000000268332</v>
      </c>
    </row>
    <row r="2140" spans="1:40" x14ac:dyDescent="0.25">
      <c r="A2140" t="str">
        <f>"20190304155636839"</f>
        <v>20190304155636839</v>
      </c>
      <c r="B2140" t="str">
        <f>"1551686196836922"</f>
        <v>1551686196836922</v>
      </c>
      <c r="C2140" t="s">
        <v>40</v>
      </c>
      <c r="D2140">
        <v>4.7685899999999997</v>
      </c>
      <c r="E2140">
        <v>0.51576610000000001</v>
      </c>
      <c r="F2140" t="s">
        <v>55</v>
      </c>
      <c r="G2140">
        <v>-330.5686</v>
      </c>
      <c r="H2140" s="1">
        <v>-1.2252660000000001E-6</v>
      </c>
      <c r="I2140">
        <v>284.41160000000002</v>
      </c>
      <c r="J2140">
        <v>-302.27030000000002</v>
      </c>
      <c r="K2140">
        <v>1.1114580000000001</v>
      </c>
      <c r="L2140">
        <v>284.52629999999999</v>
      </c>
      <c r="M2140">
        <v>-0.99987959999999998</v>
      </c>
      <c r="N2140">
        <v>-9.8692940000000007E-3</v>
      </c>
      <c r="O2140">
        <v>1.1970659999999999E-2</v>
      </c>
      <c r="P2140">
        <v>-0.98608390000000001</v>
      </c>
      <c r="Q2140">
        <v>0.16083149999999999</v>
      </c>
      <c r="R2140">
        <v>-4.2091820000000002E-2</v>
      </c>
      <c r="S2140">
        <v>-3.061096</v>
      </c>
      <c r="T2140">
        <v>-0.1191128</v>
      </c>
      <c r="U2140">
        <v>-1.208496E-2</v>
      </c>
      <c r="V2140">
        <v>-5.463747E-2</v>
      </c>
      <c r="W2140">
        <v>0.170313299999999</v>
      </c>
      <c r="X2140">
        <v>0.98387400000000003</v>
      </c>
      <c r="Y2140">
        <v>-1.589863E-2</v>
      </c>
      <c r="Z2140">
        <v>-7.3520189999999998E-4</v>
      </c>
      <c r="AA2140">
        <v>0.99987329999999996</v>
      </c>
      <c r="AB2140">
        <v>32</v>
      </c>
      <c r="AC2140">
        <v>-28.298299999999902</v>
      </c>
      <c r="AD2140">
        <v>-1.1114592252660001</v>
      </c>
      <c r="AE2140">
        <v>-0.11469999999997001</v>
      </c>
      <c r="AF2140">
        <v>-0.45275918622373401</v>
      </c>
      <c r="AG2140">
        <v>-1.1114592252660001</v>
      </c>
      <c r="AH2140">
        <v>28.251318024757001</v>
      </c>
      <c r="AI2140">
        <v>92.252671333015897</v>
      </c>
      <c r="AJ2140">
        <v>90.918150790077405</v>
      </c>
      <c r="AK2140">
        <v>28.276797955675502</v>
      </c>
      <c r="AL2140">
        <v>80.193964135566802</v>
      </c>
      <c r="AM2140">
        <v>93.178541475435694</v>
      </c>
      <c r="AN2140">
        <v>0.99999996058044405</v>
      </c>
    </row>
    <row r="2141" spans="1:40" x14ac:dyDescent="0.25">
      <c r="A2141" t="str">
        <f>"20190304155636852"</f>
        <v>20190304155636852</v>
      </c>
      <c r="B2141" t="str">
        <f>"1551686196846682"</f>
        <v>1551686196846682</v>
      </c>
      <c r="C2141" t="s">
        <v>40</v>
      </c>
      <c r="D2141">
        <v>4.7457949999999904</v>
      </c>
      <c r="E2141">
        <v>0.51657240000000004</v>
      </c>
      <c r="F2141" t="s">
        <v>55</v>
      </c>
      <c r="G2141">
        <v>-333.59870000000001</v>
      </c>
      <c r="H2141" s="1">
        <v>3.8491480000000002E-7</v>
      </c>
      <c r="I2141">
        <v>284.46350000000001</v>
      </c>
      <c r="J2141">
        <v>-302.46129999999999</v>
      </c>
      <c r="K2141">
        <v>1.11147</v>
      </c>
      <c r="L2141">
        <v>284.52749999999997</v>
      </c>
      <c r="M2141">
        <v>-0.99989399999999995</v>
      </c>
      <c r="N2141">
        <v>-9.8725449999999999E-3</v>
      </c>
      <c r="O2141">
        <v>1.071331E-2</v>
      </c>
      <c r="P2141">
        <v>-0.98606190000000005</v>
      </c>
      <c r="Q2141">
        <v>0.16071289999999999</v>
      </c>
      <c r="R2141">
        <v>-4.3054250000000002E-2</v>
      </c>
      <c r="S2141">
        <v>-3.0597530000000002</v>
      </c>
      <c r="T2141">
        <v>-0.1085531</v>
      </c>
      <c r="U2141">
        <v>-6.1340329999999997E-3</v>
      </c>
      <c r="V2141">
        <v>-5.4363649999999999E-2</v>
      </c>
      <c r="W2141">
        <v>0.17019770000000001</v>
      </c>
      <c r="X2141">
        <v>0.98390920000000004</v>
      </c>
      <c r="Y2141">
        <v>-1.2704709999999999E-2</v>
      </c>
      <c r="Z2141">
        <v>-5.6224870000000002E-4</v>
      </c>
      <c r="AA2141">
        <v>0.99991909999999895</v>
      </c>
      <c r="AB2141">
        <v>33</v>
      </c>
      <c r="AC2141">
        <v>-31.1374</v>
      </c>
      <c r="AD2141">
        <v>-1.1114696150851999</v>
      </c>
      <c r="AE2141">
        <v>-6.3999999999964502E-2</v>
      </c>
      <c r="AF2141">
        <v>-0.39709119802808801</v>
      </c>
      <c r="AG2141">
        <v>-1.1114696150851999</v>
      </c>
      <c r="AH2141">
        <v>31.0953063681334</v>
      </c>
      <c r="AI2141">
        <v>92.046940197340405</v>
      </c>
      <c r="AJ2141">
        <v>90.731634955734606</v>
      </c>
      <c r="AK2141">
        <v>31.117697926628299</v>
      </c>
      <c r="AL2141">
        <v>80.200685940699501</v>
      </c>
      <c r="AM2141">
        <v>93.162531465898994</v>
      </c>
      <c r="AN2141">
        <v>0.99999998868562601</v>
      </c>
    </row>
    <row r="2142" spans="1:40" x14ac:dyDescent="0.25">
      <c r="A2142" t="str">
        <f>"20190304155636866"</f>
        <v>20190304155636866</v>
      </c>
      <c r="B2142" t="str">
        <f>"1551686196856442"</f>
        <v>1551686196856442</v>
      </c>
      <c r="C2142" t="s">
        <v>40</v>
      </c>
      <c r="D2142">
        <v>4.7542090000000004</v>
      </c>
      <c r="E2142">
        <v>0.51734449999999998</v>
      </c>
      <c r="F2142" t="s">
        <v>55</v>
      </c>
      <c r="G2142">
        <v>-335.10950000000003</v>
      </c>
      <c r="H2142" s="1">
        <v>1.1874409999999999E-6</v>
      </c>
      <c r="I2142">
        <v>284.4975</v>
      </c>
      <c r="J2142">
        <v>-302.65019999999998</v>
      </c>
      <c r="K2142">
        <v>1.111477</v>
      </c>
      <c r="L2142">
        <v>284.52839999999998</v>
      </c>
      <c r="M2142">
        <v>-0.99990650000000003</v>
      </c>
      <c r="N2142">
        <v>-9.8757440000000005E-3</v>
      </c>
      <c r="O2142">
        <v>9.469814E-3</v>
      </c>
      <c r="P2142">
        <v>-0.98601249999999996</v>
      </c>
      <c r="Q2142">
        <v>0.16071830000000001</v>
      </c>
      <c r="R2142">
        <v>-4.4151929999999999E-2</v>
      </c>
      <c r="S2142">
        <v>-3.0592649999999999</v>
      </c>
      <c r="T2142">
        <v>-0.1041489</v>
      </c>
      <c r="U2142">
        <v>-2.8076170000000001E-3</v>
      </c>
      <c r="V2142">
        <v>-5.4238300000000003E-2</v>
      </c>
      <c r="W2142">
        <v>0.1702062</v>
      </c>
      <c r="X2142">
        <v>0.98391470000000003</v>
      </c>
      <c r="Y2142">
        <v>-1.037745E-2</v>
      </c>
      <c r="Z2142">
        <v>-4.5664129999999997E-4</v>
      </c>
      <c r="AA2142">
        <v>0.99994609999999995</v>
      </c>
      <c r="AB2142">
        <v>33</v>
      </c>
      <c r="AC2142">
        <v>-32.459299999999999</v>
      </c>
      <c r="AD2142">
        <v>-1.1114758125589901</v>
      </c>
      <c r="AE2142">
        <v>-3.0899999999974101E-2</v>
      </c>
      <c r="AF2142">
        <v>-0.33790090876401802</v>
      </c>
      <c r="AG2142">
        <v>-1.1114758125589901</v>
      </c>
      <c r="AH2142">
        <v>32.419539109263802</v>
      </c>
      <c r="AI2142">
        <v>91.963460515423407</v>
      </c>
      <c r="AJ2142">
        <v>90.597158241062402</v>
      </c>
      <c r="AK2142">
        <v>32.440346353933002</v>
      </c>
      <c r="AL2142">
        <v>80.200192226136807</v>
      </c>
      <c r="AM2142">
        <v>93.155236548941701</v>
      </c>
      <c r="AN2142">
        <v>1.0000000402907001</v>
      </c>
    </row>
    <row r="2143" spans="1:40" x14ac:dyDescent="0.25">
      <c r="A2143" t="str">
        <f>"20190304155636885"</f>
        <v>20190304155636885</v>
      </c>
      <c r="B2143" t="str">
        <f>"1551686196876953"</f>
        <v>1551686196876953</v>
      </c>
      <c r="C2143" t="s">
        <v>40</v>
      </c>
      <c r="D2143">
        <v>4.7420660000000003</v>
      </c>
      <c r="E2143">
        <v>0.51750370000000001</v>
      </c>
      <c r="F2143" t="s">
        <v>55</v>
      </c>
      <c r="G2143">
        <v>-336.81630000000001</v>
      </c>
      <c r="H2143" s="1">
        <v>2.0942760000000002E-6</v>
      </c>
      <c r="I2143">
        <v>284.53039999999999</v>
      </c>
      <c r="J2143">
        <v>-302.9282</v>
      </c>
      <c r="K2143">
        <v>1.1114850000000001</v>
      </c>
      <c r="L2143">
        <v>284.52929999999998</v>
      </c>
      <c r="M2143">
        <v>-0.99992199999999998</v>
      </c>
      <c r="N2143">
        <v>-9.8803009999999993E-3</v>
      </c>
      <c r="O2143">
        <v>7.6417919999999997E-3</v>
      </c>
      <c r="P2143">
        <v>-0.98598050000000004</v>
      </c>
      <c r="Q2143">
        <v>0.16059329999999999</v>
      </c>
      <c r="R2143">
        <v>-4.530468E-2</v>
      </c>
      <c r="S2143">
        <v>-3.0587460000000002</v>
      </c>
      <c r="T2143">
        <v>-9.9505540000000003E-2</v>
      </c>
      <c r="U2143">
        <v>1.8310550000000001E-4</v>
      </c>
      <c r="V2143">
        <v>-5.359336E-2</v>
      </c>
      <c r="W2143">
        <v>0.17008779999999901</v>
      </c>
      <c r="X2143">
        <v>0.98397049999999997</v>
      </c>
      <c r="Y2143">
        <v>-7.5751189999999999E-3</v>
      </c>
      <c r="Z2143">
        <v>-3.3365789999999999E-4</v>
      </c>
      <c r="AA2143">
        <v>0.99997130000000001</v>
      </c>
      <c r="AB2143">
        <v>33</v>
      </c>
      <c r="AC2143">
        <v>-33.888100000000001</v>
      </c>
      <c r="AD2143">
        <v>-1.1114829057240001</v>
      </c>
      <c r="AE2143">
        <v>1.1000000000080899E-3</v>
      </c>
      <c r="AF2143">
        <v>-0.25760136712590898</v>
      </c>
      <c r="AG2143">
        <v>-1.1114829057240001</v>
      </c>
      <c r="AH2143">
        <v>33.850703937575602</v>
      </c>
      <c r="AI2143">
        <v>91.880568459103898</v>
      </c>
      <c r="AJ2143">
        <v>90.436008251362097</v>
      </c>
      <c r="AK2143">
        <v>33.869926332713803</v>
      </c>
      <c r="AL2143">
        <v>80.207076289509104</v>
      </c>
      <c r="AM2143">
        <v>93.117616079972294</v>
      </c>
      <c r="AN2143">
        <v>1.0000000264075799</v>
      </c>
    </row>
    <row r="2144" spans="1:40" x14ac:dyDescent="0.25">
      <c r="A2144" t="str">
        <f>"20190304155636898"</f>
        <v>20190304155636898</v>
      </c>
      <c r="B2144" t="str">
        <f>"1551686196886698"</f>
        <v>1551686196886698</v>
      </c>
      <c r="C2144" t="s">
        <v>40</v>
      </c>
      <c r="D2144">
        <v>4.7579469999999997</v>
      </c>
      <c r="E2144">
        <v>0.51797179999999998</v>
      </c>
      <c r="F2144" t="s">
        <v>55</v>
      </c>
      <c r="G2144">
        <v>-337.94779999999997</v>
      </c>
      <c r="H2144" s="1">
        <v>2.6974970000000001E-6</v>
      </c>
      <c r="I2144">
        <v>284.50450000000001</v>
      </c>
      <c r="J2144">
        <v>-303.11500000000001</v>
      </c>
      <c r="K2144">
        <v>1.111491</v>
      </c>
      <c r="L2144">
        <v>284.52949999999998</v>
      </c>
      <c r="M2144">
        <v>-0.99993069999999895</v>
      </c>
      <c r="N2144">
        <v>-9.8833979999999998E-3</v>
      </c>
      <c r="O2144">
        <v>6.4140069999999898E-3</v>
      </c>
      <c r="P2144">
        <v>-0.98596890000000004</v>
      </c>
      <c r="Q2144">
        <v>0.1604411</v>
      </c>
      <c r="R2144">
        <v>-4.6091319999999998E-2</v>
      </c>
      <c r="S2144">
        <v>-3.0583800000000001</v>
      </c>
      <c r="T2144">
        <v>-9.7069500000000003E-2</v>
      </c>
      <c r="U2144">
        <v>-2.166748E-3</v>
      </c>
      <c r="V2144">
        <v>-5.317152E-2</v>
      </c>
      <c r="W2144">
        <v>0.16994020000000001</v>
      </c>
      <c r="X2144">
        <v>0.98401890000000003</v>
      </c>
      <c r="Y2144">
        <v>-7.1165339999999999E-3</v>
      </c>
      <c r="Z2144">
        <v>-2.8822519999999999E-4</v>
      </c>
      <c r="AA2144">
        <v>0.99997460000000005</v>
      </c>
      <c r="AB2144">
        <v>33</v>
      </c>
      <c r="AC2144">
        <v>-34.832799999999899</v>
      </c>
      <c r="AD2144">
        <v>-1.111488302503</v>
      </c>
      <c r="AE2144">
        <v>-2.49999999999772E-2</v>
      </c>
      <c r="AF2144">
        <v>-0.24817550407175901</v>
      </c>
      <c r="AG2144">
        <v>-1.111488302503</v>
      </c>
      <c r="AH2144">
        <v>34.796493297726201</v>
      </c>
      <c r="AI2144">
        <v>91.8295040266988</v>
      </c>
      <c r="AJ2144">
        <v>90.408637955038003</v>
      </c>
      <c r="AK2144">
        <v>34.815125206526602</v>
      </c>
      <c r="AL2144">
        <v>80.215658205925607</v>
      </c>
      <c r="AM2144">
        <v>93.092972931617894</v>
      </c>
      <c r="AN2144">
        <v>1.0000000388361701</v>
      </c>
    </row>
    <row r="2145" spans="1:40" x14ac:dyDescent="0.25">
      <c r="A2145" t="str">
        <f>"20190304155636910"</f>
        <v>20190304155636910</v>
      </c>
      <c r="B2145" t="str">
        <f>"1551686196907194"</f>
        <v>1551686196907194</v>
      </c>
      <c r="C2145" t="s">
        <v>40</v>
      </c>
      <c r="D2145">
        <v>4.7511859999999997</v>
      </c>
      <c r="E2145">
        <v>0.51836389999999999</v>
      </c>
      <c r="F2145" t="s">
        <v>55</v>
      </c>
      <c r="G2145">
        <v>-338.8503</v>
      </c>
      <c r="H2145" s="1">
        <v>3.1771219999999998E-6</v>
      </c>
      <c r="I2145">
        <v>284.51920000000001</v>
      </c>
      <c r="J2145">
        <v>-303.2912</v>
      </c>
      <c r="K2145">
        <v>1.1114930000000001</v>
      </c>
      <c r="L2145">
        <v>284.52969999999999</v>
      </c>
      <c r="M2145">
        <v>-0.99993739999999998</v>
      </c>
      <c r="N2145">
        <v>-9.8863430000000006E-3</v>
      </c>
      <c r="O2145">
        <v>5.2571069999999996E-3</v>
      </c>
      <c r="P2145">
        <v>-0.98591669999999998</v>
      </c>
      <c r="Q2145">
        <v>0.160548</v>
      </c>
      <c r="R2145">
        <v>-4.6829559999999999E-2</v>
      </c>
      <c r="S2145">
        <v>-3.0581670000000001</v>
      </c>
      <c r="T2145">
        <v>-9.511936E-2</v>
      </c>
      <c r="U2145">
        <v>-8.8500979999999905E-4</v>
      </c>
      <c r="V2145">
        <v>-5.277213E-2</v>
      </c>
      <c r="W2145">
        <v>0.1700507</v>
      </c>
      <c r="X2145">
        <v>0.98402129999999999</v>
      </c>
      <c r="Y2145">
        <v>-5.5420360000000002E-3</v>
      </c>
      <c r="Z2145">
        <v>-2.2507930000000001E-4</v>
      </c>
      <c r="AA2145">
        <v>0.9999846</v>
      </c>
      <c r="AB2145">
        <v>33</v>
      </c>
      <c r="AC2145">
        <v>-35.559100000000001</v>
      </c>
      <c r="AD2145">
        <v>-1.1114898228779999</v>
      </c>
      <c r="AE2145">
        <v>-1.0499999999979E-2</v>
      </c>
      <c r="AF2145">
        <v>-0.19725424382401599</v>
      </c>
      <c r="AG2145">
        <v>-1.1114898228779999</v>
      </c>
      <c r="AH2145">
        <v>35.523845385438797</v>
      </c>
      <c r="AI2145">
        <v>91.792089932602394</v>
      </c>
      <c r="AJ2145">
        <v>90.318144597973202</v>
      </c>
      <c r="AK2145">
        <v>35.541776965025697</v>
      </c>
      <c r="AL2145">
        <v>80.209233408551597</v>
      </c>
      <c r="AM2145">
        <v>93.069777653122998</v>
      </c>
      <c r="AN2145">
        <v>1.0000000285644499</v>
      </c>
    </row>
    <row r="2146" spans="1:40" x14ac:dyDescent="0.25">
      <c r="A2146" t="str">
        <f>"20190304155636921"</f>
        <v>20190304155636921</v>
      </c>
      <c r="B2146" t="str">
        <f>"1551686196916954"</f>
        <v>1551686196916954</v>
      </c>
      <c r="C2146" t="s">
        <v>40</v>
      </c>
      <c r="D2146">
        <v>4.7327450000000004</v>
      </c>
      <c r="E2146">
        <v>0.51851049999999999</v>
      </c>
      <c r="F2146" t="s">
        <v>55</v>
      </c>
      <c r="G2146">
        <v>-339.851</v>
      </c>
      <c r="H2146" s="1">
        <v>3.7093530000000002E-6</v>
      </c>
      <c r="I2146">
        <v>284.52640000000002</v>
      </c>
      <c r="J2146">
        <v>-303.47030000000001</v>
      </c>
      <c r="K2146">
        <v>1.111497</v>
      </c>
      <c r="L2146">
        <v>284.52949999999998</v>
      </c>
      <c r="M2146">
        <v>-0.99994280000000002</v>
      </c>
      <c r="N2146">
        <v>-9.8892790000000008E-3</v>
      </c>
      <c r="O2146">
        <v>4.0859390000000002E-3</v>
      </c>
      <c r="P2146">
        <v>-0.98589720000000003</v>
      </c>
      <c r="Q2146">
        <v>0.16041939999999999</v>
      </c>
      <c r="R2146">
        <v>-4.766944E-2</v>
      </c>
      <c r="S2146">
        <v>-3.0579529999999999</v>
      </c>
      <c r="T2146">
        <v>-9.2967750000000002E-2</v>
      </c>
      <c r="U2146">
        <v>-2.7465820000000001E-4</v>
      </c>
      <c r="V2146">
        <v>-5.2457950000000003E-2</v>
      </c>
      <c r="W2146">
        <v>0.16992660000000001</v>
      </c>
      <c r="X2146">
        <v>0.98405949999999998</v>
      </c>
      <c r="Y2146">
        <v>-4.1725410000000001E-3</v>
      </c>
      <c r="Z2146">
        <v>-1.6784039999999999E-4</v>
      </c>
      <c r="AA2146">
        <v>0.99999130000000003</v>
      </c>
      <c r="AB2146">
        <v>33</v>
      </c>
      <c r="AC2146">
        <v>-36.380699999999898</v>
      </c>
      <c r="AD2146">
        <v>-1.1114932906470001</v>
      </c>
      <c r="AE2146">
        <v>-3.0999999999607999E-3</v>
      </c>
      <c r="AF2146">
        <v>-0.15161503857334099</v>
      </c>
      <c r="AG2146">
        <v>-1.1114932906470001</v>
      </c>
      <c r="AH2146">
        <v>36.346457536535198</v>
      </c>
      <c r="AI2146">
        <v>91.751573185311003</v>
      </c>
      <c r="AJ2146">
        <v>90.239001322960704</v>
      </c>
      <c r="AK2146">
        <v>36.363764655357599</v>
      </c>
      <c r="AL2146">
        <v>80.216448473543394</v>
      </c>
      <c r="AM2146">
        <v>93.051418077525298</v>
      </c>
      <c r="AN2146">
        <v>0.99999999272300599</v>
      </c>
    </row>
    <row r="2147" spans="1:40" x14ac:dyDescent="0.25">
      <c r="A2147" t="str">
        <f>"20190304155636941"</f>
        <v>20190304155636941</v>
      </c>
      <c r="B2147" t="str">
        <f>"1551686196936473"</f>
        <v>1551686196936473</v>
      </c>
      <c r="C2147" t="s">
        <v>40</v>
      </c>
      <c r="D2147">
        <v>4.7176830000000001</v>
      </c>
      <c r="E2147">
        <v>0.51925209999999999</v>
      </c>
      <c r="F2147" t="s">
        <v>55</v>
      </c>
      <c r="G2147">
        <v>-339.89249999999998</v>
      </c>
      <c r="H2147" s="1">
        <v>3.7323109999999999E-6</v>
      </c>
      <c r="I2147">
        <v>284.50700000000001</v>
      </c>
      <c r="J2147">
        <v>-303.73880000000003</v>
      </c>
      <c r="K2147">
        <v>1.1114999999999999</v>
      </c>
      <c r="L2147">
        <v>284.52890000000002</v>
      </c>
      <c r="M2147">
        <v>-0.99994839999999996</v>
      </c>
      <c r="N2147">
        <v>-9.8934950000000004E-3</v>
      </c>
      <c r="O2147">
        <v>2.3379960000000002E-3</v>
      </c>
      <c r="P2147">
        <v>-0.98579760000000005</v>
      </c>
      <c r="Q2147">
        <v>0.16075159999999999</v>
      </c>
      <c r="R2147">
        <v>-4.8605009999999997E-2</v>
      </c>
      <c r="S2147">
        <v>-3.0580440000000002</v>
      </c>
      <c r="T2147">
        <v>-9.3321920000000003E-2</v>
      </c>
      <c r="U2147">
        <v>-1.8920899999999999E-3</v>
      </c>
      <c r="V2147">
        <v>-5.1672650000000001E-2</v>
      </c>
      <c r="W2147">
        <v>0.1702659</v>
      </c>
      <c r="X2147">
        <v>0.98404239999999998</v>
      </c>
      <c r="Y2147">
        <v>-2.954515E-3</v>
      </c>
      <c r="Z2147">
        <v>-1.078946E-4</v>
      </c>
      <c r="AA2147">
        <v>0.99999559999999998</v>
      </c>
      <c r="AB2147">
        <v>33</v>
      </c>
      <c r="AC2147">
        <v>-36.153699999999901</v>
      </c>
      <c r="AD2147">
        <v>-1.1114962676889999</v>
      </c>
      <c r="AE2147">
        <v>-2.1900000000016399E-2</v>
      </c>
      <c r="AF2147">
        <v>-0.10633077613672499</v>
      </c>
      <c r="AG2147">
        <v>-1.1114962676889999</v>
      </c>
      <c r="AH2147">
        <v>36.119410956033903</v>
      </c>
      <c r="AI2147">
        <v>91.762589059386897</v>
      </c>
      <c r="AJ2147">
        <v>90.168670721488894</v>
      </c>
      <c r="AK2147">
        <v>36.136665286076202</v>
      </c>
      <c r="AL2147">
        <v>80.196720524022297</v>
      </c>
      <c r="AM2147">
        <v>93.005874627538603</v>
      </c>
      <c r="AN2147">
        <v>0.99999999222929603</v>
      </c>
    </row>
    <row r="2148" spans="1:40" x14ac:dyDescent="0.25">
      <c r="A2148" t="str">
        <f>"20190304155636955"</f>
        <v>20190304155636955</v>
      </c>
      <c r="B2148" t="str">
        <f>"1551686196947209"</f>
        <v>1551686196947209</v>
      </c>
      <c r="C2148" t="s">
        <v>40</v>
      </c>
      <c r="D2148">
        <v>4.7975050000000001</v>
      </c>
      <c r="E2148">
        <v>0.51937509999999998</v>
      </c>
      <c r="F2148" t="s">
        <v>55</v>
      </c>
      <c r="G2148">
        <v>-342.0385</v>
      </c>
      <c r="H2148" s="1">
        <v>-4.520078E-7</v>
      </c>
      <c r="I2148">
        <v>284.54649999999998</v>
      </c>
      <c r="J2148">
        <v>-303.9579</v>
      </c>
      <c r="K2148">
        <v>1.11149599999999</v>
      </c>
      <c r="L2148">
        <v>284.52809999999999</v>
      </c>
      <c r="M2148">
        <v>-0.99995060000000002</v>
      </c>
      <c r="N2148">
        <v>-9.8968110000000001E-3</v>
      </c>
      <c r="O2148">
        <v>9.2207509999999999E-4</v>
      </c>
      <c r="P2148">
        <v>-0.98572190000000004</v>
      </c>
      <c r="Q2148">
        <v>0.16087589999999999</v>
      </c>
      <c r="R2148">
        <v>-4.9714420000000002E-2</v>
      </c>
      <c r="S2148">
        <v>-3.0577700000000001</v>
      </c>
      <c r="T2148">
        <v>-8.8739869999999998E-2</v>
      </c>
      <c r="U2148">
        <v>1.403809E-3</v>
      </c>
      <c r="V2148">
        <v>-5.1385720000000003E-2</v>
      </c>
      <c r="W2148">
        <v>0.17039509999999999</v>
      </c>
      <c r="X2148">
        <v>0.98403510000000005</v>
      </c>
      <c r="Y2148">
        <v>-4.62595E-4</v>
      </c>
      <c r="Z2148" s="1">
        <v>-2.6630350000000002E-5</v>
      </c>
      <c r="AA2148">
        <v>0.99999990000000005</v>
      </c>
      <c r="AB2148">
        <v>33</v>
      </c>
      <c r="AC2148">
        <v>-38.080599999999997</v>
      </c>
      <c r="AD2148">
        <v>-1.1114964520077999</v>
      </c>
      <c r="AE2148">
        <v>1.8399999999985501E-2</v>
      </c>
      <c r="AF2148">
        <v>-1.67006726689078E-2</v>
      </c>
      <c r="AG2148">
        <v>-1.1114964520077999</v>
      </c>
      <c r="AH2148">
        <v>38.048186043720399</v>
      </c>
      <c r="AI2148">
        <v>91.673297720512906</v>
      </c>
      <c r="AJ2148">
        <v>90.025149109510906</v>
      </c>
      <c r="AK2148">
        <v>38.064421242058202</v>
      </c>
      <c r="AL2148">
        <v>80.189208506554493</v>
      </c>
      <c r="AM2148">
        <v>92.989235974579898</v>
      </c>
      <c r="AN2148">
        <v>1.0000000301779599</v>
      </c>
    </row>
    <row r="2149" spans="1:40" x14ac:dyDescent="0.25">
      <c r="A2149" t="str">
        <f>"20190304155636976"</f>
        <v>20190304155636976</v>
      </c>
      <c r="B2149" t="str">
        <f>"1551686196966731"</f>
        <v>1551686196966731</v>
      </c>
      <c r="C2149" t="s">
        <v>40</v>
      </c>
      <c r="D2149">
        <v>4.7280790000000001</v>
      </c>
      <c r="E2149">
        <v>0.51987550000000005</v>
      </c>
      <c r="F2149" t="s">
        <v>55</v>
      </c>
      <c r="G2149">
        <v>-342.94659999999999</v>
      </c>
      <c r="H2149" s="1">
        <v>3.1243390000000002E-8</v>
      </c>
      <c r="I2149">
        <v>284.5129</v>
      </c>
      <c r="J2149">
        <v>-304.24509999999998</v>
      </c>
      <c r="K2149">
        <v>1.11148</v>
      </c>
      <c r="L2149">
        <v>284.52659999999997</v>
      </c>
      <c r="M2149">
        <v>-0.99995060000000002</v>
      </c>
      <c r="N2149">
        <v>-9.9010279999999992E-3</v>
      </c>
      <c r="O2149">
        <v>-9.0900409999999997E-4</v>
      </c>
      <c r="P2149">
        <v>-0.98566200000000004</v>
      </c>
      <c r="Q2149">
        <v>0.16074959999999999</v>
      </c>
      <c r="R2149">
        <v>-5.1285209999999998E-2</v>
      </c>
      <c r="S2149">
        <v>-3.057617</v>
      </c>
      <c r="T2149">
        <v>-8.7167140000000004E-2</v>
      </c>
      <c r="U2149">
        <v>-1.190186E-3</v>
      </c>
      <c r="V2149">
        <v>-5.1146070000000002E-2</v>
      </c>
      <c r="W2149">
        <v>0.17027619999999999</v>
      </c>
      <c r="X2149">
        <v>0.98406819999999895</v>
      </c>
      <c r="Y2149">
        <v>5.1935449999999895E-4</v>
      </c>
      <c r="Z2149" s="1">
        <v>2.6882960000000001E-5</v>
      </c>
      <c r="AA2149">
        <v>0.99999990000000005</v>
      </c>
      <c r="AB2149">
        <v>33</v>
      </c>
      <c r="AC2149">
        <v>-38.701500000000003</v>
      </c>
      <c r="AD2149">
        <v>-1.1114799687566099</v>
      </c>
      <c r="AE2149">
        <v>-1.3699999999971599E-2</v>
      </c>
      <c r="AF2149">
        <v>2.1463847929281299E-2</v>
      </c>
      <c r="AG2149">
        <v>-1.1114799687566099</v>
      </c>
      <c r="AH2149">
        <v>38.669601850539998</v>
      </c>
      <c r="AI2149">
        <v>91.646398452384503</v>
      </c>
      <c r="AJ2149">
        <v>89.968197557944407</v>
      </c>
      <c r="AK2149">
        <v>38.6855781357472</v>
      </c>
      <c r="AL2149">
        <v>80.196122337726607</v>
      </c>
      <c r="AM2149">
        <v>92.975220144023197</v>
      </c>
      <c r="AN2149">
        <v>1.0000000635070601</v>
      </c>
    </row>
    <row r="2150" spans="1:40" x14ac:dyDescent="0.25">
      <c r="A2150" t="str">
        <f>"20190304155636996"</f>
        <v>20190304155636996</v>
      </c>
      <c r="B2150" t="str">
        <f>"1551686196987225"</f>
        <v>1551686196987225</v>
      </c>
      <c r="C2150" t="s">
        <v>40</v>
      </c>
      <c r="D2150">
        <v>4.8344690000000003</v>
      </c>
      <c r="E2150">
        <v>0.52019420000000005</v>
      </c>
      <c r="F2150" t="s">
        <v>55</v>
      </c>
      <c r="G2150">
        <v>-344.0591</v>
      </c>
      <c r="H2150" s="1">
        <v>6.232713E-7</v>
      </c>
      <c r="I2150">
        <v>284.50510000000003</v>
      </c>
      <c r="J2150">
        <v>-304.54219999999998</v>
      </c>
      <c r="K2150">
        <v>1.1114550000000001</v>
      </c>
      <c r="L2150">
        <v>284.52440000000001</v>
      </c>
      <c r="M2150">
        <v>-0.99994709999999998</v>
      </c>
      <c r="N2150">
        <v>-9.9050639999999999E-3</v>
      </c>
      <c r="O2150">
        <v>-2.765885E-3</v>
      </c>
      <c r="P2150">
        <v>-0.9856125</v>
      </c>
      <c r="Q2150">
        <v>0.16054160000000001</v>
      </c>
      <c r="R2150">
        <v>-5.2860589999999999E-2</v>
      </c>
      <c r="S2150">
        <v>-3.0574340000000002</v>
      </c>
      <c r="T2150">
        <v>-8.5353849999999995E-2</v>
      </c>
      <c r="U2150">
        <v>-1.6479489999999999E-3</v>
      </c>
      <c r="V2150">
        <v>-5.0880389999999998E-2</v>
      </c>
      <c r="W2150">
        <v>0.17007610000000001</v>
      </c>
      <c r="X2150">
        <v>0.98411649999999995</v>
      </c>
      <c r="Y2150">
        <v>2.225402E-3</v>
      </c>
      <c r="Z2150" s="1">
        <v>9.188763E-5</v>
      </c>
      <c r="AA2150">
        <v>0.99999749999999998</v>
      </c>
      <c r="AB2150">
        <v>33</v>
      </c>
      <c r="AC2150">
        <v>-39.5169</v>
      </c>
      <c r="AD2150">
        <v>-1.1114543767287</v>
      </c>
      <c r="AE2150">
        <v>-1.9299999999986901E-2</v>
      </c>
      <c r="AF2150">
        <v>8.9933494777661604E-2</v>
      </c>
      <c r="AG2150">
        <v>-1.1114543767287</v>
      </c>
      <c r="AH2150">
        <v>39.485566186022098</v>
      </c>
      <c r="AI2150">
        <v>91.612352943779499</v>
      </c>
      <c r="AJ2150">
        <v>89.869501661616198</v>
      </c>
      <c r="AK2150">
        <v>39.501308280812196</v>
      </c>
      <c r="AL2150">
        <v>80.207756198987298</v>
      </c>
      <c r="AM2150">
        <v>92.959647806513402</v>
      </c>
      <c r="AN2150">
        <v>0.99999998972500503</v>
      </c>
    </row>
    <row r="2151" spans="1:40" x14ac:dyDescent="0.25">
      <c r="A2151" t="str">
        <f>"20190304155637007"</f>
        <v>20190304155637007</v>
      </c>
      <c r="B2151" t="str">
        <f>"1551686196996985"</f>
        <v>1551686196996985</v>
      </c>
      <c r="C2151" t="s">
        <v>40</v>
      </c>
      <c r="D2151">
        <v>4.6940589999999904</v>
      </c>
      <c r="E2151">
        <v>0.52044849999999998</v>
      </c>
      <c r="F2151" t="s">
        <v>55</v>
      </c>
      <c r="G2151">
        <v>-345.06009999999998</v>
      </c>
      <c r="H2151" s="1">
        <v>1.155937E-6</v>
      </c>
      <c r="I2151">
        <v>284.47629999999998</v>
      </c>
      <c r="J2151">
        <v>-304.72539999999998</v>
      </c>
      <c r="K2151">
        <v>1.1114360000000001</v>
      </c>
      <c r="L2151">
        <v>284.52289999999999</v>
      </c>
      <c r="M2151">
        <v>-0.99994340000000004</v>
      </c>
      <c r="N2151">
        <v>-9.9074560000000002E-3</v>
      </c>
      <c r="O2151">
        <v>-3.8932849999999998E-3</v>
      </c>
      <c r="P2151">
        <v>-0.98559669999999999</v>
      </c>
      <c r="Q2151">
        <v>0.1602392</v>
      </c>
      <c r="R2151">
        <v>-5.4060740000000003E-2</v>
      </c>
      <c r="S2151">
        <v>-3.0572509999999999</v>
      </c>
      <c r="T2151">
        <v>-8.3863969999999996E-2</v>
      </c>
      <c r="U2151">
        <v>-3.6315919999999999E-3</v>
      </c>
      <c r="V2151">
        <v>-5.0960949999999998E-2</v>
      </c>
      <c r="W2151">
        <v>0.1697786</v>
      </c>
      <c r="X2151">
        <v>0.98416369999999997</v>
      </c>
      <c r="Y2151">
        <v>2.7036400000000002E-3</v>
      </c>
      <c r="Z2151">
        <v>1.186799E-4</v>
      </c>
      <c r="AA2151">
        <v>0.99999640000000001</v>
      </c>
      <c r="AB2151">
        <v>33</v>
      </c>
      <c r="AC2151">
        <v>-40.334699999999998</v>
      </c>
      <c r="AD2151">
        <v>-1.111434844063</v>
      </c>
      <c r="AE2151">
        <v>-4.6600000000012097E-2</v>
      </c>
      <c r="AF2151">
        <v>0.110358739335864</v>
      </c>
      <c r="AG2151">
        <v>-1.111434844063</v>
      </c>
      <c r="AH2151">
        <v>40.303973163512701</v>
      </c>
      <c r="AI2151">
        <v>91.579599914842206</v>
      </c>
      <c r="AJ2151">
        <v>89.843115363136803</v>
      </c>
      <c r="AK2151">
        <v>40.3194459191728</v>
      </c>
      <c r="AL2151">
        <v>80.225053253657194</v>
      </c>
      <c r="AM2151">
        <v>92.964183614381398</v>
      </c>
      <c r="AN2151">
        <v>0.99999998992027594</v>
      </c>
    </row>
    <row r="2152" spans="1:40" x14ac:dyDescent="0.25">
      <c r="A2152" t="str">
        <f>"20190304155637021"</f>
        <v>20190304155637021</v>
      </c>
      <c r="B2152" t="str">
        <f>"1551686197016505"</f>
        <v>1551686197016505</v>
      </c>
      <c r="C2152" t="s">
        <v>40</v>
      </c>
      <c r="D2152">
        <v>4.6980839999999997</v>
      </c>
      <c r="E2152">
        <v>0.52099499999999999</v>
      </c>
      <c r="F2152" t="s">
        <v>55</v>
      </c>
      <c r="G2152">
        <v>-345.33449999999999</v>
      </c>
      <c r="H2152" s="1">
        <v>1.3019589999999999E-6</v>
      </c>
      <c r="I2152">
        <v>284.45440000000002</v>
      </c>
      <c r="J2152">
        <v>-304.90730000000002</v>
      </c>
      <c r="K2152">
        <v>1.1114139999999999</v>
      </c>
      <c r="L2152">
        <v>284.52120000000002</v>
      </c>
      <c r="M2152">
        <v>-0.99993849999999995</v>
      </c>
      <c r="N2152">
        <v>-9.9096459999999994E-3</v>
      </c>
      <c r="O2152">
        <v>-4.9829269999999998E-3</v>
      </c>
      <c r="P2152">
        <v>-0.98559960000000002</v>
      </c>
      <c r="Q2152">
        <v>0.15994259999999999</v>
      </c>
      <c r="R2152">
        <v>-5.4883389999999997E-2</v>
      </c>
      <c r="S2152">
        <v>-3.057159</v>
      </c>
      <c r="T2152">
        <v>-8.3671809999999999E-2</v>
      </c>
      <c r="U2152">
        <v>-5.1574709999999899E-3</v>
      </c>
      <c r="V2152">
        <v>-5.0698350000000003E-2</v>
      </c>
      <c r="W2152">
        <v>0.16948869999999999</v>
      </c>
      <c r="X2152">
        <v>0.98422719999999997</v>
      </c>
      <c r="Y2152">
        <v>3.2937349999999999E-3</v>
      </c>
      <c r="Z2152">
        <v>1.48367E-4</v>
      </c>
      <c r="AA2152">
        <v>0.99999459999999996</v>
      </c>
      <c r="AB2152">
        <v>33</v>
      </c>
      <c r="AC2152">
        <v>-40.4271999999999</v>
      </c>
      <c r="AD2152">
        <v>-1.111412698041</v>
      </c>
      <c r="AE2152">
        <v>-6.6800000000000595E-2</v>
      </c>
      <c r="AF2152">
        <v>0.13455480873992201</v>
      </c>
      <c r="AG2152">
        <v>-1.111412698041</v>
      </c>
      <c r="AH2152">
        <v>40.396499584020901</v>
      </c>
      <c r="AI2152">
        <v>91.575949517283505</v>
      </c>
      <c r="AJ2152">
        <v>89.809156876892303</v>
      </c>
      <c r="AK2152">
        <v>40.412009623671601</v>
      </c>
      <c r="AL2152">
        <v>80.2419072883403</v>
      </c>
      <c r="AM2152">
        <v>92.948746386940698</v>
      </c>
      <c r="AN2152">
        <v>0.99999996167012495</v>
      </c>
    </row>
    <row r="2153" spans="1:40" x14ac:dyDescent="0.25">
      <c r="A2153" t="str">
        <f>"20190304155637035"</f>
        <v>20190304155637035</v>
      </c>
      <c r="B2153" t="str">
        <f>"1551686197027241"</f>
        <v>1551686197027241</v>
      </c>
      <c r="C2153" t="s">
        <v>40</v>
      </c>
      <c r="D2153">
        <v>4.8059629999999904</v>
      </c>
      <c r="E2153">
        <v>0.52109430000000001</v>
      </c>
      <c r="F2153" t="s">
        <v>55</v>
      </c>
      <c r="G2153">
        <v>-346.06040000000002</v>
      </c>
      <c r="H2153" s="1">
        <v>1.68824E-6</v>
      </c>
      <c r="I2153">
        <v>284.48090000000002</v>
      </c>
      <c r="J2153">
        <v>-305.11709999999999</v>
      </c>
      <c r="K2153">
        <v>1.11138</v>
      </c>
      <c r="L2153">
        <v>284.51900000000001</v>
      </c>
      <c r="M2153">
        <v>-0.99993160000000003</v>
      </c>
      <c r="N2153">
        <v>-9.9120670000000001E-3</v>
      </c>
      <c r="O2153">
        <v>-6.2135589999999996E-3</v>
      </c>
      <c r="P2153">
        <v>-0.98552499999999998</v>
      </c>
      <c r="Q2153">
        <v>0.1599131</v>
      </c>
      <c r="R2153">
        <v>-5.629025E-2</v>
      </c>
      <c r="S2153">
        <v>-3.0570680000000001</v>
      </c>
      <c r="T2153">
        <v>-8.2561609999999994E-2</v>
      </c>
      <c r="U2153">
        <v>-2.9907229999999998E-3</v>
      </c>
      <c r="V2153">
        <v>-5.087879E-2</v>
      </c>
      <c r="W2153">
        <v>0.1694647</v>
      </c>
      <c r="X2153">
        <v>0.98422209999999999</v>
      </c>
      <c r="Y2153">
        <v>5.232067E-3</v>
      </c>
      <c r="Z2153">
        <v>2.0276800000000001E-4</v>
      </c>
      <c r="AA2153">
        <v>0.99998629999999999</v>
      </c>
      <c r="AB2153">
        <v>33</v>
      </c>
      <c r="AC2153">
        <v>-40.943300000000001</v>
      </c>
      <c r="AD2153">
        <v>-1.11137831176</v>
      </c>
      <c r="AE2153">
        <v>-3.8099999999985798E-2</v>
      </c>
      <c r="AF2153">
        <v>0.216157568369855</v>
      </c>
      <c r="AG2153">
        <v>-1.11137831176</v>
      </c>
      <c r="AH2153">
        <v>40.912601316403098</v>
      </c>
      <c r="AI2153">
        <v>91.556017964683704</v>
      </c>
      <c r="AJ2153">
        <v>89.697286392404905</v>
      </c>
      <c r="AK2153">
        <v>40.928264467494401</v>
      </c>
      <c r="AL2153">
        <v>80.243303332588894</v>
      </c>
      <c r="AM2153">
        <v>92.959237927338705</v>
      </c>
      <c r="AN2153">
        <v>1.00000003897318</v>
      </c>
    </row>
    <row r="2154" spans="1:40" x14ac:dyDescent="0.25">
      <c r="A2154" t="str">
        <f>"20190304155637052"</f>
        <v>20190304155637052</v>
      </c>
      <c r="B2154" t="str">
        <f>"1551686197046762"</f>
        <v>1551686197046762</v>
      </c>
      <c r="C2154" t="s">
        <v>40</v>
      </c>
      <c r="D2154">
        <v>4.6315600000000003</v>
      </c>
      <c r="E2154">
        <v>0.52161550000000001</v>
      </c>
      <c r="F2154" t="s">
        <v>55</v>
      </c>
      <c r="G2154">
        <v>-346.53269999999998</v>
      </c>
      <c r="H2154" s="1">
        <v>1.939561E-6</v>
      </c>
      <c r="I2154">
        <v>284.43049999999999</v>
      </c>
      <c r="J2154">
        <v>-305.3741</v>
      </c>
      <c r="K2154">
        <v>1.111326</v>
      </c>
      <c r="L2154">
        <v>284.51600000000002</v>
      </c>
      <c r="M2154">
        <v>-0.99992159999999997</v>
      </c>
      <c r="N2154">
        <v>-9.9147899999999997E-3</v>
      </c>
      <c r="O2154">
        <v>-7.6629719999999997E-3</v>
      </c>
      <c r="P2154">
        <v>-0.98538170000000003</v>
      </c>
      <c r="Q2154">
        <v>0.160156299999999</v>
      </c>
      <c r="R2154">
        <v>-5.807665E-2</v>
      </c>
      <c r="S2154">
        <v>-3.057007</v>
      </c>
      <c r="T2154">
        <v>-8.2034109999999993E-2</v>
      </c>
      <c r="U2154">
        <v>-6.5307619999999999E-3</v>
      </c>
      <c r="V2154">
        <v>-5.1217270000000002E-2</v>
      </c>
      <c r="W2154">
        <v>0.1697147</v>
      </c>
      <c r="X2154">
        <v>0.98416139999999996</v>
      </c>
      <c r="Y2154">
        <v>5.5232519999999898E-3</v>
      </c>
      <c r="Z2154">
        <v>2.3110700000000001E-4</v>
      </c>
      <c r="AA2154">
        <v>0.99998469999999995</v>
      </c>
      <c r="AB2154">
        <v>33</v>
      </c>
      <c r="AC2154">
        <v>-41.1585999999999</v>
      </c>
      <c r="AD2154">
        <v>-1.111324060439</v>
      </c>
      <c r="AE2154">
        <v>-8.5499999999967699E-2</v>
      </c>
      <c r="AF2154">
        <v>0.22974767908490401</v>
      </c>
      <c r="AG2154">
        <v>-1.111324060439</v>
      </c>
      <c r="AH2154">
        <v>41.1280621532648</v>
      </c>
      <c r="AI2154">
        <v>91.547792239083194</v>
      </c>
      <c r="AJ2154">
        <v>89.679940294915696</v>
      </c>
      <c r="AK2154">
        <v>41.143715457481001</v>
      </c>
      <c r="AL2154">
        <v>80.228768218525701</v>
      </c>
      <c r="AM2154">
        <v>92.979072828893607</v>
      </c>
      <c r="AN2154">
        <v>0.99999997469615098</v>
      </c>
    </row>
    <row r="2155" spans="1:40" x14ac:dyDescent="0.25">
      <c r="A2155" t="str">
        <f>"20190304155637064"</f>
        <v>20190304155637064</v>
      </c>
      <c r="B2155" t="str">
        <f>"1551686197056522"</f>
        <v>1551686197056522</v>
      </c>
      <c r="C2155" t="s">
        <v>40</v>
      </c>
      <c r="D2155">
        <v>4.6491499999999997</v>
      </c>
      <c r="E2155">
        <v>0.52189490000000005</v>
      </c>
      <c r="F2155" t="s">
        <v>55</v>
      </c>
      <c r="G2155">
        <v>-348.23669999999998</v>
      </c>
      <c r="H2155" s="1">
        <v>2.8463749999999999E-6</v>
      </c>
      <c r="I2155">
        <v>284.40899999999999</v>
      </c>
      <c r="J2155">
        <v>-305.56209999999999</v>
      </c>
      <c r="K2155">
        <v>1.1112799999999901</v>
      </c>
      <c r="L2155">
        <v>284.5136</v>
      </c>
      <c r="M2155">
        <v>-0.9999133</v>
      </c>
      <c r="N2155">
        <v>-9.9165350000000006E-3</v>
      </c>
      <c r="O2155">
        <v>-8.6717800000000005E-3</v>
      </c>
      <c r="P2155">
        <v>-0.98525399999999996</v>
      </c>
      <c r="Q2155">
        <v>0.16043209999999999</v>
      </c>
      <c r="R2155">
        <v>-5.9469229999999998E-2</v>
      </c>
      <c r="S2155">
        <v>-3.0569760000000001</v>
      </c>
      <c r="T2155">
        <v>-7.9259990000000002E-2</v>
      </c>
      <c r="U2155">
        <v>-7.6293949999999998E-3</v>
      </c>
      <c r="V2155">
        <v>-5.1598140000000001E-2</v>
      </c>
      <c r="W2155">
        <v>0.1699957</v>
      </c>
      <c r="X2155">
        <v>0.984093</v>
      </c>
      <c r="Y2155">
        <v>6.1725690000000001E-3</v>
      </c>
      <c r="Z2155">
        <v>2.494288E-4</v>
      </c>
      <c r="AA2155">
        <v>0.99998089999999995</v>
      </c>
      <c r="AB2155">
        <v>33</v>
      </c>
      <c r="AC2155">
        <v>-42.674599999999998</v>
      </c>
      <c r="AD2155">
        <v>-1.1112771536249999</v>
      </c>
      <c r="AE2155">
        <v>-0.104600000000004</v>
      </c>
      <c r="AF2155">
        <v>0.265306937795103</v>
      </c>
      <c r="AG2155">
        <v>-1.1112771536249999</v>
      </c>
      <c r="AH2155">
        <v>42.644984168621299</v>
      </c>
      <c r="AI2155">
        <v>91.492692617674507</v>
      </c>
      <c r="AJ2155">
        <v>89.643550771635006</v>
      </c>
      <c r="AK2155">
        <v>42.660285974491202</v>
      </c>
      <c r="AL2155">
        <v>80.212430651340398</v>
      </c>
      <c r="AM2155">
        <v>93.001394150745497</v>
      </c>
      <c r="AN2155">
        <v>0.99999996935947399</v>
      </c>
    </row>
    <row r="2156" spans="1:40" x14ac:dyDescent="0.25">
      <c r="A2156" t="str">
        <f>"20190304155637077"</f>
        <v>20190304155637077</v>
      </c>
      <c r="B2156" t="str">
        <f>"1551686197067258"</f>
        <v>1551686197067258</v>
      </c>
      <c r="C2156" t="s">
        <v>40</v>
      </c>
      <c r="D2156">
        <v>4.7085039999999996</v>
      </c>
      <c r="E2156">
        <v>0.52205859999999904</v>
      </c>
      <c r="F2156" t="s">
        <v>55</v>
      </c>
      <c r="G2156">
        <v>-349.52069999999998</v>
      </c>
      <c r="H2156" s="1">
        <v>3.5296539999999999E-6</v>
      </c>
      <c r="I2156">
        <v>284.37580000000003</v>
      </c>
      <c r="J2156">
        <v>-305.74149999999997</v>
      </c>
      <c r="K2156">
        <v>1.1112340000000001</v>
      </c>
      <c r="L2156">
        <v>284.51119999999997</v>
      </c>
      <c r="M2156">
        <v>-0.99990480000000004</v>
      </c>
      <c r="N2156">
        <v>-9.9181849999999995E-3</v>
      </c>
      <c r="O2156">
        <v>-9.5984339999999994E-3</v>
      </c>
      <c r="P2156">
        <v>-0.98516769999999998</v>
      </c>
      <c r="Q2156">
        <v>0.1603977</v>
      </c>
      <c r="R2156">
        <v>-6.0970730000000001E-2</v>
      </c>
      <c r="S2156">
        <v>-3.056915</v>
      </c>
      <c r="T2156">
        <v>-7.7279089999999995E-2</v>
      </c>
      <c r="U2156">
        <v>-9.5825200000000006E-3</v>
      </c>
      <c r="V2156">
        <v>-5.2168060000000002E-2</v>
      </c>
      <c r="W2156">
        <v>0.16996610000000001</v>
      </c>
      <c r="X2156">
        <v>0.9840681</v>
      </c>
      <c r="Y2156">
        <v>6.4603100000000004E-3</v>
      </c>
      <c r="Z2156">
        <v>2.611035E-4</v>
      </c>
      <c r="AA2156">
        <v>0.99997910000000001</v>
      </c>
      <c r="AB2156">
        <v>33</v>
      </c>
      <c r="AC2156">
        <v>-43.779200000000003</v>
      </c>
      <c r="AD2156">
        <v>-1.1112304703460001</v>
      </c>
      <c r="AE2156">
        <v>-0.13539999999994701</v>
      </c>
      <c r="AF2156">
        <v>0.28465525137953002</v>
      </c>
      <c r="AG2156">
        <v>-1.1112304703460001</v>
      </c>
      <c r="AH2156">
        <v>43.750295719273304</v>
      </c>
      <c r="AI2156">
        <v>91.454933778547002</v>
      </c>
      <c r="AJ2156">
        <v>89.627218190976606</v>
      </c>
      <c r="AK2156">
        <v>43.765331454179901</v>
      </c>
      <c r="AL2156">
        <v>80.214151989301101</v>
      </c>
      <c r="AM2156">
        <v>93.034560646371702</v>
      </c>
      <c r="AN2156">
        <v>1.0000000035354899</v>
      </c>
    </row>
    <row r="2157" spans="1:40" x14ac:dyDescent="0.25">
      <c r="A2157" t="str">
        <f>"20190304155637088"</f>
        <v>20190304155637088</v>
      </c>
      <c r="B2157" t="str">
        <f>"1551686197087029"</f>
        <v>1551686197087029</v>
      </c>
      <c r="C2157" t="s">
        <v>40</v>
      </c>
      <c r="D2157">
        <v>4.605588</v>
      </c>
      <c r="E2157">
        <v>0.52242860000000002</v>
      </c>
      <c r="F2157" t="s">
        <v>55</v>
      </c>
      <c r="G2157">
        <v>-350.12889999999999</v>
      </c>
      <c r="H2157" s="1">
        <v>-1.4681960000000001E-6</v>
      </c>
      <c r="I2157">
        <v>284.32819999999998</v>
      </c>
      <c r="J2157">
        <v>-305.92349999999999</v>
      </c>
      <c r="K2157">
        <v>1.1111839999999999</v>
      </c>
      <c r="L2157">
        <v>284.5086</v>
      </c>
      <c r="M2157">
        <v>-0.9998956</v>
      </c>
      <c r="N2157">
        <v>-9.9198949999999998E-3</v>
      </c>
      <c r="O2157">
        <v>-1.05161E-2</v>
      </c>
      <c r="P2157">
        <v>-0.98508830000000003</v>
      </c>
      <c r="Q2157">
        <v>0.16026399999999999</v>
      </c>
      <c r="R2157">
        <v>-6.2582079999999998E-2</v>
      </c>
      <c r="S2157">
        <v>-3.0568240000000002</v>
      </c>
      <c r="T2157">
        <v>-7.6527360000000003E-2</v>
      </c>
      <c r="U2157">
        <v>-1.260376E-2</v>
      </c>
      <c r="V2157">
        <v>-5.2854810000000002E-2</v>
      </c>
      <c r="W2157">
        <v>0.16983779999999901</v>
      </c>
      <c r="X2157">
        <v>0.98405359999999997</v>
      </c>
      <c r="Y2157">
        <v>6.3896419999999897E-3</v>
      </c>
      <c r="Z2157">
        <v>2.7057889999999998E-4</v>
      </c>
      <c r="AA2157">
        <v>0.99997959999999997</v>
      </c>
      <c r="AB2157">
        <v>33</v>
      </c>
      <c r="AC2157">
        <v>-44.205399999999997</v>
      </c>
      <c r="AD2157">
        <v>-1.1111854681960001</v>
      </c>
      <c r="AE2157">
        <v>-0.18040000000001999</v>
      </c>
      <c r="AF2157">
        <v>0.28432156106886802</v>
      </c>
      <c r="AG2157">
        <v>-1.1111854681960001</v>
      </c>
      <c r="AH2157">
        <v>44.1769393101793</v>
      </c>
      <c r="AI2157">
        <v>91.440830878014907</v>
      </c>
      <c r="AJ2157">
        <v>89.631251037128095</v>
      </c>
      <c r="AK2157">
        <v>44.191826605268098</v>
      </c>
      <c r="AL2157">
        <v>80.221611441597503</v>
      </c>
      <c r="AM2157">
        <v>93.074477239616698</v>
      </c>
      <c r="AN2157">
        <v>0.99999999846096799</v>
      </c>
    </row>
    <row r="2158" spans="1:40" x14ac:dyDescent="0.25">
      <c r="A2158" t="str">
        <f>"20190304155637108"</f>
        <v>20190304155637108</v>
      </c>
      <c r="B2158" t="str">
        <f>"1551686197096789"</f>
        <v>1551686197096789</v>
      </c>
      <c r="C2158" t="s">
        <v>40</v>
      </c>
      <c r="D2158">
        <v>4.6246859999999996</v>
      </c>
      <c r="E2158">
        <v>0.52261020000000002</v>
      </c>
      <c r="F2158" t="s">
        <v>55</v>
      </c>
      <c r="G2158">
        <v>-350.42189999999999</v>
      </c>
      <c r="H2158" s="1">
        <v>-1.312257E-6</v>
      </c>
      <c r="I2158">
        <v>284.2962</v>
      </c>
      <c r="J2158">
        <v>-306.19470000000001</v>
      </c>
      <c r="K2158">
        <v>1.1111009999999999</v>
      </c>
      <c r="L2158">
        <v>284.50450000000001</v>
      </c>
      <c r="M2158">
        <v>-0.99988160000000004</v>
      </c>
      <c r="N2158">
        <v>-9.9221640000000007E-3</v>
      </c>
      <c r="O2158">
        <v>-1.176848E-2</v>
      </c>
      <c r="P2158">
        <v>-0.98499700000000001</v>
      </c>
      <c r="Q2158">
        <v>0.15987870000000001</v>
      </c>
      <c r="R2158">
        <v>-6.4959169999999997E-2</v>
      </c>
      <c r="S2158">
        <v>-3.056915</v>
      </c>
      <c r="T2158">
        <v>-7.6335189999999997E-2</v>
      </c>
      <c r="U2158">
        <v>-1.45874E-2</v>
      </c>
      <c r="V2158">
        <v>-5.3960540000000001E-2</v>
      </c>
      <c r="W2158">
        <v>0.1694619</v>
      </c>
      <c r="X2158">
        <v>0.9840584</v>
      </c>
      <c r="Y2158">
        <v>6.992992E-3</v>
      </c>
      <c r="Z2158">
        <v>2.9905630000000001E-4</v>
      </c>
      <c r="AA2158">
        <v>0.99997550000000002</v>
      </c>
      <c r="AB2158">
        <v>33</v>
      </c>
      <c r="AC2158">
        <v>-44.227199999999897</v>
      </c>
      <c r="AD2158">
        <v>-1.1111023122570001</v>
      </c>
      <c r="AE2158">
        <v>-0.20830000000000801</v>
      </c>
      <c r="AF2158">
        <v>0.31202999413503602</v>
      </c>
      <c r="AG2158">
        <v>-1.1111023122570001</v>
      </c>
      <c r="AH2158">
        <v>44.198693248061602</v>
      </c>
      <c r="AI2158">
        <v>91.4400082365961</v>
      </c>
      <c r="AJ2158">
        <v>89.595515083587401</v>
      </c>
      <c r="AK2158">
        <v>44.213757993432203</v>
      </c>
      <c r="AL2158">
        <v>80.243465780662802</v>
      </c>
      <c r="AM2158">
        <v>93.1386531702057</v>
      </c>
      <c r="AN2158">
        <v>1.00000000501963</v>
      </c>
    </row>
    <row r="2159" spans="1:40" x14ac:dyDescent="0.25">
      <c r="A2159" t="str">
        <f>"20190304155637121"</f>
        <v>20190304155637121</v>
      </c>
      <c r="B2159" t="str">
        <f>"1551686197117285"</f>
        <v>1551686197117285</v>
      </c>
      <c r="C2159" t="s">
        <v>40</v>
      </c>
      <c r="D2159">
        <v>4.5994760000000001</v>
      </c>
      <c r="E2159">
        <v>0.5230205</v>
      </c>
      <c r="F2159" t="s">
        <v>55</v>
      </c>
      <c r="G2159">
        <v>-350.11799999999999</v>
      </c>
      <c r="H2159" s="1">
        <v>-1.474002E-6</v>
      </c>
      <c r="I2159">
        <v>284.21460000000002</v>
      </c>
      <c r="J2159">
        <v>-306.38249999999999</v>
      </c>
      <c r="K2159">
        <v>1.1110260000000001</v>
      </c>
      <c r="L2159">
        <v>284.50150000000002</v>
      </c>
      <c r="M2159">
        <v>-0.99987199999999998</v>
      </c>
      <c r="N2159">
        <v>-9.923589E-3</v>
      </c>
      <c r="O2159">
        <v>-1.255217E-2</v>
      </c>
      <c r="P2159">
        <v>-0.98487579999999997</v>
      </c>
      <c r="Q2159">
        <v>0.16000429999999999</v>
      </c>
      <c r="R2159">
        <v>-6.647132E-2</v>
      </c>
      <c r="S2159">
        <v>-3.056915</v>
      </c>
      <c r="T2159">
        <v>-7.7329040000000002E-2</v>
      </c>
      <c r="U2159">
        <v>-2.0172120000000002E-2</v>
      </c>
      <c r="V2159">
        <v>-5.4671560000000001E-2</v>
      </c>
      <c r="W2159">
        <v>0.1695953</v>
      </c>
      <c r="X2159">
        <v>0.98399619999999999</v>
      </c>
      <c r="Y2159">
        <v>5.950197E-3</v>
      </c>
      <c r="Z2159">
        <v>2.9768319999999999E-4</v>
      </c>
      <c r="AA2159">
        <v>0.99998220000000004</v>
      </c>
      <c r="AB2159">
        <v>33</v>
      </c>
      <c r="AC2159">
        <v>-43.735500000000002</v>
      </c>
      <c r="AD2159">
        <v>-1.1110274740019901</v>
      </c>
      <c r="AE2159">
        <v>-0.28690000000000199</v>
      </c>
      <c r="AF2159">
        <v>0.26195601397195101</v>
      </c>
      <c r="AG2159">
        <v>-1.1110274740019901</v>
      </c>
      <c r="AH2159">
        <v>43.707451016987598</v>
      </c>
      <c r="AI2159">
        <v>91.456098116296303</v>
      </c>
      <c r="AJ2159">
        <v>89.656607878932604</v>
      </c>
      <c r="AK2159">
        <v>43.722354435730097</v>
      </c>
      <c r="AL2159">
        <v>80.235710544863693</v>
      </c>
      <c r="AM2159">
        <v>93.180126425025904</v>
      </c>
      <c r="AN2159">
        <v>1.0000000334346799</v>
      </c>
    </row>
    <row r="2160" spans="1:40" x14ac:dyDescent="0.25">
      <c r="A2160" t="str">
        <f>"20190304155637132"</f>
        <v>20190304155637132</v>
      </c>
      <c r="B2160" t="str">
        <f>"1551686197127046"</f>
        <v>1551686197127046</v>
      </c>
      <c r="C2160" t="s">
        <v>40</v>
      </c>
      <c r="D2160">
        <v>4.6658229999999996</v>
      </c>
      <c r="E2160">
        <v>0.52318480000000001</v>
      </c>
      <c r="F2160" t="s">
        <v>55</v>
      </c>
      <c r="G2160">
        <v>-350.69810000000001</v>
      </c>
      <c r="H2160" s="1">
        <v>-1.1653080000000001E-6</v>
      </c>
      <c r="I2160">
        <v>284.19049999999999</v>
      </c>
      <c r="J2160">
        <v>-306.56740000000002</v>
      </c>
      <c r="K2160">
        <v>1.1109519999999999</v>
      </c>
      <c r="L2160">
        <v>284.49849999999998</v>
      </c>
      <c r="M2160">
        <v>-0.99986260000000005</v>
      </c>
      <c r="N2160">
        <v>-9.9249879999999992E-3</v>
      </c>
      <c r="O2160">
        <v>-1.328361E-2</v>
      </c>
      <c r="P2160">
        <v>-0.98478650000000001</v>
      </c>
      <c r="Q2160">
        <v>0.1599959</v>
      </c>
      <c r="R2160">
        <v>-6.7800949999999999E-2</v>
      </c>
      <c r="S2160">
        <v>-3.0570680000000001</v>
      </c>
      <c r="T2160">
        <v>-7.664311E-2</v>
      </c>
      <c r="U2160">
        <v>-2.1453860000000002E-2</v>
      </c>
      <c r="V2160">
        <v>-5.5250529999999999E-2</v>
      </c>
      <c r="W2160">
        <v>0.16959630000000001</v>
      </c>
      <c r="X2160">
        <v>0.9839637</v>
      </c>
      <c r="Y2160">
        <v>6.262671E-3</v>
      </c>
      <c r="Z2160">
        <v>3.107079E-4</v>
      </c>
      <c r="AA2160">
        <v>0.99998030000000004</v>
      </c>
      <c r="AB2160">
        <v>33</v>
      </c>
      <c r="AC2160">
        <v>-44.130699999999898</v>
      </c>
      <c r="AD2160">
        <v>-1.110953165308</v>
      </c>
      <c r="AE2160">
        <v>-0.307999999999992</v>
      </c>
      <c r="AF2160">
        <v>0.27809477742342698</v>
      </c>
      <c r="AG2160">
        <v>-1.110953165308</v>
      </c>
      <c r="AH2160">
        <v>44.102949111477997</v>
      </c>
      <c r="AI2160">
        <v>91.442946697793403</v>
      </c>
      <c r="AJ2160">
        <v>89.638721532210198</v>
      </c>
      <c r="AK2160">
        <v>44.117815834086301</v>
      </c>
      <c r="AL2160">
        <v>80.2356525157725</v>
      </c>
      <c r="AM2160">
        <v>93.213839561741807</v>
      </c>
      <c r="AN2160">
        <v>1.0000000444783199</v>
      </c>
    </row>
    <row r="2161" spans="1:40" x14ac:dyDescent="0.25">
      <c r="A2161" t="str">
        <f>"20190304155637144"</f>
        <v>20190304155637144</v>
      </c>
      <c r="B2161" t="str">
        <f>"1551686197136806"</f>
        <v>1551686197136806</v>
      </c>
      <c r="C2161" t="s">
        <v>40</v>
      </c>
      <c r="D2161">
        <v>4.6122880000000004</v>
      </c>
      <c r="E2161">
        <v>0.52332559999999995</v>
      </c>
      <c r="F2161" t="s">
        <v>55</v>
      </c>
      <c r="G2161">
        <v>-351.1354</v>
      </c>
      <c r="H2161" s="1">
        <v>-9.3258130000000001E-7</v>
      </c>
      <c r="I2161">
        <v>284.14789999999999</v>
      </c>
      <c r="J2161">
        <v>-306.74220000000003</v>
      </c>
      <c r="K2161">
        <v>1.1108690000000001</v>
      </c>
      <c r="L2161">
        <v>284.49560000000002</v>
      </c>
      <c r="M2161">
        <v>-0.99985420000000003</v>
      </c>
      <c r="N2161">
        <v>-9.9261899999999997E-3</v>
      </c>
      <c r="O2161">
        <v>-1.390607E-2</v>
      </c>
      <c r="P2161">
        <v>-0.98465510000000001</v>
      </c>
      <c r="Q2161">
        <v>0.16027759999999999</v>
      </c>
      <c r="R2161">
        <v>-6.9032070000000001E-2</v>
      </c>
      <c r="S2161">
        <v>-3.0570680000000001</v>
      </c>
      <c r="T2161">
        <v>-7.6203939999999998E-2</v>
      </c>
      <c r="U2161">
        <v>-2.4047849999999999E-2</v>
      </c>
      <c r="V2161">
        <v>-5.5838400000000003E-2</v>
      </c>
      <c r="W2161">
        <v>0.1698867</v>
      </c>
      <c r="X2161">
        <v>0.98388039999999999</v>
      </c>
      <c r="Y2161">
        <v>6.0368280000000002E-3</v>
      </c>
      <c r="Z2161">
        <v>3.1373490000000001E-4</v>
      </c>
      <c r="AA2161">
        <v>0.99998169999999997</v>
      </c>
      <c r="AB2161">
        <v>33</v>
      </c>
      <c r="AC2161">
        <v>-44.393199999999901</v>
      </c>
      <c r="AD2161">
        <v>-1.1108699325813001</v>
      </c>
      <c r="AE2161">
        <v>-0.34770000000003098</v>
      </c>
      <c r="AF2161">
        <v>0.26953012210343502</v>
      </c>
      <c r="AG2161">
        <v>-1.1108699325813001</v>
      </c>
      <c r="AH2161">
        <v>44.365963385250701</v>
      </c>
      <c r="AI2161">
        <v>91.434290701259997</v>
      </c>
      <c r="AJ2161">
        <v>89.651923517777206</v>
      </c>
      <c r="AK2161">
        <v>44.380687078900003</v>
      </c>
      <c r="AL2161">
        <v>80.218768669661998</v>
      </c>
      <c r="AM2161">
        <v>93.248236640727896</v>
      </c>
      <c r="AN2161">
        <v>1.0000000296278</v>
      </c>
    </row>
    <row r="2162" spans="1:40" x14ac:dyDescent="0.25">
      <c r="A2162" t="str">
        <f>"20190304155637165"</f>
        <v>20190304155637165</v>
      </c>
      <c r="B2162" t="str">
        <f>"1551686197157301"</f>
        <v>1551686197157301</v>
      </c>
      <c r="C2162" t="s">
        <v>40</v>
      </c>
      <c r="D2162">
        <v>4.9691769999999904</v>
      </c>
      <c r="E2162">
        <v>0.52339360000000001</v>
      </c>
      <c r="F2162" t="s">
        <v>55</v>
      </c>
      <c r="G2162">
        <v>-351.8827</v>
      </c>
      <c r="H2162" s="1">
        <v>-5.3492719999999899E-7</v>
      </c>
      <c r="I2162">
        <v>284.10129999999998</v>
      </c>
      <c r="J2162">
        <v>-307.036</v>
      </c>
      <c r="K2162">
        <v>1.110733</v>
      </c>
      <c r="L2162">
        <v>284.4905</v>
      </c>
      <c r="M2162">
        <v>-0.99984059999999997</v>
      </c>
      <c r="N2162">
        <v>-9.928437E-3</v>
      </c>
      <c r="O2162">
        <v>-1.4836159999999999E-2</v>
      </c>
      <c r="P2162">
        <v>-0.98445419999999995</v>
      </c>
      <c r="Q2162">
        <v>0.1606851</v>
      </c>
      <c r="R2162">
        <v>-7.0924210000000001E-2</v>
      </c>
      <c r="S2162">
        <v>-3.0571290000000002</v>
      </c>
      <c r="T2162">
        <v>-7.5233460000000002E-2</v>
      </c>
      <c r="U2162">
        <v>-2.6702879999999998E-2</v>
      </c>
      <c r="V2162">
        <v>-5.6761209999999999E-2</v>
      </c>
      <c r="W2162">
        <v>0.17031099999999999</v>
      </c>
      <c r="X2162">
        <v>0.98375420000000002</v>
      </c>
      <c r="Y2162">
        <v>6.0988020000000004E-3</v>
      </c>
      <c r="Z2162">
        <v>3.2304779999999997E-4</v>
      </c>
      <c r="AA2162">
        <v>0.99998129999999996</v>
      </c>
      <c r="AB2162">
        <v>33</v>
      </c>
      <c r="AC2162">
        <v>-44.846699999999998</v>
      </c>
      <c r="AD2162">
        <v>-1.1107335349271901</v>
      </c>
      <c r="AE2162">
        <v>-0.38920000000001598</v>
      </c>
      <c r="AF2162">
        <v>0.27605915445989099</v>
      </c>
      <c r="AG2162">
        <v>-1.1107335349271901</v>
      </c>
      <c r="AH2162">
        <v>44.820046622715203</v>
      </c>
      <c r="AI2162">
        <v>91.419590533039695</v>
      </c>
      <c r="AJ2162">
        <v>89.647103793333997</v>
      </c>
      <c r="AK2162">
        <v>44.834657541958897</v>
      </c>
      <c r="AL2162">
        <v>80.1940982486705</v>
      </c>
      <c r="AM2162">
        <v>93.302223254650798</v>
      </c>
      <c r="AN2162">
        <v>0.99999999884965196</v>
      </c>
    </row>
    <row r="2163" spans="1:40" x14ac:dyDescent="0.25">
      <c r="A2163" t="str">
        <f>"20190304155637186"</f>
        <v>20190304155637186</v>
      </c>
      <c r="B2163" t="str">
        <f>"1551686197176822"</f>
        <v>1551686197176822</v>
      </c>
      <c r="C2163" t="s">
        <v>40</v>
      </c>
      <c r="D2163">
        <v>4.634436</v>
      </c>
      <c r="E2163">
        <v>0.52330949999999998</v>
      </c>
      <c r="F2163" t="s">
        <v>55</v>
      </c>
      <c r="G2163">
        <v>-353.57389999999998</v>
      </c>
      <c r="H2163" s="1">
        <v>3.6504629999999998E-7</v>
      </c>
      <c r="I2163">
        <v>284.012</v>
      </c>
      <c r="J2163">
        <v>-307.35250000000002</v>
      </c>
      <c r="K2163">
        <v>1.1105849999999999</v>
      </c>
      <c r="L2163">
        <v>284.48500000000001</v>
      </c>
      <c r="M2163">
        <v>-0.99982819999999994</v>
      </c>
      <c r="N2163">
        <v>-9.9312329999999994E-3</v>
      </c>
      <c r="O2163">
        <v>-1.566174E-2</v>
      </c>
      <c r="P2163">
        <v>-0.98432710000000001</v>
      </c>
      <c r="Q2163">
        <v>0.16084999999999999</v>
      </c>
      <c r="R2163">
        <v>-7.2303999999999993E-2</v>
      </c>
      <c r="S2163">
        <v>-3.057007</v>
      </c>
      <c r="T2163">
        <v>-7.2962399999999997E-2</v>
      </c>
      <c r="U2163">
        <v>-3.143311E-2</v>
      </c>
      <c r="V2163">
        <v>-5.7265459999999997E-2</v>
      </c>
      <c r="W2163">
        <v>0.17049800000000001</v>
      </c>
      <c r="X2163">
        <v>0.98369260000000003</v>
      </c>
      <c r="Y2163">
        <v>5.3774840000000001E-3</v>
      </c>
      <c r="Z2163">
        <v>3.0905720000000002E-4</v>
      </c>
      <c r="AA2163">
        <v>0.99998549999999997</v>
      </c>
      <c r="AB2163">
        <v>33</v>
      </c>
      <c r="AC2163">
        <v>-46.221399999999903</v>
      </c>
      <c r="AD2163">
        <v>-1.1105846349537001</v>
      </c>
      <c r="AE2163">
        <v>-0.47300000000001302</v>
      </c>
      <c r="AF2163">
        <v>0.250856335792778</v>
      </c>
      <c r="AG2163">
        <v>-1.1105846349537001</v>
      </c>
      <c r="AH2163">
        <v>46.196471249744498</v>
      </c>
      <c r="AI2163">
        <v>91.377131602600301</v>
      </c>
      <c r="AJ2163">
        <v>89.688875196616294</v>
      </c>
      <c r="AK2163">
        <v>46.210499705814399</v>
      </c>
      <c r="AL2163">
        <v>80.1832250775593</v>
      </c>
      <c r="AM2163">
        <v>93.3317016062025</v>
      </c>
      <c r="AN2163">
        <v>1.00000001610388</v>
      </c>
    </row>
    <row r="2164" spans="1:40" x14ac:dyDescent="0.25">
      <c r="A2164" t="str">
        <f>"20190304155637199"</f>
        <v>20190304155637199</v>
      </c>
      <c r="B2164" t="str">
        <f>"1551686197197319"</f>
        <v>1551686197197319</v>
      </c>
      <c r="C2164" t="s">
        <v>40</v>
      </c>
      <c r="D2164">
        <v>4.6303869999999998</v>
      </c>
      <c r="E2164">
        <v>0.52351309999999995</v>
      </c>
      <c r="F2164" t="s">
        <v>55</v>
      </c>
      <c r="G2164">
        <v>-355.32749999999999</v>
      </c>
      <c r="H2164" s="1">
        <v>1.29823999999999E-6</v>
      </c>
      <c r="I2164">
        <v>283.91930000000002</v>
      </c>
      <c r="J2164">
        <v>-307.5428</v>
      </c>
      <c r="K2164">
        <v>1.1104879999999999</v>
      </c>
      <c r="L2164">
        <v>284.48160000000001</v>
      </c>
      <c r="M2164">
        <v>-0.99982190000000004</v>
      </c>
      <c r="N2164">
        <v>-9.9328750000000007E-3</v>
      </c>
      <c r="O2164">
        <v>-1.6052770000000001E-2</v>
      </c>
      <c r="P2164">
        <v>-0.98426689999999994</v>
      </c>
      <c r="Q2164">
        <v>0.16099550000000001</v>
      </c>
      <c r="R2164">
        <v>-7.2797760000000003E-2</v>
      </c>
      <c r="S2164">
        <v>-3.0566409999999999</v>
      </c>
      <c r="T2164">
        <v>-7.075882E-2</v>
      </c>
      <c r="U2164">
        <v>-3.6041259999999999E-2</v>
      </c>
      <c r="V2164">
        <v>-5.7335610000000002E-2</v>
      </c>
      <c r="W2164">
        <v>0.17065820000000001</v>
      </c>
      <c r="X2164">
        <v>0.98366070000000005</v>
      </c>
      <c r="Y2164">
        <v>4.2606190000000002E-3</v>
      </c>
      <c r="Z2164">
        <v>2.8255229999999998E-4</v>
      </c>
      <c r="AA2164">
        <v>0.99999090000000002</v>
      </c>
      <c r="AB2164">
        <v>33</v>
      </c>
      <c r="AC2164">
        <v>-47.784700000000001</v>
      </c>
      <c r="AD2164">
        <v>-1.11048670176</v>
      </c>
      <c r="AE2164">
        <v>-0.56229999999999303</v>
      </c>
      <c r="AF2164">
        <v>0.20477645477379799</v>
      </c>
      <c r="AG2164">
        <v>-1.11048670176</v>
      </c>
      <c r="AH2164">
        <v>47.7617779908459</v>
      </c>
      <c r="AI2164">
        <v>91.331905091619802</v>
      </c>
      <c r="AJ2164">
        <v>89.754348451742104</v>
      </c>
      <c r="AK2164">
        <v>47.7751248136315</v>
      </c>
      <c r="AL2164">
        <v>80.173909442274507</v>
      </c>
      <c r="AM2164">
        <v>93.3358816533257</v>
      </c>
      <c r="AN2164">
        <v>0.99999998306290006</v>
      </c>
    </row>
    <row r="2165" spans="1:40" x14ac:dyDescent="0.25">
      <c r="A2165" t="str">
        <f>"20190304155637211"</f>
        <v>20190304155637211</v>
      </c>
      <c r="B2165" t="str">
        <f>"1551686197207077"</f>
        <v>1551686197207077</v>
      </c>
      <c r="C2165" t="s">
        <v>40</v>
      </c>
      <c r="D2165">
        <v>4.6580649999999997</v>
      </c>
      <c r="E2165">
        <v>0.52368019999999904</v>
      </c>
      <c r="F2165" t="s">
        <v>55</v>
      </c>
      <c r="G2165">
        <v>-357.8211</v>
      </c>
      <c r="H2165" s="1">
        <v>2.6252179999999999E-6</v>
      </c>
      <c r="I2165">
        <v>283.89569999999998</v>
      </c>
      <c r="J2165">
        <v>-307.738</v>
      </c>
      <c r="K2165">
        <v>1.1103860000000001</v>
      </c>
      <c r="L2165">
        <v>284.47809999999998</v>
      </c>
      <c r="M2165">
        <v>-0.99981609999999999</v>
      </c>
      <c r="N2165">
        <v>-9.9345969999999999E-3</v>
      </c>
      <c r="O2165">
        <v>-1.640146E-2</v>
      </c>
      <c r="P2165">
        <v>-0.98427419999999999</v>
      </c>
      <c r="Q2165">
        <v>0.1607218</v>
      </c>
      <c r="R2165">
        <v>-7.3297319999999999E-2</v>
      </c>
      <c r="S2165">
        <v>-3.0563660000000001</v>
      </c>
      <c r="T2165">
        <v>-6.7505239999999994E-2</v>
      </c>
      <c r="U2165">
        <v>-3.5614010000000001E-2</v>
      </c>
      <c r="V2165">
        <v>-5.7449849999999997E-2</v>
      </c>
      <c r="W2165">
        <v>0.17039979999999999</v>
      </c>
      <c r="X2165">
        <v>0.98369879999999998</v>
      </c>
      <c r="Y2165">
        <v>4.7482210000000004E-3</v>
      </c>
      <c r="Z2165">
        <v>2.7525869999999998E-4</v>
      </c>
      <c r="AA2165">
        <v>0.99998869999999895</v>
      </c>
      <c r="AB2165">
        <v>33</v>
      </c>
      <c r="AC2165">
        <v>-50.083100000000002</v>
      </c>
      <c r="AD2165">
        <v>-1.110383374782</v>
      </c>
      <c r="AE2165">
        <v>-0.58240000000000602</v>
      </c>
      <c r="AF2165">
        <v>0.239037392434684</v>
      </c>
      <c r="AG2165">
        <v>-1.110383374782</v>
      </c>
      <c r="AH2165">
        <v>50.061311116815503</v>
      </c>
      <c r="AI2165">
        <v>91.270624452864595</v>
      </c>
      <c r="AJ2165">
        <v>89.726420875888095</v>
      </c>
      <c r="AK2165">
        <v>50.074194560158098</v>
      </c>
      <c r="AL2165">
        <v>80.188934456127697</v>
      </c>
      <c r="AM2165">
        <v>93.342384105678406</v>
      </c>
      <c r="AN2165">
        <v>0.99999995311324996</v>
      </c>
    </row>
    <row r="2166" spans="1:40" x14ac:dyDescent="0.25">
      <c r="A2166" t="str">
        <f>"20190304155637231"</f>
        <v>20190304155637231</v>
      </c>
      <c r="B2166" t="str">
        <f>"1551686197226598"</f>
        <v>1551686197226598</v>
      </c>
      <c r="C2166" t="s">
        <v>40</v>
      </c>
      <c r="D2166">
        <v>4.6523450000000004</v>
      </c>
      <c r="E2166">
        <v>0.52383459999999904</v>
      </c>
      <c r="F2166" t="s">
        <v>55</v>
      </c>
      <c r="G2166">
        <v>-358.34820000000002</v>
      </c>
      <c r="H2166" s="1">
        <v>2.9057130000000001E-6</v>
      </c>
      <c r="I2166">
        <v>283.88889999999998</v>
      </c>
      <c r="J2166">
        <v>-308.01679999999999</v>
      </c>
      <c r="K2166">
        <v>1.110244</v>
      </c>
      <c r="L2166">
        <v>284.47309999999999</v>
      </c>
      <c r="M2166">
        <v>-0.99981019999999998</v>
      </c>
      <c r="N2166">
        <v>-9.9372990000000001E-3</v>
      </c>
      <c r="O2166">
        <v>-1.6759090000000001E-2</v>
      </c>
      <c r="P2166">
        <v>-0.98421099999999995</v>
      </c>
      <c r="Q2166">
        <v>0.1607402</v>
      </c>
      <c r="R2166">
        <v>-7.4102489999999993E-2</v>
      </c>
      <c r="S2166">
        <v>-3.056244</v>
      </c>
      <c r="T2166">
        <v>-6.7053680000000004E-2</v>
      </c>
      <c r="U2166">
        <v>-3.5583499999999997E-2</v>
      </c>
      <c r="V2166">
        <v>-5.7843930000000002E-2</v>
      </c>
      <c r="W2166">
        <v>0.17044019999999999</v>
      </c>
      <c r="X2166">
        <v>0.98366869999999995</v>
      </c>
      <c r="Y2166">
        <v>5.1153290000000001E-3</v>
      </c>
      <c r="Z2166">
        <v>2.8260509999999999E-4</v>
      </c>
      <c r="AA2166">
        <v>0.99998690000000001</v>
      </c>
      <c r="AB2166">
        <v>33</v>
      </c>
      <c r="AC2166">
        <v>-50.331400000000002</v>
      </c>
      <c r="AD2166">
        <v>-1.110241094287</v>
      </c>
      <c r="AE2166">
        <v>-0.58420000000000905</v>
      </c>
      <c r="AF2166">
        <v>0.25930598968702201</v>
      </c>
      <c r="AG2166">
        <v>-1.110241094287</v>
      </c>
      <c r="AH2166">
        <v>50.309645231871301</v>
      </c>
      <c r="AI2166">
        <v>91.264190210441399</v>
      </c>
      <c r="AJ2166">
        <v>89.704688689786593</v>
      </c>
      <c r="AK2166">
        <v>50.322562317915398</v>
      </c>
      <c r="AL2166">
        <v>80.186585278862395</v>
      </c>
      <c r="AM2166">
        <v>93.3653615748931</v>
      </c>
      <c r="AN2166">
        <v>0.99999994668678505</v>
      </c>
    </row>
    <row r="2167" spans="1:40" x14ac:dyDescent="0.25">
      <c r="A2167" t="str">
        <f>"20190304155637243"</f>
        <v>20190304155637243</v>
      </c>
      <c r="B2167" t="str">
        <f>"1551686197237334"</f>
        <v>1551686197237334</v>
      </c>
      <c r="C2167" t="s">
        <v>40</v>
      </c>
      <c r="D2167">
        <v>4.649832</v>
      </c>
      <c r="E2167">
        <v>0.52389370000000002</v>
      </c>
      <c r="F2167" t="s">
        <v>55</v>
      </c>
      <c r="G2167">
        <v>-360.00360000000001</v>
      </c>
      <c r="H2167" s="1">
        <v>-1.5348919999999999E-6</v>
      </c>
      <c r="I2167">
        <v>283.8553</v>
      </c>
      <c r="J2167">
        <v>-308.20229999999998</v>
      </c>
      <c r="K2167">
        <v>1.110161</v>
      </c>
      <c r="L2167">
        <v>284.46980000000002</v>
      </c>
      <c r="M2167">
        <v>-0.99980749999999996</v>
      </c>
      <c r="N2167">
        <v>-9.9391930000000007E-3</v>
      </c>
      <c r="O2167">
        <v>-1.6913669999999999E-2</v>
      </c>
      <c r="P2167">
        <v>-0.98409749999999996</v>
      </c>
      <c r="Q2167">
        <v>0.16125349999999999</v>
      </c>
      <c r="R2167">
        <v>-7.4495309999999995E-2</v>
      </c>
      <c r="S2167">
        <v>-3.0560299999999998</v>
      </c>
      <c r="T2167">
        <v>-6.5265539999999997E-2</v>
      </c>
      <c r="U2167">
        <v>-3.6315920000000002E-2</v>
      </c>
      <c r="V2167">
        <v>-5.8049160000000002E-2</v>
      </c>
      <c r="W2167">
        <v>0.17096639999999999</v>
      </c>
      <c r="X2167">
        <v>0.98356529999999998</v>
      </c>
      <c r="Y2167">
        <v>5.0297079999999999E-3</v>
      </c>
      <c r="Z2167">
        <v>2.7173259999999999E-4</v>
      </c>
      <c r="AA2167">
        <v>0.99998730000000002</v>
      </c>
      <c r="AB2167">
        <v>33</v>
      </c>
      <c r="AC2167">
        <v>-51.801299999999998</v>
      </c>
      <c r="AD2167">
        <v>-1.1101625348919999</v>
      </c>
      <c r="AE2167">
        <v>-0.61450000000002003</v>
      </c>
      <c r="AF2167">
        <v>0.26166116642875298</v>
      </c>
      <c r="AG2167">
        <v>-1.1101625348919999</v>
      </c>
      <c r="AH2167">
        <v>51.780504058747098</v>
      </c>
      <c r="AI2167">
        <v>91.228204975552899</v>
      </c>
      <c r="AJ2167">
        <v>89.710471090176796</v>
      </c>
      <c r="AK2167">
        <v>51.793064477763998</v>
      </c>
      <c r="AL2167">
        <v>80.155987236511905</v>
      </c>
      <c r="AM2167">
        <v>93.377628496208203</v>
      </c>
      <c r="AN2167">
        <v>0.99999995713487599</v>
      </c>
    </row>
    <row r="2168" spans="1:40" x14ac:dyDescent="0.25">
      <c r="A2168" t="str">
        <f>"20190304155637255"</f>
        <v>20190304155637255</v>
      </c>
      <c r="B2168" t="str">
        <f>"1551686197247094"</f>
        <v>1551686197247094</v>
      </c>
      <c r="C2168" t="s">
        <v>40</v>
      </c>
      <c r="D2168">
        <v>4.641076</v>
      </c>
      <c r="E2168">
        <v>0.52396730000000002</v>
      </c>
      <c r="F2168" t="s">
        <v>55</v>
      </c>
      <c r="G2168">
        <v>-361.87869999999998</v>
      </c>
      <c r="H2168" s="1">
        <v>-5.3703150000000003E-7</v>
      </c>
      <c r="I2168">
        <v>283.81959999999998</v>
      </c>
      <c r="J2168">
        <v>-308.38080000000002</v>
      </c>
      <c r="K2168">
        <v>1.1100810000000001</v>
      </c>
      <c r="L2168">
        <v>284.46660000000003</v>
      </c>
      <c r="M2168">
        <v>-0.99980559999999996</v>
      </c>
      <c r="N2168">
        <v>-9.9410320000000007E-3</v>
      </c>
      <c r="O2168">
        <v>-1.70312E-2</v>
      </c>
      <c r="P2168">
        <v>-0.98405430000000005</v>
      </c>
      <c r="Q2168">
        <v>0.1612239</v>
      </c>
      <c r="R2168">
        <v>-7.5128570000000006E-2</v>
      </c>
      <c r="S2168">
        <v>-3.0560610000000001</v>
      </c>
      <c r="T2168">
        <v>-6.3206910000000005E-2</v>
      </c>
      <c r="U2168">
        <v>-3.701782E-2</v>
      </c>
      <c r="V2168">
        <v>-5.8533809999999999E-2</v>
      </c>
      <c r="W2168">
        <v>0.17094949999999901</v>
      </c>
      <c r="X2168">
        <v>0.98353959999999996</v>
      </c>
      <c r="Y2168">
        <v>4.9179799999999997E-3</v>
      </c>
      <c r="Z2168">
        <v>2.581692E-4</v>
      </c>
      <c r="AA2168">
        <v>0.99998790000000004</v>
      </c>
      <c r="AB2168">
        <v>33</v>
      </c>
      <c r="AC2168">
        <v>-53.497899999999902</v>
      </c>
      <c r="AD2168">
        <v>-1.11008153703149</v>
      </c>
      <c r="AE2168">
        <v>-0.64700000000004798</v>
      </c>
      <c r="AF2168">
        <v>0.264158533346595</v>
      </c>
      <c r="AG2168">
        <v>-1.11008153703149</v>
      </c>
      <c r="AH2168">
        <v>53.478137235865297</v>
      </c>
      <c r="AI2168">
        <v>91.189141618369405</v>
      </c>
      <c r="AJ2168">
        <v>89.716986290631098</v>
      </c>
      <c r="AK2168">
        <v>53.490309617421801</v>
      </c>
      <c r="AL2168">
        <v>80.156970843025505</v>
      </c>
      <c r="AM2168">
        <v>93.405850853177199</v>
      </c>
      <c r="AN2168">
        <v>1.0000000416157599</v>
      </c>
    </row>
    <row r="2169" spans="1:40" x14ac:dyDescent="0.25">
      <c r="A2169" t="str">
        <f>"20190304155637267"</f>
        <v>20190304155637267</v>
      </c>
      <c r="B2169" t="str">
        <f>"1551686197256854"</f>
        <v>1551686197256854</v>
      </c>
      <c r="C2169" t="s">
        <v>40</v>
      </c>
      <c r="D2169">
        <v>4.6620140000000001</v>
      </c>
      <c r="E2169">
        <v>0.52407029999999999</v>
      </c>
      <c r="F2169" t="s">
        <v>55</v>
      </c>
      <c r="G2169">
        <v>-362.44929999999999</v>
      </c>
      <c r="H2169" s="1">
        <v>-2.333992E-7</v>
      </c>
      <c r="I2169">
        <v>283.78250000000003</v>
      </c>
      <c r="J2169">
        <v>-308.57530000000003</v>
      </c>
      <c r="K2169">
        <v>1.110001</v>
      </c>
      <c r="L2169">
        <v>284.46319999999997</v>
      </c>
      <c r="M2169">
        <v>-0.99980409999999997</v>
      </c>
      <c r="N2169">
        <v>-9.9430370000000001E-3</v>
      </c>
      <c r="O2169">
        <v>-1.7120980000000001E-2</v>
      </c>
      <c r="P2169">
        <v>-0.98397389999999996</v>
      </c>
      <c r="Q2169">
        <v>0.16135039999999901</v>
      </c>
      <c r="R2169">
        <v>-7.5907879999999997E-2</v>
      </c>
      <c r="S2169">
        <v>-3.0559080000000001</v>
      </c>
      <c r="T2169">
        <v>-6.2740920000000006E-2</v>
      </c>
      <c r="U2169">
        <v>-3.8665770000000002E-2</v>
      </c>
      <c r="V2169">
        <v>-5.9192660000000001E-2</v>
      </c>
      <c r="W2169">
        <v>0.17108860000000001</v>
      </c>
      <c r="X2169">
        <v>0.98347589999999996</v>
      </c>
      <c r="Y2169">
        <v>4.4681679999999998E-3</v>
      </c>
      <c r="Z2169">
        <v>2.4928400000000001E-4</v>
      </c>
      <c r="AA2169">
        <v>0.99999000000000005</v>
      </c>
      <c r="AB2169">
        <v>33</v>
      </c>
      <c r="AC2169">
        <v>-53.873999999999903</v>
      </c>
      <c r="AD2169">
        <v>-1.1100012333992</v>
      </c>
      <c r="AE2169">
        <v>-0.68069999999994402</v>
      </c>
      <c r="AF2169">
        <v>0.24171835617636001</v>
      </c>
      <c r="AG2169">
        <v>-1.1100012333992</v>
      </c>
      <c r="AH2169">
        <v>53.854899157216302</v>
      </c>
      <c r="AI2169">
        <v>91.180742014611994</v>
      </c>
      <c r="AJ2169">
        <v>89.742839577118005</v>
      </c>
      <c r="AK2169">
        <v>53.866879376253003</v>
      </c>
      <c r="AL2169">
        <v>80.148881048324995</v>
      </c>
      <c r="AM2169">
        <v>93.444317498414193</v>
      </c>
      <c r="AN2169">
        <v>0.99999996296432203</v>
      </c>
    </row>
    <row r="2170" spans="1:40" x14ac:dyDescent="0.25">
      <c r="A2170" t="str">
        <f>"20190304155637280"</f>
        <v>20190304155637280</v>
      </c>
      <c r="B2170" t="str">
        <f>"1551686197276802"</f>
        <v>1551686197276802</v>
      </c>
      <c r="C2170" t="s">
        <v>40</v>
      </c>
      <c r="D2170">
        <v>4.6395400000000002</v>
      </c>
      <c r="E2170">
        <v>0.52426709999999999</v>
      </c>
      <c r="F2170" t="s">
        <v>55</v>
      </c>
      <c r="G2170">
        <v>-363.53730000000002</v>
      </c>
      <c r="H2170" s="1">
        <v>3.4560119999999998E-7</v>
      </c>
      <c r="I2170">
        <v>283.7337</v>
      </c>
      <c r="J2170">
        <v>-308.7484</v>
      </c>
      <c r="K2170">
        <v>1.1099319999999999</v>
      </c>
      <c r="L2170">
        <v>284.46010000000001</v>
      </c>
      <c r="M2170">
        <v>-0.99980369999999996</v>
      </c>
      <c r="N2170">
        <v>-9.9447890000000008E-3</v>
      </c>
      <c r="O2170">
        <v>-1.7140860000000001E-2</v>
      </c>
      <c r="P2170">
        <v>-0.98393889999999995</v>
      </c>
      <c r="Q2170">
        <v>0.1613646</v>
      </c>
      <c r="R2170">
        <v>-7.6328090000000001E-2</v>
      </c>
      <c r="S2170">
        <v>-3.055847</v>
      </c>
      <c r="T2170">
        <v>-6.171513E-2</v>
      </c>
      <c r="U2170">
        <v>-4.0557860000000001E-2</v>
      </c>
      <c r="V2170">
        <v>-5.9565699999999902E-2</v>
      </c>
      <c r="W2170">
        <v>0.17111299999999999</v>
      </c>
      <c r="X2170">
        <v>0.98344920000000002</v>
      </c>
      <c r="Y2170">
        <v>3.8690220000000002E-3</v>
      </c>
      <c r="Z2170">
        <v>2.339439E-4</v>
      </c>
      <c r="AA2170">
        <v>0.99999249999999995</v>
      </c>
      <c r="AB2170">
        <v>33</v>
      </c>
      <c r="AC2170">
        <v>-54.788899999999998</v>
      </c>
      <c r="AD2170">
        <v>-1.10993165439879</v>
      </c>
      <c r="AE2170">
        <v>-0.72640000000001204</v>
      </c>
      <c r="AF2170">
        <v>0.21279465276526299</v>
      </c>
      <c r="AG2170">
        <v>-1.10993165439879</v>
      </c>
      <c r="AH2170">
        <v>54.770827615890802</v>
      </c>
      <c r="AI2170">
        <v>91.160932179358696</v>
      </c>
      <c r="AJ2170">
        <v>89.777396568723503</v>
      </c>
      <c r="AK2170">
        <v>54.782486139014402</v>
      </c>
      <c r="AL2170">
        <v>80.147462775753496</v>
      </c>
      <c r="AM2170">
        <v>93.466065163043694</v>
      </c>
      <c r="AN2170">
        <v>1.0000000301830601</v>
      </c>
    </row>
    <row r="2171" spans="1:40" x14ac:dyDescent="0.25">
      <c r="A2171" t="str">
        <f>"20190304155637297"</f>
        <v>20190304155637297</v>
      </c>
      <c r="B2171" t="str">
        <f>"1551686197286561"</f>
        <v>1551686197286561</v>
      </c>
      <c r="C2171" t="s">
        <v>40</v>
      </c>
      <c r="D2171">
        <v>4.6767989999999999</v>
      </c>
      <c r="E2171">
        <v>0.52434930000000002</v>
      </c>
      <c r="F2171" t="s">
        <v>55</v>
      </c>
      <c r="G2171">
        <v>-364.83390000000003</v>
      </c>
      <c r="H2171" s="1">
        <v>1.0355690000000001E-6</v>
      </c>
      <c r="I2171">
        <v>283.7242</v>
      </c>
      <c r="J2171">
        <v>-309.00709999999998</v>
      </c>
      <c r="K2171">
        <v>1.1098380000000001</v>
      </c>
      <c r="L2171">
        <v>284.4556</v>
      </c>
      <c r="M2171">
        <v>-0.99980409999999997</v>
      </c>
      <c r="N2171">
        <v>-9.9474439999999997E-3</v>
      </c>
      <c r="O2171">
        <v>-1.7114710000000002E-2</v>
      </c>
      <c r="P2171">
        <v>-0.98378589999999999</v>
      </c>
      <c r="Q2171">
        <v>0.1619833</v>
      </c>
      <c r="R2171">
        <v>-7.6986520000000003E-2</v>
      </c>
      <c r="S2171">
        <v>-3.0557859999999999</v>
      </c>
      <c r="T2171">
        <v>-6.047392E-2</v>
      </c>
      <c r="U2171">
        <v>-4.01001E-2</v>
      </c>
      <c r="V2171">
        <v>-6.0212189999999999E-2</v>
      </c>
      <c r="W2171">
        <v>0.1717467</v>
      </c>
      <c r="X2171">
        <v>0.98329929999999999</v>
      </c>
      <c r="Y2171">
        <v>3.9924549999999998E-3</v>
      </c>
      <c r="Z2171">
        <v>2.277441E-4</v>
      </c>
      <c r="AA2171">
        <v>0.99999199999999999</v>
      </c>
      <c r="AB2171">
        <v>33</v>
      </c>
      <c r="AC2171">
        <v>-55.826799999999999</v>
      </c>
      <c r="AD2171">
        <v>-1.10983696443099</v>
      </c>
      <c r="AE2171">
        <v>-0.73140000000000704</v>
      </c>
      <c r="AF2171">
        <v>0.22412529297292</v>
      </c>
      <c r="AG2171">
        <v>-1.10983696443099</v>
      </c>
      <c r="AH2171">
        <v>55.809087927152497</v>
      </c>
      <c r="AI2171">
        <v>91.139242431357104</v>
      </c>
      <c r="AJ2171">
        <v>89.769905497241993</v>
      </c>
      <c r="AK2171">
        <v>55.820572063489301</v>
      </c>
      <c r="AL2171">
        <v>80.110608317205404</v>
      </c>
      <c r="AM2171">
        <v>93.504123305724903</v>
      </c>
      <c r="AN2171">
        <v>0.99999997508298699</v>
      </c>
    </row>
    <row r="2172" spans="1:40" x14ac:dyDescent="0.25">
      <c r="A2172" t="str">
        <f>"20190304155637310"</f>
        <v>20190304155637310</v>
      </c>
      <c r="B2172" t="str">
        <f>"1551686197307058"</f>
        <v>1551686197307058</v>
      </c>
      <c r="C2172" t="s">
        <v>40</v>
      </c>
      <c r="D2172">
        <v>4.6815829999999998</v>
      </c>
      <c r="E2172">
        <v>0.52465249999999997</v>
      </c>
      <c r="F2172" t="s">
        <v>55</v>
      </c>
      <c r="G2172">
        <v>-367.68459999999999</v>
      </c>
      <c r="H2172" s="1">
        <v>2.5525679999999999E-6</v>
      </c>
      <c r="I2172">
        <v>283.67160000000001</v>
      </c>
      <c r="J2172">
        <v>-309.19850000000002</v>
      </c>
      <c r="K2172">
        <v>1.1097680000000001</v>
      </c>
      <c r="L2172">
        <v>284.45229999999998</v>
      </c>
      <c r="M2172">
        <v>-0.99980530000000001</v>
      </c>
      <c r="N2172">
        <v>-9.9494400000000004E-3</v>
      </c>
      <c r="O2172">
        <v>-1.7051489999999999E-2</v>
      </c>
      <c r="P2172">
        <v>-0.9836878</v>
      </c>
      <c r="Q2172">
        <v>0.16241420000000001</v>
      </c>
      <c r="R2172">
        <v>-7.7334860000000005E-2</v>
      </c>
      <c r="S2172">
        <v>-3.0557859999999999</v>
      </c>
      <c r="T2172">
        <v>-5.7797670000000002E-2</v>
      </c>
      <c r="U2172">
        <v>-4.0832519999999997E-2</v>
      </c>
      <c r="V2172">
        <v>-6.059519E-2</v>
      </c>
      <c r="W2172">
        <v>0.1721888</v>
      </c>
      <c r="X2172">
        <v>0.98319849999999998</v>
      </c>
      <c r="Y2172">
        <v>3.6898930000000001E-3</v>
      </c>
      <c r="Z2172">
        <v>2.0604839999999999E-4</v>
      </c>
      <c r="AA2172">
        <v>0.99999309999999997</v>
      </c>
      <c r="AB2172">
        <v>33</v>
      </c>
      <c r="AC2172">
        <v>-58.486099999999901</v>
      </c>
      <c r="AD2172">
        <v>-1.109765447432</v>
      </c>
      <c r="AE2172">
        <v>-0.78069999999996698</v>
      </c>
      <c r="AF2172">
        <v>0.216659844520875</v>
      </c>
      <c r="AG2172">
        <v>-1.109765447432</v>
      </c>
      <c r="AH2172">
        <v>58.469860739639998</v>
      </c>
      <c r="AI2172">
        <v>91.087343213729199</v>
      </c>
      <c r="AJ2172">
        <v>89.787691680667606</v>
      </c>
      <c r="AK2172">
        <v>58.480792878939603</v>
      </c>
      <c r="AL2172">
        <v>80.084895288367306</v>
      </c>
      <c r="AM2172">
        <v>93.526717018235701</v>
      </c>
      <c r="AN2172">
        <v>1.0000000251494101</v>
      </c>
    </row>
    <row r="2173" spans="1:40" x14ac:dyDescent="0.25">
      <c r="A2173" t="str">
        <f>"20190304155637325"</f>
        <v>20190304155637325</v>
      </c>
      <c r="B2173" t="str">
        <f>"1551686197316818"</f>
        <v>1551686197316818</v>
      </c>
      <c r="C2173" t="s">
        <v>40</v>
      </c>
      <c r="D2173">
        <v>4.6792819999999997</v>
      </c>
      <c r="E2173">
        <v>0.52481840000000002</v>
      </c>
      <c r="F2173" t="s">
        <v>55</v>
      </c>
      <c r="G2173">
        <v>-371.57029999999997</v>
      </c>
      <c r="H2173" s="1">
        <v>-7.0116579999999998E-7</v>
      </c>
      <c r="I2173">
        <v>283.65370000000001</v>
      </c>
      <c r="J2173">
        <v>-309.42680000000001</v>
      </c>
      <c r="K2173">
        <v>1.1096889999999999</v>
      </c>
      <c r="L2173">
        <v>284.44850000000002</v>
      </c>
      <c r="M2173">
        <v>-0.99980760000000002</v>
      </c>
      <c r="N2173">
        <v>-9.9519510000000005E-3</v>
      </c>
      <c r="O2173">
        <v>-1.6906150000000002E-2</v>
      </c>
      <c r="P2173">
        <v>-0.98365199999999997</v>
      </c>
      <c r="Q2173">
        <v>0.1627055</v>
      </c>
      <c r="R2173">
        <v>-7.7172820000000003E-2</v>
      </c>
      <c r="S2173">
        <v>-3.055634</v>
      </c>
      <c r="T2173">
        <v>-5.4368260000000002E-2</v>
      </c>
      <c r="U2173">
        <v>-3.9123539999999998E-2</v>
      </c>
      <c r="V2173">
        <v>-6.0543149999999997E-2</v>
      </c>
      <c r="W2173">
        <v>0.17249410000000001</v>
      </c>
      <c r="X2173">
        <v>0.98314820000000003</v>
      </c>
      <c r="Y2173">
        <v>4.1032129999999997E-3</v>
      </c>
      <c r="Z2173">
        <v>1.8942230000000001E-4</v>
      </c>
      <c r="AA2173">
        <v>0.99999150000000003</v>
      </c>
      <c r="AB2173">
        <v>33</v>
      </c>
      <c r="AC2173">
        <v>-62.143499999999896</v>
      </c>
      <c r="AD2173">
        <v>-1.1096897011658</v>
      </c>
      <c r="AE2173">
        <v>-0.79480000000000905</v>
      </c>
      <c r="AF2173">
        <v>0.25589133363352101</v>
      </c>
      <c r="AG2173">
        <v>-1.1096897011658</v>
      </c>
      <c r="AH2173">
        <v>62.128247792219703</v>
      </c>
      <c r="AI2173">
        <v>91.023258173517505</v>
      </c>
      <c r="AJ2173">
        <v>89.764013777206401</v>
      </c>
      <c r="AK2173">
        <v>62.138684129445103</v>
      </c>
      <c r="AL2173">
        <v>80.0671372798504</v>
      </c>
      <c r="AM2173">
        <v>93.523875684435495</v>
      </c>
      <c r="AN2173">
        <v>1.0000000353549801</v>
      </c>
    </row>
    <row r="2174" spans="1:40" x14ac:dyDescent="0.25">
      <c r="A2174" t="str">
        <f>"20190304155637342"</f>
        <v>20190304155637342</v>
      </c>
      <c r="B2174" t="str">
        <f>"1551686197337314"</f>
        <v>1551686197337314</v>
      </c>
      <c r="C2174" t="s">
        <v>40</v>
      </c>
      <c r="D2174">
        <v>4.7094480000000001</v>
      </c>
      <c r="E2174">
        <v>0.52513379999999998</v>
      </c>
      <c r="F2174" t="s">
        <v>55</v>
      </c>
      <c r="G2174">
        <v>-373.87479999999999</v>
      </c>
      <c r="H2174" s="1">
        <v>5.2517859999999899E-7</v>
      </c>
      <c r="I2174">
        <v>283.66000000000003</v>
      </c>
      <c r="J2174">
        <v>-309.67250000000001</v>
      </c>
      <c r="K2174">
        <v>1.10961</v>
      </c>
      <c r="L2174">
        <v>284.44450000000001</v>
      </c>
      <c r="M2174">
        <v>-0.99981089999999995</v>
      </c>
      <c r="N2174">
        <v>-9.9547339999999998E-3</v>
      </c>
      <c r="O2174">
        <v>-1.6703119999999998E-2</v>
      </c>
      <c r="P2174">
        <v>-0.98357640000000002</v>
      </c>
      <c r="Q2174">
        <v>0.16318150000000001</v>
      </c>
      <c r="R2174">
        <v>-7.7131720000000001E-2</v>
      </c>
      <c r="S2174">
        <v>-3.055634</v>
      </c>
      <c r="T2174">
        <v>-5.2613020000000003E-2</v>
      </c>
      <c r="U2174">
        <v>-3.7384029999999999E-2</v>
      </c>
      <c r="V2174">
        <v>-6.0668659999999999E-2</v>
      </c>
      <c r="W2174">
        <v>0.172984</v>
      </c>
      <c r="X2174">
        <v>0.98305430000000005</v>
      </c>
      <c r="Y2174">
        <v>4.4693739999999999E-3</v>
      </c>
      <c r="Z2174">
        <v>1.8199620000000001E-4</v>
      </c>
      <c r="AA2174">
        <v>0.99999000000000005</v>
      </c>
      <c r="AB2174">
        <v>33</v>
      </c>
      <c r="AC2174">
        <v>-64.202299999999894</v>
      </c>
      <c r="AD2174">
        <v>-1.1096094748213901</v>
      </c>
      <c r="AE2174">
        <v>-0.78449999999997999</v>
      </c>
      <c r="AF2174">
        <v>0.28795535281490098</v>
      </c>
      <c r="AG2174">
        <v>-1.1096094748213901</v>
      </c>
      <c r="AH2174">
        <v>64.187276648847799</v>
      </c>
      <c r="AI2174">
        <v>90.990367120209697</v>
      </c>
      <c r="AJ2174">
        <v>89.7429628333728</v>
      </c>
      <c r="AK2174">
        <v>64.197512685987704</v>
      </c>
      <c r="AL2174">
        <v>80.038638869577994</v>
      </c>
      <c r="AM2174">
        <v>93.531498887444002</v>
      </c>
      <c r="AN2174">
        <v>0.999999953655341</v>
      </c>
    </row>
    <row r="2175" spans="1:40" x14ac:dyDescent="0.25">
      <c r="A2175" t="str">
        <f>"20190304155637354"</f>
        <v>20190304155637354</v>
      </c>
      <c r="B2175" t="str">
        <f>"1551686197347074"</f>
        <v>1551686197347074</v>
      </c>
      <c r="C2175" t="s">
        <v>40</v>
      </c>
      <c r="D2175">
        <v>4.6686649999999998</v>
      </c>
      <c r="E2175">
        <v>0.52529939999999997</v>
      </c>
      <c r="F2175" t="s">
        <v>55</v>
      </c>
      <c r="G2175">
        <v>-378.06670000000003</v>
      </c>
      <c r="H2175" s="1">
        <v>2.7559249999999998E-6</v>
      </c>
      <c r="I2175">
        <v>283.66579999999999</v>
      </c>
      <c r="J2175">
        <v>-309.85629999999998</v>
      </c>
      <c r="K2175">
        <v>1.10955</v>
      </c>
      <c r="L2175">
        <v>284.44159999999999</v>
      </c>
      <c r="M2175">
        <v>-0.99981390000000003</v>
      </c>
      <c r="N2175">
        <v>-9.9568390000000003E-3</v>
      </c>
      <c r="O2175">
        <v>-1.652387E-2</v>
      </c>
      <c r="P2175">
        <v>-0.98352079999999997</v>
      </c>
      <c r="Q2175">
        <v>0.1635132</v>
      </c>
      <c r="R2175">
        <v>-7.7138330000000005E-2</v>
      </c>
      <c r="S2175">
        <v>-3.0555729999999999</v>
      </c>
      <c r="T2175">
        <v>-4.9572709999999999E-2</v>
      </c>
      <c r="U2175">
        <v>-3.4790040000000001E-2</v>
      </c>
      <c r="V2175">
        <v>-6.0828060000000003E-2</v>
      </c>
      <c r="W2175">
        <v>0.173325799999999</v>
      </c>
      <c r="X2175">
        <v>0.98298430000000003</v>
      </c>
      <c r="Y2175">
        <v>5.1387270000000001E-3</v>
      </c>
      <c r="Z2175">
        <v>1.7077450000000001E-4</v>
      </c>
      <c r="AA2175">
        <v>0.99998679999999995</v>
      </c>
      <c r="AB2175">
        <v>33</v>
      </c>
      <c r="AC2175">
        <v>-68.210400000000007</v>
      </c>
      <c r="AD2175">
        <v>-1.109547244075</v>
      </c>
      <c r="AE2175">
        <v>-0.77580000000000304</v>
      </c>
      <c r="AF2175">
        <v>0.35136861850871298</v>
      </c>
      <c r="AG2175">
        <v>-1.109547244075</v>
      </c>
      <c r="AH2175">
        <v>68.195863954449905</v>
      </c>
      <c r="AI2175">
        <v>90.932108171997697</v>
      </c>
      <c r="AJ2175">
        <v>89.704794989254196</v>
      </c>
      <c r="AK2175">
        <v>68.205794588779298</v>
      </c>
      <c r="AL2175">
        <v>80.018755382089594</v>
      </c>
      <c r="AM2175">
        <v>93.541005426202304</v>
      </c>
      <c r="AN2175">
        <v>1.00000000993774</v>
      </c>
    </row>
    <row r="2176" spans="1:40" x14ac:dyDescent="0.25">
      <c r="A2176" t="str">
        <f>"20190304155637368"</f>
        <v>20190304155637368</v>
      </c>
      <c r="B2176" t="str">
        <f>"1551686197356834"</f>
        <v>1551686197356834</v>
      </c>
      <c r="C2176" t="s">
        <v>40</v>
      </c>
      <c r="D2176">
        <v>4.6720410000000001</v>
      </c>
      <c r="E2176">
        <v>0.52545500000000001</v>
      </c>
      <c r="F2176" t="s">
        <v>55</v>
      </c>
      <c r="G2176">
        <v>-380.92009999999999</v>
      </c>
      <c r="H2176" s="1">
        <v>-1.047179E-6</v>
      </c>
      <c r="I2176">
        <v>283.66660000000002</v>
      </c>
      <c r="J2176">
        <v>-310.06569999999999</v>
      </c>
      <c r="K2176">
        <v>1.109488</v>
      </c>
      <c r="L2176">
        <v>284.43830000000003</v>
      </c>
      <c r="M2176">
        <v>-0.99981779999999998</v>
      </c>
      <c r="N2176">
        <v>-9.9592529999999995E-3</v>
      </c>
      <c r="O2176">
        <v>-1.6289149999999999E-2</v>
      </c>
      <c r="P2176">
        <v>-0.98350020000000005</v>
      </c>
      <c r="Q2176">
        <v>0.16362470000000001</v>
      </c>
      <c r="R2176">
        <v>-7.7167429999999995E-2</v>
      </c>
      <c r="S2176">
        <v>-3.0556030000000001</v>
      </c>
      <c r="T2176">
        <v>-4.7708510000000003E-2</v>
      </c>
      <c r="U2176">
        <v>-3.3325199999999902E-2</v>
      </c>
      <c r="V2176">
        <v>-6.1062499999999999E-2</v>
      </c>
      <c r="W2176">
        <v>0.17344889999999999</v>
      </c>
      <c r="X2176">
        <v>0.98294809999999999</v>
      </c>
      <c r="Y2176">
        <v>5.3834950000000003E-3</v>
      </c>
      <c r="Z2176">
        <v>1.60896E-4</v>
      </c>
      <c r="AA2176">
        <v>0.99998549999999997</v>
      </c>
      <c r="AB2176">
        <v>33</v>
      </c>
      <c r="AC2176">
        <v>-70.854399999999998</v>
      </c>
      <c r="AD2176">
        <v>-1.109489047179</v>
      </c>
      <c r="AE2176">
        <v>-0.77170000000000905</v>
      </c>
      <c r="AF2176">
        <v>0.38252371740357499</v>
      </c>
      <c r="AG2176">
        <v>-1.109489047179</v>
      </c>
      <c r="AH2176">
        <v>70.840201644563706</v>
      </c>
      <c r="AI2176">
        <v>90.897271815840497</v>
      </c>
      <c r="AJ2176">
        <v>89.690616612495205</v>
      </c>
      <c r="AK2176">
        <v>70.8499220845205</v>
      </c>
      <c r="AL2176">
        <v>80.011594290886407</v>
      </c>
      <c r="AM2176">
        <v>93.554748613663193</v>
      </c>
      <c r="AN2176">
        <v>1.00000005855553</v>
      </c>
    </row>
    <row r="2177" spans="1:40" x14ac:dyDescent="0.25">
      <c r="A2177" t="str">
        <f>"20190304155637390"</f>
        <v>20190304155637390</v>
      </c>
      <c r="B2177" t="str">
        <f>"1551686197387089"</f>
        <v>1551686197387089</v>
      </c>
      <c r="C2177" t="s">
        <v>40</v>
      </c>
      <c r="D2177">
        <v>4.8739229999999996</v>
      </c>
      <c r="E2177">
        <v>0.52574919999999903</v>
      </c>
      <c r="F2177" t="s">
        <v>55</v>
      </c>
      <c r="G2177">
        <v>-382.87790000000001</v>
      </c>
      <c r="H2177" s="1">
        <v>-5.3248930000000003E-9</v>
      </c>
      <c r="I2177">
        <v>283.67320000000001</v>
      </c>
      <c r="J2177">
        <v>-310.37400000000002</v>
      </c>
      <c r="K2177">
        <v>1.10941</v>
      </c>
      <c r="L2177">
        <v>284.43349999999998</v>
      </c>
      <c r="M2177">
        <v>-0.99982420000000005</v>
      </c>
      <c r="N2177">
        <v>-9.962996E-3</v>
      </c>
      <c r="O2177">
        <v>-1.5892130000000001E-2</v>
      </c>
      <c r="P2177">
        <v>-0.98349089999999995</v>
      </c>
      <c r="Q2177">
        <v>0.16365979999999999</v>
      </c>
      <c r="R2177">
        <v>-7.7211379999999996E-2</v>
      </c>
      <c r="S2177">
        <v>-3.0555729999999999</v>
      </c>
      <c r="T2177">
        <v>-4.655981E-2</v>
      </c>
      <c r="U2177">
        <v>-3.2104489999999999E-2</v>
      </c>
      <c r="V2177">
        <v>-6.1464089999999999E-2</v>
      </c>
      <c r="W2177">
        <v>0.17349909999999999</v>
      </c>
      <c r="X2177">
        <v>0.98291410000000001</v>
      </c>
      <c r="Y2177">
        <v>5.385829E-3</v>
      </c>
      <c r="Z2177">
        <v>1.516515E-4</v>
      </c>
      <c r="AA2177">
        <v>0.99998549999999997</v>
      </c>
      <c r="AB2177">
        <v>33</v>
      </c>
      <c r="AC2177">
        <v>-72.503899999999902</v>
      </c>
      <c r="AD2177">
        <v>-1.1094100053248901</v>
      </c>
      <c r="AE2177">
        <v>-0.760299999999972</v>
      </c>
      <c r="AF2177">
        <v>0.39200270560445499</v>
      </c>
      <c r="AG2177">
        <v>-1.1094100053248901</v>
      </c>
      <c r="AH2177">
        <v>72.489855760636004</v>
      </c>
      <c r="AI2177">
        <v>90.876793299592194</v>
      </c>
      <c r="AJ2177">
        <v>89.690165176595102</v>
      </c>
      <c r="AK2177">
        <v>72.499404444994795</v>
      </c>
      <c r="AL2177">
        <v>80.008672667654096</v>
      </c>
      <c r="AM2177">
        <v>93.5781900538325</v>
      </c>
      <c r="AN2177">
        <v>0.99999995001957198</v>
      </c>
    </row>
    <row r="2178" spans="1:40" x14ac:dyDescent="0.25">
      <c r="A2178" t="str">
        <f>"20190304155637409"</f>
        <v>20190304155637409</v>
      </c>
      <c r="B2178" t="str">
        <f>"1551686197406610"</f>
        <v>1551686197406610</v>
      </c>
      <c r="C2178" t="s">
        <v>40</v>
      </c>
      <c r="D2178">
        <v>4.7434320000000003</v>
      </c>
      <c r="E2178">
        <v>0.52593780000000001</v>
      </c>
      <c r="F2178" t="s">
        <v>55</v>
      </c>
      <c r="G2178">
        <v>-386.36090000000002</v>
      </c>
      <c r="H2178" s="1">
        <v>1.8481820000000001E-6</v>
      </c>
      <c r="I2178">
        <v>283.69200000000001</v>
      </c>
      <c r="J2178">
        <v>-310.68450000000001</v>
      </c>
      <c r="K2178">
        <v>1.1093440000000001</v>
      </c>
      <c r="L2178">
        <v>284.42899999999997</v>
      </c>
      <c r="M2178">
        <v>-0.99983109999999997</v>
      </c>
      <c r="N2178">
        <v>-9.9666440000000002E-3</v>
      </c>
      <c r="O2178">
        <v>-1.544834E-2</v>
      </c>
      <c r="P2178">
        <v>-0.98347439999999997</v>
      </c>
      <c r="Q2178">
        <v>0.16396129999999901</v>
      </c>
      <c r="R2178">
        <v>-7.6779799999999995E-2</v>
      </c>
      <c r="S2178">
        <v>-3.05545</v>
      </c>
      <c r="T2178">
        <v>-4.4609549999999998E-2</v>
      </c>
      <c r="U2178">
        <v>-2.9815669999999999E-2</v>
      </c>
      <c r="V2178">
        <v>-6.144235E-2</v>
      </c>
      <c r="W2178">
        <v>0.173813299999999</v>
      </c>
      <c r="X2178">
        <v>0.98285999999999996</v>
      </c>
      <c r="Y2178">
        <v>5.6906209999999999E-3</v>
      </c>
      <c r="Z2178">
        <v>1.4144449999999999E-4</v>
      </c>
      <c r="AA2178">
        <v>0.99998379999999998</v>
      </c>
      <c r="AB2178">
        <v>34</v>
      </c>
      <c r="AC2178">
        <v>-75.676400000000001</v>
      </c>
      <c r="AD2178">
        <v>-1.109342151818</v>
      </c>
      <c r="AE2178">
        <v>-0.73700000000002297</v>
      </c>
      <c r="AF2178">
        <v>0.43212780808637202</v>
      </c>
      <c r="AG2178">
        <v>-1.109342151818</v>
      </c>
      <c r="AH2178">
        <v>75.662497081057097</v>
      </c>
      <c r="AI2178">
        <v>90.839980644860404</v>
      </c>
      <c r="AJ2178">
        <v>89.672772755684704</v>
      </c>
      <c r="AK2178">
        <v>75.671862927995207</v>
      </c>
      <c r="AL2178">
        <v>79.990393123311904</v>
      </c>
      <c r="AM2178">
        <v>93.577124100836301</v>
      </c>
      <c r="AN2178">
        <v>1.0000000026152001</v>
      </c>
    </row>
    <row r="2179" spans="1:40" x14ac:dyDescent="0.25">
      <c r="A2179" t="str">
        <f>"20190304155637421"</f>
        <v>20190304155637421</v>
      </c>
      <c r="B2179" t="str">
        <f>"1551686197416370"</f>
        <v>1551686197416370</v>
      </c>
      <c r="C2179" t="s">
        <v>40</v>
      </c>
      <c r="D2179">
        <v>4.744631</v>
      </c>
      <c r="E2179">
        <v>0.52602059999999995</v>
      </c>
      <c r="F2179" t="s">
        <v>55</v>
      </c>
      <c r="G2179">
        <v>-390.12529999999998</v>
      </c>
      <c r="H2179" s="1">
        <v>-1.4700990000000001E-6</v>
      </c>
      <c r="I2179">
        <v>283.72989999999999</v>
      </c>
      <c r="J2179">
        <v>-310.86509999999998</v>
      </c>
      <c r="K2179">
        <v>1.109316</v>
      </c>
      <c r="L2179">
        <v>284.4264</v>
      </c>
      <c r="M2179">
        <v>-0.99983509999999998</v>
      </c>
      <c r="N2179">
        <v>-9.9687639999999998E-3</v>
      </c>
      <c r="O2179">
        <v>-1.517291E-2</v>
      </c>
      <c r="P2179">
        <v>-0.98348709999999995</v>
      </c>
      <c r="Q2179">
        <v>0.16411199999999901</v>
      </c>
      <c r="R2179">
        <v>-7.6291280000000003E-2</v>
      </c>
      <c r="S2179">
        <v>-3.0554199999999998</v>
      </c>
      <c r="T2179">
        <v>-4.2667150000000001E-2</v>
      </c>
      <c r="U2179">
        <v>-2.6885989999999999E-2</v>
      </c>
      <c r="V2179">
        <v>-6.1212849999999999E-2</v>
      </c>
      <c r="W2179">
        <v>0.17397009999999999</v>
      </c>
      <c r="X2179">
        <v>0.98284660000000001</v>
      </c>
      <c r="Y2179">
        <v>6.3738040000000003E-3</v>
      </c>
      <c r="Z2179">
        <v>1.3686969999999999E-4</v>
      </c>
      <c r="AA2179">
        <v>0.99997970000000003</v>
      </c>
      <c r="AB2179">
        <v>34</v>
      </c>
      <c r="AC2179">
        <v>-79.260199999999998</v>
      </c>
      <c r="AD2179">
        <v>-1.1093174700990001</v>
      </c>
      <c r="AE2179">
        <v>-0.696500000000014</v>
      </c>
      <c r="AF2179">
        <v>0.50614879522420297</v>
      </c>
      <c r="AG2179">
        <v>-1.1093174700990001</v>
      </c>
      <c r="AH2179">
        <v>79.246121558745202</v>
      </c>
      <c r="AI2179">
        <v>90.801979462260903</v>
      </c>
      <c r="AJ2179">
        <v>89.634054072768194</v>
      </c>
      <c r="AK2179">
        <v>79.2555017267306</v>
      </c>
      <c r="AL2179">
        <v>79.9812703702882</v>
      </c>
      <c r="AM2179">
        <v>93.563845758362902</v>
      </c>
      <c r="AN2179">
        <v>1.0000000239153399</v>
      </c>
    </row>
    <row r="2180" spans="1:40" x14ac:dyDescent="0.25">
      <c r="A2180" t="str">
        <f>"20190304155637434"</f>
        <v>20190304155637434</v>
      </c>
      <c r="B2180" t="str">
        <f>"1551686197427106"</f>
        <v>1551686197427106</v>
      </c>
      <c r="C2180" t="s">
        <v>40</v>
      </c>
      <c r="D2180">
        <v>4.7465929999999998</v>
      </c>
      <c r="E2180">
        <v>0.52610419999999902</v>
      </c>
      <c r="F2180" t="s">
        <v>55</v>
      </c>
      <c r="G2180">
        <v>-391.68419999999998</v>
      </c>
      <c r="H2180" s="1">
        <v>-6.4055350000000005E-7</v>
      </c>
      <c r="I2180">
        <v>283.76769999999999</v>
      </c>
      <c r="J2180">
        <v>-311.05680000000001</v>
      </c>
      <c r="K2180">
        <v>1.109289</v>
      </c>
      <c r="L2180">
        <v>284.4237</v>
      </c>
      <c r="M2180">
        <v>-0.9998397</v>
      </c>
      <c r="N2180">
        <v>-9.9710059999999993E-3</v>
      </c>
      <c r="O2180">
        <v>-1.487639E-2</v>
      </c>
      <c r="P2180">
        <v>-0.98340850000000002</v>
      </c>
      <c r="Q2180">
        <v>0.1647489</v>
      </c>
      <c r="R2180">
        <v>-7.5933150000000005E-2</v>
      </c>
      <c r="S2180">
        <v>-3.05545</v>
      </c>
      <c r="T2180">
        <v>-4.1938900000000001E-2</v>
      </c>
      <c r="U2180">
        <v>-2.4902339999999999E-2</v>
      </c>
      <c r="V2180">
        <v>-6.1135969999999998E-2</v>
      </c>
      <c r="W2180">
        <v>0.1746124</v>
      </c>
      <c r="X2180">
        <v>0.98273739999999998</v>
      </c>
      <c r="Y2180">
        <v>6.7264739999999996E-3</v>
      </c>
      <c r="Z2180">
        <v>1.355319E-4</v>
      </c>
      <c r="AA2180">
        <v>0.99997740000000002</v>
      </c>
      <c r="AB2180">
        <v>34</v>
      </c>
      <c r="AC2180">
        <v>-80.627399999999895</v>
      </c>
      <c r="AD2180">
        <v>-1.1092896405535</v>
      </c>
      <c r="AE2180">
        <v>-0.65600000000000502</v>
      </c>
      <c r="AF2180">
        <v>0.54347391762033503</v>
      </c>
      <c r="AG2180">
        <v>-1.1092896405535</v>
      </c>
      <c r="AH2180">
        <v>80.612978200767898</v>
      </c>
      <c r="AI2180">
        <v>90.788361387779304</v>
      </c>
      <c r="AJ2180">
        <v>89.613731055520603</v>
      </c>
      <c r="AK2180">
        <v>80.622441924089898</v>
      </c>
      <c r="AL2180">
        <v>79.943896484598994</v>
      </c>
      <c r="AM2180">
        <v>93.559775771886194</v>
      </c>
      <c r="AN2180">
        <v>0.99999994721017904</v>
      </c>
    </row>
    <row r="2181" spans="1:40" x14ac:dyDescent="0.25">
      <c r="A2181" t="str">
        <f>"20190304155637445"</f>
        <v>20190304155637445</v>
      </c>
      <c r="B2181" t="str">
        <f>"1551686197436866"</f>
        <v>1551686197436866</v>
      </c>
      <c r="C2181" t="s">
        <v>40</v>
      </c>
      <c r="D2181">
        <v>4.7455999999999996</v>
      </c>
      <c r="E2181">
        <v>0.52620979999999995</v>
      </c>
      <c r="F2181" t="s">
        <v>55</v>
      </c>
      <c r="G2181">
        <v>-396.63249999999999</v>
      </c>
      <c r="H2181" s="1">
        <v>1.9926830000000002E-6</v>
      </c>
      <c r="I2181">
        <v>283.77760000000001</v>
      </c>
      <c r="J2181">
        <v>-311.23719999999997</v>
      </c>
      <c r="K2181">
        <v>1.1092759999999999</v>
      </c>
      <c r="L2181">
        <v>284.42129999999997</v>
      </c>
      <c r="M2181">
        <v>-0.99984390000000001</v>
      </c>
      <c r="N2181">
        <v>-9.9731190000000008E-3</v>
      </c>
      <c r="O2181">
        <v>-1.4590560000000001E-2</v>
      </c>
      <c r="P2181">
        <v>-0.9834039</v>
      </c>
      <c r="Q2181">
        <v>0.16503300000000001</v>
      </c>
      <c r="R2181">
        <v>-7.5372949999999994E-2</v>
      </c>
      <c r="S2181">
        <v>-3.0555110000000001</v>
      </c>
      <c r="T2181">
        <v>-3.960752E-2</v>
      </c>
      <c r="U2181">
        <v>-2.3071290000000001E-2</v>
      </c>
      <c r="V2181">
        <v>-6.0848819999999998E-2</v>
      </c>
      <c r="W2181">
        <v>0.17490069999999999</v>
      </c>
      <c r="X2181">
        <v>0.98270400000000002</v>
      </c>
      <c r="Y2181">
        <v>7.0400690000000004E-3</v>
      </c>
      <c r="Z2181">
        <v>1.243308E-4</v>
      </c>
      <c r="AA2181">
        <v>0.99997519999999995</v>
      </c>
      <c r="AB2181">
        <v>34</v>
      </c>
      <c r="AC2181">
        <v>-85.395300000000006</v>
      </c>
      <c r="AD2181">
        <v>-1.109274007317</v>
      </c>
      <c r="AE2181">
        <v>-0.64369999999996697</v>
      </c>
      <c r="AF2181">
        <v>0.60229401359742996</v>
      </c>
      <c r="AG2181">
        <v>-1.109274007317</v>
      </c>
      <c r="AH2181">
        <v>85.381195229190894</v>
      </c>
      <c r="AI2181">
        <v>90.744327391506104</v>
      </c>
      <c r="AJ2181">
        <v>89.595832167426096</v>
      </c>
      <c r="AK2181">
        <v>85.390524917389598</v>
      </c>
      <c r="AL2181">
        <v>79.927120410427804</v>
      </c>
      <c r="AM2181">
        <v>93.543218642186702</v>
      </c>
      <c r="AN2181">
        <v>0.99999999268594097</v>
      </c>
    </row>
    <row r="2182" spans="1:40" x14ac:dyDescent="0.25">
      <c r="A2182" t="str">
        <f>"20190304155637457"</f>
        <v>20190304155637457</v>
      </c>
      <c r="B2182" t="str">
        <f>"1551686197446627"</f>
        <v>1551686197446627</v>
      </c>
      <c r="C2182" t="s">
        <v>40</v>
      </c>
      <c r="D2182">
        <v>4.8716330000000001</v>
      </c>
      <c r="E2182">
        <v>0.52633169999999996</v>
      </c>
      <c r="F2182" t="s">
        <v>55</v>
      </c>
      <c r="G2182">
        <v>-399.81040000000002</v>
      </c>
      <c r="H2182" s="1">
        <v>3.6838179999999999E-6</v>
      </c>
      <c r="I2182">
        <v>283.82679999999999</v>
      </c>
      <c r="J2182">
        <v>-311.41160000000002</v>
      </c>
      <c r="K2182">
        <v>1.109262</v>
      </c>
      <c r="L2182">
        <v>284.41899999999998</v>
      </c>
      <c r="M2182">
        <v>-0.99984790000000001</v>
      </c>
      <c r="N2182">
        <v>-9.9752120000000007E-3</v>
      </c>
      <c r="O2182">
        <v>-1.431086E-2</v>
      </c>
      <c r="P2182">
        <v>-0.98331729999999995</v>
      </c>
      <c r="Q2182">
        <v>0.16578399999999999</v>
      </c>
      <c r="R2182">
        <v>-7.4855389999999994E-2</v>
      </c>
      <c r="S2182">
        <v>-3.05545</v>
      </c>
      <c r="T2182">
        <v>-3.8265819999999999E-2</v>
      </c>
      <c r="U2182">
        <v>-2.0507810000000001E-2</v>
      </c>
      <c r="V2182">
        <v>-6.0600179999999997E-2</v>
      </c>
      <c r="W2182">
        <v>0.1756547</v>
      </c>
      <c r="X2182">
        <v>0.98258489999999998</v>
      </c>
      <c r="Y2182">
        <v>7.5990930000000003E-3</v>
      </c>
      <c r="Z2182">
        <v>1.219381E-4</v>
      </c>
      <c r="AA2182">
        <v>0.9999711</v>
      </c>
      <c r="AB2182">
        <v>34</v>
      </c>
      <c r="AC2182">
        <v>-88.398799999999994</v>
      </c>
      <c r="AD2182">
        <v>-1.109258316182</v>
      </c>
      <c r="AE2182">
        <v>-0.59220000000004802</v>
      </c>
      <c r="AF2182">
        <v>0.67288041723500602</v>
      </c>
      <c r="AG2182">
        <v>-1.109258316182</v>
      </c>
      <c r="AH2182">
        <v>88.384305435394197</v>
      </c>
      <c r="AI2182">
        <v>90.719026319189396</v>
      </c>
      <c r="AJ2182">
        <v>89.563808721270604</v>
      </c>
      <c r="AK2182">
        <v>88.393827099888398</v>
      </c>
      <c r="AL2182">
        <v>79.883240366447396</v>
      </c>
      <c r="AM2182">
        <v>93.529203672935395</v>
      </c>
      <c r="AN2182">
        <v>1.0000000205780599</v>
      </c>
    </row>
    <row r="2183" spans="1:40" x14ac:dyDescent="0.25">
      <c r="A2183" t="str">
        <f>"20190304155637470"</f>
        <v>20190304155637470</v>
      </c>
      <c r="B2183" t="str">
        <f>"1551686197467121"</f>
        <v>1551686197467121</v>
      </c>
      <c r="C2183" t="s">
        <v>40</v>
      </c>
      <c r="D2183">
        <v>4.7815009999999996</v>
      </c>
      <c r="E2183">
        <v>0.52648359999999905</v>
      </c>
      <c r="F2183" t="s">
        <v>64</v>
      </c>
      <c r="G2183">
        <v>-406.85390000000001</v>
      </c>
      <c r="H2183" s="1">
        <v>5.5192109999999997E-6</v>
      </c>
      <c r="I2183">
        <v>283.85939999999999</v>
      </c>
      <c r="J2183">
        <v>-311.59969999999998</v>
      </c>
      <c r="K2183">
        <v>1.1092489999999999</v>
      </c>
      <c r="L2183">
        <v>284.41660000000002</v>
      </c>
      <c r="M2183">
        <v>-0.99985210000000002</v>
      </c>
      <c r="N2183">
        <v>-9.9774860000000007E-3</v>
      </c>
      <c r="O2183">
        <v>-1.400756E-2</v>
      </c>
      <c r="P2183">
        <v>-0.98323070000000001</v>
      </c>
      <c r="Q2183">
        <v>0.16644329999999999</v>
      </c>
      <c r="R2183">
        <v>-7.4525430000000004E-2</v>
      </c>
      <c r="S2183">
        <v>-3.0555110000000001</v>
      </c>
      <c r="T2183">
        <v>-3.5511969999999997E-2</v>
      </c>
      <c r="U2183">
        <v>-1.791382E-2</v>
      </c>
      <c r="V2183">
        <v>-6.0563369999999998E-2</v>
      </c>
      <c r="W2183">
        <v>0.176317</v>
      </c>
      <c r="X2183">
        <v>0.98246849999999997</v>
      </c>
      <c r="Y2183">
        <v>8.1448690000000008E-3</v>
      </c>
      <c r="Z2183">
        <v>1.109858E-4</v>
      </c>
      <c r="AA2183">
        <v>0.99996680000000004</v>
      </c>
      <c r="AB2183">
        <v>34</v>
      </c>
      <c r="AC2183">
        <v>-95.254199999999997</v>
      </c>
      <c r="AD2183">
        <v>-1.1092434807889999</v>
      </c>
      <c r="AE2183">
        <v>-0.55720000000002201</v>
      </c>
      <c r="AF2183">
        <v>0.77709464740328804</v>
      </c>
      <c r="AG2183">
        <v>-1.1092434807889999</v>
      </c>
      <c r="AH2183">
        <v>95.239744180919899</v>
      </c>
      <c r="AI2183">
        <v>90.667263249811</v>
      </c>
      <c r="AJ2183">
        <v>89.532513910730003</v>
      </c>
      <c r="AK2183">
        <v>95.249373587639795</v>
      </c>
      <c r="AL2183">
        <v>79.844691313796602</v>
      </c>
      <c r="AM2183">
        <v>93.527482184759094</v>
      </c>
      <c r="AN2183">
        <v>0.99999997988350298</v>
      </c>
    </row>
    <row r="2184" spans="1:40" x14ac:dyDescent="0.25">
      <c r="A2184" t="str">
        <f>"20190304155637486"</f>
        <v>20190304155637486</v>
      </c>
      <c r="B2184" t="str">
        <f>"1551686197476885"</f>
        <v>1551686197476885</v>
      </c>
      <c r="C2184" t="s">
        <v>40</v>
      </c>
      <c r="D2184">
        <v>4.7454609999999997</v>
      </c>
      <c r="E2184">
        <v>0.52654290000000004</v>
      </c>
      <c r="F2184" t="s">
        <v>64</v>
      </c>
      <c r="G2184">
        <v>-414.81799999999998</v>
      </c>
      <c r="H2184" s="1">
        <v>3.1234539999999998E-6</v>
      </c>
      <c r="I2184">
        <v>283.89490000000001</v>
      </c>
      <c r="J2184">
        <v>-311.8546</v>
      </c>
      <c r="K2184">
        <v>1.1092390000000001</v>
      </c>
      <c r="L2184">
        <v>284.41329999999999</v>
      </c>
      <c r="M2184">
        <v>-0.99985780000000002</v>
      </c>
      <c r="N2184">
        <v>-9.9806770000000003E-3</v>
      </c>
      <c r="O2184">
        <v>-1.359424E-2</v>
      </c>
      <c r="P2184">
        <v>-0.98295109999999997</v>
      </c>
      <c r="Q2184">
        <v>0.16804549999999999</v>
      </c>
      <c r="R2184">
        <v>-7.4618459999999998E-2</v>
      </c>
      <c r="S2184">
        <v>-3.055542</v>
      </c>
      <c r="T2184">
        <v>-3.283668E-2</v>
      </c>
      <c r="U2184">
        <v>-1.544189E-2</v>
      </c>
      <c r="V2184">
        <v>-6.1058420000000002E-2</v>
      </c>
      <c r="W2184">
        <v>0.177922</v>
      </c>
      <c r="X2184">
        <v>0.98214849999999998</v>
      </c>
      <c r="Y2184">
        <v>8.5405900000000007E-3</v>
      </c>
      <c r="Z2184" s="1">
        <v>9.8909440000000001E-5</v>
      </c>
      <c r="AA2184">
        <v>0.99996350000000001</v>
      </c>
      <c r="AB2184">
        <v>34</v>
      </c>
      <c r="AC2184">
        <v>-102.96339999999999</v>
      </c>
      <c r="AD2184">
        <v>-1.10923587654599</v>
      </c>
      <c r="AE2184">
        <v>-0.51839999999998498</v>
      </c>
      <c r="AF2184">
        <v>0.88132448923953799</v>
      </c>
      <c r="AG2184">
        <v>-1.10923587654599</v>
      </c>
      <c r="AH2184">
        <v>102.94898428410799</v>
      </c>
      <c r="AI2184">
        <v>90.617293574671393</v>
      </c>
      <c r="AJ2184">
        <v>89.509514926761099</v>
      </c>
      <c r="AK2184">
        <v>102.958732034804</v>
      </c>
      <c r="AL2184">
        <v>79.751254714943599</v>
      </c>
      <c r="AM2184">
        <v>93.557398124464996</v>
      </c>
      <c r="AN2184">
        <v>1.00000002239457</v>
      </c>
    </row>
    <row r="2185" spans="1:40" x14ac:dyDescent="0.25">
      <c r="A2185" t="str">
        <f>"20190304155637500"</f>
        <v>20190304155637500</v>
      </c>
      <c r="B2185" t="str">
        <f>"1551686197496402"</f>
        <v>1551686197496402</v>
      </c>
      <c r="C2185" t="s">
        <v>40</v>
      </c>
      <c r="D2185">
        <v>4.7802759999999997</v>
      </c>
      <c r="E2185">
        <v>0.52672059999999998</v>
      </c>
      <c r="F2185" t="s">
        <v>64</v>
      </c>
      <c r="G2185">
        <v>-435.09190000000001</v>
      </c>
      <c r="H2185" s="1">
        <v>4.544014E-6</v>
      </c>
      <c r="I2185">
        <v>283.82749999999999</v>
      </c>
      <c r="J2185">
        <v>-312.05169999999998</v>
      </c>
      <c r="K2185">
        <v>1.109232</v>
      </c>
      <c r="L2185">
        <v>284.41090000000003</v>
      </c>
      <c r="M2185">
        <v>-0.99986209999999998</v>
      </c>
      <c r="N2185">
        <v>-9.9831759999999999E-3</v>
      </c>
      <c r="O2185">
        <v>-1.3274909999999999E-2</v>
      </c>
      <c r="P2185">
        <v>-0.98278469999999996</v>
      </c>
      <c r="Q2185">
        <v>0.16902</v>
      </c>
      <c r="R2185">
        <v>-7.4610399999999993E-2</v>
      </c>
      <c r="S2185">
        <v>-3.055634</v>
      </c>
      <c r="T2185">
        <v>-2.7503130000000001E-2</v>
      </c>
      <c r="U2185">
        <v>-1.452637E-2</v>
      </c>
      <c r="V2185">
        <v>-6.1361159999999998E-2</v>
      </c>
      <c r="W2185">
        <v>0.1788988</v>
      </c>
      <c r="X2185">
        <v>0.98195209999999999</v>
      </c>
      <c r="Y2185">
        <v>8.5212020000000003E-3</v>
      </c>
      <c r="Z2185" s="1">
        <v>6.7830760000000005E-5</v>
      </c>
      <c r="AA2185">
        <v>0.99996370000000001</v>
      </c>
      <c r="AB2185">
        <v>34</v>
      </c>
      <c r="AC2185">
        <v>-123.0402</v>
      </c>
      <c r="AD2185">
        <v>-1.109227455986</v>
      </c>
      <c r="AE2185">
        <v>-0.58340000000004</v>
      </c>
      <c r="AF2185">
        <v>1.0499949708638101</v>
      </c>
      <c r="AG2185">
        <v>-1.109227455986</v>
      </c>
      <c r="AH2185">
        <v>123.027103562652</v>
      </c>
      <c r="AI2185">
        <v>90.516552967105596</v>
      </c>
      <c r="AJ2185">
        <v>89.511011655473993</v>
      </c>
      <c r="AK2185">
        <v>123.036584339795</v>
      </c>
      <c r="AL2185">
        <v>79.694374879686407</v>
      </c>
      <c r="AM2185">
        <v>93.575703970823</v>
      </c>
      <c r="AN2185">
        <v>0.99999994964619598</v>
      </c>
    </row>
    <row r="2186" spans="1:40" x14ac:dyDescent="0.25">
      <c r="A2186" t="str">
        <f>"20190304155637512"</f>
        <v>20190304155637512</v>
      </c>
      <c r="B2186" t="str">
        <f>"1551686197507139"</f>
        <v>1551686197507139</v>
      </c>
      <c r="C2186" t="s">
        <v>40</v>
      </c>
      <c r="D2186">
        <v>4.7746430000000002</v>
      </c>
      <c r="E2186">
        <v>0.52679549999999997</v>
      </c>
      <c r="F2186" t="s">
        <v>55</v>
      </c>
      <c r="G2186">
        <v>-452.65929999999997</v>
      </c>
      <c r="H2186" s="1">
        <v>-8.6742670000000005E-8</v>
      </c>
      <c r="I2186">
        <v>283.81830000000002</v>
      </c>
      <c r="J2186">
        <v>-312.22160000000002</v>
      </c>
      <c r="K2186">
        <v>1.1092219999999999</v>
      </c>
      <c r="L2186">
        <v>284.40890000000002</v>
      </c>
      <c r="M2186">
        <v>-0.99986569999999997</v>
      </c>
      <c r="N2186">
        <v>-9.9853349999999997E-3</v>
      </c>
      <c r="O2186">
        <v>-1.3000070000000001E-2</v>
      </c>
      <c r="P2186">
        <v>-0.98266129999999996</v>
      </c>
      <c r="Q2186">
        <v>0.169816299999999</v>
      </c>
      <c r="R2186">
        <v>-7.4428279999999999E-2</v>
      </c>
      <c r="S2186">
        <v>-3.0557560000000001</v>
      </c>
      <c r="T2186">
        <v>-2.410638E-2</v>
      </c>
      <c r="U2186">
        <v>-1.287842E-2</v>
      </c>
      <c r="V2186">
        <v>-6.1447120000000001E-2</v>
      </c>
      <c r="W2186">
        <v>0.1796972</v>
      </c>
      <c r="X2186">
        <v>0.98180100000000003</v>
      </c>
      <c r="Y2186">
        <v>8.7858709999999902E-3</v>
      </c>
      <c r="Z2186" s="1">
        <v>5.1255999999999999E-5</v>
      </c>
      <c r="AA2186">
        <v>0.9999614</v>
      </c>
      <c r="AB2186">
        <v>34</v>
      </c>
      <c r="AC2186">
        <v>-140.43769999999901</v>
      </c>
      <c r="AD2186">
        <v>-1.1092220867426701</v>
      </c>
      <c r="AE2186">
        <v>-0.59059999999999402</v>
      </c>
      <c r="AF2186">
        <v>1.2351637000280999</v>
      </c>
      <c r="AG2186">
        <v>-1.1092220867426701</v>
      </c>
      <c r="AH2186">
        <v>140.42474939714299</v>
      </c>
      <c r="AI2186">
        <v>90.452555296731106</v>
      </c>
      <c r="AJ2186">
        <v>89.496044377477006</v>
      </c>
      <c r="AK2186">
        <v>140.43456214996999</v>
      </c>
      <c r="AL2186">
        <v>79.647877123585403</v>
      </c>
      <c r="AM2186">
        <v>93.581249740406193</v>
      </c>
      <c r="AN2186">
        <v>1.0000000179225601</v>
      </c>
    </row>
    <row r="2187" spans="1:40" x14ac:dyDescent="0.25">
      <c r="A2187" t="str">
        <f>"20190304155637523"</f>
        <v>20190304155637523</v>
      </c>
      <c r="B2187" t="str">
        <f>"1551686197516897"</f>
        <v>1551686197516897</v>
      </c>
      <c r="C2187" t="s">
        <v>40</v>
      </c>
      <c r="D2187">
        <v>4.7731279999999998</v>
      </c>
      <c r="E2187">
        <v>0.52686999999999995</v>
      </c>
      <c r="F2187" t="s">
        <v>55</v>
      </c>
      <c r="G2187">
        <v>-468.71949999999998</v>
      </c>
      <c r="H2187" s="1">
        <v>3.1388709999999898E-6</v>
      </c>
      <c r="I2187">
        <v>283.80250000000001</v>
      </c>
      <c r="J2187">
        <v>-312.40679999999998</v>
      </c>
      <c r="K2187">
        <v>1.1092219999999999</v>
      </c>
      <c r="L2187">
        <v>284.4067</v>
      </c>
      <c r="M2187">
        <v>-0.99986949999999997</v>
      </c>
      <c r="N2187">
        <v>-9.9877279999999995E-3</v>
      </c>
      <c r="O2187">
        <v>-1.270258E-2</v>
      </c>
      <c r="P2187">
        <v>-0.98262729999999998</v>
      </c>
      <c r="Q2187">
        <v>0.17014170000000001</v>
      </c>
      <c r="R2187">
        <v>-7.41314E-2</v>
      </c>
      <c r="S2187">
        <v>-3.0558169999999998</v>
      </c>
      <c r="T2187">
        <v>-2.1658899999999998E-2</v>
      </c>
      <c r="U2187">
        <v>-1.184082E-2</v>
      </c>
      <c r="V2187">
        <v>-6.1440090000000003E-2</v>
      </c>
      <c r="W2187">
        <v>0.18002560000000001</v>
      </c>
      <c r="X2187">
        <v>0.98174119999999998</v>
      </c>
      <c r="Y2187">
        <v>8.8280310000000001E-3</v>
      </c>
      <c r="Z2187" s="1">
        <v>3.8525960000000001E-5</v>
      </c>
      <c r="AA2187">
        <v>0.99996099999999999</v>
      </c>
      <c r="AB2187">
        <v>34</v>
      </c>
      <c r="AC2187">
        <v>-156.31270000000001</v>
      </c>
      <c r="AD2187">
        <v>-1.1092188611289999</v>
      </c>
      <c r="AE2187">
        <v>-0.60419999999999097</v>
      </c>
      <c r="AF2187">
        <v>1.3814526827873299</v>
      </c>
      <c r="AG2187">
        <v>-1.1092188611289999</v>
      </c>
      <c r="AH2187">
        <v>156.29989213145001</v>
      </c>
      <c r="AI2187">
        <v>90.406590237822002</v>
      </c>
      <c r="AJ2187">
        <v>89.493605873483205</v>
      </c>
      <c r="AK2187">
        <v>156.30993269238999</v>
      </c>
      <c r="AL2187">
        <v>79.628748461391496</v>
      </c>
      <c r="AM2187">
        <v>93.581058634637202</v>
      </c>
      <c r="AN2187">
        <v>0.999999942546002</v>
      </c>
    </row>
    <row r="2188" spans="1:40" x14ac:dyDescent="0.25">
      <c r="A2188" t="str">
        <f>"20190304155637536"</f>
        <v>20190304155637536</v>
      </c>
      <c r="B2188" t="str">
        <f>"1551686197526658"</f>
        <v>1551686197526658</v>
      </c>
      <c r="C2188" t="s">
        <v>40</v>
      </c>
      <c r="D2188">
        <v>4.793444</v>
      </c>
      <c r="E2188">
        <v>0.52687379999999995</v>
      </c>
      <c r="F2188" t="s">
        <v>53</v>
      </c>
      <c r="G2188">
        <v>-476.274</v>
      </c>
      <c r="H2188" s="1">
        <v>3.763597E-6</v>
      </c>
      <c r="I2188">
        <v>283.8356</v>
      </c>
      <c r="J2188">
        <v>-312.59199999999998</v>
      </c>
      <c r="K2188">
        <v>1.1092169999999999</v>
      </c>
      <c r="L2188">
        <v>284.40460000000002</v>
      </c>
      <c r="M2188">
        <v>-0.99987309999999996</v>
      </c>
      <c r="N2188">
        <v>-9.9901409999999993E-3</v>
      </c>
      <c r="O2188">
        <v>-1.2406179999999999E-2</v>
      </c>
      <c r="P2188">
        <v>-0.98252169999999905</v>
      </c>
      <c r="Q2188">
        <v>0.1707582</v>
      </c>
      <c r="R2188">
        <v>-7.4111720000000006E-2</v>
      </c>
      <c r="S2188">
        <v>-3.0558169999999998</v>
      </c>
      <c r="T2188">
        <v>-2.0684839999999999E-2</v>
      </c>
      <c r="U2188">
        <v>-1.0650629999999999E-2</v>
      </c>
      <c r="V2188">
        <v>-6.1709640000000003E-2</v>
      </c>
      <c r="W2188">
        <v>0.1806442</v>
      </c>
      <c r="X2188">
        <v>0.98161069999999995</v>
      </c>
      <c r="Y2188">
        <v>8.9210790000000002E-3</v>
      </c>
      <c r="Z2188" s="1">
        <v>3.4785169999999998E-5</v>
      </c>
      <c r="AA2188">
        <v>0.99996019999999997</v>
      </c>
      <c r="AB2188">
        <v>34</v>
      </c>
      <c r="AC2188">
        <v>-163.68199999999999</v>
      </c>
      <c r="AD2188">
        <v>-1.1092132364029901</v>
      </c>
      <c r="AE2188">
        <v>-0.56900000000001605</v>
      </c>
      <c r="AF2188">
        <v>1.46174643211749</v>
      </c>
      <c r="AG2188">
        <v>-1.1092132364029901</v>
      </c>
      <c r="AH2188">
        <v>163.668945264066</v>
      </c>
      <c r="AI2188">
        <v>90.388282148203302</v>
      </c>
      <c r="AJ2188">
        <v>89.488298318101897</v>
      </c>
      <c r="AK2188">
        <v>163.67923112138399</v>
      </c>
      <c r="AL2188">
        <v>79.592714985309598</v>
      </c>
      <c r="AM2188">
        <v>93.597205216081505</v>
      </c>
      <c r="AN2188">
        <v>0.99999998650852895</v>
      </c>
    </row>
    <row r="2189" spans="1:40" x14ac:dyDescent="0.25">
      <c r="A2189" t="str">
        <f>"20190304155637547"</f>
        <v>20190304155637547</v>
      </c>
      <c r="B2189" t="str">
        <f>"1551686197536418"</f>
        <v>1551686197536418</v>
      </c>
      <c r="C2189" t="s">
        <v>40</v>
      </c>
      <c r="D2189">
        <v>4.8307500000000001</v>
      </c>
      <c r="E2189">
        <v>0.52690130000000002</v>
      </c>
      <c r="F2189" t="s">
        <v>53</v>
      </c>
      <c r="G2189">
        <v>-490.71539999999999</v>
      </c>
      <c r="H2189" s="1">
        <v>3.7657019999999998E-6</v>
      </c>
      <c r="I2189">
        <v>283.79270000000002</v>
      </c>
      <c r="J2189">
        <v>-312.76650000000001</v>
      </c>
      <c r="K2189">
        <v>1.1092109999999999</v>
      </c>
      <c r="L2189">
        <v>284.40269999999998</v>
      </c>
      <c r="M2189">
        <v>-0.9998766</v>
      </c>
      <c r="N2189">
        <v>-9.9924360000000004E-3</v>
      </c>
      <c r="O2189">
        <v>-1.2127779999999999E-2</v>
      </c>
      <c r="P2189">
        <v>-0.98243049999999998</v>
      </c>
      <c r="Q2189">
        <v>0.17126150000000001</v>
      </c>
      <c r="R2189">
        <v>-7.4161450000000004E-2</v>
      </c>
      <c r="S2189">
        <v>-3.0558779999999999</v>
      </c>
      <c r="T2189">
        <v>-1.9029620000000001E-2</v>
      </c>
      <c r="U2189">
        <v>-1.049805E-2</v>
      </c>
      <c r="V2189">
        <v>-6.203094E-2</v>
      </c>
      <c r="W2189">
        <v>0.1811498</v>
      </c>
      <c r="X2189">
        <v>0.98149730000000002</v>
      </c>
      <c r="Y2189">
        <v>8.6927010000000006E-3</v>
      </c>
      <c r="Z2189" s="1">
        <v>2.482557E-5</v>
      </c>
      <c r="AA2189">
        <v>0.99996220000000002</v>
      </c>
      <c r="AB2189">
        <v>34</v>
      </c>
      <c r="AC2189">
        <v>-177.94889999999901</v>
      </c>
      <c r="AD2189">
        <v>-1.1092072342979999</v>
      </c>
      <c r="AE2189">
        <v>-0.60999999999995602</v>
      </c>
      <c r="AF2189">
        <v>1.5482174157389299</v>
      </c>
      <c r="AG2189">
        <v>-1.1092072342979999</v>
      </c>
      <c r="AH2189">
        <v>177.93629645484901</v>
      </c>
      <c r="AI2189">
        <v>90.3571484050414</v>
      </c>
      <c r="AJ2189">
        <v>89.501484031068202</v>
      </c>
      <c r="AK2189">
        <v>177.94648890585799</v>
      </c>
      <c r="AL2189">
        <v>79.563260636423095</v>
      </c>
      <c r="AM2189">
        <v>93.616301676403907</v>
      </c>
      <c r="AN2189">
        <v>1.0000000187322999</v>
      </c>
    </row>
    <row r="2190" spans="1:40" x14ac:dyDescent="0.25">
      <c r="A2190" t="str">
        <f>"20190304155637567"</f>
        <v>20190304155637567</v>
      </c>
      <c r="B2190" t="str">
        <f>"1551686197556914"</f>
        <v>1551686197556914</v>
      </c>
      <c r="C2190" t="s">
        <v>40</v>
      </c>
      <c r="D2190">
        <v>4.7954819999999998</v>
      </c>
      <c r="E2190">
        <v>0.52695609999999904</v>
      </c>
      <c r="F2190" t="s">
        <v>53</v>
      </c>
      <c r="G2190">
        <v>-499.95780000000002</v>
      </c>
      <c r="H2190">
        <v>2.9729780000000001E-2</v>
      </c>
      <c r="I2190">
        <v>283.79140000000001</v>
      </c>
      <c r="J2190">
        <v>-313.06849999999997</v>
      </c>
      <c r="K2190">
        <v>1.109208</v>
      </c>
      <c r="L2190">
        <v>284.39949999999999</v>
      </c>
      <c r="M2190">
        <v>-0.9998823</v>
      </c>
      <c r="N2190">
        <v>-9.9964379999999999E-3</v>
      </c>
      <c r="O2190">
        <v>-1.1647670000000001E-2</v>
      </c>
      <c r="P2190">
        <v>-0.98225399999999996</v>
      </c>
      <c r="Q2190">
        <v>0.17207910000000001</v>
      </c>
      <c r="R2190">
        <v>-7.4606569999999997E-2</v>
      </c>
      <c r="S2190">
        <v>-3.0559690000000002</v>
      </c>
      <c r="T2190">
        <v>-1.7622949999999998E-2</v>
      </c>
      <c r="U2190">
        <v>-9.9792479999999996E-3</v>
      </c>
      <c r="V2190">
        <v>-6.2946000000000002E-2</v>
      </c>
      <c r="W2190">
        <v>0.18197179999999999</v>
      </c>
      <c r="X2190">
        <v>0.98128689999999996</v>
      </c>
      <c r="Y2190">
        <v>8.3824499999999996E-3</v>
      </c>
      <c r="Z2190" s="1">
        <v>1.6794539999999999E-5</v>
      </c>
      <c r="AA2190">
        <v>0.99996490000000005</v>
      </c>
      <c r="AB2190">
        <v>34</v>
      </c>
      <c r="AC2190">
        <v>-186.88929999999999</v>
      </c>
      <c r="AD2190">
        <v>-1.0794782199999999</v>
      </c>
      <c r="AE2190">
        <v>-0.60809999999997899</v>
      </c>
      <c r="AF2190">
        <v>1.5688223514011099</v>
      </c>
      <c r="AG2190">
        <v>-1.0794782199999999</v>
      </c>
      <c r="AH2190">
        <v>186.87746949993101</v>
      </c>
      <c r="AI2190">
        <v>90.330947754842896</v>
      </c>
      <c r="AJ2190">
        <v>89.519017523702601</v>
      </c>
      <c r="AK2190">
        <v>186.88717206778901</v>
      </c>
      <c r="AL2190">
        <v>79.5153668587715</v>
      </c>
      <c r="AM2190">
        <v>93.6702881027107</v>
      </c>
      <c r="AN2190">
        <v>0.99999995751142401</v>
      </c>
    </row>
    <row r="2191" spans="1:40" x14ac:dyDescent="0.25">
      <c r="A2191" t="str">
        <f>"20190304155637589"</f>
        <v>20190304155637589</v>
      </c>
      <c r="B2191" t="str">
        <f>"1551686197576434"</f>
        <v>1551686197576434</v>
      </c>
      <c r="C2191" t="s">
        <v>40</v>
      </c>
      <c r="D2191">
        <v>4.7816260000000002</v>
      </c>
      <c r="E2191">
        <v>0.51625790000000005</v>
      </c>
      <c r="F2191" t="s">
        <v>44</v>
      </c>
      <c r="G2191">
        <v>-549.09389999999996</v>
      </c>
      <c r="H2191">
        <v>-0.05</v>
      </c>
      <c r="I2191">
        <v>283.59339999999997</v>
      </c>
      <c r="J2191">
        <v>-313.39350000000002</v>
      </c>
      <c r="K2191">
        <v>1.1092040000000001</v>
      </c>
      <c r="L2191">
        <v>284.39620000000002</v>
      </c>
      <c r="M2191">
        <v>-0.9998882</v>
      </c>
      <c r="N2191">
        <v>-1.000083E-2</v>
      </c>
      <c r="O2191">
        <v>-1.1134079999999999E-2</v>
      </c>
      <c r="P2191">
        <v>-0.98211720000000002</v>
      </c>
      <c r="Q2191">
        <v>0.1727581</v>
      </c>
      <c r="R2191">
        <v>-7.4837059999999997E-2</v>
      </c>
      <c r="S2191">
        <v>-3.0560299999999998</v>
      </c>
      <c r="T2191">
        <v>-1.500928E-2</v>
      </c>
      <c r="U2191">
        <v>-1.043701E-2</v>
      </c>
      <c r="V2191">
        <v>-6.3679429999999995E-2</v>
      </c>
      <c r="W2191">
        <v>0.18265490000000001</v>
      </c>
      <c r="X2191">
        <v>0.98111269999999995</v>
      </c>
      <c r="Y2191">
        <v>7.7191589999999997E-3</v>
      </c>
      <c r="Z2191" s="1">
        <v>8.8292109999999898E-7</v>
      </c>
      <c r="AA2191">
        <v>0.99997020000000003</v>
      </c>
      <c r="AB2191">
        <v>34</v>
      </c>
      <c r="AC2191">
        <v>-235.7004</v>
      </c>
      <c r="AD2191">
        <v>-1.1592039999999999</v>
      </c>
      <c r="AE2191">
        <v>-0.80280000000004703</v>
      </c>
      <c r="AF2191">
        <v>1.8216435416599099</v>
      </c>
      <c r="AG2191">
        <v>-1.1592039999999999</v>
      </c>
      <c r="AH2191">
        <v>235.68902658478501</v>
      </c>
      <c r="AI2191">
        <v>90.281790707597295</v>
      </c>
      <c r="AJ2191">
        <v>89.557168995183304</v>
      </c>
      <c r="AK2191">
        <v>235.69891682311501</v>
      </c>
      <c r="AL2191">
        <v>79.475561500089299</v>
      </c>
      <c r="AM2191">
        <v>93.713591780814994</v>
      </c>
      <c r="AN2191">
        <v>1.0000000062002099</v>
      </c>
    </row>
    <row r="2192" spans="1:40" x14ac:dyDescent="0.25">
      <c r="A2192" t="str">
        <f>"20190304155637601"</f>
        <v>20190304155637601</v>
      </c>
      <c r="B2192" t="str">
        <f>"1551686197596930"</f>
        <v>1551686197596930</v>
      </c>
      <c r="C2192" t="s">
        <v>40</v>
      </c>
      <c r="D2192">
        <v>4.7691800000000004</v>
      </c>
      <c r="E2192">
        <v>0.51350810000000002</v>
      </c>
      <c r="F2192" t="s">
        <v>55</v>
      </c>
      <c r="G2192">
        <v>-453.26780000000002</v>
      </c>
      <c r="H2192" s="1">
        <v>4.040739E-7</v>
      </c>
      <c r="I2192">
        <v>279.99689999999998</v>
      </c>
      <c r="J2192">
        <v>-313.59089999999998</v>
      </c>
      <c r="K2192">
        <v>1.1092040000000001</v>
      </c>
      <c r="L2192">
        <v>284.39429999999999</v>
      </c>
      <c r="M2192">
        <v>-0.99989139999999999</v>
      </c>
      <c r="N2192">
        <v>-1.000351E-2</v>
      </c>
      <c r="O2192">
        <v>-1.082485E-2</v>
      </c>
      <c r="P2192">
        <v>-0.98209869999999999</v>
      </c>
      <c r="Q2192">
        <v>0.17276949999999999</v>
      </c>
      <c r="R2192">
        <v>-7.5052919999999995E-2</v>
      </c>
      <c r="S2192">
        <v>-3.0515750000000001</v>
      </c>
      <c r="T2192">
        <v>-2.419901E-2</v>
      </c>
      <c r="U2192">
        <v>-9.5977779999999999E-2</v>
      </c>
      <c r="V2192">
        <v>-6.419851E-2</v>
      </c>
      <c r="W2192">
        <v>0.1826699</v>
      </c>
      <c r="X2192">
        <v>0.98107610000000001</v>
      </c>
      <c r="Y2192">
        <v>-2.0613019999999999E-2</v>
      </c>
      <c r="Z2192">
        <v>-2.0729759999999999E-4</v>
      </c>
      <c r="AA2192">
        <v>0.99978750000000005</v>
      </c>
      <c r="AB2192">
        <v>34</v>
      </c>
      <c r="AC2192">
        <v>-139.67689999999999</v>
      </c>
      <c r="AD2192">
        <v>-1.1092035959261</v>
      </c>
      <c r="AE2192">
        <v>-4.3974000000000002</v>
      </c>
      <c r="AF2192">
        <v>-2.8849034748890099</v>
      </c>
      <c r="AG2192">
        <v>-1.1092035959261</v>
      </c>
      <c r="AH2192">
        <v>139.70751740543801</v>
      </c>
      <c r="AI2192">
        <v>90.454791596882501</v>
      </c>
      <c r="AJ2192">
        <v>91.182966447053502</v>
      </c>
      <c r="AK2192">
        <v>139.74170250954899</v>
      </c>
      <c r="AL2192">
        <v>79.474687583519099</v>
      </c>
      <c r="AM2192">
        <v>93.743916483280998</v>
      </c>
      <c r="AN2192">
        <v>1.00000002752171</v>
      </c>
    </row>
    <row r="2193" spans="1:40" x14ac:dyDescent="0.25">
      <c r="A2193" t="str">
        <f>"20190304155637615"</f>
        <v>20190304155637615</v>
      </c>
      <c r="B2193" t="str">
        <f>"1551686197606690"</f>
        <v>1551686197606690</v>
      </c>
      <c r="C2193" t="s">
        <v>40</v>
      </c>
      <c r="D2193">
        <v>4.7955699999999997</v>
      </c>
      <c r="E2193">
        <v>0.51309470000000001</v>
      </c>
      <c r="F2193" t="s">
        <v>64</v>
      </c>
      <c r="G2193">
        <v>-430.2124</v>
      </c>
      <c r="H2193" s="1">
        <v>2.7279479999999998E-6</v>
      </c>
      <c r="I2193">
        <v>279.84910000000002</v>
      </c>
      <c r="J2193">
        <v>-313.78989999999999</v>
      </c>
      <c r="K2193">
        <v>1.109205</v>
      </c>
      <c r="L2193">
        <v>284.39240000000001</v>
      </c>
      <c r="M2193">
        <v>-0.99989479999999997</v>
      </c>
      <c r="N2193">
        <v>-1.000622E-2</v>
      </c>
      <c r="O2193">
        <v>-1.051612E-2</v>
      </c>
      <c r="P2193">
        <v>-0.98206720000000003</v>
      </c>
      <c r="Q2193">
        <v>0.17292959999999999</v>
      </c>
      <c r="R2193">
        <v>-7.5098949999999998E-2</v>
      </c>
      <c r="S2193">
        <v>-3.050659</v>
      </c>
      <c r="T2193">
        <v>-2.9015180000000002E-2</v>
      </c>
      <c r="U2193">
        <v>-0.1188965</v>
      </c>
      <c r="V2193">
        <v>-6.4547869999999993E-2</v>
      </c>
      <c r="W2193">
        <v>0.18283260000000001</v>
      </c>
      <c r="X2193">
        <v>0.98102279999999997</v>
      </c>
      <c r="Y2193">
        <v>-2.8431020000000001E-2</v>
      </c>
      <c r="Z2193">
        <v>-2.8268150000000002E-4</v>
      </c>
      <c r="AA2193">
        <v>0.99959569999999998</v>
      </c>
      <c r="AB2193">
        <v>34</v>
      </c>
      <c r="AC2193">
        <v>-116.4225</v>
      </c>
      <c r="AD2193">
        <v>-1.1092022720520001</v>
      </c>
      <c r="AE2193">
        <v>-4.5432999999999799</v>
      </c>
      <c r="AF2193">
        <v>-3.3183739159157999</v>
      </c>
      <c r="AG2193">
        <v>-1.1092022720520001</v>
      </c>
      <c r="AH2193">
        <v>116.453287419543</v>
      </c>
      <c r="AI2193">
        <v>90.545496865222603</v>
      </c>
      <c r="AJ2193">
        <v>91.632220000108404</v>
      </c>
      <c r="AK2193">
        <v>116.505837132501</v>
      </c>
      <c r="AL2193">
        <v>79.465205168115006</v>
      </c>
      <c r="AM2193">
        <v>93.764435902226793</v>
      </c>
      <c r="AN2193">
        <v>0.99999996063206698</v>
      </c>
    </row>
    <row r="2194" spans="1:40" x14ac:dyDescent="0.25">
      <c r="A2194" t="str">
        <f>"20190304155637627"</f>
        <v>20190304155637627</v>
      </c>
      <c r="B2194" t="str">
        <f>"1551686197616450"</f>
        <v>1551686197616450</v>
      </c>
      <c r="C2194" t="s">
        <v>40</v>
      </c>
      <c r="D2194">
        <v>4.7923049999999998</v>
      </c>
      <c r="E2194">
        <v>0.51287150000000004</v>
      </c>
      <c r="F2194" t="s">
        <v>64</v>
      </c>
      <c r="G2194">
        <v>-426.71170000000001</v>
      </c>
      <c r="H2194" s="1">
        <v>3.190025E-6</v>
      </c>
      <c r="I2194">
        <v>279.85820000000001</v>
      </c>
      <c r="J2194">
        <v>-313.98390000000001</v>
      </c>
      <c r="K2194">
        <v>1.1092029999999999</v>
      </c>
      <c r="L2194">
        <v>284.39060000000001</v>
      </c>
      <c r="M2194">
        <v>-0.99989779999999995</v>
      </c>
      <c r="N2194">
        <v>-1.000886E-2</v>
      </c>
      <c r="O2194">
        <v>-1.0218369999999999E-2</v>
      </c>
      <c r="P2194">
        <v>-0.98201910000000003</v>
      </c>
      <c r="Q2194">
        <v>0.17324639999999999</v>
      </c>
      <c r="R2194">
        <v>-7.4996240000000006E-2</v>
      </c>
      <c r="S2194">
        <v>-3.0506899999999999</v>
      </c>
      <c r="T2194">
        <v>-2.9966119999999999E-2</v>
      </c>
      <c r="U2194">
        <v>-0.1224976</v>
      </c>
      <c r="V2194">
        <v>-6.4739019999999994E-2</v>
      </c>
      <c r="W2194">
        <v>0.18315090000000001</v>
      </c>
      <c r="X2194">
        <v>0.98095089999999996</v>
      </c>
      <c r="Y2194">
        <v>-2.9906060000000002E-2</v>
      </c>
      <c r="Z2194">
        <v>-2.984703E-4</v>
      </c>
      <c r="AA2194">
        <v>0.99955269999999996</v>
      </c>
      <c r="AB2194">
        <v>34</v>
      </c>
      <c r="AC2194">
        <v>-112.7278</v>
      </c>
      <c r="AD2194">
        <v>-1.109199809975</v>
      </c>
      <c r="AE2194">
        <v>-4.5323999999999902</v>
      </c>
      <c r="AF2194">
        <v>-3.3798846840892298</v>
      </c>
      <c r="AG2194">
        <v>-1.109199809975</v>
      </c>
      <c r="AH2194">
        <v>112.757330716971</v>
      </c>
      <c r="AI2194">
        <v>90.563350416484795</v>
      </c>
      <c r="AJ2194">
        <v>91.716918616842307</v>
      </c>
      <c r="AK2194">
        <v>112.81342816842501</v>
      </c>
      <c r="AL2194">
        <v>79.446655431827296</v>
      </c>
      <c r="AM2194">
        <v>93.775827519721005</v>
      </c>
      <c r="AN2194">
        <v>1.0000000305460801</v>
      </c>
    </row>
    <row r="2195" spans="1:40" x14ac:dyDescent="0.25">
      <c r="A2195" t="str">
        <f>"20190304155637644"</f>
        <v>20190304155637644</v>
      </c>
      <c r="B2195" t="str">
        <f>"1551686197636949"</f>
        <v>1551686197636949</v>
      </c>
      <c r="C2195" t="s">
        <v>40</v>
      </c>
      <c r="D2195">
        <v>4.8260829999999997</v>
      </c>
      <c r="E2195">
        <v>0.51255260000000002</v>
      </c>
      <c r="F2195" t="s">
        <v>64</v>
      </c>
      <c r="G2195">
        <v>-432.7004</v>
      </c>
      <c r="H2195" s="1">
        <v>3.8618949999999999E-6</v>
      </c>
      <c r="I2195">
        <v>279.55799999999999</v>
      </c>
      <c r="J2195">
        <v>-314.23820000000001</v>
      </c>
      <c r="K2195">
        <v>1.109213</v>
      </c>
      <c r="L2195">
        <v>284.38839999999999</v>
      </c>
      <c r="M2195">
        <v>-0.99990159999999995</v>
      </c>
      <c r="N2195">
        <v>-1.001233E-2</v>
      </c>
      <c r="O2195">
        <v>-9.8367339999999998E-3</v>
      </c>
      <c r="P2195">
        <v>-0.98195589999999999</v>
      </c>
      <c r="Q2195">
        <v>0.1734464</v>
      </c>
      <c r="R2195">
        <v>-7.5360709999999997E-2</v>
      </c>
      <c r="S2195">
        <v>-3.0504760000000002</v>
      </c>
      <c r="T2195">
        <v>-2.8501390000000001E-2</v>
      </c>
      <c r="U2195">
        <v>-0.12417599999999999</v>
      </c>
      <c r="V2195">
        <v>-6.5480689999999994E-2</v>
      </c>
      <c r="W2195">
        <v>0.1833543</v>
      </c>
      <c r="X2195">
        <v>0.98086359999999995</v>
      </c>
      <c r="Y2195">
        <v>-3.0839579999999998E-2</v>
      </c>
      <c r="Z2195">
        <v>-3.0506640000000002E-4</v>
      </c>
      <c r="AA2195">
        <v>0.99952430000000003</v>
      </c>
      <c r="AB2195">
        <v>34</v>
      </c>
      <c r="AC2195">
        <v>-118.4622</v>
      </c>
      <c r="AD2195">
        <v>-1.109209138105</v>
      </c>
      <c r="AE2195">
        <v>-4.8303999999999903</v>
      </c>
      <c r="AF2195">
        <v>-3.6645060912179099</v>
      </c>
      <c r="AG2195">
        <v>-1.109209138105</v>
      </c>
      <c r="AH2195">
        <v>118.493614263864</v>
      </c>
      <c r="AI2195">
        <v>90.536069219284499</v>
      </c>
      <c r="AJ2195">
        <v>91.771351452245497</v>
      </c>
      <c r="AK2195">
        <v>118.555453569703</v>
      </c>
      <c r="AL2195">
        <v>79.434799977523696</v>
      </c>
      <c r="AM2195">
        <v>93.819296164726495</v>
      </c>
      <c r="AN2195">
        <v>0.99999996094816201</v>
      </c>
    </row>
    <row r="2196" spans="1:40" x14ac:dyDescent="0.25">
      <c r="A2196" t="str">
        <f>"20190304155637660"</f>
        <v>20190304155637660</v>
      </c>
      <c r="B2196" t="str">
        <f>"1551686197656466"</f>
        <v>1551686197656466</v>
      </c>
      <c r="C2196" t="s">
        <v>40</v>
      </c>
      <c r="D2196">
        <v>4.8206769999999999</v>
      </c>
      <c r="E2196">
        <v>0.51225859999999901</v>
      </c>
      <c r="F2196" t="s">
        <v>64</v>
      </c>
      <c r="G2196">
        <v>-421.81720000000001</v>
      </c>
      <c r="H2196" s="1">
        <v>4.0568309999999996E-6</v>
      </c>
      <c r="I2196">
        <v>279.8741</v>
      </c>
      <c r="J2196">
        <v>-314.4735</v>
      </c>
      <c r="K2196">
        <v>1.109219</v>
      </c>
      <c r="L2196">
        <v>284.38639999999998</v>
      </c>
      <c r="M2196">
        <v>-0.99990489999999999</v>
      </c>
      <c r="N2196">
        <v>-1.001545E-2</v>
      </c>
      <c r="O2196">
        <v>-9.4930320000000002E-3</v>
      </c>
      <c r="P2196">
        <v>-0.98193940000000002</v>
      </c>
      <c r="Q2196">
        <v>0.17360719999999999</v>
      </c>
      <c r="R2196">
        <v>-7.5205330000000001E-2</v>
      </c>
      <c r="S2196">
        <v>-3.0508730000000002</v>
      </c>
      <c r="T2196">
        <v>-3.145647E-2</v>
      </c>
      <c r="U2196">
        <v>-0.1280212</v>
      </c>
      <c r="V2196">
        <v>-6.5666210000000003E-2</v>
      </c>
      <c r="W2196">
        <v>0.1835165</v>
      </c>
      <c r="X2196">
        <v>0.9808209</v>
      </c>
      <c r="Y2196">
        <v>-3.243484E-2</v>
      </c>
      <c r="Z2196">
        <v>-3.2685839999999999E-4</v>
      </c>
      <c r="AA2196">
        <v>0.99947379999999997</v>
      </c>
      <c r="AB2196">
        <v>34</v>
      </c>
      <c r="AC2196">
        <v>-107.3437</v>
      </c>
      <c r="AD2196">
        <v>-1.1092149431689999</v>
      </c>
      <c r="AE2196">
        <v>-4.5122999999999802</v>
      </c>
      <c r="AF2196">
        <v>-3.4926562069561</v>
      </c>
      <c r="AG2196">
        <v>-1.1092149431689999</v>
      </c>
      <c r="AH2196">
        <v>107.370255710745</v>
      </c>
      <c r="AI2196">
        <v>90.591574264978703</v>
      </c>
      <c r="AJ2196">
        <v>91.863122335621597</v>
      </c>
      <c r="AK2196">
        <v>107.432773475141</v>
      </c>
      <c r="AL2196">
        <v>79.425346577406302</v>
      </c>
      <c r="AM2196">
        <v>93.830251085334993</v>
      </c>
      <c r="AN2196">
        <v>0.99999999739241197</v>
      </c>
    </row>
    <row r="2197" spans="1:40" x14ac:dyDescent="0.25">
      <c r="A2197" t="str">
        <f>"20190304155637677"</f>
        <v>20190304155637677</v>
      </c>
      <c r="B2197" t="str">
        <f>"1551686197667203"</f>
        <v>1551686197667203</v>
      </c>
      <c r="C2197" t="s">
        <v>40</v>
      </c>
      <c r="D2197">
        <v>4.7857209999999997</v>
      </c>
      <c r="E2197">
        <v>0.51209070000000001</v>
      </c>
      <c r="F2197" t="s">
        <v>64</v>
      </c>
      <c r="G2197">
        <v>-421.9581</v>
      </c>
      <c r="H2197" s="1">
        <v>4.0372180000000001E-6</v>
      </c>
      <c r="I2197">
        <v>279.81259999999997</v>
      </c>
      <c r="J2197">
        <v>-314.74329999999998</v>
      </c>
      <c r="K2197">
        <v>1.1092249999999999</v>
      </c>
      <c r="L2197">
        <v>284.38420000000002</v>
      </c>
      <c r="M2197">
        <v>-0.99990829999999997</v>
      </c>
      <c r="N2197">
        <v>-1.001901E-2</v>
      </c>
      <c r="O2197">
        <v>-9.1120660000000003E-3</v>
      </c>
      <c r="P2197">
        <v>-0.9819736</v>
      </c>
      <c r="Q2197">
        <v>0.17345089999999999</v>
      </c>
      <c r="R2197">
        <v>-7.5118809999999994E-2</v>
      </c>
      <c r="S2197">
        <v>-3.0508120000000001</v>
      </c>
      <c r="T2197">
        <v>-3.1483650000000002E-2</v>
      </c>
      <c r="U2197">
        <v>-0.12982179999999999</v>
      </c>
      <c r="V2197">
        <v>-6.595906E-2</v>
      </c>
      <c r="W2197">
        <v>0.18336230000000001</v>
      </c>
      <c r="X2197">
        <v>0.98083010000000004</v>
      </c>
      <c r="Y2197">
        <v>-3.340518E-2</v>
      </c>
      <c r="Z2197">
        <v>-3.3699259999999998E-4</v>
      </c>
      <c r="AA2197">
        <v>0.99944189999999999</v>
      </c>
      <c r="AB2197">
        <v>34</v>
      </c>
      <c r="AC2197">
        <v>-107.2148</v>
      </c>
      <c r="AD2197">
        <v>-1.109220962782</v>
      </c>
      <c r="AE2197">
        <v>-4.5716000000000401</v>
      </c>
      <c r="AF2197">
        <v>-3.5940288365011099</v>
      </c>
      <c r="AG2197">
        <v>-1.109220962782</v>
      </c>
      <c r="AH2197">
        <v>107.24054958055601</v>
      </c>
      <c r="AI2197">
        <v>90.592273694944296</v>
      </c>
      <c r="AJ2197">
        <v>91.919475806332898</v>
      </c>
      <c r="AK2197">
        <v>107.306490431668</v>
      </c>
      <c r="AL2197">
        <v>79.434334207543401</v>
      </c>
      <c r="AM2197">
        <v>93.847245598737501</v>
      </c>
      <c r="AN2197">
        <v>1.00000000786169</v>
      </c>
    </row>
    <row r="2198" spans="1:40" x14ac:dyDescent="0.25">
      <c r="A2198" t="str">
        <f>"20190304155637701"</f>
        <v>20190304155637701</v>
      </c>
      <c r="B2198" t="str">
        <f>"1551686197696482"</f>
        <v>1551686197696482</v>
      </c>
      <c r="C2198" t="s">
        <v>40</v>
      </c>
      <c r="D2198">
        <v>4.903613</v>
      </c>
      <c r="E2198">
        <v>0.51186140000000002</v>
      </c>
      <c r="F2198" t="s">
        <v>64</v>
      </c>
      <c r="G2198">
        <v>-420.63529999999997</v>
      </c>
      <c r="H2198" s="1">
        <v>4.26947799999999E-6</v>
      </c>
      <c r="I2198">
        <v>279.83980000000003</v>
      </c>
      <c r="J2198">
        <v>-315.09359999999998</v>
      </c>
      <c r="K2198">
        <v>1.1092439999999999</v>
      </c>
      <c r="L2198">
        <v>284.38150000000002</v>
      </c>
      <c r="M2198">
        <v>-0.99991240000000003</v>
      </c>
      <c r="N2198">
        <v>-1.002374E-2</v>
      </c>
      <c r="O2198">
        <v>-8.6434540000000001E-3</v>
      </c>
      <c r="P2198">
        <v>-0.98210059999999999</v>
      </c>
      <c r="Q2198">
        <v>0.17305019999999999</v>
      </c>
      <c r="R2198">
        <v>-7.4379390000000004E-2</v>
      </c>
      <c r="S2198">
        <v>-3.050659</v>
      </c>
      <c r="T2198">
        <v>-3.195572E-2</v>
      </c>
      <c r="U2198">
        <v>-0.13092039999999999</v>
      </c>
      <c r="V2198">
        <v>-6.5688070000000001E-2</v>
      </c>
      <c r="W2198">
        <v>0.1829634</v>
      </c>
      <c r="X2198">
        <v>0.98092279999999998</v>
      </c>
      <c r="Y2198">
        <v>-3.4234779999999999E-2</v>
      </c>
      <c r="Z2198">
        <v>-3.470058E-4</v>
      </c>
      <c r="AA2198">
        <v>0.99941369999999896</v>
      </c>
      <c r="AB2198">
        <v>34</v>
      </c>
      <c r="AC2198">
        <v>-105.54170000000001</v>
      </c>
      <c r="AD2198">
        <v>-1.1092397305220001</v>
      </c>
      <c r="AE2198">
        <v>-4.5416999999999899</v>
      </c>
      <c r="AF2198">
        <v>-3.62883956259456</v>
      </c>
      <c r="AG2198">
        <v>-1.1092397305220001</v>
      </c>
      <c r="AH2198">
        <v>105.565375869969</v>
      </c>
      <c r="AI2198">
        <v>90.601664162740605</v>
      </c>
      <c r="AJ2198">
        <v>91.968783343577996</v>
      </c>
      <c r="AK2198">
        <v>105.633552775236</v>
      </c>
      <c r="AL2198">
        <v>79.457583077907799</v>
      </c>
      <c r="AM2198">
        <v>93.831125522208694</v>
      </c>
      <c r="AN2198">
        <v>1.00000003391986</v>
      </c>
    </row>
    <row r="2199" spans="1:40" x14ac:dyDescent="0.25">
      <c r="A2199" t="str">
        <f>"20190304155637716"</f>
        <v>20190304155637716</v>
      </c>
      <c r="B2199" t="str">
        <f>"1551686197707218"</f>
        <v>1551686197707218</v>
      </c>
      <c r="C2199" t="s">
        <v>40</v>
      </c>
      <c r="D2199">
        <v>4.681451</v>
      </c>
      <c r="E2199">
        <v>0.51186140000000002</v>
      </c>
      <c r="F2199" t="s">
        <v>64</v>
      </c>
      <c r="G2199">
        <v>-419.39690000000002</v>
      </c>
      <c r="H2199" s="1">
        <v>4.2832870000000004E-6</v>
      </c>
      <c r="I2199">
        <v>279.91860000000003</v>
      </c>
      <c r="J2199">
        <v>-315.3218</v>
      </c>
      <c r="K2199">
        <v>1.109254</v>
      </c>
      <c r="L2199">
        <v>284.37970000000001</v>
      </c>
      <c r="M2199">
        <v>-0.99991490000000005</v>
      </c>
      <c r="N2199">
        <v>-1.0026820000000001E-2</v>
      </c>
      <c r="O2199">
        <v>-8.3539489999999994E-3</v>
      </c>
      <c r="P2199">
        <v>-0.98214650000000003</v>
      </c>
      <c r="Q2199">
        <v>0.1729696</v>
      </c>
      <c r="R2199">
        <v>-7.3959720000000007E-2</v>
      </c>
      <c r="S2199">
        <v>-3.0505070000000001</v>
      </c>
      <c r="T2199">
        <v>-3.2441379999999999E-2</v>
      </c>
      <c r="U2199">
        <v>-0.13052369999999999</v>
      </c>
      <c r="V2199">
        <v>-6.5559010000000001E-2</v>
      </c>
      <c r="W2199">
        <v>0.18288409999999999</v>
      </c>
      <c r="X2199">
        <v>0.98094619999999999</v>
      </c>
      <c r="Y2199">
        <v>-3.439644E-2</v>
      </c>
      <c r="Z2199">
        <v>-3.502833E-4</v>
      </c>
      <c r="AA2199">
        <v>0.99940819999999997</v>
      </c>
      <c r="AB2199">
        <v>34</v>
      </c>
      <c r="AC2199">
        <v>-104.07510000000001</v>
      </c>
      <c r="AD2199">
        <v>-1.109249716713</v>
      </c>
      <c r="AE2199">
        <v>-4.4610999999999796</v>
      </c>
      <c r="AF2199">
        <v>-3.59105540326212</v>
      </c>
      <c r="AG2199">
        <v>-1.109249716713</v>
      </c>
      <c r="AH2199">
        <v>104.096934262876</v>
      </c>
      <c r="AI2199">
        <v>90.610153824310402</v>
      </c>
      <c r="AJ2199">
        <v>91.975761910643598</v>
      </c>
      <c r="AK2199">
        <v>104.164762932447</v>
      </c>
      <c r="AL2199">
        <v>79.462204384065103</v>
      </c>
      <c r="AM2199">
        <v>93.823529765609905</v>
      </c>
      <c r="AN2199">
        <v>1.0000000125597099</v>
      </c>
    </row>
    <row r="2200" spans="1:40" x14ac:dyDescent="0.25">
      <c r="A2200" t="str">
        <f>"20190304155637727"</f>
        <v>20190304155637727</v>
      </c>
      <c r="B2200" t="str">
        <f>"1551686197716978"</f>
        <v>1551686197716978</v>
      </c>
      <c r="C2200" t="s">
        <v>40</v>
      </c>
      <c r="D2200">
        <v>4.8059979999999998</v>
      </c>
      <c r="E2200">
        <v>0.51172200000000001</v>
      </c>
      <c r="F2200" t="s">
        <v>64</v>
      </c>
      <c r="G2200">
        <v>-418.66520000000003</v>
      </c>
      <c r="H2200" s="1">
        <v>4.1463509999999999E-6</v>
      </c>
      <c r="I2200">
        <v>280.00040000000001</v>
      </c>
      <c r="J2200">
        <v>-315.517</v>
      </c>
      <c r="K2200">
        <v>1.1092660000000001</v>
      </c>
      <c r="L2200">
        <v>284.37830000000002</v>
      </c>
      <c r="M2200">
        <v>-0.9999169</v>
      </c>
      <c r="N2200">
        <v>-1.0029450000000001E-2</v>
      </c>
      <c r="O2200">
        <v>-8.1165219999999993E-3</v>
      </c>
      <c r="P2200">
        <v>-0.98214270000000004</v>
      </c>
      <c r="Q2200">
        <v>0.173213899999999</v>
      </c>
      <c r="R2200">
        <v>-7.3436039999999994E-2</v>
      </c>
      <c r="S2200">
        <v>-3.0505369999999998</v>
      </c>
      <c r="T2200">
        <v>-3.2743330000000001E-2</v>
      </c>
      <c r="U2200">
        <v>-0.12927249999999901</v>
      </c>
      <c r="V2200">
        <v>-6.5273479999999995E-2</v>
      </c>
      <c r="W2200">
        <v>0.1831284</v>
      </c>
      <c r="X2200">
        <v>0.98091969999999995</v>
      </c>
      <c r="Y2200">
        <v>-3.42241E-2</v>
      </c>
      <c r="Z2200">
        <v>-3.4960230000000001E-4</v>
      </c>
      <c r="AA2200">
        <v>0.99941409999999997</v>
      </c>
      <c r="AB2200">
        <v>34</v>
      </c>
      <c r="AC2200">
        <v>-103.1482</v>
      </c>
      <c r="AD2200">
        <v>-1.109261853649</v>
      </c>
      <c r="AE2200">
        <v>-4.3779000000000101</v>
      </c>
      <c r="AF2200">
        <v>-3.5401004740914002</v>
      </c>
      <c r="AG2200">
        <v>-1.109261853649</v>
      </c>
      <c r="AH2200">
        <v>103.16842715985401</v>
      </c>
      <c r="AI2200">
        <v>90.615655352320502</v>
      </c>
      <c r="AJ2200">
        <v>91.965264668593704</v>
      </c>
      <c r="AK2200">
        <v>103.235106121245</v>
      </c>
      <c r="AL2200">
        <v>79.447966951423297</v>
      </c>
      <c r="AM2200">
        <v>93.8070287152905</v>
      </c>
      <c r="AN2200">
        <v>1.00000004796297</v>
      </c>
    </row>
    <row r="2201" spans="1:40" x14ac:dyDescent="0.25">
      <c r="A2201" t="str">
        <f>"20190304155637745"</f>
        <v>20190304155637745</v>
      </c>
      <c r="B2201" t="str">
        <f>"1551686197736498"</f>
        <v>1551686197736498</v>
      </c>
      <c r="C2201" t="s">
        <v>40</v>
      </c>
      <c r="D2201">
        <v>4.82287</v>
      </c>
      <c r="E2201">
        <v>0.51150879999999999</v>
      </c>
      <c r="F2201" t="s">
        <v>64</v>
      </c>
      <c r="G2201">
        <v>-420.57560000000001</v>
      </c>
      <c r="H2201" s="1">
        <v>4.2713260000000004E-6</v>
      </c>
      <c r="I2201">
        <v>279.94</v>
      </c>
      <c r="J2201">
        <v>-315.77359999999999</v>
      </c>
      <c r="K2201">
        <v>1.1092900000000001</v>
      </c>
      <c r="L2201">
        <v>284.37650000000002</v>
      </c>
      <c r="M2201">
        <v>-0.999919</v>
      </c>
      <c r="N2201">
        <v>-1.0032930000000001E-2</v>
      </c>
      <c r="O2201">
        <v>-7.8262399999999999E-3</v>
      </c>
      <c r="P2201">
        <v>-0.98218519999999998</v>
      </c>
      <c r="Q2201">
        <v>0.17341280000000001</v>
      </c>
      <c r="R2201">
        <v>-7.2390469999999998E-2</v>
      </c>
      <c r="S2201">
        <v>-3.0505979999999999</v>
      </c>
      <c r="T2201">
        <v>-3.2209750000000002E-2</v>
      </c>
      <c r="U2201">
        <v>-0.12887570000000001</v>
      </c>
      <c r="V2201">
        <v>-6.4521720000000005E-2</v>
      </c>
      <c r="W2201">
        <v>0.18332670000000001</v>
      </c>
      <c r="X2201">
        <v>0.98093240000000004</v>
      </c>
      <c r="Y2201">
        <v>-3.4383730000000001E-2</v>
      </c>
      <c r="Z2201">
        <v>-3.4991029999999998E-4</v>
      </c>
      <c r="AA2201">
        <v>0.99940870000000004</v>
      </c>
      <c r="AB2201">
        <v>34</v>
      </c>
      <c r="AC2201">
        <v>-104.80200000000001</v>
      </c>
      <c r="AD2201">
        <v>-1.1092857286740001</v>
      </c>
      <c r="AE2201">
        <v>-4.4365000000000201</v>
      </c>
      <c r="AF2201">
        <v>-3.6157128374191401</v>
      </c>
      <c r="AG2201">
        <v>-1.1092857286740001</v>
      </c>
      <c r="AH2201">
        <v>104.821790387527</v>
      </c>
      <c r="AI2201">
        <v>90.605954587670396</v>
      </c>
      <c r="AJ2201">
        <v>91.975571869642593</v>
      </c>
      <c r="AK2201">
        <v>104.88999777956499</v>
      </c>
      <c r="AL2201">
        <v>79.436409584624002</v>
      </c>
      <c r="AM2201">
        <v>93.763260998339504</v>
      </c>
      <c r="AN2201">
        <v>1.0000000523271999</v>
      </c>
    </row>
    <row r="2202" spans="1:40" x14ac:dyDescent="0.25">
      <c r="A2202" t="str">
        <f>"20190304155637756"</f>
        <v>20190304155637756</v>
      </c>
      <c r="B2202" t="str">
        <f>"1551686197747235"</f>
        <v>1551686197747235</v>
      </c>
      <c r="C2202" t="s">
        <v>40</v>
      </c>
      <c r="D2202">
        <v>4.8398240000000001</v>
      </c>
      <c r="E2202">
        <v>0.51145779999999996</v>
      </c>
      <c r="F2202" t="s">
        <v>64</v>
      </c>
      <c r="G2202">
        <v>-422.4203</v>
      </c>
      <c r="H2202" s="1">
        <v>3.9461969999999997E-6</v>
      </c>
      <c r="I2202">
        <v>279.916</v>
      </c>
      <c r="J2202">
        <v>-315.95940000000002</v>
      </c>
      <c r="K2202">
        <v>1.109305</v>
      </c>
      <c r="L2202">
        <v>284.37520000000001</v>
      </c>
      <c r="M2202">
        <v>-0.9999207</v>
      </c>
      <c r="N2202">
        <v>-1.0035509999999999E-2</v>
      </c>
      <c r="O2202">
        <v>-7.6297240000000001E-3</v>
      </c>
      <c r="P2202">
        <v>-0.982209</v>
      </c>
      <c r="Q2202">
        <v>0.17343839999999999</v>
      </c>
      <c r="R2202">
        <v>-7.2006609999999999E-2</v>
      </c>
      <c r="S2202">
        <v>-3.0506289999999998</v>
      </c>
      <c r="T2202">
        <v>-3.1731130000000003E-2</v>
      </c>
      <c r="U2202">
        <v>-0.12759400000000001</v>
      </c>
      <c r="V2202">
        <v>-6.4337099999999994E-2</v>
      </c>
      <c r="W2202">
        <v>0.1833524</v>
      </c>
      <c r="X2202">
        <v>0.98093969999999997</v>
      </c>
      <c r="Y2202">
        <v>-3.4160660000000002E-2</v>
      </c>
      <c r="Z2202">
        <v>-3.4629689999999999E-4</v>
      </c>
      <c r="AA2202">
        <v>0.99941630000000004</v>
      </c>
      <c r="AB2202">
        <v>34</v>
      </c>
      <c r="AC2202">
        <v>-106.460899999999</v>
      </c>
      <c r="AD2202">
        <v>-1.1093010538029999</v>
      </c>
      <c r="AE2202">
        <v>-4.4592000000000098</v>
      </c>
      <c r="AF2202">
        <v>-3.6463669384156798</v>
      </c>
      <c r="AG2202">
        <v>-1.1093010538029999</v>
      </c>
      <c r="AH2202">
        <v>106.480284578859</v>
      </c>
      <c r="AI2202">
        <v>90.5965305163962</v>
      </c>
      <c r="AJ2202">
        <v>91.961300421394697</v>
      </c>
      <c r="AK2202">
        <v>106.548475093134</v>
      </c>
      <c r="AL2202">
        <v>79.434911455097705</v>
      </c>
      <c r="AM2202">
        <v>93.752495910503299</v>
      </c>
      <c r="AN2202">
        <v>1.0000000300291201</v>
      </c>
    </row>
    <row r="2203" spans="1:40" x14ac:dyDescent="0.25">
      <c r="A2203" t="str">
        <f>"20190304155637772"</f>
        <v>20190304155637772</v>
      </c>
      <c r="B2203" t="str">
        <f>"1551686197766754"</f>
        <v>1551686197766754</v>
      </c>
      <c r="C2203" t="s">
        <v>40</v>
      </c>
      <c r="D2203">
        <v>4.8018650000000003</v>
      </c>
      <c r="E2203">
        <v>0.51130279999999995</v>
      </c>
      <c r="F2203" t="s">
        <v>64</v>
      </c>
      <c r="G2203">
        <v>-424.05309999999997</v>
      </c>
      <c r="H2203" s="1">
        <v>3.6603610000000001E-6</v>
      </c>
      <c r="I2203">
        <v>279.8725</v>
      </c>
      <c r="J2203">
        <v>-316.18259999999998</v>
      </c>
      <c r="K2203">
        <v>1.1093219999999999</v>
      </c>
      <c r="L2203">
        <v>284.37369999999999</v>
      </c>
      <c r="M2203">
        <v>-0.99992219999999998</v>
      </c>
      <c r="N2203">
        <v>-1.003865E-2</v>
      </c>
      <c r="O2203">
        <v>-7.4055969999999999E-3</v>
      </c>
      <c r="P2203">
        <v>-0.98222889999999996</v>
      </c>
      <c r="Q2203">
        <v>0.17347560000000001</v>
      </c>
      <c r="R2203">
        <v>-7.1641720000000006E-2</v>
      </c>
      <c r="S2203">
        <v>-3.0505680000000002</v>
      </c>
      <c r="T2203">
        <v>-3.1306149999999998E-2</v>
      </c>
      <c r="U2203">
        <v>-0.1270752</v>
      </c>
      <c r="V2203">
        <v>-6.4200980000000005E-2</v>
      </c>
      <c r="W2203">
        <v>0.18339040000000001</v>
      </c>
      <c r="X2203">
        <v>0.98094150000000002</v>
      </c>
      <c r="Y2203">
        <v>-3.42159E-2</v>
      </c>
      <c r="Z2203">
        <v>-3.456706E-4</v>
      </c>
      <c r="AA2203">
        <v>0.99941440000000004</v>
      </c>
      <c r="AB2203">
        <v>34</v>
      </c>
      <c r="AC2203">
        <v>-107.87050000000001</v>
      </c>
      <c r="AD2203">
        <v>-1.1093183396389901</v>
      </c>
      <c r="AE2203">
        <v>-4.5011999999999803</v>
      </c>
      <c r="AF2203">
        <v>-3.7018000511372402</v>
      </c>
      <c r="AG2203">
        <v>-1.1093183396389901</v>
      </c>
      <c r="AH2203">
        <v>107.889487270115</v>
      </c>
      <c r="AI2203">
        <v>90.588747295077894</v>
      </c>
      <c r="AJ2203">
        <v>91.965106640457506</v>
      </c>
      <c r="AK2203">
        <v>107.958674381476</v>
      </c>
      <c r="AL2203">
        <v>79.432696505904602</v>
      </c>
      <c r="AM2203">
        <v>93.744572398661205</v>
      </c>
      <c r="AN2203">
        <v>1.0000000155336799</v>
      </c>
    </row>
    <row r="2204" spans="1:40" x14ac:dyDescent="0.25">
      <c r="A2204" t="str">
        <f>"20190304155637790"</f>
        <v>20190304155637790</v>
      </c>
      <c r="B2204" t="str">
        <f>"1551686197787251"</f>
        <v>1551686197787251</v>
      </c>
      <c r="C2204" t="s">
        <v>40</v>
      </c>
      <c r="D2204">
        <v>4.795674</v>
      </c>
      <c r="E2204">
        <v>0.51108030000000004</v>
      </c>
      <c r="F2204" t="s">
        <v>64</v>
      </c>
      <c r="G2204">
        <v>-425.0951</v>
      </c>
      <c r="H2204" s="1">
        <v>3.4789400000000001E-6</v>
      </c>
      <c r="I2204">
        <v>279.83350000000002</v>
      </c>
      <c r="J2204">
        <v>-316.46710000000002</v>
      </c>
      <c r="K2204">
        <v>1.1093470000000001</v>
      </c>
      <c r="L2204">
        <v>284.37189999999998</v>
      </c>
      <c r="M2204">
        <v>-0.99992409999999998</v>
      </c>
      <c r="N2204">
        <v>-1.0042479999999999E-2</v>
      </c>
      <c r="O2204">
        <v>-7.144114E-3</v>
      </c>
      <c r="P2204">
        <v>-0.98229089999999997</v>
      </c>
      <c r="Q2204">
        <v>0.17339560000000001</v>
      </c>
      <c r="R2204">
        <v>-7.0985210000000007E-2</v>
      </c>
      <c r="S2204">
        <v>-3.0504760000000002</v>
      </c>
      <c r="T2204">
        <v>-3.107035E-2</v>
      </c>
      <c r="U2204">
        <v>-0.12716669999999999</v>
      </c>
      <c r="V2204">
        <v>-6.3811850000000003E-2</v>
      </c>
      <c r="W2204">
        <v>0.18331020000000001</v>
      </c>
      <c r="X2204">
        <v>0.98098180000000001</v>
      </c>
      <c r="Y2204">
        <v>-3.4508440000000001E-2</v>
      </c>
      <c r="Z2204">
        <v>-3.4801340000000002E-4</v>
      </c>
      <c r="AA2204">
        <v>0.99940439999999997</v>
      </c>
      <c r="AB2204">
        <v>34</v>
      </c>
      <c r="AC2204">
        <v>-108.628</v>
      </c>
      <c r="AD2204">
        <v>-1.10934352105999</v>
      </c>
      <c r="AE2204">
        <v>-4.5383999999999602</v>
      </c>
      <c r="AF2204">
        <v>-3.7618026161236799</v>
      </c>
      <c r="AG2204">
        <v>-1.10934352105999</v>
      </c>
      <c r="AH2204">
        <v>108.646340931731</v>
      </c>
      <c r="AI2204">
        <v>90.584653206876894</v>
      </c>
      <c r="AJ2204">
        <v>91.983033596714293</v>
      </c>
      <c r="AK2204">
        <v>108.717106288865</v>
      </c>
      <c r="AL2204">
        <v>79.437370027397606</v>
      </c>
      <c r="AM2204">
        <v>93.721787603821696</v>
      </c>
      <c r="AN2204">
        <v>0.99999993677784904</v>
      </c>
    </row>
    <row r="2205" spans="1:40" x14ac:dyDescent="0.25">
      <c r="A2205" t="str">
        <f>"20190304155637811"</f>
        <v>20190304155637811</v>
      </c>
      <c r="B2205" t="str">
        <f>"1551686197806769"</f>
        <v>1551686197806769</v>
      </c>
      <c r="C2205" t="s">
        <v>40</v>
      </c>
      <c r="D2205">
        <v>4.8055289999999999</v>
      </c>
      <c r="E2205">
        <v>0.51081869999999996</v>
      </c>
      <c r="F2205" t="s">
        <v>64</v>
      </c>
      <c r="G2205">
        <v>-423.4153</v>
      </c>
      <c r="H2205" s="1">
        <v>3.7685180000000001E-6</v>
      </c>
      <c r="I2205">
        <v>279.92950000000002</v>
      </c>
      <c r="J2205">
        <v>-316.7835</v>
      </c>
      <c r="K2205">
        <v>1.109369</v>
      </c>
      <c r="L2205">
        <v>284.36989999999997</v>
      </c>
      <c r="M2205">
        <v>-0.99992599999999998</v>
      </c>
      <c r="N2205">
        <v>-1.004675E-2</v>
      </c>
      <c r="O2205">
        <v>-6.8807369999999996E-3</v>
      </c>
      <c r="P2205">
        <v>-0.98235850000000002</v>
      </c>
      <c r="Q2205">
        <v>0.17321810000000001</v>
      </c>
      <c r="R2205">
        <v>-7.0481119999999994E-2</v>
      </c>
      <c r="S2205">
        <v>-3.0504760000000002</v>
      </c>
      <c r="T2205">
        <v>-3.1641719999999998E-2</v>
      </c>
      <c r="U2205">
        <v>-0.12670899999999999</v>
      </c>
      <c r="V2205">
        <v>-6.357778E-2</v>
      </c>
      <c r="W2205">
        <v>0.18313309999999999</v>
      </c>
      <c r="X2205">
        <v>0.98103019999999996</v>
      </c>
      <c r="Y2205">
        <v>-3.4621859999999997E-2</v>
      </c>
      <c r="Z2205">
        <v>-3.5125379999999999E-4</v>
      </c>
      <c r="AA2205">
        <v>0.99940039999999997</v>
      </c>
      <c r="AB2205">
        <v>34</v>
      </c>
      <c r="AC2205">
        <v>-106.6318</v>
      </c>
      <c r="AD2205">
        <v>-1.1093652314819999</v>
      </c>
      <c r="AE2205">
        <v>-4.4403999999999497</v>
      </c>
      <c r="AF2205">
        <v>-3.7061521274232998</v>
      </c>
      <c r="AG2205">
        <v>-1.1093652314819999</v>
      </c>
      <c r="AH2205">
        <v>106.64830695441999</v>
      </c>
      <c r="AI2205">
        <v>90.595614819677607</v>
      </c>
      <c r="AJ2205">
        <v>91.990293735965395</v>
      </c>
      <c r="AK2205">
        <v>106.71845028416</v>
      </c>
      <c r="AL2205">
        <v>79.447693155922096</v>
      </c>
      <c r="AM2205">
        <v>93.707991337035494</v>
      </c>
      <c r="AN2205">
        <v>1.00000005986868</v>
      </c>
    </row>
    <row r="2206" spans="1:40" x14ac:dyDescent="0.25">
      <c r="A2206" t="str">
        <f>"20190304155637825"</f>
        <v>20190304155637825</v>
      </c>
      <c r="B2206" t="str">
        <f>"1551686197816530"</f>
        <v>1551686197816530</v>
      </c>
      <c r="C2206" t="s">
        <v>40</v>
      </c>
      <c r="D2206">
        <v>4.8239879999999999</v>
      </c>
      <c r="E2206">
        <v>0.51038059999999996</v>
      </c>
      <c r="F2206" t="s">
        <v>64</v>
      </c>
      <c r="G2206">
        <v>-421.25380000000001</v>
      </c>
      <c r="H2206" s="1">
        <v>4.14438E-6</v>
      </c>
      <c r="I2206">
        <v>280.01580000000001</v>
      </c>
      <c r="J2206">
        <v>-317.01589999999999</v>
      </c>
      <c r="K2206">
        <v>1.109383</v>
      </c>
      <c r="L2206">
        <v>284.36849999999998</v>
      </c>
      <c r="M2206">
        <v>-0.99992700000000001</v>
      </c>
      <c r="N2206">
        <v>-1.004992E-2</v>
      </c>
      <c r="O2206">
        <v>-6.7026050000000004E-3</v>
      </c>
      <c r="P2206">
        <v>-0.98239209999999999</v>
      </c>
      <c r="Q2206">
        <v>0.17324639999999999</v>
      </c>
      <c r="R2206">
        <v>-6.9940779999999994E-2</v>
      </c>
      <c r="S2206">
        <v>-3.0504760000000002</v>
      </c>
      <c r="T2206">
        <v>-3.2392860000000002E-2</v>
      </c>
      <c r="U2206">
        <v>-0.1271362</v>
      </c>
      <c r="V2206">
        <v>-6.3219090000000006E-2</v>
      </c>
      <c r="W2206">
        <v>0.18316209999999999</v>
      </c>
      <c r="X2206">
        <v>0.98104789999999997</v>
      </c>
      <c r="Y2206">
        <v>-3.4939459999999999E-2</v>
      </c>
      <c r="Z2206">
        <v>-3.5728110000000002E-4</v>
      </c>
      <c r="AA2206">
        <v>0.99938939999999998</v>
      </c>
      <c r="AB2206">
        <v>34</v>
      </c>
      <c r="AC2206">
        <v>-104.2379</v>
      </c>
      <c r="AD2206">
        <v>-1.1093788556199999</v>
      </c>
      <c r="AE2206">
        <v>-4.3526999999999703</v>
      </c>
      <c r="AF2206">
        <v>-3.6534883331344599</v>
      </c>
      <c r="AG2206">
        <v>-1.1093788556199999</v>
      </c>
      <c r="AH2206">
        <v>104.252946199248</v>
      </c>
      <c r="AI2206">
        <v>90.609300156779696</v>
      </c>
      <c r="AJ2206">
        <v>92.007078353249497</v>
      </c>
      <c r="AK2206">
        <v>104.322842607307</v>
      </c>
      <c r="AL2206">
        <v>79.446002299171397</v>
      </c>
      <c r="AM2206">
        <v>93.687063304595</v>
      </c>
      <c r="AN2206">
        <v>0.99999999515562399</v>
      </c>
    </row>
    <row r="2207" spans="1:40" x14ac:dyDescent="0.25">
      <c r="A2207" t="str">
        <f>"20190304155637846"</f>
        <v>20190304155637846</v>
      </c>
      <c r="B2207" t="str">
        <f>"1551686197837029"</f>
        <v>1551686197837029</v>
      </c>
      <c r="C2207" t="s">
        <v>40</v>
      </c>
      <c r="D2207">
        <v>5.0170450000000004</v>
      </c>
      <c r="E2207">
        <v>0.50997650000000005</v>
      </c>
      <c r="F2207" t="s">
        <v>64</v>
      </c>
      <c r="G2207">
        <v>-418.51459999999997</v>
      </c>
      <c r="H2207" s="1">
        <v>4.113084E-6</v>
      </c>
      <c r="I2207">
        <v>280.07530000000003</v>
      </c>
      <c r="J2207">
        <v>-317.31819999999999</v>
      </c>
      <c r="K2207">
        <v>1.1093999999999999</v>
      </c>
      <c r="L2207">
        <v>284.36669999999998</v>
      </c>
      <c r="M2207">
        <v>-0.9999285</v>
      </c>
      <c r="N2207">
        <v>-1.005404E-2</v>
      </c>
      <c r="O2207">
        <v>-6.4851680000000004E-3</v>
      </c>
      <c r="P2207">
        <v>-0.98249549999999997</v>
      </c>
      <c r="Q2207">
        <v>0.17281830000000001</v>
      </c>
      <c r="R2207">
        <v>-6.9546449999999996E-2</v>
      </c>
      <c r="S2207">
        <v>-3.0504760000000002</v>
      </c>
      <c r="T2207">
        <v>-3.334165E-2</v>
      </c>
      <c r="U2207">
        <v>-0.12902830000000001</v>
      </c>
      <c r="V2207">
        <v>-6.3047350000000002E-2</v>
      </c>
      <c r="W2207">
        <v>0.1827355</v>
      </c>
      <c r="X2207">
        <v>0.98113850000000002</v>
      </c>
      <c r="Y2207">
        <v>-3.5775300000000003E-2</v>
      </c>
      <c r="Z2207">
        <v>-3.6968759999999999E-4</v>
      </c>
      <c r="AA2207">
        <v>0.99935980000000002</v>
      </c>
      <c r="AB2207">
        <v>34</v>
      </c>
      <c r="AC2207">
        <v>-101.196399999999</v>
      </c>
      <c r="AD2207">
        <v>-1.1093958869160001</v>
      </c>
      <c r="AE2207">
        <v>-4.2913999999999497</v>
      </c>
      <c r="AF2207">
        <v>-3.6345649397268498</v>
      </c>
      <c r="AG2207">
        <v>-1.1093958869160001</v>
      </c>
      <c r="AH2207">
        <v>101.20996170848299</v>
      </c>
      <c r="AI2207">
        <v>90.627608328519202</v>
      </c>
      <c r="AJ2207">
        <v>92.056672868297099</v>
      </c>
      <c r="AK2207">
        <v>101.28127749277</v>
      </c>
      <c r="AL2207">
        <v>79.470864273657199</v>
      </c>
      <c r="AM2207">
        <v>93.676735986788401</v>
      </c>
      <c r="AN2207">
        <v>0.99999999374226101</v>
      </c>
    </row>
    <row r="2208" spans="1:40" x14ac:dyDescent="0.25">
      <c r="A2208" t="str">
        <f>"20190304155637860"</f>
        <v>20190304155637860</v>
      </c>
      <c r="B2208" t="str">
        <f>"1551686197856548"</f>
        <v>1551686197856548</v>
      </c>
      <c r="C2208" t="s">
        <v>40</v>
      </c>
      <c r="D2208">
        <v>4.6466000000000003</v>
      </c>
      <c r="E2208">
        <v>0.50268749999999995</v>
      </c>
      <c r="F2208" t="s">
        <v>64</v>
      </c>
      <c r="G2208">
        <v>-413.25330000000002</v>
      </c>
      <c r="H2208" s="1">
        <v>3.1661340000000002E-6</v>
      </c>
      <c r="I2208">
        <v>280.2319</v>
      </c>
      <c r="J2208">
        <v>-317.53660000000002</v>
      </c>
      <c r="K2208">
        <v>1.10941</v>
      </c>
      <c r="L2208">
        <v>284.36540000000002</v>
      </c>
      <c r="M2208">
        <v>-0.99992939999999997</v>
      </c>
      <c r="N2208">
        <v>-1.005699E-2</v>
      </c>
      <c r="O2208">
        <v>-6.3378540000000004E-3</v>
      </c>
      <c r="P2208">
        <v>-0.98251909999999998</v>
      </c>
      <c r="Q2208">
        <v>0.17277390000000001</v>
      </c>
      <c r="R2208">
        <v>-6.9322060000000005E-2</v>
      </c>
      <c r="S2208">
        <v>-3.0503849999999999</v>
      </c>
      <c r="T2208">
        <v>-3.5274739999999999E-2</v>
      </c>
      <c r="U2208">
        <v>-0.13146969999999999</v>
      </c>
      <c r="V2208">
        <v>-6.2972539999999994E-2</v>
      </c>
      <c r="W2208">
        <v>0.1826924</v>
      </c>
      <c r="X2208">
        <v>0.98115129999999995</v>
      </c>
      <c r="Y2208">
        <v>-3.672168E-2</v>
      </c>
      <c r="Z2208">
        <v>-3.8743859999999997E-4</v>
      </c>
      <c r="AA2208">
        <v>0.99932549999999998</v>
      </c>
      <c r="AB2208">
        <v>34</v>
      </c>
      <c r="AC2208">
        <v>-95.716700000000003</v>
      </c>
      <c r="AD2208">
        <v>-1.1094068338659999</v>
      </c>
      <c r="AE2208">
        <v>-4.1335000000000202</v>
      </c>
      <c r="AF2208">
        <v>-3.5262750181945401</v>
      </c>
      <c r="AG2208">
        <v>-1.1094068338659999</v>
      </c>
      <c r="AH2208">
        <v>95.728140030032705</v>
      </c>
      <c r="AI2208">
        <v>90.663529111647705</v>
      </c>
      <c r="AJ2208">
        <v>92.109613391651294</v>
      </c>
      <c r="AK2208">
        <v>95.799489521794996</v>
      </c>
      <c r="AL2208">
        <v>79.473375683581494</v>
      </c>
      <c r="AM2208">
        <v>93.6723374549927</v>
      </c>
      <c r="AN2208">
        <v>0.99999996365175003</v>
      </c>
    </row>
    <row r="2209" spans="1:40" x14ac:dyDescent="0.25">
      <c r="A2209" t="str">
        <f>"20190304155637872"</f>
        <v>20190304155637872</v>
      </c>
      <c r="B2209" t="str">
        <f>"1551686197867282"</f>
        <v>1551686197867282</v>
      </c>
      <c r="C2209" t="s">
        <v>40</v>
      </c>
      <c r="D2209">
        <v>3.4928249999999998</v>
      </c>
      <c r="E2209">
        <v>0.51837800000000001</v>
      </c>
      <c r="F2209" t="s">
        <v>55</v>
      </c>
      <c r="G2209">
        <v>-375.58690000000001</v>
      </c>
      <c r="H2209" s="1">
        <v>1.436302E-6</v>
      </c>
      <c r="I2209">
        <v>280.7756</v>
      </c>
      <c r="J2209">
        <v>-317.7276</v>
      </c>
      <c r="K2209">
        <v>1.109418</v>
      </c>
      <c r="L2209">
        <v>284.36430000000001</v>
      </c>
      <c r="M2209">
        <v>-0.99993010000000004</v>
      </c>
      <c r="N2209">
        <v>-1.005957E-2</v>
      </c>
      <c r="O2209">
        <v>-6.2128009999999996E-3</v>
      </c>
      <c r="P2209">
        <v>-0.98254280000000005</v>
      </c>
      <c r="Q2209">
        <v>0.1726483</v>
      </c>
      <c r="R2209">
        <v>-6.9298940000000003E-2</v>
      </c>
      <c r="S2209">
        <v>-3.0503230000000001</v>
      </c>
      <c r="T2209">
        <v>-5.8295130000000001E-2</v>
      </c>
      <c r="U2209">
        <v>-0.1886292</v>
      </c>
      <c r="V2209">
        <v>-6.3076010000000002E-2</v>
      </c>
      <c r="W2209">
        <v>0.18256820000000001</v>
      </c>
      <c r="X2209">
        <v>0.98116780000000003</v>
      </c>
      <c r="Y2209">
        <v>-5.5503539999999997E-2</v>
      </c>
      <c r="Z2209">
        <v>-7.531339E-4</v>
      </c>
      <c r="AA2209">
        <v>0.99845819999999996</v>
      </c>
      <c r="AB2209">
        <v>34</v>
      </c>
      <c r="AC2209">
        <v>-57.859299999999998</v>
      </c>
      <c r="AD2209">
        <v>-1.109416563698</v>
      </c>
      <c r="AE2209">
        <v>-3.58870000000001</v>
      </c>
      <c r="AF2209">
        <v>-3.2279619907137902</v>
      </c>
      <c r="AG2209">
        <v>-1.109416563698</v>
      </c>
      <c r="AH2209">
        <v>57.859289375371198</v>
      </c>
      <c r="AI2209">
        <v>91.096771885592105</v>
      </c>
      <c r="AJ2209">
        <v>93.1932136275516</v>
      </c>
      <c r="AK2209">
        <v>57.959881907645801</v>
      </c>
      <c r="AL2209">
        <v>79.480613841888896</v>
      </c>
      <c r="AM2209">
        <v>93.678293221682907</v>
      </c>
      <c r="AN2209">
        <v>0.99999999122280003</v>
      </c>
    </row>
    <row r="2210" spans="1:40" x14ac:dyDescent="0.25">
      <c r="A2210" t="str">
        <f>"20190304155637960"</f>
        <v>20190304155637960</v>
      </c>
      <c r="B2210" t="str">
        <f>"1551686197957075"</f>
        <v>1551686197957075</v>
      </c>
      <c r="C2210" t="s">
        <v>40</v>
      </c>
      <c r="D2210">
        <v>4.8990049999999998</v>
      </c>
      <c r="E2210">
        <v>0.60689380000000004</v>
      </c>
      <c r="F2210" t="s">
        <v>42</v>
      </c>
      <c r="G2210">
        <v>-319.63869999999997</v>
      </c>
      <c r="H2210">
        <v>1.0091139999999901</v>
      </c>
      <c r="I2210">
        <v>284.36419999999998</v>
      </c>
      <c r="J2210">
        <v>-319.09780000000001</v>
      </c>
      <c r="K2210">
        <v>1.109451</v>
      </c>
      <c r="L2210">
        <v>284.3571</v>
      </c>
      <c r="M2210">
        <v>-0.99993489999999996</v>
      </c>
      <c r="N2210">
        <v>-1.0077829999999999E-2</v>
      </c>
      <c r="O2210">
        <v>-5.375388E-3</v>
      </c>
      <c r="P2210">
        <v>-0.98291790000000001</v>
      </c>
      <c r="Q2210">
        <v>0.17067539999999901</v>
      </c>
      <c r="R2210">
        <v>-6.886573E-2</v>
      </c>
      <c r="S2210">
        <v>-3.1303709999999998</v>
      </c>
      <c r="T2210">
        <v>-0.43811070000000002</v>
      </c>
      <c r="U2210">
        <v>2.6031490000000001E-2</v>
      </c>
      <c r="V2210">
        <v>-6.3480620000000001E-2</v>
      </c>
      <c r="W2210">
        <v>0.18061140000000001</v>
      </c>
      <c r="X2210">
        <v>0.98150380000000004</v>
      </c>
      <c r="Y2210">
        <v>1.3504560000000001E-2</v>
      </c>
      <c r="Z2210">
        <v>1.703544E-3</v>
      </c>
      <c r="AA2210">
        <v>0.9999074</v>
      </c>
      <c r="AB2210">
        <v>35</v>
      </c>
      <c r="AC2210">
        <v>-0.54089999999996496</v>
      </c>
      <c r="AD2210">
        <v>-0.100337</v>
      </c>
      <c r="AE2210">
        <v>7.0999999999799002E-3</v>
      </c>
      <c r="AF2210">
        <v>9.6747388957722797E-3</v>
      </c>
      <c r="AG2210">
        <v>-0.100337</v>
      </c>
      <c r="AH2210">
        <v>0.52286517742221506</v>
      </c>
      <c r="AI2210">
        <v>100.861097019911</v>
      </c>
      <c r="AJ2210">
        <v>88.939959129019599</v>
      </c>
      <c r="AK2210">
        <v>0.532493293762903</v>
      </c>
      <c r="AL2210">
        <v>79.594625732986898</v>
      </c>
      <c r="AM2210">
        <v>93.700559025662798</v>
      </c>
      <c r="AN2210">
        <v>0.99999998816999203</v>
      </c>
    </row>
    <row r="2211" spans="1:40" x14ac:dyDescent="0.25">
      <c r="A2211" t="str">
        <f>"20190304155637980"</f>
        <v>20190304155637980</v>
      </c>
      <c r="B2211" t="str">
        <f>"1551686197976594"</f>
        <v>1551686197976594</v>
      </c>
      <c r="C2211" t="s">
        <v>40</v>
      </c>
      <c r="D2211">
        <v>4.59971</v>
      </c>
      <c r="E2211">
        <v>0.60201380000000004</v>
      </c>
      <c r="F2211" t="s">
        <v>62</v>
      </c>
      <c r="G2211">
        <v>-459.875</v>
      </c>
      <c r="H2211">
        <v>20.204070000000002</v>
      </c>
      <c r="I2211">
        <v>314.28820000000002</v>
      </c>
      <c r="J2211">
        <v>-319.38589999999999</v>
      </c>
      <c r="K2211">
        <v>1.1094520000000001</v>
      </c>
      <c r="L2211">
        <v>284.35570000000001</v>
      </c>
      <c r="M2211">
        <v>-0.99993569999999998</v>
      </c>
      <c r="N2211">
        <v>-1.008182E-2</v>
      </c>
      <c r="O2211">
        <v>-5.2012880000000001E-3</v>
      </c>
      <c r="P2211">
        <v>-0.98289329999999997</v>
      </c>
      <c r="Q2211">
        <v>0.1709743</v>
      </c>
      <c r="R2211">
        <v>-6.8474820000000006E-2</v>
      </c>
      <c r="S2211">
        <v>-3.0258790000000002</v>
      </c>
      <c r="T2211">
        <v>0.41042139999999999</v>
      </c>
      <c r="U2211">
        <v>0.6433411</v>
      </c>
      <c r="V2211">
        <v>-6.3262239999999997E-2</v>
      </c>
      <c r="W2211">
        <v>0.18091289999999999</v>
      </c>
      <c r="X2211">
        <v>0.98146239999999996</v>
      </c>
      <c r="Y2211">
        <v>0.21128830000000001</v>
      </c>
      <c r="Z2211">
        <v>-1.3773540000000001E-2</v>
      </c>
      <c r="AA2211">
        <v>0.97732680000000005</v>
      </c>
      <c r="AB2211">
        <v>35</v>
      </c>
      <c r="AC2211">
        <v>-140.48910000000001</v>
      </c>
      <c r="AD2211">
        <v>19.094618000000001</v>
      </c>
      <c r="AE2211">
        <v>29.932500000000001</v>
      </c>
      <c r="AF2211">
        <v>30.130427227522699</v>
      </c>
      <c r="AG2211">
        <v>19.094618000000001</v>
      </c>
      <c r="AH2211">
        <v>137.89479061196801</v>
      </c>
      <c r="AI2211">
        <v>82.295761763067503</v>
      </c>
      <c r="AJ2211">
        <v>77.674418490892194</v>
      </c>
      <c r="AK2211">
        <v>142.43391576235399</v>
      </c>
      <c r="AL2211">
        <v>79.577062008485399</v>
      </c>
      <c r="AM2211">
        <v>93.688019037455007</v>
      </c>
      <c r="AN2211">
        <v>1.00000001550499</v>
      </c>
    </row>
    <row r="2212" spans="1:40" x14ac:dyDescent="0.25">
      <c r="A2212" t="str">
        <f>"20190304155638002"</f>
        <v>20190304155638002</v>
      </c>
      <c r="B2212" t="str">
        <f>"1551686197997090"</f>
        <v>1551686197997090</v>
      </c>
      <c r="C2212" t="s">
        <v>40</v>
      </c>
      <c r="D2212">
        <v>4.7798790000000002</v>
      </c>
      <c r="E2212">
        <v>0.58779559999999997</v>
      </c>
      <c r="F2212" t="s">
        <v>60</v>
      </c>
      <c r="G2212">
        <v>-439.505</v>
      </c>
      <c r="H2212">
        <v>10.4269</v>
      </c>
      <c r="I2212">
        <v>308.1454</v>
      </c>
      <c r="J2212">
        <v>-319.73509999999999</v>
      </c>
      <c r="K2212">
        <v>1.109453</v>
      </c>
      <c r="L2212">
        <v>284.35410000000002</v>
      </c>
      <c r="M2212">
        <v>-0.99993679999999996</v>
      </c>
      <c r="N2212">
        <v>-1.008682E-2</v>
      </c>
      <c r="O2212">
        <v>-4.9897589999999999E-3</v>
      </c>
      <c r="P2212">
        <v>-0.98288260000000005</v>
      </c>
      <c r="Q2212">
        <v>0.17115620000000001</v>
      </c>
      <c r="R2212">
        <v>-6.8175449999999999E-2</v>
      </c>
      <c r="S2212">
        <v>-3.053131</v>
      </c>
      <c r="T2212">
        <v>0.2368267</v>
      </c>
      <c r="U2212">
        <v>0.60467530000000003</v>
      </c>
      <c r="V2212">
        <v>-6.3172049999999993E-2</v>
      </c>
      <c r="W2212">
        <v>0.18109910000000001</v>
      </c>
      <c r="X2212">
        <v>0.98143389999999997</v>
      </c>
      <c r="Y2212">
        <v>0.198654</v>
      </c>
      <c r="Z2212">
        <v>-7.0391840000000004E-3</v>
      </c>
      <c r="AA2212">
        <v>0.98004440000000004</v>
      </c>
      <c r="AB2212">
        <v>35</v>
      </c>
      <c r="AC2212">
        <v>-119.76990000000001</v>
      </c>
      <c r="AD2212">
        <v>9.3174469999999996</v>
      </c>
      <c r="AE2212">
        <v>23.7912999999999</v>
      </c>
      <c r="AF2212">
        <v>24.247482007050198</v>
      </c>
      <c r="AG2212">
        <v>9.3174469999999996</v>
      </c>
      <c r="AH2212">
        <v>118.957091291948</v>
      </c>
      <c r="AI2212">
        <v>85.611268617803503</v>
      </c>
      <c r="AJ2212">
        <v>78.479009210890894</v>
      </c>
      <c r="AK2212">
        <v>121.76019370435</v>
      </c>
      <c r="AL2212">
        <v>79.566214674523493</v>
      </c>
      <c r="AM2212">
        <v>93.682882332574195</v>
      </c>
      <c r="AN2212">
        <v>1.00000004599561</v>
      </c>
    </row>
    <row r="2213" spans="1:40" x14ac:dyDescent="0.25">
      <c r="A2213" t="str">
        <f>"20190304155638024"</f>
        <v>20190304155638024</v>
      </c>
      <c r="B2213" t="str">
        <f>"1551686198016610"</f>
        <v>1551686198016610</v>
      </c>
      <c r="C2213" t="s">
        <v>40</v>
      </c>
      <c r="D2213">
        <v>4.818289</v>
      </c>
      <c r="E2213">
        <v>0.58018549999999902</v>
      </c>
      <c r="F2213" t="s">
        <v>60</v>
      </c>
      <c r="G2213">
        <v>-439.50510000000003</v>
      </c>
      <c r="H2213">
        <v>10.641640000000001</v>
      </c>
      <c r="I2213">
        <v>303.72109999999998</v>
      </c>
      <c r="J2213">
        <v>-320.07080000000002</v>
      </c>
      <c r="K2213">
        <v>1.1094539999999999</v>
      </c>
      <c r="L2213">
        <v>284.35270000000003</v>
      </c>
      <c r="M2213">
        <v>-0.99993759999999998</v>
      </c>
      <c r="N2213">
        <v>-1.009169E-2</v>
      </c>
      <c r="O2213">
        <v>-4.7862019999999998E-3</v>
      </c>
      <c r="P2213">
        <v>-0.98293200000000003</v>
      </c>
      <c r="Q2213">
        <v>0.17110220000000001</v>
      </c>
      <c r="R2213">
        <v>-6.7591529999999997E-2</v>
      </c>
      <c r="S2213">
        <v>-3.0441889999999998</v>
      </c>
      <c r="T2213">
        <v>0.24227950000000001</v>
      </c>
      <c r="U2213">
        <v>0.49224849999999998</v>
      </c>
      <c r="V2213">
        <v>-6.2789810000000001E-2</v>
      </c>
      <c r="W2213">
        <v>0.18104990000000001</v>
      </c>
      <c r="X2213">
        <v>0.98146750000000005</v>
      </c>
      <c r="Y2213">
        <v>0.16389239999999999</v>
      </c>
      <c r="Z2213">
        <v>-6.0621549999999996E-3</v>
      </c>
      <c r="AA2213">
        <v>0.98645959999999999</v>
      </c>
      <c r="AB2213">
        <v>35</v>
      </c>
      <c r="AC2213">
        <v>-119.43429999999999</v>
      </c>
      <c r="AD2213">
        <v>9.5321859999999994</v>
      </c>
      <c r="AE2213">
        <v>19.368399999999902</v>
      </c>
      <c r="AF2213">
        <v>19.816848838651701</v>
      </c>
      <c r="AG2213">
        <v>9.5321859999999994</v>
      </c>
      <c r="AH2213">
        <v>118.604098770467</v>
      </c>
      <c r="AI2213">
        <v>85.467590015620601</v>
      </c>
      <c r="AJ2213">
        <v>80.514413432286005</v>
      </c>
      <c r="AK2213">
        <v>120.625462954499</v>
      </c>
      <c r="AL2213">
        <v>79.569080946236497</v>
      </c>
      <c r="AM2213">
        <v>93.660533829399895</v>
      </c>
      <c r="AN2213">
        <v>1.00000004004304</v>
      </c>
    </row>
    <row r="2214" spans="1:40" x14ac:dyDescent="0.25">
      <c r="A2214" t="str">
        <f>"20190304155638036"</f>
        <v>20190304155638036</v>
      </c>
      <c r="B2214" t="str">
        <f>"1551686198026370"</f>
        <v>1551686198026370</v>
      </c>
      <c r="C2214" t="s">
        <v>40</v>
      </c>
      <c r="D2214">
        <v>4.8093810000000001</v>
      </c>
      <c r="E2214">
        <v>0.57666600000000001</v>
      </c>
      <c r="F2214" t="s">
        <v>65</v>
      </c>
      <c r="G2214">
        <v>-511.8261</v>
      </c>
      <c r="H2214">
        <v>18.10069</v>
      </c>
      <c r="I2214">
        <v>311.76010000000002</v>
      </c>
      <c r="J2214">
        <v>-320.2577</v>
      </c>
      <c r="K2214">
        <v>1.1094550000000001</v>
      </c>
      <c r="L2214">
        <v>284.3519</v>
      </c>
      <c r="M2214">
        <v>-0.9999382</v>
      </c>
      <c r="N2214">
        <v>-1.009441E-2</v>
      </c>
      <c r="O2214">
        <v>-4.6729789999999998E-3</v>
      </c>
      <c r="P2214">
        <v>-0.98294809999999999</v>
      </c>
      <c r="Q2214">
        <v>0.1711877</v>
      </c>
      <c r="R2214">
        <v>-6.7142930000000003E-2</v>
      </c>
      <c r="S2214">
        <v>-3.035126</v>
      </c>
      <c r="T2214">
        <v>0.26894030000000002</v>
      </c>
      <c r="U2214">
        <v>0.43380740000000001</v>
      </c>
      <c r="V2214">
        <v>-6.2452300000000002E-2</v>
      </c>
      <c r="W2214">
        <v>0.18113760000000001</v>
      </c>
      <c r="X2214">
        <v>0.98147280000000003</v>
      </c>
      <c r="Y2214">
        <v>0.14559920000000001</v>
      </c>
      <c r="Z2214">
        <v>-6.1239429999999997E-3</v>
      </c>
      <c r="AA2214">
        <v>0.98932469999999995</v>
      </c>
      <c r="AB2214">
        <v>35</v>
      </c>
      <c r="AC2214">
        <v>-191.5684</v>
      </c>
      <c r="AD2214">
        <v>16.991235</v>
      </c>
      <c r="AE2214">
        <v>27.408200000000001</v>
      </c>
      <c r="AF2214">
        <v>28.086619654425999</v>
      </c>
      <c r="AG2214">
        <v>16.991235</v>
      </c>
      <c r="AH2214">
        <v>189.973703094158</v>
      </c>
      <c r="AI2214">
        <v>84.943740555272598</v>
      </c>
      <c r="AJ2214">
        <v>81.590040344281405</v>
      </c>
      <c r="AK2214">
        <v>192.788921200739</v>
      </c>
      <c r="AL2214">
        <v>79.563971084611296</v>
      </c>
      <c r="AM2214">
        <v>93.640891059802996</v>
      </c>
      <c r="AN2214">
        <v>0.99999998852444405</v>
      </c>
    </row>
    <row r="2215" spans="1:40" x14ac:dyDescent="0.25">
      <c r="A2215" t="str">
        <f>"20190304155638047"</f>
        <v>20190304155638047</v>
      </c>
      <c r="B2215" t="str">
        <f>"1551686198037106"</f>
        <v>1551686198037106</v>
      </c>
      <c r="C2215" t="s">
        <v>40</v>
      </c>
      <c r="D2215">
        <v>4.745279</v>
      </c>
      <c r="E2215">
        <v>0.57666600000000001</v>
      </c>
      <c r="F2215" t="s">
        <v>65</v>
      </c>
      <c r="G2215">
        <v>-511.82650000000001</v>
      </c>
      <c r="H2215">
        <v>19.13297</v>
      </c>
      <c r="I2215">
        <v>310.0908</v>
      </c>
      <c r="J2215">
        <v>-320.44880000000001</v>
      </c>
      <c r="K2215">
        <v>1.109459</v>
      </c>
      <c r="L2215">
        <v>284.35109999999997</v>
      </c>
      <c r="M2215">
        <v>-0.99993860000000001</v>
      </c>
      <c r="N2215">
        <v>-1.0097180000000001E-2</v>
      </c>
      <c r="O2215">
        <v>-4.5567759999999898E-3</v>
      </c>
      <c r="P2215">
        <v>-0.98297009999999996</v>
      </c>
      <c r="Q2215">
        <v>0.1712255</v>
      </c>
      <c r="R2215">
        <v>-6.6721660000000002E-2</v>
      </c>
      <c r="S2215">
        <v>-3.0302120000000001</v>
      </c>
      <c r="T2215">
        <v>0.28509499999999999</v>
      </c>
      <c r="U2215">
        <v>0.40713500000000002</v>
      </c>
      <c r="V2215">
        <v>-6.214575E-2</v>
      </c>
      <c r="W2215">
        <v>0.1811779</v>
      </c>
      <c r="X2215">
        <v>0.98148480000000005</v>
      </c>
      <c r="Y2215">
        <v>0.13712279999999999</v>
      </c>
      <c r="Z2215">
        <v>-6.1826040000000004E-3</v>
      </c>
      <c r="AA2215">
        <v>0.99053480000000005</v>
      </c>
      <c r="AB2215">
        <v>35</v>
      </c>
      <c r="AC2215">
        <v>-191.3777</v>
      </c>
      <c r="AD2215">
        <v>18.023510999999999</v>
      </c>
      <c r="AE2215">
        <v>25.739699999999999</v>
      </c>
      <c r="AF2215">
        <v>26.381709143098</v>
      </c>
      <c r="AG2215">
        <v>18.023510999999999</v>
      </c>
      <c r="AH2215">
        <v>189.60659332650101</v>
      </c>
      <c r="AI2215">
        <v>84.621433738378798</v>
      </c>
      <c r="AJ2215">
        <v>82.078767593902498</v>
      </c>
      <c r="AK2215">
        <v>192.27974869694199</v>
      </c>
      <c r="AL2215">
        <v>79.561623012583595</v>
      </c>
      <c r="AM2215">
        <v>93.623023118207598</v>
      </c>
      <c r="AN2215">
        <v>0.999999969161255</v>
      </c>
    </row>
    <row r="2216" spans="1:40" x14ac:dyDescent="0.25">
      <c r="A2216" t="str">
        <f>"20190304155638060"</f>
        <v>20190304155638060</v>
      </c>
      <c r="B2216" t="str">
        <f>"1551686198056626"</f>
        <v>1551686198056626</v>
      </c>
      <c r="C2216" t="s">
        <v>40</v>
      </c>
      <c r="D2216">
        <v>4.7981089999999904</v>
      </c>
      <c r="E2216">
        <v>0.5426607</v>
      </c>
      <c r="F2216" t="s">
        <v>65</v>
      </c>
      <c r="G2216">
        <v>-511.82650000000001</v>
      </c>
      <c r="H2216">
        <v>19.108339999999998</v>
      </c>
      <c r="I2216">
        <v>310.14819999999997</v>
      </c>
      <c r="J2216">
        <v>-320.63560000000001</v>
      </c>
      <c r="K2216">
        <v>1.1094580000000001</v>
      </c>
      <c r="L2216">
        <v>284.3503</v>
      </c>
      <c r="M2216">
        <v>-0.99993920000000003</v>
      </c>
      <c r="N2216">
        <v>-1.00999E-2</v>
      </c>
      <c r="O2216">
        <v>-4.4433119999999996E-3</v>
      </c>
      <c r="P2216">
        <v>-0.98298949999999996</v>
      </c>
      <c r="Q2216">
        <v>0.17126479999999999</v>
      </c>
      <c r="R2216">
        <v>-6.6333719999999999E-2</v>
      </c>
      <c r="S2216">
        <v>-3.03009</v>
      </c>
      <c r="T2216">
        <v>0.28497800000000001</v>
      </c>
      <c r="U2216">
        <v>0.40844730000000001</v>
      </c>
      <c r="V2216">
        <v>-6.1869599999999997E-2</v>
      </c>
      <c r="W2216">
        <v>0.18121970000000001</v>
      </c>
      <c r="X2216">
        <v>0.98149450000000005</v>
      </c>
      <c r="Y2216">
        <v>0.1374369</v>
      </c>
      <c r="Z2216">
        <v>-6.181031E-3</v>
      </c>
      <c r="AA2216">
        <v>0.99049120000000002</v>
      </c>
      <c r="AB2216">
        <v>35</v>
      </c>
      <c r="AC2216">
        <v>-191.1909</v>
      </c>
      <c r="AD2216">
        <v>17.998881999999998</v>
      </c>
      <c r="AE2216">
        <v>25.797899999999899</v>
      </c>
      <c r="AF2216">
        <v>26.417272535448401</v>
      </c>
      <c r="AG2216">
        <v>17.998881999999998</v>
      </c>
      <c r="AH2216">
        <v>189.42561138202501</v>
      </c>
      <c r="AI2216">
        <v>84.623872926076302</v>
      </c>
      <c r="AJ2216">
        <v>82.060743704441506</v>
      </c>
      <c r="AK2216">
        <v>192.10386328472401</v>
      </c>
      <c r="AL2216">
        <v>79.559187431850404</v>
      </c>
      <c r="AM2216">
        <v>93.606930945702402</v>
      </c>
      <c r="AN2216">
        <v>0.99999994030124795</v>
      </c>
    </row>
    <row r="2217" spans="1:40" x14ac:dyDescent="0.25">
      <c r="A2217" t="str">
        <f>"20190304155638073"</f>
        <v>20190304155638073</v>
      </c>
      <c r="B2217" t="str">
        <f>"1551686198066386"</f>
        <v>1551686198066386</v>
      </c>
      <c r="C2217" t="s">
        <v>40</v>
      </c>
      <c r="D2217">
        <v>4.7669620000000004</v>
      </c>
      <c r="E2217">
        <v>0.54287649999999998</v>
      </c>
      <c r="F2217" t="s">
        <v>55</v>
      </c>
      <c r="G2217">
        <v>-354.59179999999998</v>
      </c>
      <c r="H2217" s="1">
        <v>9.067255E-7</v>
      </c>
      <c r="I2217">
        <v>285.85629999999998</v>
      </c>
      <c r="J2217">
        <v>-320.83850000000001</v>
      </c>
      <c r="K2217">
        <v>1.1094550000000001</v>
      </c>
      <c r="L2217">
        <v>284.34949999999998</v>
      </c>
      <c r="M2217">
        <v>-0.99993969999999999</v>
      </c>
      <c r="N2217">
        <v>-1.010286E-2</v>
      </c>
      <c r="O2217">
        <v>-4.3203130000000001E-3</v>
      </c>
      <c r="P2217">
        <v>-0.98302560000000005</v>
      </c>
      <c r="Q2217">
        <v>0.17124410000000001</v>
      </c>
      <c r="R2217">
        <v>-6.585212E-2</v>
      </c>
      <c r="S2217">
        <v>-3.0786129999999998</v>
      </c>
      <c r="T2217">
        <v>-0.1005881</v>
      </c>
      <c r="U2217">
        <v>0.13653560000000001</v>
      </c>
      <c r="V2217">
        <v>-6.1508960000000001E-2</v>
      </c>
      <c r="W2217">
        <v>0.18120230000000001</v>
      </c>
      <c r="X2217">
        <v>0.98152039999999996</v>
      </c>
      <c r="Y2217">
        <v>4.858705E-2</v>
      </c>
      <c r="Z2217">
        <v>1.136228E-3</v>
      </c>
      <c r="AA2217">
        <v>0.99881830000000005</v>
      </c>
      <c r="AB2217">
        <v>35</v>
      </c>
      <c r="AC2217">
        <v>-33.753299999999903</v>
      </c>
      <c r="AD2217">
        <v>-1.1094540932744901</v>
      </c>
      <c r="AE2217">
        <v>1.5067999999999899</v>
      </c>
      <c r="AF2217">
        <v>1.65083816476933</v>
      </c>
      <c r="AG2217">
        <v>-1.1094540932744901</v>
      </c>
      <c r="AH2217">
        <v>33.710126662954103</v>
      </c>
      <c r="AI2217">
        <v>91.882760530702598</v>
      </c>
      <c r="AJ2217">
        <v>87.196374950732803</v>
      </c>
      <c r="AK2217">
        <v>33.768754709994198</v>
      </c>
      <c r="AL2217">
        <v>79.560201376369406</v>
      </c>
      <c r="AM2217">
        <v>93.585866666373803</v>
      </c>
      <c r="AN2217">
        <v>0.99999996065086505</v>
      </c>
    </row>
    <row r="2218" spans="1:40" x14ac:dyDescent="0.25">
      <c r="A2218" t="str">
        <f>"20190304155638091"</f>
        <v>20190304155638091</v>
      </c>
      <c r="B2218" t="str">
        <f>"1551686198086883"</f>
        <v>1551686198086883</v>
      </c>
      <c r="C2218" t="s">
        <v>40</v>
      </c>
      <c r="D2218">
        <v>4.9046859999999999</v>
      </c>
      <c r="E2218">
        <v>0.54207740000000004</v>
      </c>
      <c r="F2218" t="s">
        <v>55</v>
      </c>
      <c r="G2218">
        <v>-354.65929999999997</v>
      </c>
      <c r="H2218" s="1">
        <v>9.4267549999999995E-7</v>
      </c>
      <c r="I2218">
        <v>285.88589999999999</v>
      </c>
      <c r="J2218">
        <v>-321.11040000000003</v>
      </c>
      <c r="K2218">
        <v>1.1094569999999999</v>
      </c>
      <c r="L2218">
        <v>284.3485</v>
      </c>
      <c r="M2218">
        <v>-0.9999403</v>
      </c>
      <c r="N2218">
        <v>-1.0106800000000001E-2</v>
      </c>
      <c r="O2218">
        <v>-4.1566779999999996E-3</v>
      </c>
      <c r="P2218">
        <v>-0.98309709999999995</v>
      </c>
      <c r="Q2218">
        <v>0.17100879999999999</v>
      </c>
      <c r="R2218">
        <v>-6.5390539999999997E-2</v>
      </c>
      <c r="S2218">
        <v>-3.0787960000000001</v>
      </c>
      <c r="T2218">
        <v>-0.1009965</v>
      </c>
      <c r="U2218">
        <v>0.13986209999999999</v>
      </c>
      <c r="V2218">
        <v>-6.1209279999999998E-2</v>
      </c>
      <c r="W2218">
        <v>0.18097070000000001</v>
      </c>
      <c r="X2218">
        <v>0.98158190000000001</v>
      </c>
      <c r="Y2218">
        <v>4.9497090000000001E-2</v>
      </c>
      <c r="Z2218">
        <v>1.1558339999999999E-3</v>
      </c>
      <c r="AA2218">
        <v>0.99877360000000004</v>
      </c>
      <c r="AB2218">
        <v>35</v>
      </c>
      <c r="AC2218">
        <v>-33.548899999999897</v>
      </c>
      <c r="AD2218">
        <v>-1.10945605732449</v>
      </c>
      <c r="AE2218">
        <v>1.5373999999999901</v>
      </c>
      <c r="AF2218">
        <v>1.6750178299871299</v>
      </c>
      <c r="AG2218">
        <v>-1.10945605732449</v>
      </c>
      <c r="AH2218">
        <v>33.505653907885602</v>
      </c>
      <c r="AI2218">
        <v>91.894149987527896</v>
      </c>
      <c r="AJ2218">
        <v>87.138046573199901</v>
      </c>
      <c r="AK2218">
        <v>33.565837115569202</v>
      </c>
      <c r="AL2218">
        <v>79.573694550289801</v>
      </c>
      <c r="AM2218">
        <v>93.568218091783194</v>
      </c>
      <c r="AN2218">
        <v>0.99999999831210895</v>
      </c>
    </row>
    <row r="2219" spans="1:40" x14ac:dyDescent="0.25">
      <c r="A2219" t="str">
        <f>"20190304155638104"</f>
        <v>20190304155638104</v>
      </c>
      <c r="B2219" t="str">
        <f>"1551686198096643"</f>
        <v>1551686198096643</v>
      </c>
      <c r="C2219" t="s">
        <v>40</v>
      </c>
      <c r="D2219">
        <v>4.7897489999999996</v>
      </c>
      <c r="E2219">
        <v>0.54191919999999905</v>
      </c>
      <c r="F2219" t="s">
        <v>55</v>
      </c>
      <c r="G2219">
        <v>-356.7482</v>
      </c>
      <c r="H2219" s="1">
        <v>2.054279E-6</v>
      </c>
      <c r="I2219">
        <v>285.9153</v>
      </c>
      <c r="J2219">
        <v>-321.3347</v>
      </c>
      <c r="K2219">
        <v>1.109453</v>
      </c>
      <c r="L2219">
        <v>284.34769999999997</v>
      </c>
      <c r="M2219">
        <v>-0.99994079999999996</v>
      </c>
      <c r="N2219">
        <v>-1.0109999999999999E-2</v>
      </c>
      <c r="O2219">
        <v>-4.0240379999999997E-3</v>
      </c>
      <c r="P2219">
        <v>-0.98311789999999999</v>
      </c>
      <c r="Q2219">
        <v>0.17107649999999999</v>
      </c>
      <c r="R2219">
        <v>-6.4901050000000002E-2</v>
      </c>
      <c r="S2219">
        <v>-3.0772400000000002</v>
      </c>
      <c r="T2219">
        <v>-9.5798850000000005E-2</v>
      </c>
      <c r="U2219">
        <v>0.1352844</v>
      </c>
      <c r="V2219">
        <v>-6.0850399999999999E-2</v>
      </c>
      <c r="W2219">
        <v>0.18104149999999999</v>
      </c>
      <c r="X2219">
        <v>0.9815912</v>
      </c>
      <c r="Y2219">
        <v>4.7908899999999997E-2</v>
      </c>
      <c r="Z2219">
        <v>1.0721050000000001E-3</v>
      </c>
      <c r="AA2219">
        <v>0.99885109999999999</v>
      </c>
      <c r="AB2219">
        <v>35</v>
      </c>
      <c r="AC2219">
        <v>-35.413499999999999</v>
      </c>
      <c r="AD2219">
        <v>-1.109450945721</v>
      </c>
      <c r="AE2219">
        <v>1.5676000000000201</v>
      </c>
      <c r="AF2219">
        <v>1.7084263634116801</v>
      </c>
      <c r="AG2219">
        <v>-1.109450945721</v>
      </c>
      <c r="AH2219">
        <v>35.372255808679299</v>
      </c>
      <c r="AI2219">
        <v>91.794403049033903</v>
      </c>
      <c r="AJ2219">
        <v>87.234849451010007</v>
      </c>
      <c r="AK2219">
        <v>35.430863424912602</v>
      </c>
      <c r="AL2219">
        <v>79.569570316379696</v>
      </c>
      <c r="AM2219">
        <v>93.547317102550593</v>
      </c>
      <c r="AN2219">
        <v>1.00000003990992</v>
      </c>
    </row>
    <row r="2220" spans="1:40" x14ac:dyDescent="0.25">
      <c r="A2220" t="str">
        <f>"20190304155638116"</f>
        <v>20190304155638116</v>
      </c>
      <c r="B2220" t="str">
        <f>"1551686198106403"</f>
        <v>1551686198106403</v>
      </c>
      <c r="C2220" t="s">
        <v>40</v>
      </c>
      <c r="D2220">
        <v>4.7823520000000004</v>
      </c>
      <c r="E2220">
        <v>0.54198930000000001</v>
      </c>
      <c r="F2220" t="s">
        <v>55</v>
      </c>
      <c r="G2220">
        <v>-358.12520000000001</v>
      </c>
      <c r="H2220" s="1">
        <v>2.7870449999999999E-6</v>
      </c>
      <c r="I2220">
        <v>285.97230000000002</v>
      </c>
      <c r="J2220">
        <v>-321.51220000000001</v>
      </c>
      <c r="K2220">
        <v>1.1094539999999999</v>
      </c>
      <c r="L2220">
        <v>284.34699999999998</v>
      </c>
      <c r="M2220">
        <v>-0.99994130000000003</v>
      </c>
      <c r="N2220">
        <v>-1.011243E-2</v>
      </c>
      <c r="O2220">
        <v>-3.9208400000000001E-3</v>
      </c>
      <c r="P2220">
        <v>-0.9832168</v>
      </c>
      <c r="Q2220">
        <v>0.17059009999999999</v>
      </c>
      <c r="R2220">
        <v>-6.4685519999999996E-2</v>
      </c>
      <c r="S2220">
        <v>-3.0766300000000002</v>
      </c>
      <c r="T2220">
        <v>-9.2778559999999996E-2</v>
      </c>
      <c r="U2220">
        <v>0.13586429999999999</v>
      </c>
      <c r="V2220">
        <v>-6.0736999999999999E-2</v>
      </c>
      <c r="W2220">
        <v>0.18055789999999999</v>
      </c>
      <c r="X2220">
        <v>0.98168719999999998</v>
      </c>
      <c r="Y2220">
        <v>4.8004089999999999E-2</v>
      </c>
      <c r="Z2220">
        <v>1.0447340000000001E-3</v>
      </c>
      <c r="AA2220">
        <v>0.99884660000000003</v>
      </c>
      <c r="AB2220">
        <v>35</v>
      </c>
      <c r="AC2220">
        <v>-36.613</v>
      </c>
      <c r="AD2220">
        <v>-1.109451212955</v>
      </c>
      <c r="AE2220">
        <v>1.6253000000000299</v>
      </c>
      <c r="AF2220">
        <v>1.7672290341685399</v>
      </c>
      <c r="AG2220">
        <v>-1.109451212955</v>
      </c>
      <c r="AH2220">
        <v>36.572829894585297</v>
      </c>
      <c r="AI2220">
        <v>91.735533474483006</v>
      </c>
      <c r="AJ2220">
        <v>87.233572874413795</v>
      </c>
      <c r="AK2220">
        <v>36.632306328586701</v>
      </c>
      <c r="AL2220">
        <v>79.597741878329202</v>
      </c>
      <c r="AM2220">
        <v>93.540377833129497</v>
      </c>
      <c r="AN2220">
        <v>0.99999994853262297</v>
      </c>
    </row>
    <row r="2221" spans="1:40" x14ac:dyDescent="0.25">
      <c r="A2221" t="str">
        <f>"20190304155638128"</f>
        <v>20190304155638128</v>
      </c>
      <c r="B2221" t="str">
        <f>"1551686198117139"</f>
        <v>1551686198117139</v>
      </c>
      <c r="C2221" t="s">
        <v>40</v>
      </c>
      <c r="D2221">
        <v>4.7528519999999999</v>
      </c>
      <c r="E2221">
        <v>0.54185410000000001</v>
      </c>
      <c r="F2221" t="s">
        <v>55</v>
      </c>
      <c r="G2221">
        <v>-358.3732</v>
      </c>
      <c r="H2221" s="1">
        <v>2.918988E-6</v>
      </c>
      <c r="I2221">
        <v>285.99</v>
      </c>
      <c r="J2221">
        <v>-321.7054</v>
      </c>
      <c r="K2221">
        <v>1.109453</v>
      </c>
      <c r="L2221">
        <v>284.34640000000002</v>
      </c>
      <c r="M2221">
        <v>-0.99994179999999999</v>
      </c>
      <c r="N2221">
        <v>-1.0114990000000001E-2</v>
      </c>
      <c r="O2221">
        <v>-3.8096599999999999E-3</v>
      </c>
      <c r="P2221">
        <v>-0.98324750000000005</v>
      </c>
      <c r="Q2221">
        <v>0.17055960000000001</v>
      </c>
      <c r="R2221">
        <v>-6.4300189999999993E-2</v>
      </c>
      <c r="S2221">
        <v>-3.076263</v>
      </c>
      <c r="T2221">
        <v>-9.2590210000000006E-2</v>
      </c>
      <c r="U2221">
        <v>0.1371155</v>
      </c>
      <c r="V2221">
        <v>-6.0461599999999997E-2</v>
      </c>
      <c r="W2221">
        <v>0.18052979999999999</v>
      </c>
      <c r="X2221">
        <v>0.98170939999999995</v>
      </c>
      <c r="Y2221">
        <v>4.8303690000000003E-2</v>
      </c>
      <c r="Z2221">
        <v>1.046974E-3</v>
      </c>
      <c r="AA2221">
        <v>0.99883219999999995</v>
      </c>
      <c r="AB2221">
        <v>35</v>
      </c>
      <c r="AC2221">
        <v>-36.6678</v>
      </c>
      <c r="AD2221">
        <v>-1.109450081012</v>
      </c>
      <c r="AE2221">
        <v>1.64359999999999</v>
      </c>
      <c r="AF2221">
        <v>1.7816592477000699</v>
      </c>
      <c r="AG2221">
        <v>-1.109450081012</v>
      </c>
      <c r="AH2221">
        <v>36.627807452671</v>
      </c>
      <c r="AI2221">
        <v>91.732901372475297</v>
      </c>
      <c r="AJ2221">
        <v>87.215198889991001</v>
      </c>
      <c r="AK2221">
        <v>36.687892661573102</v>
      </c>
      <c r="AL2221">
        <v>79.599379119210198</v>
      </c>
      <c r="AM2221">
        <v>93.524285741944297</v>
      </c>
      <c r="AN2221">
        <v>0.99999997990547895</v>
      </c>
    </row>
    <row r="2222" spans="1:40" x14ac:dyDescent="0.25">
      <c r="A2222" t="str">
        <f>"20190304155638141"</f>
        <v>20190304155638141</v>
      </c>
      <c r="B2222" t="str">
        <f>"1551686198136658"</f>
        <v>1551686198136658</v>
      </c>
      <c r="C2222" t="s">
        <v>40</v>
      </c>
      <c r="D2222">
        <v>4.7599</v>
      </c>
      <c r="E2222">
        <v>0.54191959999999995</v>
      </c>
      <c r="F2222" t="s">
        <v>55</v>
      </c>
      <c r="G2222">
        <v>-358.97640000000001</v>
      </c>
      <c r="H2222" s="1">
        <v>3.2400330000000002E-6</v>
      </c>
      <c r="I2222">
        <v>286.00599999999997</v>
      </c>
      <c r="J2222">
        <v>-321.89420000000001</v>
      </c>
      <c r="K2222">
        <v>1.1094599999999999</v>
      </c>
      <c r="L2222">
        <v>284.3458</v>
      </c>
      <c r="M2222">
        <v>-0.99994209999999994</v>
      </c>
      <c r="N2222">
        <v>-1.01175E-2</v>
      </c>
      <c r="O2222">
        <v>-3.7066080000000001E-3</v>
      </c>
      <c r="P2222">
        <v>-0.98334129999999997</v>
      </c>
      <c r="Q2222">
        <v>0.17007149999999999</v>
      </c>
      <c r="R2222">
        <v>-6.4156589999999999E-2</v>
      </c>
      <c r="S2222">
        <v>-3.0759280000000002</v>
      </c>
      <c r="T2222">
        <v>-9.1561320000000002E-2</v>
      </c>
      <c r="U2222">
        <v>0.1369629</v>
      </c>
      <c r="V2222">
        <v>-6.0421200000000001E-2</v>
      </c>
      <c r="W2222">
        <v>0.18004439999999999</v>
      </c>
      <c r="X2222">
        <v>0.98180100000000003</v>
      </c>
      <c r="Y2222">
        <v>4.8156839999999999E-2</v>
      </c>
      <c r="Z2222">
        <v>1.032823E-3</v>
      </c>
      <c r="AA2222">
        <v>0.99883929999999999</v>
      </c>
      <c r="AB2222">
        <v>35</v>
      </c>
      <c r="AC2222">
        <v>-37.0822</v>
      </c>
      <c r="AD2222">
        <v>-1.109456759967</v>
      </c>
      <c r="AE2222">
        <v>1.6601999999999699</v>
      </c>
      <c r="AF2222">
        <v>1.79604030064144</v>
      </c>
      <c r="AG2222">
        <v>-1.109456759967</v>
      </c>
      <c r="AH2222">
        <v>37.042699232586699</v>
      </c>
      <c r="AI2222">
        <v>91.713527180385498</v>
      </c>
      <c r="AJ2222">
        <v>87.224149268602005</v>
      </c>
      <c r="AK2222">
        <v>37.102806113549498</v>
      </c>
      <c r="AL2222">
        <v>79.627653543475304</v>
      </c>
      <c r="AM2222">
        <v>93.521609006959693</v>
      </c>
      <c r="AN2222">
        <v>0.99999995549089904</v>
      </c>
    </row>
    <row r="2223" spans="1:40" x14ac:dyDescent="0.25">
      <c r="A2223" t="str">
        <f>"20190304155638158"</f>
        <v>20190304155638158</v>
      </c>
      <c r="B2223" t="str">
        <f>"1551686198147395"</f>
        <v>1551686198147395</v>
      </c>
      <c r="C2223" t="s">
        <v>40</v>
      </c>
      <c r="D2223">
        <v>4.7370769999999904</v>
      </c>
      <c r="E2223">
        <v>0.54178110000000002</v>
      </c>
      <c r="F2223" t="s">
        <v>55</v>
      </c>
      <c r="G2223">
        <v>-358.6601</v>
      </c>
      <c r="H2223" s="1">
        <v>3.071694E-6</v>
      </c>
      <c r="I2223">
        <v>285.99239999999998</v>
      </c>
      <c r="J2223">
        <v>-322.15629999999999</v>
      </c>
      <c r="K2223">
        <v>1.1094649999999999</v>
      </c>
      <c r="L2223">
        <v>284.3449</v>
      </c>
      <c r="M2223">
        <v>-0.99994249999999996</v>
      </c>
      <c r="N2223">
        <v>-1.0121059999999999E-2</v>
      </c>
      <c r="O2223">
        <v>-3.571659E-3</v>
      </c>
      <c r="P2223">
        <v>-0.98346809999999996</v>
      </c>
      <c r="Q2223">
        <v>0.1692371</v>
      </c>
      <c r="R2223">
        <v>-6.4417740000000001E-2</v>
      </c>
      <c r="S2223">
        <v>-3.0758969999999999</v>
      </c>
      <c r="T2223">
        <v>-9.2818979999999995E-2</v>
      </c>
      <c r="U2223">
        <v>0.1377563</v>
      </c>
      <c r="V2223">
        <v>-6.0818669999999998E-2</v>
      </c>
      <c r="W2223">
        <v>0.1792136</v>
      </c>
      <c r="X2223">
        <v>0.98192849999999998</v>
      </c>
      <c r="Y2223">
        <v>4.827886E-2</v>
      </c>
      <c r="Z2223">
        <v>1.0440029999999999E-3</v>
      </c>
      <c r="AA2223">
        <v>0.99883339999999998</v>
      </c>
      <c r="AB2223">
        <v>35</v>
      </c>
      <c r="AC2223">
        <v>-36.503799999999998</v>
      </c>
      <c r="AD2223">
        <v>-1.1094619283060001</v>
      </c>
      <c r="AE2223">
        <v>1.64749999999997</v>
      </c>
      <c r="AF2223">
        <v>1.7762378393534499</v>
      </c>
      <c r="AG2223">
        <v>-1.1094619283060001</v>
      </c>
      <c r="AH2223">
        <v>36.464067769188603</v>
      </c>
      <c r="AI2223">
        <v>91.740690768641898</v>
      </c>
      <c r="AJ2223">
        <v>87.211212127443702</v>
      </c>
      <c r="AK2223">
        <v>36.524158647507399</v>
      </c>
      <c r="AL2223">
        <v>79.676042432191693</v>
      </c>
      <c r="AM2223">
        <v>93.544257307358095</v>
      </c>
      <c r="AN2223">
        <v>1.00000000207888</v>
      </c>
    </row>
    <row r="2224" spans="1:40" x14ac:dyDescent="0.25">
      <c r="A2224" t="str">
        <f>"20190304155638171"</f>
        <v>20190304155638171</v>
      </c>
      <c r="B2224" t="str">
        <f>"1551686198166914"</f>
        <v>1551686198166914</v>
      </c>
      <c r="C2224" t="s">
        <v>40</v>
      </c>
      <c r="D2224">
        <v>4.7544500000000003</v>
      </c>
      <c r="E2224">
        <v>0.54184339999999998</v>
      </c>
      <c r="F2224" t="s">
        <v>55</v>
      </c>
      <c r="G2224">
        <v>-357.96080000000001</v>
      </c>
      <c r="H2224" s="1">
        <v>2.6995780000000002E-6</v>
      </c>
      <c r="I2224">
        <v>285.92329999999998</v>
      </c>
      <c r="J2224">
        <v>-322.3612</v>
      </c>
      <c r="K2224">
        <v>1.1094679999999999</v>
      </c>
      <c r="L2224">
        <v>284.34429999999998</v>
      </c>
      <c r="M2224">
        <v>-0.99994269999999996</v>
      </c>
      <c r="N2224">
        <v>-1.012388E-2</v>
      </c>
      <c r="O2224">
        <v>-3.4733049999999999E-3</v>
      </c>
      <c r="P2224">
        <v>-0.98349699999999995</v>
      </c>
      <c r="Q2224">
        <v>0.16905309999999901</v>
      </c>
      <c r="R2224">
        <v>-6.445787E-2</v>
      </c>
      <c r="S2224">
        <v>-3.075745</v>
      </c>
      <c r="T2224">
        <v>-9.5306870000000002E-2</v>
      </c>
      <c r="U2224">
        <v>0.1355896</v>
      </c>
      <c r="V2224">
        <v>-6.0959319999999997E-2</v>
      </c>
      <c r="W2224">
        <v>0.17903160000000001</v>
      </c>
      <c r="X2224">
        <v>0.98195299999999996</v>
      </c>
      <c r="Y2224">
        <v>4.7479630000000002E-2</v>
      </c>
      <c r="Z2224">
        <v>1.0480299999999999E-3</v>
      </c>
      <c r="AA2224">
        <v>0.99887170000000003</v>
      </c>
      <c r="AB2224">
        <v>35</v>
      </c>
      <c r="AC2224">
        <v>-35.599600000000002</v>
      </c>
      <c r="AD2224">
        <v>-1.1094653004220001</v>
      </c>
      <c r="AE2224">
        <v>1.579</v>
      </c>
      <c r="AF2224">
        <v>1.7009962105338501</v>
      </c>
      <c r="AG2224">
        <v>-1.1094653004220001</v>
      </c>
      <c r="AH2224">
        <v>35.559430837788902</v>
      </c>
      <c r="AI2224">
        <v>91.785026636354701</v>
      </c>
      <c r="AJ2224">
        <v>87.261326546019205</v>
      </c>
      <c r="AK2224">
        <v>35.6173752944906</v>
      </c>
      <c r="AL2224">
        <v>79.686641910158102</v>
      </c>
      <c r="AM2224">
        <v>93.552344427197198</v>
      </c>
      <c r="AN2224">
        <v>1.0000000233512101</v>
      </c>
    </row>
    <row r="2225" spans="1:40" x14ac:dyDescent="0.25">
      <c r="A2225" t="str">
        <f>"20190304155638186"</f>
        <v>20190304155638186</v>
      </c>
      <c r="B2225" t="str">
        <f>"1551686198176674"</f>
        <v>1551686198176674</v>
      </c>
      <c r="C2225" t="s">
        <v>40</v>
      </c>
      <c r="D2225">
        <v>4.7598979999999997</v>
      </c>
      <c r="E2225">
        <v>0.54180229999999996</v>
      </c>
      <c r="F2225" t="s">
        <v>55</v>
      </c>
      <c r="G2225">
        <v>-357.5249</v>
      </c>
      <c r="H2225" s="1">
        <v>2.4675859999999999E-6</v>
      </c>
      <c r="I2225">
        <v>285.8999</v>
      </c>
      <c r="J2225">
        <v>-322.6001</v>
      </c>
      <c r="K2225">
        <v>1.1094809999999999</v>
      </c>
      <c r="L2225">
        <v>284.34359999999998</v>
      </c>
      <c r="M2225">
        <v>-0.99994309999999997</v>
      </c>
      <c r="N2225">
        <v>-1.0127189999999999E-2</v>
      </c>
      <c r="O2225">
        <v>-3.3729820000000001E-3</v>
      </c>
      <c r="P2225">
        <v>-0.98352459999999997</v>
      </c>
      <c r="Q2225">
        <v>0.168758299999999</v>
      </c>
      <c r="R2225">
        <v>-6.481104E-2</v>
      </c>
      <c r="S2225">
        <v>-3.0759280000000002</v>
      </c>
      <c r="T2225">
        <v>-9.7049949999999996E-2</v>
      </c>
      <c r="U2225">
        <v>0.1360779</v>
      </c>
      <c r="V2225">
        <v>-6.1416360000000003E-2</v>
      </c>
      <c r="W2225">
        <v>0.17873789999999901</v>
      </c>
      <c r="X2225">
        <v>0.98197800000000002</v>
      </c>
      <c r="Y2225">
        <v>4.7534020000000003E-2</v>
      </c>
      <c r="Z2225">
        <v>1.0624359999999999E-3</v>
      </c>
      <c r="AA2225">
        <v>0.99886909999999896</v>
      </c>
      <c r="AB2225">
        <v>35</v>
      </c>
      <c r="AC2225">
        <v>-34.924799999999998</v>
      </c>
      <c r="AD2225">
        <v>-1.109478532414</v>
      </c>
      <c r="AE2225">
        <v>1.55630000000002</v>
      </c>
      <c r="AF2225">
        <v>1.67241347428763</v>
      </c>
      <c r="AG2225">
        <v>-1.109478532414</v>
      </c>
      <c r="AH2225">
        <v>34.884216875808598</v>
      </c>
      <c r="AI2225">
        <v>91.8195667847979</v>
      </c>
      <c r="AJ2225">
        <v>87.255236605929497</v>
      </c>
      <c r="AK2225">
        <v>34.941901729604197</v>
      </c>
      <c r="AL2225">
        <v>79.703745311512193</v>
      </c>
      <c r="AM2225">
        <v>93.578818138537599</v>
      </c>
      <c r="AN2225">
        <v>0.99999999932802897</v>
      </c>
    </row>
    <row r="2226" spans="1:40" x14ac:dyDescent="0.25">
      <c r="A2226" t="str">
        <f>"20190304155638204"</f>
        <v>20190304155638204</v>
      </c>
      <c r="B2226" t="str">
        <f>"1551686198197170"</f>
        <v>1551686198197170</v>
      </c>
      <c r="C2226" t="s">
        <v>40</v>
      </c>
      <c r="D2226">
        <v>4.7495240000000001</v>
      </c>
      <c r="E2226">
        <v>0.54180319999999904</v>
      </c>
      <c r="F2226" t="s">
        <v>55</v>
      </c>
      <c r="G2226">
        <v>-357.42930000000001</v>
      </c>
      <c r="H2226" s="1">
        <v>2.4167239999999999E-6</v>
      </c>
      <c r="I2226">
        <v>285.86470000000003</v>
      </c>
      <c r="J2226">
        <v>-322.86020000000002</v>
      </c>
      <c r="K2226">
        <v>1.1094930000000001</v>
      </c>
      <c r="L2226">
        <v>284.34280000000001</v>
      </c>
      <c r="M2226">
        <v>-0.99994340000000004</v>
      </c>
      <c r="N2226">
        <v>-1.0130770000000001E-2</v>
      </c>
      <c r="O2226">
        <v>-3.2783019999999999E-3</v>
      </c>
      <c r="P2226">
        <v>-0.98344169999999997</v>
      </c>
      <c r="Q2226">
        <v>0.1691211</v>
      </c>
      <c r="R2226">
        <v>-6.5120059999999994E-2</v>
      </c>
      <c r="S2226">
        <v>-3.0759280000000002</v>
      </c>
      <c r="T2226">
        <v>-9.7983000000000001E-2</v>
      </c>
      <c r="U2226">
        <v>0.1343384</v>
      </c>
      <c r="V2226">
        <v>-6.1826119999999998E-2</v>
      </c>
      <c r="W2226">
        <v>0.17910200000000001</v>
      </c>
      <c r="X2226">
        <v>0.98188600000000004</v>
      </c>
      <c r="Y2226">
        <v>4.6875550000000002E-2</v>
      </c>
      <c r="Z2226">
        <v>1.054866E-3</v>
      </c>
      <c r="AA2226">
        <v>0.99890020000000002</v>
      </c>
      <c r="AB2226">
        <v>35</v>
      </c>
      <c r="AC2226">
        <v>-34.569099999999899</v>
      </c>
      <c r="AD2226">
        <v>-1.109490583276</v>
      </c>
      <c r="AE2226">
        <v>1.52190000000001</v>
      </c>
      <c r="AF2226">
        <v>1.63354614761245</v>
      </c>
      <c r="AG2226">
        <v>-1.109490583276</v>
      </c>
      <c r="AH2226">
        <v>34.528426464734103</v>
      </c>
      <c r="AI2226">
        <v>91.838378396829498</v>
      </c>
      <c r="AJ2226">
        <v>87.291345911037396</v>
      </c>
      <c r="AK2226">
        <v>34.5848474985984</v>
      </c>
      <c r="AL2226">
        <v>79.682542363747402</v>
      </c>
      <c r="AM2226">
        <v>93.602969423500994</v>
      </c>
      <c r="AN2226">
        <v>1.0000000562571201</v>
      </c>
    </row>
    <row r="2227" spans="1:40" x14ac:dyDescent="0.25">
      <c r="A2227" t="str">
        <f>"20190304155638218"</f>
        <v>20190304155638218</v>
      </c>
      <c r="B2227" t="str">
        <f>"1551686198206930"</f>
        <v>1551686198206930</v>
      </c>
      <c r="C2227" t="s">
        <v>40</v>
      </c>
      <c r="D2227">
        <v>4.747147</v>
      </c>
      <c r="E2227">
        <v>0.54178289999999996</v>
      </c>
      <c r="F2227" t="s">
        <v>55</v>
      </c>
      <c r="G2227">
        <v>-357.74860000000001</v>
      </c>
      <c r="H2227" s="1">
        <v>2.5866080000000002E-6</v>
      </c>
      <c r="I2227">
        <v>285.8519</v>
      </c>
      <c r="J2227">
        <v>-323.09800000000001</v>
      </c>
      <c r="K2227">
        <v>1.10951</v>
      </c>
      <c r="L2227">
        <v>284.34210000000002</v>
      </c>
      <c r="M2227">
        <v>-0.99994349999999999</v>
      </c>
      <c r="N2227">
        <v>-1.0134020000000001E-2</v>
      </c>
      <c r="O2227">
        <v>-3.207115E-3</v>
      </c>
      <c r="P2227">
        <v>-0.98344929999999997</v>
      </c>
      <c r="Q2227">
        <v>0.1689822</v>
      </c>
      <c r="R2227">
        <v>-6.5365190000000004E-2</v>
      </c>
      <c r="S2227">
        <v>-3.076111</v>
      </c>
      <c r="T2227">
        <v>-9.7823859999999999E-2</v>
      </c>
      <c r="U2227">
        <v>0.1330566</v>
      </c>
      <c r="V2227">
        <v>-6.2148889999999998E-2</v>
      </c>
      <c r="W2227">
        <v>0.1789636</v>
      </c>
      <c r="X2227">
        <v>0.98189079999999995</v>
      </c>
      <c r="Y2227">
        <v>4.638685E-2</v>
      </c>
      <c r="Z2227">
        <v>1.041721E-3</v>
      </c>
      <c r="AA2227">
        <v>0.99892300000000001</v>
      </c>
      <c r="AB2227">
        <v>35</v>
      </c>
      <c r="AC2227">
        <v>-34.650599999999997</v>
      </c>
      <c r="AD2227">
        <v>-1.109507413392</v>
      </c>
      <c r="AE2227">
        <v>1.50979999999998</v>
      </c>
      <c r="AF2227">
        <v>1.61926935629722</v>
      </c>
      <c r="AG2227">
        <v>-1.109507413392</v>
      </c>
      <c r="AH2227">
        <v>34.610161857099897</v>
      </c>
      <c r="AI2227">
        <v>91.834112756459703</v>
      </c>
      <c r="AJ2227">
        <v>87.321315775139695</v>
      </c>
      <c r="AK2227">
        <v>34.665780587248697</v>
      </c>
      <c r="AL2227">
        <v>79.690601725191797</v>
      </c>
      <c r="AM2227">
        <v>93.621711525317806</v>
      </c>
      <c r="AN2227">
        <v>0.999999998888916</v>
      </c>
    </row>
    <row r="2228" spans="1:40" x14ac:dyDescent="0.25">
      <c r="A2228" t="str">
        <f>"20190304155638235"</f>
        <v>20190304155638235</v>
      </c>
      <c r="B2228" t="str">
        <f>"1551686198227444"</f>
        <v>1551686198227444</v>
      </c>
      <c r="C2228" t="s">
        <v>40</v>
      </c>
      <c r="D2228">
        <v>4.7864680000000002</v>
      </c>
      <c r="E2228">
        <v>0.54198579999999996</v>
      </c>
      <c r="F2228" t="s">
        <v>55</v>
      </c>
      <c r="G2228">
        <v>-357.84019999999998</v>
      </c>
      <c r="H2228" s="1">
        <v>2.635378E-6</v>
      </c>
      <c r="I2228">
        <v>285.83550000000002</v>
      </c>
      <c r="J2228">
        <v>-323.3689</v>
      </c>
      <c r="K2228">
        <v>1.1095299999999999</v>
      </c>
      <c r="L2228">
        <v>284.34129999999999</v>
      </c>
      <c r="M2228">
        <v>-0.99994380000000005</v>
      </c>
      <c r="N2228">
        <v>-1.013768E-2</v>
      </c>
      <c r="O2228">
        <v>-3.1446769999999998E-3</v>
      </c>
      <c r="P2228">
        <v>-0.98340329999999998</v>
      </c>
      <c r="Q2228">
        <v>0.1691956</v>
      </c>
      <c r="R2228">
        <v>-6.5508990000000003E-2</v>
      </c>
      <c r="S2228">
        <v>-3.0761409999999998</v>
      </c>
      <c r="T2228">
        <v>-9.8237989999999997E-2</v>
      </c>
      <c r="U2228">
        <v>0.13223270000000001</v>
      </c>
      <c r="V2228">
        <v>-6.2362750000000002E-2</v>
      </c>
      <c r="W2228">
        <v>0.17917659999999999</v>
      </c>
      <c r="X2228">
        <v>0.9818384</v>
      </c>
      <c r="Y2228">
        <v>4.6056970000000003E-2</v>
      </c>
      <c r="Z2228">
        <v>1.0370430000000001E-3</v>
      </c>
      <c r="AA2228">
        <v>0.99893829999999995</v>
      </c>
      <c r="AB2228">
        <v>35</v>
      </c>
      <c r="AC2228">
        <v>-34.4712999999999</v>
      </c>
      <c r="AD2228">
        <v>-1.1095273646220001</v>
      </c>
      <c r="AE2228">
        <v>1.4942000000000299</v>
      </c>
      <c r="AF2228">
        <v>1.6009438008608401</v>
      </c>
      <c r="AG2228">
        <v>-1.1095273646220001</v>
      </c>
      <c r="AH2228">
        <v>34.430827001565198</v>
      </c>
      <c r="AI2228">
        <v>91.8437171305807</v>
      </c>
      <c r="AJ2228">
        <v>87.337812897191</v>
      </c>
      <c r="AK2228">
        <v>34.485880009622299</v>
      </c>
      <c r="AL2228">
        <v>79.678197286936594</v>
      </c>
      <c r="AM2228">
        <v>93.634334255177805</v>
      </c>
      <c r="AN2228">
        <v>1.0000000051448401</v>
      </c>
    </row>
    <row r="2229" spans="1:40" x14ac:dyDescent="0.25">
      <c r="A2229" t="str">
        <f>"20190304155638247"</f>
        <v>20190304155638247</v>
      </c>
      <c r="B2229" t="str">
        <f>"1551686198237187"</f>
        <v>1551686198237187</v>
      </c>
      <c r="C2229" t="s">
        <v>40</v>
      </c>
      <c r="D2229">
        <v>4.7953130000000002</v>
      </c>
      <c r="E2229">
        <v>0.54212109999999902</v>
      </c>
      <c r="F2229" t="s">
        <v>55</v>
      </c>
      <c r="G2229">
        <v>-357.70100000000002</v>
      </c>
      <c r="H2229" s="1">
        <v>2.5612819999999999E-6</v>
      </c>
      <c r="I2229">
        <v>285.82709999999997</v>
      </c>
      <c r="J2229">
        <v>-323.56889999999999</v>
      </c>
      <c r="K2229">
        <v>1.109545</v>
      </c>
      <c r="L2229">
        <v>284.34070000000003</v>
      </c>
      <c r="M2229">
        <v>-0.99994380000000005</v>
      </c>
      <c r="N2229">
        <v>-1.0140349999999999E-2</v>
      </c>
      <c r="O2229">
        <v>-3.1101829999999999E-3</v>
      </c>
      <c r="P2229">
        <v>-0.98342350000000001</v>
      </c>
      <c r="Q2229">
        <v>0.16905789999999901</v>
      </c>
      <c r="R2229">
        <v>-6.5557580000000004E-2</v>
      </c>
      <c r="S2229">
        <v>-3.0765690000000001</v>
      </c>
      <c r="T2229">
        <v>-9.9426979999999998E-2</v>
      </c>
      <c r="U2229">
        <v>0.13314819999999999</v>
      </c>
      <c r="V2229">
        <v>-6.245233E-2</v>
      </c>
      <c r="W2229">
        <v>0.17904010000000001</v>
      </c>
      <c r="X2229">
        <v>0.9818576</v>
      </c>
      <c r="Y2229">
        <v>4.631242E-2</v>
      </c>
      <c r="Z2229">
        <v>1.0517370000000001E-3</v>
      </c>
      <c r="AA2229">
        <v>0.99892650000000005</v>
      </c>
      <c r="AB2229">
        <v>35</v>
      </c>
      <c r="AC2229">
        <v>-34.132099999999902</v>
      </c>
      <c r="AD2229">
        <v>-1.109542438718</v>
      </c>
      <c r="AE2229">
        <v>1.48639999999994</v>
      </c>
      <c r="AF2229">
        <v>1.5908774029725501</v>
      </c>
      <c r="AG2229">
        <v>-1.109542438718</v>
      </c>
      <c r="AH2229">
        <v>34.091354703287898</v>
      </c>
      <c r="AI2229">
        <v>91.862074269186095</v>
      </c>
      <c r="AJ2229">
        <v>87.328223421137906</v>
      </c>
      <c r="AK2229">
        <v>34.146485043705397</v>
      </c>
      <c r="AL2229">
        <v>79.686146641962694</v>
      </c>
      <c r="AM2229">
        <v>93.6394697369754</v>
      </c>
      <c r="AN2229">
        <v>0.99999999880409896</v>
      </c>
    </row>
    <row r="2230" spans="1:40" x14ac:dyDescent="0.25">
      <c r="A2230" t="str">
        <f>"20190304155638259"</f>
        <v>20190304155638259</v>
      </c>
      <c r="B2230" t="str">
        <f>"1551686198256707"</f>
        <v>1551686198256707</v>
      </c>
      <c r="C2230" t="s">
        <v>40</v>
      </c>
      <c r="D2230">
        <v>4.7842589999999996</v>
      </c>
      <c r="E2230">
        <v>0.54221350000000001</v>
      </c>
      <c r="F2230" t="s">
        <v>55</v>
      </c>
      <c r="G2230">
        <v>-357.8272</v>
      </c>
      <c r="H2230" s="1">
        <v>2.6284659999999998E-6</v>
      </c>
      <c r="I2230">
        <v>285.83350000000002</v>
      </c>
      <c r="J2230">
        <v>-323.7466</v>
      </c>
      <c r="K2230">
        <v>1.109556</v>
      </c>
      <c r="L2230">
        <v>284.34019999999998</v>
      </c>
      <c r="M2230">
        <v>-0.9999439</v>
      </c>
      <c r="N2230">
        <v>-1.0142730000000001E-2</v>
      </c>
      <c r="O2230">
        <v>-3.0892409999999999E-3</v>
      </c>
      <c r="P2230">
        <v>-0.98342960000000001</v>
      </c>
      <c r="Q2230">
        <v>0.168995799999999</v>
      </c>
      <c r="R2230">
        <v>-6.5626710000000005E-2</v>
      </c>
      <c r="S2230">
        <v>-3.0765989999999999</v>
      </c>
      <c r="T2230">
        <v>-9.9643590000000004E-2</v>
      </c>
      <c r="U2230">
        <v>0.13406370000000001</v>
      </c>
      <c r="V2230">
        <v>-6.2547179999999994E-2</v>
      </c>
      <c r="W2230">
        <v>0.1789781</v>
      </c>
      <c r="X2230">
        <v>0.98186280000000004</v>
      </c>
      <c r="Y2230">
        <v>4.6587459999999997E-2</v>
      </c>
      <c r="Z2230">
        <v>1.059001E-3</v>
      </c>
      <c r="AA2230">
        <v>0.99891359999999996</v>
      </c>
      <c r="AB2230">
        <v>35</v>
      </c>
      <c r="AC2230">
        <v>-34.080599999999997</v>
      </c>
      <c r="AD2230">
        <v>-1.109553371534</v>
      </c>
      <c r="AE2230">
        <v>1.49330000000003</v>
      </c>
      <c r="AF2230">
        <v>1.59689209583622</v>
      </c>
      <c r="AG2230">
        <v>-1.109553371534</v>
      </c>
      <c r="AH2230">
        <v>34.039812884621803</v>
      </c>
      <c r="AI2230">
        <v>91.864888605127604</v>
      </c>
      <c r="AJ2230">
        <v>87.314082014796199</v>
      </c>
      <c r="AK2230">
        <v>34.095308097597403</v>
      </c>
      <c r="AL2230">
        <v>79.689756626476594</v>
      </c>
      <c r="AM2230">
        <v>93.644963069939706</v>
      </c>
      <c r="AN2230">
        <v>0.999999934014699</v>
      </c>
    </row>
    <row r="2231" spans="1:40" x14ac:dyDescent="0.25">
      <c r="A2231" t="str">
        <f>"20190304155638271"</f>
        <v>20190304155638271</v>
      </c>
      <c r="B2231" t="str">
        <f>"1551686198267443"</f>
        <v>1551686198267443</v>
      </c>
      <c r="C2231" t="s">
        <v>40</v>
      </c>
      <c r="D2231">
        <v>4.8531370000000003</v>
      </c>
      <c r="E2231">
        <v>0.54211509999999996</v>
      </c>
      <c r="F2231" t="s">
        <v>55</v>
      </c>
      <c r="G2231">
        <v>-358.0369</v>
      </c>
      <c r="H2231" s="1">
        <v>2.7400379999999998E-6</v>
      </c>
      <c r="I2231">
        <v>285.84350000000001</v>
      </c>
      <c r="J2231">
        <v>-323.9341</v>
      </c>
      <c r="K2231">
        <v>1.109564</v>
      </c>
      <c r="L2231">
        <v>284.33960000000002</v>
      </c>
      <c r="M2231">
        <v>-0.9999439</v>
      </c>
      <c r="N2231">
        <v>-1.014524E-2</v>
      </c>
      <c r="O2231">
        <v>-3.0699709999999999E-3</v>
      </c>
      <c r="P2231">
        <v>-0.98339639999999995</v>
      </c>
      <c r="Q2231">
        <v>0.16917960000000001</v>
      </c>
      <c r="R2231">
        <v>-6.565174E-2</v>
      </c>
      <c r="S2231">
        <v>-3.07666</v>
      </c>
      <c r="T2231">
        <v>-9.9553589999999997E-2</v>
      </c>
      <c r="U2231">
        <v>0.1348877</v>
      </c>
      <c r="V2231">
        <v>-6.2596059999999995E-2</v>
      </c>
      <c r="W2231">
        <v>0.17916199999999999</v>
      </c>
      <c r="X2231">
        <v>0.98182619999999998</v>
      </c>
      <c r="Y2231">
        <v>4.6834239999999999E-2</v>
      </c>
      <c r="Z2231">
        <v>1.063076E-3</v>
      </c>
      <c r="AA2231">
        <v>0.99890210000000002</v>
      </c>
      <c r="AB2231">
        <v>35</v>
      </c>
      <c r="AC2231">
        <v>-34.102800000000002</v>
      </c>
      <c r="AD2231">
        <v>-1.1095612599619999</v>
      </c>
      <c r="AE2231">
        <v>1.50389999999998</v>
      </c>
      <c r="AF2231">
        <v>1.60689517877482</v>
      </c>
      <c r="AG2231">
        <v>-1.1095612599619999</v>
      </c>
      <c r="AH2231">
        <v>34.0620348071416</v>
      </c>
      <c r="AI2231">
        <v>91.863663061581505</v>
      </c>
      <c r="AJ2231">
        <v>87.299042670056394</v>
      </c>
      <c r="AK2231">
        <v>34.117963794870597</v>
      </c>
      <c r="AL2231">
        <v>79.679047385277798</v>
      </c>
      <c r="AM2231">
        <v>93.647939497959896</v>
      </c>
      <c r="AN2231">
        <v>0.99999998798898104</v>
      </c>
    </row>
    <row r="2232" spans="1:40" x14ac:dyDescent="0.25">
      <c r="A2232" t="str">
        <f>"20190304155638283"</f>
        <v>20190304155638283</v>
      </c>
      <c r="B2232" t="str">
        <f>"1551686198277203"</f>
        <v>1551686198277203</v>
      </c>
      <c r="C2232" t="s">
        <v>40</v>
      </c>
      <c r="D2232">
        <v>4.8171419999999996</v>
      </c>
      <c r="E2232">
        <v>0.54208269999999903</v>
      </c>
      <c r="F2232" t="s">
        <v>55</v>
      </c>
      <c r="G2232">
        <v>-358.45249999999999</v>
      </c>
      <c r="H2232" s="1">
        <v>2.9611820000000001E-6</v>
      </c>
      <c r="I2232">
        <v>285.84410000000003</v>
      </c>
      <c r="J2232">
        <v>-324.12569999999999</v>
      </c>
      <c r="K2232">
        <v>1.109575</v>
      </c>
      <c r="L2232">
        <v>284.339</v>
      </c>
      <c r="M2232">
        <v>-0.99994380000000005</v>
      </c>
      <c r="N2232">
        <v>-1.01478E-2</v>
      </c>
      <c r="O2232">
        <v>-3.0584219999999999E-3</v>
      </c>
      <c r="P2232">
        <v>-0.98342490000000005</v>
      </c>
      <c r="Q2232">
        <v>0.16904469999999999</v>
      </c>
      <c r="R2232">
        <v>-6.5568719999999997E-2</v>
      </c>
      <c r="S2232">
        <v>-3.0766300000000002</v>
      </c>
      <c r="T2232">
        <v>-9.8895549999999999E-2</v>
      </c>
      <c r="U2232">
        <v>0.1340942</v>
      </c>
      <c r="V2232">
        <v>-6.2529260000000003E-2</v>
      </c>
      <c r="W2232">
        <v>0.1790283</v>
      </c>
      <c r="X2232">
        <v>0.98185489999999997</v>
      </c>
      <c r="Y2232">
        <v>4.6566589999999998E-2</v>
      </c>
      <c r="Z2232">
        <v>1.051569E-3</v>
      </c>
      <c r="AA2232">
        <v>0.99891470000000004</v>
      </c>
      <c r="AB2232">
        <v>35</v>
      </c>
      <c r="AC2232">
        <v>-34.326799999999899</v>
      </c>
      <c r="AD2232">
        <v>-1.1095720388179999</v>
      </c>
      <c r="AE2232">
        <v>1.5051000000000201</v>
      </c>
      <c r="AF2232">
        <v>1.60840692734149</v>
      </c>
      <c r="AG2232">
        <v>-1.1095720388179999</v>
      </c>
      <c r="AH2232">
        <v>34.286281475989497</v>
      </c>
      <c r="AI2232">
        <v>91.851523376006597</v>
      </c>
      <c r="AJ2232">
        <v>87.314161420723806</v>
      </c>
      <c r="AK2232">
        <v>34.3419163764055</v>
      </c>
      <c r="AL2232">
        <v>79.686834291920206</v>
      </c>
      <c r="AM2232">
        <v>93.643950828500806</v>
      </c>
      <c r="AN2232">
        <v>1.00000004260552</v>
      </c>
    </row>
    <row r="2233" spans="1:40" x14ac:dyDescent="0.25">
      <c r="A2233" t="str">
        <f>"20190304155638302"</f>
        <v>20190304155638302</v>
      </c>
      <c r="B2233" t="str">
        <f>"1551686198296722"</f>
        <v>1551686198296722</v>
      </c>
      <c r="C2233" t="s">
        <v>40</v>
      </c>
      <c r="D2233">
        <v>4.8074070000000004</v>
      </c>
      <c r="E2233">
        <v>0.54212249999999995</v>
      </c>
      <c r="F2233" t="s">
        <v>55</v>
      </c>
      <c r="G2233">
        <v>-358.58409999999998</v>
      </c>
      <c r="H2233" s="1">
        <v>3.0312439999999998E-6</v>
      </c>
      <c r="I2233">
        <v>285.84059999999999</v>
      </c>
      <c r="J2233">
        <v>-324.42579999999998</v>
      </c>
      <c r="K2233">
        <v>1.1095900000000001</v>
      </c>
      <c r="L2233">
        <v>284.3381</v>
      </c>
      <c r="M2233">
        <v>-0.9999439</v>
      </c>
      <c r="N2233">
        <v>-1.0151769999999999E-2</v>
      </c>
      <c r="O2233">
        <v>-3.0473929999999998E-3</v>
      </c>
      <c r="P2233">
        <v>-0.98331829999999998</v>
      </c>
      <c r="Q2233">
        <v>0.1696925</v>
      </c>
      <c r="R2233">
        <v>-6.5495709999999999E-2</v>
      </c>
      <c r="S2233">
        <v>-3.0765380000000002</v>
      </c>
      <c r="T2233">
        <v>-9.906566E-2</v>
      </c>
      <c r="U2233">
        <v>0.13406370000000001</v>
      </c>
      <c r="V2233">
        <v>-6.247258E-2</v>
      </c>
      <c r="W2233">
        <v>0.17967710000000001</v>
      </c>
      <c r="X2233">
        <v>0.9817399</v>
      </c>
      <c r="Y2233">
        <v>4.6546879999999999E-2</v>
      </c>
      <c r="Z2233">
        <v>1.0524690000000001E-3</v>
      </c>
      <c r="AA2233">
        <v>0.99891560000000001</v>
      </c>
      <c r="AB2233">
        <v>35</v>
      </c>
      <c r="AC2233">
        <v>-34.158299999999997</v>
      </c>
      <c r="AD2233">
        <v>-1.1095869687559901</v>
      </c>
      <c r="AE2233">
        <v>1.50249999999999</v>
      </c>
      <c r="AF2233">
        <v>1.60490193914714</v>
      </c>
      <c r="AG2233">
        <v>-1.1095869687559901</v>
      </c>
      <c r="AH2233">
        <v>34.117631407157901</v>
      </c>
      <c r="AI2233">
        <v>91.860683159672007</v>
      </c>
      <c r="AJ2233">
        <v>87.306777496951796</v>
      </c>
      <c r="AK2233">
        <v>34.173376571685097</v>
      </c>
      <c r="AL2233">
        <v>79.649047189728705</v>
      </c>
      <c r="AM2233">
        <v>93.641081951994295</v>
      </c>
      <c r="AN2233">
        <v>0.99999995738413705</v>
      </c>
    </row>
    <row r="2234" spans="1:40" x14ac:dyDescent="0.25">
      <c r="A2234" t="str">
        <f>"20190304155638316"</f>
        <v>20190304155638316</v>
      </c>
      <c r="B2234" t="str">
        <f>"1551686198307460"</f>
        <v>1551686198307460</v>
      </c>
      <c r="C2234" t="s">
        <v>40</v>
      </c>
      <c r="D2234">
        <v>4.8705619999999996</v>
      </c>
      <c r="E2234">
        <v>0.54220459999999904</v>
      </c>
      <c r="F2234" t="s">
        <v>55</v>
      </c>
      <c r="G2234">
        <v>-359.94369999999998</v>
      </c>
      <c r="H2234" s="1">
        <v>3.7547440000000002E-6</v>
      </c>
      <c r="I2234">
        <v>285.89260000000002</v>
      </c>
      <c r="J2234">
        <v>-324.62549999999999</v>
      </c>
      <c r="K2234">
        <v>1.1095980000000001</v>
      </c>
      <c r="L2234">
        <v>284.33749999999998</v>
      </c>
      <c r="M2234">
        <v>-0.9999439</v>
      </c>
      <c r="N2234">
        <v>-1.0154399999999999E-2</v>
      </c>
      <c r="O2234">
        <v>-3.044508E-3</v>
      </c>
      <c r="P2234">
        <v>-0.98328340000000003</v>
      </c>
      <c r="Q2234">
        <v>0.16996249999999999</v>
      </c>
      <c r="R2234">
        <v>-6.5319730000000006E-2</v>
      </c>
      <c r="S2234">
        <v>-3.0764469999999999</v>
      </c>
      <c r="T2234">
        <v>-9.6108910000000006E-2</v>
      </c>
      <c r="U2234">
        <v>0.1346436</v>
      </c>
      <c r="V2234">
        <v>-6.2302780000000002E-2</v>
      </c>
      <c r="W2234">
        <v>0.17994869999999999</v>
      </c>
      <c r="X2234">
        <v>0.98170100000000005</v>
      </c>
      <c r="Y2234">
        <v>4.6734789999999998E-2</v>
      </c>
      <c r="Z2234">
        <v>1.0311020000000001E-3</v>
      </c>
      <c r="AA2234">
        <v>0.99890679999999998</v>
      </c>
      <c r="AB2234">
        <v>35</v>
      </c>
      <c r="AC2234">
        <v>-35.318199999999898</v>
      </c>
      <c r="AD2234">
        <v>-1.1095942452559999</v>
      </c>
      <c r="AE2234">
        <v>1.5551000000000299</v>
      </c>
      <c r="AF2234">
        <v>1.66098859200676</v>
      </c>
      <c r="AG2234">
        <v>-1.1095942452559999</v>
      </c>
      <c r="AH2234">
        <v>35.2785478618528</v>
      </c>
      <c r="AI2234">
        <v>91.799502579611797</v>
      </c>
      <c r="AJ2234">
        <v>87.304384247277497</v>
      </c>
      <c r="AK2234">
        <v>35.335053724777602</v>
      </c>
      <c r="AL2234">
        <v>79.633228387235405</v>
      </c>
      <c r="AM2234">
        <v>93.631355535537097</v>
      </c>
      <c r="AN2234">
        <v>1.0000000122142001</v>
      </c>
    </row>
    <row r="2235" spans="1:40" x14ac:dyDescent="0.25">
      <c r="A2235" t="str">
        <f>"20190304155638326"</f>
        <v>20190304155638326</v>
      </c>
      <c r="B2235" t="str">
        <f>"1551686198317219"</f>
        <v>1551686198317219</v>
      </c>
      <c r="C2235" t="s">
        <v>40</v>
      </c>
      <c r="D2235">
        <v>4.8604580000000004</v>
      </c>
      <c r="E2235">
        <v>0.54228900000000002</v>
      </c>
      <c r="F2235" t="s">
        <v>55</v>
      </c>
      <c r="G2235">
        <v>-360.48779999999999</v>
      </c>
      <c r="H2235" s="1">
        <v>-1.277206E-6</v>
      </c>
      <c r="I2235">
        <v>285.9237</v>
      </c>
      <c r="J2235">
        <v>-324.81310000000002</v>
      </c>
      <c r="K2235">
        <v>1.109602</v>
      </c>
      <c r="L2235">
        <v>284.33699999999999</v>
      </c>
      <c r="M2235">
        <v>-0.99994380000000005</v>
      </c>
      <c r="N2235">
        <v>-1.015686E-2</v>
      </c>
      <c r="O2235">
        <v>-3.0441069999999999E-3</v>
      </c>
      <c r="P2235">
        <v>-0.9832014</v>
      </c>
      <c r="Q2235">
        <v>0.1703575</v>
      </c>
      <c r="R2235">
        <v>-6.5524089999999993E-2</v>
      </c>
      <c r="S2235">
        <v>-3.076508</v>
      </c>
      <c r="T2235">
        <v>-9.518886E-2</v>
      </c>
      <c r="U2235">
        <v>0.1360779</v>
      </c>
      <c r="V2235">
        <v>-6.2509770000000006E-2</v>
      </c>
      <c r="W2235">
        <v>0.18034410000000001</v>
      </c>
      <c r="X2235">
        <v>0.98161520000000002</v>
      </c>
      <c r="Y2235">
        <v>4.7198549999999999E-2</v>
      </c>
      <c r="Z2235">
        <v>1.0327579999999999E-3</v>
      </c>
      <c r="AA2235">
        <v>0.99888500000000002</v>
      </c>
      <c r="AB2235">
        <v>35</v>
      </c>
      <c r="AC2235">
        <v>-35.674699999999902</v>
      </c>
      <c r="AD2235">
        <v>-1.109603277206</v>
      </c>
      <c r="AE2235">
        <v>1.5867</v>
      </c>
      <c r="AF2235">
        <v>1.6936606065208899</v>
      </c>
      <c r="AG2235">
        <v>-1.109603277206</v>
      </c>
      <c r="AH2235">
        <v>35.635298140199097</v>
      </c>
      <c r="AI2235">
        <v>91.781476214803405</v>
      </c>
      <c r="AJ2235">
        <v>87.278916078453605</v>
      </c>
      <c r="AK2235">
        <v>35.692774888256402</v>
      </c>
      <c r="AL2235">
        <v>79.610196006659905</v>
      </c>
      <c r="AM2235">
        <v>93.643705230778707</v>
      </c>
      <c r="AN2235">
        <v>0.99999993331064896</v>
      </c>
    </row>
    <row r="2236" spans="1:40" x14ac:dyDescent="0.25">
      <c r="A2236" t="str">
        <f>"20190304155638339"</f>
        <v>20190304155638339</v>
      </c>
      <c r="B2236" t="str">
        <f>"1551686198326979"</f>
        <v>1551686198326979</v>
      </c>
      <c r="C2236" t="s">
        <v>40</v>
      </c>
      <c r="D2236">
        <v>4.8202699999999998</v>
      </c>
      <c r="E2236">
        <v>0.54237060000000004</v>
      </c>
      <c r="F2236" t="s">
        <v>55</v>
      </c>
      <c r="G2236">
        <v>-361.30880000000002</v>
      </c>
      <c r="H2236" s="1">
        <v>-8.4030129999999998E-7</v>
      </c>
      <c r="I2236">
        <v>285.95729999999998</v>
      </c>
      <c r="J2236">
        <v>-324.99990000000003</v>
      </c>
      <c r="K2236">
        <v>1.109602</v>
      </c>
      <c r="L2236">
        <v>284.33640000000003</v>
      </c>
      <c r="M2236">
        <v>-0.99994380000000005</v>
      </c>
      <c r="N2236">
        <v>-1.0159339999999999E-2</v>
      </c>
      <c r="O2236">
        <v>-3.045477E-3</v>
      </c>
      <c r="P2236">
        <v>-0.98318899999999998</v>
      </c>
      <c r="Q2236">
        <v>0.1704908</v>
      </c>
      <c r="R2236">
        <v>-6.5363679999999993E-2</v>
      </c>
      <c r="S2236">
        <v>-3.0765690000000001</v>
      </c>
      <c r="T2236">
        <v>-9.3538880000000005E-2</v>
      </c>
      <c r="U2236">
        <v>0.13659669999999999</v>
      </c>
      <c r="V2236">
        <v>-6.2349990000000001E-2</v>
      </c>
      <c r="W2236">
        <v>0.1804791</v>
      </c>
      <c r="X2236">
        <v>0.98160060000000005</v>
      </c>
      <c r="Y2236">
        <v>4.7367989999999999E-2</v>
      </c>
      <c r="Z2236">
        <v>1.0219789999999999E-3</v>
      </c>
      <c r="AA2236">
        <v>0.99887700000000001</v>
      </c>
      <c r="AB2236">
        <v>35</v>
      </c>
      <c r="AC2236">
        <v>-36.308900000000001</v>
      </c>
      <c r="AD2236">
        <v>-1.1096028403013001</v>
      </c>
      <c r="AE2236">
        <v>1.6208999999999401</v>
      </c>
      <c r="AF2236">
        <v>1.72986376575003</v>
      </c>
      <c r="AG2236">
        <v>-1.1096028403013001</v>
      </c>
      <c r="AH2236">
        <v>36.269989094068698</v>
      </c>
      <c r="AI2236">
        <v>91.750307086748407</v>
      </c>
      <c r="AJ2236">
        <v>87.269399702194406</v>
      </c>
      <c r="AK2236">
        <v>36.328167528725103</v>
      </c>
      <c r="AL2236">
        <v>79.602332553234504</v>
      </c>
      <c r="AM2236">
        <v>93.634470534440894</v>
      </c>
      <c r="AN2236">
        <v>0.99999998235508403</v>
      </c>
    </row>
    <row r="2237" spans="1:40" x14ac:dyDescent="0.25">
      <c r="A2237" t="str">
        <f>"20190304155638351"</f>
        <v>20190304155638351</v>
      </c>
      <c r="B2237" t="str">
        <f>"1551686198347475"</f>
        <v>1551686198347475</v>
      </c>
      <c r="C2237" t="s">
        <v>40</v>
      </c>
      <c r="D2237">
        <v>4.8303190000000003</v>
      </c>
      <c r="E2237">
        <v>0.54232429999999998</v>
      </c>
      <c r="F2237" t="s">
        <v>55</v>
      </c>
      <c r="G2237">
        <v>-361.72320000000002</v>
      </c>
      <c r="H2237" s="1">
        <v>-6.1977590000000001E-7</v>
      </c>
      <c r="I2237">
        <v>285.98110000000003</v>
      </c>
      <c r="J2237">
        <v>-325.18979999999999</v>
      </c>
      <c r="K2237">
        <v>1.109604</v>
      </c>
      <c r="L2237">
        <v>284.33580000000001</v>
      </c>
      <c r="M2237">
        <v>-0.9999439</v>
      </c>
      <c r="N2237">
        <v>-1.016186E-2</v>
      </c>
      <c r="O2237">
        <v>-3.0476779999999998E-3</v>
      </c>
      <c r="P2237">
        <v>-0.98312350000000004</v>
      </c>
      <c r="Q2237">
        <v>0.17086770000000001</v>
      </c>
      <c r="R2237">
        <v>-6.5365610000000005E-2</v>
      </c>
      <c r="S2237">
        <v>-3.0765690000000001</v>
      </c>
      <c r="T2237">
        <v>-9.2959050000000001E-2</v>
      </c>
      <c r="U2237">
        <v>0.13778689999999999</v>
      </c>
      <c r="V2237">
        <v>-6.2351200000000002E-2</v>
      </c>
      <c r="W2237">
        <v>0.18085760000000001</v>
      </c>
      <c r="X2237">
        <v>0.98153080000000004</v>
      </c>
      <c r="Y2237">
        <v>4.7755930000000002E-2</v>
      </c>
      <c r="Z2237">
        <v>1.024868E-3</v>
      </c>
      <c r="AA2237">
        <v>0.99885849999999998</v>
      </c>
      <c r="AB2237">
        <v>35</v>
      </c>
      <c r="AC2237">
        <v>-36.5334</v>
      </c>
      <c r="AD2237">
        <v>-1.1096046197759</v>
      </c>
      <c r="AE2237">
        <v>1.64530000000002</v>
      </c>
      <c r="AF2237">
        <v>1.75502443141234</v>
      </c>
      <c r="AG2237">
        <v>-1.1096046197759</v>
      </c>
      <c r="AH2237">
        <v>36.494618347558799</v>
      </c>
      <c r="AI2237">
        <v>91.739510256202294</v>
      </c>
      <c r="AJ2237">
        <v>87.246769840016896</v>
      </c>
      <c r="AK2237">
        <v>36.5536386903009</v>
      </c>
      <c r="AL2237">
        <v>79.580282680475804</v>
      </c>
      <c r="AM2237">
        <v>93.634798649724203</v>
      </c>
      <c r="AN2237">
        <v>0.99999992748391697</v>
      </c>
    </row>
    <row r="2238" spans="1:40" x14ac:dyDescent="0.25">
      <c r="A2238" t="str">
        <f>"20190304155638363"</f>
        <v>20190304155638363</v>
      </c>
      <c r="B2238" t="str">
        <f>"1551686198357235"</f>
        <v>1551686198357235</v>
      </c>
      <c r="C2238" t="s">
        <v>40</v>
      </c>
      <c r="D2238">
        <v>4.8359829999999997</v>
      </c>
      <c r="E2238">
        <v>0.54243799999999998</v>
      </c>
      <c r="F2238" t="s">
        <v>55</v>
      </c>
      <c r="G2238">
        <v>-362.1748</v>
      </c>
      <c r="H2238" s="1">
        <v>-3.7945880000000003E-7</v>
      </c>
      <c r="I2238">
        <v>285.99509999999998</v>
      </c>
      <c r="J2238">
        <v>-325.37450000000001</v>
      </c>
      <c r="K2238">
        <v>1.109604</v>
      </c>
      <c r="L2238">
        <v>284.33530000000002</v>
      </c>
      <c r="M2238">
        <v>-0.9999439</v>
      </c>
      <c r="N2238">
        <v>-1.0164299999999999E-2</v>
      </c>
      <c r="O2238">
        <v>-3.0501069999999998E-3</v>
      </c>
      <c r="P2238">
        <v>-0.98310169999999997</v>
      </c>
      <c r="Q2238">
        <v>0.17104530000000001</v>
      </c>
      <c r="R2238">
        <v>-6.5229670000000003E-2</v>
      </c>
      <c r="S2238">
        <v>-3.0766909999999998</v>
      </c>
      <c r="T2238">
        <v>-9.2305300000000007E-2</v>
      </c>
      <c r="U2238">
        <v>0.13803099999999999</v>
      </c>
      <c r="V2238">
        <v>-6.2214319999999997E-2</v>
      </c>
      <c r="W2238">
        <v>0.1810368</v>
      </c>
      <c r="X2238">
        <v>0.98150649999999995</v>
      </c>
      <c r="Y2238">
        <v>4.7835999999999997E-2</v>
      </c>
      <c r="Z2238">
        <v>1.0208260000000001E-3</v>
      </c>
      <c r="AA2238">
        <v>0.99885469999999998</v>
      </c>
      <c r="AB2238">
        <v>35</v>
      </c>
      <c r="AC2238">
        <v>-36.800299999999901</v>
      </c>
      <c r="AD2238">
        <v>-1.1096043794588</v>
      </c>
      <c r="AE2238">
        <v>1.65979999999996</v>
      </c>
      <c r="AF2238">
        <v>1.77043658866223</v>
      </c>
      <c r="AG2238">
        <v>-1.1096043794588</v>
      </c>
      <c r="AH2238">
        <v>36.761712063938297</v>
      </c>
      <c r="AI2238">
        <v>91.726873292657402</v>
      </c>
      <c r="AJ2238">
        <v>87.242777245134207</v>
      </c>
      <c r="AK2238">
        <v>36.821042101837598</v>
      </c>
      <c r="AL2238">
        <v>79.569843468148406</v>
      </c>
      <c r="AM2238">
        <v>93.626930027211401</v>
      </c>
      <c r="AN2238">
        <v>0.99999997705477595</v>
      </c>
    </row>
    <row r="2239" spans="1:40" x14ac:dyDescent="0.25">
      <c r="A2239" t="str">
        <f>"20190304155638375"</f>
        <v>20190304155638375</v>
      </c>
      <c r="B2239" t="str">
        <f>"1551686198366995"</f>
        <v>1551686198366995</v>
      </c>
      <c r="C2239" t="s">
        <v>40</v>
      </c>
      <c r="D2239">
        <v>4.8063029999999998</v>
      </c>
      <c r="E2239">
        <v>0.54252869999999997</v>
      </c>
      <c r="F2239" t="s">
        <v>55</v>
      </c>
      <c r="G2239">
        <v>-362.58589999999998</v>
      </c>
      <c r="H2239" s="1">
        <v>-1.607173E-7</v>
      </c>
      <c r="I2239">
        <v>286.01940000000002</v>
      </c>
      <c r="J2239">
        <v>-325.56560000000002</v>
      </c>
      <c r="K2239">
        <v>1.1096109999999999</v>
      </c>
      <c r="L2239">
        <v>284.3347</v>
      </c>
      <c r="M2239">
        <v>-0.99994369999999999</v>
      </c>
      <c r="N2239">
        <v>-1.016682E-2</v>
      </c>
      <c r="O2239">
        <v>-3.0524160000000001E-3</v>
      </c>
      <c r="P2239">
        <v>-0.98309179999999996</v>
      </c>
      <c r="Q2239">
        <v>0.17114840000000001</v>
      </c>
      <c r="R2239">
        <v>-6.510958E-2</v>
      </c>
      <c r="S2239">
        <v>-3.076813</v>
      </c>
      <c r="T2239">
        <v>-9.1747400000000007E-2</v>
      </c>
      <c r="U2239">
        <v>0.13925170000000001</v>
      </c>
      <c r="V2239">
        <v>-6.209282E-2</v>
      </c>
      <c r="W2239">
        <v>0.18114179999999999</v>
      </c>
      <c r="X2239">
        <v>0.9814948</v>
      </c>
      <c r="Y2239">
        <v>4.82321E-2</v>
      </c>
      <c r="Z2239">
        <v>1.023918E-3</v>
      </c>
      <c r="AA2239">
        <v>0.99883560000000005</v>
      </c>
      <c r="AB2239">
        <v>35</v>
      </c>
      <c r="AC2239">
        <v>-37.020299999999899</v>
      </c>
      <c r="AD2239">
        <v>-1.1096111607173</v>
      </c>
      <c r="AE2239">
        <v>1.6847000000000201</v>
      </c>
      <c r="AF2239">
        <v>1.79608910054688</v>
      </c>
      <c r="AG2239">
        <v>-1.1096111607173</v>
      </c>
      <c r="AH2239">
        <v>36.9818296440802</v>
      </c>
      <c r="AI2239">
        <v>91.7165778242843</v>
      </c>
      <c r="AJ2239">
        <v>87.219512142185806</v>
      </c>
      <c r="AK2239">
        <v>37.042042287229002</v>
      </c>
      <c r="AL2239">
        <v>79.563726053547796</v>
      </c>
      <c r="AM2239">
        <v>93.619908786983601</v>
      </c>
      <c r="AN2239">
        <v>0.999999956214915</v>
      </c>
    </row>
    <row r="2240" spans="1:40" x14ac:dyDescent="0.25">
      <c r="A2240" t="str">
        <f>"20190304155638393"</f>
        <v>20190304155638393</v>
      </c>
      <c r="B2240" t="str">
        <f>"1551686198387491"</f>
        <v>1551686198387491</v>
      </c>
      <c r="C2240" t="s">
        <v>40</v>
      </c>
      <c r="D2240">
        <v>4.8150449999999996</v>
      </c>
      <c r="E2240">
        <v>0.54245200000000005</v>
      </c>
      <c r="F2240" t="s">
        <v>55</v>
      </c>
      <c r="G2240">
        <v>-362.9735</v>
      </c>
      <c r="H2240" s="1">
        <v>4.5546560000000003E-8</v>
      </c>
      <c r="I2240">
        <v>286.04070000000002</v>
      </c>
      <c r="J2240">
        <v>-325.83280000000002</v>
      </c>
      <c r="K2240">
        <v>1.109615</v>
      </c>
      <c r="L2240">
        <v>284.33390000000003</v>
      </c>
      <c r="M2240">
        <v>-0.99994360000000004</v>
      </c>
      <c r="N2240">
        <v>-1.017032E-2</v>
      </c>
      <c r="O2240">
        <v>-3.0553339999999998E-3</v>
      </c>
      <c r="P2240">
        <v>-0.983097</v>
      </c>
      <c r="Q2240">
        <v>0.17096320000000001</v>
      </c>
      <c r="R2240">
        <v>-6.5513769999999999E-2</v>
      </c>
      <c r="S2240">
        <v>-3.0767820000000001</v>
      </c>
      <c r="T2240">
        <v>-9.1264960000000006E-2</v>
      </c>
      <c r="U2240">
        <v>0.14031979999999999</v>
      </c>
      <c r="V2240">
        <v>-6.2496040000000003E-2</v>
      </c>
      <c r="W2240">
        <v>0.18095990000000001</v>
      </c>
      <c r="X2240">
        <v>0.98150280000000001</v>
      </c>
      <c r="Y2240">
        <v>4.8581560000000003E-2</v>
      </c>
      <c r="Z2240">
        <v>1.0267550000000001E-3</v>
      </c>
      <c r="AA2240">
        <v>0.99881869999999995</v>
      </c>
      <c r="AB2240">
        <v>35</v>
      </c>
      <c r="AC2240">
        <v>-37.140699999999903</v>
      </c>
      <c r="AD2240">
        <v>-1.1096149544534399</v>
      </c>
      <c r="AE2240">
        <v>1.7067999999999801</v>
      </c>
      <c r="AF2240">
        <v>1.8186552825939699</v>
      </c>
      <c r="AG2240">
        <v>-1.1096149544534399</v>
      </c>
      <c r="AH2240">
        <v>37.1022647702572</v>
      </c>
      <c r="AI2240">
        <v>91.710977419234595</v>
      </c>
      <c r="AJ2240">
        <v>87.193757902451097</v>
      </c>
      <c r="AK2240">
        <v>37.163379871404601</v>
      </c>
      <c r="AL2240">
        <v>79.574323681221102</v>
      </c>
      <c r="AM2240">
        <v>93.643323117910697</v>
      </c>
      <c r="AN2240">
        <v>0.99999999341576495</v>
      </c>
    </row>
    <row r="2241" spans="1:40" x14ac:dyDescent="0.25">
      <c r="A2241" t="str">
        <f>"20190304155638407"</f>
        <v>20190304155638407</v>
      </c>
      <c r="B2241" t="str">
        <f>"1551686198397250"</f>
        <v>1551686198397250</v>
      </c>
      <c r="C2241" t="s">
        <v>40</v>
      </c>
      <c r="D2241">
        <v>4.8727539999999996</v>
      </c>
      <c r="E2241">
        <v>0.54252939999999905</v>
      </c>
      <c r="F2241" t="s">
        <v>55</v>
      </c>
      <c r="G2241">
        <v>-362.57240000000002</v>
      </c>
      <c r="H2241" s="1">
        <v>-1.6789289999999999E-7</v>
      </c>
      <c r="I2241">
        <v>285.98750000000001</v>
      </c>
      <c r="J2241">
        <v>-326.09280000000001</v>
      </c>
      <c r="K2241">
        <v>1.1096200000000001</v>
      </c>
      <c r="L2241">
        <v>284.3331</v>
      </c>
      <c r="M2241">
        <v>-0.99994349999999999</v>
      </c>
      <c r="N2241">
        <v>-1.0173740000000001E-2</v>
      </c>
      <c r="O2241">
        <v>-3.0577680000000002E-3</v>
      </c>
      <c r="P2241">
        <v>-0.98310399999999998</v>
      </c>
      <c r="Q2241">
        <v>0.17096120000000001</v>
      </c>
      <c r="R2241">
        <v>-6.5415050000000002E-2</v>
      </c>
      <c r="S2241">
        <v>-3.076965</v>
      </c>
      <c r="T2241">
        <v>-9.2930910000000005E-2</v>
      </c>
      <c r="U2241">
        <v>0.1384888</v>
      </c>
      <c r="V2241">
        <v>-6.2395390000000002E-2</v>
      </c>
      <c r="W2241">
        <v>0.1809608</v>
      </c>
      <c r="X2241">
        <v>0.98150899999999996</v>
      </c>
      <c r="Y2241">
        <v>4.7987519999999999E-2</v>
      </c>
      <c r="Z2241">
        <v>1.029638E-3</v>
      </c>
      <c r="AA2241">
        <v>0.99884740000000005</v>
      </c>
      <c r="AB2241">
        <v>35</v>
      </c>
      <c r="AC2241">
        <v>-36.479599999999998</v>
      </c>
      <c r="AD2241">
        <v>-1.1096201678928901</v>
      </c>
      <c r="AE2241">
        <v>1.6544000000000001</v>
      </c>
      <c r="AF2241">
        <v>1.7643151571603799</v>
      </c>
      <c r="AG2241">
        <v>-1.1096201678928901</v>
      </c>
      <c r="AH2241">
        <v>36.4407236492641</v>
      </c>
      <c r="AI2241">
        <v>91.742078419286003</v>
      </c>
      <c r="AJ2241">
        <v>87.228130344868006</v>
      </c>
      <c r="AK2241">
        <v>36.500279519105298</v>
      </c>
      <c r="AL2241">
        <v>79.574270859741901</v>
      </c>
      <c r="AM2241">
        <v>93.637448389037004</v>
      </c>
      <c r="AN2241">
        <v>0.99999995645544504</v>
      </c>
    </row>
    <row r="2242" spans="1:40" x14ac:dyDescent="0.25">
      <c r="A2242" t="str">
        <f>"20190304155638425"</f>
        <v>20190304155638425</v>
      </c>
      <c r="B2242" t="str">
        <f>"1551686198416774"</f>
        <v>1551686198416774</v>
      </c>
      <c r="C2242" t="s">
        <v>40</v>
      </c>
      <c r="D2242">
        <v>4.9568699999999897</v>
      </c>
      <c r="E2242">
        <v>0.54238399999999998</v>
      </c>
      <c r="F2242" t="s">
        <v>55</v>
      </c>
      <c r="G2242">
        <v>-362.8338</v>
      </c>
      <c r="H2242" s="1">
        <v>-2.8758850000000001E-8</v>
      </c>
      <c r="I2242">
        <v>285.99799999999999</v>
      </c>
      <c r="J2242">
        <v>-326.3578</v>
      </c>
      <c r="K2242">
        <v>1.1096250000000001</v>
      </c>
      <c r="L2242">
        <v>284.3322</v>
      </c>
      <c r="M2242">
        <v>-0.99994349999999999</v>
      </c>
      <c r="N2242">
        <v>-1.0177240000000001E-2</v>
      </c>
      <c r="O2242">
        <v>-3.05901E-3</v>
      </c>
      <c r="P2242">
        <v>-0.98306629999999995</v>
      </c>
      <c r="Q2242">
        <v>0.17089289999999999</v>
      </c>
      <c r="R2242">
        <v>-6.6153229999999993E-2</v>
      </c>
      <c r="S2242">
        <v>-3.0769959999999998</v>
      </c>
      <c r="T2242">
        <v>-9.2928650000000002E-2</v>
      </c>
      <c r="U2242">
        <v>0.1394348</v>
      </c>
      <c r="V2242">
        <v>-6.3133750000000002E-2</v>
      </c>
      <c r="W2242">
        <v>0.1808951</v>
      </c>
      <c r="X2242">
        <v>0.98147390000000001</v>
      </c>
      <c r="Y2242">
        <v>4.82946E-2</v>
      </c>
      <c r="Z2242">
        <v>1.035902E-3</v>
      </c>
      <c r="AA2242">
        <v>0.99883259999999996</v>
      </c>
      <c r="AB2242">
        <v>35</v>
      </c>
      <c r="AC2242">
        <v>-36.475999999999999</v>
      </c>
      <c r="AD2242">
        <v>-1.1096250287588501</v>
      </c>
      <c r="AE2242">
        <v>1.66579999999999</v>
      </c>
      <c r="AF2242">
        <v>1.7757385557610399</v>
      </c>
      <c r="AG2242">
        <v>-1.1096250287588501</v>
      </c>
      <c r="AH2242">
        <v>36.437083991666597</v>
      </c>
      <c r="AI2242">
        <v>91.742233092054207</v>
      </c>
      <c r="AJ2242">
        <v>87.2099333736288</v>
      </c>
      <c r="AK2242">
        <v>36.497199960252203</v>
      </c>
      <c r="AL2242">
        <v>79.578098418639101</v>
      </c>
      <c r="AM2242">
        <v>93.680506018585106</v>
      </c>
      <c r="AN2242">
        <v>0.99999996198714003</v>
      </c>
    </row>
    <row r="2243" spans="1:40" x14ac:dyDescent="0.25">
      <c r="A2243" t="str">
        <f>"20190304155638439"</f>
        <v>20190304155638439</v>
      </c>
      <c r="B2243" t="str">
        <f>"1551686198426531"</f>
        <v>1551686198426531</v>
      </c>
      <c r="C2243" t="s">
        <v>40</v>
      </c>
      <c r="D2243">
        <v>4.8417459999999997</v>
      </c>
      <c r="E2243">
        <v>0.54249159999999996</v>
      </c>
      <c r="F2243" t="s">
        <v>55</v>
      </c>
      <c r="G2243">
        <v>-362.68290000000002</v>
      </c>
      <c r="H2243" s="1">
        <v>-1.09099E-7</v>
      </c>
      <c r="I2243">
        <v>285.93529999999998</v>
      </c>
      <c r="J2243">
        <v>-326.5788</v>
      </c>
      <c r="K2243">
        <v>1.1096200000000001</v>
      </c>
      <c r="L2243">
        <v>284.33159999999998</v>
      </c>
      <c r="M2243">
        <v>-0.99994360000000004</v>
      </c>
      <c r="N2243">
        <v>-1.0180140000000001E-2</v>
      </c>
      <c r="O2243">
        <v>-3.059525E-3</v>
      </c>
      <c r="P2243">
        <v>-0.98301059999999996</v>
      </c>
      <c r="Q2243">
        <v>0.1710796</v>
      </c>
      <c r="R2243">
        <v>-6.6500459999999997E-2</v>
      </c>
      <c r="S2243">
        <v>-3.0771790000000001</v>
      </c>
      <c r="T2243">
        <v>-9.3998910000000005E-2</v>
      </c>
      <c r="U2243">
        <v>0.13580320000000001</v>
      </c>
      <c r="V2243">
        <v>-6.3482029999999995E-2</v>
      </c>
      <c r="W2243">
        <v>0.18108369999999999</v>
      </c>
      <c r="X2243">
        <v>0.98141670000000003</v>
      </c>
      <c r="Y2243">
        <v>4.7116070000000003E-2</v>
      </c>
      <c r="Z2243">
        <v>1.0214009999999999E-3</v>
      </c>
      <c r="AA2243">
        <v>0.99888889999999997</v>
      </c>
      <c r="AB2243">
        <v>35</v>
      </c>
      <c r="AC2243">
        <v>-36.104100000000003</v>
      </c>
      <c r="AD2243">
        <v>-1.1096201090989899</v>
      </c>
      <c r="AE2243">
        <v>1.6036999999999999</v>
      </c>
      <c r="AF2243">
        <v>1.7125451643535801</v>
      </c>
      <c r="AG2243">
        <v>-1.1096201090989899</v>
      </c>
      <c r="AH2243">
        <v>36.065025215312097</v>
      </c>
      <c r="AI2243">
        <v>91.760292997114405</v>
      </c>
      <c r="AJ2243">
        <v>87.281356095984293</v>
      </c>
      <c r="AK2243">
        <v>36.122709083173298</v>
      </c>
      <c r="AL2243">
        <v>79.567111449741603</v>
      </c>
      <c r="AM2243">
        <v>93.700968508614295</v>
      </c>
      <c r="AN2243">
        <v>1.00000000678875</v>
      </c>
    </row>
    <row r="2244" spans="1:40" x14ac:dyDescent="0.25">
      <c r="A2244" t="str">
        <f>"20190304155638451"</f>
        <v>20190304155638451</v>
      </c>
      <c r="B2244" t="str">
        <f>"1551686198447028"</f>
        <v>1551686198447028</v>
      </c>
      <c r="C2244" t="s">
        <v>40</v>
      </c>
      <c r="D2244">
        <v>4.9165279999999996</v>
      </c>
      <c r="E2244">
        <v>0.54245449999999995</v>
      </c>
      <c r="F2244" t="s">
        <v>55</v>
      </c>
      <c r="G2244">
        <v>-363.08569999999997</v>
      </c>
      <c r="H2244" s="1">
        <v>1.0528010000000001E-7</v>
      </c>
      <c r="I2244">
        <v>285.93799999999999</v>
      </c>
      <c r="J2244">
        <v>-326.77379999999999</v>
      </c>
      <c r="K2244">
        <v>1.109621</v>
      </c>
      <c r="L2244">
        <v>284.33100000000002</v>
      </c>
      <c r="M2244">
        <v>-0.99994360000000004</v>
      </c>
      <c r="N2244">
        <v>-1.0182699999999999E-2</v>
      </c>
      <c r="O2244">
        <v>-3.0599139999999999E-3</v>
      </c>
      <c r="P2244">
        <v>-0.98295710000000003</v>
      </c>
      <c r="Q2244">
        <v>0.17121029999999901</v>
      </c>
      <c r="R2244">
        <v>-6.6952479999999995E-2</v>
      </c>
      <c r="S2244">
        <v>-3.0773320000000002</v>
      </c>
      <c r="T2244">
        <v>-9.3534709999999993E-2</v>
      </c>
      <c r="U2244">
        <v>0.13540650000000001</v>
      </c>
      <c r="V2244">
        <v>-6.3933909999999997E-2</v>
      </c>
      <c r="W2244">
        <v>0.1812163</v>
      </c>
      <c r="X2244">
        <v>0.98136290000000004</v>
      </c>
      <c r="Y2244">
        <v>4.6986100000000003E-2</v>
      </c>
      <c r="Z2244">
        <v>1.0147750000000001E-3</v>
      </c>
      <c r="AA2244">
        <v>0.99889499999999998</v>
      </c>
      <c r="AB2244">
        <v>35</v>
      </c>
      <c r="AC2244">
        <v>-36.311899999999902</v>
      </c>
      <c r="AD2244">
        <v>-1.1096208947199</v>
      </c>
      <c r="AE2244">
        <v>1.60700000000002</v>
      </c>
      <c r="AF2244">
        <v>1.7165097797123501</v>
      </c>
      <c r="AG2244">
        <v>-1.1096208947199</v>
      </c>
      <c r="AH2244">
        <v>36.273007125663199</v>
      </c>
      <c r="AI2244">
        <v>91.750220857876798</v>
      </c>
      <c r="AJ2244">
        <v>87.290672620834101</v>
      </c>
      <c r="AK2244">
        <v>36.330547894193202</v>
      </c>
      <c r="AL2244">
        <v>79.559386325561505</v>
      </c>
      <c r="AM2244">
        <v>93.727442630065198</v>
      </c>
      <c r="AN2244">
        <v>1.0000000168649901</v>
      </c>
    </row>
    <row r="2245" spans="1:40" x14ac:dyDescent="0.25">
      <c r="A2245" t="str">
        <f>"20190304155638463"</f>
        <v>20190304155638463</v>
      </c>
      <c r="B2245" t="str">
        <f>"1551686198456787"</f>
        <v>1551686198456787</v>
      </c>
      <c r="C2245" t="s">
        <v>40</v>
      </c>
      <c r="D2245">
        <v>4.9951720000000002</v>
      </c>
      <c r="E2245">
        <v>0.52053959999999999</v>
      </c>
      <c r="F2245" t="s">
        <v>55</v>
      </c>
      <c r="G2245">
        <v>-363.45</v>
      </c>
      <c r="H2245" s="1">
        <v>2.9911609999999998E-7</v>
      </c>
      <c r="I2245">
        <v>285.92619999999999</v>
      </c>
      <c r="J2245">
        <v>-326.96960000000001</v>
      </c>
      <c r="K2245">
        <v>1.109621</v>
      </c>
      <c r="L2245">
        <v>284.3304</v>
      </c>
      <c r="M2245">
        <v>-0.99994360000000004</v>
      </c>
      <c r="N2245">
        <v>-1.018528E-2</v>
      </c>
      <c r="O2245">
        <v>-3.0599429999999999E-3</v>
      </c>
      <c r="P2245">
        <v>-0.98292760000000001</v>
      </c>
      <c r="Q2245">
        <v>0.1713404</v>
      </c>
      <c r="R2245">
        <v>-6.7053450000000001E-2</v>
      </c>
      <c r="S2245">
        <v>-3.0773929999999998</v>
      </c>
      <c r="T2245">
        <v>-9.3105080000000007E-2</v>
      </c>
      <c r="U2245">
        <v>0.1338501</v>
      </c>
      <c r="V2245">
        <v>-6.4035750000000002E-2</v>
      </c>
      <c r="W2245">
        <v>0.18134810000000001</v>
      </c>
      <c r="X2245">
        <v>0.98133190000000003</v>
      </c>
      <c r="Y2245">
        <v>4.6481559999999998E-2</v>
      </c>
      <c r="Z2245">
        <v>1.000917E-3</v>
      </c>
      <c r="AA2245">
        <v>0.99891870000000005</v>
      </c>
      <c r="AB2245">
        <v>35</v>
      </c>
      <c r="AC2245">
        <v>-36.480399999999896</v>
      </c>
      <c r="AD2245">
        <v>-1.1096207008839001</v>
      </c>
      <c r="AE2245">
        <v>1.5957999999999899</v>
      </c>
      <c r="AF2245">
        <v>1.7058510279874699</v>
      </c>
      <c r="AG2245">
        <v>-1.1096207008839001</v>
      </c>
      <c r="AH2245">
        <v>36.441694864317803</v>
      </c>
      <c r="AI2245">
        <v>91.742165652923106</v>
      </c>
      <c r="AJ2245">
        <v>87.319916922863101</v>
      </c>
      <c r="AK2245">
        <v>36.498469973596997</v>
      </c>
      <c r="AL2245">
        <v>79.551707379893202</v>
      </c>
      <c r="AM2245">
        <v>93.733480878464505</v>
      </c>
      <c r="AN2245">
        <v>1.00000000430464</v>
      </c>
    </row>
    <row r="2246" spans="1:40" x14ac:dyDescent="0.25">
      <c r="A2246" t="str">
        <f>"20190304155638476"</f>
        <v>20190304155638476</v>
      </c>
      <c r="B2246" t="str">
        <f>"1551686198466547"</f>
        <v>1551686198466547</v>
      </c>
      <c r="C2246" t="s">
        <v>40</v>
      </c>
      <c r="D2246">
        <v>4.8536219999999997</v>
      </c>
      <c r="E2246">
        <v>0.51482399999999995</v>
      </c>
      <c r="F2246" t="s">
        <v>55</v>
      </c>
      <c r="G2246">
        <v>-360.10789999999997</v>
      </c>
      <c r="H2246" s="1">
        <v>-1.479377E-6</v>
      </c>
      <c r="I2246">
        <v>283.88889999999998</v>
      </c>
      <c r="J2246">
        <v>-327.15660000000003</v>
      </c>
      <c r="K2246">
        <v>1.1096220000000001</v>
      </c>
      <c r="L2246">
        <v>284.32979999999998</v>
      </c>
      <c r="M2246">
        <v>-0.99994360000000004</v>
      </c>
      <c r="N2246">
        <v>-1.0187740000000001E-2</v>
      </c>
      <c r="O2246">
        <v>-3.0597290000000002E-3</v>
      </c>
      <c r="P2246">
        <v>-0.98291709999999999</v>
      </c>
      <c r="Q2246">
        <v>0.171297799999999</v>
      </c>
      <c r="R2246">
        <v>-6.7312549999999999E-2</v>
      </c>
      <c r="S2246">
        <v>-3.0672299999999999</v>
      </c>
      <c r="T2246">
        <v>-0.1027049</v>
      </c>
      <c r="U2246">
        <v>-4.0863040000000003E-2</v>
      </c>
      <c r="V2246">
        <v>-6.4295459999999999E-2</v>
      </c>
      <c r="W2246">
        <v>0.18130779999999999</v>
      </c>
      <c r="X2246">
        <v>0.98132229999999998</v>
      </c>
      <c r="Y2246">
        <v>-1.0254930000000001E-2</v>
      </c>
      <c r="Z2246">
        <v>-1.526407E-4</v>
      </c>
      <c r="AA2246">
        <v>0.99994740000000004</v>
      </c>
      <c r="AB2246">
        <v>35</v>
      </c>
      <c r="AC2246">
        <v>-32.951299999999897</v>
      </c>
      <c r="AD2246">
        <v>-1.1096234793769999</v>
      </c>
      <c r="AE2246">
        <v>-0.44089999999999901</v>
      </c>
      <c r="AF2246">
        <v>-0.33968554473159002</v>
      </c>
      <c r="AG2246">
        <v>-1.1096234793769999</v>
      </c>
      <c r="AH2246">
        <v>32.915176307010498</v>
      </c>
      <c r="AI2246">
        <v>91.930698841944206</v>
      </c>
      <c r="AJ2246">
        <v>90.591273064970196</v>
      </c>
      <c r="AK2246">
        <v>32.935626331631703</v>
      </c>
      <c r="AL2246">
        <v>79.554054648371405</v>
      </c>
      <c r="AM2246">
        <v>93.748616250264007</v>
      </c>
      <c r="AN2246">
        <v>0.99999994049736896</v>
      </c>
    </row>
    <row r="2247" spans="1:40" x14ac:dyDescent="0.25">
      <c r="A2247" t="str">
        <f>"20190304155638492"</f>
        <v>20190304155638492</v>
      </c>
      <c r="B2247" t="str">
        <f>"1551686198487042"</f>
        <v>1551686198487042</v>
      </c>
      <c r="C2247" t="s">
        <v>40</v>
      </c>
      <c r="D2247">
        <v>4.8394839999999997</v>
      </c>
      <c r="E2247">
        <v>0.51106689999999999</v>
      </c>
      <c r="F2247" t="s">
        <v>55</v>
      </c>
      <c r="G2247">
        <v>-362.30290000000002</v>
      </c>
      <c r="H2247" s="1">
        <v>-3.1127800000000002E-7</v>
      </c>
      <c r="I2247">
        <v>283.3322</v>
      </c>
      <c r="J2247">
        <v>-327.4246</v>
      </c>
      <c r="K2247">
        <v>1.1096239999999999</v>
      </c>
      <c r="L2247">
        <v>284.32900000000001</v>
      </c>
      <c r="M2247">
        <v>-0.99994340000000004</v>
      </c>
      <c r="N2247">
        <v>-1.0191260000000001E-2</v>
      </c>
      <c r="O2247">
        <v>-3.0597609999999998E-3</v>
      </c>
      <c r="P2247">
        <v>-0.98293549999999996</v>
      </c>
      <c r="Q2247">
        <v>0.17126710000000001</v>
      </c>
      <c r="R2247">
        <v>-6.7122009999999996E-2</v>
      </c>
      <c r="S2247">
        <v>-3.0630489999999999</v>
      </c>
      <c r="T2247">
        <v>-9.6705200000000005E-2</v>
      </c>
      <c r="U2247">
        <v>-8.6944579999999994E-2</v>
      </c>
      <c r="V2247">
        <v>-6.4105339999999997E-2</v>
      </c>
      <c r="W2247">
        <v>0.18128059999999999</v>
      </c>
      <c r="X2247">
        <v>0.98133979999999998</v>
      </c>
      <c r="Y2247">
        <v>-2.529876E-2</v>
      </c>
      <c r="Z2247">
        <v>-4.6278129999999999E-4</v>
      </c>
      <c r="AA2247">
        <v>0.99967980000000001</v>
      </c>
      <c r="AB2247">
        <v>35</v>
      </c>
      <c r="AC2247">
        <v>-34.878300000000003</v>
      </c>
      <c r="AD2247">
        <v>-1.109624311278</v>
      </c>
      <c r="AE2247">
        <v>-0.99680000000000701</v>
      </c>
      <c r="AF2247">
        <v>-0.88917129746466805</v>
      </c>
      <c r="AG2247">
        <v>-1.109624311278</v>
      </c>
      <c r="AH2247">
        <v>34.845946591744301</v>
      </c>
      <c r="AI2247">
        <v>91.8233009138483</v>
      </c>
      <c r="AJ2247">
        <v>91.461711174622806</v>
      </c>
      <c r="AK2247">
        <v>34.874946388247103</v>
      </c>
      <c r="AL2247">
        <v>79.555639737479098</v>
      </c>
      <c r="AM2247">
        <v>93.737496692685198</v>
      </c>
      <c r="AN2247">
        <v>0.99999997680845698</v>
      </c>
    </row>
    <row r="2248" spans="1:40" x14ac:dyDescent="0.25">
      <c r="A2248" t="str">
        <f>"20190304155638504"</f>
        <v>20190304155638504</v>
      </c>
      <c r="B2248" t="str">
        <f>"1551686198496802"</f>
        <v>1551686198496802</v>
      </c>
      <c r="C2248" t="s">
        <v>40</v>
      </c>
      <c r="D2248">
        <v>4.8135250000000003</v>
      </c>
      <c r="E2248">
        <v>0.51028490000000004</v>
      </c>
      <c r="F2248" t="s">
        <v>55</v>
      </c>
      <c r="G2248">
        <v>-373.71699999999998</v>
      </c>
      <c r="H2248" s="1">
        <v>4.412231E-7</v>
      </c>
      <c r="I2248">
        <v>282.57100000000003</v>
      </c>
      <c r="J2248">
        <v>-327.61810000000003</v>
      </c>
      <c r="K2248">
        <v>1.109621</v>
      </c>
      <c r="L2248">
        <v>284.32839999999999</v>
      </c>
      <c r="M2248">
        <v>-0.99994349999999999</v>
      </c>
      <c r="N2248">
        <v>-1.0193819999999999E-2</v>
      </c>
      <c r="O2248">
        <v>-3.059782E-3</v>
      </c>
      <c r="P2248">
        <v>-0.98295350000000004</v>
      </c>
      <c r="Q2248">
        <v>0.17114279999999901</v>
      </c>
      <c r="R2248">
        <v>-6.7178909999999994E-2</v>
      </c>
      <c r="S2248">
        <v>-3.056915</v>
      </c>
      <c r="T2248">
        <v>-7.3273779999999997E-2</v>
      </c>
      <c r="U2248">
        <v>-0.11608889999999999</v>
      </c>
      <c r="V2248">
        <v>-6.4162490000000003E-2</v>
      </c>
      <c r="W2248">
        <v>0.18115909999999999</v>
      </c>
      <c r="X2248">
        <v>0.98135850000000002</v>
      </c>
      <c r="Y2248">
        <v>-3.4876570000000003E-2</v>
      </c>
      <c r="Z2248">
        <v>-5.5352419999999997E-4</v>
      </c>
      <c r="AA2248">
        <v>0.99939149999999999</v>
      </c>
      <c r="AB2248">
        <v>35</v>
      </c>
      <c r="AC2248">
        <v>-46.098899999999901</v>
      </c>
      <c r="AD2248">
        <v>-1.1096205587768999</v>
      </c>
      <c r="AE2248">
        <v>-1.7574000000000101</v>
      </c>
      <c r="AF2248">
        <v>-1.6153972984841001</v>
      </c>
      <c r="AG2248">
        <v>-1.1096205587768999</v>
      </c>
      <c r="AH2248">
        <v>46.077403869315297</v>
      </c>
      <c r="AI2248">
        <v>91.378664419348596</v>
      </c>
      <c r="AJ2248">
        <v>92.007872580437805</v>
      </c>
      <c r="AK2248">
        <v>46.119062366362201</v>
      </c>
      <c r="AL2248">
        <v>79.562718360436307</v>
      </c>
      <c r="AM2248">
        <v>93.740748139824703</v>
      </c>
      <c r="AN2248">
        <v>0.99999997507902905</v>
      </c>
    </row>
    <row r="2249" spans="1:40" x14ac:dyDescent="0.25">
      <c r="A2249" t="str">
        <f>"20190304155638517"</f>
        <v>20190304155638517</v>
      </c>
      <c r="B2249" t="str">
        <f>"1551686198506563"</f>
        <v>1551686198506563</v>
      </c>
      <c r="C2249" t="s">
        <v>40</v>
      </c>
      <c r="D2249">
        <v>5.0724879999999999</v>
      </c>
      <c r="E2249">
        <v>0.5106695</v>
      </c>
      <c r="F2249" t="s">
        <v>55</v>
      </c>
      <c r="G2249">
        <v>-377.1728</v>
      </c>
      <c r="H2249" s="1">
        <v>2.2802210000000002E-6</v>
      </c>
      <c r="I2249">
        <v>282.34719999999999</v>
      </c>
      <c r="J2249">
        <v>-327.81029999999998</v>
      </c>
      <c r="K2249">
        <v>1.1096189999999999</v>
      </c>
      <c r="L2249">
        <v>284.32780000000002</v>
      </c>
      <c r="M2249">
        <v>-0.99994349999999999</v>
      </c>
      <c r="N2249">
        <v>-1.019635E-2</v>
      </c>
      <c r="O2249">
        <v>-3.059801E-3</v>
      </c>
      <c r="P2249">
        <v>-0.98302999999999996</v>
      </c>
      <c r="Q2249">
        <v>0.17090079999999999</v>
      </c>
      <c r="R2249">
        <v>-6.6673789999999997E-2</v>
      </c>
      <c r="S2249">
        <v>-3.055634</v>
      </c>
      <c r="T2249">
        <v>-6.8421129999999997E-2</v>
      </c>
      <c r="U2249">
        <v>-0.1221619</v>
      </c>
      <c r="V2249">
        <v>-6.3657599999999995E-2</v>
      </c>
      <c r="W2249">
        <v>0.18092050000000001</v>
      </c>
      <c r="X2249">
        <v>0.98143539999999996</v>
      </c>
      <c r="Y2249">
        <v>-3.6876399999999997E-2</v>
      </c>
      <c r="Z2249">
        <v>-5.6347280000000003E-4</v>
      </c>
      <c r="AA2249">
        <v>0.99931970000000003</v>
      </c>
      <c r="AB2249">
        <v>35</v>
      </c>
      <c r="AC2249">
        <v>-49.362499999999997</v>
      </c>
      <c r="AD2249">
        <v>-1.1096167197789999</v>
      </c>
      <c r="AE2249">
        <v>-1.9806000000000299</v>
      </c>
      <c r="AF2249">
        <v>-1.8286209514498999</v>
      </c>
      <c r="AG2249">
        <v>-1.1096167197789999</v>
      </c>
      <c r="AH2249">
        <v>49.343436156237303</v>
      </c>
      <c r="AI2249">
        <v>91.287345517802706</v>
      </c>
      <c r="AJ2249">
        <v>92.122356014898898</v>
      </c>
      <c r="AK2249">
        <v>49.389774200269102</v>
      </c>
      <c r="AL2249">
        <v>79.576618889331399</v>
      </c>
      <c r="AM2249">
        <v>93.711105066511195</v>
      </c>
      <c r="AN2249">
        <v>0.99999998086558395</v>
      </c>
    </row>
    <row r="2250" spans="1:40" x14ac:dyDescent="0.25">
      <c r="A2250" t="str">
        <f>"20190304155638529"</f>
        <v>20190304155638529</v>
      </c>
      <c r="B2250" t="str">
        <f>"1551686198517299"</f>
        <v>1551686198517299</v>
      </c>
      <c r="C2250" t="s">
        <v>40</v>
      </c>
      <c r="D2250">
        <v>4.8219909999999997</v>
      </c>
      <c r="E2250">
        <v>0.51014789999999999</v>
      </c>
      <c r="F2250" t="s">
        <v>55</v>
      </c>
      <c r="G2250">
        <v>-379.15309999999999</v>
      </c>
      <c r="H2250" s="1">
        <v>3.3340569999999998E-6</v>
      </c>
      <c r="I2250">
        <v>282.358</v>
      </c>
      <c r="J2250">
        <v>-328.00920000000002</v>
      </c>
      <c r="K2250">
        <v>1.1096170000000001</v>
      </c>
      <c r="L2250">
        <v>284.3272</v>
      </c>
      <c r="M2250">
        <v>-0.99994329999999998</v>
      </c>
      <c r="N2250">
        <v>-1.019898E-2</v>
      </c>
      <c r="O2250">
        <v>-3.0596999999999998E-3</v>
      </c>
      <c r="P2250">
        <v>-0.98305520000000002</v>
      </c>
      <c r="Q2250">
        <v>0.17073650000000001</v>
      </c>
      <c r="R2250">
        <v>-6.6718890000000003E-2</v>
      </c>
      <c r="S2250">
        <v>-3.0552980000000001</v>
      </c>
      <c r="T2250">
        <v>-6.6030740000000004E-2</v>
      </c>
      <c r="U2250">
        <v>-0.117218</v>
      </c>
      <c r="V2250">
        <v>-6.3702579999999995E-2</v>
      </c>
      <c r="W2250">
        <v>0.18075859999999999</v>
      </c>
      <c r="X2250">
        <v>0.98146230000000001</v>
      </c>
      <c r="Y2250">
        <v>-3.5267600000000003E-2</v>
      </c>
      <c r="Z2250">
        <v>-5.2596429999999996E-4</v>
      </c>
      <c r="AA2250">
        <v>0.99937779999999998</v>
      </c>
      <c r="AB2250">
        <v>35</v>
      </c>
      <c r="AC2250">
        <v>-51.143899999999903</v>
      </c>
      <c r="AD2250">
        <v>-1.109613665943</v>
      </c>
      <c r="AE2250">
        <v>-1.9692000000000001</v>
      </c>
      <c r="AF2250">
        <v>-1.8118460535507499</v>
      </c>
      <c r="AG2250">
        <v>-1.109613665943</v>
      </c>
      <c r="AH2250">
        <v>51.125656179419401</v>
      </c>
      <c r="AI2250">
        <v>91.242552913758502</v>
      </c>
      <c r="AJ2250">
        <v>92.029660109927605</v>
      </c>
      <c r="AK2250">
        <v>51.169783548356101</v>
      </c>
      <c r="AL2250">
        <v>79.586050447303705</v>
      </c>
      <c r="AM2250">
        <v>93.713618469794298</v>
      </c>
      <c r="AN2250">
        <v>0.99999996824695203</v>
      </c>
    </row>
    <row r="2251" spans="1:40" x14ac:dyDescent="0.25">
      <c r="A2251" t="str">
        <f>"20190304155638540"</f>
        <v>20190304155638540</v>
      </c>
      <c r="B2251" t="str">
        <f>"1551686198536818"</f>
        <v>1551686198536818</v>
      </c>
      <c r="C2251" t="s">
        <v>40</v>
      </c>
      <c r="D2251">
        <v>4.9381719999999998</v>
      </c>
      <c r="E2251">
        <v>0.50948509999999902</v>
      </c>
      <c r="F2251" t="s">
        <v>55</v>
      </c>
      <c r="G2251">
        <v>-381.02030000000002</v>
      </c>
      <c r="H2251" s="1">
        <v>-9.9383190000000001E-7</v>
      </c>
      <c r="I2251">
        <v>282.21769999999998</v>
      </c>
      <c r="J2251">
        <v>-328.18040000000002</v>
      </c>
      <c r="K2251">
        <v>1.109615</v>
      </c>
      <c r="L2251">
        <v>284.32670000000002</v>
      </c>
      <c r="M2251">
        <v>-0.99994329999999998</v>
      </c>
      <c r="N2251">
        <v>-1.020125E-2</v>
      </c>
      <c r="O2251">
        <v>-3.0600710000000001E-3</v>
      </c>
      <c r="P2251">
        <v>-0.9830586</v>
      </c>
      <c r="Q2251">
        <v>0.17070489999999999</v>
      </c>
      <c r="R2251">
        <v>-6.6750820000000002E-2</v>
      </c>
      <c r="S2251">
        <v>-3.0545650000000002</v>
      </c>
      <c r="T2251">
        <v>-6.3937540000000001E-2</v>
      </c>
      <c r="U2251">
        <v>-0.12155150000000001</v>
      </c>
      <c r="V2251">
        <v>-6.3734299999999994E-2</v>
      </c>
      <c r="W2251">
        <v>0.1807291</v>
      </c>
      <c r="X2251">
        <v>0.9814657</v>
      </c>
      <c r="Y2251">
        <v>-3.6692160000000001E-2</v>
      </c>
      <c r="Z2251">
        <v>-5.3826929999999996E-4</v>
      </c>
      <c r="AA2251">
        <v>0.99932650000000001</v>
      </c>
      <c r="AB2251">
        <v>35</v>
      </c>
      <c r="AC2251">
        <v>-52.8399</v>
      </c>
      <c r="AD2251">
        <v>-1.1096159938318999</v>
      </c>
      <c r="AE2251">
        <v>-2.1090000000000302</v>
      </c>
      <c r="AF2251">
        <v>-1.94643089063312</v>
      </c>
      <c r="AG2251">
        <v>-1.1096159938318999</v>
      </c>
      <c r="AH2251">
        <v>52.822849694254998</v>
      </c>
      <c r="AI2251">
        <v>91.202583084476501</v>
      </c>
      <c r="AJ2251">
        <v>92.110295867482407</v>
      </c>
      <c r="AK2251">
        <v>52.870344151401497</v>
      </c>
      <c r="AL2251">
        <v>79.587769252348707</v>
      </c>
      <c r="AM2251">
        <v>93.715449611912902</v>
      </c>
      <c r="AN2251">
        <v>0.99999999442989496</v>
      </c>
    </row>
    <row r="2252" spans="1:40" x14ac:dyDescent="0.25">
      <c r="A2252" t="str">
        <f>"20190304155638553"</f>
        <v>20190304155638553</v>
      </c>
      <c r="B2252" t="str">
        <f>"1551686198546580"</f>
        <v>1551686198546580</v>
      </c>
      <c r="C2252" t="s">
        <v>40</v>
      </c>
      <c r="D2252">
        <v>4.8271059999999997</v>
      </c>
      <c r="E2252">
        <v>0.50925450000000005</v>
      </c>
      <c r="F2252" t="s">
        <v>55</v>
      </c>
      <c r="G2252">
        <v>-385.90230000000003</v>
      </c>
      <c r="H2252" s="1">
        <v>1.6041279999999999E-6</v>
      </c>
      <c r="I2252">
        <v>281.9348</v>
      </c>
      <c r="J2252">
        <v>-328.3861</v>
      </c>
      <c r="K2252">
        <v>1.1096159999999999</v>
      </c>
      <c r="L2252">
        <v>284.32600000000002</v>
      </c>
      <c r="M2252">
        <v>-0.99994329999999998</v>
      </c>
      <c r="N2252">
        <v>-1.020398E-2</v>
      </c>
      <c r="O2252">
        <v>-3.060325E-3</v>
      </c>
      <c r="P2252">
        <v>-0.98310980000000003</v>
      </c>
      <c r="Q2252">
        <v>0.170406</v>
      </c>
      <c r="R2252">
        <v>-6.6760609999999998E-2</v>
      </c>
      <c r="S2252">
        <v>-3.0533450000000002</v>
      </c>
      <c r="T2252">
        <v>-5.8695789999999998E-2</v>
      </c>
      <c r="U2252">
        <v>-0.1265259</v>
      </c>
      <c r="V2252">
        <v>-6.3743899999999895E-2</v>
      </c>
      <c r="W2252">
        <v>0.1804337</v>
      </c>
      <c r="X2252">
        <v>0.98151949999999999</v>
      </c>
      <c r="Y2252">
        <v>-3.8334159999999999E-2</v>
      </c>
      <c r="Z2252">
        <v>-5.3637809999999896E-4</v>
      </c>
      <c r="AA2252">
        <v>0.99926479999999995</v>
      </c>
      <c r="AB2252">
        <v>36</v>
      </c>
      <c r="AC2252">
        <v>-57.516199999999998</v>
      </c>
      <c r="AD2252">
        <v>-1.1096143958719999</v>
      </c>
      <c r="AE2252">
        <v>-2.39119999999996</v>
      </c>
      <c r="AF2252">
        <v>-2.2143386491841901</v>
      </c>
      <c r="AG2252">
        <v>-1.1096143958719999</v>
      </c>
      <c r="AH2252">
        <v>57.501884210236</v>
      </c>
      <c r="AI2252">
        <v>91.1046814029893</v>
      </c>
      <c r="AJ2252">
        <v>92.205312083164202</v>
      </c>
      <c r="AK2252">
        <v>57.5552015676097</v>
      </c>
      <c r="AL2252">
        <v>79.604978087283797</v>
      </c>
      <c r="AM2252">
        <v>93.715804570038998</v>
      </c>
      <c r="AN2252">
        <v>1.0000000668815701</v>
      </c>
    </row>
    <row r="2253" spans="1:40" x14ac:dyDescent="0.25">
      <c r="A2253" t="str">
        <f>"20190304155638566"</f>
        <v>20190304155638566</v>
      </c>
      <c r="B2253" t="str">
        <f>"1551686198557315"</f>
        <v>1551686198557315</v>
      </c>
      <c r="C2253" t="s">
        <v>40</v>
      </c>
      <c r="D2253">
        <v>4.8002840000000004</v>
      </c>
      <c r="E2253">
        <v>0.50908399999999998</v>
      </c>
      <c r="F2253" t="s">
        <v>55</v>
      </c>
      <c r="G2253">
        <v>-386.86829999999998</v>
      </c>
      <c r="H2253" s="1">
        <v>2.1181850000000001E-6</v>
      </c>
      <c r="I2253">
        <v>281.86770000000001</v>
      </c>
      <c r="J2253">
        <v>-328.59230000000002</v>
      </c>
      <c r="K2253">
        <v>1.1096159999999999</v>
      </c>
      <c r="L2253">
        <v>284.3254</v>
      </c>
      <c r="M2253">
        <v>-0.99994329999999998</v>
      </c>
      <c r="N2253">
        <v>-1.0206710000000001E-2</v>
      </c>
      <c r="O2253">
        <v>-3.060344E-3</v>
      </c>
      <c r="P2253">
        <v>-0.9831531</v>
      </c>
      <c r="Q2253">
        <v>0.17016010000000001</v>
      </c>
      <c r="R2253">
        <v>-6.6751779999999997E-2</v>
      </c>
      <c r="S2253">
        <v>-3.052826</v>
      </c>
      <c r="T2253">
        <v>-5.7922840000000003E-2</v>
      </c>
      <c r="U2253">
        <v>-0.12832639999999901</v>
      </c>
      <c r="V2253">
        <v>-6.373508E-2</v>
      </c>
      <c r="W2253">
        <v>0.18019070000000001</v>
      </c>
      <c r="X2253">
        <v>0.98156460000000001</v>
      </c>
      <c r="Y2253">
        <v>-3.892955E-2</v>
      </c>
      <c r="Z2253">
        <v>-5.4109949999999905E-4</v>
      </c>
      <c r="AA2253">
        <v>0.99924179999999996</v>
      </c>
      <c r="AB2253">
        <v>36</v>
      </c>
      <c r="AC2253">
        <v>-58.275999999999897</v>
      </c>
      <c r="AD2253">
        <v>-1.1096138818150001</v>
      </c>
      <c r="AE2253">
        <v>-2.45769999999998</v>
      </c>
      <c r="AF2253">
        <v>-2.27851000507941</v>
      </c>
      <c r="AG2253">
        <v>-1.1096138818150001</v>
      </c>
      <c r="AH2253">
        <v>58.262163602472199</v>
      </c>
      <c r="AI2253">
        <v>91.090243805279499</v>
      </c>
      <c r="AJ2253">
        <v>92.239575476852806</v>
      </c>
      <c r="AK2253">
        <v>58.317257809770197</v>
      </c>
      <c r="AL2253">
        <v>79.619131807527097</v>
      </c>
      <c r="AM2253">
        <v>93.715121639840604</v>
      </c>
      <c r="AN2253">
        <v>0.99999995638112704</v>
      </c>
    </row>
    <row r="2254" spans="1:40" x14ac:dyDescent="0.25">
      <c r="A2254" t="str">
        <f>"20190304155638582"</f>
        <v>20190304155638582</v>
      </c>
      <c r="B2254" t="str">
        <f>"1551686198576835"</f>
        <v>1551686198576835</v>
      </c>
      <c r="C2254" t="s">
        <v>40</v>
      </c>
      <c r="D2254">
        <v>4.8256759999999996</v>
      </c>
      <c r="E2254">
        <v>0.50881350000000003</v>
      </c>
      <c r="F2254" t="s">
        <v>55</v>
      </c>
      <c r="G2254">
        <v>-387.82830000000001</v>
      </c>
      <c r="H2254" s="1">
        <v>2.629056E-6</v>
      </c>
      <c r="I2254">
        <v>281.81560000000002</v>
      </c>
      <c r="J2254">
        <v>-328.84739999999999</v>
      </c>
      <c r="K2254">
        <v>1.1096170000000001</v>
      </c>
      <c r="L2254">
        <v>284.32459999999998</v>
      </c>
      <c r="M2254">
        <v>-0.99994329999999998</v>
      </c>
      <c r="N2254">
        <v>-1.0209920000000001E-2</v>
      </c>
      <c r="O2254">
        <v>-3.0607189999999999E-3</v>
      </c>
      <c r="P2254">
        <v>-0.98321709999999995</v>
      </c>
      <c r="Q2254">
        <v>0.16979459999999999</v>
      </c>
      <c r="R2254">
        <v>-6.6740069999999999E-2</v>
      </c>
      <c r="S2254">
        <v>-3.052521</v>
      </c>
      <c r="T2254">
        <v>-5.7180050000000003E-2</v>
      </c>
      <c r="U2254">
        <v>-0.12933349999999999</v>
      </c>
      <c r="V2254">
        <v>-6.3722979999999999E-2</v>
      </c>
      <c r="W2254">
        <v>0.17982899999999999</v>
      </c>
      <c r="X2254">
        <v>0.98163180000000005</v>
      </c>
      <c r="Y2254">
        <v>-3.9262579999999998E-2</v>
      </c>
      <c r="Z2254">
        <v>-5.4202769999999996E-4</v>
      </c>
      <c r="AA2254">
        <v>0.99922880000000003</v>
      </c>
      <c r="AB2254">
        <v>36</v>
      </c>
      <c r="AC2254">
        <v>-58.980899999999998</v>
      </c>
      <c r="AD2254">
        <v>-1.1096143709440001</v>
      </c>
      <c r="AE2254">
        <v>-2.5089999999999502</v>
      </c>
      <c r="AF2254">
        <v>-2.3276325563001499</v>
      </c>
      <c r="AG2254">
        <v>-1.1096143709440001</v>
      </c>
      <c r="AH2254">
        <v>58.967470598179197</v>
      </c>
      <c r="AI2254">
        <v>91.077191586702298</v>
      </c>
      <c r="AJ2254">
        <v>92.260472072783799</v>
      </c>
      <c r="AK2254">
        <v>59.023823208230802</v>
      </c>
      <c r="AL2254">
        <v>79.640200708814703</v>
      </c>
      <c r="AM2254">
        <v>93.714164737027403</v>
      </c>
      <c r="AN2254">
        <v>1.0000000390961501</v>
      </c>
    </row>
    <row r="2255" spans="1:40" x14ac:dyDescent="0.25">
      <c r="A2255" t="str">
        <f>"20190304155638605"</f>
        <v>20190304155638605</v>
      </c>
      <c r="B2255" t="str">
        <f>"1551686198597330"</f>
        <v>1551686198597330</v>
      </c>
      <c r="C2255" t="s">
        <v>40</v>
      </c>
      <c r="D2255">
        <v>4.9077710000000003</v>
      </c>
      <c r="E2255">
        <v>0.50869869999999995</v>
      </c>
      <c r="F2255" t="s">
        <v>55</v>
      </c>
      <c r="G2255">
        <v>-384.49439999999998</v>
      </c>
      <c r="H2255" s="1">
        <v>8.5490939999999996E-7</v>
      </c>
      <c r="I2255">
        <v>281.93200000000002</v>
      </c>
      <c r="J2255">
        <v>-329.20569999999998</v>
      </c>
      <c r="K2255">
        <v>1.109613</v>
      </c>
      <c r="L2255">
        <v>284.32350000000002</v>
      </c>
      <c r="M2255">
        <v>-0.99994320000000003</v>
      </c>
      <c r="N2255">
        <v>-1.021449E-2</v>
      </c>
      <c r="O2255">
        <v>-3.060985E-3</v>
      </c>
      <c r="P2255">
        <v>-0.98332529999999996</v>
      </c>
      <c r="Q2255">
        <v>0.16905429999999999</v>
      </c>
      <c r="R2255">
        <v>-6.7024860000000006E-2</v>
      </c>
      <c r="S2255">
        <v>-3.052826</v>
      </c>
      <c r="T2255">
        <v>-6.087422E-2</v>
      </c>
      <c r="U2255">
        <v>-0.13125609999999999</v>
      </c>
      <c r="V2255">
        <v>-6.4006930000000004E-2</v>
      </c>
      <c r="W2255">
        <v>0.17909449999999999</v>
      </c>
      <c r="X2255">
        <v>0.98174760000000005</v>
      </c>
      <c r="Y2255">
        <v>-3.9884910000000003E-2</v>
      </c>
      <c r="Z2255">
        <v>-5.7151739999999895E-4</v>
      </c>
      <c r="AA2255">
        <v>0.99920410000000004</v>
      </c>
      <c r="AB2255">
        <v>36</v>
      </c>
      <c r="AC2255">
        <v>-55.288699999999999</v>
      </c>
      <c r="AD2255">
        <v>-1.1096121450906</v>
      </c>
      <c r="AE2255">
        <v>-2.3915000000000002</v>
      </c>
      <c r="AF2255">
        <v>-2.2213490457212899</v>
      </c>
      <c r="AG2255">
        <v>-1.1096121450906</v>
      </c>
      <c r="AH2255">
        <v>55.273540092158797</v>
      </c>
      <c r="AI2255">
        <v>91.149126620843006</v>
      </c>
      <c r="AJ2255">
        <v>92.3013809369846</v>
      </c>
      <c r="AK2255">
        <v>55.329285780813599</v>
      </c>
      <c r="AL2255">
        <v>79.682978959729198</v>
      </c>
      <c r="AM2255">
        <v>93.730229642327004</v>
      </c>
      <c r="AN2255">
        <v>1.00000003856201</v>
      </c>
    </row>
    <row r="2256" spans="1:40" x14ac:dyDescent="0.25">
      <c r="A2256" t="str">
        <f>"20190304155638626"</f>
        <v>20190304155638626</v>
      </c>
      <c r="B2256" t="str">
        <f>"1551686198616854"</f>
        <v>1551686198616854</v>
      </c>
      <c r="C2256" t="s">
        <v>40</v>
      </c>
      <c r="D2256">
        <v>4.8869819999999997</v>
      </c>
      <c r="E2256">
        <v>0.50815980000000005</v>
      </c>
      <c r="F2256" t="s">
        <v>55</v>
      </c>
      <c r="G2256">
        <v>-383.75909999999999</v>
      </c>
      <c r="H2256" s="1">
        <v>4.6361990000000003E-7</v>
      </c>
      <c r="I2256">
        <v>281.9477</v>
      </c>
      <c r="J2256">
        <v>-329.54899999999998</v>
      </c>
      <c r="K2256">
        <v>1.10961</v>
      </c>
      <c r="L2256">
        <v>284.32240000000002</v>
      </c>
      <c r="M2256">
        <v>-0.99994320000000003</v>
      </c>
      <c r="N2256">
        <v>-1.021912E-2</v>
      </c>
      <c r="O2256">
        <v>-3.0614869999999999E-3</v>
      </c>
      <c r="P2256">
        <v>-0.98336080000000003</v>
      </c>
      <c r="Q2256">
        <v>0.16869120000000001</v>
      </c>
      <c r="R2256">
        <v>-6.7417030000000003E-2</v>
      </c>
      <c r="S2256">
        <v>-3.05246</v>
      </c>
      <c r="T2256">
        <v>-6.2086820000000001E-2</v>
      </c>
      <c r="U2256">
        <v>-0.13293460000000001</v>
      </c>
      <c r="V2256">
        <v>-6.4399280000000003E-2</v>
      </c>
      <c r="W2256">
        <v>0.17873599999999901</v>
      </c>
      <c r="X2256">
        <v>0.98178719999999997</v>
      </c>
      <c r="Y2256">
        <v>-4.0437389999999997E-2</v>
      </c>
      <c r="Z2256">
        <v>-5.8679960000000003E-4</v>
      </c>
      <c r="AA2256">
        <v>0.99918189999999996</v>
      </c>
      <c r="AB2256">
        <v>36</v>
      </c>
      <c r="AC2256">
        <v>-54.210099999999898</v>
      </c>
      <c r="AD2256">
        <v>-1.1096095363801</v>
      </c>
      <c r="AE2256">
        <v>-2.37470000000001</v>
      </c>
      <c r="AF2256">
        <v>-2.2077934830494099</v>
      </c>
      <c r="AG2256">
        <v>-1.1096095363801</v>
      </c>
      <c r="AH2256">
        <v>54.194454209853802</v>
      </c>
      <c r="AI2256">
        <v>91.1719721969842</v>
      </c>
      <c r="AJ2256">
        <v>92.332846435538698</v>
      </c>
      <c r="AK2256">
        <v>54.250755317239197</v>
      </c>
      <c r="AL2256">
        <v>79.703855603334404</v>
      </c>
      <c r="AM2256">
        <v>93.752879127718103</v>
      </c>
      <c r="AN2256">
        <v>0.99999996552217796</v>
      </c>
    </row>
    <row r="2257" spans="1:40" x14ac:dyDescent="0.25">
      <c r="A2257" t="str">
        <f>"20190304155638638"</f>
        <v>20190304155638638</v>
      </c>
      <c r="B2257" t="str">
        <f>"1551686198626611"</f>
        <v>1551686198626611</v>
      </c>
      <c r="C2257" t="s">
        <v>40</v>
      </c>
      <c r="D2257">
        <v>4.8750200000000001</v>
      </c>
      <c r="E2257">
        <v>0.50776140000000003</v>
      </c>
      <c r="F2257" t="s">
        <v>55</v>
      </c>
      <c r="G2257">
        <v>-384.27390000000003</v>
      </c>
      <c r="H2257" s="1">
        <v>7.3755589999999899E-7</v>
      </c>
      <c r="I2257">
        <v>281.84179999999998</v>
      </c>
      <c r="J2257">
        <v>-329.74349999999998</v>
      </c>
      <c r="K2257">
        <v>1.10961</v>
      </c>
      <c r="L2257">
        <v>284.3218</v>
      </c>
      <c r="M2257">
        <v>-0.99994309999999997</v>
      </c>
      <c r="N2257">
        <v>-1.022181E-2</v>
      </c>
      <c r="O2257">
        <v>-3.0615030000000001E-3</v>
      </c>
      <c r="P2257">
        <v>-0.98334869999999996</v>
      </c>
      <c r="Q2257">
        <v>0.16861099999999901</v>
      </c>
      <c r="R2257">
        <v>-6.7793409999999998E-2</v>
      </c>
      <c r="S2257">
        <v>-3.0518489999999998</v>
      </c>
      <c r="T2257">
        <v>-6.1879629999999998E-2</v>
      </c>
      <c r="U2257">
        <v>-0.13833619999999999</v>
      </c>
      <c r="V2257">
        <v>-6.4775650000000004E-2</v>
      </c>
      <c r="W2257">
        <v>0.1786586</v>
      </c>
      <c r="X2257">
        <v>0.98177650000000005</v>
      </c>
      <c r="Y2257">
        <v>-4.2210530000000003E-2</v>
      </c>
      <c r="Z2257">
        <v>-6.127948E-4</v>
      </c>
      <c r="AA2257">
        <v>0.99910860000000001</v>
      </c>
      <c r="AB2257">
        <v>36</v>
      </c>
      <c r="AC2257">
        <v>-54.5304</v>
      </c>
      <c r="AD2257">
        <v>-1.1096092624441001</v>
      </c>
      <c r="AE2257">
        <v>-2.4800000000000102</v>
      </c>
      <c r="AF2257">
        <v>-2.3120793136538098</v>
      </c>
      <c r="AG2257">
        <v>-1.1096092624441001</v>
      </c>
      <c r="AH2257">
        <v>54.515211394530901</v>
      </c>
      <c r="AI2257">
        <v>91.164997268112003</v>
      </c>
      <c r="AJ2257">
        <v>92.428552337965897</v>
      </c>
      <c r="AK2257">
        <v>54.575500152159101</v>
      </c>
      <c r="AL2257">
        <v>79.708362559334404</v>
      </c>
      <c r="AM2257">
        <v>93.774789947709394</v>
      </c>
      <c r="AN2257">
        <v>0.999999938069564</v>
      </c>
    </row>
    <row r="2258" spans="1:40" x14ac:dyDescent="0.25">
      <c r="A2258" t="str">
        <f>"20190304155638651"</f>
        <v>20190304155638651</v>
      </c>
      <c r="B2258" t="str">
        <f>"1551686198647107"</f>
        <v>1551686198647107</v>
      </c>
      <c r="C2258" t="s">
        <v>40</v>
      </c>
      <c r="D2258">
        <v>4.8397199999999998</v>
      </c>
      <c r="E2258">
        <v>0.50698710000000002</v>
      </c>
      <c r="F2258" t="s">
        <v>55</v>
      </c>
      <c r="G2258">
        <v>-384.03440000000001</v>
      </c>
      <c r="H2258" s="1">
        <v>6.1010169999999896E-7</v>
      </c>
      <c r="I2258">
        <v>281.78370000000001</v>
      </c>
      <c r="J2258">
        <v>-329.9511</v>
      </c>
      <c r="K2258">
        <v>1.1096090000000001</v>
      </c>
      <c r="L2258">
        <v>284.32119999999998</v>
      </c>
      <c r="M2258">
        <v>-0.99994300000000003</v>
      </c>
      <c r="N2258">
        <v>-1.022469E-2</v>
      </c>
      <c r="O2258">
        <v>-3.061163E-3</v>
      </c>
      <c r="P2258">
        <v>-0.98332240000000004</v>
      </c>
      <c r="Q2258">
        <v>0.168732299999999</v>
      </c>
      <c r="R2258">
        <v>-6.7873269999999999E-2</v>
      </c>
      <c r="S2258">
        <v>-3.0516969999999999</v>
      </c>
      <c r="T2258">
        <v>-6.2371250000000003E-2</v>
      </c>
      <c r="U2258">
        <v>-0.14266970000000001</v>
      </c>
      <c r="V2258">
        <v>-6.4855640000000006E-2</v>
      </c>
      <c r="W2258">
        <v>0.178782</v>
      </c>
      <c r="X2258">
        <v>0.98174879999999998</v>
      </c>
      <c r="Y2258">
        <v>-4.362825E-2</v>
      </c>
      <c r="Z2258">
        <v>-6.3751650000000003E-4</v>
      </c>
      <c r="AA2258">
        <v>0.99904760000000004</v>
      </c>
      <c r="AB2258">
        <v>36</v>
      </c>
      <c r="AC2258">
        <v>-54.083300000000001</v>
      </c>
      <c r="AD2258">
        <v>-1.1096083898983</v>
      </c>
      <c r="AE2258">
        <v>-2.5374999999999601</v>
      </c>
      <c r="AF2258">
        <v>-2.3709258421406001</v>
      </c>
      <c r="AG2258">
        <v>-1.1096083898983</v>
      </c>
      <c r="AH2258">
        <v>54.068105614559798</v>
      </c>
      <c r="AI2258">
        <v>91.174554626252998</v>
      </c>
      <c r="AJ2258">
        <v>92.510853157867402</v>
      </c>
      <c r="AK2258">
        <v>54.131437860776003</v>
      </c>
      <c r="AL2258">
        <v>79.701177021268293</v>
      </c>
      <c r="AM2258">
        <v>93.779544177158797</v>
      </c>
      <c r="AN2258">
        <v>0.99999998193262396</v>
      </c>
    </row>
    <row r="2259" spans="1:40" x14ac:dyDescent="0.25">
      <c r="A2259" t="str">
        <f>"20190304155638665"</f>
        <v>20190304155638665</v>
      </c>
      <c r="B2259" t="str">
        <f>"1551686198656867"</f>
        <v>1551686198656867</v>
      </c>
      <c r="C2259" t="s">
        <v>40</v>
      </c>
      <c r="D2259">
        <v>4.8294189999999997</v>
      </c>
      <c r="E2259">
        <v>0.50663779999999903</v>
      </c>
      <c r="F2259" t="s">
        <v>55</v>
      </c>
      <c r="G2259">
        <v>-384.13589999999999</v>
      </c>
      <c r="H2259" s="1">
        <v>6.6414609999999996E-7</v>
      </c>
      <c r="I2259">
        <v>281.67439999999999</v>
      </c>
      <c r="J2259">
        <v>-330.17989999999998</v>
      </c>
      <c r="K2259">
        <v>1.1096079999999999</v>
      </c>
      <c r="L2259">
        <v>284.32049999999998</v>
      </c>
      <c r="M2259">
        <v>-0.99994309999999997</v>
      </c>
      <c r="N2259">
        <v>-1.022779E-2</v>
      </c>
      <c r="O2259">
        <v>-3.0616570000000002E-3</v>
      </c>
      <c r="P2259">
        <v>-0.98335090000000003</v>
      </c>
      <c r="Q2259">
        <v>0.16857649999999999</v>
      </c>
      <c r="R2259">
        <v>-6.784627E-2</v>
      </c>
      <c r="S2259">
        <v>-3.0513309999999998</v>
      </c>
      <c r="T2259">
        <v>-6.2485810000000003E-2</v>
      </c>
      <c r="U2259">
        <v>-0.14904790000000001</v>
      </c>
      <c r="V2259">
        <v>-6.4827990000000002E-2</v>
      </c>
      <c r="W2259">
        <v>0.1786295</v>
      </c>
      <c r="X2259">
        <v>0.98177840000000005</v>
      </c>
      <c r="Y2259">
        <v>-4.5716090000000001E-2</v>
      </c>
      <c r="Z2259">
        <v>-6.7037640000000001E-4</v>
      </c>
      <c r="AA2259">
        <v>0.99895420000000001</v>
      </c>
      <c r="AB2259">
        <v>36</v>
      </c>
      <c r="AC2259">
        <v>-53.956000000000003</v>
      </c>
      <c r="AD2259">
        <v>-1.10960733585389</v>
      </c>
      <c r="AE2259">
        <v>-2.6460999999999899</v>
      </c>
      <c r="AF2259">
        <v>-2.4798379469717502</v>
      </c>
      <c r="AG2259">
        <v>-1.10960733585389</v>
      </c>
      <c r="AH2259">
        <v>53.941090882551102</v>
      </c>
      <c r="AI2259">
        <v>91.177206489129404</v>
      </c>
      <c r="AJ2259">
        <v>92.632209938263401</v>
      </c>
      <c r="AK2259">
        <v>54.009463154919999</v>
      </c>
      <c r="AL2259">
        <v>79.710057734982897</v>
      </c>
      <c r="AM2259">
        <v>93.777823933355805</v>
      </c>
      <c r="AN2259">
        <v>0.99999999663212502</v>
      </c>
    </row>
    <row r="2260" spans="1:40" x14ac:dyDescent="0.25">
      <c r="A2260" t="str">
        <f>"20190304155638683"</f>
        <v>20190304155638683</v>
      </c>
      <c r="B2260" t="str">
        <f>"1551686198677362"</f>
        <v>1551686198677362</v>
      </c>
      <c r="C2260" t="s">
        <v>40</v>
      </c>
      <c r="D2260">
        <v>4.844265</v>
      </c>
      <c r="E2260">
        <v>0.50607159999999995</v>
      </c>
      <c r="F2260" t="s">
        <v>55</v>
      </c>
      <c r="G2260">
        <v>-383.8562</v>
      </c>
      <c r="H2260" s="1">
        <v>5.1527720000000005E-7</v>
      </c>
      <c r="I2260">
        <v>281.65120000000002</v>
      </c>
      <c r="J2260">
        <v>-330.45260000000002</v>
      </c>
      <c r="K2260">
        <v>1.1096109999999999</v>
      </c>
      <c r="L2260">
        <v>284.31970000000001</v>
      </c>
      <c r="M2260">
        <v>-0.99994309999999997</v>
      </c>
      <c r="N2260">
        <v>-1.023142E-2</v>
      </c>
      <c r="O2260">
        <v>-3.0615569999999999E-3</v>
      </c>
      <c r="P2260">
        <v>-0.98342260000000004</v>
      </c>
      <c r="Q2260">
        <v>0.16808190000000001</v>
      </c>
      <c r="R2260">
        <v>-6.8033949999999996E-2</v>
      </c>
      <c r="S2260">
        <v>-3.0512079999999999</v>
      </c>
      <c r="T2260">
        <v>-6.3075179999999995E-2</v>
      </c>
      <c r="U2260">
        <v>-0.15173339999999999</v>
      </c>
      <c r="V2260">
        <v>-6.5015470000000006E-2</v>
      </c>
      <c r="W2260">
        <v>0.17813970000000001</v>
      </c>
      <c r="X2260">
        <v>0.98185500000000003</v>
      </c>
      <c r="Y2260">
        <v>-4.6594719999999999E-2</v>
      </c>
      <c r="Z2260">
        <v>-6.8787779999999999E-4</v>
      </c>
      <c r="AA2260">
        <v>0.99891359999999996</v>
      </c>
      <c r="AB2260">
        <v>36</v>
      </c>
      <c r="AC2260">
        <v>-53.403599999999898</v>
      </c>
      <c r="AD2260">
        <v>-1.1096104847228001</v>
      </c>
      <c r="AE2260">
        <v>-2.6684999999999901</v>
      </c>
      <c r="AF2260">
        <v>-2.5039025028031698</v>
      </c>
      <c r="AG2260">
        <v>-1.1096104847228001</v>
      </c>
      <c r="AH2260">
        <v>53.3885285090848</v>
      </c>
      <c r="AI2260">
        <v>91.189339223647593</v>
      </c>
      <c r="AJ2260">
        <v>92.685183547493907</v>
      </c>
      <c r="AK2260">
        <v>53.458729310905902</v>
      </c>
      <c r="AL2260">
        <v>79.738578721166604</v>
      </c>
      <c r="AM2260">
        <v>93.788422758994699</v>
      </c>
      <c r="AN2260">
        <v>1.0000000025402001</v>
      </c>
    </row>
    <row r="2261" spans="1:40" x14ac:dyDescent="0.25">
      <c r="A2261" t="str">
        <f>"20190304155638697"</f>
        <v>20190304155638697</v>
      </c>
      <c r="B2261" t="str">
        <f>"1551686198687123"</f>
        <v>1551686198687123</v>
      </c>
      <c r="C2261" t="s">
        <v>40</v>
      </c>
      <c r="D2261">
        <v>5.0262890000000002</v>
      </c>
      <c r="E2261">
        <v>0.50558449999999999</v>
      </c>
      <c r="F2261" t="s">
        <v>55</v>
      </c>
      <c r="G2261">
        <v>-382.55829999999997</v>
      </c>
      <c r="H2261" s="1">
        <v>-1.754026E-7</v>
      </c>
      <c r="I2261">
        <v>281.64319999999998</v>
      </c>
      <c r="J2261">
        <v>-330.68699999999899</v>
      </c>
      <c r="K2261">
        <v>1.109607</v>
      </c>
      <c r="L2261">
        <v>284.31889999999999</v>
      </c>
      <c r="M2261">
        <v>-0.99994300000000003</v>
      </c>
      <c r="N2261">
        <v>-1.023451E-2</v>
      </c>
      <c r="O2261">
        <v>-3.0602540000000001E-3</v>
      </c>
      <c r="P2261">
        <v>-0.98343720000000001</v>
      </c>
      <c r="Q2261">
        <v>0.16794539999999999</v>
      </c>
      <c r="R2261">
        <v>-6.8158659999999996E-2</v>
      </c>
      <c r="S2261">
        <v>-3.0508419999999998</v>
      </c>
      <c r="T2261">
        <v>-6.4968940000000003E-2</v>
      </c>
      <c r="U2261">
        <v>-0.15670780000000001</v>
      </c>
      <c r="V2261">
        <v>-6.5141610000000003E-2</v>
      </c>
      <c r="W2261">
        <v>0.17800639999999901</v>
      </c>
      <c r="X2261">
        <v>0.98187080000000004</v>
      </c>
      <c r="Y2261">
        <v>-4.8225179999999999E-2</v>
      </c>
      <c r="Z2261">
        <v>-7.2626389999999998E-4</v>
      </c>
      <c r="AA2261">
        <v>0.99883619999999995</v>
      </c>
      <c r="AB2261">
        <v>36</v>
      </c>
      <c r="AC2261">
        <v>-51.871299999999998</v>
      </c>
      <c r="AD2261">
        <v>-1.1096071754026</v>
      </c>
      <c r="AE2261">
        <v>-2.6757</v>
      </c>
      <c r="AF2261">
        <v>-2.5157916444788602</v>
      </c>
      <c r="AG2261">
        <v>-1.1096071754026</v>
      </c>
      <c r="AH2261">
        <v>51.855579787776797</v>
      </c>
      <c r="AI2261">
        <v>91.224389993296199</v>
      </c>
      <c r="AJ2261">
        <v>92.777547001569502</v>
      </c>
      <c r="AK2261">
        <v>51.928427578818699</v>
      </c>
      <c r="AL2261">
        <v>79.746340147447896</v>
      </c>
      <c r="AM2261">
        <v>93.795690513377707</v>
      </c>
      <c r="AN2261">
        <v>0.99999998784349597</v>
      </c>
    </row>
    <row r="2262" spans="1:40" x14ac:dyDescent="0.25">
      <c r="A2262" t="str">
        <f>"20190304155638716"</f>
        <v>20190304155638716</v>
      </c>
      <c r="B2262" t="str">
        <f>"1551686198706643"</f>
        <v>1551686198706643</v>
      </c>
      <c r="C2262" t="s">
        <v>40</v>
      </c>
      <c r="D2262">
        <v>4.8435199999999998</v>
      </c>
      <c r="E2262">
        <v>0.50512939999999995</v>
      </c>
      <c r="F2262" t="s">
        <v>55</v>
      </c>
      <c r="G2262">
        <v>-382.58800000000002</v>
      </c>
      <c r="H2262" s="1">
        <v>-1.5956999999999999E-7</v>
      </c>
      <c r="I2262">
        <v>281.58319999999998</v>
      </c>
      <c r="J2262">
        <v>-330.98059999999998</v>
      </c>
      <c r="K2262">
        <v>1.1096029999999999</v>
      </c>
      <c r="L2262">
        <v>284.31810000000002</v>
      </c>
      <c r="M2262">
        <v>-0.99994300000000003</v>
      </c>
      <c r="N2262">
        <v>-1.023836E-2</v>
      </c>
      <c r="O2262">
        <v>-3.0558360000000001E-3</v>
      </c>
      <c r="P2262">
        <v>-0.98342200000000002</v>
      </c>
      <c r="Q2262">
        <v>0.16792989999999999</v>
      </c>
      <c r="R2262">
        <v>-6.8417850000000002E-2</v>
      </c>
      <c r="S2262">
        <v>-3.0505070000000001</v>
      </c>
      <c r="T2262">
        <v>-6.5217609999999995E-2</v>
      </c>
      <c r="U2262">
        <v>-0.1607971</v>
      </c>
      <c r="V2262">
        <v>-6.5404400000000001E-2</v>
      </c>
      <c r="W2262">
        <v>0.17799519999999999</v>
      </c>
      <c r="X2262">
        <v>0.98185540000000004</v>
      </c>
      <c r="Y2262">
        <v>-4.9569990000000001E-2</v>
      </c>
      <c r="Z2262">
        <v>-7.4942770000000001E-4</v>
      </c>
      <c r="AA2262">
        <v>0.99877039999999995</v>
      </c>
      <c r="AB2262">
        <v>36</v>
      </c>
      <c r="AC2262">
        <v>-51.607399999999998</v>
      </c>
      <c r="AD2262">
        <v>-1.10960315957</v>
      </c>
      <c r="AE2262">
        <v>-2.7349000000000299</v>
      </c>
      <c r="AF2262">
        <v>-2.5759877153524</v>
      </c>
      <c r="AG2262">
        <v>-1.10960315957</v>
      </c>
      <c r="AH2262">
        <v>51.591733479479899</v>
      </c>
      <c r="AI2262">
        <v>91.230559825471602</v>
      </c>
      <c r="AJ2262">
        <v>92.8584183155386</v>
      </c>
      <c r="AK2262">
        <v>51.667919401685502</v>
      </c>
      <c r="AL2262">
        <v>79.746992676469105</v>
      </c>
      <c r="AM2262">
        <v>93.811017403844403</v>
      </c>
      <c r="AN2262">
        <v>1.00000002663577</v>
      </c>
    </row>
    <row r="2263" spans="1:40" x14ac:dyDescent="0.25">
      <c r="A2263" t="str">
        <f>"20190304155638728"</f>
        <v>20190304155638728</v>
      </c>
      <c r="B2263" t="str">
        <f>"1551686198717378"</f>
        <v>1551686198717378</v>
      </c>
      <c r="C2263" t="s">
        <v>40</v>
      </c>
      <c r="D2263">
        <v>4.845027</v>
      </c>
      <c r="E2263">
        <v>0.50493319999999997</v>
      </c>
      <c r="F2263" t="s">
        <v>55</v>
      </c>
      <c r="G2263">
        <v>-382.79919999999998</v>
      </c>
      <c r="H2263" s="1">
        <v>-4.718765E-8</v>
      </c>
      <c r="I2263">
        <v>281.51589999999999</v>
      </c>
      <c r="J2263">
        <v>-331.19260000000003</v>
      </c>
      <c r="K2263">
        <v>1.1096029999999999</v>
      </c>
      <c r="L2263">
        <v>284.31740000000002</v>
      </c>
      <c r="M2263">
        <v>-0.99994289999999997</v>
      </c>
      <c r="N2263">
        <v>-1.0241109999999999E-2</v>
      </c>
      <c r="O2263">
        <v>-3.050213E-3</v>
      </c>
      <c r="P2263">
        <v>-0.98344750000000003</v>
      </c>
      <c r="Q2263">
        <v>0.16772679999999901</v>
      </c>
      <c r="R2263">
        <v>-6.8549890000000002E-2</v>
      </c>
      <c r="S2263">
        <v>-3.050262</v>
      </c>
      <c r="T2263">
        <v>-6.5315960000000006E-2</v>
      </c>
      <c r="U2263">
        <v>-0.1649475</v>
      </c>
      <c r="V2263">
        <v>-6.5540710000000002E-2</v>
      </c>
      <c r="W2263">
        <v>0.17779529999999999</v>
      </c>
      <c r="X2263">
        <v>0.98188249999999999</v>
      </c>
      <c r="Y2263">
        <v>-5.0934390000000003E-2</v>
      </c>
      <c r="Z2263">
        <v>-7.7188429999999904E-4</v>
      </c>
      <c r="AA2263">
        <v>0.99870170000000003</v>
      </c>
      <c r="AB2263">
        <v>36</v>
      </c>
      <c r="AC2263">
        <v>-51.606599999999901</v>
      </c>
      <c r="AD2263">
        <v>-1.1096030471876499</v>
      </c>
      <c r="AE2263">
        <v>-2.8015000000000301</v>
      </c>
      <c r="AF2263">
        <v>-2.6428493859716902</v>
      </c>
      <c r="AG2263">
        <v>-1.1096030471876499</v>
      </c>
      <c r="AH2263">
        <v>51.591124979072902</v>
      </c>
      <c r="AI2263">
        <v>91.230493743791698</v>
      </c>
      <c r="AJ2263">
        <v>92.932517343773497</v>
      </c>
      <c r="AK2263">
        <v>51.6706884839517</v>
      </c>
      <c r="AL2263">
        <v>79.758631462051397</v>
      </c>
      <c r="AM2263">
        <v>93.818831415769907</v>
      </c>
      <c r="AN2263">
        <v>0.99999999858782196</v>
      </c>
    </row>
    <row r="2264" spans="1:40" x14ac:dyDescent="0.25">
      <c r="A2264" t="str">
        <f>"20190304155638740"</f>
        <v>20190304155638740</v>
      </c>
      <c r="B2264" t="str">
        <f>"1551686198736899"</f>
        <v>1551686198736899</v>
      </c>
      <c r="C2264" t="s">
        <v>40</v>
      </c>
      <c r="D2264">
        <v>4.8275309999999996</v>
      </c>
      <c r="E2264">
        <v>0.50453979999999998</v>
      </c>
      <c r="F2264" t="s">
        <v>55</v>
      </c>
      <c r="G2264">
        <v>-382.61079999999998</v>
      </c>
      <c r="H2264" s="1">
        <v>-1.4742529999999999E-7</v>
      </c>
      <c r="I2264">
        <v>281.5095</v>
      </c>
      <c r="J2264">
        <v>-331.37849999999997</v>
      </c>
      <c r="K2264">
        <v>1.1095950000000001</v>
      </c>
      <c r="L2264">
        <v>284.3168</v>
      </c>
      <c r="M2264">
        <v>-0.99994300000000003</v>
      </c>
      <c r="N2264">
        <v>-1.024343E-2</v>
      </c>
      <c r="O2264">
        <v>-3.0413620000000001E-3</v>
      </c>
      <c r="P2264">
        <v>-0.9834427</v>
      </c>
      <c r="Q2264">
        <v>0.16763029999999901</v>
      </c>
      <c r="R2264">
        <v>-6.8850850000000005E-2</v>
      </c>
      <c r="S2264">
        <v>-3.0501710000000002</v>
      </c>
      <c r="T2264">
        <v>-6.5822480000000003E-2</v>
      </c>
      <c r="U2264">
        <v>-0.16656489999999999</v>
      </c>
      <c r="V2264">
        <v>-6.5848500000000004E-2</v>
      </c>
      <c r="W2264">
        <v>0.17770139999999901</v>
      </c>
      <c r="X2264">
        <v>0.9818789</v>
      </c>
      <c r="Y2264">
        <v>-5.1472469999999999E-2</v>
      </c>
      <c r="Z2264">
        <v>-7.8434000000000002E-4</v>
      </c>
      <c r="AA2264">
        <v>0.99867410000000001</v>
      </c>
      <c r="AB2264">
        <v>36</v>
      </c>
      <c r="AC2264">
        <v>-51.232300000000002</v>
      </c>
      <c r="AD2264">
        <v>-1.1095951474253001</v>
      </c>
      <c r="AE2264">
        <v>-2.8072999999999899</v>
      </c>
      <c r="AF2264">
        <v>-2.65022345380642</v>
      </c>
      <c r="AG2264">
        <v>-1.1095951474253001</v>
      </c>
      <c r="AH2264">
        <v>51.216649009411498</v>
      </c>
      <c r="AI2264">
        <v>91.239446019107007</v>
      </c>
      <c r="AJ2264">
        <v>92.962148279855001</v>
      </c>
      <c r="AK2264">
        <v>51.297173620966099</v>
      </c>
      <c r="AL2264">
        <v>79.764098540732405</v>
      </c>
      <c r="AM2264">
        <v>93.836725865368393</v>
      </c>
      <c r="AN2264">
        <v>0.99999999338971002</v>
      </c>
    </row>
    <row r="2265" spans="1:40" x14ac:dyDescent="0.25">
      <c r="A2265" t="str">
        <f>"20190304155638753"</f>
        <v>20190304155638753</v>
      </c>
      <c r="B2265" t="str">
        <f>"1551686198746659"</f>
        <v>1551686198746659</v>
      </c>
      <c r="C2265" t="s">
        <v>40</v>
      </c>
      <c r="D2265">
        <v>4.8142250000000004</v>
      </c>
      <c r="E2265">
        <v>0.50436040000000004</v>
      </c>
      <c r="F2265" t="s">
        <v>55</v>
      </c>
      <c r="G2265">
        <v>-382.61059999999998</v>
      </c>
      <c r="H2265" s="1">
        <v>-1.475776E-7</v>
      </c>
      <c r="I2265">
        <v>281.45679999999999</v>
      </c>
      <c r="J2265">
        <v>-331.57749999999999</v>
      </c>
      <c r="K2265">
        <v>1.109591</v>
      </c>
      <c r="L2265">
        <v>284.31619999999998</v>
      </c>
      <c r="M2265">
        <v>-0.99994300000000003</v>
      </c>
      <c r="N2265">
        <v>-1.02459E-2</v>
      </c>
      <c r="O2265">
        <v>-3.030118E-3</v>
      </c>
      <c r="P2265">
        <v>-0.98340240000000001</v>
      </c>
      <c r="Q2265">
        <v>0.16788819999999999</v>
      </c>
      <c r="R2265">
        <v>-6.8800669999999994E-2</v>
      </c>
      <c r="S2265">
        <v>-3.0498050000000001</v>
      </c>
      <c r="T2265">
        <v>-6.6053390000000003E-2</v>
      </c>
      <c r="U2265">
        <v>-0.17025760000000001</v>
      </c>
      <c r="V2265">
        <v>-6.5807889999999994E-2</v>
      </c>
      <c r="W2265">
        <v>0.1779618</v>
      </c>
      <c r="X2265">
        <v>0.98183450000000005</v>
      </c>
      <c r="Y2265">
        <v>-5.2695150000000003E-2</v>
      </c>
      <c r="Z2265">
        <v>-8.0580440000000005E-4</v>
      </c>
      <c r="AA2265">
        <v>0.99861029999999995</v>
      </c>
      <c r="AB2265">
        <v>36</v>
      </c>
      <c r="AC2265">
        <v>-51.033099999999898</v>
      </c>
      <c r="AD2265">
        <v>-1.1095911475775999</v>
      </c>
      <c r="AE2265">
        <v>-2.8593999999999902</v>
      </c>
      <c r="AF2265">
        <v>-2.7034684148682402</v>
      </c>
      <c r="AG2265">
        <v>-1.1095911475775999</v>
      </c>
      <c r="AH2265">
        <v>51.017487952792401</v>
      </c>
      <c r="AI2265">
        <v>91.244197623625297</v>
      </c>
      <c r="AJ2265">
        <v>93.033324333682003</v>
      </c>
      <c r="AK2265">
        <v>51.101115555321201</v>
      </c>
      <c r="AL2265">
        <v>79.748937470374699</v>
      </c>
      <c r="AM2265">
        <v>93.834539623898095</v>
      </c>
      <c r="AN2265">
        <v>1.00000003301787</v>
      </c>
    </row>
    <row r="2266" spans="1:40" x14ac:dyDescent="0.25">
      <c r="A2266" t="str">
        <f>"20190304155638764"</f>
        <v>20190304155638764</v>
      </c>
      <c r="B2266" t="str">
        <f>"1551686198757395"</f>
        <v>1551686198757395</v>
      </c>
      <c r="C2266" t="s">
        <v>40</v>
      </c>
      <c r="D2266">
        <v>4.7934890000000001</v>
      </c>
      <c r="E2266">
        <v>0.50417440000000002</v>
      </c>
      <c r="F2266" t="s">
        <v>55</v>
      </c>
      <c r="G2266">
        <v>-383.36340000000001</v>
      </c>
      <c r="H2266" s="1">
        <v>2.5302680000000002E-7</v>
      </c>
      <c r="I2266">
        <v>281.40809999999999</v>
      </c>
      <c r="J2266">
        <v>-331.77289999999999</v>
      </c>
      <c r="K2266">
        <v>1.109585</v>
      </c>
      <c r="L2266">
        <v>284.31569999999999</v>
      </c>
      <c r="M2266">
        <v>-0.99994309999999997</v>
      </c>
      <c r="N2266">
        <v>-1.024833E-2</v>
      </c>
      <c r="O2266">
        <v>-3.0132549999999998E-3</v>
      </c>
      <c r="P2266">
        <v>-0.98336789999999996</v>
      </c>
      <c r="Q2266">
        <v>0.16803560000000001</v>
      </c>
      <c r="R2266">
        <v>-6.8933800000000003E-2</v>
      </c>
      <c r="S2266">
        <v>-3.0497740000000002</v>
      </c>
      <c r="T2266">
        <v>-6.5346000000000001E-2</v>
      </c>
      <c r="U2266">
        <v>-0.17126459999999999</v>
      </c>
      <c r="V2266">
        <v>-6.5954970000000002E-2</v>
      </c>
      <c r="W2266">
        <v>0.17811250000000001</v>
      </c>
      <c r="X2266">
        <v>0.98179729999999998</v>
      </c>
      <c r="Y2266">
        <v>-5.304147E-2</v>
      </c>
      <c r="Z2266">
        <v>-8.0614700000000001E-4</v>
      </c>
      <c r="AA2266">
        <v>0.99859200000000004</v>
      </c>
      <c r="AB2266">
        <v>36</v>
      </c>
      <c r="AC2266">
        <v>-51.590499999999999</v>
      </c>
      <c r="AD2266">
        <v>-1.1095847469732001</v>
      </c>
      <c r="AE2266">
        <v>-2.9076</v>
      </c>
      <c r="AF2266">
        <v>-2.75085488070583</v>
      </c>
      <c r="AG2266">
        <v>-1.1095847469732001</v>
      </c>
      <c r="AH2266">
        <v>51.5752457181921</v>
      </c>
      <c r="AI2266">
        <v>91.230716828682205</v>
      </c>
      <c r="AJ2266">
        <v>93.0530764945062</v>
      </c>
      <c r="AK2266">
        <v>51.660471850122597</v>
      </c>
      <c r="AL2266">
        <v>79.740162774250607</v>
      </c>
      <c r="AM2266">
        <v>93.843229306858404</v>
      </c>
      <c r="AN2266">
        <v>1.0000000295056199</v>
      </c>
    </row>
    <row r="2267" spans="1:40" x14ac:dyDescent="0.25">
      <c r="A2267" t="str">
        <f>"20190304155638776"</f>
        <v>20190304155638776</v>
      </c>
      <c r="B2267" t="str">
        <f>"1551686198767155"</f>
        <v>1551686198767155</v>
      </c>
      <c r="C2267" t="s">
        <v>40</v>
      </c>
      <c r="D2267">
        <v>4.7926019999999996</v>
      </c>
      <c r="E2267">
        <v>0.50401289999999999</v>
      </c>
      <c r="F2267" t="s">
        <v>55</v>
      </c>
      <c r="G2267">
        <v>-383.33449999999999</v>
      </c>
      <c r="H2267" s="1">
        <v>2.3765180000000001E-7</v>
      </c>
      <c r="I2267">
        <v>281.38670000000002</v>
      </c>
      <c r="J2267">
        <v>-331.96319999999997</v>
      </c>
      <c r="K2267">
        <v>1.1095820000000001</v>
      </c>
      <c r="L2267">
        <v>284.31509999999997</v>
      </c>
      <c r="M2267">
        <v>-0.99994300000000003</v>
      </c>
      <c r="N2267">
        <v>-1.025074E-2</v>
      </c>
      <c r="O2267">
        <v>-2.9924510000000001E-3</v>
      </c>
      <c r="P2267">
        <v>-0.98339900000000002</v>
      </c>
      <c r="Q2267">
        <v>0.16795679999999999</v>
      </c>
      <c r="R2267">
        <v>-6.8679270000000001E-2</v>
      </c>
      <c r="S2267">
        <v>-3.0498050000000001</v>
      </c>
      <c r="T2267">
        <v>-6.5630560000000004E-2</v>
      </c>
      <c r="U2267">
        <v>-0.17324829999999999</v>
      </c>
      <c r="V2267">
        <v>-6.5718520000000002E-2</v>
      </c>
      <c r="W2267">
        <v>0.1780369</v>
      </c>
      <c r="X2267">
        <v>0.9818268</v>
      </c>
      <c r="Y2267">
        <v>-5.3708760000000001E-2</v>
      </c>
      <c r="Z2267">
        <v>-8.1923039999999905E-4</v>
      </c>
      <c r="AA2267">
        <v>0.99855629999999995</v>
      </c>
      <c r="AB2267">
        <v>36</v>
      </c>
      <c r="AC2267">
        <v>-51.371299999999998</v>
      </c>
      <c r="AD2267">
        <v>-1.1095817623481901</v>
      </c>
      <c r="AE2267">
        <v>-2.9283999999999502</v>
      </c>
      <c r="AF2267">
        <v>-2.7733630543672998</v>
      </c>
      <c r="AG2267">
        <v>-1.1095817623481901</v>
      </c>
      <c r="AH2267">
        <v>51.3559521450617</v>
      </c>
      <c r="AI2267">
        <v>91.235923087858396</v>
      </c>
      <c r="AJ2267">
        <v>93.091127564510302</v>
      </c>
      <c r="AK2267">
        <v>51.4427500727219</v>
      </c>
      <c r="AL2267">
        <v>79.744564005893693</v>
      </c>
      <c r="AM2267">
        <v>93.829377597434004</v>
      </c>
      <c r="AN2267">
        <v>0.99999996341541897</v>
      </c>
    </row>
    <row r="2268" spans="1:40" x14ac:dyDescent="0.25">
      <c r="A2268" t="str">
        <f>"20190304155638789"</f>
        <v>20190304155638789</v>
      </c>
      <c r="B2268" t="str">
        <f>"1551686198786675"</f>
        <v>1551686198786675</v>
      </c>
      <c r="C2268" t="s">
        <v>40</v>
      </c>
      <c r="D2268">
        <v>4.795115</v>
      </c>
      <c r="E2268">
        <v>0.50383840000000002</v>
      </c>
      <c r="F2268" t="s">
        <v>55</v>
      </c>
      <c r="G2268">
        <v>-382.99770000000001</v>
      </c>
      <c r="H2268" s="1">
        <v>5.8411159999999997E-8</v>
      </c>
      <c r="I2268">
        <v>281.4058</v>
      </c>
      <c r="J2268">
        <v>-332.16989999999998</v>
      </c>
      <c r="K2268">
        <v>1.1095740000000001</v>
      </c>
      <c r="L2268">
        <v>284.31450000000001</v>
      </c>
      <c r="M2268">
        <v>-0.99994309999999997</v>
      </c>
      <c r="N2268">
        <v>-1.0253379999999999E-2</v>
      </c>
      <c r="O2268">
        <v>-2.966748E-3</v>
      </c>
      <c r="P2268">
        <v>-0.98342600000000002</v>
      </c>
      <c r="Q2268">
        <v>0.16769339999999999</v>
      </c>
      <c r="R2268">
        <v>-6.8936929999999993E-2</v>
      </c>
      <c r="S2268">
        <v>-3.0498349999999999</v>
      </c>
      <c r="T2268">
        <v>-6.6308980000000003E-2</v>
      </c>
      <c r="U2268">
        <v>-0.1738586</v>
      </c>
      <c r="V2268">
        <v>-6.5998329999999994E-2</v>
      </c>
      <c r="W2268">
        <v>0.17777789999999999</v>
      </c>
      <c r="X2268">
        <v>0.98185500000000003</v>
      </c>
      <c r="Y2268">
        <v>-5.393266E-2</v>
      </c>
      <c r="Z2268">
        <v>-8.2848079999999998E-4</v>
      </c>
      <c r="AA2268">
        <v>0.99854419999999999</v>
      </c>
      <c r="AB2268">
        <v>36</v>
      </c>
      <c r="AC2268">
        <v>-50.827800000000003</v>
      </c>
      <c r="AD2268">
        <v>-1.1095739415888399</v>
      </c>
      <c r="AE2268">
        <v>-2.9087000000000098</v>
      </c>
      <c r="AF2268">
        <v>-2.7565766443028799</v>
      </c>
      <c r="AG2268">
        <v>-1.1095739415888399</v>
      </c>
      <c r="AH2268">
        <v>50.812070596857303</v>
      </c>
      <c r="AI2268">
        <v>91.249122482306603</v>
      </c>
      <c r="AJ2268">
        <v>93.105276634495397</v>
      </c>
      <c r="AK2268">
        <v>50.898883951102299</v>
      </c>
      <c r="AL2268">
        <v>79.759644574627501</v>
      </c>
      <c r="AM2268">
        <v>93.845523014234004</v>
      </c>
      <c r="AN2268">
        <v>1.0000000011580901</v>
      </c>
    </row>
    <row r="2269" spans="1:40" x14ac:dyDescent="0.25">
      <c r="A2269" t="str">
        <f>"20190304155638806"</f>
        <v>20190304155638806</v>
      </c>
      <c r="B2269" t="str">
        <f>"1551686198797412"</f>
        <v>1551686198797412</v>
      </c>
      <c r="C2269" t="s">
        <v>40</v>
      </c>
      <c r="D2269">
        <v>4.7594279999999998</v>
      </c>
      <c r="E2269">
        <v>0.50371769999999905</v>
      </c>
      <c r="F2269" t="s">
        <v>55</v>
      </c>
      <c r="G2269">
        <v>-382.33550000000002</v>
      </c>
      <c r="H2269" s="1">
        <v>-2.9395229999999999E-7</v>
      </c>
      <c r="I2269">
        <v>281.41800000000001</v>
      </c>
      <c r="J2269">
        <v>-332.42809999999997</v>
      </c>
      <c r="K2269">
        <v>1.1095630000000001</v>
      </c>
      <c r="L2269">
        <v>284.31369999999998</v>
      </c>
      <c r="M2269">
        <v>-0.99994329999999998</v>
      </c>
      <c r="N2269">
        <v>-1.0256690000000001E-2</v>
      </c>
      <c r="O2269">
        <v>-2.9228869999999999E-3</v>
      </c>
      <c r="P2269">
        <v>-0.98350910000000002</v>
      </c>
      <c r="Q2269">
        <v>0.1671069</v>
      </c>
      <c r="R2269">
        <v>-6.9177760000000005E-2</v>
      </c>
      <c r="S2269">
        <v>-3.0497130000000001</v>
      </c>
      <c r="T2269">
        <v>-6.7454219999999995E-2</v>
      </c>
      <c r="U2269">
        <v>-0.1760864</v>
      </c>
      <c r="V2269">
        <v>-6.6277870000000003E-2</v>
      </c>
      <c r="W2269">
        <v>0.17719699999999999</v>
      </c>
      <c r="X2269">
        <v>0.98194119999999996</v>
      </c>
      <c r="Y2269">
        <v>-5.4704929999999999E-2</v>
      </c>
      <c r="Z2269">
        <v>-8.5061499999999999E-4</v>
      </c>
      <c r="AA2269">
        <v>0.99850220000000001</v>
      </c>
      <c r="AB2269">
        <v>36</v>
      </c>
      <c r="AC2269">
        <v>-49.907400000000003</v>
      </c>
      <c r="AD2269">
        <v>-1.1095632939522999</v>
      </c>
      <c r="AE2269">
        <v>-2.89569999999997</v>
      </c>
      <c r="AF2269">
        <v>-2.7484523395342202</v>
      </c>
      <c r="AG2269">
        <v>-1.1095632939522999</v>
      </c>
      <c r="AH2269">
        <v>49.891073548644798</v>
      </c>
      <c r="AI2269">
        <v>91.272103634609294</v>
      </c>
      <c r="AJ2269">
        <v>93.153183442200103</v>
      </c>
      <c r="AK2269">
        <v>49.9790390143934</v>
      </c>
      <c r="AL2269">
        <v>79.793464914685202</v>
      </c>
      <c r="AM2269">
        <v>93.861423803416997</v>
      </c>
      <c r="AN2269">
        <v>1.00000002655908</v>
      </c>
    </row>
    <row r="2270" spans="1:40" x14ac:dyDescent="0.25">
      <c r="A2270" t="str">
        <f>"20190304155638828"</f>
        <v>20190304155638828</v>
      </c>
      <c r="B2270" t="str">
        <f>"1551686198816931"</f>
        <v>1551686198816931</v>
      </c>
      <c r="C2270" t="s">
        <v>40</v>
      </c>
      <c r="D2270">
        <v>4.7726519999999999</v>
      </c>
      <c r="E2270">
        <v>0.50343919999999998</v>
      </c>
      <c r="F2270" t="s">
        <v>55</v>
      </c>
      <c r="G2270">
        <v>-381.16230000000002</v>
      </c>
      <c r="H2270" s="1">
        <v>-9.182947E-7</v>
      </c>
      <c r="I2270">
        <v>281.48660000000001</v>
      </c>
      <c r="J2270">
        <v>-332.78710000000001</v>
      </c>
      <c r="K2270">
        <v>1.1095469999999901</v>
      </c>
      <c r="L2270">
        <v>284.31270000000001</v>
      </c>
      <c r="M2270">
        <v>-0.99994340000000004</v>
      </c>
      <c r="N2270">
        <v>-1.0261299999999999E-2</v>
      </c>
      <c r="O2270">
        <v>-2.8472689999999999E-3</v>
      </c>
      <c r="P2270">
        <v>-0.98360340000000002</v>
      </c>
      <c r="Q2270">
        <v>0.16629140000000001</v>
      </c>
      <c r="R2270">
        <v>-6.979921E-2</v>
      </c>
      <c r="S2270">
        <v>-3.049652</v>
      </c>
      <c r="T2270">
        <v>-6.943357E-2</v>
      </c>
      <c r="U2270">
        <v>-0.1769104</v>
      </c>
      <c r="V2270">
        <v>-6.6966650000000003E-2</v>
      </c>
      <c r="W2270">
        <v>0.17638970000000001</v>
      </c>
      <c r="X2270">
        <v>0.98203980000000002</v>
      </c>
      <c r="Y2270">
        <v>-5.504937E-2</v>
      </c>
      <c r="Z2270">
        <v>-8.7323299999999995E-4</v>
      </c>
      <c r="AA2270">
        <v>0.99848320000000002</v>
      </c>
      <c r="AB2270">
        <v>36</v>
      </c>
      <c r="AC2270">
        <v>-48.3752</v>
      </c>
      <c r="AD2270">
        <v>-1.1095479182946999</v>
      </c>
      <c r="AE2270">
        <v>-2.8260999999999901</v>
      </c>
      <c r="AF2270">
        <v>-2.6869353798507798</v>
      </c>
      <c r="AG2270">
        <v>-1.1095479182946999</v>
      </c>
      <c r="AH2270">
        <v>48.357697798073097</v>
      </c>
      <c r="AI2270">
        <v>91.312374385948203</v>
      </c>
      <c r="AJ2270">
        <v>93.180298594121695</v>
      </c>
      <c r="AK2270">
        <v>48.444996177605901</v>
      </c>
      <c r="AL2270">
        <v>79.840459932858295</v>
      </c>
      <c r="AM2270">
        <v>93.901039106606206</v>
      </c>
      <c r="AN2270">
        <v>1.00000001363117</v>
      </c>
    </row>
    <row r="2271" spans="1:40" x14ac:dyDescent="0.25">
      <c r="A2271" t="str">
        <f>"20190304155638841"</f>
        <v>20190304155638841</v>
      </c>
      <c r="B2271" t="str">
        <f>"1551686198837428"</f>
        <v>1551686198837428</v>
      </c>
      <c r="C2271" t="s">
        <v>40</v>
      </c>
      <c r="D2271">
        <v>4.7530950000000001</v>
      </c>
      <c r="E2271">
        <v>0.50319269999999905</v>
      </c>
      <c r="F2271" t="s">
        <v>55</v>
      </c>
      <c r="G2271">
        <v>-379.75940000000003</v>
      </c>
      <c r="H2271" s="1">
        <v>3.6567000000000001E-6</v>
      </c>
      <c r="I2271">
        <v>281.53829999999999</v>
      </c>
      <c r="J2271">
        <v>-332.99169999999998</v>
      </c>
      <c r="K2271">
        <v>1.1095379999999999</v>
      </c>
      <c r="L2271">
        <v>284.31220000000002</v>
      </c>
      <c r="M2271">
        <v>-0.99994349999999999</v>
      </c>
      <c r="N2271">
        <v>-1.026384E-2</v>
      </c>
      <c r="O2271">
        <v>-2.7943680000000002E-3</v>
      </c>
      <c r="P2271">
        <v>-0.98359700000000005</v>
      </c>
      <c r="Q2271">
        <v>0.1661125</v>
      </c>
      <c r="R2271">
        <v>-7.031308E-2</v>
      </c>
      <c r="S2271">
        <v>-3.0493769999999998</v>
      </c>
      <c r="T2271">
        <v>-7.2029949999999995E-2</v>
      </c>
      <c r="U2271">
        <v>-0.18011469999999999</v>
      </c>
      <c r="V2271">
        <v>-6.7529309999999995E-2</v>
      </c>
      <c r="W2271">
        <v>0.1762146</v>
      </c>
      <c r="X2271">
        <v>0.98203269999999998</v>
      </c>
      <c r="Y2271">
        <v>-5.6151260000000001E-2</v>
      </c>
      <c r="Z2271">
        <v>-9.1370700000000004E-4</v>
      </c>
      <c r="AA2271">
        <v>0.99842180000000003</v>
      </c>
      <c r="AB2271">
        <v>36</v>
      </c>
      <c r="AC2271">
        <v>-46.767699999999998</v>
      </c>
      <c r="AD2271">
        <v>-1.1095343433</v>
      </c>
      <c r="AE2271">
        <v>-2.7739000000000198</v>
      </c>
      <c r="AF2271">
        <v>-2.6417144650457001</v>
      </c>
      <c r="AG2271">
        <v>-1.1095343433</v>
      </c>
      <c r="AH2271">
        <v>46.749048825982598</v>
      </c>
      <c r="AI2271">
        <v>91.357428761695601</v>
      </c>
      <c r="AJ2271">
        <v>93.234253843601607</v>
      </c>
      <c r="AK2271">
        <v>46.836772816964</v>
      </c>
      <c r="AL2271">
        <v>79.850652018915696</v>
      </c>
      <c r="AM2271">
        <v>93.933741873559896</v>
      </c>
      <c r="AN2271">
        <v>1.0000000084157601</v>
      </c>
    </row>
    <row r="2272" spans="1:40" x14ac:dyDescent="0.25">
      <c r="A2272" t="str">
        <f>"20190304155638853"</f>
        <v>20190304155638853</v>
      </c>
      <c r="B2272" t="str">
        <f>"1551686198847187"</f>
        <v>1551686198847187</v>
      </c>
      <c r="C2272" t="s">
        <v>40</v>
      </c>
      <c r="D2272">
        <v>4.7563469999999999</v>
      </c>
      <c r="E2272">
        <v>0.5030715</v>
      </c>
      <c r="F2272" t="s">
        <v>55</v>
      </c>
      <c r="G2272">
        <v>-379.56139999999999</v>
      </c>
      <c r="H2272" s="1">
        <v>3.5513050000000001E-6</v>
      </c>
      <c r="I2272">
        <v>281.50920000000002</v>
      </c>
      <c r="J2272">
        <v>-333.18610000000001</v>
      </c>
      <c r="K2272">
        <v>1.1095299999999999</v>
      </c>
      <c r="L2272">
        <v>284.31169999999997</v>
      </c>
      <c r="M2272">
        <v>-0.99994369999999999</v>
      </c>
      <c r="N2272">
        <v>-1.0266249999999999E-2</v>
      </c>
      <c r="O2272">
        <v>-2.7407569999999999E-3</v>
      </c>
      <c r="P2272">
        <v>-0.98368599999999995</v>
      </c>
      <c r="Q2272">
        <v>0.16554559999999999</v>
      </c>
      <c r="R2272">
        <v>-7.0405460000000003E-2</v>
      </c>
      <c r="S2272">
        <v>-3.049255</v>
      </c>
      <c r="T2272">
        <v>-7.2649240000000004E-2</v>
      </c>
      <c r="U2272">
        <v>-0.18353269999999999</v>
      </c>
      <c r="V2272">
        <v>-6.7670610000000006E-2</v>
      </c>
      <c r="W2272">
        <v>0.175652799999999</v>
      </c>
      <c r="X2272">
        <v>0.98212359999999999</v>
      </c>
      <c r="Y2272">
        <v>-5.7321490000000003E-2</v>
      </c>
      <c r="Z2272">
        <v>-9.3958850000000005E-4</v>
      </c>
      <c r="AA2272">
        <v>0.99835529999999995</v>
      </c>
      <c r="AB2272">
        <v>36</v>
      </c>
      <c r="AC2272">
        <v>-46.375299999999903</v>
      </c>
      <c r="AD2272">
        <v>-1.1095264486949901</v>
      </c>
      <c r="AE2272">
        <v>-2.80249999999995</v>
      </c>
      <c r="AF2272">
        <v>-2.6738544129097899</v>
      </c>
      <c r="AG2272">
        <v>-1.1095264486949901</v>
      </c>
      <c r="AH2272">
        <v>46.356369203309299</v>
      </c>
      <c r="AI2272">
        <v>91.368822030590295</v>
      </c>
      <c r="AJ2272">
        <v>93.301186286193797</v>
      </c>
      <c r="AK2272">
        <v>46.446673853735902</v>
      </c>
      <c r="AL2272">
        <v>79.883350651919201</v>
      </c>
      <c r="AM2272">
        <v>93.9415833148243</v>
      </c>
      <c r="AN2272">
        <v>0.99999999164128595</v>
      </c>
    </row>
    <row r="2273" spans="1:40" x14ac:dyDescent="0.25">
      <c r="A2273" t="str">
        <f>"20190304155638865"</f>
        <v>20190304155638865</v>
      </c>
      <c r="B2273" t="str">
        <f>"1551686198856948"</f>
        <v>1551686198856948</v>
      </c>
      <c r="C2273" t="s">
        <v>40</v>
      </c>
      <c r="D2273">
        <v>4.7485799999999996</v>
      </c>
      <c r="E2273">
        <v>0.50298180000000003</v>
      </c>
      <c r="F2273" t="s">
        <v>55</v>
      </c>
      <c r="G2273">
        <v>-378.71899999999999</v>
      </c>
      <c r="H2273" s="1">
        <v>3.1030440000000001E-6</v>
      </c>
      <c r="I2273">
        <v>281.55860000000001</v>
      </c>
      <c r="J2273">
        <v>-333.40320000000003</v>
      </c>
      <c r="K2273">
        <v>1.1095159999999999</v>
      </c>
      <c r="L2273">
        <v>284.31119999999999</v>
      </c>
      <c r="M2273">
        <v>-0.99994369999999999</v>
      </c>
      <c r="N2273">
        <v>-1.026902E-2</v>
      </c>
      <c r="O2273">
        <v>-2.674264E-3</v>
      </c>
      <c r="P2273">
        <v>-0.98366370000000003</v>
      </c>
      <c r="Q2273">
        <v>0.1655083</v>
      </c>
      <c r="R2273">
        <v>-7.0803089999999999E-2</v>
      </c>
      <c r="S2273">
        <v>-3.049042</v>
      </c>
      <c r="T2273">
        <v>-7.4297669999999996E-2</v>
      </c>
      <c r="U2273">
        <v>-0.18435670000000001</v>
      </c>
      <c r="V2273">
        <v>-6.8129969999999998E-2</v>
      </c>
      <c r="W2273">
        <v>0.175619</v>
      </c>
      <c r="X2273">
        <v>0.98209789999999997</v>
      </c>
      <c r="Y2273">
        <v>-5.7659849999999999E-2</v>
      </c>
      <c r="Z2273">
        <v>-9.6050599999999997E-4</v>
      </c>
      <c r="AA2273">
        <v>0.9983358</v>
      </c>
      <c r="AB2273">
        <v>36</v>
      </c>
      <c r="AC2273">
        <v>-45.315799999999903</v>
      </c>
      <c r="AD2273">
        <v>-1.109512896956</v>
      </c>
      <c r="AE2273">
        <v>-2.75259999999997</v>
      </c>
      <c r="AF2273">
        <v>-2.6298266543414601</v>
      </c>
      <c r="AG2273">
        <v>-1.109512896956</v>
      </c>
      <c r="AH2273">
        <v>45.295945893685399</v>
      </c>
      <c r="AI2273">
        <v>91.400807237559803</v>
      </c>
      <c r="AJ2273">
        <v>93.322792006884995</v>
      </c>
      <c r="AK2273">
        <v>45.385787659839799</v>
      </c>
      <c r="AL2273">
        <v>79.885317971119207</v>
      </c>
      <c r="AM2273">
        <v>93.968357792543401</v>
      </c>
      <c r="AN2273">
        <v>1.0000000055788001</v>
      </c>
    </row>
    <row r="2274" spans="1:40" x14ac:dyDescent="0.25">
      <c r="A2274" t="str">
        <f>"20190304155638883"</f>
        <v>20190304155638883</v>
      </c>
      <c r="B2274" t="str">
        <f>"1551686198877449"</f>
        <v>1551686198877449</v>
      </c>
      <c r="C2274" t="s">
        <v>40</v>
      </c>
      <c r="D2274">
        <v>4.7375959999999999</v>
      </c>
      <c r="E2274">
        <v>0.50276149999999997</v>
      </c>
      <c r="F2274" t="s">
        <v>55</v>
      </c>
      <c r="G2274">
        <v>-378.9008</v>
      </c>
      <c r="H2274" s="1">
        <v>3.199776E-6</v>
      </c>
      <c r="I2274">
        <v>281.52960000000002</v>
      </c>
      <c r="J2274">
        <v>-333.67840000000001</v>
      </c>
      <c r="K2274">
        <v>1.109494</v>
      </c>
      <c r="L2274">
        <v>284.31049999999999</v>
      </c>
      <c r="M2274">
        <v>-0.99994400000000006</v>
      </c>
      <c r="N2274">
        <v>-1.02725E-2</v>
      </c>
      <c r="O2274">
        <v>-2.5823700000000001E-3</v>
      </c>
      <c r="P2274">
        <v>-0.98374300000000003</v>
      </c>
      <c r="Q2274">
        <v>0.16485320000000001</v>
      </c>
      <c r="R2274">
        <v>-7.1225849999999993E-2</v>
      </c>
      <c r="S2274">
        <v>-3.0489199999999999</v>
      </c>
      <c r="T2274">
        <v>-7.4351550000000002E-2</v>
      </c>
      <c r="U2274">
        <v>-0.18640139999999999</v>
      </c>
      <c r="V2274">
        <v>-6.863909E-2</v>
      </c>
      <c r="W2274">
        <v>0.17496970000000001</v>
      </c>
      <c r="X2274">
        <v>0.98217829999999995</v>
      </c>
      <c r="Y2274">
        <v>-5.8420659999999999E-2</v>
      </c>
      <c r="Z2274">
        <v>-9.7557009999999997E-4</v>
      </c>
      <c r="AA2274">
        <v>0.99829159999999995</v>
      </c>
      <c r="AB2274">
        <v>36</v>
      </c>
      <c r="AC2274">
        <v>-45.222399999999901</v>
      </c>
      <c r="AD2274">
        <v>-1.109490800224</v>
      </c>
      <c r="AE2274">
        <v>-2.7808999999999702</v>
      </c>
      <c r="AF2274">
        <v>-2.6625070228607899</v>
      </c>
      <c r="AG2274">
        <v>-1.109490800224</v>
      </c>
      <c r="AH2274">
        <v>45.202325116655103</v>
      </c>
      <c r="AI2274">
        <v>91.403610461216402</v>
      </c>
      <c r="AJ2274">
        <v>93.370940754460193</v>
      </c>
      <c r="AK2274">
        <v>45.294261330044399</v>
      </c>
      <c r="AL2274">
        <v>79.923104821439296</v>
      </c>
      <c r="AM2274">
        <v>93.997590430709494</v>
      </c>
      <c r="AN2274">
        <v>0.99999996679250303</v>
      </c>
    </row>
    <row r="2275" spans="1:40" x14ac:dyDescent="0.25">
      <c r="A2275" t="str">
        <f>"20190304155638894"</f>
        <v>20190304155638894</v>
      </c>
      <c r="B2275" t="str">
        <f>"1551686198887113"</f>
        <v>1551686198887113</v>
      </c>
      <c r="C2275" t="s">
        <v>40</v>
      </c>
      <c r="D2275">
        <v>4.746499</v>
      </c>
      <c r="E2275">
        <v>0.50266120000000003</v>
      </c>
      <c r="F2275" t="s">
        <v>55</v>
      </c>
      <c r="G2275">
        <v>-378.1678</v>
      </c>
      <c r="H2275" s="1">
        <v>2.8096920000000002E-6</v>
      </c>
      <c r="I2275">
        <v>281.5471</v>
      </c>
      <c r="J2275">
        <v>-333.86160000000001</v>
      </c>
      <c r="K2275">
        <v>1.109488</v>
      </c>
      <c r="L2275">
        <v>284.31009999999998</v>
      </c>
      <c r="M2275">
        <v>-0.99994419999999995</v>
      </c>
      <c r="N2275">
        <v>-1.027482E-2</v>
      </c>
      <c r="O2275">
        <v>-2.5178179999999998E-3</v>
      </c>
      <c r="P2275">
        <v>-0.98377420000000004</v>
      </c>
      <c r="Q2275">
        <v>0.1645104</v>
      </c>
      <c r="R2275">
        <v>-7.1586469999999999E-2</v>
      </c>
      <c r="S2275">
        <v>-3.0486759999999999</v>
      </c>
      <c r="T2275">
        <v>-7.6028940000000003E-2</v>
      </c>
      <c r="U2275">
        <v>-0.18936159999999999</v>
      </c>
      <c r="V2275">
        <v>-6.9060129999999997E-2</v>
      </c>
      <c r="W2275">
        <v>0.17463119999999999</v>
      </c>
      <c r="X2275">
        <v>0.98220909999999995</v>
      </c>
      <c r="Y2275">
        <v>-5.9454199999999902E-2</v>
      </c>
      <c r="Z2275">
        <v>-1.009451E-3</v>
      </c>
      <c r="AA2275">
        <v>0.99823050000000002</v>
      </c>
      <c r="AB2275">
        <v>36</v>
      </c>
      <c r="AC2275">
        <v>-44.306199999999897</v>
      </c>
      <c r="AD2275">
        <v>-1.1094851903080001</v>
      </c>
      <c r="AE2275">
        <v>-2.7629999999999701</v>
      </c>
      <c r="AF2275">
        <v>-2.6497752717616101</v>
      </c>
      <c r="AG2275">
        <v>-1.1094851903080001</v>
      </c>
      <c r="AH2275">
        <v>44.285354333712</v>
      </c>
      <c r="AI2275">
        <v>91.432575365097804</v>
      </c>
      <c r="AJ2275">
        <v>93.424160222679404</v>
      </c>
      <c r="AK2275">
        <v>44.378428034809602</v>
      </c>
      <c r="AL2275">
        <v>79.942803426547101</v>
      </c>
      <c r="AM2275">
        <v>94.021906163609003</v>
      </c>
      <c r="AN2275">
        <v>1.0000000368459301</v>
      </c>
    </row>
    <row r="2276" spans="1:40" x14ac:dyDescent="0.25">
      <c r="A2276" t="str">
        <f>"20190304155638906"</f>
        <v>20190304155638906</v>
      </c>
      <c r="B2276" t="str">
        <f>"1551686198896874"</f>
        <v>1551686198896874</v>
      </c>
      <c r="C2276" t="s">
        <v>40</v>
      </c>
      <c r="D2276">
        <v>4.7195410000000004</v>
      </c>
      <c r="E2276">
        <v>0.50257370000000001</v>
      </c>
      <c r="F2276" t="s">
        <v>55</v>
      </c>
      <c r="G2276">
        <v>-377.91160000000002</v>
      </c>
      <c r="H2276" s="1">
        <v>2.6733849999999999E-6</v>
      </c>
      <c r="I2276">
        <v>281.5487</v>
      </c>
      <c r="J2276">
        <v>-334.06</v>
      </c>
      <c r="K2276">
        <v>1.109483</v>
      </c>
      <c r="L2276">
        <v>284.30959999999999</v>
      </c>
      <c r="M2276">
        <v>-0.99994430000000001</v>
      </c>
      <c r="N2276">
        <v>-1.027732E-2</v>
      </c>
      <c r="O2276">
        <v>-2.4454030000000001E-3</v>
      </c>
      <c r="P2276">
        <v>-0.98382630000000004</v>
      </c>
      <c r="Q2276">
        <v>0.1642187</v>
      </c>
      <c r="R2276">
        <v>-7.1542999999999995E-2</v>
      </c>
      <c r="S2276">
        <v>-3.0484309999999999</v>
      </c>
      <c r="T2276">
        <v>-7.6780680000000004E-2</v>
      </c>
      <c r="U2276">
        <v>-0.1911011</v>
      </c>
      <c r="V2276">
        <v>-6.9085720000000003E-2</v>
      </c>
      <c r="W2276">
        <v>0.17434340000000001</v>
      </c>
      <c r="X2276">
        <v>0.98225839999999998</v>
      </c>
      <c r="Y2276">
        <v>-6.0098100000000002E-2</v>
      </c>
      <c r="Z2276">
        <v>-1.0287709999999999E-3</v>
      </c>
      <c r="AA2276">
        <v>0.99819199999999997</v>
      </c>
      <c r="AB2276">
        <v>36</v>
      </c>
      <c r="AC2276">
        <v>-43.851599999999998</v>
      </c>
      <c r="AD2276">
        <v>-1.109480326615</v>
      </c>
      <c r="AE2276">
        <v>-2.7608999999999901</v>
      </c>
      <c r="AF2276">
        <v>-2.65196035993436</v>
      </c>
      <c r="AG2276">
        <v>-1.109480326615</v>
      </c>
      <c r="AH2276">
        <v>43.8302744343885</v>
      </c>
      <c r="AI2276">
        <v>91.447378625513394</v>
      </c>
      <c r="AJ2276">
        <v>93.462472578592397</v>
      </c>
      <c r="AK2276">
        <v>43.924444189307899</v>
      </c>
      <c r="AL2276">
        <v>79.9595497930666</v>
      </c>
      <c r="AM2276">
        <v>94.023190301294605</v>
      </c>
      <c r="AN2276">
        <v>1.0000000111010099</v>
      </c>
    </row>
    <row r="2277" spans="1:40" x14ac:dyDescent="0.25">
      <c r="A2277" t="str">
        <f>"20190304155638918"</f>
        <v>20190304155638918</v>
      </c>
      <c r="B2277" t="str">
        <f>"1551686198906635"</f>
        <v>1551686198906635</v>
      </c>
      <c r="C2277" t="s">
        <v>40</v>
      </c>
      <c r="D2277">
        <v>4.714931</v>
      </c>
      <c r="E2277">
        <v>0.50248119999999996</v>
      </c>
      <c r="F2277" t="s">
        <v>55</v>
      </c>
      <c r="G2277">
        <v>-377.6628</v>
      </c>
      <c r="H2277" s="1">
        <v>2.5409640000000002E-6</v>
      </c>
      <c r="I2277">
        <v>281.56779999999998</v>
      </c>
      <c r="J2277">
        <v>-334.24029999999999</v>
      </c>
      <c r="K2277">
        <v>1.109477</v>
      </c>
      <c r="L2277">
        <v>284.30930000000001</v>
      </c>
      <c r="M2277">
        <v>-0.99994450000000001</v>
      </c>
      <c r="N2277">
        <v>-1.027959E-2</v>
      </c>
      <c r="O2277">
        <v>-2.3772939999999998E-3</v>
      </c>
      <c r="P2277">
        <v>-0.98384930000000004</v>
      </c>
      <c r="Q2277">
        <v>0.16391439999999999</v>
      </c>
      <c r="R2277">
        <v>-7.1922440000000004E-2</v>
      </c>
      <c r="S2277">
        <v>-3.0483090000000002</v>
      </c>
      <c r="T2277">
        <v>-7.7564720000000004E-2</v>
      </c>
      <c r="U2277">
        <v>-0.19168089999999999</v>
      </c>
      <c r="V2277">
        <v>-6.9530679999999997E-2</v>
      </c>
      <c r="W2277">
        <v>0.1740419</v>
      </c>
      <c r="X2277">
        <v>0.98228040000000005</v>
      </c>
      <c r="Y2277">
        <v>-6.035712E-2</v>
      </c>
      <c r="Z2277">
        <v>-1.0416170000000001E-3</v>
      </c>
      <c r="AA2277">
        <v>0.99817630000000002</v>
      </c>
      <c r="AB2277">
        <v>36</v>
      </c>
      <c r="AC2277">
        <v>-43.422499999999999</v>
      </c>
      <c r="AD2277">
        <v>-1.1094744590359999</v>
      </c>
      <c r="AE2277">
        <v>-2.74150000000003</v>
      </c>
      <c r="AF2277">
        <v>-2.6365443651054301</v>
      </c>
      <c r="AG2277">
        <v>-1.1094744590359999</v>
      </c>
      <c r="AH2277">
        <v>43.400673892311602</v>
      </c>
      <c r="AI2277">
        <v>91.461670048224605</v>
      </c>
      <c r="AJ2277">
        <v>93.476384866826194</v>
      </c>
      <c r="AK2277">
        <v>43.494836406994303</v>
      </c>
      <c r="AL2277">
        <v>79.977091966536705</v>
      </c>
      <c r="AM2277">
        <v>94.048926145544996</v>
      </c>
      <c r="AN2277">
        <v>0.99999994132051395</v>
      </c>
    </row>
    <row r="2278" spans="1:40" x14ac:dyDescent="0.25">
      <c r="A2278" t="str">
        <f>"20190304155638930"</f>
        <v>20190304155638930</v>
      </c>
      <c r="B2278" t="str">
        <f>"1551686198927130"</f>
        <v>1551686198927130</v>
      </c>
      <c r="C2278" t="s">
        <v>40</v>
      </c>
      <c r="D2278">
        <v>4.720745</v>
      </c>
      <c r="E2278">
        <v>0.50233039999999995</v>
      </c>
      <c r="F2278" t="s">
        <v>55</v>
      </c>
      <c r="G2278">
        <v>-377.44619999999998</v>
      </c>
      <c r="H2278" s="1">
        <v>2.4257069999999999E-6</v>
      </c>
      <c r="I2278">
        <v>281.56849999999997</v>
      </c>
      <c r="J2278">
        <v>-334.43810000000002</v>
      </c>
      <c r="K2278">
        <v>1.1094679999999999</v>
      </c>
      <c r="L2278">
        <v>284.30880000000002</v>
      </c>
      <c r="M2278">
        <v>-0.99994450000000001</v>
      </c>
      <c r="N2278">
        <v>-1.0282070000000001E-2</v>
      </c>
      <c r="O2278">
        <v>-2.3013170000000002E-3</v>
      </c>
      <c r="P2278">
        <v>-0.98384689999999997</v>
      </c>
      <c r="Q2278">
        <v>0.16378970000000001</v>
      </c>
      <c r="R2278">
        <v>-7.223707E-2</v>
      </c>
      <c r="S2278">
        <v>-3.048187</v>
      </c>
      <c r="T2278">
        <v>-7.827365E-2</v>
      </c>
      <c r="U2278">
        <v>-0.19335939999999999</v>
      </c>
      <c r="V2278">
        <v>-6.9917679999999996E-2</v>
      </c>
      <c r="W2278">
        <v>0.17392079999999999</v>
      </c>
      <c r="X2278">
        <v>0.98227439999999999</v>
      </c>
      <c r="Y2278">
        <v>-6.09822E-2</v>
      </c>
      <c r="Z2278">
        <v>-1.060578E-3</v>
      </c>
      <c r="AA2278">
        <v>0.99813830000000003</v>
      </c>
      <c r="AB2278">
        <v>36</v>
      </c>
      <c r="AC2278">
        <v>-43.008099999999899</v>
      </c>
      <c r="AD2278">
        <v>-1.109465574293</v>
      </c>
      <c r="AE2278">
        <v>-2.7403000000000399</v>
      </c>
      <c r="AF2278">
        <v>-2.6395627976367502</v>
      </c>
      <c r="AG2278">
        <v>-1.109465574293</v>
      </c>
      <c r="AH2278">
        <v>42.985802720437597</v>
      </c>
      <c r="AI2278">
        <v>91.475700191635596</v>
      </c>
      <c r="AJ2278">
        <v>93.513861382991905</v>
      </c>
      <c r="AK2278">
        <v>43.081056639126103</v>
      </c>
      <c r="AL2278">
        <v>79.984138151392997</v>
      </c>
      <c r="AM2278">
        <v>94.071411225320205</v>
      </c>
      <c r="AN2278">
        <v>0.99999996177229</v>
      </c>
    </row>
    <row r="2279" spans="1:40" x14ac:dyDescent="0.25">
      <c r="A2279" t="str">
        <f>"20190304155638941"</f>
        <v>20190304155638941</v>
      </c>
      <c r="B2279" t="str">
        <f>"1551686198936889"</f>
        <v>1551686198936889</v>
      </c>
      <c r="C2279" t="s">
        <v>40</v>
      </c>
      <c r="D2279">
        <v>4.6636290000000002</v>
      </c>
      <c r="E2279">
        <v>0.50224309999999905</v>
      </c>
      <c r="F2279" t="s">
        <v>55</v>
      </c>
      <c r="G2279">
        <v>-377.71140000000003</v>
      </c>
      <c r="H2279" s="1">
        <v>2.5668440000000001E-6</v>
      </c>
      <c r="I2279">
        <v>281.53629999999998</v>
      </c>
      <c r="J2279">
        <v>-334.62699999999899</v>
      </c>
      <c r="K2279">
        <v>1.1094679999999999</v>
      </c>
      <c r="L2279">
        <v>284.30849999999998</v>
      </c>
      <c r="M2279">
        <v>-0.99994470000000002</v>
      </c>
      <c r="N2279">
        <v>-1.0284450000000001E-2</v>
      </c>
      <c r="O2279">
        <v>-2.2271420000000001E-3</v>
      </c>
      <c r="P2279">
        <v>-0.98387740000000001</v>
      </c>
      <c r="Q2279">
        <v>0.1635576</v>
      </c>
      <c r="R2279">
        <v>-7.2349529999999995E-2</v>
      </c>
      <c r="S2279">
        <v>-3.0479129999999999</v>
      </c>
      <c r="T2279">
        <v>-7.8144069999999996E-2</v>
      </c>
      <c r="U2279">
        <v>-0.19528200000000001</v>
      </c>
      <c r="V2279">
        <v>-7.0101830000000004E-2</v>
      </c>
      <c r="W2279">
        <v>0.1736916</v>
      </c>
      <c r="X2279">
        <v>0.98230189999999995</v>
      </c>
      <c r="Y2279">
        <v>-6.1688699999999902E-2</v>
      </c>
      <c r="Z2279">
        <v>-1.0733369999999999E-3</v>
      </c>
      <c r="AA2279">
        <v>0.99809490000000001</v>
      </c>
      <c r="AB2279">
        <v>36</v>
      </c>
      <c r="AC2279">
        <v>-43.084400000000002</v>
      </c>
      <c r="AD2279">
        <v>-1.1094654331559901</v>
      </c>
      <c r="AE2279">
        <v>-2.77219999999999</v>
      </c>
      <c r="AF2279">
        <v>-2.6744668173094399</v>
      </c>
      <c r="AG2279">
        <v>-1.1094654331559901</v>
      </c>
      <c r="AH2279">
        <v>43.062030291321904</v>
      </c>
      <c r="AI2279">
        <v>91.473025323033497</v>
      </c>
      <c r="AJ2279">
        <v>93.553921832574105</v>
      </c>
      <c r="AK2279">
        <v>43.1592648120306</v>
      </c>
      <c r="AL2279">
        <v>79.997474002979999</v>
      </c>
      <c r="AM2279">
        <v>94.081984458122704</v>
      </c>
      <c r="AN2279">
        <v>1.00000003061175</v>
      </c>
    </row>
    <row r="2280" spans="1:40" x14ac:dyDescent="0.25">
      <c r="A2280" t="str">
        <f>"20190304155638954"</f>
        <v>20190304155638954</v>
      </c>
      <c r="B2280" t="str">
        <f>"1551686198946649"</f>
        <v>1551686198946649</v>
      </c>
      <c r="C2280" t="s">
        <v>40</v>
      </c>
      <c r="D2280">
        <v>4.644145</v>
      </c>
      <c r="E2280">
        <v>0.50231110000000001</v>
      </c>
      <c r="F2280" t="s">
        <v>55</v>
      </c>
      <c r="G2280">
        <v>-377.57889999999998</v>
      </c>
      <c r="H2280" s="1">
        <v>2.496312E-6</v>
      </c>
      <c r="I2280">
        <v>281.54349999999999</v>
      </c>
      <c r="J2280">
        <v>-334.81959999999998</v>
      </c>
      <c r="K2280">
        <v>1.109467</v>
      </c>
      <c r="L2280">
        <v>284.30810000000002</v>
      </c>
      <c r="M2280">
        <v>-0.99994490000000003</v>
      </c>
      <c r="N2280">
        <v>-1.028688E-2</v>
      </c>
      <c r="O2280">
        <v>-2.1511820000000002E-3</v>
      </c>
      <c r="P2280">
        <v>-0.98388730000000002</v>
      </c>
      <c r="Q2280">
        <v>0.1633725</v>
      </c>
      <c r="R2280">
        <v>-7.2631950000000001E-2</v>
      </c>
      <c r="S2280">
        <v>-3.0478209999999999</v>
      </c>
      <c r="T2280">
        <v>-7.8726530000000003E-2</v>
      </c>
      <c r="U2280">
        <v>-0.1961975</v>
      </c>
      <c r="V2280">
        <v>-7.0458229999999997E-2</v>
      </c>
      <c r="W2280">
        <v>0.17350989999999999</v>
      </c>
      <c r="X2280">
        <v>0.98230850000000003</v>
      </c>
      <c r="Y2280">
        <v>-6.206449E-2</v>
      </c>
      <c r="Z2280">
        <v>-1.0868589999999999E-3</v>
      </c>
      <c r="AA2280">
        <v>0.99807159999999995</v>
      </c>
      <c r="AB2280">
        <v>36</v>
      </c>
      <c r="AC2280">
        <v>-42.759300000000003</v>
      </c>
      <c r="AD2280">
        <v>-1.109464503688</v>
      </c>
      <c r="AE2280">
        <v>-2.7646000000000299</v>
      </c>
      <c r="AF2280">
        <v>-2.6708151136726399</v>
      </c>
      <c r="AG2280">
        <v>-1.109464503688</v>
      </c>
      <c r="AH2280">
        <v>42.736496660588102</v>
      </c>
      <c r="AI2280">
        <v>91.484203759649702</v>
      </c>
      <c r="AJ2280">
        <v>93.576046012432798</v>
      </c>
      <c r="AK2280">
        <v>42.834242279709102</v>
      </c>
      <c r="AL2280">
        <v>80.008045033446805</v>
      </c>
      <c r="AM2280">
        <v>94.102639243174806</v>
      </c>
      <c r="AN2280">
        <v>1.00000001837249</v>
      </c>
    </row>
    <row r="2281" spans="1:40" x14ac:dyDescent="0.25">
      <c r="A2281" t="str">
        <f>"20190304155638966"</f>
        <v>20190304155638966</v>
      </c>
      <c r="B2281" t="str">
        <f>"1551686198957386"</f>
        <v>1551686198957386</v>
      </c>
      <c r="C2281" t="s">
        <v>40</v>
      </c>
      <c r="D2281">
        <v>4.6691940000000001</v>
      </c>
      <c r="E2281">
        <v>0.50221729999999998</v>
      </c>
      <c r="F2281" t="s">
        <v>55</v>
      </c>
      <c r="G2281">
        <v>-377.95589999999999</v>
      </c>
      <c r="H2281" s="1">
        <v>2.6969599999999902E-6</v>
      </c>
      <c r="I2281">
        <v>281.5299</v>
      </c>
      <c r="J2281">
        <v>-335.01839999999999</v>
      </c>
      <c r="K2281">
        <v>1.1094630000000001</v>
      </c>
      <c r="L2281">
        <v>284.30770000000001</v>
      </c>
      <c r="M2281">
        <v>-0.99994490000000003</v>
      </c>
      <c r="N2281">
        <v>-1.0289390000000001E-2</v>
      </c>
      <c r="O2281">
        <v>-2.0720080000000002E-3</v>
      </c>
      <c r="P2281">
        <v>-0.98387800000000003</v>
      </c>
      <c r="Q2281">
        <v>0.16334589999999999</v>
      </c>
      <c r="R2281">
        <v>-7.2818480000000005E-2</v>
      </c>
      <c r="S2281">
        <v>-3.0476990000000002</v>
      </c>
      <c r="T2281">
        <v>-7.8386659999999997E-2</v>
      </c>
      <c r="U2281">
        <v>-0.19628909999999999</v>
      </c>
      <c r="V2281">
        <v>-7.0721300000000001E-2</v>
      </c>
      <c r="W2281">
        <v>0.173486</v>
      </c>
      <c r="X2281">
        <v>0.98229379999999999</v>
      </c>
      <c r="Y2281">
        <v>-6.217607E-2</v>
      </c>
      <c r="Z2281">
        <v>-1.0869829999999999E-3</v>
      </c>
      <c r="AA2281">
        <v>0.99806459999999997</v>
      </c>
      <c r="AB2281">
        <v>36</v>
      </c>
      <c r="AC2281">
        <v>-42.9375</v>
      </c>
      <c r="AD2281">
        <v>-1.1094603030400001</v>
      </c>
      <c r="AE2281">
        <v>-2.7778000000000098</v>
      </c>
      <c r="AF2281">
        <v>-2.6870359544608799</v>
      </c>
      <c r="AG2281">
        <v>-1.1094603030400001</v>
      </c>
      <c r="AH2281">
        <v>42.914631135933199</v>
      </c>
      <c r="AI2281">
        <v>91.478029203552097</v>
      </c>
      <c r="AJ2281">
        <v>93.582813024437201</v>
      </c>
      <c r="AK2281">
        <v>43.012982109100399</v>
      </c>
      <c r="AL2281">
        <v>80.009435324584899</v>
      </c>
      <c r="AM2281">
        <v>94.117966088223994</v>
      </c>
      <c r="AN2281">
        <v>1.00000000199406</v>
      </c>
    </row>
    <row r="2282" spans="1:40" x14ac:dyDescent="0.25">
      <c r="A2282" t="str">
        <f>"20190304155638977"</f>
        <v>20190304155638977</v>
      </c>
      <c r="B2282" t="str">
        <f>"1551686198967146"</f>
        <v>1551686198967146</v>
      </c>
      <c r="C2282" t="s">
        <v>40</v>
      </c>
      <c r="D2282">
        <v>4.6642749999999999</v>
      </c>
      <c r="E2282">
        <v>0.50215569999999998</v>
      </c>
      <c r="F2282" t="s">
        <v>55</v>
      </c>
      <c r="G2282">
        <v>-378.29570000000001</v>
      </c>
      <c r="H2282" s="1">
        <v>2.8777820000000001E-6</v>
      </c>
      <c r="I2282">
        <v>281.5034</v>
      </c>
      <c r="J2282">
        <v>-335.20260000000002</v>
      </c>
      <c r="K2282">
        <v>1.1094619999999999</v>
      </c>
      <c r="L2282">
        <v>284.30739999999997</v>
      </c>
      <c r="M2282">
        <v>-0.99994499999999997</v>
      </c>
      <c r="N2282">
        <v>-1.0291710000000001E-2</v>
      </c>
      <c r="O2282">
        <v>-1.9983219999999999E-3</v>
      </c>
      <c r="P2282">
        <v>-0.98390279999999997</v>
      </c>
      <c r="Q2282">
        <v>0.16309279999999901</v>
      </c>
      <c r="R2282">
        <v>-7.3049169999999997E-2</v>
      </c>
      <c r="S2282">
        <v>-3.0475460000000001</v>
      </c>
      <c r="T2282">
        <v>-7.8127150000000006E-2</v>
      </c>
      <c r="U2282">
        <v>-0.19747919999999999</v>
      </c>
      <c r="V2282">
        <v>-7.1023310000000006E-2</v>
      </c>
      <c r="W2282">
        <v>0.1732361</v>
      </c>
      <c r="X2282">
        <v>0.98231610000000003</v>
      </c>
      <c r="Y2282">
        <v>-6.2640909999999994E-2</v>
      </c>
      <c r="Z2282">
        <v>-1.0941E-3</v>
      </c>
      <c r="AA2282">
        <v>0.99803560000000002</v>
      </c>
      <c r="AB2282">
        <v>36</v>
      </c>
      <c r="AC2282">
        <v>-43.0930999999999</v>
      </c>
      <c r="AD2282">
        <v>-1.1094591222179999</v>
      </c>
      <c r="AE2282">
        <v>-2.8039999999999701</v>
      </c>
      <c r="AF2282">
        <v>-2.7160832146371798</v>
      </c>
      <c r="AG2282">
        <v>-1.1094591222179999</v>
      </c>
      <c r="AH2282">
        <v>43.0701893621358</v>
      </c>
      <c r="AI2282">
        <v>91.472650436687104</v>
      </c>
      <c r="AJ2282">
        <v>93.608396170967794</v>
      </c>
      <c r="AK2282">
        <v>43.170003697740597</v>
      </c>
      <c r="AL2282">
        <v>80.023973539821299</v>
      </c>
      <c r="AM2282">
        <v>94.135397113683496</v>
      </c>
      <c r="AN2282">
        <v>0.99999998861288797</v>
      </c>
    </row>
    <row r="2283" spans="1:40" x14ac:dyDescent="0.25">
      <c r="A2283" t="str">
        <f>"20190304155638995"</f>
        <v>20190304155638995</v>
      </c>
      <c r="B2283" t="str">
        <f>"1551686198987351"</f>
        <v>1551686198987351</v>
      </c>
      <c r="C2283" t="s">
        <v>40</v>
      </c>
      <c r="D2283">
        <v>4.6476810000000004</v>
      </c>
      <c r="E2283">
        <v>0.50216570000000005</v>
      </c>
      <c r="F2283" t="s">
        <v>55</v>
      </c>
      <c r="G2283">
        <v>-378.23950000000002</v>
      </c>
      <c r="H2283" s="1">
        <v>2.847867E-6</v>
      </c>
      <c r="I2283">
        <v>281.50170000000003</v>
      </c>
      <c r="J2283">
        <v>-335.4855</v>
      </c>
      <c r="K2283">
        <v>1.1094599999999999</v>
      </c>
      <c r="L2283">
        <v>284.30689999999998</v>
      </c>
      <c r="M2283">
        <v>-0.99994530000000004</v>
      </c>
      <c r="N2283">
        <v>-1.029527E-2</v>
      </c>
      <c r="O2283">
        <v>-1.8854130000000001E-3</v>
      </c>
      <c r="P2283">
        <v>-0.98382510000000001</v>
      </c>
      <c r="Q2283">
        <v>0.1633213</v>
      </c>
      <c r="R2283">
        <v>-7.3583300000000004E-2</v>
      </c>
      <c r="S2283">
        <v>-3.0473629999999998</v>
      </c>
      <c r="T2283">
        <v>-7.8558799999999998E-2</v>
      </c>
      <c r="U2283">
        <v>-0.1986694</v>
      </c>
      <c r="V2283">
        <v>-7.1667190000000006E-2</v>
      </c>
      <c r="W2283">
        <v>0.1734677</v>
      </c>
      <c r="X2283">
        <v>0.98222849999999995</v>
      </c>
      <c r="Y2283">
        <v>-6.3145099999999996E-2</v>
      </c>
      <c r="Z2283">
        <v>-1.109241E-3</v>
      </c>
      <c r="AA2283">
        <v>0.99800370000000005</v>
      </c>
      <c r="AB2283">
        <v>36</v>
      </c>
      <c r="AC2283">
        <v>-42.753999999999998</v>
      </c>
      <c r="AD2283">
        <v>-1.1094571521329999</v>
      </c>
      <c r="AE2283">
        <v>-2.80519999999995</v>
      </c>
      <c r="AF2283">
        <v>-2.7227561786099601</v>
      </c>
      <c r="AG2283">
        <v>-1.1094571521329999</v>
      </c>
      <c r="AH2283">
        <v>42.730562191936301</v>
      </c>
      <c r="AI2283">
        <v>91.4842857932355</v>
      </c>
      <c r="AJ2283">
        <v>93.645910849262407</v>
      </c>
      <c r="AK2283">
        <v>42.831591630705397</v>
      </c>
      <c r="AL2283">
        <v>80.010500238512805</v>
      </c>
      <c r="AM2283">
        <v>94.173126613838804</v>
      </c>
      <c r="AN2283">
        <v>1.00000002763901</v>
      </c>
    </row>
    <row r="2284" spans="1:40" x14ac:dyDescent="0.25">
      <c r="A2284" t="str">
        <f>"20190304155639019"</f>
        <v>20190304155639019</v>
      </c>
      <c r="B2284" t="str">
        <f>"1551686199006872"</f>
        <v>1551686199006872</v>
      </c>
      <c r="C2284" t="s">
        <v>40</v>
      </c>
      <c r="D2284">
        <v>4.7350399999999997</v>
      </c>
      <c r="E2284">
        <v>0.50226380000000004</v>
      </c>
      <c r="F2284" t="s">
        <v>55</v>
      </c>
      <c r="G2284">
        <v>-379.5856</v>
      </c>
      <c r="H2284" s="1">
        <v>3.5641779999999999E-6</v>
      </c>
      <c r="I2284">
        <v>281.41840000000002</v>
      </c>
      <c r="J2284">
        <v>-335.86900000000003</v>
      </c>
      <c r="K2284">
        <v>1.1094539999999999</v>
      </c>
      <c r="L2284">
        <v>284.30630000000002</v>
      </c>
      <c r="M2284">
        <v>-0.99994550000000004</v>
      </c>
      <c r="N2284">
        <v>-1.03001E-2</v>
      </c>
      <c r="O2284">
        <v>-1.732333E-3</v>
      </c>
      <c r="P2284">
        <v>-0.98381470000000004</v>
      </c>
      <c r="Q2284">
        <v>0.16319879999999901</v>
      </c>
      <c r="R2284">
        <v>-7.3991890000000005E-2</v>
      </c>
      <c r="S2284">
        <v>-3.0471189999999999</v>
      </c>
      <c r="T2284">
        <v>-7.6658489999999996E-2</v>
      </c>
      <c r="U2284">
        <v>-0.19958500000000001</v>
      </c>
      <c r="V2284">
        <v>-7.2225570000000003E-2</v>
      </c>
      <c r="W2284">
        <v>0.1733507</v>
      </c>
      <c r="X2284">
        <v>0.98220830000000003</v>
      </c>
      <c r="Y2284">
        <v>-6.3602599999999995E-2</v>
      </c>
      <c r="Z2284">
        <v>-1.1013500000000001E-3</v>
      </c>
      <c r="AA2284">
        <v>0.99797469999999999</v>
      </c>
      <c r="AB2284">
        <v>36</v>
      </c>
      <c r="AC2284">
        <v>-43.7165999999999</v>
      </c>
      <c r="AD2284">
        <v>-1.1094504358220001</v>
      </c>
      <c r="AE2284">
        <v>-2.8879000000000001</v>
      </c>
      <c r="AF2284">
        <v>-2.81035778249846</v>
      </c>
      <c r="AG2284">
        <v>-1.1094504358220001</v>
      </c>
      <c r="AH2284">
        <v>43.6935187009841</v>
      </c>
      <c r="AI2284">
        <v>91.451523594872697</v>
      </c>
      <c r="AJ2284">
        <v>93.680182861905095</v>
      </c>
      <c r="AK2284">
        <v>43.7978603085635</v>
      </c>
      <c r="AL2284">
        <v>80.017307408446598</v>
      </c>
      <c r="AM2284">
        <v>94.205610634108595</v>
      </c>
      <c r="AN2284">
        <v>1.0000000713705901</v>
      </c>
    </row>
    <row r="2285" spans="1:40" x14ac:dyDescent="0.25">
      <c r="A2285" t="str">
        <f>"20190304155639040"</f>
        <v>20190304155639040</v>
      </c>
      <c r="B2285" t="str">
        <f>"1551686199037127"</f>
        <v>1551686199037127</v>
      </c>
      <c r="C2285" t="s">
        <v>40</v>
      </c>
      <c r="D2285">
        <v>4.6059799999999997</v>
      </c>
      <c r="E2285">
        <v>0.50248859999999995</v>
      </c>
      <c r="F2285" t="s">
        <v>55</v>
      </c>
      <c r="G2285">
        <v>-380.61869999999999</v>
      </c>
      <c r="H2285" s="1">
        <v>-1.207566E-6</v>
      </c>
      <c r="I2285">
        <v>281.36959999999999</v>
      </c>
      <c r="J2285">
        <v>-336.20580000000001</v>
      </c>
      <c r="K2285">
        <v>1.109451</v>
      </c>
      <c r="L2285">
        <v>284.30590000000001</v>
      </c>
      <c r="M2285">
        <v>-0.99994559999999999</v>
      </c>
      <c r="N2285">
        <v>-1.030435E-2</v>
      </c>
      <c r="O2285">
        <v>-1.5986920000000001E-3</v>
      </c>
      <c r="P2285">
        <v>-0.98379830000000001</v>
      </c>
      <c r="Q2285">
        <v>0.16310949999999999</v>
      </c>
      <c r="R2285">
        <v>-7.4407609999999999E-2</v>
      </c>
      <c r="S2285">
        <v>-3.0468440000000001</v>
      </c>
      <c r="T2285">
        <v>-7.5538869999999994E-2</v>
      </c>
      <c r="U2285">
        <v>-0.1999512</v>
      </c>
      <c r="V2285">
        <v>-7.2770890000000005E-2</v>
      </c>
      <c r="W2285">
        <v>0.17326620000000001</v>
      </c>
      <c r="X2285">
        <v>0.98218289999999997</v>
      </c>
      <c r="Y2285">
        <v>-6.3861829999999994E-2</v>
      </c>
      <c r="Z2285">
        <v>-1.0970050000000001E-3</v>
      </c>
      <c r="AA2285">
        <v>0.99795809999999996</v>
      </c>
      <c r="AB2285">
        <v>36</v>
      </c>
      <c r="AC2285">
        <v>-44.412899999999901</v>
      </c>
      <c r="AD2285">
        <v>-1.109452207566</v>
      </c>
      <c r="AE2285">
        <v>-2.9363000000000099</v>
      </c>
      <c r="AF2285">
        <v>-2.8635108141232899</v>
      </c>
      <c r="AG2285">
        <v>-1.109452207566</v>
      </c>
      <c r="AH2285">
        <v>44.389958029712098</v>
      </c>
      <c r="AI2285">
        <v>91.428745014149996</v>
      </c>
      <c r="AJ2285">
        <v>93.690926529881295</v>
      </c>
      <c r="AK2285">
        <v>44.496055468581403</v>
      </c>
      <c r="AL2285">
        <v>80.022222710000804</v>
      </c>
      <c r="AM2285">
        <v>94.237357941305405</v>
      </c>
      <c r="AN2285">
        <v>1.00000001377312</v>
      </c>
    </row>
    <row r="2286" spans="1:40" x14ac:dyDescent="0.25">
      <c r="A2286" t="str">
        <f>"20190304155639051"</f>
        <v>20190304155639051</v>
      </c>
      <c r="B2286" t="str">
        <f>"1551686199046888"</f>
        <v>1551686199046888</v>
      </c>
      <c r="C2286" t="s">
        <v>40</v>
      </c>
      <c r="D2286">
        <v>4.560225</v>
      </c>
      <c r="E2286">
        <v>0.50257050000000003</v>
      </c>
      <c r="F2286" t="s">
        <v>55</v>
      </c>
      <c r="G2286">
        <v>-382.2011</v>
      </c>
      <c r="H2286" s="1">
        <v>-3.6547060000000001E-7</v>
      </c>
      <c r="I2286">
        <v>281.29579999999999</v>
      </c>
      <c r="J2286">
        <v>-336.40280000000001</v>
      </c>
      <c r="K2286">
        <v>1.10945</v>
      </c>
      <c r="L2286">
        <v>284.30560000000003</v>
      </c>
      <c r="M2286">
        <v>-0.99994570000000005</v>
      </c>
      <c r="N2286">
        <v>-1.0306839999999999E-2</v>
      </c>
      <c r="O2286">
        <v>-1.5204890000000001E-3</v>
      </c>
      <c r="P2286">
        <v>-0.9837941</v>
      </c>
      <c r="Q2286">
        <v>0.16296279999999999</v>
      </c>
      <c r="R2286">
        <v>-7.4781340000000002E-2</v>
      </c>
      <c r="S2286">
        <v>-3.0465089999999999</v>
      </c>
      <c r="T2286">
        <v>-7.348478E-2</v>
      </c>
      <c r="U2286">
        <v>-0.1993713</v>
      </c>
      <c r="V2286">
        <v>-7.3221889999999998E-2</v>
      </c>
      <c r="W2286">
        <v>0.173122</v>
      </c>
      <c r="X2286">
        <v>0.98217480000000001</v>
      </c>
      <c r="Y2286">
        <v>-6.3759239999999995E-2</v>
      </c>
      <c r="Z2286">
        <v>-1.0760639999999901E-3</v>
      </c>
      <c r="AA2286">
        <v>0.99796470000000004</v>
      </c>
      <c r="AB2286">
        <v>36</v>
      </c>
      <c r="AC2286">
        <v>-45.798299999999898</v>
      </c>
      <c r="AD2286">
        <v>-1.1094503654706001</v>
      </c>
      <c r="AE2286">
        <v>-3.0098000000000402</v>
      </c>
      <c r="AF2286">
        <v>-2.93844004009325</v>
      </c>
      <c r="AG2286">
        <v>-1.1094503654706001</v>
      </c>
      <c r="AH2286">
        <v>45.776076118547799</v>
      </c>
      <c r="AI2286">
        <v>91.385524952433101</v>
      </c>
      <c r="AJ2286">
        <v>93.672869120047395</v>
      </c>
      <c r="AK2286">
        <v>45.883705765704498</v>
      </c>
      <c r="AL2286">
        <v>80.030611446361405</v>
      </c>
      <c r="AM2286">
        <v>94.2635576002547</v>
      </c>
      <c r="AN2286">
        <v>1.0000000049071001</v>
      </c>
    </row>
    <row r="2287" spans="1:40" x14ac:dyDescent="0.25">
      <c r="A2287" t="str">
        <f>"20190304155639063"</f>
        <v>20190304155639063</v>
      </c>
      <c r="B2287" t="str">
        <f>"1551686199056647"</f>
        <v>1551686199056647</v>
      </c>
      <c r="C2287" t="s">
        <v>40</v>
      </c>
      <c r="D2287">
        <v>4.5744699999999998</v>
      </c>
      <c r="E2287">
        <v>0.50265349999999998</v>
      </c>
      <c r="F2287" t="s">
        <v>55</v>
      </c>
      <c r="G2287">
        <v>-382.5299</v>
      </c>
      <c r="H2287" s="1">
        <v>-1.9051189999999999E-7</v>
      </c>
      <c r="I2287">
        <v>281.27609999999999</v>
      </c>
      <c r="J2287">
        <v>-336.6037</v>
      </c>
      <c r="K2287">
        <v>1.1094459999999999</v>
      </c>
      <c r="L2287">
        <v>284.30540000000002</v>
      </c>
      <c r="M2287">
        <v>-0.99994590000000005</v>
      </c>
      <c r="N2287">
        <v>-1.030938E-2</v>
      </c>
      <c r="O2287">
        <v>-1.441215E-3</v>
      </c>
      <c r="P2287">
        <v>-0.9838017</v>
      </c>
      <c r="Q2287">
        <v>0.16289139999999999</v>
      </c>
      <c r="R2287">
        <v>-7.4839550000000005E-2</v>
      </c>
      <c r="S2287">
        <v>-3.0463260000000001</v>
      </c>
      <c r="T2287">
        <v>-7.327032E-2</v>
      </c>
      <c r="U2287">
        <v>-0.20007320000000001</v>
      </c>
      <c r="V2287">
        <v>-7.3357220000000001E-2</v>
      </c>
      <c r="W2287">
        <v>0.1730534</v>
      </c>
      <c r="X2287">
        <v>0.98217679999999996</v>
      </c>
      <c r="Y2287">
        <v>-6.4071210000000003E-2</v>
      </c>
      <c r="Z2287">
        <v>-1.080501E-3</v>
      </c>
      <c r="AA2287">
        <v>0.99794479999999997</v>
      </c>
      <c r="AB2287">
        <v>36</v>
      </c>
      <c r="AC2287">
        <v>-45.926200000000001</v>
      </c>
      <c r="AD2287">
        <v>-1.1094461905119</v>
      </c>
      <c r="AE2287">
        <v>-3.0293000000000299</v>
      </c>
      <c r="AF2287">
        <v>-2.9613831308057601</v>
      </c>
      <c r="AG2287">
        <v>-1.1094461905119</v>
      </c>
      <c r="AH2287">
        <v>45.9038464300979</v>
      </c>
      <c r="AI2287">
        <v>91.381636311304206</v>
      </c>
      <c r="AJ2287">
        <v>93.691192888821803</v>
      </c>
      <c r="AK2287">
        <v>46.012648021767603</v>
      </c>
      <c r="AL2287">
        <v>80.034602259857195</v>
      </c>
      <c r="AM2287">
        <v>94.271399780294303</v>
      </c>
      <c r="AN2287">
        <v>1.0000000137179601</v>
      </c>
    </row>
    <row r="2288" spans="1:40" x14ac:dyDescent="0.25">
      <c r="A2288" t="str">
        <f>"20190304155639075"</f>
        <v>20190304155639075</v>
      </c>
      <c r="B2288" t="str">
        <f>"1551686199067383"</f>
        <v>1551686199067383</v>
      </c>
      <c r="C2288" t="s">
        <v>40</v>
      </c>
      <c r="D2288">
        <v>4.632727</v>
      </c>
      <c r="E2288">
        <v>0.50276469999999995</v>
      </c>
      <c r="F2288" t="s">
        <v>55</v>
      </c>
      <c r="G2288">
        <v>-383.16019999999997</v>
      </c>
      <c r="H2288" s="1">
        <v>1.449089E-7</v>
      </c>
      <c r="I2288">
        <v>281.26159999999999</v>
      </c>
      <c r="J2288">
        <v>-336.78800000000001</v>
      </c>
      <c r="K2288">
        <v>1.1094440000000001</v>
      </c>
      <c r="L2288">
        <v>284.30520000000001</v>
      </c>
      <c r="M2288">
        <v>-0.999946</v>
      </c>
      <c r="N2288">
        <v>-1.031171E-2</v>
      </c>
      <c r="O2288">
        <v>-1.3683790000000001E-3</v>
      </c>
      <c r="P2288">
        <v>-0.98382829999999999</v>
      </c>
      <c r="Q2288">
        <v>0.16263429999999901</v>
      </c>
      <c r="R2288">
        <v>-7.5049850000000001E-2</v>
      </c>
      <c r="S2288">
        <v>-3.0462340000000001</v>
      </c>
      <c r="T2288">
        <v>-7.2592019999999993E-2</v>
      </c>
      <c r="U2288">
        <v>-0.19915769999999999</v>
      </c>
      <c r="V2288">
        <v>-7.3638739999999994E-2</v>
      </c>
      <c r="W2288">
        <v>0.17279939999999999</v>
      </c>
      <c r="X2288">
        <v>0.98220039999999997</v>
      </c>
      <c r="Y2288">
        <v>-6.3847680000000004E-2</v>
      </c>
      <c r="Z2288">
        <v>-1.070971E-3</v>
      </c>
      <c r="AA2288">
        <v>0.99795909999999999</v>
      </c>
      <c r="AB2288">
        <v>36</v>
      </c>
      <c r="AC2288">
        <v>-46.3721999999999</v>
      </c>
      <c r="AD2288">
        <v>-1.1094438550911001</v>
      </c>
      <c r="AE2288">
        <v>-3.0436000000000201</v>
      </c>
      <c r="AF2288">
        <v>-2.9784415081145701</v>
      </c>
      <c r="AG2288">
        <v>-1.1094438550911001</v>
      </c>
      <c r="AH2288">
        <v>46.349904979455602</v>
      </c>
      <c r="AI2288">
        <v>91.368364203209197</v>
      </c>
      <c r="AJ2288">
        <v>93.676767294944796</v>
      </c>
      <c r="AK2288">
        <v>46.458752362600301</v>
      </c>
      <c r="AL2288">
        <v>80.049377459980704</v>
      </c>
      <c r="AM2288">
        <v>94.287628300468796</v>
      </c>
      <c r="AN2288">
        <v>0.99999996121465295</v>
      </c>
    </row>
    <row r="2289" spans="1:40" x14ac:dyDescent="0.25">
      <c r="A2289" t="str">
        <f>"20190304155639086"</f>
        <v>20190304155639086</v>
      </c>
      <c r="B2289" t="str">
        <f>"1551686199077144"</f>
        <v>1551686199077144</v>
      </c>
      <c r="C2289" t="s">
        <v>40</v>
      </c>
      <c r="D2289">
        <v>4.7773199999999996</v>
      </c>
      <c r="E2289">
        <v>0.50276469999999995</v>
      </c>
      <c r="F2289" t="s">
        <v>55</v>
      </c>
      <c r="G2289">
        <v>-383.02749999999997</v>
      </c>
      <c r="H2289" s="1">
        <v>7.4277180000000002E-8</v>
      </c>
      <c r="I2289">
        <v>281.29000000000002</v>
      </c>
      <c r="J2289">
        <v>-336.98899999999998</v>
      </c>
      <c r="K2289">
        <v>1.10944</v>
      </c>
      <c r="L2289">
        <v>284.30500000000001</v>
      </c>
      <c r="M2289">
        <v>-0.99994609999999995</v>
      </c>
      <c r="N2289">
        <v>-1.031426E-2</v>
      </c>
      <c r="O2289">
        <v>-1.289108E-3</v>
      </c>
      <c r="P2289">
        <v>-0.98384329999999998</v>
      </c>
      <c r="Q2289">
        <v>0.16236419999999999</v>
      </c>
      <c r="R2289">
        <v>-7.543561E-2</v>
      </c>
      <c r="S2289">
        <v>-3.0462340000000001</v>
      </c>
      <c r="T2289">
        <v>-7.3089600000000005E-2</v>
      </c>
      <c r="U2289">
        <v>-0.19863890000000001</v>
      </c>
      <c r="V2289">
        <v>-7.4102180000000004E-2</v>
      </c>
      <c r="W2289">
        <v>0.17253209999999999</v>
      </c>
      <c r="X2289">
        <v>0.98221250000000004</v>
      </c>
      <c r="Y2289">
        <v>-6.3757300000000003E-2</v>
      </c>
      <c r="Z2289">
        <v>-1.075576E-3</v>
      </c>
      <c r="AA2289">
        <v>0.99796490000000004</v>
      </c>
      <c r="AB2289">
        <v>36</v>
      </c>
      <c r="AC2289">
        <v>-46.0384999999999</v>
      </c>
      <c r="AD2289">
        <v>-1.10943992572282</v>
      </c>
      <c r="AE2289">
        <v>-3.0149999999999801</v>
      </c>
      <c r="AF2289">
        <v>-2.95393766709137</v>
      </c>
      <c r="AG2289">
        <v>-1.10943992572282</v>
      </c>
      <c r="AH2289">
        <v>46.015740558543897</v>
      </c>
      <c r="AI2289">
        <v>91.378298312635494</v>
      </c>
      <c r="AJ2289">
        <v>93.673009466844206</v>
      </c>
      <c r="AK2289">
        <v>46.123800622250002</v>
      </c>
      <c r="AL2289">
        <v>80.064925811983102</v>
      </c>
      <c r="AM2289">
        <v>94.314457648986505</v>
      </c>
      <c r="AN2289">
        <v>0.99999992688370298</v>
      </c>
    </row>
    <row r="2290" spans="1:40" x14ac:dyDescent="0.25">
      <c r="A2290" t="str">
        <f>"20190304155639099"</f>
        <v>20190304155639099</v>
      </c>
      <c r="B2290" t="str">
        <f>"1551686199086904"</f>
        <v>1551686199086904</v>
      </c>
      <c r="C2290" t="s">
        <v>40</v>
      </c>
      <c r="D2290">
        <v>4.6994730000000002</v>
      </c>
      <c r="E2290">
        <v>0.52428229999999998</v>
      </c>
      <c r="F2290" t="s">
        <v>55</v>
      </c>
      <c r="G2290">
        <v>-382.71800000000002</v>
      </c>
      <c r="H2290" s="1">
        <v>-9.0434810000000001E-8</v>
      </c>
      <c r="I2290">
        <v>281.30739999999997</v>
      </c>
      <c r="J2290">
        <v>-337.17899999999997</v>
      </c>
      <c r="K2290">
        <v>1.1094389999999901</v>
      </c>
      <c r="L2290">
        <v>284.3048</v>
      </c>
      <c r="M2290">
        <v>-0.99994609999999995</v>
      </c>
      <c r="N2290">
        <v>-1.031668E-2</v>
      </c>
      <c r="O2290">
        <v>-1.2138920000000001E-3</v>
      </c>
      <c r="P2290">
        <v>-0.98390940000000005</v>
      </c>
      <c r="Q2290">
        <v>0.16184849999999901</v>
      </c>
      <c r="R2290">
        <v>-7.5679109999999994E-2</v>
      </c>
      <c r="S2290">
        <v>-3.0461429999999998</v>
      </c>
      <c r="T2290">
        <v>-7.3903199999999905E-2</v>
      </c>
      <c r="U2290">
        <v>-0.19967650000000001</v>
      </c>
      <c r="V2290">
        <v>-7.4419460000000007E-2</v>
      </c>
      <c r="W2290">
        <v>0.1720197</v>
      </c>
      <c r="X2290">
        <v>0.98227850000000005</v>
      </c>
      <c r="Y2290">
        <v>-6.4172119999999999E-2</v>
      </c>
      <c r="Z2290">
        <v>-1.092048E-3</v>
      </c>
      <c r="AA2290">
        <v>0.99793829999999994</v>
      </c>
      <c r="AB2290">
        <v>36</v>
      </c>
      <c r="AC2290">
        <v>-45.538999999999902</v>
      </c>
      <c r="AD2290">
        <v>-1.1094390904348099</v>
      </c>
      <c r="AE2290">
        <v>-2.9974000000000198</v>
      </c>
      <c r="AF2290">
        <v>-2.9403777612949602</v>
      </c>
      <c r="AG2290">
        <v>-1.1094390904348099</v>
      </c>
      <c r="AH2290">
        <v>45.515706922473299</v>
      </c>
      <c r="AI2290">
        <v>91.393396869270902</v>
      </c>
      <c r="AJ2290">
        <v>93.696250587776206</v>
      </c>
      <c r="AK2290">
        <v>45.624075367364902</v>
      </c>
      <c r="AL2290">
        <v>80.094730934569597</v>
      </c>
      <c r="AM2290">
        <v>94.332570451142502</v>
      </c>
      <c r="AN2290">
        <v>1.00000004238851</v>
      </c>
    </row>
    <row r="2291" spans="1:40" x14ac:dyDescent="0.25">
      <c r="A2291" t="str">
        <f>"20190304155639111"</f>
        <v>20190304155639111</v>
      </c>
      <c r="B2291" t="str">
        <f>"1551686199107400"</f>
        <v>1551686199107400</v>
      </c>
      <c r="C2291" t="s">
        <v>40</v>
      </c>
      <c r="D2291">
        <v>4.8638219999999999</v>
      </c>
      <c r="E2291">
        <v>0.52482620000000002</v>
      </c>
      <c r="F2291" t="s">
        <v>64</v>
      </c>
      <c r="G2291">
        <v>-404.0256</v>
      </c>
      <c r="H2291" s="1">
        <v>6.8142940000000004E-6</v>
      </c>
      <c r="I2291">
        <v>283.66180000000003</v>
      </c>
      <c r="J2291">
        <v>-337.3698</v>
      </c>
      <c r="K2291">
        <v>1.109442</v>
      </c>
      <c r="L2291">
        <v>284.30459999999999</v>
      </c>
      <c r="M2291">
        <v>-0.99994620000000001</v>
      </c>
      <c r="N2291">
        <v>-1.0319109999999999E-2</v>
      </c>
      <c r="O2291">
        <v>-1.1383179999999999E-3</v>
      </c>
      <c r="P2291">
        <v>-0.98391689999999998</v>
      </c>
      <c r="Q2291">
        <v>0.1616986</v>
      </c>
      <c r="R2291">
        <v>-7.5903040000000005E-2</v>
      </c>
      <c r="S2291">
        <v>-3.055145</v>
      </c>
      <c r="T2291">
        <v>-5.0705310000000003E-2</v>
      </c>
      <c r="U2291">
        <v>-2.938843E-2</v>
      </c>
      <c r="V2291">
        <v>-7.4717900000000004E-2</v>
      </c>
      <c r="W2291">
        <v>0.1718722</v>
      </c>
      <c r="X2291">
        <v>0.98228159999999998</v>
      </c>
      <c r="Y2291">
        <v>-8.4786759999999992E-3</v>
      </c>
      <c r="Z2291">
        <v>-1.069614E-4</v>
      </c>
      <c r="AA2291">
        <v>0.99996410000000002</v>
      </c>
      <c r="AB2291">
        <v>36</v>
      </c>
      <c r="AC2291">
        <v>-66.655799999999999</v>
      </c>
      <c r="AD2291">
        <v>-1.1094351857060001</v>
      </c>
      <c r="AE2291">
        <v>-0.64279999999996495</v>
      </c>
      <c r="AF2291">
        <v>-0.56676305720103404</v>
      </c>
      <c r="AG2291">
        <v>-1.1094351857060001</v>
      </c>
      <c r="AH2291">
        <v>66.638029493139896</v>
      </c>
      <c r="AI2291">
        <v>90.953776453037094</v>
      </c>
      <c r="AJ2291">
        <v>90.487294544011206</v>
      </c>
      <c r="AK2291">
        <v>66.6496739791192</v>
      </c>
      <c r="AL2291">
        <v>80.103309205893297</v>
      </c>
      <c r="AM2291">
        <v>94.349864875979904</v>
      </c>
      <c r="AN2291">
        <v>0.99999997970590404</v>
      </c>
    </row>
    <row r="2292" spans="1:40" x14ac:dyDescent="0.25">
      <c r="A2292" t="str">
        <f>"20190304155639123"</f>
        <v>20190304155639123</v>
      </c>
      <c r="B2292" t="str">
        <f>"1551686199117160"</f>
        <v>1551686199117160</v>
      </c>
      <c r="C2292" t="s">
        <v>40</v>
      </c>
      <c r="D2292">
        <v>4.7084609999999998</v>
      </c>
      <c r="E2292">
        <v>0.52697660000000002</v>
      </c>
      <c r="F2292" t="s">
        <v>64</v>
      </c>
      <c r="G2292">
        <v>-404.65640000000002</v>
      </c>
      <c r="H2292" s="1">
        <v>6.5181060000000001E-6</v>
      </c>
      <c r="I2292">
        <v>283.7414</v>
      </c>
      <c r="J2292">
        <v>-337.5831</v>
      </c>
      <c r="K2292">
        <v>1.10944</v>
      </c>
      <c r="L2292">
        <v>284.30439999999999</v>
      </c>
      <c r="M2292">
        <v>-0.99994629999999995</v>
      </c>
      <c r="N2292">
        <v>-1.0321820000000001E-2</v>
      </c>
      <c r="O2292">
        <v>-1.0539290000000001E-3</v>
      </c>
      <c r="P2292">
        <v>-0.98393019999999998</v>
      </c>
      <c r="Q2292">
        <v>0.16142799999999999</v>
      </c>
      <c r="R2292">
        <v>-7.6304209999999997E-2</v>
      </c>
      <c r="S2292">
        <v>-3.0553590000000002</v>
      </c>
      <c r="T2292">
        <v>-5.0377369999999998E-2</v>
      </c>
      <c r="U2292">
        <v>-2.5573729999999999E-2</v>
      </c>
      <c r="V2292">
        <v>-7.5202000000000005E-2</v>
      </c>
      <c r="W2292">
        <v>0.1716049</v>
      </c>
      <c r="X2292">
        <v>0.98229140000000004</v>
      </c>
      <c r="Y2292">
        <v>-7.3142809999999997E-3</v>
      </c>
      <c r="Z2292" s="1">
        <v>-9.1551150000000002E-5</v>
      </c>
      <c r="AA2292">
        <v>0.99997320000000001</v>
      </c>
      <c r="AB2292">
        <v>36</v>
      </c>
      <c r="AC2292">
        <v>-67.073300000000003</v>
      </c>
      <c r="AD2292">
        <v>-1.1094334818939999</v>
      </c>
      <c r="AE2292">
        <v>-0.56299999999998795</v>
      </c>
      <c r="AF2292">
        <v>-0.49217078983284701</v>
      </c>
      <c r="AG2292">
        <v>-1.1094334818939999</v>
      </c>
      <c r="AH2292">
        <v>67.055511587849693</v>
      </c>
      <c r="AI2292">
        <v>90.947846699396905</v>
      </c>
      <c r="AJ2292">
        <v>90.420529230509601</v>
      </c>
      <c r="AK2292">
        <v>67.066494682854497</v>
      </c>
      <c r="AL2292">
        <v>80.118855431763706</v>
      </c>
      <c r="AM2292">
        <v>94.377895084701507</v>
      </c>
      <c r="AN2292">
        <v>0.99999998851098404</v>
      </c>
    </row>
    <row r="2293" spans="1:40" x14ac:dyDescent="0.25">
      <c r="A2293" t="str">
        <f>"20190304155639135"</f>
        <v>20190304155639135</v>
      </c>
      <c r="B2293" t="str">
        <f>"1551686199126919"</f>
        <v>1551686199126919</v>
      </c>
      <c r="C2293" t="s">
        <v>40</v>
      </c>
      <c r="D2293">
        <v>4.6670420000000004</v>
      </c>
      <c r="E2293">
        <v>0.5274432</v>
      </c>
      <c r="F2293" t="s">
        <v>64</v>
      </c>
      <c r="G2293">
        <v>-409.27859999999998</v>
      </c>
      <c r="H2293" s="1">
        <v>4.3984890000000002E-6</v>
      </c>
      <c r="I2293">
        <v>284.07960000000003</v>
      </c>
      <c r="J2293">
        <v>-337.77929999999998</v>
      </c>
      <c r="K2293">
        <v>1.1094379999999999</v>
      </c>
      <c r="L2293">
        <v>284.30430000000001</v>
      </c>
      <c r="M2293">
        <v>-0.99994620000000001</v>
      </c>
      <c r="N2293">
        <v>-1.032432E-2</v>
      </c>
      <c r="O2293">
        <v>-9.7621389999999995E-4</v>
      </c>
      <c r="P2293">
        <v>-0.98392710000000005</v>
      </c>
      <c r="Q2293">
        <v>0.16133699999999901</v>
      </c>
      <c r="R2293">
        <v>-7.6535989999999998E-2</v>
      </c>
      <c r="S2293">
        <v>-3.056</v>
      </c>
      <c r="T2293">
        <v>-4.7289369999999997E-2</v>
      </c>
      <c r="U2293">
        <v>-9.5825200000000006E-3</v>
      </c>
      <c r="V2293">
        <v>-7.5509980000000004E-2</v>
      </c>
      <c r="W2293">
        <v>0.17151659999999999</v>
      </c>
      <c r="X2293">
        <v>0.98228320000000002</v>
      </c>
      <c r="Y2293">
        <v>-2.1589460000000001E-3</v>
      </c>
      <c r="Z2293" s="1">
        <v>-2.282283E-5</v>
      </c>
      <c r="AA2293">
        <v>0.99999769999999999</v>
      </c>
      <c r="AB2293">
        <v>36</v>
      </c>
      <c r="AC2293">
        <v>-71.499300000000005</v>
      </c>
      <c r="AD2293">
        <v>-1.109433601511</v>
      </c>
      <c r="AE2293">
        <v>-0.224699999999984</v>
      </c>
      <c r="AF2293">
        <v>-0.154860275261302</v>
      </c>
      <c r="AG2293">
        <v>-1.109433601511</v>
      </c>
      <c r="AH2293">
        <v>71.482274808459096</v>
      </c>
      <c r="AI2293">
        <v>90.889180021434498</v>
      </c>
      <c r="AJ2293">
        <v>90.1241262442947</v>
      </c>
      <c r="AK2293">
        <v>71.491051442911996</v>
      </c>
      <c r="AL2293">
        <v>80.123990833864298</v>
      </c>
      <c r="AM2293">
        <v>94.395790606716702</v>
      </c>
      <c r="AN2293">
        <v>0.99999999307870002</v>
      </c>
    </row>
    <row r="2294" spans="1:40" x14ac:dyDescent="0.25">
      <c r="A2294" t="str">
        <f>"20190304155639151"</f>
        <v>20190304155639151</v>
      </c>
      <c r="B2294" t="str">
        <f>"1551686199147415"</f>
        <v>1551686199147415</v>
      </c>
      <c r="C2294" t="s">
        <v>40</v>
      </c>
      <c r="D2294">
        <v>4.7842840000000004</v>
      </c>
      <c r="E2294">
        <v>0.52817230000000004</v>
      </c>
      <c r="F2294" t="s">
        <v>64</v>
      </c>
      <c r="G2294">
        <v>-408.26749999999998</v>
      </c>
      <c r="H2294" s="1">
        <v>4.8309739999999997E-6</v>
      </c>
      <c r="I2294">
        <v>284.15649999999999</v>
      </c>
      <c r="J2294">
        <v>-338.02179999999998</v>
      </c>
      <c r="K2294">
        <v>1.109437</v>
      </c>
      <c r="L2294">
        <v>284.30410000000001</v>
      </c>
      <c r="M2294">
        <v>-0.99994629999999995</v>
      </c>
      <c r="N2294">
        <v>-1.032742E-2</v>
      </c>
      <c r="O2294">
        <v>-8.8026209999999996E-4</v>
      </c>
      <c r="P2294">
        <v>-0.98391099999999998</v>
      </c>
      <c r="Q2294">
        <v>0.1612121</v>
      </c>
      <c r="R2294">
        <v>-7.7006500000000006E-2</v>
      </c>
      <c r="S2294">
        <v>-3.0563959999999999</v>
      </c>
      <c r="T2294">
        <v>-4.8105479999999999E-2</v>
      </c>
      <c r="U2294">
        <v>-6.4086909999999898E-3</v>
      </c>
      <c r="V2294">
        <v>-7.6074619999999996E-2</v>
      </c>
      <c r="W2294">
        <v>0.17139489999999999</v>
      </c>
      <c r="X2294">
        <v>0.98226089999999999</v>
      </c>
      <c r="Y2294">
        <v>-1.2162640000000001E-3</v>
      </c>
      <c r="Z2294" s="1">
        <v>-1.108927E-5</v>
      </c>
      <c r="AA2294">
        <v>0.99999930000000004</v>
      </c>
      <c r="AB2294">
        <v>36</v>
      </c>
      <c r="AC2294">
        <v>-70.245699999999999</v>
      </c>
      <c r="AD2294">
        <v>-1.1094321690260001</v>
      </c>
      <c r="AE2294">
        <v>-0.147600000000011</v>
      </c>
      <c r="AF2294">
        <v>-8.5740631825876004E-2</v>
      </c>
      <c r="AG2294">
        <v>-1.1094321690260001</v>
      </c>
      <c r="AH2294">
        <v>70.228285213735305</v>
      </c>
      <c r="AI2294">
        <v>90.905054798395398</v>
      </c>
      <c r="AJ2294">
        <v>90.069951500034904</v>
      </c>
      <c r="AK2294">
        <v>70.237100134155398</v>
      </c>
      <c r="AL2294">
        <v>80.131068782727795</v>
      </c>
      <c r="AM2294">
        <v>94.428630817220593</v>
      </c>
      <c r="AN2294">
        <v>1.0000000176114801</v>
      </c>
    </row>
    <row r="2295" spans="1:40" x14ac:dyDescent="0.25">
      <c r="A2295" t="str">
        <f>"20190304155639162"</f>
        <v>20190304155639162</v>
      </c>
      <c r="B2295" t="str">
        <f>"1551686199157175"</f>
        <v>1551686199157175</v>
      </c>
      <c r="C2295" t="s">
        <v>40</v>
      </c>
      <c r="D2295">
        <v>4.649667</v>
      </c>
      <c r="E2295">
        <v>0.52822139999999995</v>
      </c>
      <c r="F2295" t="s">
        <v>64</v>
      </c>
      <c r="G2295">
        <v>-412.69540000000001</v>
      </c>
      <c r="H2295" s="1">
        <v>2.7153940000000001E-6</v>
      </c>
      <c r="I2295">
        <v>284.25569999999999</v>
      </c>
      <c r="J2295">
        <v>-338.214</v>
      </c>
      <c r="K2295">
        <v>1.1094360000000001</v>
      </c>
      <c r="L2295">
        <v>284.30410000000001</v>
      </c>
      <c r="M2295">
        <v>-0.99994640000000001</v>
      </c>
      <c r="N2295">
        <v>-1.0329949999999999E-2</v>
      </c>
      <c r="O2295">
        <v>-8.0457339999999997E-4</v>
      </c>
      <c r="P2295">
        <v>-0.98393949999999997</v>
      </c>
      <c r="Q2295">
        <v>0.16108059999999999</v>
      </c>
      <c r="R2295">
        <v>-7.6918239999999999E-2</v>
      </c>
      <c r="S2295">
        <v>-3.056305</v>
      </c>
      <c r="T2295">
        <v>-4.5407889999999999E-2</v>
      </c>
      <c r="U2295">
        <v>-1.9836430000000002E-3</v>
      </c>
      <c r="V2295">
        <v>-7.6060429999999998E-2</v>
      </c>
      <c r="W2295">
        <v>0.17126569999999999</v>
      </c>
      <c r="X2295">
        <v>0.9822845</v>
      </c>
      <c r="Y2295">
        <v>1.5554610000000001E-4</v>
      </c>
      <c r="Z2295" s="1">
        <v>5.600606E-6</v>
      </c>
      <c r="AA2295">
        <v>1</v>
      </c>
      <c r="AB2295">
        <v>37</v>
      </c>
      <c r="AC2295">
        <v>-74.481399999999994</v>
      </c>
      <c r="AD2295">
        <v>-1.109433284606</v>
      </c>
      <c r="AE2295">
        <v>-4.8400000000015098E-2</v>
      </c>
      <c r="AF2295">
        <v>1.1526404285171999E-2</v>
      </c>
      <c r="AG2295">
        <v>-1.109433284606</v>
      </c>
      <c r="AH2295">
        <v>74.464893005157805</v>
      </c>
      <c r="AI2295">
        <v>90.853571916489898</v>
      </c>
      <c r="AJ2295">
        <v>89.991131199058003</v>
      </c>
      <c r="AK2295">
        <v>74.4731580191185</v>
      </c>
      <c r="AL2295">
        <v>80.138582162737194</v>
      </c>
      <c r="AM2295">
        <v>94.427702083757396</v>
      </c>
      <c r="AN2295">
        <v>0.99999998397426204</v>
      </c>
    </row>
    <row r="2296" spans="1:40" x14ac:dyDescent="0.25">
      <c r="A2296" t="str">
        <f>"20190304155639173"</f>
        <v>20190304155639173</v>
      </c>
      <c r="B2296" t="str">
        <f>"1551686199166936"</f>
        <v>1551686199166936</v>
      </c>
      <c r="C2296" t="s">
        <v>40</v>
      </c>
      <c r="D2296">
        <v>4.7500119999999999</v>
      </c>
      <c r="E2296">
        <v>0.52811560000000002</v>
      </c>
      <c r="F2296" t="s">
        <v>64</v>
      </c>
      <c r="G2296">
        <v>-411.3109</v>
      </c>
      <c r="H2296" s="1">
        <v>2.4683940000000002E-6</v>
      </c>
      <c r="I2296">
        <v>284.27199999999999</v>
      </c>
      <c r="J2296">
        <v>-338.40039999999999</v>
      </c>
      <c r="K2296">
        <v>1.109434</v>
      </c>
      <c r="L2296">
        <v>284.30399999999997</v>
      </c>
      <c r="M2296">
        <v>-0.99994649999999996</v>
      </c>
      <c r="N2296">
        <v>-1.033237E-2</v>
      </c>
      <c r="O2296">
        <v>-7.3079250000000003E-4</v>
      </c>
      <c r="P2296">
        <v>-0.98392579999999996</v>
      </c>
      <c r="Q2296">
        <v>0.16101840000000001</v>
      </c>
      <c r="R2296">
        <v>-7.722395E-2</v>
      </c>
      <c r="S2296">
        <v>-3.0564879999999999</v>
      </c>
      <c r="T2296">
        <v>-4.6390059999999997E-2</v>
      </c>
      <c r="U2296">
        <v>-1.34277299999999E-3</v>
      </c>
      <c r="V2296">
        <v>-7.6438729999999996E-2</v>
      </c>
      <c r="W2296">
        <v>0.171206</v>
      </c>
      <c r="X2296">
        <v>0.98226550000000001</v>
      </c>
      <c r="Y2296">
        <v>2.9144750000000002E-4</v>
      </c>
      <c r="Z2296" s="1">
        <v>7.2575910000000002E-6</v>
      </c>
      <c r="AA2296">
        <v>0.99999990000000005</v>
      </c>
      <c r="AB2296">
        <v>37</v>
      </c>
      <c r="AC2296">
        <v>-72.910499999999999</v>
      </c>
      <c r="AD2296">
        <v>-1.1094315316059999</v>
      </c>
      <c r="AE2296">
        <v>-3.2000000000039101E-2</v>
      </c>
      <c r="AF2296">
        <v>2.1280364454265999E-2</v>
      </c>
      <c r="AG2296">
        <v>-1.1094315316059999</v>
      </c>
      <c r="AH2296">
        <v>72.893626329331099</v>
      </c>
      <c r="AI2296">
        <v>90.871966965797895</v>
      </c>
      <c r="AJ2296">
        <v>89.983273228449505</v>
      </c>
      <c r="AK2296">
        <v>72.902071648324096</v>
      </c>
      <c r="AL2296">
        <v>80.142053593519293</v>
      </c>
      <c r="AM2296">
        <v>94.449721545247002</v>
      </c>
      <c r="AN2296">
        <v>0.99999994318512897</v>
      </c>
    </row>
    <row r="2297" spans="1:40" x14ac:dyDescent="0.25">
      <c r="A2297" t="str">
        <f>"20190304155639185"</f>
        <v>20190304155639185</v>
      </c>
      <c r="B2297" t="str">
        <f>"1551686199176696"</f>
        <v>1551686199176696</v>
      </c>
      <c r="C2297" t="s">
        <v>40</v>
      </c>
      <c r="D2297">
        <v>4.7233159999999996</v>
      </c>
      <c r="E2297">
        <v>0.52805609999999903</v>
      </c>
      <c r="F2297" t="s">
        <v>64</v>
      </c>
      <c r="G2297">
        <v>-412.07159999999999</v>
      </c>
      <c r="H2297" s="1">
        <v>2.6065119999999999E-6</v>
      </c>
      <c r="I2297">
        <v>284.2355</v>
      </c>
      <c r="J2297">
        <v>-338.59269999999998</v>
      </c>
      <c r="K2297">
        <v>1.1094389999999901</v>
      </c>
      <c r="L2297">
        <v>284.3039</v>
      </c>
      <c r="M2297">
        <v>-0.99994640000000001</v>
      </c>
      <c r="N2297">
        <v>-1.033482E-2</v>
      </c>
      <c r="O2297">
        <v>-6.5474830000000002E-4</v>
      </c>
      <c r="P2297">
        <v>-0.98395390000000005</v>
      </c>
      <c r="Q2297">
        <v>0.160858</v>
      </c>
      <c r="R2297">
        <v>-7.7198429999999998E-2</v>
      </c>
      <c r="S2297">
        <v>-3.0562740000000002</v>
      </c>
      <c r="T2297">
        <v>-4.6025160000000002E-2</v>
      </c>
      <c r="U2297">
        <v>-2.8381349999999999E-3</v>
      </c>
      <c r="V2297">
        <v>-7.6488169999999994E-2</v>
      </c>
      <c r="W2297">
        <v>0.1710486</v>
      </c>
      <c r="X2297">
        <v>0.98228910000000003</v>
      </c>
      <c r="Y2297">
        <v>-2.7379699999999999E-4</v>
      </c>
      <c r="Z2297" s="1">
        <v>-3.837815E-7</v>
      </c>
      <c r="AA2297">
        <v>0.99999990000000005</v>
      </c>
      <c r="AB2297">
        <v>37</v>
      </c>
      <c r="AC2297">
        <v>-73.478899999999996</v>
      </c>
      <c r="AD2297">
        <v>-1.1094363934879901</v>
      </c>
      <c r="AE2297">
        <v>-6.8399999999996894E-2</v>
      </c>
      <c r="AF2297">
        <v>-2.0282608104414498E-2</v>
      </c>
      <c r="AG2297">
        <v>-1.1094363934879901</v>
      </c>
      <c r="AH2297">
        <v>73.462181806017995</v>
      </c>
      <c r="AI2297">
        <v>90.865223262640001</v>
      </c>
      <c r="AJ2297">
        <v>90.015819130112902</v>
      </c>
      <c r="AK2297">
        <v>73.470561561729099</v>
      </c>
      <c r="AL2297">
        <v>80.151207237098404</v>
      </c>
      <c r="AM2297">
        <v>94.452481476673299</v>
      </c>
      <c r="AN2297">
        <v>0.99999996984535899</v>
      </c>
    </row>
    <row r="2298" spans="1:40" x14ac:dyDescent="0.25">
      <c r="A2298" t="str">
        <f>"20190304155639199"</f>
        <v>20190304155639199</v>
      </c>
      <c r="B2298" t="str">
        <f>"1551686199187432"</f>
        <v>1551686199187432</v>
      </c>
      <c r="C2298" t="s">
        <v>40</v>
      </c>
      <c r="D2298">
        <v>4.7223739999999896</v>
      </c>
      <c r="E2298">
        <v>0.52813580000000004</v>
      </c>
      <c r="F2298" t="s">
        <v>64</v>
      </c>
      <c r="G2298">
        <v>-412.71910000000003</v>
      </c>
      <c r="H2298" s="1">
        <v>2.7226899999999999E-6</v>
      </c>
      <c r="I2298">
        <v>284.22019999999998</v>
      </c>
      <c r="J2298">
        <v>-338.81079999999997</v>
      </c>
      <c r="K2298">
        <v>1.1094389999999901</v>
      </c>
      <c r="L2298">
        <v>284.30380000000002</v>
      </c>
      <c r="M2298">
        <v>-0.99994640000000001</v>
      </c>
      <c r="N2298">
        <v>-1.033744E-2</v>
      </c>
      <c r="O2298">
        <v>-5.6869180000000002E-4</v>
      </c>
      <c r="P2298">
        <v>-0.98392210000000002</v>
      </c>
      <c r="Q2298">
        <v>0.1611553</v>
      </c>
      <c r="R2298">
        <v>-7.6984250000000004E-2</v>
      </c>
      <c r="S2298">
        <v>-3.0561219999999998</v>
      </c>
      <c r="T2298">
        <v>-4.5740490000000002E-2</v>
      </c>
      <c r="U2298">
        <v>-3.4484860000000002E-3</v>
      </c>
      <c r="V2298">
        <v>-7.6358140000000005E-2</v>
      </c>
      <c r="W2298">
        <v>0.17134839999999901</v>
      </c>
      <c r="X2298">
        <v>0.98224699999999998</v>
      </c>
      <c r="Y2298">
        <v>-5.5956400000000002E-4</v>
      </c>
      <c r="Z2298" s="1">
        <v>-4.4476319999999996E-6</v>
      </c>
      <c r="AA2298">
        <v>0.99999979999999999</v>
      </c>
      <c r="AB2298">
        <v>37</v>
      </c>
      <c r="AC2298">
        <v>-73.908299999999997</v>
      </c>
      <c r="AD2298">
        <v>-1.1094362773099999</v>
      </c>
      <c r="AE2298">
        <v>-8.3600000000046706E-2</v>
      </c>
      <c r="AF2298">
        <v>-4.1557332044925399E-2</v>
      </c>
      <c r="AG2298">
        <v>-1.1094362773099999</v>
      </c>
      <c r="AH2298">
        <v>73.891685627819498</v>
      </c>
      <c r="AI2298">
        <v>90.860194618660998</v>
      </c>
      <c r="AJ2298">
        <v>90.032223645498405</v>
      </c>
      <c r="AK2298">
        <v>73.900025580413498</v>
      </c>
      <c r="AL2298">
        <v>80.133772910039298</v>
      </c>
      <c r="AM2298">
        <v>94.445132361746602</v>
      </c>
      <c r="AN2298">
        <v>1.0000000043679</v>
      </c>
    </row>
    <row r="2299" spans="1:40" x14ac:dyDescent="0.25">
      <c r="A2299" t="str">
        <f>"20190304155639219"</f>
        <v>20190304155639219</v>
      </c>
      <c r="B2299" t="str">
        <f>"1551686199216711"</f>
        <v>1551686199216711</v>
      </c>
      <c r="C2299" t="s">
        <v>40</v>
      </c>
      <c r="D2299">
        <v>4.6820399999999998</v>
      </c>
      <c r="E2299">
        <v>0.52845889999999995</v>
      </c>
      <c r="F2299" t="s">
        <v>64</v>
      </c>
      <c r="G2299">
        <v>-414.32040000000001</v>
      </c>
      <c r="H2299" s="1">
        <v>3.0033929999999999E-6</v>
      </c>
      <c r="I2299">
        <v>284.2586</v>
      </c>
      <c r="J2299">
        <v>-339.14190000000002</v>
      </c>
      <c r="K2299">
        <v>1.109443</v>
      </c>
      <c r="L2299">
        <v>284.30380000000002</v>
      </c>
      <c r="M2299">
        <v>-0.99994649999999996</v>
      </c>
      <c r="N2299">
        <v>-1.034142E-2</v>
      </c>
      <c r="O2299">
        <v>-4.378195E-4</v>
      </c>
      <c r="P2299">
        <v>-0.98387990000000003</v>
      </c>
      <c r="Q2299">
        <v>0.16156239999999999</v>
      </c>
      <c r="R2299">
        <v>-7.6669699999999993E-2</v>
      </c>
      <c r="S2299">
        <v>-3.0562130000000001</v>
      </c>
      <c r="T2299">
        <v>-4.4903869999999999E-2</v>
      </c>
      <c r="U2299">
        <v>-1.8310550000000001E-3</v>
      </c>
      <c r="V2299">
        <v>-7.6172749999999997E-2</v>
      </c>
      <c r="W2299">
        <v>0.17175850000000001</v>
      </c>
      <c r="X2299">
        <v>0.9821898</v>
      </c>
      <c r="Y2299">
        <v>-1.612568E-4</v>
      </c>
      <c r="Z2299" s="1">
        <v>-1.13833E-7</v>
      </c>
      <c r="AA2299">
        <v>1</v>
      </c>
      <c r="AB2299">
        <v>37</v>
      </c>
      <c r="AC2299">
        <v>-75.1784999999999</v>
      </c>
      <c r="AD2299">
        <v>-1.1094399966070001</v>
      </c>
      <c r="AE2299">
        <v>-4.52000000000225E-2</v>
      </c>
      <c r="AF2299">
        <v>-1.22809499571496E-2</v>
      </c>
      <c r="AG2299">
        <v>-1.1094399966070001</v>
      </c>
      <c r="AH2299">
        <v>75.162143690789406</v>
      </c>
      <c r="AI2299">
        <v>90.845659923262801</v>
      </c>
      <c r="AJ2299">
        <v>90.0093617153548</v>
      </c>
      <c r="AK2299">
        <v>75.1703322602919</v>
      </c>
      <c r="AL2299">
        <v>80.109922644289597</v>
      </c>
      <c r="AM2299">
        <v>94.434640334026199</v>
      </c>
      <c r="AN2299">
        <v>1.0000000366944199</v>
      </c>
    </row>
    <row r="2300" spans="1:40" x14ac:dyDescent="0.25">
      <c r="A2300" t="str">
        <f>"20190304155639240"</f>
        <v>20190304155639240</v>
      </c>
      <c r="B2300" t="str">
        <f>"1551686199237207"</f>
        <v>1551686199237207</v>
      </c>
      <c r="C2300" t="s">
        <v>40</v>
      </c>
      <c r="D2300">
        <v>4.7092879999999999</v>
      </c>
      <c r="E2300">
        <v>0.52837029999999996</v>
      </c>
      <c r="F2300" t="s">
        <v>64</v>
      </c>
      <c r="G2300">
        <v>-421.72519999999997</v>
      </c>
      <c r="H2300" s="1">
        <v>3.6822230000000001E-6</v>
      </c>
      <c r="I2300">
        <v>284.3458</v>
      </c>
      <c r="J2300">
        <v>-339.48950000000002</v>
      </c>
      <c r="K2300">
        <v>1.109442</v>
      </c>
      <c r="L2300">
        <v>284.30369999999999</v>
      </c>
      <c r="M2300">
        <v>-0.99994640000000001</v>
      </c>
      <c r="N2300">
        <v>-1.034583E-2</v>
      </c>
      <c r="O2300">
        <v>-3.00632E-4</v>
      </c>
      <c r="P2300">
        <v>-0.9837437</v>
      </c>
      <c r="Q2300">
        <v>0.16261970000000001</v>
      </c>
      <c r="R2300">
        <v>-7.6180499999999998E-2</v>
      </c>
      <c r="S2300">
        <v>-3.0560610000000001</v>
      </c>
      <c r="T2300">
        <v>-4.1055679999999997E-2</v>
      </c>
      <c r="U2300">
        <v>1.556396E-3</v>
      </c>
      <c r="V2300">
        <v>-7.5817999999999997E-2</v>
      </c>
      <c r="W2300">
        <v>0.17281820000000001</v>
      </c>
      <c r="X2300">
        <v>0.98203130000000005</v>
      </c>
      <c r="Y2300">
        <v>8.0979909999999997E-4</v>
      </c>
      <c r="Z2300" s="1">
        <v>1.055694E-5</v>
      </c>
      <c r="AA2300">
        <v>0.99999959999999999</v>
      </c>
      <c r="AB2300">
        <v>37</v>
      </c>
      <c r="AC2300">
        <v>-82.235699999999895</v>
      </c>
      <c r="AD2300">
        <v>-1.109438317777</v>
      </c>
      <c r="AE2300">
        <v>4.2100000000004897E-2</v>
      </c>
      <c r="AF2300">
        <v>6.6811845000421893E-2</v>
      </c>
      <c r="AG2300">
        <v>-1.109438317777</v>
      </c>
      <c r="AH2300">
        <v>82.220718971680498</v>
      </c>
      <c r="AI2300">
        <v>90.773068584121802</v>
      </c>
      <c r="AJ2300">
        <v>89.953441955442301</v>
      </c>
      <c r="AK2300">
        <v>82.228230829950604</v>
      </c>
      <c r="AL2300">
        <v>80.048284103273801</v>
      </c>
      <c r="AM2300">
        <v>94.414778854801298</v>
      </c>
      <c r="AN2300">
        <v>0.99999998677746504</v>
      </c>
    </row>
    <row r="2301" spans="1:40" x14ac:dyDescent="0.25">
      <c r="A2301" t="str">
        <f>"20190304155639251"</f>
        <v>20190304155639251</v>
      </c>
      <c r="B2301" t="str">
        <f>"1551686199246969"</f>
        <v>1551686199246969</v>
      </c>
      <c r="C2301" t="s">
        <v>40</v>
      </c>
      <c r="D2301">
        <v>4.7113680000000002</v>
      </c>
      <c r="E2301">
        <v>0.52839859999999905</v>
      </c>
      <c r="F2301" t="s">
        <v>64</v>
      </c>
      <c r="G2301">
        <v>-427.87299999999999</v>
      </c>
      <c r="H2301" s="1">
        <v>2.589295E-6</v>
      </c>
      <c r="I2301">
        <v>284.3734</v>
      </c>
      <c r="J2301">
        <v>-339.67860000000002</v>
      </c>
      <c r="K2301">
        <v>1.1094440000000001</v>
      </c>
      <c r="L2301">
        <v>284.30369999999999</v>
      </c>
      <c r="M2301">
        <v>-0.99994649999999996</v>
      </c>
      <c r="N2301">
        <v>-1.0348309999999999E-2</v>
      </c>
      <c r="O2301">
        <v>-2.2578109999999999E-4</v>
      </c>
      <c r="P2301">
        <v>-0.98368630000000001</v>
      </c>
      <c r="Q2301">
        <v>0.1630442</v>
      </c>
      <c r="R2301">
        <v>-7.6014849999999995E-2</v>
      </c>
      <c r="S2301">
        <v>-3.0560909999999999</v>
      </c>
      <c r="T2301">
        <v>-3.836179E-2</v>
      </c>
      <c r="U2301">
        <v>2.4108889999999998E-3</v>
      </c>
      <c r="V2301">
        <v>-7.5725600000000004E-2</v>
      </c>
      <c r="W2301">
        <v>0.17324510000000001</v>
      </c>
      <c r="X2301">
        <v>0.98196320000000004</v>
      </c>
      <c r="Y2301">
        <v>1.014526E-3</v>
      </c>
      <c r="Z2301" s="1">
        <v>1.211456E-5</v>
      </c>
      <c r="AA2301">
        <v>0.99999950000000004</v>
      </c>
      <c r="AB2301">
        <v>37</v>
      </c>
      <c r="AC2301">
        <v>-88.194400000000002</v>
      </c>
      <c r="AD2301">
        <v>-1.1094414107049999</v>
      </c>
      <c r="AE2301">
        <v>6.97000000000116E-2</v>
      </c>
      <c r="AF2301">
        <v>8.9599513184838206E-2</v>
      </c>
      <c r="AG2301">
        <v>-1.1094414107049999</v>
      </c>
      <c r="AH2301">
        <v>88.180428016051707</v>
      </c>
      <c r="AI2301">
        <v>90.720828026531507</v>
      </c>
      <c r="AJ2301">
        <v>89.941782181140695</v>
      </c>
      <c r="AK2301">
        <v>88.187452471486097</v>
      </c>
      <c r="AL2301">
        <v>80.023449860750901</v>
      </c>
      <c r="AM2301">
        <v>94.409724351292098</v>
      </c>
      <c r="AN2301">
        <v>0.99999997866180401</v>
      </c>
    </row>
    <row r="2302" spans="1:40" x14ac:dyDescent="0.25">
      <c r="A2302" t="str">
        <f>"20190304155639263"</f>
        <v>20190304155639263</v>
      </c>
      <c r="B2302" t="str">
        <f>"1551686199256727"</f>
        <v>1551686199256727</v>
      </c>
      <c r="C2302" t="s">
        <v>40</v>
      </c>
      <c r="D2302">
        <v>4.6686719999999999</v>
      </c>
      <c r="E2302">
        <v>0.52843819999999997</v>
      </c>
      <c r="F2302" t="s">
        <v>64</v>
      </c>
      <c r="G2302">
        <v>-429.51229999999998</v>
      </c>
      <c r="H2302" s="1">
        <v>2.2959849999999999E-6</v>
      </c>
      <c r="I2302">
        <v>284.4024</v>
      </c>
      <c r="J2302">
        <v>-339.87529999999998</v>
      </c>
      <c r="K2302">
        <v>1.109445</v>
      </c>
      <c r="L2302">
        <v>284.30369999999999</v>
      </c>
      <c r="M2302">
        <v>-0.99994640000000001</v>
      </c>
      <c r="N2302">
        <v>-1.0350939999999999E-2</v>
      </c>
      <c r="O2302">
        <v>-1.4783139999999999E-4</v>
      </c>
      <c r="P2302">
        <v>-0.98364870000000004</v>
      </c>
      <c r="Q2302">
        <v>0.16344629999999999</v>
      </c>
      <c r="R2302">
        <v>-7.5633329999999999E-2</v>
      </c>
      <c r="S2302">
        <v>-3.0562740000000002</v>
      </c>
      <c r="T2302">
        <v>-3.7744880000000001E-2</v>
      </c>
      <c r="U2302">
        <v>3.3569339999999998E-3</v>
      </c>
      <c r="V2302">
        <v>-7.5420479999999998E-2</v>
      </c>
      <c r="W2302">
        <v>0.17364889999999999</v>
      </c>
      <c r="X2302">
        <v>0.98191539999999999</v>
      </c>
      <c r="Y2302">
        <v>1.2460380000000001E-3</v>
      </c>
      <c r="Z2302" s="1">
        <v>1.4438840000000001E-5</v>
      </c>
      <c r="AA2302">
        <v>0.99999919999999998</v>
      </c>
      <c r="AB2302">
        <v>37</v>
      </c>
      <c r="AC2302">
        <v>-89.637</v>
      </c>
      <c r="AD2302">
        <v>-1.1094427040149999</v>
      </c>
      <c r="AE2302">
        <v>9.8700000000008004E-2</v>
      </c>
      <c r="AF2302">
        <v>0.111934724832929</v>
      </c>
      <c r="AG2302">
        <v>-1.1094427040149999</v>
      </c>
      <c r="AH2302">
        <v>89.623254909861899</v>
      </c>
      <c r="AI2302">
        <v>90.709225394699899</v>
      </c>
      <c r="AJ2302">
        <v>89.928440626423793</v>
      </c>
      <c r="AK2302">
        <v>89.630191415249101</v>
      </c>
      <c r="AL2302">
        <v>79.999958187225502</v>
      </c>
      <c r="AM2302">
        <v>94.392238947064101</v>
      </c>
      <c r="AN2302">
        <v>1.0000000210158999</v>
      </c>
    </row>
    <row r="2303" spans="1:40" x14ac:dyDescent="0.25">
      <c r="A2303" t="str">
        <f>"20190304155639275"</f>
        <v>20190304155639275</v>
      </c>
      <c r="B2303" t="str">
        <f>"1551686199267464"</f>
        <v>1551686199267464</v>
      </c>
      <c r="C2303" t="s">
        <v>40</v>
      </c>
      <c r="D2303">
        <v>4.6964699999999997</v>
      </c>
      <c r="E2303">
        <v>0.52838609999999997</v>
      </c>
      <c r="F2303" t="s">
        <v>64</v>
      </c>
      <c r="G2303">
        <v>-433.75670000000002</v>
      </c>
      <c r="H2303" s="1">
        <v>3.8971609999999997E-6</v>
      </c>
      <c r="I2303">
        <v>284.45370000000003</v>
      </c>
      <c r="J2303">
        <v>-340.06279999999998</v>
      </c>
      <c r="K2303">
        <v>1.109442</v>
      </c>
      <c r="L2303">
        <v>284.30380000000002</v>
      </c>
      <c r="M2303">
        <v>-0.99994649999999996</v>
      </c>
      <c r="N2303">
        <v>-1.035344E-2</v>
      </c>
      <c r="O2303" s="1">
        <v>-7.3697310000000004E-5</v>
      </c>
      <c r="P2303">
        <v>-0.98362919999999998</v>
      </c>
      <c r="Q2303">
        <v>0.16366339999999999</v>
      </c>
      <c r="R2303">
        <v>-7.5418700000000005E-2</v>
      </c>
      <c r="S2303">
        <v>-3.056244</v>
      </c>
      <c r="T2303">
        <v>-3.6117080000000003E-2</v>
      </c>
      <c r="U2303">
        <v>4.8828129999999997E-3</v>
      </c>
      <c r="V2303">
        <v>-7.5278460000000005E-2</v>
      </c>
      <c r="W2303">
        <v>0.1738682</v>
      </c>
      <c r="X2303">
        <v>0.98188750000000002</v>
      </c>
      <c r="Y2303">
        <v>1.6711320000000001E-3</v>
      </c>
      <c r="Z2303" s="1">
        <v>1.8633560000000001E-5</v>
      </c>
      <c r="AA2303">
        <v>0.99999859999999896</v>
      </c>
      <c r="AB2303">
        <v>37</v>
      </c>
      <c r="AC2303">
        <v>-93.693899999999999</v>
      </c>
      <c r="AD2303">
        <v>-1.1094381028389999</v>
      </c>
      <c r="AE2303">
        <v>0.149900000000002</v>
      </c>
      <c r="AF2303">
        <v>0.15678337463410799</v>
      </c>
      <c r="AG2303">
        <v>-1.1094381028389999</v>
      </c>
      <c r="AH2303">
        <v>93.680753615811199</v>
      </c>
      <c r="AI2303">
        <v>90.678507142374897</v>
      </c>
      <c r="AJ2303">
        <v>89.904110322229798</v>
      </c>
      <c r="AK2303">
        <v>93.687453973074398</v>
      </c>
      <c r="AL2303">
        <v>79.987199227701097</v>
      </c>
      <c r="AM2303">
        <v>94.384124530627304</v>
      </c>
      <c r="AN2303">
        <v>1.00000003008373</v>
      </c>
    </row>
    <row r="2304" spans="1:40" x14ac:dyDescent="0.25">
      <c r="A2304" t="str">
        <f>"20190304155639286"</f>
        <v>20190304155639286</v>
      </c>
      <c r="B2304" t="str">
        <f>"1551686199277223"</f>
        <v>1551686199277223</v>
      </c>
      <c r="C2304" t="s">
        <v>40</v>
      </c>
      <c r="D2304">
        <v>4.6592440000000002</v>
      </c>
      <c r="E2304">
        <v>0.52853549999999905</v>
      </c>
      <c r="F2304" t="s">
        <v>64</v>
      </c>
      <c r="G2304">
        <v>-436.20060000000001</v>
      </c>
      <c r="H2304" s="1">
        <v>4.9804160000000002E-6</v>
      </c>
      <c r="I2304">
        <v>284.45929999999998</v>
      </c>
      <c r="J2304">
        <v>-340.2647</v>
      </c>
      <c r="K2304">
        <v>1.1094440000000001</v>
      </c>
      <c r="L2304">
        <v>284.30380000000002</v>
      </c>
      <c r="M2304">
        <v>-0.99994640000000001</v>
      </c>
      <c r="N2304">
        <v>-1.035611E-2</v>
      </c>
      <c r="O2304" s="1">
        <v>6.3945969999999999E-6</v>
      </c>
      <c r="P2304">
        <v>-0.98356440000000001</v>
      </c>
      <c r="Q2304">
        <v>0.16413539999999999</v>
      </c>
      <c r="R2304">
        <v>-7.5239139999999996E-2</v>
      </c>
      <c r="S2304">
        <v>-3.0562130000000001</v>
      </c>
      <c r="T2304">
        <v>-3.5268899999999999E-2</v>
      </c>
      <c r="U2304">
        <v>4.9438479999999998E-3</v>
      </c>
      <c r="V2304">
        <v>-7.517749E-2</v>
      </c>
      <c r="W2304">
        <v>0.17434149999999901</v>
      </c>
      <c r="X2304">
        <v>0.98181130000000005</v>
      </c>
      <c r="Y2304">
        <v>1.611038E-3</v>
      </c>
      <c r="Z2304" s="1">
        <v>1.7630660000000001E-5</v>
      </c>
      <c r="AA2304">
        <v>0.99999870000000002</v>
      </c>
      <c r="AB2304">
        <v>37</v>
      </c>
      <c r="AC2304">
        <v>-95.935900000000004</v>
      </c>
      <c r="AD2304">
        <v>-1.109439019584</v>
      </c>
      <c r="AE2304">
        <v>0.15549999999996</v>
      </c>
      <c r="AF2304">
        <v>0.154865784798013</v>
      </c>
      <c r="AG2304">
        <v>-1.109439019584</v>
      </c>
      <c r="AH2304">
        <v>95.923072769316406</v>
      </c>
      <c r="AI2304">
        <v>90.662648251149193</v>
      </c>
      <c r="AJ2304">
        <v>89.907497248635494</v>
      </c>
      <c r="AK2304">
        <v>95.929613404084193</v>
      </c>
      <c r="AL2304">
        <v>79.959660450802701</v>
      </c>
      <c r="AM2304">
        <v>94.378605525620102</v>
      </c>
      <c r="AN2304">
        <v>1.00000002121632</v>
      </c>
    </row>
    <row r="2305" spans="1:40" x14ac:dyDescent="0.25">
      <c r="A2305" t="str">
        <f>"20190304155639299"</f>
        <v>20190304155639299</v>
      </c>
      <c r="B2305" t="str">
        <f>"1551686199286984"</f>
        <v>1551686199286984</v>
      </c>
      <c r="C2305" t="s">
        <v>40</v>
      </c>
      <c r="D2305">
        <v>4.7016450000000001</v>
      </c>
      <c r="E2305">
        <v>0.52847359999999999</v>
      </c>
      <c r="F2305" t="s">
        <v>64</v>
      </c>
      <c r="G2305">
        <v>-432.98140000000001</v>
      </c>
      <c r="H2305" s="1">
        <v>3.5479579999999999E-6</v>
      </c>
      <c r="I2305">
        <v>284.51490000000001</v>
      </c>
      <c r="J2305">
        <v>-340.46499999999997</v>
      </c>
      <c r="K2305">
        <v>1.1094440000000001</v>
      </c>
      <c r="L2305">
        <v>284.3039</v>
      </c>
      <c r="M2305">
        <v>-0.99994649999999996</v>
      </c>
      <c r="N2305">
        <v>-1.035876E-2</v>
      </c>
      <c r="O2305" s="1">
        <v>8.5772760000000004E-5</v>
      </c>
      <c r="P2305">
        <v>-0.98350459999999995</v>
      </c>
      <c r="Q2305">
        <v>0.164520899999999</v>
      </c>
      <c r="R2305">
        <v>-7.518097E-2</v>
      </c>
      <c r="S2305">
        <v>-3.0567630000000001</v>
      </c>
      <c r="T2305">
        <v>-3.6576989999999997E-2</v>
      </c>
      <c r="U2305">
        <v>6.9580079999999999E-3</v>
      </c>
      <c r="V2305">
        <v>-7.5197529999999999E-2</v>
      </c>
      <c r="W2305">
        <v>0.174729299999999</v>
      </c>
      <c r="X2305">
        <v>0.98174079999999997</v>
      </c>
      <c r="Y2305">
        <v>2.1901920000000001E-3</v>
      </c>
      <c r="Z2305" s="1">
        <v>2.4310460000000001E-5</v>
      </c>
      <c r="AA2305">
        <v>0.99999760000000004</v>
      </c>
      <c r="AB2305">
        <v>37</v>
      </c>
      <c r="AC2305">
        <v>-92.516400000000004</v>
      </c>
      <c r="AD2305">
        <v>-1.109440452042</v>
      </c>
      <c r="AE2305">
        <v>0.21100000000001201</v>
      </c>
      <c r="AF2305">
        <v>0.20303499065028199</v>
      </c>
      <c r="AG2305">
        <v>-1.109440452042</v>
      </c>
      <c r="AH2305">
        <v>92.503115522782295</v>
      </c>
      <c r="AI2305">
        <v>90.687145015950193</v>
      </c>
      <c r="AJ2305">
        <v>89.874241755956007</v>
      </c>
      <c r="AK2305">
        <v>92.509991150930603</v>
      </c>
      <c r="AL2305">
        <v>79.937094544951705</v>
      </c>
      <c r="AM2305">
        <v>94.380081478419896</v>
      </c>
      <c r="AN2305">
        <v>0.99999999759061498</v>
      </c>
    </row>
    <row r="2306" spans="1:40" x14ac:dyDescent="0.25">
      <c r="A2306" t="str">
        <f>"20190304155639314"</f>
        <v>20190304155639314</v>
      </c>
      <c r="B2306" t="str">
        <f>"1551686199307479"</f>
        <v>1551686199307479</v>
      </c>
      <c r="C2306" t="s">
        <v>40</v>
      </c>
      <c r="D2306">
        <v>4.7012369999999999</v>
      </c>
      <c r="E2306">
        <v>0.52845620000000004</v>
      </c>
      <c r="F2306" t="s">
        <v>64</v>
      </c>
      <c r="G2306">
        <v>-436.08350000000002</v>
      </c>
      <c r="H2306" s="1">
        <v>4.9241400000000003E-6</v>
      </c>
      <c r="I2306">
        <v>284.50909999999999</v>
      </c>
      <c r="J2306">
        <v>-340.7029</v>
      </c>
      <c r="K2306">
        <v>1.109445</v>
      </c>
      <c r="L2306">
        <v>284.30399999999997</v>
      </c>
      <c r="M2306">
        <v>-0.99994640000000001</v>
      </c>
      <c r="N2306">
        <v>-1.03619E-2</v>
      </c>
      <c r="O2306">
        <v>1.7981219999999999E-4</v>
      </c>
      <c r="P2306">
        <v>-0.98341970000000001</v>
      </c>
      <c r="Q2306">
        <v>0.16505999999999901</v>
      </c>
      <c r="R2306">
        <v>-7.5106989999999998E-2</v>
      </c>
      <c r="S2306">
        <v>-3.0567630000000001</v>
      </c>
      <c r="T2306">
        <v>-3.5466909999999997E-2</v>
      </c>
      <c r="U2306">
        <v>6.5612789999999997E-3</v>
      </c>
      <c r="V2306">
        <v>-7.5215470000000006E-2</v>
      </c>
      <c r="W2306">
        <v>0.17527019999999999</v>
      </c>
      <c r="X2306">
        <v>0.98164300000000004</v>
      </c>
      <c r="Y2306">
        <v>1.9664029999999998E-3</v>
      </c>
      <c r="Z2306" s="1">
        <v>2.1373219999999999E-5</v>
      </c>
      <c r="AA2306">
        <v>0.9999981</v>
      </c>
      <c r="AB2306">
        <v>37</v>
      </c>
      <c r="AC2306">
        <v>-95.380600000000001</v>
      </c>
      <c r="AD2306">
        <v>-1.10944007586</v>
      </c>
      <c r="AE2306">
        <v>0.20509999999995801</v>
      </c>
      <c r="AF2306">
        <v>0.18792305684168101</v>
      </c>
      <c r="AG2306">
        <v>-1.10944007586</v>
      </c>
      <c r="AH2306">
        <v>95.367732447781705</v>
      </c>
      <c r="AI2306">
        <v>90.666506811406904</v>
      </c>
      <c r="AJ2306">
        <v>89.887098247825705</v>
      </c>
      <c r="AK2306">
        <v>95.374370585545194</v>
      </c>
      <c r="AL2306">
        <v>79.905617489318701</v>
      </c>
      <c r="AM2306">
        <v>94.381557160491198</v>
      </c>
      <c r="AN2306">
        <v>0.99999999469218004</v>
      </c>
    </row>
    <row r="2307" spans="1:40" x14ac:dyDescent="0.25">
      <c r="A2307" t="str">
        <f>"20190304155639328"</f>
        <v>20190304155639328</v>
      </c>
      <c r="B2307" t="str">
        <f>"1551686199317240"</f>
        <v>1551686199317240</v>
      </c>
      <c r="C2307" t="s">
        <v>40</v>
      </c>
      <c r="D2307">
        <v>4.6976879999999896</v>
      </c>
      <c r="E2307">
        <v>0.52840759999999998</v>
      </c>
      <c r="F2307" t="s">
        <v>55</v>
      </c>
      <c r="G2307">
        <v>-440.72719999999998</v>
      </c>
      <c r="H2307" s="1">
        <v>-1.1454549999999999E-6</v>
      </c>
      <c r="I2307">
        <v>284.51670000000001</v>
      </c>
      <c r="J2307">
        <v>-340.95479999999998</v>
      </c>
      <c r="K2307">
        <v>1.109445</v>
      </c>
      <c r="L2307">
        <v>284.30410000000001</v>
      </c>
      <c r="M2307">
        <v>-0.99994629999999995</v>
      </c>
      <c r="N2307">
        <v>-1.036519E-2</v>
      </c>
      <c r="O2307">
        <v>2.7909849999999998E-4</v>
      </c>
      <c r="P2307">
        <v>-0.98331979999999997</v>
      </c>
      <c r="Q2307">
        <v>0.16566520000000001</v>
      </c>
      <c r="R2307">
        <v>-7.5081720000000005E-2</v>
      </c>
      <c r="S2307">
        <v>-3.0567630000000001</v>
      </c>
      <c r="T2307">
        <v>-3.3904910000000003E-2</v>
      </c>
      <c r="U2307">
        <v>6.5002439999999996E-3</v>
      </c>
      <c r="V2307">
        <v>-7.5287679999999996E-2</v>
      </c>
      <c r="W2307">
        <v>0.17587809999999901</v>
      </c>
      <c r="X2307">
        <v>0.98152879999999998</v>
      </c>
      <c r="Y2307">
        <v>1.8471749999999999E-3</v>
      </c>
      <c r="Z2307" s="1">
        <v>1.961527E-5</v>
      </c>
      <c r="AA2307">
        <v>0.99999830000000001</v>
      </c>
      <c r="AB2307">
        <v>37</v>
      </c>
      <c r="AC2307">
        <v>-99.772400000000005</v>
      </c>
      <c r="AD2307">
        <v>-1.109446145455</v>
      </c>
      <c r="AE2307">
        <v>0.212600000000008</v>
      </c>
      <c r="AF2307">
        <v>0.18472932864816</v>
      </c>
      <c r="AG2307">
        <v>-1.109446145455</v>
      </c>
      <c r="AH2307">
        <v>99.760120241544101</v>
      </c>
      <c r="AI2307">
        <v>90.637166957807807</v>
      </c>
      <c r="AJ2307">
        <v>89.893903508127906</v>
      </c>
      <c r="AK2307">
        <v>99.766460227282096</v>
      </c>
      <c r="AL2307">
        <v>79.870238503025107</v>
      </c>
      <c r="AM2307">
        <v>94.386255521193604</v>
      </c>
      <c r="AN2307">
        <v>1.0000000630244099</v>
      </c>
    </row>
    <row r="2308" spans="1:40" x14ac:dyDescent="0.25">
      <c r="A2308" t="str">
        <f>"20190304155639341"</f>
        <v>20190304155639341</v>
      </c>
      <c r="B2308" t="str">
        <f>"1551686199336760"</f>
        <v>1551686199336760</v>
      </c>
      <c r="C2308" t="s">
        <v>40</v>
      </c>
      <c r="D2308">
        <v>4.8254419999999998</v>
      </c>
      <c r="E2308">
        <v>0.52849409999999997</v>
      </c>
      <c r="F2308" t="s">
        <v>55</v>
      </c>
      <c r="G2308">
        <v>-445.1096</v>
      </c>
      <c r="H2308" s="1">
        <v>1.1864640000000001E-6</v>
      </c>
      <c r="I2308">
        <v>284.5215</v>
      </c>
      <c r="J2308">
        <v>-341.14449999999999</v>
      </c>
      <c r="K2308">
        <v>1.10945</v>
      </c>
      <c r="L2308">
        <v>284.30430000000001</v>
      </c>
      <c r="M2308">
        <v>-0.99994629999999995</v>
      </c>
      <c r="N2308">
        <v>-1.0367660000000001E-2</v>
      </c>
      <c r="O2308">
        <v>3.5406809999999898E-4</v>
      </c>
      <c r="P2308">
        <v>-0.9832649</v>
      </c>
      <c r="Q2308">
        <v>0.16595589999999999</v>
      </c>
      <c r="R2308">
        <v>-7.5160969999999994E-2</v>
      </c>
      <c r="S2308">
        <v>-3.0568849999999999</v>
      </c>
      <c r="T2308">
        <v>-3.256154E-2</v>
      </c>
      <c r="U2308">
        <v>6.3781740000000003E-3</v>
      </c>
      <c r="V2308">
        <v>-7.5439999999999993E-2</v>
      </c>
      <c r="W2308">
        <v>0.1761701</v>
      </c>
      <c r="X2308">
        <v>0.98146469999999997</v>
      </c>
      <c r="Y2308">
        <v>1.7322100000000001E-3</v>
      </c>
      <c r="Z2308" s="1">
        <v>1.8105179999999999E-5</v>
      </c>
      <c r="AA2308">
        <v>0.99999850000000001</v>
      </c>
      <c r="AB2308">
        <v>37</v>
      </c>
      <c r="AC2308">
        <v>-103.96510000000001</v>
      </c>
      <c r="AD2308">
        <v>-1.1094488135359999</v>
      </c>
      <c r="AE2308">
        <v>0.21719999999999101</v>
      </c>
      <c r="AF2308">
        <v>0.18036674673248301</v>
      </c>
      <c r="AG2308">
        <v>-1.1094488135359999</v>
      </c>
      <c r="AH2308">
        <v>103.953332456396</v>
      </c>
      <c r="AI2308">
        <v>90.611468859125793</v>
      </c>
      <c r="AJ2308">
        <v>89.900587670084803</v>
      </c>
      <c r="AK2308">
        <v>103.959409086543</v>
      </c>
      <c r="AL2308">
        <v>79.853242398648902</v>
      </c>
      <c r="AM2308">
        <v>94.395380860095898</v>
      </c>
      <c r="AN2308">
        <v>1.00000002754004</v>
      </c>
    </row>
    <row r="2309" spans="1:40" x14ac:dyDescent="0.25">
      <c r="A2309" t="str">
        <f>"20190304155639354"</f>
        <v>20190304155639354</v>
      </c>
      <c r="B2309" t="str">
        <f>"1551686199346519"</f>
        <v>1551686199346519</v>
      </c>
      <c r="C2309" t="s">
        <v>40</v>
      </c>
      <c r="D2309">
        <v>4.7787089999999903</v>
      </c>
      <c r="E2309">
        <v>0.52841210000000005</v>
      </c>
      <c r="F2309" t="s">
        <v>55</v>
      </c>
      <c r="G2309">
        <v>-448.50319999999999</v>
      </c>
      <c r="H2309" s="1">
        <v>2.991383E-6</v>
      </c>
      <c r="I2309">
        <v>284.54329999999999</v>
      </c>
      <c r="J2309">
        <v>-341.3535</v>
      </c>
      <c r="K2309">
        <v>1.1094489999999999</v>
      </c>
      <c r="L2309">
        <v>284.30439999999999</v>
      </c>
      <c r="M2309">
        <v>-0.99994629999999995</v>
      </c>
      <c r="N2309">
        <v>-1.037038E-2</v>
      </c>
      <c r="O2309">
        <v>4.36487E-4</v>
      </c>
      <c r="P2309">
        <v>-0.98317160000000003</v>
      </c>
      <c r="Q2309">
        <v>0.16640139999999901</v>
      </c>
      <c r="R2309">
        <v>-7.5395000000000004E-2</v>
      </c>
      <c r="S2309">
        <v>-3.056915</v>
      </c>
      <c r="T2309">
        <v>-3.1590220000000002E-2</v>
      </c>
      <c r="U2309">
        <v>6.8054200000000004E-3</v>
      </c>
      <c r="V2309">
        <v>-7.5755359999999994E-2</v>
      </c>
      <c r="W2309">
        <v>0.17661740000000001</v>
      </c>
      <c r="X2309">
        <v>0.98136000000000001</v>
      </c>
      <c r="Y2309">
        <v>1.789531E-3</v>
      </c>
      <c r="Z2309" s="1">
        <v>1.85422E-5</v>
      </c>
      <c r="AA2309">
        <v>0.99999839999999995</v>
      </c>
      <c r="AB2309">
        <v>37</v>
      </c>
      <c r="AC2309">
        <v>-107.1497</v>
      </c>
      <c r="AD2309">
        <v>-1.1094460086169999</v>
      </c>
      <c r="AE2309">
        <v>0.238900000000001</v>
      </c>
      <c r="AF2309">
        <v>0.192107423434037</v>
      </c>
      <c r="AG2309">
        <v>-1.1094460086169999</v>
      </c>
      <c r="AH2309">
        <v>107.13830796203401</v>
      </c>
      <c r="AI2309">
        <v>90.593291054855399</v>
      </c>
      <c r="AJ2309">
        <v>89.897264265331003</v>
      </c>
      <c r="AK2309">
        <v>107.14422433652599</v>
      </c>
      <c r="AL2309">
        <v>79.8272056057437</v>
      </c>
      <c r="AM2309">
        <v>94.414151340587296</v>
      </c>
      <c r="AN2309">
        <v>1.00000001507574</v>
      </c>
    </row>
    <row r="2310" spans="1:40" x14ac:dyDescent="0.25">
      <c r="A2310" t="str">
        <f>"20190304155639365"</f>
        <v>20190304155639365</v>
      </c>
      <c r="B2310" t="str">
        <f>"1551686199357256"</f>
        <v>1551686199357256</v>
      </c>
      <c r="C2310" t="s">
        <v>40</v>
      </c>
      <c r="D2310">
        <v>4.7751919999999997</v>
      </c>
      <c r="E2310">
        <v>0.52838399999999996</v>
      </c>
      <c r="F2310" t="s">
        <v>55</v>
      </c>
      <c r="G2310">
        <v>-450.93060000000003</v>
      </c>
      <c r="H2310" s="1">
        <v>-1.0360389999999999E-6</v>
      </c>
      <c r="I2310">
        <v>284.49040000000002</v>
      </c>
      <c r="J2310">
        <v>-341.55189999999999</v>
      </c>
      <c r="K2310">
        <v>1.1094489999999999</v>
      </c>
      <c r="L2310">
        <v>284.30459999999999</v>
      </c>
      <c r="M2310">
        <v>-0.99994609999999995</v>
      </c>
      <c r="N2310">
        <v>-1.0372940000000001E-2</v>
      </c>
      <c r="O2310">
        <v>5.1467470000000003E-4</v>
      </c>
      <c r="P2310">
        <v>-0.98313329999999999</v>
      </c>
      <c r="Q2310">
        <v>0.166572</v>
      </c>
      <c r="R2310">
        <v>-7.5515490000000005E-2</v>
      </c>
      <c r="S2310">
        <v>-3.0569760000000001</v>
      </c>
      <c r="T2310">
        <v>-3.0951380000000001E-2</v>
      </c>
      <c r="U2310">
        <v>5.1879880000000001E-3</v>
      </c>
      <c r="V2310">
        <v>-7.5952759999999994E-2</v>
      </c>
      <c r="W2310">
        <v>0.17679059999999999</v>
      </c>
      <c r="X2310">
        <v>0.98131349999999995</v>
      </c>
      <c r="Y2310">
        <v>0</v>
      </c>
      <c r="Z2310">
        <v>0</v>
      </c>
      <c r="AA2310">
        <v>1</v>
      </c>
      <c r="AB2310">
        <v>37</v>
      </c>
      <c r="AC2310">
        <v>-109.37869999999999</v>
      </c>
      <c r="AD2310">
        <v>-1.1094500360389901</v>
      </c>
      <c r="AE2310">
        <v>0.185800000000028</v>
      </c>
      <c r="AF2310">
        <v>0.12948917641125399</v>
      </c>
      <c r="AG2310">
        <v>-1.1094500360389901</v>
      </c>
      <c r="AH2310">
        <v>109.367528951605</v>
      </c>
      <c r="AI2310">
        <v>90.581201572179197</v>
      </c>
      <c r="AJ2310">
        <v>89.9321628649258</v>
      </c>
      <c r="AK2310">
        <v>109.37323272085099</v>
      </c>
      <c r="AL2310">
        <v>79.817122772524499</v>
      </c>
      <c r="AM2310">
        <v>94.425816782835</v>
      </c>
      <c r="AN2310">
        <v>0.99999996164111304</v>
      </c>
    </row>
    <row r="2311" spans="1:40" x14ac:dyDescent="0.25">
      <c r="A2311" t="str">
        <f>"20190304155639377"</f>
        <v>20190304155639377</v>
      </c>
      <c r="B2311" t="str">
        <f>"1551686199367016"</f>
        <v>1551686199367016</v>
      </c>
      <c r="C2311" t="s">
        <v>40</v>
      </c>
      <c r="D2311">
        <v>4.8939360000000001</v>
      </c>
      <c r="E2311">
        <v>0.528163099999999</v>
      </c>
      <c r="F2311" t="s">
        <v>55</v>
      </c>
      <c r="G2311">
        <v>-449.44889999999998</v>
      </c>
      <c r="H2311" s="1">
        <v>3.4979820000000001E-6</v>
      </c>
      <c r="I2311">
        <v>284.46609999999998</v>
      </c>
      <c r="J2311">
        <v>-341.74979999999999</v>
      </c>
      <c r="K2311">
        <v>1.1094469999999901</v>
      </c>
      <c r="L2311">
        <v>284.30470000000003</v>
      </c>
      <c r="M2311">
        <v>-0.99994609999999995</v>
      </c>
      <c r="N2311">
        <v>-1.0375489999999999E-2</v>
      </c>
      <c r="O2311">
        <v>5.9286080000000001E-4</v>
      </c>
      <c r="P2311">
        <v>-0.98310909999999996</v>
      </c>
      <c r="Q2311">
        <v>0.16673089999999999</v>
      </c>
      <c r="R2311">
        <v>-7.5485419999999998E-2</v>
      </c>
      <c r="S2311">
        <v>-3.0571290000000002</v>
      </c>
      <c r="T2311">
        <v>-3.1434770000000001E-2</v>
      </c>
      <c r="U2311">
        <v>4.5776369999999999E-3</v>
      </c>
      <c r="V2311">
        <v>-7.5999189999999994E-2</v>
      </c>
      <c r="W2311">
        <v>0.17695150000000001</v>
      </c>
      <c r="X2311">
        <v>0.98128090000000001</v>
      </c>
      <c r="Y2311">
        <v>0</v>
      </c>
      <c r="Z2311">
        <v>0</v>
      </c>
      <c r="AA2311">
        <v>1</v>
      </c>
      <c r="AB2311">
        <v>37</v>
      </c>
      <c r="AC2311">
        <v>-107.6991</v>
      </c>
      <c r="AD2311">
        <v>-1.10944350201799</v>
      </c>
      <c r="AE2311">
        <v>0.16139999999995699</v>
      </c>
      <c r="AF2311">
        <v>9.7535616344413698E-2</v>
      </c>
      <c r="AG2311">
        <v>-1.10944350201799</v>
      </c>
      <c r="AH2311">
        <v>107.68774925495001</v>
      </c>
      <c r="AI2311">
        <v>90.590263570489697</v>
      </c>
      <c r="AJ2311">
        <v>89.948105725309603</v>
      </c>
      <c r="AK2311">
        <v>107.693508242965</v>
      </c>
      <c r="AL2311">
        <v>79.807756165302607</v>
      </c>
      <c r="AM2311">
        <v>94.428658068261598</v>
      </c>
      <c r="AN2311">
        <v>0.99999995746885695</v>
      </c>
    </row>
    <row r="2312" spans="1:40" x14ac:dyDescent="0.25">
      <c r="A2312" t="str">
        <f>"20190304155639390"</f>
        <v>20190304155639390</v>
      </c>
      <c r="B2312" t="str">
        <f>"1551686199386535"</f>
        <v>1551686199386535</v>
      </c>
      <c r="C2312" t="s">
        <v>40</v>
      </c>
      <c r="D2312">
        <v>4.72675</v>
      </c>
      <c r="E2312">
        <v>0.52810230000000002</v>
      </c>
      <c r="F2312" t="s">
        <v>55</v>
      </c>
      <c r="G2312">
        <v>-449.81630000000001</v>
      </c>
      <c r="H2312" s="1">
        <v>3.6963850000000001E-6</v>
      </c>
      <c r="I2312">
        <v>284.4008</v>
      </c>
      <c r="J2312">
        <v>-341.96100000000001</v>
      </c>
      <c r="K2312">
        <v>1.109448</v>
      </c>
      <c r="L2312">
        <v>284.30489999999998</v>
      </c>
      <c r="M2312">
        <v>-0.99994609999999995</v>
      </c>
      <c r="N2312">
        <v>-1.0378220000000001E-2</v>
      </c>
      <c r="O2312">
        <v>6.764691E-4</v>
      </c>
      <c r="P2312">
        <v>-0.98312390000000005</v>
      </c>
      <c r="Q2312">
        <v>0.1666522</v>
      </c>
      <c r="R2312">
        <v>-7.5463420000000003E-2</v>
      </c>
      <c r="S2312">
        <v>-3.0570369999999998</v>
      </c>
      <c r="T2312">
        <v>-3.1384469999999998E-2</v>
      </c>
      <c r="U2312">
        <v>2.7160639999999998E-3</v>
      </c>
      <c r="V2312">
        <v>-7.6059650000000006E-2</v>
      </c>
      <c r="W2312">
        <v>0.17687549999999999</v>
      </c>
      <c r="X2312">
        <v>0.98129</v>
      </c>
      <c r="Y2312">
        <v>0</v>
      </c>
      <c r="Z2312">
        <v>0</v>
      </c>
      <c r="AA2312">
        <v>1</v>
      </c>
      <c r="AB2312">
        <v>37</v>
      </c>
      <c r="AC2312">
        <v>-107.8553</v>
      </c>
      <c r="AD2312">
        <v>-1.1094443036149999</v>
      </c>
      <c r="AE2312">
        <v>9.5900000000028698E-2</v>
      </c>
      <c r="AF2312">
        <v>2.2932857701535001E-2</v>
      </c>
      <c r="AG2312">
        <v>-1.1094443036149999</v>
      </c>
      <c r="AH2312">
        <v>107.843929204745</v>
      </c>
      <c r="AI2312">
        <v>90.589409463349597</v>
      </c>
      <c r="AJ2312">
        <v>89.987816134404994</v>
      </c>
      <c r="AK2312">
        <v>107.849638195484</v>
      </c>
      <c r="AL2312">
        <v>79.812181265452594</v>
      </c>
      <c r="AM2312">
        <v>94.432126249358802</v>
      </c>
      <c r="AN2312">
        <v>1.0000000384791801</v>
      </c>
    </row>
    <row r="2313" spans="1:40" x14ac:dyDescent="0.25">
      <c r="A2313" t="str">
        <f>"20190304155639405"</f>
        <v>20190304155639405</v>
      </c>
      <c r="B2313" t="str">
        <f>"1551686199397272"</f>
        <v>1551686199397272</v>
      </c>
      <c r="C2313" t="s">
        <v>40</v>
      </c>
      <c r="D2313">
        <v>4.8636379999999999</v>
      </c>
      <c r="E2313">
        <v>0.52798469999999997</v>
      </c>
      <c r="F2313" t="s">
        <v>55</v>
      </c>
      <c r="G2313">
        <v>-447.05149999999998</v>
      </c>
      <c r="H2313" s="1">
        <v>2.2258229999999999E-6</v>
      </c>
      <c r="I2313">
        <v>284.38470000000001</v>
      </c>
      <c r="J2313">
        <v>-342.2013</v>
      </c>
      <c r="K2313">
        <v>1.1094459999999999</v>
      </c>
      <c r="L2313">
        <v>284.30520000000001</v>
      </c>
      <c r="M2313">
        <v>-0.99994590000000005</v>
      </c>
      <c r="N2313">
        <v>-1.0381359999999999E-2</v>
      </c>
      <c r="O2313">
        <v>7.714617E-4</v>
      </c>
      <c r="P2313">
        <v>-0.98312699999999997</v>
      </c>
      <c r="Q2313">
        <v>0.1666782</v>
      </c>
      <c r="R2313">
        <v>-7.5364059999999997E-2</v>
      </c>
      <c r="S2313">
        <v>-3.0571290000000002</v>
      </c>
      <c r="T2313">
        <v>-3.2274249999999997E-2</v>
      </c>
      <c r="U2313">
        <v>2.319336E-3</v>
      </c>
      <c r="V2313">
        <v>-7.605365E-2</v>
      </c>
      <c r="W2313">
        <v>0.1769046</v>
      </c>
      <c r="X2313">
        <v>0.98128519999999997</v>
      </c>
      <c r="Y2313">
        <v>0</v>
      </c>
      <c r="Z2313">
        <v>0</v>
      </c>
      <c r="AA2313">
        <v>1</v>
      </c>
      <c r="AB2313">
        <v>37</v>
      </c>
      <c r="AC2313">
        <v>-104.85019999999901</v>
      </c>
      <c r="AD2313">
        <v>-1.109443774177</v>
      </c>
      <c r="AE2313">
        <v>7.9499999999995893E-2</v>
      </c>
      <c r="AF2313">
        <v>-1.39213352939085E-3</v>
      </c>
      <c r="AG2313">
        <v>-1.109443774177</v>
      </c>
      <c r="AH2313">
        <v>104.838492171271</v>
      </c>
      <c r="AI2313">
        <v>90.606304724772201</v>
      </c>
      <c r="AJ2313">
        <v>90.000760821470195</v>
      </c>
      <c r="AK2313">
        <v>104.84436230991</v>
      </c>
      <c r="AL2313">
        <v>79.810487048801804</v>
      </c>
      <c r="AM2313">
        <v>94.431799603863197</v>
      </c>
      <c r="AN2313">
        <v>1.00000001945926</v>
      </c>
    </row>
    <row r="2314" spans="1:40" x14ac:dyDescent="0.25">
      <c r="A2314" t="str">
        <f>"20190304155639420"</f>
        <v>20190304155639420</v>
      </c>
      <c r="B2314" t="str">
        <f>"1551686199416792"</f>
        <v>1551686199416792</v>
      </c>
      <c r="C2314" t="s">
        <v>40</v>
      </c>
      <c r="D2314">
        <v>4.7663549999999999</v>
      </c>
      <c r="E2314">
        <v>0.52783400000000003</v>
      </c>
      <c r="F2314" t="s">
        <v>55</v>
      </c>
      <c r="G2314">
        <v>-446.86540000000002</v>
      </c>
      <c r="H2314" s="1">
        <v>2.128109E-6</v>
      </c>
      <c r="I2314">
        <v>284.35430000000002</v>
      </c>
      <c r="J2314">
        <v>-342.4461</v>
      </c>
      <c r="K2314">
        <v>1.109453</v>
      </c>
      <c r="L2314">
        <v>284.30549999999999</v>
      </c>
      <c r="M2314">
        <v>-0.99994570000000005</v>
      </c>
      <c r="N2314">
        <v>-1.03845E-2</v>
      </c>
      <c r="O2314">
        <v>8.6836200000000002E-4</v>
      </c>
      <c r="P2314">
        <v>-0.98313309999999998</v>
      </c>
      <c r="Q2314">
        <v>0.16665329999999901</v>
      </c>
      <c r="R2314">
        <v>-7.5339989999999996E-2</v>
      </c>
      <c r="S2314">
        <v>-3.0570979999999999</v>
      </c>
      <c r="T2314">
        <v>-3.2405379999999998E-2</v>
      </c>
      <c r="U2314">
        <v>1.4343260000000001E-3</v>
      </c>
      <c r="V2314">
        <v>-7.6124609999999995E-2</v>
      </c>
      <c r="W2314">
        <v>0.1768826</v>
      </c>
      <c r="X2314">
        <v>0.98128369999999998</v>
      </c>
      <c r="Y2314">
        <v>0</v>
      </c>
      <c r="Z2314">
        <v>0</v>
      </c>
      <c r="AA2314">
        <v>1</v>
      </c>
      <c r="AB2314">
        <v>37</v>
      </c>
      <c r="AC2314">
        <v>-104.41930000000001</v>
      </c>
      <c r="AD2314">
        <v>-1.1094508718909999</v>
      </c>
      <c r="AE2314">
        <v>4.88000000000283E-2</v>
      </c>
      <c r="AF2314">
        <v>-4.18739331098762E-2</v>
      </c>
      <c r="AG2314">
        <v>-1.1094508718909999</v>
      </c>
      <c r="AH2314">
        <v>104.407516467102</v>
      </c>
      <c r="AI2314">
        <v>90.608811100788401</v>
      </c>
      <c r="AJ2314">
        <v>90.022979183792003</v>
      </c>
      <c r="AK2314">
        <v>104.41341929796</v>
      </c>
      <c r="AL2314">
        <v>79.8117681202406</v>
      </c>
      <c r="AM2314">
        <v>94.435924843790303</v>
      </c>
      <c r="AN2314">
        <v>1.0000000551580399</v>
      </c>
    </row>
    <row r="2315" spans="1:40" x14ac:dyDescent="0.25">
      <c r="A2315" t="str">
        <f>"20190304155639441"</f>
        <v>20190304155639441</v>
      </c>
      <c r="B2315" t="str">
        <f>"1551686199437288"</f>
        <v>1551686199437288</v>
      </c>
      <c r="C2315" t="s">
        <v>40</v>
      </c>
      <c r="D2315">
        <v>4.855486</v>
      </c>
      <c r="E2315">
        <v>0.5278062</v>
      </c>
      <c r="F2315" t="s">
        <v>55</v>
      </c>
      <c r="G2315">
        <v>-444.69979999999998</v>
      </c>
      <c r="H2315" s="1">
        <v>9.7756239999999994E-7</v>
      </c>
      <c r="I2315">
        <v>284.31049999999999</v>
      </c>
      <c r="J2315">
        <v>-342.7928</v>
      </c>
      <c r="K2315">
        <v>1.10945</v>
      </c>
      <c r="L2315">
        <v>284.30590000000001</v>
      </c>
      <c r="M2315">
        <v>-0.99994559999999999</v>
      </c>
      <c r="N2315">
        <v>-1.038888E-2</v>
      </c>
      <c r="O2315">
        <v>1.005012E-3</v>
      </c>
      <c r="P2315">
        <v>-0.98318819999999996</v>
      </c>
      <c r="Q2315">
        <v>0.1665304</v>
      </c>
      <c r="R2315">
        <v>-7.4893189999999998E-2</v>
      </c>
      <c r="S2315">
        <v>-3.0570979999999999</v>
      </c>
      <c r="T2315">
        <v>-3.3169509999999999E-2</v>
      </c>
      <c r="U2315">
        <v>1.5258789999999999E-4</v>
      </c>
      <c r="V2315">
        <v>-7.5811799999999999E-2</v>
      </c>
      <c r="W2315">
        <v>0.1767647</v>
      </c>
      <c r="X2315">
        <v>0.98132909999999995</v>
      </c>
      <c r="Y2315">
        <v>0</v>
      </c>
      <c r="Z2315">
        <v>0</v>
      </c>
      <c r="AA2315">
        <v>1</v>
      </c>
      <c r="AB2315">
        <v>37</v>
      </c>
      <c r="AC2315">
        <v>-101.906999999999</v>
      </c>
      <c r="AD2315">
        <v>-1.1094490224375999</v>
      </c>
      <c r="AE2315">
        <v>4.5999999999821696E-3</v>
      </c>
      <c r="AF2315">
        <v>-9.7811687262348901E-2</v>
      </c>
      <c r="AG2315">
        <v>-1.1094490224375999</v>
      </c>
      <c r="AH2315">
        <v>101.89487615362999</v>
      </c>
      <c r="AI2315">
        <v>90.623821411539296</v>
      </c>
      <c r="AJ2315">
        <v>90.054999773858896</v>
      </c>
      <c r="AK2315">
        <v>101.90096285425</v>
      </c>
      <c r="AL2315">
        <v>79.8186308252359</v>
      </c>
      <c r="AM2315">
        <v>94.417565547729197</v>
      </c>
      <c r="AN2315">
        <v>0.99999999534606898</v>
      </c>
    </row>
    <row r="2316" spans="1:40" x14ac:dyDescent="0.25">
      <c r="A2316" t="str">
        <f>"20190304155639453"</f>
        <v>20190304155639453</v>
      </c>
      <c r="B2316" t="str">
        <f>"1551686199447048"</f>
        <v>1551686199447048</v>
      </c>
      <c r="C2316" t="s">
        <v>40</v>
      </c>
      <c r="D2316">
        <v>4.656936</v>
      </c>
      <c r="E2316">
        <v>0.51192910000000003</v>
      </c>
      <c r="F2316" t="s">
        <v>55</v>
      </c>
      <c r="G2316">
        <v>-441.81659999999999</v>
      </c>
      <c r="H2316" s="1">
        <v>-5.5775209999999997E-7</v>
      </c>
      <c r="I2316">
        <v>284.33359999999999</v>
      </c>
      <c r="J2316">
        <v>-343.00080000000003</v>
      </c>
      <c r="K2316">
        <v>1.109448</v>
      </c>
      <c r="L2316">
        <v>284.30619999999999</v>
      </c>
      <c r="M2316">
        <v>-0.99994559999999999</v>
      </c>
      <c r="N2316">
        <v>-1.039148E-2</v>
      </c>
      <c r="O2316">
        <v>1.086896E-3</v>
      </c>
      <c r="P2316">
        <v>-0.9832381</v>
      </c>
      <c r="Q2316">
        <v>0.16636119999999999</v>
      </c>
      <c r="R2316">
        <v>-7.4615000000000001E-2</v>
      </c>
      <c r="S2316">
        <v>-3.057159</v>
      </c>
      <c r="T2316">
        <v>-3.4252049999999999E-2</v>
      </c>
      <c r="U2316">
        <v>8.5449219999999995E-4</v>
      </c>
      <c r="V2316">
        <v>-7.5614760000000003E-2</v>
      </c>
      <c r="W2316">
        <v>0.17659859999999999</v>
      </c>
      <c r="X2316">
        <v>0.98137419999999997</v>
      </c>
      <c r="Y2316">
        <v>0</v>
      </c>
      <c r="Z2316">
        <v>0</v>
      </c>
      <c r="AA2316">
        <v>1</v>
      </c>
      <c r="AB2316">
        <v>37</v>
      </c>
      <c r="AC2316">
        <v>-98.815799999999896</v>
      </c>
      <c r="AD2316">
        <v>-1.1094485577521001</v>
      </c>
      <c r="AE2316">
        <v>2.7400000000000001E-2</v>
      </c>
      <c r="AF2316">
        <v>-7.9998209298904693E-2</v>
      </c>
      <c r="AG2316">
        <v>-1.1094485577521001</v>
      </c>
      <c r="AH2316">
        <v>98.803316714974102</v>
      </c>
      <c r="AI2316">
        <v>90.643339006992306</v>
      </c>
      <c r="AJ2316">
        <v>90.046390737803193</v>
      </c>
      <c r="AK2316">
        <v>98.809577823687107</v>
      </c>
      <c r="AL2316">
        <v>79.828299699688301</v>
      </c>
      <c r="AM2316">
        <v>94.405927576928605</v>
      </c>
      <c r="AN2316">
        <v>0.99999998893872799</v>
      </c>
    </row>
    <row r="2317" spans="1:40" x14ac:dyDescent="0.25">
      <c r="A2317" t="str">
        <f>"20190304155639465"</f>
        <v>20190304155639465</v>
      </c>
      <c r="B2317" t="str">
        <f>"1551686199456808"</f>
        <v>1551686199456808</v>
      </c>
      <c r="C2317" t="s">
        <v>40</v>
      </c>
      <c r="D2317">
        <v>4.6764070000000002</v>
      </c>
      <c r="E2317">
        <v>0.50944449999999997</v>
      </c>
      <c r="F2317" t="s">
        <v>64</v>
      </c>
      <c r="G2317">
        <v>-405.09539999999998</v>
      </c>
      <c r="H2317" s="1">
        <v>6.7319330000000001E-6</v>
      </c>
      <c r="I2317">
        <v>281.7645</v>
      </c>
      <c r="J2317">
        <v>-343.2011</v>
      </c>
      <c r="K2317">
        <v>1.109445</v>
      </c>
      <c r="L2317">
        <v>284.30650000000003</v>
      </c>
      <c r="M2317">
        <v>-0.99994539999999998</v>
      </c>
      <c r="N2317">
        <v>-1.0393970000000001E-2</v>
      </c>
      <c r="O2317">
        <v>1.1656819999999999E-3</v>
      </c>
      <c r="P2317">
        <v>-0.98324219999999896</v>
      </c>
      <c r="Q2317">
        <v>0.16644929999999999</v>
      </c>
      <c r="R2317">
        <v>-7.4361040000000003E-2</v>
      </c>
      <c r="S2317">
        <v>-3.0508730000000002</v>
      </c>
      <c r="T2317">
        <v>-5.4509759999999997E-2</v>
      </c>
      <c r="U2317">
        <v>-0.1248779</v>
      </c>
      <c r="V2317">
        <v>-7.5438019999999995E-2</v>
      </c>
      <c r="W2317">
        <v>0.1766887</v>
      </c>
      <c r="X2317">
        <v>0.98137160000000001</v>
      </c>
      <c r="Y2317">
        <v>-4.2051730000000002E-2</v>
      </c>
      <c r="Z2317">
        <v>-6.0285379999999895E-4</v>
      </c>
      <c r="AA2317">
        <v>0.99911519999999998</v>
      </c>
      <c r="AB2317">
        <v>37</v>
      </c>
      <c r="AC2317">
        <v>-61.894299999999902</v>
      </c>
      <c r="AD2317">
        <v>-1.1094382680670001</v>
      </c>
      <c r="AE2317">
        <v>-2.54200000000003</v>
      </c>
      <c r="AF2317">
        <v>-2.6133130022404498</v>
      </c>
      <c r="AG2317">
        <v>-1.1094382680670001</v>
      </c>
      <c r="AH2317">
        <v>61.871449061749303</v>
      </c>
      <c r="AI2317">
        <v>91.026365339390196</v>
      </c>
      <c r="AJ2317">
        <v>92.418609245419304</v>
      </c>
      <c r="AK2317">
        <v>61.936551947286901</v>
      </c>
      <c r="AL2317">
        <v>79.823055033647194</v>
      </c>
      <c r="AM2317">
        <v>94.395681283435593</v>
      </c>
      <c r="AN2317">
        <v>1.0000000044278801</v>
      </c>
    </row>
    <row r="2318" spans="1:40" x14ac:dyDescent="0.25">
      <c r="A2318" t="str">
        <f>"20190304155639476"</f>
        <v>20190304155639476</v>
      </c>
      <c r="B2318" t="str">
        <f>"1551686199467544"</f>
        <v>1551686199467544</v>
      </c>
      <c r="C2318" t="s">
        <v>40</v>
      </c>
      <c r="D2318">
        <v>4.6736370000000003</v>
      </c>
      <c r="E2318">
        <v>0.50851040000000003</v>
      </c>
      <c r="F2318" t="s">
        <v>64</v>
      </c>
      <c r="G2318">
        <v>-413.28840000000002</v>
      </c>
      <c r="H2318" s="1">
        <v>3.1052949999999998E-6</v>
      </c>
      <c r="I2318">
        <v>280.99900000000002</v>
      </c>
      <c r="J2318">
        <v>-343.38310000000001</v>
      </c>
      <c r="K2318">
        <v>1.1094459999999999</v>
      </c>
      <c r="L2318">
        <v>284.30669999999998</v>
      </c>
      <c r="M2318">
        <v>-0.99994530000000004</v>
      </c>
      <c r="N2318">
        <v>-1.0396219999999999E-2</v>
      </c>
      <c r="O2318">
        <v>1.2373149999999999E-3</v>
      </c>
      <c r="P2318">
        <v>-0.98326049999999998</v>
      </c>
      <c r="Q2318">
        <v>0.1664311</v>
      </c>
      <c r="R2318">
        <v>-7.4159520000000007E-2</v>
      </c>
      <c r="S2318">
        <v>-3.0484309999999999</v>
      </c>
      <c r="T2318">
        <v>-4.8254970000000001E-2</v>
      </c>
      <c r="U2318">
        <v>-0.14385990000000001</v>
      </c>
      <c r="V2318">
        <v>-7.530676E-2</v>
      </c>
      <c r="W2318">
        <v>0.17667269999999999</v>
      </c>
      <c r="X2318">
        <v>0.98138460000000005</v>
      </c>
      <c r="Y2318">
        <v>-4.8364919999999999E-2</v>
      </c>
      <c r="Z2318">
        <v>-6.4085450000000001E-4</v>
      </c>
      <c r="AA2318">
        <v>0.99882950000000004</v>
      </c>
      <c r="AB2318">
        <v>37</v>
      </c>
      <c r="AC2318">
        <v>-69.905299999999997</v>
      </c>
      <c r="AD2318">
        <v>-1.1094428947049999</v>
      </c>
      <c r="AE2318">
        <v>-3.3076999999999499</v>
      </c>
      <c r="AF2318">
        <v>-3.3933442109678902</v>
      </c>
      <c r="AG2318">
        <v>-1.1094428947049999</v>
      </c>
      <c r="AH2318">
        <v>69.883590799738499</v>
      </c>
      <c r="AI2318">
        <v>90.908457453095707</v>
      </c>
      <c r="AJ2318">
        <v>92.779933190511798</v>
      </c>
      <c r="AK2318">
        <v>69.974723375916398</v>
      </c>
      <c r="AL2318">
        <v>79.823986805602402</v>
      </c>
      <c r="AM2318">
        <v>94.388004921834593</v>
      </c>
      <c r="AN2318">
        <v>1.0000000420720701</v>
      </c>
    </row>
    <row r="2319" spans="1:40" x14ac:dyDescent="0.25">
      <c r="A2319" t="str">
        <f>"20190304155639497"</f>
        <v>20190304155639497</v>
      </c>
      <c r="B2319" t="str">
        <f>"1551686199487063"</f>
        <v>1551686199487063</v>
      </c>
      <c r="C2319" t="s">
        <v>40</v>
      </c>
      <c r="D2319">
        <v>4.6843309999999896</v>
      </c>
      <c r="E2319">
        <v>0.506494</v>
      </c>
      <c r="F2319" t="s">
        <v>64</v>
      </c>
      <c r="G2319">
        <v>-419.94119999999998</v>
      </c>
      <c r="H2319" s="1">
        <v>4.3278210000000003E-6</v>
      </c>
      <c r="I2319">
        <v>280.51369999999997</v>
      </c>
      <c r="J2319">
        <v>-343.72899999999998</v>
      </c>
      <c r="K2319">
        <v>1.1094459999999999</v>
      </c>
      <c r="L2319">
        <v>284.3073</v>
      </c>
      <c r="M2319">
        <v>-0.99994499999999997</v>
      </c>
      <c r="N2319">
        <v>-1.040048E-2</v>
      </c>
      <c r="O2319">
        <v>1.373549E-3</v>
      </c>
      <c r="P2319">
        <v>-0.98333230000000005</v>
      </c>
      <c r="Q2319">
        <v>0.16612929999999901</v>
      </c>
      <c r="R2319">
        <v>-7.38814E-2</v>
      </c>
      <c r="S2319">
        <v>-3.0471499999999998</v>
      </c>
      <c r="T2319">
        <v>-4.4157740000000001E-2</v>
      </c>
      <c r="U2319">
        <v>-0.15097049999999901</v>
      </c>
      <c r="V2319">
        <v>-7.5162919999999994E-2</v>
      </c>
      <c r="W2319">
        <v>0.17637610000000001</v>
      </c>
      <c r="X2319">
        <v>0.98144889999999996</v>
      </c>
      <c r="Y2319">
        <v>-5.0846839999999997E-2</v>
      </c>
      <c r="Z2319">
        <v>-6.3840190000000001E-4</v>
      </c>
      <c r="AA2319">
        <v>0.99870630000000005</v>
      </c>
      <c r="AB2319">
        <v>37</v>
      </c>
      <c r="AC2319">
        <v>-76.212199999999896</v>
      </c>
      <c r="AD2319">
        <v>-1.1094416721789999</v>
      </c>
      <c r="AE2319">
        <v>-3.7936000000000201</v>
      </c>
      <c r="AF2319">
        <v>-3.89745938573629</v>
      </c>
      <c r="AG2319">
        <v>-1.1094416721789999</v>
      </c>
      <c r="AH2319">
        <v>76.190811118172505</v>
      </c>
      <c r="AI2319">
        <v>90.833156190444797</v>
      </c>
      <c r="AJ2319">
        <v>92.928351819699003</v>
      </c>
      <c r="AK2319">
        <v>76.298497687257694</v>
      </c>
      <c r="AL2319">
        <v>79.8412511010999</v>
      </c>
      <c r="AM2319">
        <v>94.379370416504997</v>
      </c>
      <c r="AN2319">
        <v>0.99999996825267201</v>
      </c>
    </row>
    <row r="2320" spans="1:40" x14ac:dyDescent="0.25">
      <c r="A2320" t="str">
        <f>"20190304155639509"</f>
        <v>20190304155639509</v>
      </c>
      <c r="B2320" t="str">
        <f>"1551686199496824"</f>
        <v>1551686199496824</v>
      </c>
      <c r="C2320" t="s">
        <v>40</v>
      </c>
      <c r="D2320">
        <v>4.6905409999999996</v>
      </c>
      <c r="E2320">
        <v>0.50613669999999999</v>
      </c>
      <c r="F2320" t="s">
        <v>64</v>
      </c>
      <c r="G2320">
        <v>-423.65839999999997</v>
      </c>
      <c r="H2320" s="1">
        <v>3.724351E-6</v>
      </c>
      <c r="I2320">
        <v>279.94139999999999</v>
      </c>
      <c r="J2320">
        <v>-343.92649999999998</v>
      </c>
      <c r="K2320">
        <v>1.1094459999999999</v>
      </c>
      <c r="L2320">
        <v>284.30759999999998</v>
      </c>
      <c r="M2320">
        <v>-0.99994499999999997</v>
      </c>
      <c r="N2320">
        <v>-1.040291E-2</v>
      </c>
      <c r="O2320">
        <v>1.4512010000000001E-3</v>
      </c>
      <c r="P2320">
        <v>-0.98334540000000004</v>
      </c>
      <c r="Q2320">
        <v>0.1661193</v>
      </c>
      <c r="R2320">
        <v>-7.3732019999999995E-2</v>
      </c>
      <c r="S2320">
        <v>-3.045471</v>
      </c>
      <c r="T2320">
        <v>-4.2271969999999999E-2</v>
      </c>
      <c r="U2320">
        <v>-0.16635129999999901</v>
      </c>
      <c r="V2320">
        <v>-7.508956E-2</v>
      </c>
      <c r="W2320">
        <v>0.1763681</v>
      </c>
      <c r="X2320">
        <v>0.981456</v>
      </c>
      <c r="Y2320">
        <v>-5.598086E-2</v>
      </c>
      <c r="Z2320">
        <v>-6.8467979999999897E-4</v>
      </c>
      <c r="AA2320">
        <v>0.99843159999999997</v>
      </c>
      <c r="AB2320">
        <v>37</v>
      </c>
      <c r="AC2320">
        <v>-79.731899999999996</v>
      </c>
      <c r="AD2320">
        <v>-1.1094422756490001</v>
      </c>
      <c r="AE2320">
        <v>-4.3661999999999903</v>
      </c>
      <c r="AF2320">
        <v>-4.4810436416592596</v>
      </c>
      <c r="AG2320">
        <v>-1.1094422756490001</v>
      </c>
      <c r="AH2320">
        <v>79.710092311042303</v>
      </c>
      <c r="AI2320">
        <v>90.796161007148001</v>
      </c>
      <c r="AJ2320">
        <v>93.217596755911302</v>
      </c>
      <c r="AK2320">
        <v>79.843656169518795</v>
      </c>
      <c r="AL2320">
        <v>79.841717240342803</v>
      </c>
      <c r="AM2320">
        <v>94.375081169991404</v>
      </c>
      <c r="AN2320">
        <v>1.0000000143273</v>
      </c>
    </row>
    <row r="2321" spans="1:40" x14ac:dyDescent="0.25">
      <c r="A2321" t="str">
        <f>"20190304155639521"</f>
        <v>20190304155639521</v>
      </c>
      <c r="B2321" t="str">
        <f>"1551686199517319"</f>
        <v>1551686199517319</v>
      </c>
      <c r="C2321" t="s">
        <v>40</v>
      </c>
      <c r="D2321">
        <v>4.6613249999999997</v>
      </c>
      <c r="E2321">
        <v>0.50589220000000001</v>
      </c>
      <c r="F2321" t="s">
        <v>64</v>
      </c>
      <c r="G2321">
        <v>-427.5505</v>
      </c>
      <c r="H2321" s="1">
        <v>3.0578729999999999E-6</v>
      </c>
      <c r="I2321">
        <v>279.66789999999997</v>
      </c>
      <c r="J2321">
        <v>-344.11380000000003</v>
      </c>
      <c r="K2321">
        <v>1.109445</v>
      </c>
      <c r="L2321">
        <v>284.30799999999999</v>
      </c>
      <c r="M2321">
        <v>-0.99994470000000002</v>
      </c>
      <c r="N2321">
        <v>-1.040518E-2</v>
      </c>
      <c r="O2321">
        <v>1.5253350000000001E-3</v>
      </c>
      <c r="P2321">
        <v>-0.98338130000000001</v>
      </c>
      <c r="Q2321">
        <v>0.16609740000000001</v>
      </c>
      <c r="R2321">
        <v>-7.3298650000000007E-2</v>
      </c>
      <c r="S2321">
        <v>-3.0449830000000002</v>
      </c>
      <c r="T2321">
        <v>-4.0397879999999997E-2</v>
      </c>
      <c r="U2321">
        <v>-0.16894529999999999</v>
      </c>
      <c r="V2321">
        <v>-7.4729470000000006E-2</v>
      </c>
      <c r="W2321">
        <v>0.1763489</v>
      </c>
      <c r="X2321">
        <v>0.98148690000000005</v>
      </c>
      <c r="Y2321">
        <v>-5.6912049999999999E-2</v>
      </c>
      <c r="Z2321">
        <v>-6.7793039999999903E-4</v>
      </c>
      <c r="AA2321">
        <v>0.99837900000000002</v>
      </c>
      <c r="AB2321">
        <v>37</v>
      </c>
      <c r="AC2321">
        <v>-83.436699999999902</v>
      </c>
      <c r="AD2321">
        <v>-1.1094419421269901</v>
      </c>
      <c r="AE2321">
        <v>-4.6401000000000101</v>
      </c>
      <c r="AF2321">
        <v>-4.7665302617749301</v>
      </c>
      <c r="AG2321">
        <v>-1.1094419421269901</v>
      </c>
      <c r="AH2321">
        <v>83.414822136235301</v>
      </c>
      <c r="AI2321">
        <v>90.760765086266801</v>
      </c>
      <c r="AJ2321">
        <v>93.270466697119005</v>
      </c>
      <c r="AK2321">
        <v>83.558262453088005</v>
      </c>
      <c r="AL2321">
        <v>79.842834499980896</v>
      </c>
      <c r="AM2321">
        <v>94.354044907162105</v>
      </c>
      <c r="AN2321">
        <v>0.99999998154464997</v>
      </c>
    </row>
    <row r="2322" spans="1:40" x14ac:dyDescent="0.25">
      <c r="A2322" t="str">
        <f>"20190304155639531"</f>
        <v>20190304155639531</v>
      </c>
      <c r="B2322" t="str">
        <f>"1551686199527079"</f>
        <v>1551686199527079</v>
      </c>
      <c r="C2322" t="s">
        <v>40</v>
      </c>
      <c r="D2322">
        <v>4.6708660000000002</v>
      </c>
      <c r="E2322">
        <v>0.50580700000000001</v>
      </c>
      <c r="F2322" t="s">
        <v>64</v>
      </c>
      <c r="G2322">
        <v>-429.07929999999999</v>
      </c>
      <c r="H2322" s="1">
        <v>2.8069620000000002E-6</v>
      </c>
      <c r="I2322">
        <v>279.55680000000001</v>
      </c>
      <c r="J2322">
        <v>-344.303</v>
      </c>
      <c r="K2322">
        <v>1.1094440000000001</v>
      </c>
      <c r="L2322">
        <v>284.30829999999997</v>
      </c>
      <c r="M2322">
        <v>-0.99994459999999996</v>
      </c>
      <c r="N2322">
        <v>-1.040748E-2</v>
      </c>
      <c r="O2322">
        <v>1.600125E-3</v>
      </c>
      <c r="P2322">
        <v>-0.98347090000000004</v>
      </c>
      <c r="Q2322">
        <v>0.16564499999999999</v>
      </c>
      <c r="R2322">
        <v>-7.3122839999999995E-2</v>
      </c>
      <c r="S2322">
        <v>-3.0447389999999999</v>
      </c>
      <c r="T2322">
        <v>-3.9756890000000003E-2</v>
      </c>
      <c r="U2322">
        <v>-0.17025760000000001</v>
      </c>
      <c r="V2322">
        <v>-7.4627440000000003E-2</v>
      </c>
      <c r="W2322">
        <v>0.17589969999999999</v>
      </c>
      <c r="X2322">
        <v>0.98157530000000004</v>
      </c>
      <c r="Y2322">
        <v>-5.7420249999999999E-2</v>
      </c>
      <c r="Z2322">
        <v>-6.7787659999999999E-4</v>
      </c>
      <c r="AA2322">
        <v>0.99834979999999995</v>
      </c>
      <c r="AB2322">
        <v>37</v>
      </c>
      <c r="AC2322">
        <v>-84.776299999999907</v>
      </c>
      <c r="AD2322">
        <v>-1.1094411930379999</v>
      </c>
      <c r="AE2322">
        <v>-4.7514999999999601</v>
      </c>
      <c r="AF2322">
        <v>-4.8863197176565398</v>
      </c>
      <c r="AG2322">
        <v>-1.1094411930379999</v>
      </c>
      <c r="AH2322">
        <v>84.754118391426402</v>
      </c>
      <c r="AI2322">
        <v>90.748722385349495</v>
      </c>
      <c r="AJ2322">
        <v>93.299614595024295</v>
      </c>
      <c r="AK2322">
        <v>84.902105771599693</v>
      </c>
      <c r="AL2322">
        <v>79.868980817077997</v>
      </c>
      <c r="AM2322">
        <v>94.347732947591695</v>
      </c>
      <c r="AN2322">
        <v>1.0000000144155601</v>
      </c>
    </row>
    <row r="2323" spans="1:40" x14ac:dyDescent="0.25">
      <c r="A2323" t="str">
        <f>"20190304155639543"</f>
        <v>20190304155639543</v>
      </c>
      <c r="B2323" t="str">
        <f>"1551686199536840"</f>
        <v>1551686199536840</v>
      </c>
      <c r="C2323" t="s">
        <v>40</v>
      </c>
      <c r="D2323">
        <v>4.6595649999999997</v>
      </c>
      <c r="E2323">
        <v>0.50570969999999904</v>
      </c>
      <c r="F2323" t="s">
        <v>64</v>
      </c>
      <c r="G2323">
        <v>-425.97410000000002</v>
      </c>
      <c r="H2323" s="1">
        <v>3.3323689999999998E-6</v>
      </c>
      <c r="I2323">
        <v>279.72649999999999</v>
      </c>
      <c r="J2323">
        <v>-344.50569999999999</v>
      </c>
      <c r="K2323">
        <v>1.109445</v>
      </c>
      <c r="L2323">
        <v>284.30869999999999</v>
      </c>
      <c r="M2323">
        <v>-0.99994439999999996</v>
      </c>
      <c r="N2323">
        <v>-1.0409939999999999E-2</v>
      </c>
      <c r="O2323">
        <v>1.6796210000000001E-3</v>
      </c>
      <c r="P2323">
        <v>-0.98353369999999996</v>
      </c>
      <c r="Q2323">
        <v>0.1654476</v>
      </c>
      <c r="R2323">
        <v>-7.2722869999999995E-2</v>
      </c>
      <c r="S2323">
        <v>-3.0446780000000002</v>
      </c>
      <c r="T2323">
        <v>-4.1359659999999999E-2</v>
      </c>
      <c r="U2323">
        <v>-0.17080689999999901</v>
      </c>
      <c r="V2323">
        <v>-7.4305700000000002E-2</v>
      </c>
      <c r="W2323">
        <v>0.1757049</v>
      </c>
      <c r="X2323">
        <v>0.98163460000000002</v>
      </c>
      <c r="Y2323">
        <v>-5.7679689999999999E-2</v>
      </c>
      <c r="Z2323">
        <v>-6.9725780000000001E-4</v>
      </c>
      <c r="AA2323">
        <v>0.99833490000000003</v>
      </c>
      <c r="AB2323">
        <v>37</v>
      </c>
      <c r="AC2323">
        <v>-81.468400000000003</v>
      </c>
      <c r="AD2323">
        <v>-1.1094416676309999</v>
      </c>
      <c r="AE2323">
        <v>-4.5822000000000003</v>
      </c>
      <c r="AF2323">
        <v>-4.7181647548878303</v>
      </c>
      <c r="AG2323">
        <v>-1.1094416676309999</v>
      </c>
      <c r="AH2323">
        <v>81.445531722652106</v>
      </c>
      <c r="AI2323">
        <v>90.779122171780401</v>
      </c>
      <c r="AJ2323">
        <v>93.315456676333298</v>
      </c>
      <c r="AK2323">
        <v>81.589622974087007</v>
      </c>
      <c r="AL2323">
        <v>79.8803186564203</v>
      </c>
      <c r="AM2323">
        <v>94.328799528961696</v>
      </c>
      <c r="AN2323">
        <v>1.0000000184268201</v>
      </c>
    </row>
    <row r="2324" spans="1:40" x14ac:dyDescent="0.25">
      <c r="A2324" t="str">
        <f>"20190304155639556"</f>
        <v>20190304155639556</v>
      </c>
      <c r="B2324" t="str">
        <f>"1551686199546600"</f>
        <v>1551686199546600</v>
      </c>
      <c r="C2324" t="s">
        <v>40</v>
      </c>
      <c r="D2324">
        <v>4.6696350000000004</v>
      </c>
      <c r="E2324">
        <v>0.50559290000000001</v>
      </c>
      <c r="F2324" t="s">
        <v>64</v>
      </c>
      <c r="G2324">
        <v>-425.11070000000001</v>
      </c>
      <c r="H2324" s="1">
        <v>3.48133E-6</v>
      </c>
      <c r="I2324">
        <v>279.77449999999999</v>
      </c>
      <c r="J2324">
        <v>-344.70310000000001</v>
      </c>
      <c r="K2324">
        <v>1.1094409999999999</v>
      </c>
      <c r="L2324">
        <v>284.3091</v>
      </c>
      <c r="M2324">
        <v>-0.99994439999999996</v>
      </c>
      <c r="N2324">
        <v>-1.0412340000000001E-2</v>
      </c>
      <c r="O2324">
        <v>1.756912E-3</v>
      </c>
      <c r="P2324">
        <v>-0.98359839999999998</v>
      </c>
      <c r="Q2324">
        <v>0.16514989999999999</v>
      </c>
      <c r="R2324">
        <v>-7.2526190000000004E-2</v>
      </c>
      <c r="S2324">
        <v>-3.0446170000000001</v>
      </c>
      <c r="T2324">
        <v>-4.190588E-2</v>
      </c>
      <c r="U2324">
        <v>-0.17126459999999999</v>
      </c>
      <c r="V2324">
        <v>-7.418516E-2</v>
      </c>
      <c r="W2324">
        <v>0.1754106</v>
      </c>
      <c r="X2324">
        <v>0.98169640000000002</v>
      </c>
      <c r="Y2324">
        <v>-5.7907359999999998E-2</v>
      </c>
      <c r="Z2324">
        <v>-7.0581249999999995E-4</v>
      </c>
      <c r="AA2324">
        <v>0.99832169999999998</v>
      </c>
      <c r="AB2324">
        <v>37</v>
      </c>
      <c r="AC2324">
        <v>-80.407600000000002</v>
      </c>
      <c r="AD2324">
        <v>-1.1094375186699901</v>
      </c>
      <c r="AE2324">
        <v>-4.53460000000001</v>
      </c>
      <c r="AF2324">
        <v>-4.6749825334984996</v>
      </c>
      <c r="AG2324">
        <v>-1.1094375186699901</v>
      </c>
      <c r="AH2324">
        <v>80.384253872151902</v>
      </c>
      <c r="AI2324">
        <v>90.789393939495696</v>
      </c>
      <c r="AJ2324">
        <v>93.328455166620301</v>
      </c>
      <c r="AK2324">
        <v>80.527725560075993</v>
      </c>
      <c r="AL2324">
        <v>79.897447337237594</v>
      </c>
      <c r="AM2324">
        <v>94.321532865686393</v>
      </c>
      <c r="AN2324">
        <v>1.0000000691647699</v>
      </c>
    </row>
    <row r="2325" spans="1:40" x14ac:dyDescent="0.25">
      <c r="A2325" t="str">
        <f>"20190304155639569"</f>
        <v>20190304155639569</v>
      </c>
      <c r="B2325" t="str">
        <f>"1551686199557336"</f>
        <v>1551686199557336</v>
      </c>
      <c r="C2325" t="s">
        <v>40</v>
      </c>
      <c r="D2325">
        <v>4.6837479999999996</v>
      </c>
      <c r="E2325">
        <v>0.50549880000000003</v>
      </c>
      <c r="F2325" t="s">
        <v>64</v>
      </c>
      <c r="G2325">
        <v>-424.02089999999998</v>
      </c>
      <c r="H2325" s="1">
        <v>3.6695350000000001E-6</v>
      </c>
      <c r="I2325">
        <v>279.8329</v>
      </c>
      <c r="J2325">
        <v>-344.9178</v>
      </c>
      <c r="K2325">
        <v>1.10944</v>
      </c>
      <c r="L2325">
        <v>284.30959999999999</v>
      </c>
      <c r="M2325">
        <v>-0.99994419999999995</v>
      </c>
      <c r="N2325">
        <v>-1.0414949999999999E-2</v>
      </c>
      <c r="O2325">
        <v>1.840578E-3</v>
      </c>
      <c r="P2325">
        <v>-0.98366310000000001</v>
      </c>
      <c r="Q2325">
        <v>0.16480429999999999</v>
      </c>
      <c r="R2325">
        <v>-7.2433639999999994E-2</v>
      </c>
      <c r="S2325">
        <v>-3.044495</v>
      </c>
      <c r="T2325">
        <v>-4.258406E-2</v>
      </c>
      <c r="U2325">
        <v>-0.17181399999999999</v>
      </c>
      <c r="V2325">
        <v>-7.4175690000000002E-2</v>
      </c>
      <c r="W2325">
        <v>0.1750678</v>
      </c>
      <c r="X2325">
        <v>0.98175820000000003</v>
      </c>
      <c r="Y2325">
        <v>-5.8172410000000001E-2</v>
      </c>
      <c r="Z2325">
        <v>-7.1626739999999995E-4</v>
      </c>
      <c r="AA2325">
        <v>0.99830629999999998</v>
      </c>
      <c r="AB2325">
        <v>37</v>
      </c>
      <c r="AC2325">
        <v>-79.103099999999898</v>
      </c>
      <c r="AD2325">
        <v>-1.1094363304649999</v>
      </c>
      <c r="AE2325">
        <v>-4.4766999999999904</v>
      </c>
      <c r="AF2325">
        <v>-4.6213895667095501</v>
      </c>
      <c r="AG2325">
        <v>-1.1094363304649999</v>
      </c>
      <c r="AH2325">
        <v>79.079220133156497</v>
      </c>
      <c r="AI2325">
        <v>90.802405504452295</v>
      </c>
      <c r="AJ2325">
        <v>93.344561288277802</v>
      </c>
      <c r="AK2325">
        <v>79.221910778312306</v>
      </c>
      <c r="AL2325">
        <v>79.917395976108395</v>
      </c>
      <c r="AM2325">
        <v>94.3207123276175</v>
      </c>
      <c r="AN2325">
        <v>0.99999996542552705</v>
      </c>
    </row>
    <row r="2326" spans="1:40" x14ac:dyDescent="0.25">
      <c r="A2326" t="str">
        <f>"20190304155639581"</f>
        <v>20190304155639581</v>
      </c>
      <c r="B2326" t="str">
        <f>"1551686199576856"</f>
        <v>1551686199576856</v>
      </c>
      <c r="C2326" t="s">
        <v>40</v>
      </c>
      <c r="D2326">
        <v>4.8845229999999997</v>
      </c>
      <c r="E2326">
        <v>0.50504459999999995</v>
      </c>
      <c r="F2326" t="s">
        <v>64</v>
      </c>
      <c r="G2326">
        <v>-422.66309999999999</v>
      </c>
      <c r="H2326" s="1">
        <v>3.9041039999999997E-6</v>
      </c>
      <c r="I2326">
        <v>279.90480000000002</v>
      </c>
      <c r="J2326">
        <v>-345.11869999999999</v>
      </c>
      <c r="K2326">
        <v>1.1094349999999999</v>
      </c>
      <c r="L2326">
        <v>284.31</v>
      </c>
      <c r="M2326">
        <v>-0.9999439</v>
      </c>
      <c r="N2326">
        <v>-1.041741E-2</v>
      </c>
      <c r="O2326">
        <v>1.9178629999999999E-3</v>
      </c>
      <c r="P2326">
        <v>-0.98363480000000003</v>
      </c>
      <c r="Q2326">
        <v>0.16489019999999999</v>
      </c>
      <c r="R2326">
        <v>-7.2620899999999905E-2</v>
      </c>
      <c r="S2326">
        <v>-3.044403</v>
      </c>
      <c r="T2326">
        <v>-4.3444040000000003E-2</v>
      </c>
      <c r="U2326">
        <v>-0.17248540000000001</v>
      </c>
      <c r="V2326">
        <v>-7.4439019999999995E-2</v>
      </c>
      <c r="W2326">
        <v>0.17515610000000001</v>
      </c>
      <c r="X2326">
        <v>0.98172250000000005</v>
      </c>
      <c r="Y2326">
        <v>-5.8470330000000001E-2</v>
      </c>
      <c r="Z2326">
        <v>-7.2905029999999996E-4</v>
      </c>
      <c r="AA2326">
        <v>0.99828890000000003</v>
      </c>
      <c r="AB2326">
        <v>37</v>
      </c>
      <c r="AC2326">
        <v>-77.544399999999996</v>
      </c>
      <c r="AD2326">
        <v>-1.1094310958960001</v>
      </c>
      <c r="AE2326">
        <v>-4.4051999999999696</v>
      </c>
      <c r="AF2326">
        <v>-4.5529905427599902</v>
      </c>
      <c r="AG2326">
        <v>-1.1094310958960001</v>
      </c>
      <c r="AH2326">
        <v>77.519991705327001</v>
      </c>
      <c r="AI2326">
        <v>90.818524956698695</v>
      </c>
      <c r="AJ2326">
        <v>93.361298102156695</v>
      </c>
      <c r="AK2326">
        <v>77.661507030400699</v>
      </c>
      <c r="AL2326">
        <v>79.912257171955901</v>
      </c>
      <c r="AM2326">
        <v>94.336149904256601</v>
      </c>
      <c r="AN2326">
        <v>0.99999994703600803</v>
      </c>
    </row>
    <row r="2327" spans="1:40" x14ac:dyDescent="0.25">
      <c r="A2327" t="str">
        <f>"20190304155639599"</f>
        <v>20190304155639599</v>
      </c>
      <c r="B2327" t="str">
        <f>"1551686199586616"</f>
        <v>1551686199586616</v>
      </c>
      <c r="C2327" t="s">
        <v>40</v>
      </c>
      <c r="D2327">
        <v>4.6760989999999998</v>
      </c>
      <c r="E2327">
        <v>0.50496730000000001</v>
      </c>
      <c r="F2327" t="s">
        <v>64</v>
      </c>
      <c r="G2327">
        <v>-425.83850000000001</v>
      </c>
      <c r="H2327" s="1">
        <v>3.3660009999999999E-6</v>
      </c>
      <c r="I2327">
        <v>279.61700000000002</v>
      </c>
      <c r="J2327">
        <v>-345.41210000000001</v>
      </c>
      <c r="K2327">
        <v>1.1094299999999999</v>
      </c>
      <c r="L2327">
        <v>284.3107</v>
      </c>
      <c r="M2327">
        <v>-0.99994369999999999</v>
      </c>
      <c r="N2327">
        <v>-1.0421E-2</v>
      </c>
      <c r="O2327">
        <v>2.0295299999999999E-3</v>
      </c>
      <c r="P2327">
        <v>-0.98352629999999996</v>
      </c>
      <c r="Q2327">
        <v>0.16522439999999999</v>
      </c>
      <c r="R2327">
        <v>-7.3329599999999995E-2</v>
      </c>
      <c r="S2327">
        <v>-3.0439150000000001</v>
      </c>
      <c r="T2327">
        <v>-4.183626E-2</v>
      </c>
      <c r="U2327">
        <v>-0.1769714</v>
      </c>
      <c r="V2327">
        <v>-7.5257370000000004E-2</v>
      </c>
      <c r="W2327">
        <v>0.1754927</v>
      </c>
      <c r="X2327">
        <v>0.98160000000000003</v>
      </c>
      <c r="Y2327">
        <v>-6.005754E-2</v>
      </c>
      <c r="Z2327">
        <v>-7.3232089999999896E-4</v>
      </c>
      <c r="AA2327">
        <v>0.99819460000000004</v>
      </c>
      <c r="AB2327">
        <v>37</v>
      </c>
      <c r="AC2327">
        <v>-80.426400000000001</v>
      </c>
      <c r="AD2327">
        <v>-1.109426633999</v>
      </c>
      <c r="AE2327">
        <v>-4.6936999999999696</v>
      </c>
      <c r="AF2327">
        <v>-4.8560060990757297</v>
      </c>
      <c r="AG2327">
        <v>-1.109426633999</v>
      </c>
      <c r="AH2327">
        <v>80.401460724030699</v>
      </c>
      <c r="AI2327">
        <v>90.789112917258606</v>
      </c>
      <c r="AJ2327">
        <v>93.456293998153299</v>
      </c>
      <c r="AK2327">
        <v>80.555611283437798</v>
      </c>
      <c r="AL2327">
        <v>79.892668118862403</v>
      </c>
      <c r="AM2327">
        <v>94.384179761710499</v>
      </c>
      <c r="AN2327">
        <v>0.99999995974630196</v>
      </c>
    </row>
    <row r="2328" spans="1:40" x14ac:dyDescent="0.25">
      <c r="A2328" t="str">
        <f>"20190304155639613"</f>
        <v>20190304155639613</v>
      </c>
      <c r="B2328" t="str">
        <f>"1551686199607111"</f>
        <v>1551686199607111</v>
      </c>
      <c r="C2328" t="s">
        <v>40</v>
      </c>
      <c r="D2328">
        <v>4.6900050000000002</v>
      </c>
      <c r="E2328">
        <v>0.50491600000000003</v>
      </c>
      <c r="F2328" t="s">
        <v>64</v>
      </c>
      <c r="G2328">
        <v>-428.63249999999999</v>
      </c>
      <c r="H2328" s="1">
        <v>2.9332379999999999E-6</v>
      </c>
      <c r="I2328">
        <v>279.37920000000003</v>
      </c>
      <c r="J2328">
        <v>-345.6524</v>
      </c>
      <c r="K2328">
        <v>1.109434</v>
      </c>
      <c r="L2328">
        <v>284.31119999999999</v>
      </c>
      <c r="M2328">
        <v>-0.99994349999999999</v>
      </c>
      <c r="N2328">
        <v>-1.042393E-2</v>
      </c>
      <c r="O2328">
        <v>2.1199230000000001E-3</v>
      </c>
      <c r="P2328">
        <v>-0.98350170000000003</v>
      </c>
      <c r="Q2328">
        <v>0.1652565</v>
      </c>
      <c r="R2328">
        <v>-7.3584839999999999E-2</v>
      </c>
      <c r="S2328">
        <v>-3.0436100000000001</v>
      </c>
      <c r="T2328">
        <v>-4.0574909999999999E-2</v>
      </c>
      <c r="U2328">
        <v>-0.18035889999999999</v>
      </c>
      <c r="V2328">
        <v>-7.5602329999999995E-2</v>
      </c>
      <c r="W2328">
        <v>0.17552699999999999</v>
      </c>
      <c r="X2328">
        <v>0.98156739999999998</v>
      </c>
      <c r="Y2328">
        <v>-6.1260960000000003E-2</v>
      </c>
      <c r="Z2328">
        <v>-7.3372499999999996E-4</v>
      </c>
      <c r="AA2328">
        <v>0.99812149999999999</v>
      </c>
      <c r="AB2328">
        <v>37</v>
      </c>
      <c r="AC2328">
        <v>-82.980099999999993</v>
      </c>
      <c r="AD2328">
        <v>-1.109431066762</v>
      </c>
      <c r="AE2328">
        <v>-4.9319999999999604</v>
      </c>
      <c r="AF2328">
        <v>-5.1070002063511897</v>
      </c>
      <c r="AG2328">
        <v>-1.109431066762</v>
      </c>
      <c r="AH2328">
        <v>82.954681313868704</v>
      </c>
      <c r="AI2328">
        <v>90.764776985632807</v>
      </c>
      <c r="AJ2328">
        <v>93.522896104269705</v>
      </c>
      <c r="AK2328">
        <v>83.1191400357649</v>
      </c>
      <c r="AL2328">
        <v>79.8906723025529</v>
      </c>
      <c r="AM2328">
        <v>94.404342499572095</v>
      </c>
      <c r="AN2328">
        <v>1.0000000003865901</v>
      </c>
    </row>
    <row r="2329" spans="1:40" x14ac:dyDescent="0.25">
      <c r="A2329" t="str">
        <f>"20190304155639633"</f>
        <v>20190304155639633</v>
      </c>
      <c r="B2329" t="str">
        <f>"1551686199626632"</f>
        <v>1551686199626632</v>
      </c>
      <c r="C2329" t="s">
        <v>40</v>
      </c>
      <c r="D2329">
        <v>4.7199790000000004</v>
      </c>
      <c r="E2329">
        <v>0.50483859999999903</v>
      </c>
      <c r="F2329" t="s">
        <v>64</v>
      </c>
      <c r="G2329">
        <v>-430.69979999999998</v>
      </c>
      <c r="H2329" s="1">
        <v>3.0321499999999998E-6</v>
      </c>
      <c r="I2329">
        <v>279.2319</v>
      </c>
      <c r="J2329">
        <v>-345.9726</v>
      </c>
      <c r="K2329">
        <v>1.109437</v>
      </c>
      <c r="L2329">
        <v>284.31200000000001</v>
      </c>
      <c r="M2329">
        <v>-0.99994309999999997</v>
      </c>
      <c r="N2329">
        <v>-1.0427840000000001E-2</v>
      </c>
      <c r="O2329">
        <v>2.2389129999999999E-3</v>
      </c>
      <c r="P2329">
        <v>-0.98350820000000005</v>
      </c>
      <c r="Q2329">
        <v>0.16518959999999999</v>
      </c>
      <c r="R2329">
        <v>-7.364909E-2</v>
      </c>
      <c r="S2329">
        <v>-3.043396</v>
      </c>
      <c r="T2329">
        <v>-3.9700630000000001E-2</v>
      </c>
      <c r="U2329">
        <v>-0.1817627</v>
      </c>
      <c r="V2329">
        <v>-7.5783859999999995E-2</v>
      </c>
      <c r="W2329">
        <v>0.17546410000000001</v>
      </c>
      <c r="X2329">
        <v>0.98156460000000001</v>
      </c>
      <c r="Y2329">
        <v>-6.1842859999999999E-2</v>
      </c>
      <c r="Z2329">
        <v>-7.3160640000000002E-4</v>
      </c>
      <c r="AA2329">
        <v>0.99808560000000002</v>
      </c>
      <c r="AB2329">
        <v>37</v>
      </c>
      <c r="AC2329">
        <v>-84.727199999999897</v>
      </c>
      <c r="AD2329">
        <v>-1.10943396785</v>
      </c>
      <c r="AE2329">
        <v>-5.0801000000000096</v>
      </c>
      <c r="AF2329">
        <v>-5.2688942575042104</v>
      </c>
      <c r="AG2329">
        <v>-1.10943396785</v>
      </c>
      <c r="AH2329">
        <v>84.701142450364003</v>
      </c>
      <c r="AI2329">
        <v>90.748982108771003</v>
      </c>
      <c r="AJ2329">
        <v>93.559537801209601</v>
      </c>
      <c r="AK2329">
        <v>84.872113340146299</v>
      </c>
      <c r="AL2329">
        <v>79.894332545888105</v>
      </c>
      <c r="AM2329">
        <v>94.414888622800106</v>
      </c>
      <c r="AN2329">
        <v>0.99999995389923302</v>
      </c>
    </row>
    <row r="2330" spans="1:40" x14ac:dyDescent="0.25">
      <c r="A2330" t="str">
        <f>"20190304155639654"</f>
        <v>20190304155639654</v>
      </c>
      <c r="B2330" t="str">
        <f>"1551686199647128"</f>
        <v>1551686199647128</v>
      </c>
      <c r="C2330" t="s">
        <v>40</v>
      </c>
      <c r="D2330">
        <v>4.7283429999999997</v>
      </c>
      <c r="E2330">
        <v>0.50407639999999998</v>
      </c>
      <c r="F2330" t="s">
        <v>64</v>
      </c>
      <c r="G2330">
        <v>-431.51549999999997</v>
      </c>
      <c r="H2330" s="1">
        <v>3.405329E-6</v>
      </c>
      <c r="I2330">
        <v>279.16680000000002</v>
      </c>
      <c r="J2330">
        <v>-346.33120000000002</v>
      </c>
      <c r="K2330">
        <v>1.1094360000000001</v>
      </c>
      <c r="L2330">
        <v>284.31299999999999</v>
      </c>
      <c r="M2330">
        <v>-0.99994289999999997</v>
      </c>
      <c r="N2330">
        <v>-1.0432189999999999E-2</v>
      </c>
      <c r="O2330">
        <v>2.3704160000000002E-3</v>
      </c>
      <c r="P2330">
        <v>-0.98357640000000002</v>
      </c>
      <c r="Q2330">
        <v>0.16487979999999899</v>
      </c>
      <c r="R2330">
        <v>-7.3436070000000006E-2</v>
      </c>
      <c r="S2330">
        <v>-3.0432130000000002</v>
      </c>
      <c r="T2330">
        <v>-3.9468410000000002E-2</v>
      </c>
      <c r="U2330">
        <v>-0.1830444</v>
      </c>
      <c r="V2330">
        <v>-7.5700970000000006E-2</v>
      </c>
      <c r="W2330">
        <v>0.17515890000000001</v>
      </c>
      <c r="X2330">
        <v>0.98162559999999999</v>
      </c>
      <c r="Y2330">
        <v>-6.2396550000000002E-2</v>
      </c>
      <c r="Z2330">
        <v>-7.3603969999999999E-4</v>
      </c>
      <c r="AA2330">
        <v>0.99805120000000003</v>
      </c>
      <c r="AB2330">
        <v>37</v>
      </c>
      <c r="AC2330">
        <v>-85.184299999999894</v>
      </c>
      <c r="AD2330">
        <v>-1.109432594671</v>
      </c>
      <c r="AE2330">
        <v>-5.1461999999999604</v>
      </c>
      <c r="AF2330">
        <v>-5.3472150229911799</v>
      </c>
      <c r="AG2330">
        <v>-1.109432594671</v>
      </c>
      <c r="AH2330">
        <v>85.157469284726901</v>
      </c>
      <c r="AI2330">
        <v>90.744940935183706</v>
      </c>
      <c r="AJ2330">
        <v>93.5930041735934</v>
      </c>
      <c r="AK2330">
        <v>85.332397857809099</v>
      </c>
      <c r="AL2330">
        <v>79.912095252227601</v>
      </c>
      <c r="AM2330">
        <v>94.409805847326993</v>
      </c>
      <c r="AN2330">
        <v>1.0000000478417499</v>
      </c>
    </row>
    <row r="2331" spans="1:40" x14ac:dyDescent="0.25">
      <c r="A2331" t="str">
        <f>"20190304155639667"</f>
        <v>20190304155639667</v>
      </c>
      <c r="B2331" t="str">
        <f>"1551686199656888"</f>
        <v>1551686199656888</v>
      </c>
      <c r="C2331" t="s">
        <v>40</v>
      </c>
      <c r="D2331">
        <v>4.72485</v>
      </c>
      <c r="E2331">
        <v>0.50370630000000005</v>
      </c>
      <c r="F2331" t="s">
        <v>64</v>
      </c>
      <c r="G2331">
        <v>-425.35090000000002</v>
      </c>
      <c r="H2331" s="1">
        <v>3.509229E-6</v>
      </c>
      <c r="I2331">
        <v>279.40230000000003</v>
      </c>
      <c r="J2331">
        <v>-346.56560000000002</v>
      </c>
      <c r="K2331">
        <v>1.1094349999999999</v>
      </c>
      <c r="L2331">
        <v>284.31360000000001</v>
      </c>
      <c r="M2331">
        <v>-0.99994269999999996</v>
      </c>
      <c r="N2331">
        <v>-1.0435069999999999E-2</v>
      </c>
      <c r="O2331">
        <v>2.4557419999999999E-3</v>
      </c>
      <c r="P2331">
        <v>-0.98359339999999995</v>
      </c>
      <c r="Q2331">
        <v>0.16490070000000001</v>
      </c>
      <c r="R2331">
        <v>-7.3158189999999998E-2</v>
      </c>
      <c r="S2331">
        <v>-3.0431520000000001</v>
      </c>
      <c r="T2331">
        <v>-4.2725680000000002E-2</v>
      </c>
      <c r="U2331">
        <v>-0.18911739999999999</v>
      </c>
      <c r="V2331">
        <v>-7.5507340000000006E-2</v>
      </c>
      <c r="W2331">
        <v>0.17518239999999999</v>
      </c>
      <c r="X2331">
        <v>0.98163630000000002</v>
      </c>
      <c r="Y2331">
        <v>-6.446549E-2</v>
      </c>
      <c r="Z2331">
        <v>-7.9764359999999999E-4</v>
      </c>
      <c r="AA2331">
        <v>0.99791960000000002</v>
      </c>
      <c r="AB2331">
        <v>37</v>
      </c>
      <c r="AC2331">
        <v>-78.785300000000007</v>
      </c>
      <c r="AD2331">
        <v>-1.1094314907709999</v>
      </c>
      <c r="AE2331">
        <v>-4.9112999999999802</v>
      </c>
      <c r="AF2331">
        <v>-5.1037639321428898</v>
      </c>
      <c r="AG2331">
        <v>-1.1094314907709999</v>
      </c>
      <c r="AH2331">
        <v>78.757444157478602</v>
      </c>
      <c r="AI2331">
        <v>90.805365279432905</v>
      </c>
      <c r="AJ2331">
        <v>93.707786851627603</v>
      </c>
      <c r="AK2331">
        <v>78.930439342031505</v>
      </c>
      <c r="AL2331">
        <v>79.910727459351605</v>
      </c>
      <c r="AM2331">
        <v>94.398522890888003</v>
      </c>
      <c r="AN2331">
        <v>1.0000000285706601</v>
      </c>
    </row>
    <row r="2332" spans="1:40" x14ac:dyDescent="0.25">
      <c r="A2332" t="str">
        <f>"20190304155639688"</f>
        <v>20190304155639688</v>
      </c>
      <c r="B2332" t="str">
        <f>"1551686199677383"</f>
        <v>1551686199677383</v>
      </c>
      <c r="C2332" t="s">
        <v>40</v>
      </c>
      <c r="D2332">
        <v>4.1728779999999999</v>
      </c>
      <c r="E2332">
        <v>0.50391730000000001</v>
      </c>
      <c r="F2332" t="s">
        <v>64</v>
      </c>
      <c r="G2332">
        <v>-421.76949999999999</v>
      </c>
      <c r="H2332" s="1">
        <v>4.0974860000000002E-6</v>
      </c>
      <c r="I2332">
        <v>279.57990000000001</v>
      </c>
      <c r="J2332">
        <v>-346.89550000000003</v>
      </c>
      <c r="K2332">
        <v>1.1094349999999999</v>
      </c>
      <c r="L2332">
        <v>284.31450000000001</v>
      </c>
      <c r="M2332">
        <v>-0.9999422</v>
      </c>
      <c r="N2332">
        <v>-1.043911E-2</v>
      </c>
      <c r="O2332">
        <v>2.5750959999999998E-3</v>
      </c>
      <c r="P2332">
        <v>-0.98368160000000004</v>
      </c>
      <c r="Q2332">
        <v>0.16469</v>
      </c>
      <c r="R2332">
        <v>-7.2443220000000003E-2</v>
      </c>
      <c r="S2332">
        <v>-3.0432739999999998</v>
      </c>
      <c r="T2332">
        <v>-4.4895289999999997E-2</v>
      </c>
      <c r="U2332">
        <v>-0.1915588</v>
      </c>
      <c r="V2332">
        <v>-7.4910500000000005E-2</v>
      </c>
      <c r="W2332">
        <v>0.1749763</v>
      </c>
      <c r="X2332">
        <v>0.9817188</v>
      </c>
      <c r="Y2332">
        <v>-6.5378459999999999E-2</v>
      </c>
      <c r="Z2332">
        <v>-8.3445779999999998E-4</v>
      </c>
      <c r="AA2332">
        <v>0.99786019999999997</v>
      </c>
      <c r="AB2332">
        <v>37</v>
      </c>
      <c r="AC2332">
        <v>-74.873999999999896</v>
      </c>
      <c r="AD2332">
        <v>-1.1094309025139999</v>
      </c>
      <c r="AE2332">
        <v>-4.7346000000000004</v>
      </c>
      <c r="AF2332">
        <v>-4.9263252642741504</v>
      </c>
      <c r="AG2332">
        <v>-1.1094309025139999</v>
      </c>
      <c r="AH2332">
        <v>74.845192002770901</v>
      </c>
      <c r="AI2332">
        <v>90.847400277438894</v>
      </c>
      <c r="AJ2332">
        <v>93.765787577836207</v>
      </c>
      <c r="AK2332">
        <v>75.015346986256901</v>
      </c>
      <c r="AL2332">
        <v>79.922721544862597</v>
      </c>
      <c r="AM2332">
        <v>94.363524744372896</v>
      </c>
      <c r="AN2332">
        <v>1.0000000454226801</v>
      </c>
    </row>
    <row r="2333" spans="1:40" x14ac:dyDescent="0.25">
      <c r="A2333" t="str">
        <f>"20190304155639755"</f>
        <v>20190304155639755</v>
      </c>
      <c r="B2333" t="str">
        <f>"1551686199746680"</f>
        <v>1551686199746680</v>
      </c>
      <c r="C2333" t="s">
        <v>40</v>
      </c>
      <c r="D2333">
        <v>3.4799509999999998</v>
      </c>
      <c r="E2333">
        <v>0.53174650000000001</v>
      </c>
      <c r="F2333" t="s">
        <v>64</v>
      </c>
      <c r="G2333">
        <v>-419.66210000000001</v>
      </c>
      <c r="H2333" s="1">
        <v>4.3386710000000003E-6</v>
      </c>
      <c r="I2333">
        <v>279.82319999999999</v>
      </c>
      <c r="J2333">
        <v>-348.02260000000001</v>
      </c>
      <c r="K2333">
        <v>1.109429</v>
      </c>
      <c r="L2333">
        <v>284.31799999999998</v>
      </c>
      <c r="M2333">
        <v>-0.99994090000000002</v>
      </c>
      <c r="N2333">
        <v>-1.045272E-2</v>
      </c>
      <c r="O2333">
        <v>2.978236E-3</v>
      </c>
      <c r="P2333">
        <v>-0.98396139999999999</v>
      </c>
      <c r="Q2333">
        <v>0.16377890000000001</v>
      </c>
      <c r="R2333">
        <v>-7.0686120000000005E-2</v>
      </c>
      <c r="S2333">
        <v>-3.0437319999999999</v>
      </c>
      <c r="T2333">
        <v>-4.6406030000000001E-2</v>
      </c>
      <c r="U2333">
        <v>-0.18786620000000001</v>
      </c>
      <c r="V2333">
        <v>-7.3551160000000004E-2</v>
      </c>
      <c r="W2333">
        <v>0.1740804</v>
      </c>
      <c r="X2333">
        <v>0.98198070000000004</v>
      </c>
      <c r="Y2333">
        <v>-6.4564919999999998E-2</v>
      </c>
      <c r="Z2333">
        <v>-8.4376000000000004E-4</v>
      </c>
      <c r="AA2333">
        <v>0.99791319999999994</v>
      </c>
      <c r="AB2333">
        <v>37</v>
      </c>
      <c r="AC2333">
        <v>-71.639499999999998</v>
      </c>
      <c r="AD2333">
        <v>-1.109424661329</v>
      </c>
      <c r="AE2333">
        <v>-4.4947999999999899</v>
      </c>
      <c r="AF2333">
        <v>-4.7070266392607296</v>
      </c>
      <c r="AG2333">
        <v>-1.109424661329</v>
      </c>
      <c r="AH2333">
        <v>71.608688880150893</v>
      </c>
      <c r="AI2333">
        <v>90.885694417771802</v>
      </c>
      <c r="AJ2333">
        <v>93.760791338939896</v>
      </c>
      <c r="AK2333">
        <v>71.771799796271793</v>
      </c>
      <c r="AL2333">
        <v>79.974851738500803</v>
      </c>
      <c r="AM2333">
        <v>94.283502497495903</v>
      </c>
      <c r="AN2333">
        <v>0.99999992698699502</v>
      </c>
    </row>
    <row r="2334" spans="1:40" x14ac:dyDescent="0.25">
      <c r="A2334" t="str">
        <f>"20190304155639767"</f>
        <v>20190304155639767</v>
      </c>
      <c r="B2334" t="str">
        <f>"1551686199757416"</f>
        <v>1551686199757416</v>
      </c>
      <c r="C2334" t="s">
        <v>40</v>
      </c>
      <c r="D2334">
        <v>4.3319130000000001</v>
      </c>
      <c r="E2334">
        <v>0.53169880000000003</v>
      </c>
      <c r="F2334" t="s">
        <v>42</v>
      </c>
      <c r="G2334">
        <v>-348.95530000000002</v>
      </c>
      <c r="H2334">
        <v>0.95184409999999997</v>
      </c>
      <c r="I2334">
        <v>284.32920000000001</v>
      </c>
      <c r="J2334">
        <v>-348.23099999999999</v>
      </c>
      <c r="K2334">
        <v>1.109426</v>
      </c>
      <c r="L2334">
        <v>284.3186</v>
      </c>
      <c r="M2334">
        <v>-0.99994070000000002</v>
      </c>
      <c r="N2334">
        <v>-1.0455259999999999E-2</v>
      </c>
      <c r="O2334">
        <v>3.0524290000000002E-3</v>
      </c>
      <c r="P2334">
        <v>-0.98395350000000004</v>
      </c>
      <c r="Q2334">
        <v>0.16387260000000001</v>
      </c>
      <c r="R2334">
        <v>-7.0578219999999997E-2</v>
      </c>
      <c r="S2334">
        <v>-3.1399539999999999</v>
      </c>
      <c r="T2334">
        <v>-0.53053050000000002</v>
      </c>
      <c r="U2334">
        <v>3.7658690000000002E-2</v>
      </c>
      <c r="V2334">
        <v>-7.3516659999999998E-2</v>
      </c>
      <c r="W2334">
        <v>0.1741762</v>
      </c>
      <c r="X2334">
        <v>0.98196640000000002</v>
      </c>
      <c r="Y2334">
        <v>8.844948E-3</v>
      </c>
      <c r="Z2334">
        <v>3.081405E-4</v>
      </c>
      <c r="AA2334">
        <v>0.99996079999999998</v>
      </c>
      <c r="AB2334">
        <v>37</v>
      </c>
      <c r="AC2334">
        <v>-0.72430000000002703</v>
      </c>
      <c r="AD2334">
        <v>-0.1575819</v>
      </c>
      <c r="AE2334">
        <v>1.06000000000108E-2</v>
      </c>
      <c r="AF2334">
        <v>8.0098941609266696E-3</v>
      </c>
      <c r="AG2334">
        <v>-0.1575819</v>
      </c>
      <c r="AH2334">
        <v>0.69159962840431399</v>
      </c>
      <c r="AI2334">
        <v>102.83495345927</v>
      </c>
      <c r="AJ2334">
        <v>89.336447573401699</v>
      </c>
      <c r="AK2334">
        <v>0.70937032614923001</v>
      </c>
      <c r="AL2334">
        <v>79.969278684121804</v>
      </c>
      <c r="AM2334">
        <v>94.281562863495793</v>
      </c>
      <c r="AN2334">
        <v>1.0000000293364699</v>
      </c>
    </row>
    <row r="2335" spans="1:40" x14ac:dyDescent="0.25">
      <c r="A2335" t="str">
        <f>"20190304155639779"</f>
        <v>20190304155639779</v>
      </c>
      <c r="B2335" t="str">
        <f>"1551686199776936"</f>
        <v>1551686199776936</v>
      </c>
      <c r="C2335" t="s">
        <v>40</v>
      </c>
      <c r="D2335">
        <v>5.209136</v>
      </c>
      <c r="E2335">
        <v>0.5377383</v>
      </c>
      <c r="F2335" t="s">
        <v>42</v>
      </c>
      <c r="G2335">
        <v>-348.98169999999999</v>
      </c>
      <c r="H2335">
        <v>1.0069539999999999</v>
      </c>
      <c r="I2335">
        <v>284.32769999999999</v>
      </c>
      <c r="J2335">
        <v>-348.43490000000003</v>
      </c>
      <c r="K2335">
        <v>1.109429</v>
      </c>
      <c r="L2335">
        <v>284.3193</v>
      </c>
      <c r="M2335">
        <v>-0.99994059999999996</v>
      </c>
      <c r="N2335">
        <v>-1.045775E-2</v>
      </c>
      <c r="O2335">
        <v>3.1249530000000002E-3</v>
      </c>
      <c r="P2335">
        <v>-0.98402319999999999</v>
      </c>
      <c r="Q2335">
        <v>0.16346140000000001</v>
      </c>
      <c r="R2335">
        <v>-7.0560510000000007E-2</v>
      </c>
      <c r="S2335">
        <v>-3.1226500000000001</v>
      </c>
      <c r="T2335">
        <v>-0.42615819999999999</v>
      </c>
      <c r="U2335">
        <v>3.771973E-2</v>
      </c>
      <c r="V2335">
        <v>-7.3570730000000001E-2</v>
      </c>
      <c r="W2335">
        <v>0.17376820000000001</v>
      </c>
      <c r="X2335">
        <v>0.98203459999999998</v>
      </c>
      <c r="Y2335">
        <v>8.8894909999999994E-3</v>
      </c>
      <c r="Z2335">
        <v>2.5853820000000001E-4</v>
      </c>
      <c r="AA2335">
        <v>0.99996050000000003</v>
      </c>
      <c r="AB2335">
        <v>37</v>
      </c>
      <c r="AC2335">
        <v>-0.54679999999996198</v>
      </c>
      <c r="AD2335">
        <v>-0.102474999999999</v>
      </c>
      <c r="AE2335">
        <v>8.3999999999946305E-3</v>
      </c>
      <c r="AF2335">
        <v>6.4641610305384099E-3</v>
      </c>
      <c r="AG2335">
        <v>-0.102474999999999</v>
      </c>
      <c r="AH2335">
        <v>0.52827393818465695</v>
      </c>
      <c r="AI2335">
        <v>100.977139627293</v>
      </c>
      <c r="AJ2335">
        <v>89.298942016572397</v>
      </c>
      <c r="AK2335">
        <v>0.53816007355428697</v>
      </c>
      <c r="AL2335">
        <v>79.993017042453104</v>
      </c>
      <c r="AM2335">
        <v>94.284403688236296</v>
      </c>
      <c r="AN2335">
        <v>0.99999999762056602</v>
      </c>
    </row>
    <row r="2336" spans="1:40" x14ac:dyDescent="0.25">
      <c r="A2336" t="str">
        <f>"20190304155639793"</f>
        <v>20190304155639793</v>
      </c>
      <c r="B2336" t="str">
        <f>"1551686199786696"</f>
        <v>1551686199786696</v>
      </c>
      <c r="C2336" t="s">
        <v>40</v>
      </c>
      <c r="D2336">
        <v>4.6054570000000004</v>
      </c>
      <c r="E2336">
        <v>0.53669180000000005</v>
      </c>
      <c r="F2336" t="s">
        <v>42</v>
      </c>
      <c r="G2336">
        <v>-349.32199999999898</v>
      </c>
      <c r="H2336">
        <v>1.0177689999999999</v>
      </c>
      <c r="I2336">
        <v>284.34410000000003</v>
      </c>
      <c r="J2336">
        <v>-348.66</v>
      </c>
      <c r="K2336">
        <v>1.1094299999999999</v>
      </c>
      <c r="L2336">
        <v>284.32010000000002</v>
      </c>
      <c r="M2336">
        <v>-0.99994019999999995</v>
      </c>
      <c r="N2336">
        <v>-1.046044E-2</v>
      </c>
      <c r="O2336">
        <v>3.2054029999999999E-3</v>
      </c>
      <c r="P2336">
        <v>-0.98404970000000003</v>
      </c>
      <c r="Q2336">
        <v>0.16332160000000001</v>
      </c>
      <c r="R2336">
        <v>-7.0515679999999997E-2</v>
      </c>
      <c r="S2336">
        <v>-3.108276</v>
      </c>
      <c r="T2336">
        <v>-0.32126130000000003</v>
      </c>
      <c r="U2336">
        <v>8.5906979999999994E-2</v>
      </c>
      <c r="V2336">
        <v>-7.3604840000000005E-2</v>
      </c>
      <c r="W2336">
        <v>0.17363149999999999</v>
      </c>
      <c r="X2336">
        <v>0.98205620000000005</v>
      </c>
      <c r="Y2336">
        <v>2.4294389999999999E-2</v>
      </c>
      <c r="Z2336">
        <v>1.082478E-3</v>
      </c>
      <c r="AA2336">
        <v>0.99970420000000004</v>
      </c>
      <c r="AB2336">
        <v>37</v>
      </c>
      <c r="AC2336">
        <v>-0.66199999999991999</v>
      </c>
      <c r="AD2336">
        <v>-9.1660999999999701E-2</v>
      </c>
      <c r="AE2336">
        <v>2.4000000000000899E-2</v>
      </c>
      <c r="AF2336">
        <v>2.1466776541068499E-2</v>
      </c>
      <c r="AG2336">
        <v>-9.1660999999999701E-2</v>
      </c>
      <c r="AH2336">
        <v>0.64963547674825795</v>
      </c>
      <c r="AI2336">
        <v>98.026868925920695</v>
      </c>
      <c r="AJ2336">
        <v>88.107387360962207</v>
      </c>
      <c r="AK2336">
        <v>0.65642121695295597</v>
      </c>
      <c r="AL2336">
        <v>80.000970048107803</v>
      </c>
      <c r="AM2336">
        <v>94.286288761941705</v>
      </c>
      <c r="AN2336">
        <v>0.99999997511105698</v>
      </c>
    </row>
    <row r="2337" spans="1:40" x14ac:dyDescent="0.25">
      <c r="A2337" t="str">
        <f>"20190304155639807"</f>
        <v>20190304155639807</v>
      </c>
      <c r="B2337" t="str">
        <f>"1551686199797432"</f>
        <v>1551686199797432</v>
      </c>
      <c r="C2337" t="s">
        <v>40</v>
      </c>
      <c r="D2337">
        <v>4.5943149999999999</v>
      </c>
      <c r="E2337">
        <v>0.53571979999999997</v>
      </c>
      <c r="F2337" t="s">
        <v>42</v>
      </c>
      <c r="G2337">
        <v>-349.6574</v>
      </c>
      <c r="H2337">
        <v>1.017415</v>
      </c>
      <c r="I2337">
        <v>284.3451</v>
      </c>
      <c r="J2337">
        <v>-348.89749999999998</v>
      </c>
      <c r="K2337">
        <v>1.109429</v>
      </c>
      <c r="L2337">
        <v>284.32089999999999</v>
      </c>
      <c r="M2337">
        <v>-0.99994000000000005</v>
      </c>
      <c r="N2337">
        <v>-1.0463099999999999E-2</v>
      </c>
      <c r="O2337">
        <v>3.2898469999999998E-3</v>
      </c>
      <c r="P2337">
        <v>-0.98405419999999999</v>
      </c>
      <c r="Q2337">
        <v>0.16330210000000001</v>
      </c>
      <c r="R2337">
        <v>-7.0497119999999996E-2</v>
      </c>
      <c r="S2337">
        <v>-3.1016539999999999</v>
      </c>
      <c r="T2337">
        <v>-0.28618539999999998</v>
      </c>
      <c r="U2337">
        <v>7.7178960000000005E-2</v>
      </c>
      <c r="V2337">
        <v>-7.3669219999999994E-2</v>
      </c>
      <c r="W2337">
        <v>0.17361460000000001</v>
      </c>
      <c r="X2337">
        <v>0.98205439999999999</v>
      </c>
      <c r="Y2337">
        <v>2.1495650000000002E-2</v>
      </c>
      <c r="Z2337">
        <v>8.3367169999999896E-4</v>
      </c>
      <c r="AA2337">
        <v>0.99976860000000001</v>
      </c>
      <c r="AB2337">
        <v>37</v>
      </c>
      <c r="AC2337">
        <v>-0.75990000000001501</v>
      </c>
      <c r="AD2337">
        <v>-9.2013999999999999E-2</v>
      </c>
      <c r="AE2337">
        <v>2.42000000000075E-2</v>
      </c>
      <c r="AF2337">
        <v>2.1386525042137498E-2</v>
      </c>
      <c r="AG2337">
        <v>-9.2013999999999999E-2</v>
      </c>
      <c r="AH2337">
        <v>0.74900468234026996</v>
      </c>
      <c r="AI2337">
        <v>97.000776422854898</v>
      </c>
      <c r="AJ2337">
        <v>88.364463122407201</v>
      </c>
      <c r="AK2337">
        <v>0.75493839074260005</v>
      </c>
      <c r="AL2337">
        <v>80.001953672092895</v>
      </c>
      <c r="AM2337">
        <v>94.2900316966075</v>
      </c>
      <c r="AN2337">
        <v>1.00000001393396</v>
      </c>
    </row>
    <row r="2338" spans="1:40" x14ac:dyDescent="0.25">
      <c r="A2338" t="str">
        <f>"20190304155639823"</f>
        <v>20190304155639823</v>
      </c>
      <c r="B2338" t="str">
        <f>"1551686199816953"</f>
        <v>1551686199816953</v>
      </c>
      <c r="C2338" t="s">
        <v>40</v>
      </c>
      <c r="D2338">
        <v>4.6996390000000003</v>
      </c>
      <c r="E2338">
        <v>0.533053</v>
      </c>
      <c r="F2338" t="s">
        <v>42</v>
      </c>
      <c r="G2338">
        <v>-349.67399999999998</v>
      </c>
      <c r="H2338">
        <v>1.0451900000000001</v>
      </c>
      <c r="I2338">
        <v>284.33850000000001</v>
      </c>
      <c r="J2338">
        <v>-349.15839999999997</v>
      </c>
      <c r="K2338">
        <v>1.1094250000000001</v>
      </c>
      <c r="L2338">
        <v>284.32190000000003</v>
      </c>
      <c r="M2338">
        <v>-0.99993969999999999</v>
      </c>
      <c r="N2338">
        <v>-1.046615E-2</v>
      </c>
      <c r="O2338">
        <v>3.383287E-3</v>
      </c>
      <c r="P2338">
        <v>-0.98409369999999996</v>
      </c>
      <c r="Q2338">
        <v>0.16303570000000001</v>
      </c>
      <c r="R2338">
        <v>-7.0564260000000004E-2</v>
      </c>
      <c r="S2338">
        <v>-3.09613</v>
      </c>
      <c r="T2338">
        <v>-0.25619219999999998</v>
      </c>
      <c r="U2338">
        <v>6.9458010000000001E-2</v>
      </c>
      <c r="V2338">
        <v>-7.3828640000000001E-2</v>
      </c>
      <c r="W2338">
        <v>0.17335120000000001</v>
      </c>
      <c r="X2338">
        <v>0.98208890000000004</v>
      </c>
      <c r="Y2338">
        <v>1.8981169999999999E-2</v>
      </c>
      <c r="Z2338">
        <v>6.3932210000000004E-4</v>
      </c>
      <c r="AA2338">
        <v>0.99981960000000003</v>
      </c>
      <c r="AB2338">
        <v>37</v>
      </c>
      <c r="AC2338">
        <v>-0.51560000000006301</v>
      </c>
      <c r="AD2338">
        <v>-6.4235E-2</v>
      </c>
      <c r="AE2338">
        <v>1.6599999999982601E-2</v>
      </c>
      <c r="AF2338">
        <v>1.4628573093327799E-2</v>
      </c>
      <c r="AG2338">
        <v>-6.4235E-2</v>
      </c>
      <c r="AH2338">
        <v>0.50778015673629895</v>
      </c>
      <c r="AI2338">
        <v>97.206753553682006</v>
      </c>
      <c r="AJ2338">
        <v>88.349829691420894</v>
      </c>
      <c r="AK2338">
        <v>0.51203595376778699</v>
      </c>
      <c r="AL2338">
        <v>80.017277167390802</v>
      </c>
      <c r="AM2338">
        <v>94.299130078989407</v>
      </c>
      <c r="AN2338">
        <v>0.999999957064449</v>
      </c>
    </row>
    <row r="2339" spans="1:40" x14ac:dyDescent="0.25">
      <c r="A2339" t="str">
        <f>"20190304155639845"</f>
        <v>20190304155639845</v>
      </c>
      <c r="B2339" t="str">
        <f>"1551686199837447"</f>
        <v>1551686199837447</v>
      </c>
      <c r="C2339" t="s">
        <v>40</v>
      </c>
      <c r="D2339">
        <v>4.6625740000000002</v>
      </c>
      <c r="E2339">
        <v>0.53026519999999899</v>
      </c>
      <c r="F2339" t="s">
        <v>55</v>
      </c>
      <c r="G2339">
        <v>-365.2346</v>
      </c>
      <c r="H2339" s="1">
        <v>1.248777E-6</v>
      </c>
      <c r="I2339">
        <v>284.57209999999998</v>
      </c>
      <c r="J2339">
        <v>-349.52629999999999</v>
      </c>
      <c r="K2339">
        <v>1.1094280000000001</v>
      </c>
      <c r="L2339">
        <v>284.32319999999999</v>
      </c>
      <c r="M2339">
        <v>-0.99993920000000003</v>
      </c>
      <c r="N2339">
        <v>-1.047064E-2</v>
      </c>
      <c r="O2339">
        <v>3.5138470000000001E-3</v>
      </c>
      <c r="P2339">
        <v>-0.98408989999999996</v>
      </c>
      <c r="Q2339">
        <v>0.16318579999999999</v>
      </c>
      <c r="R2339">
        <v>-7.0272020000000004E-2</v>
      </c>
      <c r="S2339">
        <v>-3.08725</v>
      </c>
      <c r="T2339">
        <v>-0.2130523</v>
      </c>
      <c r="U2339">
        <v>4.8065190000000001E-2</v>
      </c>
      <c r="V2339">
        <v>-7.3665030000000006E-2</v>
      </c>
      <c r="W2339">
        <v>0.17350570000000001</v>
      </c>
      <c r="X2339">
        <v>0.982074</v>
      </c>
      <c r="Y2339">
        <v>1.20264E-2</v>
      </c>
      <c r="Z2339">
        <v>2.720763E-4</v>
      </c>
      <c r="AA2339">
        <v>0.99992760000000003</v>
      </c>
      <c r="AB2339">
        <v>38</v>
      </c>
      <c r="AC2339">
        <v>-15.708299999999999</v>
      </c>
      <c r="AD2339">
        <v>-1.1094267512230001</v>
      </c>
      <c r="AE2339">
        <v>0.24889999999999099</v>
      </c>
      <c r="AF2339">
        <v>0.19273772305833201</v>
      </c>
      <c r="AG2339">
        <v>-1.1094267512230001</v>
      </c>
      <c r="AH2339">
        <v>15.631126932139299</v>
      </c>
      <c r="AI2339">
        <v>94.059479998707801</v>
      </c>
      <c r="AJ2339">
        <v>89.293557110281199</v>
      </c>
      <c r="AK2339">
        <v>15.671633760232799</v>
      </c>
      <c r="AL2339">
        <v>80.008289731680094</v>
      </c>
      <c r="AM2339">
        <v>94.289703313233005</v>
      </c>
      <c r="AN2339">
        <v>1.0000000530266899</v>
      </c>
    </row>
    <row r="2340" spans="1:40" x14ac:dyDescent="0.25">
      <c r="A2340" t="str">
        <f>"20190304155639866"</f>
        <v>20190304155639866</v>
      </c>
      <c r="B2340" t="str">
        <f>"1551686199856971"</f>
        <v>1551686199856971</v>
      </c>
      <c r="C2340" t="s">
        <v>40</v>
      </c>
      <c r="D2340">
        <v>4.6554789999999997</v>
      </c>
      <c r="E2340">
        <v>0.52734479999999995</v>
      </c>
      <c r="F2340" t="s">
        <v>55</v>
      </c>
      <c r="G2340">
        <v>-367.89479999999998</v>
      </c>
      <c r="H2340" s="1">
        <v>2.6644310000000001E-6</v>
      </c>
      <c r="I2340">
        <v>284.48390000000001</v>
      </c>
      <c r="J2340">
        <v>-349.88839999999999</v>
      </c>
      <c r="K2340">
        <v>1.109429</v>
      </c>
      <c r="L2340">
        <v>284.32459999999998</v>
      </c>
      <c r="M2340">
        <v>-0.99993849999999995</v>
      </c>
      <c r="N2340">
        <v>-1.047521E-2</v>
      </c>
      <c r="O2340">
        <v>3.6396890000000002E-3</v>
      </c>
      <c r="P2340">
        <v>-0.98419369999999995</v>
      </c>
      <c r="Q2340">
        <v>0.1627759</v>
      </c>
      <c r="R2340">
        <v>-6.9761690000000001E-2</v>
      </c>
      <c r="S2340">
        <v>-3.0813290000000002</v>
      </c>
      <c r="T2340">
        <v>-0.1861073</v>
      </c>
      <c r="U2340">
        <v>2.6947019999999999E-2</v>
      </c>
      <c r="V2340">
        <v>-7.3280239999999996E-2</v>
      </c>
      <c r="W2340">
        <v>0.1731009</v>
      </c>
      <c r="X2340">
        <v>0.9821742</v>
      </c>
      <c r="Y2340">
        <v>5.0987430000000002E-3</v>
      </c>
      <c r="Z2340" s="1">
        <v>-9.5760330000000006E-7</v>
      </c>
      <c r="AA2340">
        <v>0.99998699999999996</v>
      </c>
      <c r="AB2340">
        <v>38</v>
      </c>
      <c r="AC2340">
        <v>-18.0063999999999</v>
      </c>
      <c r="AD2340">
        <v>-1.1094263355689999</v>
      </c>
      <c r="AE2340">
        <v>0.15930000000003</v>
      </c>
      <c r="AF2340">
        <v>9.3403107792976503E-2</v>
      </c>
      <c r="AG2340">
        <v>-1.1094263355689999</v>
      </c>
      <c r="AH2340">
        <v>17.938767661816701</v>
      </c>
      <c r="AI2340">
        <v>93.538912637187806</v>
      </c>
      <c r="AJ2340">
        <v>89.701676524827406</v>
      </c>
      <c r="AK2340">
        <v>17.973283955895202</v>
      </c>
      <c r="AL2340">
        <v>80.0318392440835</v>
      </c>
      <c r="AM2340">
        <v>94.266945252384204</v>
      </c>
      <c r="AN2340">
        <v>1.00000003715045</v>
      </c>
    </row>
    <row r="2341" spans="1:40" x14ac:dyDescent="0.25">
      <c r="A2341" t="str">
        <f>"20190304155639879"</f>
        <v>20190304155639879</v>
      </c>
      <c r="B2341" t="str">
        <f>"1551686199866730"</f>
        <v>1551686199866730</v>
      </c>
      <c r="C2341" t="s">
        <v>40</v>
      </c>
      <c r="D2341">
        <v>4.767093</v>
      </c>
      <c r="E2341">
        <v>0.52586750000000004</v>
      </c>
      <c r="F2341" t="s">
        <v>55</v>
      </c>
      <c r="G2341">
        <v>-369.46730000000002</v>
      </c>
      <c r="H2341" s="1">
        <v>3.5012539999999998E-6</v>
      </c>
      <c r="I2341">
        <v>284.35879999999997</v>
      </c>
      <c r="J2341">
        <v>-350.09859999999998</v>
      </c>
      <c r="K2341">
        <v>1.1094299999999999</v>
      </c>
      <c r="L2341">
        <v>284.3254</v>
      </c>
      <c r="M2341">
        <v>-0.9999382</v>
      </c>
      <c r="N2341">
        <v>-1.047789E-2</v>
      </c>
      <c r="O2341">
        <v>3.7104659999999999E-3</v>
      </c>
      <c r="P2341">
        <v>-0.98422430000000005</v>
      </c>
      <c r="Q2341">
        <v>0.162639899999999</v>
      </c>
      <c r="R2341">
        <v>-6.9648479999999999E-2</v>
      </c>
      <c r="S2341">
        <v>-3.0773929999999998</v>
      </c>
      <c r="T2341">
        <v>-0.174377799999999</v>
      </c>
      <c r="U2341">
        <v>5.3710939999999999E-3</v>
      </c>
      <c r="V2341">
        <v>-7.3237490000000002E-2</v>
      </c>
      <c r="W2341">
        <v>0.1729675</v>
      </c>
      <c r="X2341">
        <v>0.98220090000000004</v>
      </c>
      <c r="Y2341">
        <v>-1.957664E-3</v>
      </c>
      <c r="Z2341">
        <v>-2.3691390000000001E-4</v>
      </c>
      <c r="AA2341">
        <v>0.99999800000000005</v>
      </c>
      <c r="AB2341">
        <v>38</v>
      </c>
      <c r="AC2341">
        <v>-19.3687</v>
      </c>
      <c r="AD2341">
        <v>-1.1094264987460001</v>
      </c>
      <c r="AE2341">
        <v>3.3399999999971897E-2</v>
      </c>
      <c r="AF2341">
        <v>-3.83452720690085E-2</v>
      </c>
      <c r="AG2341">
        <v>-1.1094264987460001</v>
      </c>
      <c r="AH2341">
        <v>19.305351395706101</v>
      </c>
      <c r="AI2341">
        <v>93.2890100431853</v>
      </c>
      <c r="AJ2341">
        <v>90.113803645402896</v>
      </c>
      <c r="AK2341">
        <v>19.3372410138494</v>
      </c>
      <c r="AL2341">
        <v>80.039599657692506</v>
      </c>
      <c r="AM2341">
        <v>94.264349703623296</v>
      </c>
      <c r="AN2341">
        <v>1.00000004697927</v>
      </c>
    </row>
    <row r="2342" spans="1:40" x14ac:dyDescent="0.25">
      <c r="A2342" t="str">
        <f>"20190304155639892"</f>
        <v>20190304155639892</v>
      </c>
      <c r="B2342" t="str">
        <f>"1551686199887224"</f>
        <v>1551686199887224</v>
      </c>
      <c r="C2342" t="s">
        <v>40</v>
      </c>
      <c r="D2342">
        <v>4.7673100000000002</v>
      </c>
      <c r="E2342">
        <v>0.52311809999999903</v>
      </c>
      <c r="F2342" t="s">
        <v>55</v>
      </c>
      <c r="G2342">
        <v>-370</v>
      </c>
      <c r="H2342" s="1">
        <v>-1.5368099999999999E-6</v>
      </c>
      <c r="I2342">
        <v>284.28480000000002</v>
      </c>
      <c r="J2342">
        <v>-350.31380000000001</v>
      </c>
      <c r="K2342">
        <v>1.1094310000000001</v>
      </c>
      <c r="L2342">
        <v>284.3263</v>
      </c>
      <c r="M2342">
        <v>-0.99993799999999999</v>
      </c>
      <c r="N2342">
        <v>-1.0480629999999999E-2</v>
      </c>
      <c r="O2342">
        <v>3.7817749999999998E-3</v>
      </c>
      <c r="P2342">
        <v>-0.98425240000000003</v>
      </c>
      <c r="Q2342">
        <v>0.16247979999999901</v>
      </c>
      <c r="R2342">
        <v>-6.9624740000000004E-2</v>
      </c>
      <c r="S2342">
        <v>-3.075958</v>
      </c>
      <c r="T2342">
        <v>-0.17147370000000001</v>
      </c>
      <c r="U2342">
        <v>-6.286621E-3</v>
      </c>
      <c r="V2342">
        <v>-7.3284520000000006E-2</v>
      </c>
      <c r="W2342">
        <v>0.1728102</v>
      </c>
      <c r="X2342">
        <v>0.98222509999999996</v>
      </c>
      <c r="Y2342">
        <v>-5.8111550000000001E-3</v>
      </c>
      <c r="Z2342">
        <v>-3.6337609999999998E-4</v>
      </c>
      <c r="AA2342">
        <v>0.99998310000000001</v>
      </c>
      <c r="AB2342">
        <v>38</v>
      </c>
      <c r="AC2342">
        <v>-19.6861999999999</v>
      </c>
      <c r="AD2342">
        <v>-1.10943253681</v>
      </c>
      <c r="AE2342">
        <v>-4.1499999999984903E-2</v>
      </c>
      <c r="AF2342">
        <v>-0.115585470125977</v>
      </c>
      <c r="AG2342">
        <v>-1.10943253681</v>
      </c>
      <c r="AH2342">
        <v>19.623578405755701</v>
      </c>
      <c r="AI2342">
        <v>93.235755802170999</v>
      </c>
      <c r="AJ2342">
        <v>90.337475810424493</v>
      </c>
      <c r="AK2342">
        <v>19.6552545137802</v>
      </c>
      <c r="AL2342">
        <v>80.048750273483094</v>
      </c>
      <c r="AM2342">
        <v>94.266973232756797</v>
      </c>
      <c r="AN2342">
        <v>1.0000000665828299</v>
      </c>
    </row>
    <row r="2343" spans="1:40" x14ac:dyDescent="0.25">
      <c r="A2343" t="str">
        <f>"20190304155639903"</f>
        <v>20190304155639903</v>
      </c>
      <c r="B2343" t="str">
        <f>"1551686199896984"</f>
        <v>1551686199896984</v>
      </c>
      <c r="C2343" t="s">
        <v>40</v>
      </c>
      <c r="D2343">
        <v>4.7552979999999998</v>
      </c>
      <c r="E2343">
        <v>0.52207899999999996</v>
      </c>
      <c r="F2343" t="s">
        <v>55</v>
      </c>
      <c r="G2343">
        <v>-371.14830000000001</v>
      </c>
      <c r="H2343" s="1">
        <v>-9.257174E-7</v>
      </c>
      <c r="I2343">
        <v>284.13490000000002</v>
      </c>
      <c r="J2343">
        <v>-350.52530000000002</v>
      </c>
      <c r="K2343">
        <v>1.109432</v>
      </c>
      <c r="L2343">
        <v>284.3272</v>
      </c>
      <c r="M2343">
        <v>-0.99993770000000004</v>
      </c>
      <c r="N2343">
        <v>-1.0483309999999999E-2</v>
      </c>
      <c r="O2343">
        <v>3.8475269999999999E-3</v>
      </c>
      <c r="P2343">
        <v>-0.9842822</v>
      </c>
      <c r="Q2343">
        <v>0.16241639999999999</v>
      </c>
      <c r="R2343">
        <v>-6.9351280000000001E-2</v>
      </c>
      <c r="S2343">
        <v>-3.0729980000000001</v>
      </c>
      <c r="T2343">
        <v>-0.16363629999999901</v>
      </c>
      <c r="U2343">
        <v>-2.8228759999999999E-2</v>
      </c>
      <c r="V2343">
        <v>-7.3076890000000005E-2</v>
      </c>
      <c r="W2343">
        <v>0.17274909999999999</v>
      </c>
      <c r="X2343">
        <v>0.98225119999999999</v>
      </c>
      <c r="Y2343">
        <v>-1.3007609999999999E-2</v>
      </c>
      <c r="Z2343">
        <v>-5.787349E-4</v>
      </c>
      <c r="AA2343">
        <v>0.9999152</v>
      </c>
      <c r="AB2343">
        <v>38</v>
      </c>
      <c r="AC2343">
        <v>-20.622999999999902</v>
      </c>
      <c r="AD2343">
        <v>-1.1094329257173901</v>
      </c>
      <c r="AE2343">
        <v>-0.19229999999998801</v>
      </c>
      <c r="AF2343">
        <v>-0.27086666228088002</v>
      </c>
      <c r="AG2343">
        <v>-1.1094329257173901</v>
      </c>
      <c r="AH2343">
        <v>20.562604428010399</v>
      </c>
      <c r="AI2343">
        <v>93.088069565974706</v>
      </c>
      <c r="AJ2343">
        <v>90.754701042244307</v>
      </c>
      <c r="AK2343">
        <v>20.5942931665118</v>
      </c>
      <c r="AL2343">
        <v>80.052303344214195</v>
      </c>
      <c r="AM2343">
        <v>94.254815842776196</v>
      </c>
      <c r="AN2343">
        <v>0.99999995165215905</v>
      </c>
    </row>
    <row r="2344" spans="1:40" x14ac:dyDescent="0.25">
      <c r="A2344" t="str">
        <f>"20190304155639916"</f>
        <v>20190304155639916</v>
      </c>
      <c r="B2344" t="str">
        <f>"1551686199906744"</f>
        <v>1551686199906744</v>
      </c>
      <c r="C2344" t="s">
        <v>40</v>
      </c>
      <c r="D2344">
        <v>4.7260160000000004</v>
      </c>
      <c r="E2344">
        <v>0.52129820000000004</v>
      </c>
      <c r="F2344" t="s">
        <v>55</v>
      </c>
      <c r="G2344">
        <v>-371.78590000000003</v>
      </c>
      <c r="H2344" s="1">
        <v>-5.8643509999999996E-7</v>
      </c>
      <c r="I2344">
        <v>284.08030000000002</v>
      </c>
      <c r="J2344">
        <v>-350.73430000000002</v>
      </c>
      <c r="K2344">
        <v>1.1094349999999999</v>
      </c>
      <c r="L2344">
        <v>284.32799999999997</v>
      </c>
      <c r="M2344">
        <v>-0.99993750000000003</v>
      </c>
      <c r="N2344">
        <v>-1.0485939999999999E-2</v>
      </c>
      <c r="O2344">
        <v>3.9098739999999998E-3</v>
      </c>
      <c r="P2344">
        <v>-0.98430410000000002</v>
      </c>
      <c r="Q2344">
        <v>0.16231229999999999</v>
      </c>
      <c r="R2344">
        <v>-6.9284799999999994E-2</v>
      </c>
      <c r="S2344">
        <v>-3.071869</v>
      </c>
      <c r="T2344">
        <v>-0.1602981</v>
      </c>
      <c r="U2344">
        <v>-3.567505E-2</v>
      </c>
      <c r="V2344">
        <v>-7.3073540000000006E-2</v>
      </c>
      <c r="W2344">
        <v>0.1726472</v>
      </c>
      <c r="X2344">
        <v>0.98226939999999996</v>
      </c>
      <c r="Y2344">
        <v>-1.5493710000000001E-2</v>
      </c>
      <c r="Z2344">
        <v>-6.481735E-4</v>
      </c>
      <c r="AA2344">
        <v>0.99987979999999999</v>
      </c>
      <c r="AB2344">
        <v>38</v>
      </c>
      <c r="AC2344">
        <v>-21.051600000000001</v>
      </c>
      <c r="AD2344">
        <v>-1.1094355864351</v>
      </c>
      <c r="AE2344">
        <v>-0.24769999999995199</v>
      </c>
      <c r="AF2344">
        <v>-0.329097824994943</v>
      </c>
      <c r="AG2344">
        <v>-1.1094355864351</v>
      </c>
      <c r="AH2344">
        <v>20.992175545557402</v>
      </c>
      <c r="AI2344">
        <v>93.0248939629479</v>
      </c>
      <c r="AJ2344">
        <v>90.898161881516501</v>
      </c>
      <c r="AK2344">
        <v>21.024047822300101</v>
      </c>
      <c r="AL2344">
        <v>80.058231191779498</v>
      </c>
      <c r="AM2344">
        <v>94.254542966835103</v>
      </c>
      <c r="AN2344">
        <v>0.99999998604616502</v>
      </c>
    </row>
    <row r="2345" spans="1:40" x14ac:dyDescent="0.25">
      <c r="A2345" t="str">
        <f>"20190304155639933"</f>
        <v>20190304155639933</v>
      </c>
      <c r="B2345" t="str">
        <f>"1551686199927243"</f>
        <v>1551686199927243</v>
      </c>
      <c r="C2345" t="s">
        <v>40</v>
      </c>
      <c r="D2345">
        <v>4.7425090000000001</v>
      </c>
      <c r="E2345">
        <v>0.51988829999999997</v>
      </c>
      <c r="F2345" t="s">
        <v>55</v>
      </c>
      <c r="G2345">
        <v>-372.25240000000002</v>
      </c>
      <c r="H2345" s="1">
        <v>-3.381519E-7</v>
      </c>
      <c r="I2345">
        <v>284.03489999999999</v>
      </c>
      <c r="J2345">
        <v>-351.01479999999998</v>
      </c>
      <c r="K2345">
        <v>1.1094360000000001</v>
      </c>
      <c r="L2345">
        <v>284.32920000000001</v>
      </c>
      <c r="M2345">
        <v>-0.99993710000000002</v>
      </c>
      <c r="N2345">
        <v>-1.0489460000000001E-2</v>
      </c>
      <c r="O2345">
        <v>3.9888789999999999E-3</v>
      </c>
      <c r="P2345">
        <v>-0.98432759999999997</v>
      </c>
      <c r="Q2345">
        <v>0.16222490000000001</v>
      </c>
      <c r="R2345">
        <v>-6.9155889999999998E-2</v>
      </c>
      <c r="S2345">
        <v>-3.0710449999999998</v>
      </c>
      <c r="T2345">
        <v>-0.1583377</v>
      </c>
      <c r="U2345">
        <v>-4.1839599999999998E-2</v>
      </c>
      <c r="V2345">
        <v>-7.3025000000000007E-2</v>
      </c>
      <c r="W2345">
        <v>0.1725622</v>
      </c>
      <c r="X2345">
        <v>0.98228789999999999</v>
      </c>
      <c r="Y2345">
        <v>-1.7579790000000001E-2</v>
      </c>
      <c r="Z2345">
        <v>-7.0884810000000002E-4</v>
      </c>
      <c r="AA2345">
        <v>0.99984519999999999</v>
      </c>
      <c r="AB2345">
        <v>38</v>
      </c>
      <c r="AC2345">
        <v>-21.2376</v>
      </c>
      <c r="AD2345">
        <v>-1.1094363381518999</v>
      </c>
      <c r="AE2345">
        <v>-0.29430000000002099</v>
      </c>
      <c r="AF2345">
        <v>-0.37798522908515297</v>
      </c>
      <c r="AG2345">
        <v>-1.1094363381518999</v>
      </c>
      <c r="AH2345">
        <v>21.178473356589699</v>
      </c>
      <c r="AI2345">
        <v>92.998227228933999</v>
      </c>
      <c r="AJ2345">
        <v>91.022484430439206</v>
      </c>
      <c r="AK2345">
        <v>21.2108805931672</v>
      </c>
      <c r="AL2345">
        <v>80.063175089732596</v>
      </c>
      <c r="AM2345">
        <v>94.251647419557102</v>
      </c>
      <c r="AN2345">
        <v>0.99999994099012302</v>
      </c>
    </row>
    <row r="2346" spans="1:40" x14ac:dyDescent="0.25">
      <c r="A2346" t="str">
        <f>"20190304155639944"</f>
        <v>20190304155639944</v>
      </c>
      <c r="B2346" t="str">
        <f>"1551686199937000"</f>
        <v>1551686199937000</v>
      </c>
      <c r="C2346" t="s">
        <v>40</v>
      </c>
      <c r="D2346">
        <v>4.9319119999999996</v>
      </c>
      <c r="E2346">
        <v>0.51955189999999996</v>
      </c>
      <c r="F2346" t="s">
        <v>55</v>
      </c>
      <c r="G2346">
        <v>-372.98770000000002</v>
      </c>
      <c r="H2346" s="1">
        <v>5.30988E-8</v>
      </c>
      <c r="I2346">
        <v>283.9504</v>
      </c>
      <c r="J2346">
        <v>-351.21850000000001</v>
      </c>
      <c r="K2346">
        <v>1.109434</v>
      </c>
      <c r="L2346">
        <v>284.33</v>
      </c>
      <c r="M2346">
        <v>-0.99993690000000002</v>
      </c>
      <c r="N2346">
        <v>-1.0492029999999999E-2</v>
      </c>
      <c r="O2346">
        <v>4.041139E-3</v>
      </c>
      <c r="P2346">
        <v>-0.9843788</v>
      </c>
      <c r="Q2346">
        <v>0.16194610000000001</v>
      </c>
      <c r="R2346">
        <v>-6.9079150000000006E-2</v>
      </c>
      <c r="S2346">
        <v>-3.0695800000000002</v>
      </c>
      <c r="T2346">
        <v>-0.15498689999999901</v>
      </c>
      <c r="U2346">
        <v>-5.2917480000000003E-2</v>
      </c>
      <c r="V2346">
        <v>-7.3001869999999996E-2</v>
      </c>
      <c r="W2346">
        <v>0.17228599999999999</v>
      </c>
      <c r="X2346">
        <v>0.98233820000000005</v>
      </c>
      <c r="Y2346">
        <v>-2.1241469999999998E-2</v>
      </c>
      <c r="Z2346">
        <v>-8.0892520000000001E-4</v>
      </c>
      <c r="AA2346">
        <v>0.99977400000000005</v>
      </c>
      <c r="AB2346">
        <v>38</v>
      </c>
      <c r="AC2346">
        <v>-21.769200000000001</v>
      </c>
      <c r="AD2346">
        <v>-1.1094339469012</v>
      </c>
      <c r="AE2346">
        <v>-0.37959999999998201</v>
      </c>
      <c r="AF2346">
        <v>-0.46636319079170302</v>
      </c>
      <c r="AG2346">
        <v>-1.1094339469012</v>
      </c>
      <c r="AH2346">
        <v>21.711115524735298</v>
      </c>
      <c r="AI2346">
        <v>92.924585799052295</v>
      </c>
      <c r="AJ2346">
        <v>91.230546351322801</v>
      </c>
      <c r="AK2346">
        <v>21.744444707480199</v>
      </c>
      <c r="AL2346">
        <v>80.079241786527703</v>
      </c>
      <c r="AM2346">
        <v>94.2500888482421</v>
      </c>
      <c r="AN2346">
        <v>1.00000003899936</v>
      </c>
    </row>
    <row r="2347" spans="1:40" x14ac:dyDescent="0.25">
      <c r="A2347" t="str">
        <f>"20190304155639957"</f>
        <v>20190304155639957</v>
      </c>
      <c r="B2347" t="str">
        <f>"1551686199946760"</f>
        <v>1551686199946760</v>
      </c>
      <c r="C2347" t="s">
        <v>40</v>
      </c>
      <c r="D2347">
        <v>4.7500609999999996</v>
      </c>
      <c r="E2347">
        <v>0.51894890000000005</v>
      </c>
      <c r="F2347" t="s">
        <v>55</v>
      </c>
      <c r="G2347">
        <v>-373.14440000000002</v>
      </c>
      <c r="H2347" s="1">
        <v>1.365316E-7</v>
      </c>
      <c r="I2347">
        <v>283.93150000000003</v>
      </c>
      <c r="J2347">
        <v>-351.43009999999998</v>
      </c>
      <c r="K2347">
        <v>1.109437</v>
      </c>
      <c r="L2347">
        <v>284.33089999999999</v>
      </c>
      <c r="M2347">
        <v>-0.99993659999999995</v>
      </c>
      <c r="N2347">
        <v>-1.04946E-2</v>
      </c>
      <c r="O2347">
        <v>4.0918389999999999E-3</v>
      </c>
      <c r="P2347">
        <v>-0.98441920000000005</v>
      </c>
      <c r="Q2347">
        <v>0.16172999999999901</v>
      </c>
      <c r="R2347">
        <v>-6.9010429999999998E-2</v>
      </c>
      <c r="S2347">
        <v>-3.0692140000000001</v>
      </c>
      <c r="T2347">
        <v>-0.15529979999999999</v>
      </c>
      <c r="U2347">
        <v>-5.5786130000000003E-2</v>
      </c>
      <c r="V2347">
        <v>-7.2985460000000002E-2</v>
      </c>
      <c r="W2347">
        <v>0.17207140000000001</v>
      </c>
      <c r="X2347">
        <v>0.98237699999999994</v>
      </c>
      <c r="Y2347">
        <v>-2.2226650000000001E-2</v>
      </c>
      <c r="Z2347">
        <v>-8.4263070000000005E-4</v>
      </c>
      <c r="AA2347">
        <v>0.99975259999999999</v>
      </c>
      <c r="AB2347">
        <v>38</v>
      </c>
      <c r="AC2347">
        <v>-21.714300000000001</v>
      </c>
      <c r="AD2347">
        <v>-1.1094368634684</v>
      </c>
      <c r="AE2347">
        <v>-0.39939999999995701</v>
      </c>
      <c r="AF2347">
        <v>-0.48698215800105299</v>
      </c>
      <c r="AG2347">
        <v>-1.1094368634684</v>
      </c>
      <c r="AH2347">
        <v>21.655971357076101</v>
      </c>
      <c r="AI2347">
        <v>92.931962849240094</v>
      </c>
      <c r="AJ2347">
        <v>91.288204542178605</v>
      </c>
      <c r="AK2347">
        <v>21.6898385700479</v>
      </c>
      <c r="AL2347">
        <v>80.091723551882694</v>
      </c>
      <c r="AM2347">
        <v>94.248969766103897</v>
      </c>
      <c r="AN2347">
        <v>1.0000000070991799</v>
      </c>
    </row>
    <row r="2348" spans="1:40" x14ac:dyDescent="0.25">
      <c r="A2348" t="str">
        <f>"20190304155639971"</f>
        <v>20190304155639971</v>
      </c>
      <c r="B2348" t="str">
        <f>"1551686199967256"</f>
        <v>1551686199967256</v>
      </c>
      <c r="C2348" t="s">
        <v>40</v>
      </c>
      <c r="D2348">
        <v>4.5523429999999996</v>
      </c>
      <c r="E2348">
        <v>0.51841320000000002</v>
      </c>
      <c r="F2348" t="s">
        <v>55</v>
      </c>
      <c r="G2348">
        <v>-373.6463</v>
      </c>
      <c r="H2348" s="1">
        <v>4.0359890000000002E-7</v>
      </c>
      <c r="I2348">
        <v>283.89389999999997</v>
      </c>
      <c r="J2348">
        <v>-351.64179999999999</v>
      </c>
      <c r="K2348">
        <v>1.109442</v>
      </c>
      <c r="L2348">
        <v>284.33179999999999</v>
      </c>
      <c r="M2348">
        <v>-0.99993650000000001</v>
      </c>
      <c r="N2348">
        <v>-1.049712E-2</v>
      </c>
      <c r="O2348">
        <v>4.1398540000000001E-3</v>
      </c>
      <c r="P2348">
        <v>-0.98443029999999998</v>
      </c>
      <c r="Q2348">
        <v>0.16175690000000001</v>
      </c>
      <c r="R2348">
        <v>-6.8791840000000007E-2</v>
      </c>
      <c r="S2348">
        <v>-3.0684200000000001</v>
      </c>
      <c r="T2348">
        <v>-0.15323110000000001</v>
      </c>
      <c r="U2348">
        <v>-6.0363769999999997E-2</v>
      </c>
      <c r="V2348">
        <v>-7.2816450000000005E-2</v>
      </c>
      <c r="W2348">
        <v>0.1721</v>
      </c>
      <c r="X2348">
        <v>0.98238449999999999</v>
      </c>
      <c r="Y2348">
        <v>-2.3768839999999999E-2</v>
      </c>
      <c r="Z2348">
        <v>-8.8107810000000002E-4</v>
      </c>
      <c r="AA2348">
        <v>0.99971710000000003</v>
      </c>
      <c r="AB2348">
        <v>38</v>
      </c>
      <c r="AC2348">
        <v>-22.0045</v>
      </c>
      <c r="AD2348">
        <v>-1.1094415964011</v>
      </c>
      <c r="AE2348">
        <v>-0.437900000000013</v>
      </c>
      <c r="AF2348">
        <v>-0.52765586650381802</v>
      </c>
      <c r="AG2348">
        <v>-1.1094415964011</v>
      </c>
      <c r="AH2348">
        <v>21.9467306448106</v>
      </c>
      <c r="AI2348">
        <v>92.893093306633403</v>
      </c>
      <c r="AJ2348">
        <v>91.377272608481206</v>
      </c>
      <c r="AK2348">
        <v>21.981088857587299</v>
      </c>
      <c r="AL2348">
        <v>80.090059761699393</v>
      </c>
      <c r="AM2348">
        <v>94.239134231894994</v>
      </c>
      <c r="AN2348">
        <v>0.99999997561542497</v>
      </c>
    </row>
    <row r="2349" spans="1:40" x14ac:dyDescent="0.25">
      <c r="A2349" t="str">
        <f>"20190304155639982"</f>
        <v>20190304155639982</v>
      </c>
      <c r="B2349" t="str">
        <f>"1551686199977017"</f>
        <v>1551686199977017</v>
      </c>
      <c r="C2349" t="s">
        <v>40</v>
      </c>
      <c r="D2349">
        <v>4.7574019999999999</v>
      </c>
      <c r="E2349">
        <v>0.51788880000000004</v>
      </c>
      <c r="F2349" t="s">
        <v>55</v>
      </c>
      <c r="G2349">
        <v>-374.44889999999998</v>
      </c>
      <c r="H2349" s="1">
        <v>8.3070849999999996E-7</v>
      </c>
      <c r="I2349">
        <v>283.8544</v>
      </c>
      <c r="J2349">
        <v>-351.86169999999998</v>
      </c>
      <c r="K2349">
        <v>1.109451</v>
      </c>
      <c r="L2349">
        <v>284.33280000000002</v>
      </c>
      <c r="M2349">
        <v>-0.99993620000000005</v>
      </c>
      <c r="N2349">
        <v>-1.0499730000000001E-2</v>
      </c>
      <c r="O2349">
        <v>4.184709E-3</v>
      </c>
      <c r="P2349">
        <v>-0.98440620000000001</v>
      </c>
      <c r="Q2349">
        <v>0.1619833</v>
      </c>
      <c r="R2349">
        <v>-6.8601999999999996E-2</v>
      </c>
      <c r="S2349">
        <v>-3.0674739999999998</v>
      </c>
      <c r="T2349">
        <v>-0.14921570000000001</v>
      </c>
      <c r="U2349">
        <v>-6.4208979999999999E-2</v>
      </c>
      <c r="V2349">
        <v>-7.2673450000000001E-2</v>
      </c>
      <c r="W2349">
        <v>0.17232729999999999</v>
      </c>
      <c r="X2349">
        <v>0.98235519999999998</v>
      </c>
      <c r="Y2349">
        <v>-2.5072379999999998E-2</v>
      </c>
      <c r="Z2349">
        <v>-9.0063699999999895E-4</v>
      </c>
      <c r="AA2349">
        <v>0.99968520000000005</v>
      </c>
      <c r="AB2349">
        <v>38</v>
      </c>
      <c r="AC2349">
        <v>-22.587199999999999</v>
      </c>
      <c r="AD2349">
        <v>-1.1094501692915</v>
      </c>
      <c r="AE2349">
        <v>-0.47840000000002098</v>
      </c>
      <c r="AF2349">
        <v>-0.57154356776238002</v>
      </c>
      <c r="AG2349">
        <v>-1.1094501692915</v>
      </c>
      <c r="AH2349">
        <v>22.5306663333674</v>
      </c>
      <c r="AI2349">
        <v>92.818164123360106</v>
      </c>
      <c r="AJ2349">
        <v>91.453131132248103</v>
      </c>
      <c r="AK2349">
        <v>22.5652047886459</v>
      </c>
      <c r="AL2349">
        <v>80.076838487071896</v>
      </c>
      <c r="AM2349">
        <v>94.230965232941799</v>
      </c>
      <c r="AN2349">
        <v>0.99999993381361396</v>
      </c>
    </row>
    <row r="2350" spans="1:40" x14ac:dyDescent="0.25">
      <c r="A2350" t="str">
        <f>"20190304155639995"</f>
        <v>20190304155639995</v>
      </c>
      <c r="B2350" t="str">
        <f>"1551686199986777"</f>
        <v>1551686199986777</v>
      </c>
      <c r="C2350" t="s">
        <v>40</v>
      </c>
      <c r="D2350">
        <v>4.7364639999999998</v>
      </c>
      <c r="E2350">
        <v>0.51746080000000005</v>
      </c>
      <c r="F2350" t="s">
        <v>55</v>
      </c>
      <c r="G2350">
        <v>-375.04730000000001</v>
      </c>
      <c r="H2350" s="1">
        <v>1.149118E-6</v>
      </c>
      <c r="I2350">
        <v>283.82060000000001</v>
      </c>
      <c r="J2350">
        <v>-352.06540000000001</v>
      </c>
      <c r="K2350">
        <v>1.1094569999999999</v>
      </c>
      <c r="L2350">
        <v>284.33370000000002</v>
      </c>
      <c r="M2350">
        <v>-0.99993600000000005</v>
      </c>
      <c r="N2350">
        <v>-1.050217E-2</v>
      </c>
      <c r="O2350">
        <v>4.2243289999999998E-3</v>
      </c>
      <c r="P2350">
        <v>-0.98439969999999999</v>
      </c>
      <c r="Q2350">
        <v>0.16214200000000001</v>
      </c>
      <c r="R2350">
        <v>-6.8319899999999906E-2</v>
      </c>
      <c r="S2350">
        <v>-3.0669559999999998</v>
      </c>
      <c r="T2350">
        <v>-0.14675659999999999</v>
      </c>
      <c r="U2350">
        <v>-6.7749019999999993E-2</v>
      </c>
      <c r="V2350">
        <v>-7.2432029999999994E-2</v>
      </c>
      <c r="W2350">
        <v>0.17248749999999999</v>
      </c>
      <c r="X2350">
        <v>0.98234500000000002</v>
      </c>
      <c r="Y2350">
        <v>-2.6268349999999999E-2</v>
      </c>
      <c r="Z2350">
        <v>-9.2376009999999996E-4</v>
      </c>
      <c r="AA2350">
        <v>0.9996545</v>
      </c>
      <c r="AB2350">
        <v>38</v>
      </c>
      <c r="AC2350">
        <v>-22.9819</v>
      </c>
      <c r="AD2350">
        <v>-1.1094558508819901</v>
      </c>
      <c r="AE2350">
        <v>-0.51310000000000799</v>
      </c>
      <c r="AF2350">
        <v>-0.60876585633901004</v>
      </c>
      <c r="AG2350">
        <v>-1.1094558508819901</v>
      </c>
      <c r="AH2350">
        <v>22.926124697013599</v>
      </c>
      <c r="AI2350">
        <v>92.769558347945406</v>
      </c>
      <c r="AJ2350">
        <v>91.521038576187493</v>
      </c>
      <c r="AK2350">
        <v>22.961025277106302</v>
      </c>
      <c r="AL2350">
        <v>80.067521010429999</v>
      </c>
      <c r="AM2350">
        <v>94.217004450906501</v>
      </c>
      <c r="AN2350">
        <v>1.0000000178255799</v>
      </c>
    </row>
    <row r="2351" spans="1:40" x14ac:dyDescent="0.25">
      <c r="A2351" t="str">
        <f>"20190304155640012"</f>
        <v>20190304155640012</v>
      </c>
      <c r="B2351" t="str">
        <f>"1551686200007272"</f>
        <v>1551686200007272</v>
      </c>
      <c r="C2351" t="s">
        <v>40</v>
      </c>
      <c r="D2351">
        <v>4.7390949999999998</v>
      </c>
      <c r="E2351">
        <v>0.51664809999999906</v>
      </c>
      <c r="F2351" t="s">
        <v>55</v>
      </c>
      <c r="G2351">
        <v>-375.65190000000001</v>
      </c>
      <c r="H2351" s="1">
        <v>1.4708510000000001E-6</v>
      </c>
      <c r="I2351">
        <v>283.79379999999998</v>
      </c>
      <c r="J2351">
        <v>-352.33609999999999</v>
      </c>
      <c r="K2351">
        <v>1.109459</v>
      </c>
      <c r="L2351">
        <v>284.33479999999997</v>
      </c>
      <c r="M2351">
        <v>-0.99993569999999998</v>
      </c>
      <c r="N2351">
        <v>-1.050544E-2</v>
      </c>
      <c r="O2351">
        <v>4.2735300000000002E-3</v>
      </c>
      <c r="P2351">
        <v>-0.98440320000000003</v>
      </c>
      <c r="Q2351">
        <v>0.16218640000000001</v>
      </c>
      <c r="R2351">
        <v>-6.8162169999999994E-2</v>
      </c>
      <c r="S2351">
        <v>-3.0664370000000001</v>
      </c>
      <c r="T2351">
        <v>-0.14423820000000001</v>
      </c>
      <c r="U2351">
        <v>-7.0190429999999998E-2</v>
      </c>
      <c r="V2351">
        <v>-7.2325559999999997E-2</v>
      </c>
      <c r="W2351">
        <v>0.17253399999999999</v>
      </c>
      <c r="X2351">
        <v>0.98234469999999996</v>
      </c>
      <c r="Y2351">
        <v>-2.711682E-2</v>
      </c>
      <c r="Z2351">
        <v>-9.3588829999999995E-4</v>
      </c>
      <c r="AA2351">
        <v>0.99963179999999996</v>
      </c>
      <c r="AB2351">
        <v>38</v>
      </c>
      <c r="AC2351">
        <v>-23.315799999999999</v>
      </c>
      <c r="AD2351">
        <v>-1.1094575291490001</v>
      </c>
      <c r="AE2351">
        <v>-0.54099999999999604</v>
      </c>
      <c r="AF2351">
        <v>-0.63919482141333395</v>
      </c>
      <c r="AG2351">
        <v>-1.1094575291490001</v>
      </c>
      <c r="AH2351">
        <v>23.260635848103199</v>
      </c>
      <c r="AI2351">
        <v>92.729725981625293</v>
      </c>
      <c r="AJ2351">
        <v>91.574073534190504</v>
      </c>
      <c r="AK2351">
        <v>23.295850404884799</v>
      </c>
      <c r="AL2351">
        <v>80.064816414817997</v>
      </c>
      <c r="AM2351">
        <v>94.210829344160203</v>
      </c>
      <c r="AN2351">
        <v>1.0000000387017001</v>
      </c>
    </row>
    <row r="2352" spans="1:40" x14ac:dyDescent="0.25">
      <c r="A2352" t="str">
        <f>"20190304155640035"</f>
        <v>20190304155640035</v>
      </c>
      <c r="B2352" t="str">
        <f>"1551686200026792"</f>
        <v>1551686200026792</v>
      </c>
      <c r="C2352" t="s">
        <v>40</v>
      </c>
      <c r="D2352">
        <v>4.7494110000000003</v>
      </c>
      <c r="E2352">
        <v>0.5159087</v>
      </c>
      <c r="F2352" t="s">
        <v>55</v>
      </c>
      <c r="G2352">
        <v>-376.51940000000002</v>
      </c>
      <c r="H2352" s="1">
        <v>1.9325390000000002E-6</v>
      </c>
      <c r="I2352">
        <v>283.73750000000001</v>
      </c>
      <c r="J2352">
        <v>-352.74259999999998</v>
      </c>
      <c r="K2352">
        <v>1.1094619999999999</v>
      </c>
      <c r="L2352">
        <v>284.33670000000001</v>
      </c>
      <c r="M2352">
        <v>-0.99993540000000003</v>
      </c>
      <c r="N2352">
        <v>-1.05104E-2</v>
      </c>
      <c r="O2352">
        <v>4.3405329999999997E-3</v>
      </c>
      <c r="P2352">
        <v>-0.9844733</v>
      </c>
      <c r="Q2352">
        <v>0.16196740000000001</v>
      </c>
      <c r="R2352">
        <v>-6.7672019999999999E-2</v>
      </c>
      <c r="S2352">
        <v>-3.0654300000000001</v>
      </c>
      <c r="T2352">
        <v>-0.14063220000000001</v>
      </c>
      <c r="U2352">
        <v>-7.5714110000000001E-2</v>
      </c>
      <c r="V2352">
        <v>-7.1904380000000004E-2</v>
      </c>
      <c r="W2352">
        <v>0.17231939999999901</v>
      </c>
      <c r="X2352">
        <v>0.98241319999999999</v>
      </c>
      <c r="Y2352">
        <v>-2.899086E-2</v>
      </c>
      <c r="Z2352">
        <v>-9.7043300000000004E-4</v>
      </c>
      <c r="AA2352">
        <v>0.9995792</v>
      </c>
      <c r="AB2352">
        <v>38</v>
      </c>
      <c r="AC2352">
        <v>-23.776800000000001</v>
      </c>
      <c r="AD2352">
        <v>-1.109460067461</v>
      </c>
      <c r="AE2352">
        <v>-0.59919999999999596</v>
      </c>
      <c r="AF2352">
        <v>-0.70087898570751705</v>
      </c>
      <c r="AG2352">
        <v>-1.109460067461</v>
      </c>
      <c r="AH2352">
        <v>23.7223573025164</v>
      </c>
      <c r="AI2352">
        <v>92.676522686965001</v>
      </c>
      <c r="AJ2352">
        <v>91.692316189688896</v>
      </c>
      <c r="AK2352">
        <v>23.758627253739899</v>
      </c>
      <c r="AL2352">
        <v>80.077298215275206</v>
      </c>
      <c r="AM2352">
        <v>94.186104610602499</v>
      </c>
      <c r="AN2352">
        <v>0.99999995550689103</v>
      </c>
    </row>
    <row r="2353" spans="1:40" x14ac:dyDescent="0.25">
      <c r="A2353" t="str">
        <f>"20190304155640057"</f>
        <v>20190304155640057</v>
      </c>
      <c r="B2353" t="str">
        <f>"1551686200047289"</f>
        <v>1551686200047289</v>
      </c>
      <c r="C2353" t="s">
        <v>40</v>
      </c>
      <c r="D2353">
        <v>4.7443339999999896</v>
      </c>
      <c r="E2353">
        <v>0.51528759999999996</v>
      </c>
      <c r="F2353" t="s">
        <v>55</v>
      </c>
      <c r="G2353">
        <v>-377.39</v>
      </c>
      <c r="H2353" s="1">
        <v>2.3958309999999998E-6</v>
      </c>
      <c r="I2353">
        <v>283.6968</v>
      </c>
      <c r="J2353">
        <v>-353.09859999999998</v>
      </c>
      <c r="K2353">
        <v>1.1094619999999999</v>
      </c>
      <c r="L2353">
        <v>284.33819999999997</v>
      </c>
      <c r="M2353">
        <v>-0.99993520000000002</v>
      </c>
      <c r="N2353">
        <v>-1.05147E-2</v>
      </c>
      <c r="O2353">
        <v>4.3952929999999998E-3</v>
      </c>
      <c r="P2353">
        <v>-0.98455490000000001</v>
      </c>
      <c r="Q2353">
        <v>0.16151889999999999</v>
      </c>
      <c r="R2353">
        <v>-6.7553370000000001E-2</v>
      </c>
      <c r="S2353">
        <v>-3.064575</v>
      </c>
      <c r="T2353">
        <v>-0.13794589999999901</v>
      </c>
      <c r="U2353">
        <v>-7.9559329999999998E-2</v>
      </c>
      <c r="V2353">
        <v>-7.1842100000000006E-2</v>
      </c>
      <c r="W2353">
        <v>0.171875</v>
      </c>
      <c r="X2353">
        <v>0.98249569999999997</v>
      </c>
      <c r="Y2353">
        <v>-3.0305579999999999E-2</v>
      </c>
      <c r="Z2353">
        <v>-9.9259559999999997E-4</v>
      </c>
      <c r="AA2353">
        <v>0.99954019999999999</v>
      </c>
      <c r="AB2353">
        <v>38</v>
      </c>
      <c r="AC2353">
        <v>-24.291399999999999</v>
      </c>
      <c r="AD2353">
        <v>-1.1094596041689999</v>
      </c>
      <c r="AE2353">
        <v>-0.64139999999997599</v>
      </c>
      <c r="AF2353">
        <v>-0.74661115303836201</v>
      </c>
      <c r="AG2353">
        <v>-1.1094596041689999</v>
      </c>
      <c r="AH2353">
        <v>24.2378207521459</v>
      </c>
      <c r="AI2353">
        <v>92.619581146772106</v>
      </c>
      <c r="AJ2353">
        <v>91.764356051054094</v>
      </c>
      <c r="AK2353">
        <v>24.2746840070118</v>
      </c>
      <c r="AL2353">
        <v>80.103147074380999</v>
      </c>
      <c r="AM2353">
        <v>94.182141730340902</v>
      </c>
      <c r="AN2353">
        <v>1.0000000517379399</v>
      </c>
    </row>
    <row r="2354" spans="1:40" x14ac:dyDescent="0.25">
      <c r="A2354" t="str">
        <f>"20190304155640071"</f>
        <v>20190304155640071</v>
      </c>
      <c r="B2354" t="str">
        <f>"1551686200066808"</f>
        <v>1551686200066808</v>
      </c>
      <c r="C2354" t="s">
        <v>40</v>
      </c>
      <c r="D2354">
        <v>4.7699280000000002</v>
      </c>
      <c r="E2354">
        <v>0.51463570000000003</v>
      </c>
      <c r="F2354" t="s">
        <v>55</v>
      </c>
      <c r="G2354">
        <v>-378.29410000000001</v>
      </c>
      <c r="H2354" s="1">
        <v>2.876939E-6</v>
      </c>
      <c r="I2354">
        <v>283.65129999999999</v>
      </c>
      <c r="J2354">
        <v>-353.34949999999998</v>
      </c>
      <c r="K2354">
        <v>1.1094619999999999</v>
      </c>
      <c r="L2354">
        <v>284.33940000000001</v>
      </c>
      <c r="M2354">
        <v>-0.99993500000000002</v>
      </c>
      <c r="N2354">
        <v>-1.051772E-2</v>
      </c>
      <c r="O2354">
        <v>4.4327979999999999E-3</v>
      </c>
      <c r="P2354">
        <v>-0.98456580000000005</v>
      </c>
      <c r="Q2354">
        <v>0.16137560000000001</v>
      </c>
      <c r="R2354">
        <v>-6.7739439999999998E-2</v>
      </c>
      <c r="S2354">
        <v>-3.0634769999999998</v>
      </c>
      <c r="T2354">
        <v>-0.13489689999999999</v>
      </c>
      <c r="U2354">
        <v>-8.3526610000000001E-2</v>
      </c>
      <c r="V2354">
        <v>-7.2065959999999998E-2</v>
      </c>
      <c r="W2354">
        <v>0.17173450000000001</v>
      </c>
      <c r="X2354">
        <v>0.98250380000000004</v>
      </c>
      <c r="Y2354">
        <v>-3.1645850000000003E-2</v>
      </c>
      <c r="Z2354">
        <v>-1.0113030000000001E-3</v>
      </c>
      <c r="AA2354">
        <v>0.99949860000000001</v>
      </c>
      <c r="AB2354">
        <v>38</v>
      </c>
      <c r="AC2354">
        <v>-24.944600000000001</v>
      </c>
      <c r="AD2354">
        <v>-1.109459123061</v>
      </c>
      <c r="AE2354">
        <v>-0.68810000000001903</v>
      </c>
      <c r="AF2354">
        <v>-0.79709809490924999</v>
      </c>
      <c r="AG2354">
        <v>-1.109459123061</v>
      </c>
      <c r="AH2354">
        <v>24.892100482798401</v>
      </c>
      <c r="AI2354">
        <v>92.550720068285301</v>
      </c>
      <c r="AJ2354">
        <v>91.834106203312601</v>
      </c>
      <c r="AK2354">
        <v>24.929559389696099</v>
      </c>
      <c r="AL2354">
        <v>80.111317907694101</v>
      </c>
      <c r="AM2354">
        <v>94.195092369836999</v>
      </c>
      <c r="AN2354">
        <v>0.99999997904770499</v>
      </c>
    </row>
    <row r="2355" spans="1:40" x14ac:dyDescent="0.25">
      <c r="A2355" t="str">
        <f>"20190304155640089"</f>
        <v>20190304155640089</v>
      </c>
      <c r="B2355" t="str">
        <f>"1551686200076568"</f>
        <v>1551686200076568</v>
      </c>
      <c r="C2355" t="s">
        <v>40</v>
      </c>
      <c r="D2355">
        <v>4.6388040000000004</v>
      </c>
      <c r="E2355">
        <v>0.51459569999999999</v>
      </c>
      <c r="F2355" t="s">
        <v>55</v>
      </c>
      <c r="G2355">
        <v>-378.94110000000001</v>
      </c>
      <c r="H2355" s="1">
        <v>3.2212210000000001E-6</v>
      </c>
      <c r="I2355">
        <v>283.59480000000002</v>
      </c>
      <c r="J2355">
        <v>-353.654</v>
      </c>
      <c r="K2355">
        <v>1.1094679999999999</v>
      </c>
      <c r="L2355">
        <v>284.3408</v>
      </c>
      <c r="M2355">
        <v>-0.99993469999999995</v>
      </c>
      <c r="N2355">
        <v>-1.052136E-2</v>
      </c>
      <c r="O2355">
        <v>4.4769759999999997E-3</v>
      </c>
      <c r="P2355">
        <v>-0.98458239999999997</v>
      </c>
      <c r="Q2355">
        <v>0.161023</v>
      </c>
      <c r="R2355">
        <v>-6.8330150000000006E-2</v>
      </c>
      <c r="S2355">
        <v>-3.0626530000000001</v>
      </c>
      <c r="T2355">
        <v>-0.132773799999999</v>
      </c>
      <c r="U2355">
        <v>-8.9111330000000002E-2</v>
      </c>
      <c r="V2355">
        <v>-7.2701020000000005E-2</v>
      </c>
      <c r="W2355">
        <v>0.1713855</v>
      </c>
      <c r="X2355">
        <v>0.982518</v>
      </c>
      <c r="Y2355">
        <v>-3.3517350000000001E-2</v>
      </c>
      <c r="Z2355">
        <v>-1.0493869999999999E-3</v>
      </c>
      <c r="AA2355">
        <v>0.99943760000000004</v>
      </c>
      <c r="AB2355">
        <v>38</v>
      </c>
      <c r="AC2355">
        <v>-25.287099999999999</v>
      </c>
      <c r="AD2355">
        <v>-1.109464778779</v>
      </c>
      <c r="AE2355">
        <v>-0.74599999999998001</v>
      </c>
      <c r="AF2355">
        <v>-0.85755916183882497</v>
      </c>
      <c r="AG2355">
        <v>-1.109464778779</v>
      </c>
      <c r="AH2355">
        <v>25.234971659208799</v>
      </c>
      <c r="AI2355">
        <v>92.515958291755695</v>
      </c>
      <c r="AJ2355">
        <v>91.946331472569497</v>
      </c>
      <c r="AK2355">
        <v>25.2739018446396</v>
      </c>
      <c r="AL2355">
        <v>80.131615516873893</v>
      </c>
      <c r="AM2355">
        <v>94.231865720906498</v>
      </c>
      <c r="AN2355">
        <v>1.00000002412164</v>
      </c>
    </row>
    <row r="2356" spans="1:40" x14ac:dyDescent="0.25">
      <c r="A2356" t="str">
        <f>"20190304155640101"</f>
        <v>20190304155640101</v>
      </c>
      <c r="B2356" t="str">
        <f>"1551686200097065"</f>
        <v>1551686200097065</v>
      </c>
      <c r="C2356" t="s">
        <v>40</v>
      </c>
      <c r="D2356">
        <v>4.6351959999999996</v>
      </c>
      <c r="E2356">
        <v>0.5145246</v>
      </c>
      <c r="F2356" t="s">
        <v>55</v>
      </c>
      <c r="G2356">
        <v>-379.46940000000001</v>
      </c>
      <c r="H2356" s="1">
        <v>3.5023599999999999E-6</v>
      </c>
      <c r="I2356">
        <v>283.57440000000003</v>
      </c>
      <c r="J2356">
        <v>-353.87259999999998</v>
      </c>
      <c r="K2356">
        <v>1.1094679999999999</v>
      </c>
      <c r="L2356">
        <v>284.34179999999998</v>
      </c>
      <c r="M2356">
        <v>-0.99993460000000001</v>
      </c>
      <c r="N2356">
        <v>-1.0523930000000001E-2</v>
      </c>
      <c r="O2356">
        <v>4.5083550000000003E-3</v>
      </c>
      <c r="P2356">
        <v>-0.98458319999999999</v>
      </c>
      <c r="Q2356">
        <v>0.1607874</v>
      </c>
      <c r="R2356">
        <v>-6.8874690000000002E-2</v>
      </c>
      <c r="S2356">
        <v>-3.062195</v>
      </c>
      <c r="T2356">
        <v>-0.1316032</v>
      </c>
      <c r="U2356">
        <v>-9.0911870000000006E-2</v>
      </c>
      <c r="V2356">
        <v>-7.3277010000000004E-2</v>
      </c>
      <c r="W2356">
        <v>0.171152</v>
      </c>
      <c r="X2356">
        <v>0.9825159</v>
      </c>
      <c r="Y2356">
        <v>-3.4140129999999998E-2</v>
      </c>
      <c r="Z2356">
        <v>-1.0591140000000001E-3</v>
      </c>
      <c r="AA2356">
        <v>0.99941650000000004</v>
      </c>
      <c r="AB2356">
        <v>38</v>
      </c>
      <c r="AC2356">
        <v>-25.596800000000002</v>
      </c>
      <c r="AD2356">
        <v>-1.1094644976399901</v>
      </c>
      <c r="AE2356">
        <v>-0.76739999999995201</v>
      </c>
      <c r="AF2356">
        <v>-0.881144124797691</v>
      </c>
      <c r="AG2356">
        <v>-1.1094644976399901</v>
      </c>
      <c r="AH2356">
        <v>25.545131611736501</v>
      </c>
      <c r="AI2356">
        <v>92.485404980146598</v>
      </c>
      <c r="AJ2356">
        <v>91.975555721949405</v>
      </c>
      <c r="AK2356">
        <v>25.584391247421301</v>
      </c>
      <c r="AL2356">
        <v>80.145194587393306</v>
      </c>
      <c r="AM2356">
        <v>94.265279452666306</v>
      </c>
      <c r="AN2356">
        <v>1.0000000105256699</v>
      </c>
    </row>
    <row r="2357" spans="1:40" x14ac:dyDescent="0.25">
      <c r="A2357" t="str">
        <f>"20190304155640115"</f>
        <v>20190304155640115</v>
      </c>
      <c r="B2357" t="str">
        <f>"1551686200106824"</f>
        <v>1551686200106824</v>
      </c>
      <c r="C2357" t="s">
        <v>40</v>
      </c>
      <c r="D2357">
        <v>4.7525320000000004</v>
      </c>
      <c r="E2357">
        <v>0.5142582</v>
      </c>
      <c r="F2357" t="s">
        <v>55</v>
      </c>
      <c r="G2357">
        <v>-380.33569999999997</v>
      </c>
      <c r="H2357" s="1">
        <v>-1.3581280000000001E-6</v>
      </c>
      <c r="I2357">
        <v>283.5351</v>
      </c>
      <c r="J2357">
        <v>-354.09750000000003</v>
      </c>
      <c r="K2357">
        <v>1.1094729999999999</v>
      </c>
      <c r="L2357">
        <v>284.34280000000001</v>
      </c>
      <c r="M2357">
        <v>-0.99993430000000005</v>
      </c>
      <c r="N2357">
        <v>-1.0526570000000001E-2</v>
      </c>
      <c r="O2357">
        <v>4.5411640000000003E-3</v>
      </c>
      <c r="P2357">
        <v>-0.98458279999999998</v>
      </c>
      <c r="Q2357">
        <v>0.16066810000000001</v>
      </c>
      <c r="R2357">
        <v>-6.9156179999999998E-2</v>
      </c>
      <c r="S2357">
        <v>-3.061401</v>
      </c>
      <c r="T2357">
        <v>-0.1283494</v>
      </c>
      <c r="U2357">
        <v>-9.3322749999999996E-2</v>
      </c>
      <c r="V2357">
        <v>-7.3591470000000006E-2</v>
      </c>
      <c r="W2357">
        <v>0.17103550000000001</v>
      </c>
      <c r="X2357">
        <v>0.98251270000000002</v>
      </c>
      <c r="Y2357">
        <v>-3.4967869999999998E-2</v>
      </c>
      <c r="Z2357">
        <v>-1.0592049999999999E-3</v>
      </c>
      <c r="AA2357">
        <v>0.9993879</v>
      </c>
      <c r="AB2357">
        <v>38</v>
      </c>
      <c r="AC2357">
        <v>-26.2381999999999</v>
      </c>
      <c r="AD2357">
        <v>-1.109474358128</v>
      </c>
      <c r="AE2357">
        <v>-0.80770000000001096</v>
      </c>
      <c r="AF2357">
        <v>-0.92519755690824601</v>
      </c>
      <c r="AG2357">
        <v>-1.109474358128</v>
      </c>
      <c r="AH2357">
        <v>26.1874825458952</v>
      </c>
      <c r="AI2357">
        <v>92.424465236672603</v>
      </c>
      <c r="AJ2357">
        <v>92.023404736078504</v>
      </c>
      <c r="AK2357">
        <v>26.227298106404699</v>
      </c>
      <c r="AL2357">
        <v>80.151969598341395</v>
      </c>
      <c r="AM2357">
        <v>94.283529333260205</v>
      </c>
      <c r="AN2357">
        <v>1.00000002618915</v>
      </c>
    </row>
    <row r="2358" spans="1:40" x14ac:dyDescent="0.25">
      <c r="A2358" t="str">
        <f>"20190304155640127"</f>
        <v>20190304155640127</v>
      </c>
      <c r="B2358" t="str">
        <f>"1551686200117561"</f>
        <v>1551686200117561</v>
      </c>
      <c r="C2358" t="s">
        <v>40</v>
      </c>
      <c r="D2358">
        <v>4.79129</v>
      </c>
      <c r="E2358">
        <v>0.51413169999999997</v>
      </c>
      <c r="F2358" t="s">
        <v>55</v>
      </c>
      <c r="G2358">
        <v>-380.65649999999999</v>
      </c>
      <c r="H2358" s="1">
        <v>-1.18746E-6</v>
      </c>
      <c r="I2358">
        <v>283.5093</v>
      </c>
      <c r="J2358">
        <v>-354.30590000000001</v>
      </c>
      <c r="K2358">
        <v>1.109477</v>
      </c>
      <c r="L2358">
        <v>284.34379999999999</v>
      </c>
      <c r="M2358">
        <v>-0.99993430000000005</v>
      </c>
      <c r="N2358">
        <v>-1.052901E-2</v>
      </c>
      <c r="O2358">
        <v>4.5715909999999998E-3</v>
      </c>
      <c r="P2358">
        <v>-0.98461299999999996</v>
      </c>
      <c r="Q2358">
        <v>0.16022529999999999</v>
      </c>
      <c r="R2358">
        <v>-6.9751960000000002E-2</v>
      </c>
      <c r="S2358">
        <v>-3.0611269999999999</v>
      </c>
      <c r="T2358">
        <v>-0.12787570000000001</v>
      </c>
      <c r="U2358">
        <v>-9.6069340000000003E-2</v>
      </c>
      <c r="V2358">
        <v>-7.4217969999999994E-2</v>
      </c>
      <c r="W2358">
        <v>0.17059530000000001</v>
      </c>
      <c r="X2358">
        <v>0.98254209999999997</v>
      </c>
      <c r="Y2358">
        <v>-3.5896079999999997E-2</v>
      </c>
      <c r="Z2358">
        <v>-1.081121E-3</v>
      </c>
      <c r="AA2358">
        <v>0.99935499999999999</v>
      </c>
      <c r="AB2358">
        <v>38</v>
      </c>
      <c r="AC2358">
        <v>-26.350599999999901</v>
      </c>
      <c r="AD2358">
        <v>-1.1094781874599999</v>
      </c>
      <c r="AE2358">
        <v>-0.83449999999999103</v>
      </c>
      <c r="AF2358">
        <v>-0.95327384235644097</v>
      </c>
      <c r="AG2358">
        <v>-1.1094781874599999</v>
      </c>
      <c r="AH2358">
        <v>26.2999319489372</v>
      </c>
      <c r="AI2358">
        <v>92.414040690822105</v>
      </c>
      <c r="AJ2358">
        <v>92.075848246019603</v>
      </c>
      <c r="AK2358">
        <v>26.3405788354337</v>
      </c>
      <c r="AL2358">
        <v>80.177567356965</v>
      </c>
      <c r="AM2358">
        <v>94.319729707287493</v>
      </c>
      <c r="AN2358">
        <v>1.00000002086271</v>
      </c>
    </row>
    <row r="2359" spans="1:40" x14ac:dyDescent="0.25">
      <c r="A2359" t="str">
        <f>"20190304155640140"</f>
        <v>20190304155640140</v>
      </c>
      <c r="B2359" t="str">
        <f>"1551686200137081"</f>
        <v>1551686200137081</v>
      </c>
      <c r="C2359" t="s">
        <v>40</v>
      </c>
      <c r="D2359">
        <v>4.8236039999999996</v>
      </c>
      <c r="E2359">
        <v>0.51393489999999997</v>
      </c>
      <c r="F2359" t="s">
        <v>55</v>
      </c>
      <c r="G2359">
        <v>-380.9751</v>
      </c>
      <c r="H2359" s="1">
        <v>-1.0179100000000001E-6</v>
      </c>
      <c r="I2359">
        <v>283.48250000000002</v>
      </c>
      <c r="J2359">
        <v>-354.5163</v>
      </c>
      <c r="K2359">
        <v>1.109477</v>
      </c>
      <c r="L2359">
        <v>284.34480000000002</v>
      </c>
      <c r="M2359">
        <v>-0.99993410000000005</v>
      </c>
      <c r="N2359">
        <v>-1.053142E-2</v>
      </c>
      <c r="O2359">
        <v>4.602498E-3</v>
      </c>
      <c r="P2359">
        <v>-0.98464490000000005</v>
      </c>
      <c r="Q2359">
        <v>0.1598745</v>
      </c>
      <c r="R2359">
        <v>-7.010748E-2</v>
      </c>
      <c r="S2359">
        <v>-3.060638</v>
      </c>
      <c r="T2359">
        <v>-0.1273271</v>
      </c>
      <c r="U2359">
        <v>-9.8846439999999994E-2</v>
      </c>
      <c r="V2359">
        <v>-7.4604829999999997E-2</v>
      </c>
      <c r="W2359">
        <v>0.1702466</v>
      </c>
      <c r="X2359">
        <v>0.98257329999999998</v>
      </c>
      <c r="Y2359">
        <v>-3.6837090000000003E-2</v>
      </c>
      <c r="Z2359">
        <v>-1.102741E-3</v>
      </c>
      <c r="AA2359">
        <v>0.99932069999999995</v>
      </c>
      <c r="AB2359">
        <v>38</v>
      </c>
      <c r="AC2359">
        <v>-26.4588</v>
      </c>
      <c r="AD2359">
        <v>-1.1094780179099999</v>
      </c>
      <c r="AE2359">
        <v>-0.86230000000000395</v>
      </c>
      <c r="AF2359">
        <v>-0.98234872796060602</v>
      </c>
      <c r="AG2359">
        <v>-1.1094780179099999</v>
      </c>
      <c r="AH2359">
        <v>26.408166120935601</v>
      </c>
      <c r="AI2359">
        <v>92.404074110420694</v>
      </c>
      <c r="AJ2359">
        <v>92.130344695852102</v>
      </c>
      <c r="AK2359">
        <v>26.4497105535483</v>
      </c>
      <c r="AL2359">
        <v>80.197843166622405</v>
      </c>
      <c r="AM2359">
        <v>94.342022986642206</v>
      </c>
      <c r="AN2359">
        <v>1.0000000376718801</v>
      </c>
    </row>
    <row r="2360" spans="1:40" x14ac:dyDescent="0.25">
      <c r="A2360" t="str">
        <f>"20190304155640152"</f>
        <v>20190304155640152</v>
      </c>
      <c r="B2360" t="str">
        <f>"1551686200146840"</f>
        <v>1551686200146840</v>
      </c>
      <c r="C2360" t="s">
        <v>40</v>
      </c>
      <c r="D2360">
        <v>4.6936439999999999</v>
      </c>
      <c r="E2360">
        <v>0.5135016</v>
      </c>
      <c r="F2360" t="s">
        <v>55</v>
      </c>
      <c r="G2360">
        <v>-381.78</v>
      </c>
      <c r="H2360" s="1">
        <v>-5.8954669999999897E-7</v>
      </c>
      <c r="I2360">
        <v>283.4425</v>
      </c>
      <c r="J2360">
        <v>-354.7312</v>
      </c>
      <c r="K2360">
        <v>1.109472</v>
      </c>
      <c r="L2360">
        <v>284.3458</v>
      </c>
      <c r="M2360">
        <v>-0.99993390000000004</v>
      </c>
      <c r="N2360">
        <v>-1.0533870000000001E-2</v>
      </c>
      <c r="O2360">
        <v>4.6340620000000004E-3</v>
      </c>
      <c r="P2360">
        <v>-0.98467789999999999</v>
      </c>
      <c r="Q2360">
        <v>0.1596051</v>
      </c>
      <c r="R2360">
        <v>-7.0256910000000006E-2</v>
      </c>
      <c r="S2360">
        <v>-3.0597840000000001</v>
      </c>
      <c r="T2360">
        <v>-0.12451570000000001</v>
      </c>
      <c r="U2360">
        <v>-0.10125729999999999</v>
      </c>
      <c r="V2360">
        <v>-7.4785889999999994E-2</v>
      </c>
      <c r="W2360">
        <v>0.1699802</v>
      </c>
      <c r="X2360">
        <v>0.98260559999999997</v>
      </c>
      <c r="Y2360">
        <v>-3.7664969999999999E-2</v>
      </c>
      <c r="Z2360">
        <v>-1.104056E-3</v>
      </c>
      <c r="AA2360">
        <v>0.99928980000000001</v>
      </c>
      <c r="AB2360">
        <v>38</v>
      </c>
      <c r="AC2360">
        <v>-27.0487999999999</v>
      </c>
      <c r="AD2360">
        <v>-1.1094725895466999</v>
      </c>
      <c r="AE2360">
        <v>-0.90330000000000099</v>
      </c>
      <c r="AF2360">
        <v>-1.02691726360017</v>
      </c>
      <c r="AG2360">
        <v>-1.1094725895466999</v>
      </c>
      <c r="AH2360">
        <v>26.998950099435501</v>
      </c>
      <c r="AI2360">
        <v>92.351443178532904</v>
      </c>
      <c r="AJ2360">
        <v>92.178220854132505</v>
      </c>
      <c r="AK2360">
        <v>27.041242481902401</v>
      </c>
      <c r="AL2360">
        <v>80.213331971320301</v>
      </c>
      <c r="AM2360">
        <v>94.352377761051599</v>
      </c>
      <c r="AN2360">
        <v>0.99999998144324498</v>
      </c>
    </row>
    <row r="2361" spans="1:40" x14ac:dyDescent="0.25">
      <c r="A2361" t="str">
        <f>"20190304155640167"</f>
        <v>20190304155640167</v>
      </c>
      <c r="B2361" t="str">
        <f>"1551686200156600"</f>
        <v>1551686200156600</v>
      </c>
      <c r="C2361" t="s">
        <v>40</v>
      </c>
      <c r="D2361">
        <v>4.697368</v>
      </c>
      <c r="E2361">
        <v>0.5135016</v>
      </c>
      <c r="F2361" t="s">
        <v>55</v>
      </c>
      <c r="G2361">
        <v>-382.00749999999999</v>
      </c>
      <c r="H2361" s="1">
        <v>-4.6847109999999998E-7</v>
      </c>
      <c r="I2361">
        <v>283.40960000000001</v>
      </c>
      <c r="J2361">
        <v>-354.9821</v>
      </c>
      <c r="K2361">
        <v>1.1094729999999999</v>
      </c>
      <c r="L2361">
        <v>284.34699999999998</v>
      </c>
      <c r="M2361">
        <v>-0.99993370000000004</v>
      </c>
      <c r="N2361">
        <v>-1.053666E-2</v>
      </c>
      <c r="O2361">
        <v>4.6710479999999997E-3</v>
      </c>
      <c r="P2361">
        <v>-0.98478829999999995</v>
      </c>
      <c r="Q2361">
        <v>0.1586948</v>
      </c>
      <c r="R2361">
        <v>-7.0770700000000006E-2</v>
      </c>
      <c r="S2361">
        <v>-3.0593569999999999</v>
      </c>
      <c r="T2361">
        <v>-0.12444</v>
      </c>
      <c r="U2361">
        <v>-0.10501099999999999</v>
      </c>
      <c r="V2361">
        <v>-7.5337089999999995E-2</v>
      </c>
      <c r="W2361">
        <v>0.16907320000000001</v>
      </c>
      <c r="X2361">
        <v>0.98272000000000004</v>
      </c>
      <c r="Y2361">
        <v>-3.8929890000000002E-2</v>
      </c>
      <c r="Z2361">
        <v>-1.137126E-3</v>
      </c>
      <c r="AA2361">
        <v>0.9992413</v>
      </c>
      <c r="AB2361">
        <v>38</v>
      </c>
      <c r="AC2361">
        <v>-27.025399999999902</v>
      </c>
      <c r="AD2361">
        <v>-1.1094734684710901</v>
      </c>
      <c r="AE2361">
        <v>-0.93739999999996804</v>
      </c>
      <c r="AF2361">
        <v>-1.0618462756773199</v>
      </c>
      <c r="AG2361">
        <v>-1.1094734684710901</v>
      </c>
      <c r="AH2361">
        <v>26.975318086988999</v>
      </c>
      <c r="AI2361">
        <v>92.353382082778495</v>
      </c>
      <c r="AJ2361">
        <v>92.254205702927806</v>
      </c>
      <c r="AK2361">
        <v>27.0189976643222</v>
      </c>
      <c r="AL2361">
        <v>80.266062782112797</v>
      </c>
      <c r="AM2361">
        <v>94.383823394422294</v>
      </c>
      <c r="AN2361">
        <v>1.00000001124395</v>
      </c>
    </row>
    <row r="2362" spans="1:40" x14ac:dyDescent="0.25">
      <c r="A2362" t="str">
        <f>"20190304155640180"</f>
        <v>20190304155640180</v>
      </c>
      <c r="B2362" t="str">
        <f>"1551686200177096"</f>
        <v>1551686200177096</v>
      </c>
      <c r="C2362" t="s">
        <v>40</v>
      </c>
      <c r="D2362">
        <v>4.7003269999999997</v>
      </c>
      <c r="E2362">
        <v>0.48002929999999999</v>
      </c>
      <c r="F2362" t="s">
        <v>55</v>
      </c>
      <c r="G2362">
        <v>-381.66309999999999</v>
      </c>
      <c r="H2362" s="1">
        <v>-6.5177559999999995E-7</v>
      </c>
      <c r="I2362">
        <v>283.41969999999998</v>
      </c>
      <c r="J2362">
        <v>-355.19889999999998</v>
      </c>
      <c r="K2362">
        <v>1.1094710000000001</v>
      </c>
      <c r="L2362">
        <v>284.34809999999999</v>
      </c>
      <c r="M2362">
        <v>-0.99993339999999997</v>
      </c>
      <c r="N2362">
        <v>-1.0539079999999999E-2</v>
      </c>
      <c r="O2362">
        <v>4.7033329999999996E-3</v>
      </c>
      <c r="P2362">
        <v>-0.98478529999999997</v>
      </c>
      <c r="Q2362">
        <v>0.1586069</v>
      </c>
      <c r="R2362">
        <v>-7.1003769999999994E-2</v>
      </c>
      <c r="S2362">
        <v>-3.0592039999999998</v>
      </c>
      <c r="T2362">
        <v>-0.12721070000000001</v>
      </c>
      <c r="U2362">
        <v>-0.10632320000000001</v>
      </c>
      <c r="V2362">
        <v>-7.5602509999999998E-2</v>
      </c>
      <c r="W2362">
        <v>0.16898769999999999</v>
      </c>
      <c r="X2362">
        <v>0.98271430000000004</v>
      </c>
      <c r="Y2362">
        <v>-3.93897E-2</v>
      </c>
      <c r="Z2362">
        <v>-1.1720159999999999E-3</v>
      </c>
      <c r="AA2362">
        <v>0.99922319999999998</v>
      </c>
      <c r="AB2362">
        <v>38</v>
      </c>
      <c r="AC2362">
        <v>-26.464200000000002</v>
      </c>
      <c r="AD2362">
        <v>-1.10947165177559</v>
      </c>
      <c r="AE2362">
        <v>-0.92840000000001</v>
      </c>
      <c r="AF2362">
        <v>-1.05102160554566</v>
      </c>
      <c r="AG2362">
        <v>-1.10947165177559</v>
      </c>
      <c r="AH2362">
        <v>26.4131742570254</v>
      </c>
      <c r="AI2362">
        <v>92.403365774212205</v>
      </c>
      <c r="AJ2362">
        <v>92.278686716443005</v>
      </c>
      <c r="AK2362">
        <v>26.4573496044748</v>
      </c>
      <c r="AL2362">
        <v>80.271032869794197</v>
      </c>
      <c r="AM2362">
        <v>94.399232930161801</v>
      </c>
      <c r="AN2362">
        <v>0.999999988847039</v>
      </c>
    </row>
    <row r="2363" spans="1:40" x14ac:dyDescent="0.25">
      <c r="A2363" t="str">
        <f>"20190304155640193"</f>
        <v>20190304155640193</v>
      </c>
      <c r="B2363" t="str">
        <f>"1551686200186856"</f>
        <v>1551686200186856</v>
      </c>
      <c r="C2363" t="s">
        <v>40</v>
      </c>
      <c r="D2363">
        <v>4.67842</v>
      </c>
      <c r="E2363">
        <v>0.48025849999999998</v>
      </c>
      <c r="F2363" t="s">
        <v>55</v>
      </c>
      <c r="G2363">
        <v>-389.35550000000001</v>
      </c>
      <c r="H2363" s="1">
        <v>3.44173E-6</v>
      </c>
      <c r="I2363">
        <v>280.1463</v>
      </c>
      <c r="J2363">
        <v>-355.43119999999999</v>
      </c>
      <c r="K2363">
        <v>1.109472</v>
      </c>
      <c r="L2363">
        <v>284.3492</v>
      </c>
      <c r="M2363">
        <v>-0.99993319999999997</v>
      </c>
      <c r="N2363">
        <v>-1.054167E-2</v>
      </c>
      <c r="O2363">
        <v>4.7375830000000001E-3</v>
      </c>
      <c r="P2363">
        <v>-0.98486569999999996</v>
      </c>
      <c r="Q2363">
        <v>0.15803239999999999</v>
      </c>
      <c r="R2363">
        <v>-7.1171609999999996E-2</v>
      </c>
      <c r="S2363">
        <v>-3.0352779999999999</v>
      </c>
      <c r="T2363">
        <v>-9.8591449999999997E-2</v>
      </c>
      <c r="U2363">
        <v>-0.37338260000000001</v>
      </c>
      <c r="V2363">
        <v>-7.5804960000000005E-2</v>
      </c>
      <c r="W2363">
        <v>0.1684166</v>
      </c>
      <c r="X2363">
        <v>0.98279669999999997</v>
      </c>
      <c r="Y2363">
        <v>-0.1267064</v>
      </c>
      <c r="Z2363">
        <v>-2.8237079999999999E-3</v>
      </c>
      <c r="AA2363">
        <v>0.99193629999999999</v>
      </c>
      <c r="AB2363">
        <v>38</v>
      </c>
      <c r="AC2363">
        <v>-33.924300000000002</v>
      </c>
      <c r="AD2363">
        <v>-1.1094685582699999</v>
      </c>
      <c r="AE2363">
        <v>-4.2028999999999996</v>
      </c>
      <c r="AF2363">
        <v>-4.3589891927978597</v>
      </c>
      <c r="AG2363">
        <v>-1.1094685582699999</v>
      </c>
      <c r="AH2363">
        <v>33.868329684950297</v>
      </c>
      <c r="AI2363">
        <v>91.860902374239899</v>
      </c>
      <c r="AJ2363">
        <v>97.333878279598494</v>
      </c>
      <c r="AK2363">
        <v>34.165705947824399</v>
      </c>
      <c r="AL2363">
        <v>80.304229909989104</v>
      </c>
      <c r="AM2363">
        <v>94.410598492645093</v>
      </c>
      <c r="AN2363">
        <v>0.99999994832352401</v>
      </c>
    </row>
    <row r="2364" spans="1:40" x14ac:dyDescent="0.25">
      <c r="A2364" t="str">
        <f>"20190304155640205"</f>
        <v>20190304155640205</v>
      </c>
      <c r="B2364" t="str">
        <f>"1551686200196616"</f>
        <v>1551686200196616</v>
      </c>
      <c r="C2364" t="s">
        <v>40</v>
      </c>
      <c r="D2364">
        <v>4.6581739999999998</v>
      </c>
      <c r="E2364">
        <v>0.48056840000000001</v>
      </c>
      <c r="F2364" t="s">
        <v>55</v>
      </c>
      <c r="G2364">
        <v>-389.17360000000002</v>
      </c>
      <c r="H2364" s="1">
        <v>3.344964E-6</v>
      </c>
      <c r="I2364">
        <v>280.2174</v>
      </c>
      <c r="J2364">
        <v>-355.63589999999999</v>
      </c>
      <c r="K2364">
        <v>1.1094679999999999</v>
      </c>
      <c r="L2364">
        <v>284.35019999999997</v>
      </c>
      <c r="M2364">
        <v>-0.99993310000000002</v>
      </c>
      <c r="N2364">
        <v>-1.054394E-2</v>
      </c>
      <c r="O2364">
        <v>4.7677249999999996E-3</v>
      </c>
      <c r="P2364">
        <v>-0.98491719999999905</v>
      </c>
      <c r="Q2364">
        <v>0.15764539999999999</v>
      </c>
      <c r="R2364">
        <v>-7.1315190000000001E-2</v>
      </c>
      <c r="S2364">
        <v>-3.0352779999999999</v>
      </c>
      <c r="T2364">
        <v>-9.980166E-2</v>
      </c>
      <c r="U2364">
        <v>-0.37167359999999999</v>
      </c>
      <c r="V2364">
        <v>-7.5978260000000006E-2</v>
      </c>
      <c r="W2364">
        <v>0.16803209999999999</v>
      </c>
      <c r="X2364">
        <v>0.98284919999999998</v>
      </c>
      <c r="Y2364">
        <v>-0.1261845</v>
      </c>
      <c r="Z2364">
        <v>-2.8402869999999999E-3</v>
      </c>
      <c r="AA2364">
        <v>0.99200270000000002</v>
      </c>
      <c r="AB2364">
        <v>38</v>
      </c>
      <c r="AC2364">
        <v>-33.537700000000001</v>
      </c>
      <c r="AD2364">
        <v>-1.1094646550359999</v>
      </c>
      <c r="AE2364">
        <v>-4.1327999999999703</v>
      </c>
      <c r="AF2364">
        <v>-4.28803796790785</v>
      </c>
      <c r="AG2364">
        <v>-1.1094646550359999</v>
      </c>
      <c r="AH2364">
        <v>33.481520856966704</v>
      </c>
      <c r="AI2364">
        <v>91.882529415749701</v>
      </c>
      <c r="AJ2364">
        <v>97.298242657865998</v>
      </c>
      <c r="AK2364">
        <v>33.7732204613432</v>
      </c>
      <c r="AL2364">
        <v>80.326579299867603</v>
      </c>
      <c r="AM2364">
        <v>94.4204065739318</v>
      </c>
      <c r="AN2364">
        <v>1.0000000162818301</v>
      </c>
    </row>
    <row r="2365" spans="1:40" x14ac:dyDescent="0.25">
      <c r="A2365" t="str">
        <f>"20190304155640221"</f>
        <v>20190304155640221</v>
      </c>
      <c r="B2365" t="str">
        <f>"1551686200217113"</f>
        <v>1551686200217113</v>
      </c>
      <c r="C2365" t="s">
        <v>40</v>
      </c>
      <c r="D2365">
        <v>4.6946820000000002</v>
      </c>
      <c r="E2365">
        <v>0.48002400000000001</v>
      </c>
      <c r="F2365" t="s">
        <v>55</v>
      </c>
      <c r="G2365">
        <v>-389.49669999999998</v>
      </c>
      <c r="H2365" s="1">
        <v>3.5168890000000001E-6</v>
      </c>
      <c r="I2365">
        <v>280.22649999999999</v>
      </c>
      <c r="J2365">
        <v>-355.88470000000001</v>
      </c>
      <c r="K2365">
        <v>1.109467</v>
      </c>
      <c r="L2365">
        <v>284.35140000000001</v>
      </c>
      <c r="M2365">
        <v>-0.99993290000000001</v>
      </c>
      <c r="N2365">
        <v>-1.0546710000000001E-2</v>
      </c>
      <c r="O2365">
        <v>4.8043620000000004E-3</v>
      </c>
      <c r="P2365">
        <v>-0.9849812</v>
      </c>
      <c r="Q2365">
        <v>0.15738659999999999</v>
      </c>
      <c r="R2365">
        <v>-7.1003090000000005E-2</v>
      </c>
      <c r="S2365">
        <v>-3.035126</v>
      </c>
      <c r="T2365">
        <v>-9.9447250000000001E-2</v>
      </c>
      <c r="U2365">
        <v>-0.36962889999999998</v>
      </c>
      <c r="V2365">
        <v>-7.5702729999999996E-2</v>
      </c>
      <c r="W2365">
        <v>0.16777739999999999</v>
      </c>
      <c r="X2365">
        <v>0.98291399999999995</v>
      </c>
      <c r="Y2365">
        <v>-0.12556929999999999</v>
      </c>
      <c r="Z2365">
        <v>-2.8202460000000002E-3</v>
      </c>
      <c r="AA2365">
        <v>0.99208090000000004</v>
      </c>
      <c r="AB2365">
        <v>38</v>
      </c>
      <c r="AC2365">
        <v>-33.611999999999902</v>
      </c>
      <c r="AD2365">
        <v>-1.109463483111</v>
      </c>
      <c r="AE2365">
        <v>-4.1249000000000198</v>
      </c>
      <c r="AF2365">
        <v>-4.2817497181544804</v>
      </c>
      <c r="AG2365">
        <v>-1.109463483111</v>
      </c>
      <c r="AH2365">
        <v>33.555775998799199</v>
      </c>
      <c r="AI2365">
        <v>91.878475752782506</v>
      </c>
      <c r="AJ2365">
        <v>97.271701243876905</v>
      </c>
      <c r="AK2365">
        <v>33.8460395430671</v>
      </c>
      <c r="AL2365">
        <v>80.341382978540693</v>
      </c>
      <c r="AM2365">
        <v>94.404150234612899</v>
      </c>
      <c r="AN2365">
        <v>1.0000000453380999</v>
      </c>
    </row>
    <row r="2366" spans="1:40" x14ac:dyDescent="0.25">
      <c r="A2366" t="str">
        <f>"20190304155640235"</f>
        <v>20190304155640235</v>
      </c>
      <c r="B2366" t="str">
        <f>"1551686200226872"</f>
        <v>1551686200226872</v>
      </c>
      <c r="C2366" t="s">
        <v>40</v>
      </c>
      <c r="D2366">
        <v>4.6335509999999998</v>
      </c>
      <c r="E2366">
        <v>0.48039500000000002</v>
      </c>
      <c r="F2366" t="s">
        <v>55</v>
      </c>
      <c r="G2366">
        <v>-389.41180000000003</v>
      </c>
      <c r="H2366" s="1">
        <v>3.4717129999999999E-6</v>
      </c>
      <c r="I2366">
        <v>280.23329999999999</v>
      </c>
      <c r="J2366">
        <v>-356.1422</v>
      </c>
      <c r="K2366">
        <v>1.109469</v>
      </c>
      <c r="L2366">
        <v>284.35270000000003</v>
      </c>
      <c r="M2366">
        <v>-0.99993259999999995</v>
      </c>
      <c r="N2366">
        <v>-1.0549579999999999E-2</v>
      </c>
      <c r="O2366">
        <v>4.8420119999999997E-3</v>
      </c>
      <c r="P2366">
        <v>-0.98500399999999999</v>
      </c>
      <c r="Q2366">
        <v>0.1572276</v>
      </c>
      <c r="R2366">
        <v>-7.1041019999999996E-2</v>
      </c>
      <c r="S2366">
        <v>-3.0349430000000002</v>
      </c>
      <c r="T2366">
        <v>-0.1004308</v>
      </c>
      <c r="U2366">
        <v>-0.3727722</v>
      </c>
      <c r="V2366">
        <v>-7.5777899999999995E-2</v>
      </c>
      <c r="W2366">
        <v>0.16762079999999999</v>
      </c>
      <c r="X2366">
        <v>0.98293489999999994</v>
      </c>
      <c r="Y2366">
        <v>-0.12662380000000001</v>
      </c>
      <c r="Z2366">
        <v>-2.8660700000000001E-3</v>
      </c>
      <c r="AA2366">
        <v>0.99194669999999896</v>
      </c>
      <c r="AB2366">
        <v>38</v>
      </c>
      <c r="AC2366">
        <v>-33.269599999999997</v>
      </c>
      <c r="AD2366">
        <v>-1.1094655282870001</v>
      </c>
      <c r="AE2366">
        <v>-4.1194000000000397</v>
      </c>
      <c r="AF2366">
        <v>-4.2757693158922301</v>
      </c>
      <c r="AG2366">
        <v>-1.1094655282870001</v>
      </c>
      <c r="AH2366">
        <v>33.212885277314399</v>
      </c>
      <c r="AI2366">
        <v>91.897586618556105</v>
      </c>
      <c r="AJ2366">
        <v>97.335810190139696</v>
      </c>
      <c r="AK2366">
        <v>33.505355772551198</v>
      </c>
      <c r="AL2366">
        <v>80.3504841442182</v>
      </c>
      <c r="AM2366">
        <v>94.408412793257398</v>
      </c>
      <c r="AN2366">
        <v>1.0000000201795201</v>
      </c>
    </row>
    <row r="2367" spans="1:40" x14ac:dyDescent="0.25">
      <c r="A2367" t="str">
        <f>"20190304155640257"</f>
        <v>20190304155640257</v>
      </c>
      <c r="B2367" t="str">
        <f>"1551686200247368"</f>
        <v>1551686200247368</v>
      </c>
      <c r="C2367" t="s">
        <v>40</v>
      </c>
      <c r="D2367">
        <v>4.6533810000000004</v>
      </c>
      <c r="E2367">
        <v>0.48087210000000002</v>
      </c>
      <c r="F2367" t="s">
        <v>55</v>
      </c>
      <c r="G2367">
        <v>-389.55470000000003</v>
      </c>
      <c r="H2367" s="1">
        <v>3.5477540000000002E-6</v>
      </c>
      <c r="I2367">
        <v>280.27949999999998</v>
      </c>
      <c r="J2367">
        <v>-356.50459999999998</v>
      </c>
      <c r="K2367">
        <v>1.109469</v>
      </c>
      <c r="L2367">
        <v>284.35449999999997</v>
      </c>
      <c r="M2367">
        <v>-0.9999323</v>
      </c>
      <c r="N2367">
        <v>-1.055361E-2</v>
      </c>
      <c r="O2367">
        <v>4.8950929999999997E-3</v>
      </c>
      <c r="P2367">
        <v>-0.98497029999999997</v>
      </c>
      <c r="Q2367">
        <v>0.15739229999999901</v>
      </c>
      <c r="R2367">
        <v>-7.1143979999999996E-2</v>
      </c>
      <c r="S2367">
        <v>-3.0350950000000001</v>
      </c>
      <c r="T2367">
        <v>-0.1007805</v>
      </c>
      <c r="U2367">
        <v>-0.36999510000000002</v>
      </c>
      <c r="V2367">
        <v>-7.5933169999999994E-2</v>
      </c>
      <c r="W2367">
        <v>0.1677891</v>
      </c>
      <c r="X2367">
        <v>0.98289420000000005</v>
      </c>
      <c r="Y2367">
        <v>-0.1257762</v>
      </c>
      <c r="Z2367">
        <v>-2.856786E-3</v>
      </c>
      <c r="AA2367">
        <v>0.99205449999999995</v>
      </c>
      <c r="AB2367">
        <v>38</v>
      </c>
      <c r="AC2367">
        <v>-33.0501</v>
      </c>
      <c r="AD2367">
        <v>-1.1094654522459999</v>
      </c>
      <c r="AE2367">
        <v>-4.0749999999999797</v>
      </c>
      <c r="AF2367">
        <v>-4.2320458592832004</v>
      </c>
      <c r="AG2367">
        <v>-1.1094654522459999</v>
      </c>
      <c r="AH2367">
        <v>32.993132446317297</v>
      </c>
      <c r="AI2367">
        <v>91.910329025763303</v>
      </c>
      <c r="AJ2367">
        <v>97.309444913567802</v>
      </c>
      <c r="AK2367">
        <v>33.281945771920199</v>
      </c>
      <c r="AL2367">
        <v>80.340702715405001</v>
      </c>
      <c r="AM2367">
        <v>94.417592171105497</v>
      </c>
      <c r="AN2367">
        <v>1.0000000183893401</v>
      </c>
    </row>
    <row r="2368" spans="1:40" x14ac:dyDescent="0.25">
      <c r="A2368" t="str">
        <f>"20190304155640269"</f>
        <v>20190304155640269</v>
      </c>
      <c r="B2368" t="str">
        <f>"1551686200266889"</f>
        <v>1551686200266889</v>
      </c>
      <c r="C2368" t="s">
        <v>40</v>
      </c>
      <c r="D2368">
        <v>4.6306770000000004</v>
      </c>
      <c r="E2368">
        <v>0.48139110000000002</v>
      </c>
      <c r="F2368" t="s">
        <v>55</v>
      </c>
      <c r="G2368">
        <v>-390.50659999999999</v>
      </c>
      <c r="H2368" s="1">
        <v>-1.2671899999999899E-6</v>
      </c>
      <c r="I2368">
        <v>280.25229999999999</v>
      </c>
      <c r="J2368">
        <v>-356.73039999999997</v>
      </c>
      <c r="K2368">
        <v>1.1094649999999999</v>
      </c>
      <c r="L2368">
        <v>284.35559999999998</v>
      </c>
      <c r="M2368">
        <v>-0.99993220000000005</v>
      </c>
      <c r="N2368">
        <v>-1.055612E-2</v>
      </c>
      <c r="O2368">
        <v>4.9282170000000004E-3</v>
      </c>
      <c r="P2368">
        <v>-0.98499650000000005</v>
      </c>
      <c r="Q2368">
        <v>0.1572781</v>
      </c>
      <c r="R2368">
        <v>-7.1031029999999995E-2</v>
      </c>
      <c r="S2368">
        <v>-3.0351560000000002</v>
      </c>
      <c r="T2368">
        <v>-9.9035739999999997E-2</v>
      </c>
      <c r="U2368">
        <v>-0.36618040000000002</v>
      </c>
      <c r="V2368">
        <v>-7.5853080000000003E-2</v>
      </c>
      <c r="W2368">
        <v>0.1676773</v>
      </c>
      <c r="X2368">
        <v>0.98291949999999995</v>
      </c>
      <c r="Y2368">
        <v>-0.124581399999999</v>
      </c>
      <c r="Z2368">
        <v>-2.793181E-3</v>
      </c>
      <c r="AA2368">
        <v>0.99220540000000002</v>
      </c>
      <c r="AB2368">
        <v>38</v>
      </c>
      <c r="AC2368">
        <v>-33.776200000000003</v>
      </c>
      <c r="AD2368">
        <v>-1.10946626719</v>
      </c>
      <c r="AE2368">
        <v>-4.1032999999999902</v>
      </c>
      <c r="AF2368">
        <v>-4.2651808305678003</v>
      </c>
      <c r="AG2368">
        <v>-1.10946626719</v>
      </c>
      <c r="AH2368">
        <v>33.719713519641601</v>
      </c>
      <c r="AI2368">
        <v>91.869613886016197</v>
      </c>
      <c r="AJ2368">
        <v>97.209015156963801</v>
      </c>
      <c r="AK2368">
        <v>34.006495890670301</v>
      </c>
      <c r="AL2368">
        <v>80.347200797994205</v>
      </c>
      <c r="AM2368">
        <v>94.4128380211409</v>
      </c>
      <c r="AN2368">
        <v>1.0000000550805099</v>
      </c>
    </row>
    <row r="2369" spans="1:40" x14ac:dyDescent="0.25">
      <c r="A2369" t="str">
        <f>"20190304155640282"</f>
        <v>20190304155640282</v>
      </c>
      <c r="B2369" t="str">
        <f>"1551686200276648"</f>
        <v>1551686200276648</v>
      </c>
      <c r="C2369" t="s">
        <v>40</v>
      </c>
      <c r="D2369">
        <v>4.6226149999999997</v>
      </c>
      <c r="E2369">
        <v>0.48158990000000002</v>
      </c>
      <c r="F2369" t="s">
        <v>55</v>
      </c>
      <c r="G2369">
        <v>-391.24130000000002</v>
      </c>
      <c r="H2369" s="1">
        <v>-8.7622039999999996E-7</v>
      </c>
      <c r="I2369">
        <v>280.2448</v>
      </c>
      <c r="J2369">
        <v>-356.94400000000002</v>
      </c>
      <c r="K2369">
        <v>1.1094649999999999</v>
      </c>
      <c r="L2369">
        <v>284.35669999999999</v>
      </c>
      <c r="M2369">
        <v>-0.99993189999999998</v>
      </c>
      <c r="N2369">
        <v>-1.05585E-2</v>
      </c>
      <c r="O2369">
        <v>4.9594950000000004E-3</v>
      </c>
      <c r="P2369">
        <v>-0.98500259999999995</v>
      </c>
      <c r="Q2369">
        <v>0.15717519999999999</v>
      </c>
      <c r="R2369">
        <v>-7.1172310000000003E-2</v>
      </c>
      <c r="S2369">
        <v>-3.0352480000000002</v>
      </c>
      <c r="T2369">
        <v>-9.7577810000000001E-2</v>
      </c>
      <c r="U2369">
        <v>-0.36154170000000002</v>
      </c>
      <c r="V2369">
        <v>-7.6025480000000006E-2</v>
      </c>
      <c r="W2369">
        <v>0.16757710000000001</v>
      </c>
      <c r="X2369">
        <v>0.9829232</v>
      </c>
      <c r="Y2369">
        <v>-0.12311709999999999</v>
      </c>
      <c r="Z2369">
        <v>-2.7306959999999999E-3</v>
      </c>
      <c r="AA2369">
        <v>0.99238839999999995</v>
      </c>
      <c r="AB2369">
        <v>38</v>
      </c>
      <c r="AC2369">
        <v>-34.2973</v>
      </c>
      <c r="AD2369">
        <v>-1.1094658762203999</v>
      </c>
      <c r="AE2369">
        <v>-4.1118999999999897</v>
      </c>
      <c r="AF2369">
        <v>-4.2775435033129598</v>
      </c>
      <c r="AG2369">
        <v>-1.1094658762203999</v>
      </c>
      <c r="AH2369">
        <v>34.241160985088896</v>
      </c>
      <c r="AI2369">
        <v>91.841517662090197</v>
      </c>
      <c r="AJ2369">
        <v>97.120729988721607</v>
      </c>
      <c r="AK2369">
        <v>34.525141542939501</v>
      </c>
      <c r="AL2369">
        <v>80.353023576298995</v>
      </c>
      <c r="AM2369">
        <v>94.422811251709902</v>
      </c>
      <c r="AN2369">
        <v>0.99999998757594</v>
      </c>
    </row>
    <row r="2370" spans="1:40" x14ac:dyDescent="0.25">
      <c r="A2370" t="str">
        <f>"20190304155640296"</f>
        <v>20190304155640296</v>
      </c>
      <c r="B2370" t="str">
        <f>"1551686200287384"</f>
        <v>1551686200287384</v>
      </c>
      <c r="C2370" t="s">
        <v>40</v>
      </c>
      <c r="D2370">
        <v>4.6249890000000002</v>
      </c>
      <c r="E2370">
        <v>0.4817089</v>
      </c>
      <c r="F2370" t="s">
        <v>55</v>
      </c>
      <c r="G2370">
        <v>-391.6567</v>
      </c>
      <c r="H2370" s="1">
        <v>-6.5518189999999998E-7</v>
      </c>
      <c r="I2370">
        <v>280.23930000000001</v>
      </c>
      <c r="J2370">
        <v>-357.16910000000001</v>
      </c>
      <c r="K2370">
        <v>1.109467</v>
      </c>
      <c r="L2370">
        <v>284.3578</v>
      </c>
      <c r="M2370">
        <v>-0.99993189999999998</v>
      </c>
      <c r="N2370">
        <v>-1.0560999999999999E-2</v>
      </c>
      <c r="O2370">
        <v>4.9924409999999898E-3</v>
      </c>
      <c r="P2370">
        <v>-0.98498419999999998</v>
      </c>
      <c r="Q2370">
        <v>0.15729689999999999</v>
      </c>
      <c r="R2370">
        <v>-7.1163329999999997E-2</v>
      </c>
      <c r="S2370">
        <v>-3.0351870000000001</v>
      </c>
      <c r="T2370">
        <v>-9.7008709999999998E-2</v>
      </c>
      <c r="U2370">
        <v>-0.3600159</v>
      </c>
      <c r="V2370">
        <v>-7.6048699999999997E-2</v>
      </c>
      <c r="W2370">
        <v>0.16770119999999999</v>
      </c>
      <c r="X2370">
        <v>0.98290029999999995</v>
      </c>
      <c r="Y2370">
        <v>-0.1226613</v>
      </c>
      <c r="Z2370">
        <v>-2.7095309999999998E-3</v>
      </c>
      <c r="AA2370">
        <v>0.99244489999999996</v>
      </c>
      <c r="AB2370">
        <v>38</v>
      </c>
      <c r="AC2370">
        <v>-34.487599999999901</v>
      </c>
      <c r="AD2370">
        <v>-1.1094676551819</v>
      </c>
      <c r="AE2370">
        <v>-4.1184999999999796</v>
      </c>
      <c r="AF2370">
        <v>-4.2862620244927703</v>
      </c>
      <c r="AG2370">
        <v>-1.1094676551819</v>
      </c>
      <c r="AH2370">
        <v>34.4314751315314</v>
      </c>
      <c r="AI2370">
        <v>91.831447142603807</v>
      </c>
      <c r="AJ2370">
        <v>97.0960592039836</v>
      </c>
      <c r="AK2370">
        <v>34.714974295738301</v>
      </c>
      <c r="AL2370">
        <v>80.345811695859197</v>
      </c>
      <c r="AM2370">
        <v>94.424259388376598</v>
      </c>
      <c r="AN2370">
        <v>1.0000000484966001</v>
      </c>
    </row>
    <row r="2371" spans="1:40" x14ac:dyDescent="0.25">
      <c r="A2371" t="str">
        <f>"20190304155640307"</f>
        <v>20190304155640307</v>
      </c>
      <c r="B2371" t="str">
        <f>"1551686200297145"</f>
        <v>1551686200297145</v>
      </c>
      <c r="C2371" t="s">
        <v>40</v>
      </c>
      <c r="D2371">
        <v>4.6197400000000002</v>
      </c>
      <c r="E2371">
        <v>0.48181639999999998</v>
      </c>
      <c r="F2371" t="s">
        <v>55</v>
      </c>
      <c r="G2371">
        <v>-392.23379999999997</v>
      </c>
      <c r="H2371" s="1">
        <v>-3.4805980000000002E-7</v>
      </c>
      <c r="I2371">
        <v>280.2099</v>
      </c>
      <c r="J2371">
        <v>-357.39710000000002</v>
      </c>
      <c r="K2371">
        <v>1.1094649999999999</v>
      </c>
      <c r="L2371">
        <v>284.35899999999998</v>
      </c>
      <c r="M2371">
        <v>-0.99993169999999998</v>
      </c>
      <c r="N2371">
        <v>-1.056354E-2</v>
      </c>
      <c r="O2371">
        <v>5.025865E-3</v>
      </c>
      <c r="P2371">
        <v>-0.98495820000000001</v>
      </c>
      <c r="Q2371">
        <v>0.15745129999999999</v>
      </c>
      <c r="R2371">
        <v>-7.1180080000000007E-2</v>
      </c>
      <c r="S2371">
        <v>-3.0351560000000002</v>
      </c>
      <c r="T2371">
        <v>-9.6033930000000003E-2</v>
      </c>
      <c r="U2371">
        <v>-0.35903930000000001</v>
      </c>
      <c r="V2371">
        <v>-7.6098669999999993E-2</v>
      </c>
      <c r="W2371">
        <v>0.16785729999999999</v>
      </c>
      <c r="X2371">
        <v>0.98286969999999996</v>
      </c>
      <c r="Y2371">
        <v>-0.1223824</v>
      </c>
      <c r="Z2371">
        <v>-2.6833349999999998E-3</v>
      </c>
      <c r="AA2371">
        <v>0.99247940000000001</v>
      </c>
      <c r="AB2371">
        <v>38</v>
      </c>
      <c r="AC2371">
        <v>-34.836699999999901</v>
      </c>
      <c r="AD2371">
        <v>-1.1094653480598</v>
      </c>
      <c r="AE2371">
        <v>-4.14910000000003</v>
      </c>
      <c r="AF2371">
        <v>-4.3198217087603004</v>
      </c>
      <c r="AG2371">
        <v>-1.1094653480598</v>
      </c>
      <c r="AH2371">
        <v>34.780622471675002</v>
      </c>
      <c r="AI2371">
        <v>91.813133798844802</v>
      </c>
      <c r="AJ2371">
        <v>97.079991432522903</v>
      </c>
      <c r="AK2371">
        <v>35.065417044022198</v>
      </c>
      <c r="AL2371">
        <v>80.336738394291501</v>
      </c>
      <c r="AM2371">
        <v>94.427292206733298</v>
      </c>
      <c r="AN2371">
        <v>0.99999996395857305</v>
      </c>
    </row>
    <row r="2372" spans="1:40" x14ac:dyDescent="0.25">
      <c r="A2372" t="str">
        <f>"20190304155640324"</f>
        <v>20190304155640324</v>
      </c>
      <c r="B2372" t="str">
        <f>"1551686200316664"</f>
        <v>1551686200316664</v>
      </c>
      <c r="C2372" t="s">
        <v>40</v>
      </c>
      <c r="D2372">
        <v>4.6035899999999996</v>
      </c>
      <c r="E2372">
        <v>0.48189959999999998</v>
      </c>
      <c r="F2372" t="s">
        <v>55</v>
      </c>
      <c r="G2372">
        <v>-393.03379999999999</v>
      </c>
      <c r="H2372" s="1">
        <v>7.767164E-8</v>
      </c>
      <c r="I2372">
        <v>280.15289999999999</v>
      </c>
      <c r="J2372">
        <v>-357.65769999999998</v>
      </c>
      <c r="K2372">
        <v>1.1094599999999999</v>
      </c>
      <c r="L2372">
        <v>284.3603</v>
      </c>
      <c r="M2372">
        <v>-0.99993129999999997</v>
      </c>
      <c r="N2372">
        <v>-1.056642E-2</v>
      </c>
      <c r="O2372">
        <v>5.0642329999999996E-3</v>
      </c>
      <c r="P2372">
        <v>-0.98499700000000001</v>
      </c>
      <c r="Q2372">
        <v>0.15715399999999999</v>
      </c>
      <c r="R2372">
        <v>-7.1299180000000004E-2</v>
      </c>
      <c r="S2372">
        <v>-3.035034</v>
      </c>
      <c r="T2372">
        <v>-9.4488500000000003E-2</v>
      </c>
      <c r="U2372">
        <v>-0.35821530000000001</v>
      </c>
      <c r="V2372">
        <v>-7.6255779999999995E-2</v>
      </c>
      <c r="W2372">
        <v>0.1675635</v>
      </c>
      <c r="X2372">
        <v>0.98290770000000005</v>
      </c>
      <c r="Y2372">
        <v>-0.1221618</v>
      </c>
      <c r="Z2372">
        <v>-2.6462170000000002E-3</v>
      </c>
      <c r="AA2372">
        <v>0.99250669999999996</v>
      </c>
      <c r="AB2372">
        <v>38</v>
      </c>
      <c r="AC2372">
        <v>-35.376100000000001</v>
      </c>
      <c r="AD2372">
        <v>-1.1094599223283601</v>
      </c>
      <c r="AE2372">
        <v>-4.2073999999999998</v>
      </c>
      <c r="AF2372">
        <v>-4.3822587447572401</v>
      </c>
      <c r="AG2372">
        <v>-1.1094599223283601</v>
      </c>
      <c r="AH2372">
        <v>35.320082790923202</v>
      </c>
      <c r="AI2372">
        <v>91.7854784802457</v>
      </c>
      <c r="AJ2372">
        <v>97.072698538540607</v>
      </c>
      <c r="AK2372">
        <v>35.608192054398401</v>
      </c>
      <c r="AL2372">
        <v>80.3538141799567</v>
      </c>
      <c r="AM2372">
        <v>94.436225319267393</v>
      </c>
      <c r="AN2372">
        <v>1.0000000086174701</v>
      </c>
    </row>
    <row r="2373" spans="1:40" x14ac:dyDescent="0.25">
      <c r="A2373" t="str">
        <f>"20190304155640346"</f>
        <v>20190304155640346</v>
      </c>
      <c r="B2373" t="str">
        <f>"1551686200337163"</f>
        <v>1551686200337163</v>
      </c>
      <c r="C2373" t="s">
        <v>40</v>
      </c>
      <c r="D2373">
        <v>4.5986640000000003</v>
      </c>
      <c r="E2373">
        <v>0.481993</v>
      </c>
      <c r="F2373" t="s">
        <v>55</v>
      </c>
      <c r="G2373">
        <v>-393.7559</v>
      </c>
      <c r="H2373" s="1">
        <v>4.619159E-7</v>
      </c>
      <c r="I2373">
        <v>280.10070000000002</v>
      </c>
      <c r="J2373">
        <v>-358.04020000000003</v>
      </c>
      <c r="K2373">
        <v>1.109464</v>
      </c>
      <c r="L2373">
        <v>284.3623</v>
      </c>
      <c r="M2373">
        <v>-0.99993100000000001</v>
      </c>
      <c r="N2373">
        <v>-1.0570690000000001E-2</v>
      </c>
      <c r="O2373">
        <v>5.1198219999999996E-3</v>
      </c>
      <c r="P2373">
        <v>-0.98507029999999995</v>
      </c>
      <c r="Q2373">
        <v>0.15666959999999999</v>
      </c>
      <c r="R2373">
        <v>-7.1351890000000001E-2</v>
      </c>
      <c r="S2373">
        <v>-3.0346679999999999</v>
      </c>
      <c r="T2373">
        <v>-9.3268989999999996E-2</v>
      </c>
      <c r="U2373">
        <v>-0.3580933</v>
      </c>
      <c r="V2373">
        <v>-7.6363799999999996E-2</v>
      </c>
      <c r="W2373">
        <v>0.16708399999999901</v>
      </c>
      <c r="X2373">
        <v>0.98298090000000005</v>
      </c>
      <c r="Y2373">
        <v>-0.1221933</v>
      </c>
      <c r="Z2373">
        <v>-2.621997E-3</v>
      </c>
      <c r="AA2373">
        <v>0.99250289999999997</v>
      </c>
      <c r="AB2373">
        <v>38</v>
      </c>
      <c r="AC2373">
        <v>-35.715699999999899</v>
      </c>
      <c r="AD2373">
        <v>-1.1094635380841</v>
      </c>
      <c r="AE2373">
        <v>-4.2615999999999801</v>
      </c>
      <c r="AF2373">
        <v>-4.4401879436486</v>
      </c>
      <c r="AG2373">
        <v>-1.1094635380841</v>
      </c>
      <c r="AH2373">
        <v>35.659485165113303</v>
      </c>
      <c r="AI2373">
        <v>91.768405166624405</v>
      </c>
      <c r="AJ2373">
        <v>97.0977283780785</v>
      </c>
      <c r="AK2373">
        <v>35.951982706913398</v>
      </c>
      <c r="AL2373">
        <v>80.381680002102499</v>
      </c>
      <c r="AM2373">
        <v>94.442154812879707</v>
      </c>
      <c r="AN2373">
        <v>0.99999997138562402</v>
      </c>
    </row>
    <row r="2374" spans="1:40" x14ac:dyDescent="0.25">
      <c r="A2374" t="str">
        <f>"20190304155640360"</f>
        <v>20190304155640360</v>
      </c>
      <c r="B2374" t="str">
        <f>"1551686200356681"</f>
        <v>1551686200356681</v>
      </c>
      <c r="C2374" t="s">
        <v>40</v>
      </c>
      <c r="D2374">
        <v>4.6146279999999997</v>
      </c>
      <c r="E2374">
        <v>0.48208259999999997</v>
      </c>
      <c r="F2374" t="s">
        <v>55</v>
      </c>
      <c r="G2374">
        <v>-394.35</v>
      </c>
      <c r="H2374" s="1">
        <v>7.7806209999999996E-7</v>
      </c>
      <c r="I2374">
        <v>280.08789999999999</v>
      </c>
      <c r="J2374">
        <v>-358.27690000000001</v>
      </c>
      <c r="K2374">
        <v>1.1094660000000001</v>
      </c>
      <c r="L2374">
        <v>284.36349999999999</v>
      </c>
      <c r="M2374">
        <v>-0.99993089999999996</v>
      </c>
      <c r="N2374">
        <v>-1.057336E-2</v>
      </c>
      <c r="O2374">
        <v>5.1544959999999997E-3</v>
      </c>
      <c r="P2374">
        <v>-0.98508580000000001</v>
      </c>
      <c r="Q2374">
        <v>0.1564837</v>
      </c>
      <c r="R2374">
        <v>-7.1548920000000002E-2</v>
      </c>
      <c r="S2374">
        <v>-3.0343629999999999</v>
      </c>
      <c r="T2374">
        <v>-9.2716339999999994E-2</v>
      </c>
      <c r="U2374">
        <v>-0.35720829999999998</v>
      </c>
      <c r="V2374">
        <v>-7.6594930000000006E-2</v>
      </c>
      <c r="W2374">
        <v>0.16690060000000001</v>
      </c>
      <c r="X2374">
        <v>0.98299409999999998</v>
      </c>
      <c r="Y2374">
        <v>-0.1219547</v>
      </c>
      <c r="Z2374">
        <v>-2.6061529999999999E-3</v>
      </c>
      <c r="AA2374">
        <v>0.99253230000000003</v>
      </c>
      <c r="AB2374">
        <v>38</v>
      </c>
      <c r="AC2374">
        <v>-36.073099999999997</v>
      </c>
      <c r="AD2374">
        <v>-1.1094652219379</v>
      </c>
      <c r="AE2374">
        <v>-4.2755999999999901</v>
      </c>
      <c r="AF2374">
        <v>-4.45733429471899</v>
      </c>
      <c r="AG2374">
        <v>-1.1094652219379</v>
      </c>
      <c r="AH2374">
        <v>36.016983274705296</v>
      </c>
      <c r="AI2374">
        <v>91.751028483535293</v>
      </c>
      <c r="AJ2374">
        <v>97.054852112663696</v>
      </c>
      <c r="AK2374">
        <v>36.308701798659399</v>
      </c>
      <c r="AL2374">
        <v>80.392337951157899</v>
      </c>
      <c r="AM2374">
        <v>94.455486217969494</v>
      </c>
      <c r="AN2374">
        <v>0.99999999710843701</v>
      </c>
    </row>
    <row r="2375" spans="1:40" x14ac:dyDescent="0.25">
      <c r="A2375" t="str">
        <f>"20190304155640374"</f>
        <v>20190304155640374</v>
      </c>
      <c r="B2375" t="str">
        <f>"1551686200367416"</f>
        <v>1551686200367416</v>
      </c>
      <c r="C2375" t="s">
        <v>40</v>
      </c>
      <c r="D2375">
        <v>4.5925260000000003</v>
      </c>
      <c r="E2375">
        <v>0.48210960000000003</v>
      </c>
      <c r="F2375" t="s">
        <v>55</v>
      </c>
      <c r="G2375">
        <v>-394.76710000000003</v>
      </c>
      <c r="H2375" s="1">
        <v>1.000031E-6</v>
      </c>
      <c r="I2375">
        <v>280.07010000000002</v>
      </c>
      <c r="J2375">
        <v>-358.51339999999999</v>
      </c>
      <c r="K2375">
        <v>1.109467</v>
      </c>
      <c r="L2375">
        <v>284.3648</v>
      </c>
      <c r="M2375">
        <v>-0.99993069999999895</v>
      </c>
      <c r="N2375">
        <v>-1.057603E-2</v>
      </c>
      <c r="O2375">
        <v>5.1892290000000001E-3</v>
      </c>
      <c r="P2375">
        <v>-0.98509089999999999</v>
      </c>
      <c r="Q2375">
        <v>0.15636549999999999</v>
      </c>
      <c r="R2375">
        <v>-7.173467E-2</v>
      </c>
      <c r="S2375">
        <v>-3.0341490000000002</v>
      </c>
      <c r="T2375">
        <v>-9.2251540000000007E-2</v>
      </c>
      <c r="U2375">
        <v>-0.3569946</v>
      </c>
      <c r="V2375">
        <v>-7.6814399999999894E-2</v>
      </c>
      <c r="W2375">
        <v>0.1667854</v>
      </c>
      <c r="X2375">
        <v>0.98299650000000005</v>
      </c>
      <c r="Y2375">
        <v>-0.1219291</v>
      </c>
      <c r="Z2375">
        <v>-2.5965200000000002E-3</v>
      </c>
      <c r="AA2375">
        <v>0.99253539999999996</v>
      </c>
      <c r="AB2375">
        <v>38</v>
      </c>
      <c r="AC2375">
        <v>-36.253700000000002</v>
      </c>
      <c r="AD2375">
        <v>-1.109465999969</v>
      </c>
      <c r="AE2375">
        <v>-4.2946999999999704</v>
      </c>
      <c r="AF2375">
        <v>-4.4786450709407601</v>
      </c>
      <c r="AG2375">
        <v>-1.109465999969</v>
      </c>
      <c r="AH2375">
        <v>36.197493377599102</v>
      </c>
      <c r="AI2375">
        <v>91.742309079696497</v>
      </c>
      <c r="AJ2375">
        <v>97.053248663808205</v>
      </c>
      <c r="AK2375">
        <v>36.490378229032999</v>
      </c>
      <c r="AL2375">
        <v>80.399031996592697</v>
      </c>
      <c r="AM2375">
        <v>94.468190181509996</v>
      </c>
      <c r="AN2375">
        <v>0.99999997035638399</v>
      </c>
    </row>
    <row r="2376" spans="1:40" x14ac:dyDescent="0.25">
      <c r="A2376" t="str">
        <f>"20190304155640385"</f>
        <v>20190304155640385</v>
      </c>
      <c r="B2376" t="str">
        <f>"1551686200377176"</f>
        <v>1551686200377176</v>
      </c>
      <c r="C2376" t="s">
        <v>40</v>
      </c>
      <c r="D2376">
        <v>4.6308930000000004</v>
      </c>
      <c r="E2376">
        <v>0.48216209999999998</v>
      </c>
      <c r="F2376" t="s">
        <v>55</v>
      </c>
      <c r="G2376">
        <v>-395.07389999999998</v>
      </c>
      <c r="H2376" s="1">
        <v>1.1632670000000001E-6</v>
      </c>
      <c r="I2376">
        <v>280.06029999999998</v>
      </c>
      <c r="J2376">
        <v>-358.71699999999998</v>
      </c>
      <c r="K2376">
        <v>1.1094660000000001</v>
      </c>
      <c r="L2376">
        <v>284.36590000000001</v>
      </c>
      <c r="M2376">
        <v>-0.9999306</v>
      </c>
      <c r="N2376">
        <v>-1.057833E-2</v>
      </c>
      <c r="O2376">
        <v>5.2190179999999997E-3</v>
      </c>
      <c r="P2376">
        <v>-0.98510010000000003</v>
      </c>
      <c r="Q2376">
        <v>0.15628040000000001</v>
      </c>
      <c r="R2376">
        <v>-7.1792720000000004E-2</v>
      </c>
      <c r="S2376">
        <v>-3.0339659999999999</v>
      </c>
      <c r="T2376">
        <v>-9.2068910000000004E-2</v>
      </c>
      <c r="U2376">
        <v>-0.35720829999999998</v>
      </c>
      <c r="V2376">
        <v>-7.6902209999999999E-2</v>
      </c>
      <c r="W2376">
        <v>0.16670270000000001</v>
      </c>
      <c r="X2376">
        <v>0.98300370000000004</v>
      </c>
      <c r="Y2376">
        <v>-0.1220347</v>
      </c>
      <c r="Z2376">
        <v>-2.5955420000000002E-3</v>
      </c>
      <c r="AA2376">
        <v>0.99252240000000003</v>
      </c>
      <c r="AB2376">
        <v>38</v>
      </c>
      <c r="AC2376">
        <v>-36.356900000000003</v>
      </c>
      <c r="AD2376">
        <v>-1.109464836733</v>
      </c>
      <c r="AE2376">
        <v>-4.3056000000000196</v>
      </c>
      <c r="AF2376">
        <v>-4.4911748166371499</v>
      </c>
      <c r="AG2376">
        <v>-1.109464836733</v>
      </c>
      <c r="AH2376">
        <v>36.300596143028898</v>
      </c>
      <c r="AI2376">
        <v>91.737363026016993</v>
      </c>
      <c r="AJ2376">
        <v>97.052895841253502</v>
      </c>
      <c r="AK2376">
        <v>36.594191394220303</v>
      </c>
      <c r="AL2376">
        <v>80.403837992058001</v>
      </c>
      <c r="AM2376">
        <v>94.473244620277399</v>
      </c>
      <c r="AN2376">
        <v>1.0000000071519299</v>
      </c>
    </row>
    <row r="2377" spans="1:40" x14ac:dyDescent="0.25">
      <c r="A2377" t="str">
        <f>"20190304155640402"</f>
        <v>20190304155640402</v>
      </c>
      <c r="B2377" t="str">
        <f>"1551686200396696"</f>
        <v>1551686200396696</v>
      </c>
      <c r="C2377" t="s">
        <v>40</v>
      </c>
      <c r="D2377">
        <v>4.615272</v>
      </c>
      <c r="E2377">
        <v>0.48219800000000002</v>
      </c>
      <c r="F2377" t="s">
        <v>55</v>
      </c>
      <c r="G2377">
        <v>-395.38490000000002</v>
      </c>
      <c r="H2377" s="1">
        <v>1.3287979999999901E-6</v>
      </c>
      <c r="I2377">
        <v>280.05459999999999</v>
      </c>
      <c r="J2377">
        <v>-358.9932</v>
      </c>
      <c r="K2377">
        <v>1.109461</v>
      </c>
      <c r="L2377">
        <v>284.36739999999998</v>
      </c>
      <c r="M2377">
        <v>-0.99993019999999999</v>
      </c>
      <c r="N2377">
        <v>-1.058127E-2</v>
      </c>
      <c r="O2377">
        <v>5.2595330000000003E-3</v>
      </c>
      <c r="P2377">
        <v>-0.98514939999999995</v>
      </c>
      <c r="Q2377">
        <v>0.15580639999999901</v>
      </c>
      <c r="R2377">
        <v>-7.2147909999999996E-2</v>
      </c>
      <c r="S2377">
        <v>-3.0339360000000002</v>
      </c>
      <c r="T2377">
        <v>-9.1798190000000002E-2</v>
      </c>
      <c r="U2377">
        <v>-0.35671999999999998</v>
      </c>
      <c r="V2377">
        <v>-7.7297959999999999E-2</v>
      </c>
      <c r="W2377">
        <v>0.16623199999999999</v>
      </c>
      <c r="X2377">
        <v>0.98305240000000005</v>
      </c>
      <c r="Y2377">
        <v>-0.121919</v>
      </c>
      <c r="Z2377">
        <v>-2.5882869999999999E-3</v>
      </c>
      <c r="AA2377">
        <v>0.99253670000000005</v>
      </c>
      <c r="AB2377">
        <v>38</v>
      </c>
      <c r="AC2377">
        <v>-36.3917</v>
      </c>
      <c r="AD2377">
        <v>-1.109459671202</v>
      </c>
      <c r="AE2377">
        <v>-4.3127999999999798</v>
      </c>
      <c r="AF2377">
        <v>-4.50002985066478</v>
      </c>
      <c r="AG2377">
        <v>-1.109459671202</v>
      </c>
      <c r="AH2377">
        <v>36.335208586209802</v>
      </c>
      <c r="AI2377">
        <v>91.735674358971195</v>
      </c>
      <c r="AJ2377">
        <v>97.059997594127694</v>
      </c>
      <c r="AK2377">
        <v>36.629613053133298</v>
      </c>
      <c r="AL2377">
        <v>80.431189027775304</v>
      </c>
      <c r="AM2377">
        <v>94.495948616603698</v>
      </c>
      <c r="AN2377">
        <v>1.00000003679496</v>
      </c>
    </row>
    <row r="2378" spans="1:40" x14ac:dyDescent="0.25">
      <c r="A2378" t="str">
        <f>"20190304155640414"</f>
        <v>20190304155640414</v>
      </c>
      <c r="B2378" t="str">
        <f>"1551686200407433"</f>
        <v>1551686200407433</v>
      </c>
      <c r="C2378" t="s">
        <v>40</v>
      </c>
      <c r="D2378">
        <v>4.5923470000000002</v>
      </c>
      <c r="E2378">
        <v>0.48221710000000001</v>
      </c>
      <c r="F2378" t="s">
        <v>55</v>
      </c>
      <c r="G2378">
        <v>-395.45949999999999</v>
      </c>
      <c r="H2378" s="1">
        <v>1.368496E-6</v>
      </c>
      <c r="I2378">
        <v>280.06729999999999</v>
      </c>
      <c r="J2378">
        <v>-359.20580000000001</v>
      </c>
      <c r="K2378">
        <v>1.109459</v>
      </c>
      <c r="L2378">
        <v>284.36849999999998</v>
      </c>
      <c r="M2378">
        <v>-0.99993010000000004</v>
      </c>
      <c r="N2378">
        <v>-1.0583540000000001E-2</v>
      </c>
      <c r="O2378">
        <v>5.2904550000000003E-3</v>
      </c>
      <c r="P2378">
        <v>-0.98517449999999995</v>
      </c>
      <c r="Q2378">
        <v>0.15561220000000001</v>
      </c>
      <c r="R2378">
        <v>-7.2224179999999999E-2</v>
      </c>
      <c r="S2378">
        <v>-3.0336609999999999</v>
      </c>
      <c r="T2378">
        <v>-9.2296840000000005E-2</v>
      </c>
      <c r="U2378">
        <v>-0.35772710000000002</v>
      </c>
      <c r="V2378">
        <v>-7.7404559999999997E-2</v>
      </c>
      <c r="W2378">
        <v>0.16604070000000001</v>
      </c>
      <c r="X2378">
        <v>0.98307630000000001</v>
      </c>
      <c r="Y2378">
        <v>-0.12228410000000001</v>
      </c>
      <c r="Z2378">
        <v>-2.6074959999999999E-3</v>
      </c>
      <c r="AA2378">
        <v>0.99249169999999998</v>
      </c>
      <c r="AB2378">
        <v>38</v>
      </c>
      <c r="AC2378">
        <v>-36.253699999999903</v>
      </c>
      <c r="AD2378">
        <v>-1.1094576315039999</v>
      </c>
      <c r="AE2378">
        <v>-4.3011999999999899</v>
      </c>
      <c r="AF2378">
        <v>-4.4888035912202797</v>
      </c>
      <c r="AG2378">
        <v>-1.1094576315039999</v>
      </c>
      <c r="AH2378">
        <v>36.197007349432702</v>
      </c>
      <c r="AI2378">
        <v>91.742259357246894</v>
      </c>
      <c r="AJ2378">
        <v>97.069179211222604</v>
      </c>
      <c r="AK2378">
        <v>36.491144062245297</v>
      </c>
      <c r="AL2378">
        <v>80.442303784039296</v>
      </c>
      <c r="AM2378">
        <v>94.502014409452997</v>
      </c>
      <c r="AN2378">
        <v>0.99999999579348597</v>
      </c>
    </row>
    <row r="2379" spans="1:40" x14ac:dyDescent="0.25">
      <c r="A2379" t="str">
        <f>"20190304155640428"</f>
        <v>20190304155640428</v>
      </c>
      <c r="B2379" t="str">
        <f>"1551686200417192"</f>
        <v>1551686200417192</v>
      </c>
      <c r="C2379" t="s">
        <v>40</v>
      </c>
      <c r="D2379">
        <v>4.6045400000000001</v>
      </c>
      <c r="E2379">
        <v>0.48223519999999997</v>
      </c>
      <c r="F2379" t="s">
        <v>55</v>
      </c>
      <c r="G2379">
        <v>-395.64139999999998</v>
      </c>
      <c r="H2379" s="1">
        <v>1.465285E-6</v>
      </c>
      <c r="I2379">
        <v>280.07080000000002</v>
      </c>
      <c r="J2379">
        <v>-359.4538</v>
      </c>
      <c r="K2379">
        <v>1.1094580000000001</v>
      </c>
      <c r="L2379">
        <v>284.3698</v>
      </c>
      <c r="M2379">
        <v>-0.99992990000000004</v>
      </c>
      <c r="N2379">
        <v>-1.058628E-2</v>
      </c>
      <c r="O2379">
        <v>5.3267399999999999E-3</v>
      </c>
      <c r="P2379">
        <v>-0.98523550000000004</v>
      </c>
      <c r="Q2379">
        <v>0.1552761</v>
      </c>
      <c r="R2379">
        <v>-7.2116100000000002E-2</v>
      </c>
      <c r="S2379">
        <v>-3.0335390000000002</v>
      </c>
      <c r="T2379">
        <v>-9.2370629999999995E-2</v>
      </c>
      <c r="U2379">
        <v>-0.35781859999999999</v>
      </c>
      <c r="V2379">
        <v>-7.733255E-2</v>
      </c>
      <c r="W2379">
        <v>0.165707299999999</v>
      </c>
      <c r="X2379">
        <v>0.98313819999999996</v>
      </c>
      <c r="Y2379">
        <v>-0.12235409999999999</v>
      </c>
      <c r="Z2379">
        <v>-2.6114900000000002E-3</v>
      </c>
      <c r="AA2379">
        <v>0.99248309999999995</v>
      </c>
      <c r="AB2379">
        <v>38</v>
      </c>
      <c r="AC2379">
        <v>-36.187599999999897</v>
      </c>
      <c r="AD2379">
        <v>-1.1094565347150001</v>
      </c>
      <c r="AE2379">
        <v>-4.2989999999999702</v>
      </c>
      <c r="AF2379">
        <v>-4.4875523787945797</v>
      </c>
      <c r="AG2379">
        <v>-1.1094565347150001</v>
      </c>
      <c r="AH2379">
        <v>36.130697463254698</v>
      </c>
      <c r="AI2379">
        <v>91.745412047278904</v>
      </c>
      <c r="AJ2379">
        <v>97.080067489066096</v>
      </c>
      <c r="AK2379">
        <v>36.42521543294</v>
      </c>
      <c r="AL2379">
        <v>80.461674354675793</v>
      </c>
      <c r="AM2379">
        <v>94.497561318221102</v>
      </c>
      <c r="AN2379">
        <v>0.99999997643101501</v>
      </c>
    </row>
    <row r="2380" spans="1:40" x14ac:dyDescent="0.25">
      <c r="A2380" t="str">
        <f>"20190304155640448"</f>
        <v>20190304155640448</v>
      </c>
      <c r="B2380" t="str">
        <f>"1551686200436712"</f>
        <v>1551686200436712</v>
      </c>
      <c r="C2380" t="s">
        <v>40</v>
      </c>
      <c r="D2380">
        <v>4.5942369999999997</v>
      </c>
      <c r="E2380">
        <v>0.48224099999999998</v>
      </c>
      <c r="F2380" t="s">
        <v>55</v>
      </c>
      <c r="G2380">
        <v>-395.68</v>
      </c>
      <c r="H2380" s="1">
        <v>1.4858E-6</v>
      </c>
      <c r="I2380">
        <v>280.10390000000001</v>
      </c>
      <c r="J2380">
        <v>-359.77109999999999</v>
      </c>
      <c r="K2380">
        <v>1.109453</v>
      </c>
      <c r="L2380">
        <v>284.3716</v>
      </c>
      <c r="M2380">
        <v>-0.99992959999999997</v>
      </c>
      <c r="N2380">
        <v>-1.0589980000000001E-2</v>
      </c>
      <c r="O2380">
        <v>5.3729759999999998E-3</v>
      </c>
      <c r="P2380">
        <v>-0.98530700000000004</v>
      </c>
      <c r="Q2380">
        <v>0.1547077</v>
      </c>
      <c r="R2380">
        <v>-7.2361190000000006E-2</v>
      </c>
      <c r="S2380">
        <v>-3.0334469999999998</v>
      </c>
      <c r="T2380">
        <v>-9.2901830000000005E-2</v>
      </c>
      <c r="U2380">
        <v>-0.35720829999999998</v>
      </c>
      <c r="V2380">
        <v>-7.7623129999999999E-2</v>
      </c>
      <c r="W2380">
        <v>0.16514389999999901</v>
      </c>
      <c r="X2380">
        <v>0.98321009999999998</v>
      </c>
      <c r="Y2380">
        <v>-0.12220590000000001</v>
      </c>
      <c r="Z2380">
        <v>-2.6212459999999998E-3</v>
      </c>
      <c r="AA2380">
        <v>0.99250130000000003</v>
      </c>
      <c r="AB2380">
        <v>38</v>
      </c>
      <c r="AC2380">
        <v>-35.908900000000003</v>
      </c>
      <c r="AD2380">
        <v>-1.1094515142000001</v>
      </c>
      <c r="AE2380">
        <v>-4.2676999999999898</v>
      </c>
      <c r="AF2380">
        <v>-4.4563921129864701</v>
      </c>
      <c r="AG2380">
        <v>-1.1094515142000001</v>
      </c>
      <c r="AH2380">
        <v>35.851703418201502</v>
      </c>
      <c r="AI2380">
        <v>91.758957249766098</v>
      </c>
      <c r="AJ2380">
        <v>97.0855628789337</v>
      </c>
      <c r="AK2380">
        <v>36.144639316415002</v>
      </c>
      <c r="AL2380">
        <v>80.494405790821205</v>
      </c>
      <c r="AM2380">
        <v>94.514062586943894</v>
      </c>
      <c r="AN2380">
        <v>0.99999997938010798</v>
      </c>
    </row>
    <row r="2381" spans="1:40" x14ac:dyDescent="0.25">
      <c r="A2381" t="str">
        <f>"20190304155640463"</f>
        <v>20190304155640463</v>
      </c>
      <c r="B2381" t="str">
        <f>"1551686200457209"</f>
        <v>1551686200457209</v>
      </c>
      <c r="C2381" t="s">
        <v>40</v>
      </c>
      <c r="D2381">
        <v>4.8000759999999998</v>
      </c>
      <c r="E2381">
        <v>0.48325560000000001</v>
      </c>
      <c r="F2381" t="s">
        <v>55</v>
      </c>
      <c r="G2381">
        <v>-395.62090000000001</v>
      </c>
      <c r="H2381" s="1">
        <v>1.4543709999999901E-6</v>
      </c>
      <c r="I2381">
        <v>280.14170000000001</v>
      </c>
      <c r="J2381">
        <v>-360.03280000000001</v>
      </c>
      <c r="K2381">
        <v>1.1094520000000001</v>
      </c>
      <c r="L2381">
        <v>284.37299999999999</v>
      </c>
      <c r="M2381">
        <v>-0.99992919999999996</v>
      </c>
      <c r="N2381">
        <v>-1.0593119999999999E-2</v>
      </c>
      <c r="O2381">
        <v>5.4114619999999997E-3</v>
      </c>
      <c r="P2381">
        <v>-0.98528819999999995</v>
      </c>
      <c r="Q2381">
        <v>0.15477859999999999</v>
      </c>
      <c r="R2381">
        <v>-7.2463650000000004E-2</v>
      </c>
      <c r="S2381">
        <v>-3.0332029999999999</v>
      </c>
      <c r="T2381">
        <v>-9.3869330000000001E-2</v>
      </c>
      <c r="U2381">
        <v>-0.35787960000000002</v>
      </c>
      <c r="V2381">
        <v>-7.7763739999999998E-2</v>
      </c>
      <c r="W2381">
        <v>0.16521720000000001</v>
      </c>
      <c r="X2381">
        <v>0.98318669999999997</v>
      </c>
      <c r="Y2381">
        <v>-0.12246840000000001</v>
      </c>
      <c r="Z2381">
        <v>-2.6489109999999999E-3</v>
      </c>
      <c r="AA2381">
        <v>0.99246889999999999</v>
      </c>
      <c r="AB2381">
        <v>38</v>
      </c>
      <c r="AC2381">
        <v>-35.588099999999997</v>
      </c>
      <c r="AD2381">
        <v>-1.109450545629</v>
      </c>
      <c r="AE2381">
        <v>-4.2312999999999699</v>
      </c>
      <c r="AF2381">
        <v>-4.4195971221440802</v>
      </c>
      <c r="AG2381">
        <v>-1.109450545629</v>
      </c>
      <c r="AH2381">
        <v>35.530630387913199</v>
      </c>
      <c r="AI2381">
        <v>91.774821383037903</v>
      </c>
      <c r="AJ2381">
        <v>97.090508951395904</v>
      </c>
      <c r="AK2381">
        <v>35.821633337939197</v>
      </c>
      <c r="AL2381">
        <v>80.4901477590995</v>
      </c>
      <c r="AM2381">
        <v>94.522312857631306</v>
      </c>
      <c r="AN2381">
        <v>1.00000000474575</v>
      </c>
    </row>
    <row r="2382" spans="1:40" x14ac:dyDescent="0.25">
      <c r="A2382" t="str">
        <f>"20190304155640479"</f>
        <v>20190304155640479</v>
      </c>
      <c r="B2382" t="str">
        <f>"1551686200476729"</f>
        <v>1551686200476729</v>
      </c>
      <c r="C2382" t="s">
        <v>40</v>
      </c>
      <c r="D2382">
        <v>4.6920029999999997</v>
      </c>
      <c r="E2382">
        <v>0.51783170000000001</v>
      </c>
      <c r="F2382" t="s">
        <v>55</v>
      </c>
      <c r="G2382">
        <v>-396.57780000000002</v>
      </c>
      <c r="H2382" s="1">
        <v>1.96358E-6</v>
      </c>
      <c r="I2382">
        <v>280.15839999999997</v>
      </c>
      <c r="J2382">
        <v>-360.32569999999998</v>
      </c>
      <c r="K2382">
        <v>1.109453</v>
      </c>
      <c r="L2382">
        <v>284.37459999999999</v>
      </c>
      <c r="M2382">
        <v>-0.99992899999999996</v>
      </c>
      <c r="N2382">
        <v>-1.0596660000000001E-2</v>
      </c>
      <c r="O2382">
        <v>5.4544759999999998E-3</v>
      </c>
      <c r="P2382">
        <v>-0.98526729999999996</v>
      </c>
      <c r="Q2382">
        <v>0.1549277</v>
      </c>
      <c r="R2382">
        <v>-7.2428510000000002E-2</v>
      </c>
      <c r="S2382">
        <v>-3.0335390000000002</v>
      </c>
      <c r="T2382">
        <v>-9.2093709999999995E-2</v>
      </c>
      <c r="U2382">
        <v>-0.34985349999999998</v>
      </c>
      <c r="V2382">
        <v>-7.7771119999999999E-2</v>
      </c>
      <c r="W2382">
        <v>0.16536960000000001</v>
      </c>
      <c r="X2382">
        <v>0.98316049999999999</v>
      </c>
      <c r="Y2382">
        <v>-0.1199114</v>
      </c>
      <c r="Z2382">
        <v>-2.5588030000000001E-3</v>
      </c>
      <c r="AA2382">
        <v>0.99278129999999998</v>
      </c>
      <c r="AB2382">
        <v>38</v>
      </c>
      <c r="AC2382">
        <v>-36.252099999999999</v>
      </c>
      <c r="AD2382">
        <v>-1.1094510364200001</v>
      </c>
      <c r="AE2382">
        <v>-4.2162000000000104</v>
      </c>
      <c r="AF2382">
        <v>-4.4098095140822702</v>
      </c>
      <c r="AG2382">
        <v>-1.1094510364200001</v>
      </c>
      <c r="AH2382">
        <v>36.195114612845998</v>
      </c>
      <c r="AI2382">
        <v>91.742798929762003</v>
      </c>
      <c r="AJ2382">
        <v>96.946361324878893</v>
      </c>
      <c r="AK2382">
        <v>36.479632994175802</v>
      </c>
      <c r="AL2382">
        <v>80.481294147953193</v>
      </c>
      <c r="AM2382">
        <v>94.522860282788798</v>
      </c>
      <c r="AN2382">
        <v>1.00000001023523</v>
      </c>
    </row>
    <row r="2383" spans="1:40" x14ac:dyDescent="0.25">
      <c r="A2383" t="str">
        <f>"20190304155640493"</f>
        <v>20190304155640493</v>
      </c>
      <c r="B2383" t="str">
        <f>"1551686200487465"</f>
        <v>1551686200487465</v>
      </c>
      <c r="C2383" t="s">
        <v>40</v>
      </c>
      <c r="D2383">
        <v>4.6545449999999997</v>
      </c>
      <c r="E2383">
        <v>0.51834599999999997</v>
      </c>
      <c r="F2383" t="s">
        <v>64</v>
      </c>
      <c r="G2383">
        <v>-401.7919</v>
      </c>
      <c r="H2383" s="1">
        <v>7.8666599999999993E-6</v>
      </c>
      <c r="I2383">
        <v>283.36259999999999</v>
      </c>
      <c r="J2383">
        <v>-360.56389999999999</v>
      </c>
      <c r="K2383">
        <v>1.109451</v>
      </c>
      <c r="L2383">
        <v>284.3759</v>
      </c>
      <c r="M2383">
        <v>-0.99992879999999995</v>
      </c>
      <c r="N2383">
        <v>-1.0599529999999999E-2</v>
      </c>
      <c r="O2383">
        <v>5.4893880000000004E-3</v>
      </c>
      <c r="P2383">
        <v>-0.98524959999999995</v>
      </c>
      <c r="Q2383">
        <v>0.1551312</v>
      </c>
      <c r="R2383">
        <v>-7.2233610000000004E-2</v>
      </c>
      <c r="S2383">
        <v>-3.0522459999999998</v>
      </c>
      <c r="T2383">
        <v>-8.1664089999999995E-2</v>
      </c>
      <c r="U2383">
        <v>-7.4493409999999996E-2</v>
      </c>
      <c r="V2383">
        <v>-7.7610399999999996E-2</v>
      </c>
      <c r="W2383">
        <v>0.16557559999999999</v>
      </c>
      <c r="X2383">
        <v>0.98313850000000003</v>
      </c>
      <c r="Y2383">
        <v>-2.9870890000000001E-2</v>
      </c>
      <c r="Z2383">
        <v>-6.4650289999999995E-4</v>
      </c>
      <c r="AA2383">
        <v>0.99955360000000004</v>
      </c>
      <c r="AB2383">
        <v>38</v>
      </c>
      <c r="AC2383">
        <v>-41.228000000000002</v>
      </c>
      <c r="AD2383">
        <v>-1.1094431333400001</v>
      </c>
      <c r="AE2383">
        <v>-1.0133000000000101</v>
      </c>
      <c r="AF2383">
        <v>-1.2387174543864801</v>
      </c>
      <c r="AG2383">
        <v>-1.1094431333400001</v>
      </c>
      <c r="AH2383">
        <v>41.192005069037698</v>
      </c>
      <c r="AI2383">
        <v>91.542103703607793</v>
      </c>
      <c r="AJ2383">
        <v>91.722467736465205</v>
      </c>
      <c r="AK2383">
        <v>41.225557201880797</v>
      </c>
      <c r="AL2383">
        <v>80.469325959309899</v>
      </c>
      <c r="AM2383">
        <v>94.513652688991897</v>
      </c>
      <c r="AN2383">
        <v>0.99999998184288397</v>
      </c>
    </row>
    <row r="2384" spans="1:40" x14ac:dyDescent="0.25">
      <c r="A2384" t="str">
        <f>"20190304155640506"</f>
        <v>20190304155640506</v>
      </c>
      <c r="B2384" t="str">
        <f>"1551686200497225"</f>
        <v>1551686200497225</v>
      </c>
      <c r="C2384" t="s">
        <v>40</v>
      </c>
      <c r="D2384">
        <v>4.6257339999999996</v>
      </c>
      <c r="E2384">
        <v>0.51872879999999999</v>
      </c>
      <c r="F2384" t="s">
        <v>64</v>
      </c>
      <c r="G2384">
        <v>-401.9323</v>
      </c>
      <c r="H2384" s="1">
        <v>7.7911349999999997E-6</v>
      </c>
      <c r="I2384">
        <v>283.42680000000001</v>
      </c>
      <c r="J2384">
        <v>-360.79539999999997</v>
      </c>
      <c r="K2384">
        <v>1.1094469999999901</v>
      </c>
      <c r="L2384">
        <v>284.37729999999999</v>
      </c>
      <c r="M2384">
        <v>-0.99992859999999995</v>
      </c>
      <c r="N2384">
        <v>-1.060231E-2</v>
      </c>
      <c r="O2384">
        <v>5.5231680000000002E-3</v>
      </c>
      <c r="P2384">
        <v>-0.98524179999999995</v>
      </c>
      <c r="Q2384">
        <v>0.15516729999999901</v>
      </c>
      <c r="R2384">
        <v>-7.2261599999999995E-2</v>
      </c>
      <c r="S2384">
        <v>-3.0526119999999999</v>
      </c>
      <c r="T2384">
        <v>-8.1866739999999993E-2</v>
      </c>
      <c r="U2384">
        <v>-7.0037840000000004E-2</v>
      </c>
      <c r="V2384">
        <v>-7.7671770000000001E-2</v>
      </c>
      <c r="W2384">
        <v>0.1656146</v>
      </c>
      <c r="X2384">
        <v>0.98312710000000003</v>
      </c>
      <c r="Y2384">
        <v>-2.8444219999999999E-2</v>
      </c>
      <c r="Z2384">
        <v>-6.2168149999999997E-4</v>
      </c>
      <c r="AA2384">
        <v>0.99959520000000002</v>
      </c>
      <c r="AB2384">
        <v>39</v>
      </c>
      <c r="AC2384">
        <v>-41.136899999999997</v>
      </c>
      <c r="AD2384">
        <v>-1.10943920886499</v>
      </c>
      <c r="AE2384">
        <v>-0.95049999999997603</v>
      </c>
      <c r="AF2384">
        <v>-1.17684874269173</v>
      </c>
      <c r="AG2384">
        <v>-1.10943920886499</v>
      </c>
      <c r="AH2384">
        <v>41.101143414004703</v>
      </c>
      <c r="AI2384">
        <v>91.545570875884195</v>
      </c>
      <c r="AJ2384">
        <v>91.640101527697297</v>
      </c>
      <c r="AK2384">
        <v>41.132952948456399</v>
      </c>
      <c r="AL2384">
        <v>80.4670602890818</v>
      </c>
      <c r="AM2384">
        <v>94.517259232567099</v>
      </c>
      <c r="AN2384">
        <v>0.99999999717125099</v>
      </c>
    </row>
    <row r="2385" spans="1:40" x14ac:dyDescent="0.25">
      <c r="A2385" t="str">
        <f>"20190304155640519"</f>
        <v>20190304155640519</v>
      </c>
      <c r="B2385" t="str">
        <f>"1551686200516744"</f>
        <v>1551686200516744</v>
      </c>
      <c r="C2385" t="s">
        <v>40</v>
      </c>
      <c r="D2385">
        <v>4.6249900000000004</v>
      </c>
      <c r="E2385">
        <v>0.51903180000000004</v>
      </c>
      <c r="F2385" t="s">
        <v>64</v>
      </c>
      <c r="G2385">
        <v>-402.47309999999999</v>
      </c>
      <c r="H2385" s="1">
        <v>7.5437429999999996E-6</v>
      </c>
      <c r="I2385">
        <v>283.46359999999999</v>
      </c>
      <c r="J2385">
        <v>-361.0197</v>
      </c>
      <c r="K2385">
        <v>1.1094469999999901</v>
      </c>
      <c r="L2385">
        <v>284.37849999999997</v>
      </c>
      <c r="M2385">
        <v>-0.9999285</v>
      </c>
      <c r="N2385">
        <v>-1.0605E-2</v>
      </c>
      <c r="O2385">
        <v>5.5559370000000004E-3</v>
      </c>
      <c r="P2385">
        <v>-0.98521000000000003</v>
      </c>
      <c r="Q2385">
        <v>0.1553619</v>
      </c>
      <c r="R2385">
        <v>-7.2277869999999994E-2</v>
      </c>
      <c r="S2385">
        <v>-3.052826</v>
      </c>
      <c r="T2385">
        <v>-8.1264729999999993E-2</v>
      </c>
      <c r="U2385">
        <v>-6.692505E-2</v>
      </c>
      <c r="V2385">
        <v>-7.7719789999999997E-2</v>
      </c>
      <c r="W2385">
        <v>0.1658116</v>
      </c>
      <c r="X2385">
        <v>0.98309009999999997</v>
      </c>
      <c r="Y2385">
        <v>-2.7457329999999999E-2</v>
      </c>
      <c r="Z2385">
        <v>-5.9993760000000003E-4</v>
      </c>
      <c r="AA2385">
        <v>0.99962280000000003</v>
      </c>
      <c r="AB2385">
        <v>39</v>
      </c>
      <c r="AC2385">
        <v>-41.453399999999903</v>
      </c>
      <c r="AD2385">
        <v>-1.10943945625699</v>
      </c>
      <c r="AE2385">
        <v>-0.91489999999998795</v>
      </c>
      <c r="AF2385">
        <v>-1.14439195585781</v>
      </c>
      <c r="AG2385">
        <v>-1.10943945625699</v>
      </c>
      <c r="AH2385">
        <v>41.418023974295402</v>
      </c>
      <c r="AI2385">
        <v>91.533795260431603</v>
      </c>
      <c r="AJ2385">
        <v>91.582696244988398</v>
      </c>
      <c r="AK2385">
        <v>41.448681508475602</v>
      </c>
      <c r="AL2385">
        <v>80.455614788464501</v>
      </c>
      <c r="AM2385">
        <v>94.520209838690604</v>
      </c>
      <c r="AN2385">
        <v>0.99999999858510702</v>
      </c>
    </row>
    <row r="2386" spans="1:40" x14ac:dyDescent="0.25">
      <c r="A2386" t="str">
        <f>"20190304155640534"</f>
        <v>20190304155640534</v>
      </c>
      <c r="B2386" t="str">
        <f>"1551686200527480"</f>
        <v>1551686200527480</v>
      </c>
      <c r="C2386" t="s">
        <v>40</v>
      </c>
      <c r="D2386">
        <v>4.623882</v>
      </c>
      <c r="E2386">
        <v>0.51899220000000001</v>
      </c>
      <c r="F2386" t="s">
        <v>64</v>
      </c>
      <c r="G2386">
        <v>-403.59120000000001</v>
      </c>
      <c r="H2386" s="1">
        <v>7.0454289999999997E-6</v>
      </c>
      <c r="I2386">
        <v>283.47550000000001</v>
      </c>
      <c r="J2386">
        <v>-361.26209999999998</v>
      </c>
      <c r="K2386">
        <v>1.1094489999999999</v>
      </c>
      <c r="L2386">
        <v>284.37990000000002</v>
      </c>
      <c r="M2386">
        <v>-0.99992820000000004</v>
      </c>
      <c r="N2386">
        <v>-1.060785E-2</v>
      </c>
      <c r="O2386">
        <v>5.5912690000000003E-3</v>
      </c>
      <c r="P2386">
        <v>-0.98518779999999995</v>
      </c>
      <c r="Q2386">
        <v>0.15552279999999999</v>
      </c>
      <c r="R2386">
        <v>-7.2236549999999997E-2</v>
      </c>
      <c r="S2386">
        <v>-3.052826</v>
      </c>
      <c r="T2386">
        <v>-7.9558610000000002E-2</v>
      </c>
      <c r="U2386">
        <v>-6.4758300000000005E-2</v>
      </c>
      <c r="V2386">
        <v>-7.771293E-2</v>
      </c>
      <c r="W2386">
        <v>0.16597479999999901</v>
      </c>
      <c r="X2386">
        <v>0.98306309999999997</v>
      </c>
      <c r="Y2386">
        <v>-2.6784349999999998E-2</v>
      </c>
      <c r="Z2386">
        <v>-5.7739900000000003E-4</v>
      </c>
      <c r="AA2386">
        <v>0.99964109999999995</v>
      </c>
      <c r="AB2386">
        <v>39</v>
      </c>
      <c r="AC2386">
        <v>-42.329099999999997</v>
      </c>
      <c r="AD2386">
        <v>-1.1094419545709999</v>
      </c>
      <c r="AE2386">
        <v>-0.90440000000000897</v>
      </c>
      <c r="AF2386">
        <v>-1.14028956504502</v>
      </c>
      <c r="AG2386">
        <v>-1.1094419545709999</v>
      </c>
      <c r="AH2386">
        <v>42.294340001419101</v>
      </c>
      <c r="AI2386">
        <v>91.502061353860896</v>
      </c>
      <c r="AJ2386">
        <v>91.544366370222306</v>
      </c>
      <c r="AK2386">
        <v>42.324252124501299</v>
      </c>
      <c r="AL2386">
        <v>80.446132707774794</v>
      </c>
      <c r="AM2386">
        <v>94.519936135013793</v>
      </c>
      <c r="AN2386">
        <v>0.99999999615291701</v>
      </c>
    </row>
    <row r="2387" spans="1:40" x14ac:dyDescent="0.25">
      <c r="A2387" t="str">
        <f>"20190304155640547"</f>
        <v>20190304155640547</v>
      </c>
      <c r="B2387" t="str">
        <f>"1551686200537241"</f>
        <v>1551686200537241</v>
      </c>
      <c r="C2387" t="s">
        <v>40</v>
      </c>
      <c r="D2387">
        <v>4.6593830000000001</v>
      </c>
      <c r="E2387">
        <v>0.51889099999999999</v>
      </c>
      <c r="F2387" t="s">
        <v>64</v>
      </c>
      <c r="G2387">
        <v>-404.06540000000001</v>
      </c>
      <c r="H2387" s="1">
        <v>6.8364369999999998E-6</v>
      </c>
      <c r="I2387">
        <v>283.46940000000001</v>
      </c>
      <c r="J2387">
        <v>-361.49279999999999</v>
      </c>
      <c r="K2387">
        <v>1.1094550000000001</v>
      </c>
      <c r="L2387">
        <v>284.38119999999998</v>
      </c>
      <c r="M2387">
        <v>-0.99992800000000004</v>
      </c>
      <c r="N2387">
        <v>-1.061048E-2</v>
      </c>
      <c r="O2387">
        <v>5.6245169999999999E-3</v>
      </c>
      <c r="P2387">
        <v>-0.98508260000000003</v>
      </c>
      <c r="Q2387">
        <v>0.15620239999999999</v>
      </c>
      <c r="R2387">
        <v>-7.2203320000000001E-2</v>
      </c>
      <c r="S2387">
        <v>-3.052826</v>
      </c>
      <c r="T2387">
        <v>-7.9128030000000002E-2</v>
      </c>
      <c r="U2387">
        <v>-6.4941410000000005E-2</v>
      </c>
      <c r="V2387">
        <v>-7.7711840000000004E-2</v>
      </c>
      <c r="W2387">
        <v>0.1666561</v>
      </c>
      <c r="X2387">
        <v>0.98294789999999999</v>
      </c>
      <c r="Y2387">
        <v>-2.687759E-2</v>
      </c>
      <c r="Z2387">
        <v>-5.7695499999999998E-4</v>
      </c>
      <c r="AA2387">
        <v>0.99963860000000004</v>
      </c>
      <c r="AB2387">
        <v>39</v>
      </c>
      <c r="AC2387">
        <v>-42.572600000000001</v>
      </c>
      <c r="AD2387">
        <v>-1.10944816356299</v>
      </c>
      <c r="AE2387">
        <v>-0.91179999999997097</v>
      </c>
      <c r="AF2387">
        <v>-1.15046838088619</v>
      </c>
      <c r="AG2387">
        <v>-1.10944816356299</v>
      </c>
      <c r="AH2387">
        <v>42.537922215477302</v>
      </c>
      <c r="AI2387">
        <v>91.4934690358849</v>
      </c>
      <c r="AJ2387">
        <v>91.549227470358701</v>
      </c>
      <c r="AK2387">
        <v>42.567937219614599</v>
      </c>
      <c r="AL2387">
        <v>80.406545591639301</v>
      </c>
      <c r="AM2387">
        <v>94.520400528088004</v>
      </c>
      <c r="AN2387">
        <v>0.99999997992890199</v>
      </c>
    </row>
    <row r="2388" spans="1:40" x14ac:dyDescent="0.25">
      <c r="A2388" t="str">
        <f>"20190304155640561"</f>
        <v>20190304155640561</v>
      </c>
      <c r="B2388" t="str">
        <f>"1551686200556761"</f>
        <v>1551686200556761</v>
      </c>
      <c r="C2388" t="s">
        <v>40</v>
      </c>
      <c r="D2388">
        <v>4.6270199999999999</v>
      </c>
      <c r="E2388">
        <v>0.51907570000000003</v>
      </c>
      <c r="F2388" t="s">
        <v>64</v>
      </c>
      <c r="G2388">
        <v>-405.43950000000001</v>
      </c>
      <c r="H2388" s="1">
        <v>6.2328389999999999E-6</v>
      </c>
      <c r="I2388">
        <v>283.44150000000002</v>
      </c>
      <c r="J2388">
        <v>-361.71850000000001</v>
      </c>
      <c r="K2388">
        <v>1.1094539999999999</v>
      </c>
      <c r="L2388">
        <v>284.38249999999999</v>
      </c>
      <c r="M2388">
        <v>-0.99992780000000003</v>
      </c>
      <c r="N2388">
        <v>-1.061313E-2</v>
      </c>
      <c r="O2388">
        <v>5.6572860000000001E-3</v>
      </c>
      <c r="P2388">
        <v>-0.98506769999999999</v>
      </c>
      <c r="Q2388">
        <v>0.15638339999999901</v>
      </c>
      <c r="R2388">
        <v>-7.2015490000000001E-2</v>
      </c>
      <c r="S2388">
        <v>-3.052826</v>
      </c>
      <c r="T2388">
        <v>-7.7069760000000001E-2</v>
      </c>
      <c r="U2388">
        <v>-6.5277099999999894E-2</v>
      </c>
      <c r="V2388">
        <v>-7.7555659999999998E-2</v>
      </c>
      <c r="W2388">
        <v>0.1668395</v>
      </c>
      <c r="X2388">
        <v>0.98292919999999995</v>
      </c>
      <c r="Y2388">
        <v>-2.702077E-2</v>
      </c>
      <c r="Z2388">
        <v>-5.6717460000000003E-4</v>
      </c>
      <c r="AA2388">
        <v>0.99963469999999999</v>
      </c>
      <c r="AB2388">
        <v>39</v>
      </c>
      <c r="AC2388">
        <v>-43.720999999999997</v>
      </c>
      <c r="AD2388">
        <v>-1.1094477671609999</v>
      </c>
      <c r="AE2388">
        <v>-0.94099999999997397</v>
      </c>
      <c r="AF2388">
        <v>-1.18757668846563</v>
      </c>
      <c r="AG2388">
        <v>-1.1094477671609999</v>
      </c>
      <c r="AH2388">
        <v>43.686858545068098</v>
      </c>
      <c r="AI2388">
        <v>91.454202892800893</v>
      </c>
      <c r="AJ2388">
        <v>91.557135975810098</v>
      </c>
      <c r="AK2388">
        <v>43.717077009743399</v>
      </c>
      <c r="AL2388">
        <v>80.395889073899397</v>
      </c>
      <c r="AM2388">
        <v>94.511438745442604</v>
      </c>
      <c r="AN2388">
        <v>1.00000005568546</v>
      </c>
    </row>
    <row r="2389" spans="1:40" x14ac:dyDescent="0.25">
      <c r="A2389" t="str">
        <f>"20190304155640574"</f>
        <v>20190304155640574</v>
      </c>
      <c r="B2389" t="str">
        <f>"1551686200567498"</f>
        <v>1551686200567498</v>
      </c>
      <c r="C2389" t="s">
        <v>40</v>
      </c>
      <c r="D2389">
        <v>4.6033150000000003</v>
      </c>
      <c r="E2389">
        <v>0.51921620000000002</v>
      </c>
      <c r="F2389" t="s">
        <v>64</v>
      </c>
      <c r="G2389">
        <v>-406.40890000000002</v>
      </c>
      <c r="H2389" s="1">
        <v>5.7998550000000004E-6</v>
      </c>
      <c r="I2389">
        <v>283.45639999999997</v>
      </c>
      <c r="J2389">
        <v>-361.96039999999999</v>
      </c>
      <c r="K2389">
        <v>1.1094539999999999</v>
      </c>
      <c r="L2389">
        <v>284.38389999999998</v>
      </c>
      <c r="M2389">
        <v>-0.99992740000000002</v>
      </c>
      <c r="N2389">
        <v>-1.0615960000000001E-2</v>
      </c>
      <c r="O2389">
        <v>5.6925550000000002E-3</v>
      </c>
      <c r="P2389">
        <v>-0.98502160000000005</v>
      </c>
      <c r="Q2389">
        <v>0.15668570000000001</v>
      </c>
      <c r="R2389">
        <v>-7.1984679999999995E-2</v>
      </c>
      <c r="S2389">
        <v>-3.0528870000000001</v>
      </c>
      <c r="T2389">
        <v>-7.5788620000000001E-2</v>
      </c>
      <c r="U2389">
        <v>-6.3262940000000004E-2</v>
      </c>
      <c r="V2389">
        <v>-7.7560050000000005E-2</v>
      </c>
      <c r="W2389">
        <v>0.16714370000000001</v>
      </c>
      <c r="X2389">
        <v>0.98287709999999995</v>
      </c>
      <c r="Y2389">
        <v>-2.639702E-2</v>
      </c>
      <c r="Z2389">
        <v>-5.4859739999999998E-4</v>
      </c>
      <c r="AA2389">
        <v>0.99965139999999997</v>
      </c>
      <c r="AB2389">
        <v>39</v>
      </c>
      <c r="AC2389">
        <v>-44.448500000000003</v>
      </c>
      <c r="AD2389">
        <v>-1.1094482001449999</v>
      </c>
      <c r="AE2389">
        <v>-0.92750000000000898</v>
      </c>
      <c r="AF2389">
        <v>-1.17979006246269</v>
      </c>
      <c r="AG2389">
        <v>-1.1094482001449999</v>
      </c>
      <c r="AH2389">
        <v>44.4148404359414</v>
      </c>
      <c r="AI2389">
        <v>91.4304021470507</v>
      </c>
      <c r="AJ2389">
        <v>91.521588251515197</v>
      </c>
      <c r="AK2389">
        <v>44.444356569202597</v>
      </c>
      <c r="AL2389">
        <v>80.378210796232807</v>
      </c>
      <c r="AM2389">
        <v>94.5119312256993</v>
      </c>
      <c r="AN2389">
        <v>0.999999985755051</v>
      </c>
    </row>
    <row r="2390" spans="1:40" x14ac:dyDescent="0.25">
      <c r="A2390" t="str">
        <f>"20190304155640591"</f>
        <v>20190304155640591</v>
      </c>
      <c r="B2390" t="str">
        <f>"1551686200587017"</f>
        <v>1551686200587017</v>
      </c>
      <c r="C2390" t="s">
        <v>40</v>
      </c>
      <c r="D2390">
        <v>4.5576049999999997</v>
      </c>
      <c r="E2390">
        <v>0.51927970000000001</v>
      </c>
      <c r="F2390" t="s">
        <v>64</v>
      </c>
      <c r="G2390">
        <v>-407.10629999999998</v>
      </c>
      <c r="H2390" s="1">
        <v>5.489349E-6</v>
      </c>
      <c r="I2390">
        <v>283.4624</v>
      </c>
      <c r="J2390">
        <v>-362.25599999999997</v>
      </c>
      <c r="K2390">
        <v>1.109453</v>
      </c>
      <c r="L2390">
        <v>284.38560000000001</v>
      </c>
      <c r="M2390">
        <v>-0.99992720000000002</v>
      </c>
      <c r="N2390">
        <v>-1.0619389999999999E-2</v>
      </c>
      <c r="O2390">
        <v>5.7352640000000003E-3</v>
      </c>
      <c r="P2390">
        <v>-0.98497789999999996</v>
      </c>
      <c r="Q2390">
        <v>0.15708659999999999</v>
      </c>
      <c r="R2390">
        <v>-7.1711200000000003E-2</v>
      </c>
      <c r="S2390">
        <v>-3.0530089999999999</v>
      </c>
      <c r="T2390">
        <v>-7.5026869999999996E-2</v>
      </c>
      <c r="U2390">
        <v>-6.231689E-2</v>
      </c>
      <c r="V2390">
        <v>-7.732783E-2</v>
      </c>
      <c r="W2390">
        <v>0.16754749999999999</v>
      </c>
      <c r="X2390">
        <v>0.98282670000000005</v>
      </c>
      <c r="Y2390">
        <v>-2.6129590000000001E-2</v>
      </c>
      <c r="Z2390">
        <v>-5.3978399999999997E-4</v>
      </c>
      <c r="AA2390">
        <v>0.99965839999999995</v>
      </c>
      <c r="AB2390">
        <v>39</v>
      </c>
      <c r="AC2390">
        <v>-44.850299999999997</v>
      </c>
      <c r="AD2390">
        <v>-1.109447510651</v>
      </c>
      <c r="AE2390">
        <v>-0.92320000000000801</v>
      </c>
      <c r="AF2390">
        <v>-1.17970606150549</v>
      </c>
      <c r="AG2390">
        <v>-1.109447510651</v>
      </c>
      <c r="AH2390">
        <v>44.816855212190802</v>
      </c>
      <c r="AI2390">
        <v>91.417584568294501</v>
      </c>
      <c r="AJ2390">
        <v>91.507838361748995</v>
      </c>
      <c r="AK2390">
        <v>44.846104527382501</v>
      </c>
      <c r="AL2390">
        <v>80.3547443653991</v>
      </c>
      <c r="AM2390">
        <v>94.498707468855898</v>
      </c>
      <c r="AN2390">
        <v>1.00000004014082</v>
      </c>
    </row>
    <row r="2391" spans="1:40" x14ac:dyDescent="0.25">
      <c r="A2391" t="str">
        <f>"20190304155640605"</f>
        <v>20190304155640605</v>
      </c>
      <c r="B2391" t="str">
        <f>"1551686200597461"</f>
        <v>1551686200597461</v>
      </c>
      <c r="C2391" t="s">
        <v>40</v>
      </c>
      <c r="D2391">
        <v>4.6217800000000002</v>
      </c>
      <c r="E2391">
        <v>0.51928370000000001</v>
      </c>
      <c r="F2391" t="s">
        <v>64</v>
      </c>
      <c r="G2391">
        <v>-407.9753</v>
      </c>
      <c r="H2391" s="1">
        <v>5.1009429999999999E-6</v>
      </c>
      <c r="I2391">
        <v>283.47710000000001</v>
      </c>
      <c r="J2391">
        <v>-362.49349999999998</v>
      </c>
      <c r="K2391">
        <v>1.10945</v>
      </c>
      <c r="L2391">
        <v>284.387</v>
      </c>
      <c r="M2391">
        <v>-0.99992700000000001</v>
      </c>
      <c r="N2391">
        <v>-1.062215E-2</v>
      </c>
      <c r="O2391">
        <v>5.7681999999999898E-3</v>
      </c>
      <c r="P2391">
        <v>-0.98501519999999998</v>
      </c>
      <c r="Q2391">
        <v>0.15694739999999999</v>
      </c>
      <c r="R2391">
        <v>-7.1501549999999997E-2</v>
      </c>
      <c r="S2391">
        <v>-3.0531619999999999</v>
      </c>
      <c r="T2391">
        <v>-7.4089530000000001E-2</v>
      </c>
      <c r="U2391">
        <v>-6.0668949999999999E-2</v>
      </c>
      <c r="V2391">
        <v>-7.7151549999999999E-2</v>
      </c>
      <c r="W2391">
        <v>0.16741110000000001</v>
      </c>
      <c r="X2391">
        <v>0.98286370000000001</v>
      </c>
      <c r="Y2391">
        <v>-2.5622619999999999E-2</v>
      </c>
      <c r="Z2391">
        <v>-5.2561920000000002E-4</v>
      </c>
      <c r="AA2391">
        <v>0.99967159999999999</v>
      </c>
      <c r="AB2391">
        <v>39</v>
      </c>
      <c r="AC2391">
        <v>-45.4818</v>
      </c>
      <c r="AD2391">
        <v>-1.1094448990570001</v>
      </c>
      <c r="AE2391">
        <v>-0.90989999999999305</v>
      </c>
      <c r="AF2391">
        <v>-1.1715509425231401</v>
      </c>
      <c r="AG2391">
        <v>-1.1094448990570001</v>
      </c>
      <c r="AH2391">
        <v>45.4487620980819</v>
      </c>
      <c r="AI2391">
        <v>91.397899295214401</v>
      </c>
      <c r="AJ2391">
        <v>91.476609256673399</v>
      </c>
      <c r="AK2391">
        <v>45.477394118869803</v>
      </c>
      <c r="AL2391">
        <v>80.362670553613299</v>
      </c>
      <c r="AM2391">
        <v>94.488325688130303</v>
      </c>
      <c r="AN2391">
        <v>0.99999994542414905</v>
      </c>
    </row>
    <row r="2392" spans="1:40" x14ac:dyDescent="0.25">
      <c r="A2392" t="str">
        <f>"20190304155640617"</f>
        <v>20190304155640617</v>
      </c>
      <c r="B2392" t="str">
        <f>"1551686200607221"</f>
        <v>1551686200607221</v>
      </c>
      <c r="C2392" t="s">
        <v>40</v>
      </c>
      <c r="D2392">
        <v>4.6121660000000002</v>
      </c>
      <c r="E2392">
        <v>0.519401</v>
      </c>
      <c r="F2392" t="s">
        <v>64</v>
      </c>
      <c r="G2392">
        <v>-408.05880000000002</v>
      </c>
      <c r="H2392" s="1">
        <v>5.0602640000000003E-6</v>
      </c>
      <c r="I2392">
        <v>283.4948</v>
      </c>
      <c r="J2392">
        <v>-362.72059999999999</v>
      </c>
      <c r="K2392">
        <v>1.10945</v>
      </c>
      <c r="L2392">
        <v>284.38830000000002</v>
      </c>
      <c r="M2392">
        <v>-0.99992689999999995</v>
      </c>
      <c r="N2392">
        <v>-1.062477E-2</v>
      </c>
      <c r="O2392">
        <v>5.7985700000000003E-3</v>
      </c>
      <c r="P2392">
        <v>-0.98501030000000001</v>
      </c>
      <c r="Q2392">
        <v>0.1569789</v>
      </c>
      <c r="R2392">
        <v>-7.1502099999999999E-2</v>
      </c>
      <c r="S2392">
        <v>-3.053131</v>
      </c>
      <c r="T2392">
        <v>-7.433903E-2</v>
      </c>
      <c r="U2392">
        <v>-5.9783940000000001E-2</v>
      </c>
      <c r="V2392">
        <v>-7.7182500000000001E-2</v>
      </c>
      <c r="W2392">
        <v>0.1674455</v>
      </c>
      <c r="X2392">
        <v>0.98285549999999999</v>
      </c>
      <c r="Y2392">
        <v>-2.536356E-2</v>
      </c>
      <c r="Z2392">
        <v>-5.2304749999999996E-4</v>
      </c>
      <c r="AA2392">
        <v>0.99967810000000001</v>
      </c>
      <c r="AB2392">
        <v>39</v>
      </c>
      <c r="AC2392">
        <v>-45.338200000000001</v>
      </c>
      <c r="AD2392">
        <v>-1.109444939736</v>
      </c>
      <c r="AE2392">
        <v>-0.89350000000001695</v>
      </c>
      <c r="AF2392">
        <v>-1.1557047326682199</v>
      </c>
      <c r="AG2392">
        <v>-1.109444939736</v>
      </c>
      <c r="AH2392">
        <v>45.305138123931499</v>
      </c>
      <c r="AI2392">
        <v>91.402338755897404</v>
      </c>
      <c r="AJ2392">
        <v>91.461261323252799</v>
      </c>
      <c r="AK2392">
        <v>45.3334541142844</v>
      </c>
      <c r="AL2392">
        <v>80.360672218849103</v>
      </c>
      <c r="AM2392">
        <v>94.490156164779194</v>
      </c>
      <c r="AN2392">
        <v>1.0000000338283701</v>
      </c>
    </row>
    <row r="2393" spans="1:40" x14ac:dyDescent="0.25">
      <c r="A2393" t="str">
        <f>"20190304155640637"</f>
        <v>20190304155640637</v>
      </c>
      <c r="B2393" t="str">
        <f>"1551686200626741"</f>
        <v>1551686200626741</v>
      </c>
      <c r="C2393" t="s">
        <v>40</v>
      </c>
      <c r="D2393">
        <v>4.6148540000000002</v>
      </c>
      <c r="E2393">
        <v>0.51934060000000004</v>
      </c>
      <c r="F2393" t="s">
        <v>64</v>
      </c>
      <c r="G2393">
        <v>-408.20139999999998</v>
      </c>
      <c r="H2393" s="1">
        <v>4.9928940000000003E-6</v>
      </c>
      <c r="I2393">
        <v>283.51459999999997</v>
      </c>
      <c r="J2393">
        <v>-363.05180000000001</v>
      </c>
      <c r="K2393">
        <v>1.109451</v>
      </c>
      <c r="L2393">
        <v>284.39030000000002</v>
      </c>
      <c r="M2393">
        <v>-0.99992650000000005</v>
      </c>
      <c r="N2393">
        <v>-1.062856E-2</v>
      </c>
      <c r="O2393">
        <v>5.8398800000000004E-3</v>
      </c>
      <c r="P2393">
        <v>-0.98505589999999998</v>
      </c>
      <c r="Q2393">
        <v>0.15679679999999999</v>
      </c>
      <c r="R2393">
        <v>-7.1273879999999998E-2</v>
      </c>
      <c r="S2393">
        <v>-3.0532530000000002</v>
      </c>
      <c r="T2393">
        <v>-7.4479939999999994E-2</v>
      </c>
      <c r="U2393">
        <v>-5.8654789999999998E-2</v>
      </c>
      <c r="V2393">
        <v>-7.6995980000000006E-2</v>
      </c>
      <c r="W2393">
        <v>0.16726679999999999</v>
      </c>
      <c r="X2393">
        <v>0.98290049999999995</v>
      </c>
      <c r="Y2393">
        <v>-2.5034600000000001E-2</v>
      </c>
      <c r="Z2393">
        <v>-5.1871749999999998E-4</v>
      </c>
      <c r="AA2393">
        <v>0.99968650000000003</v>
      </c>
      <c r="AB2393">
        <v>39</v>
      </c>
      <c r="AC2393">
        <v>-45.1495999999999</v>
      </c>
      <c r="AD2393">
        <v>-1.1094460071059999</v>
      </c>
      <c r="AE2393">
        <v>-0.87570000000005099</v>
      </c>
      <c r="AF2393">
        <v>-1.13868090072202</v>
      </c>
      <c r="AG2393">
        <v>-1.1094460071059999</v>
      </c>
      <c r="AH2393">
        <v>45.1164839343392</v>
      </c>
      <c r="AI2393">
        <v>91.408211282551704</v>
      </c>
      <c r="AJ2393">
        <v>91.445763424931499</v>
      </c>
      <c r="AK2393">
        <v>45.144485679137397</v>
      </c>
      <c r="AL2393">
        <v>80.371056900626499</v>
      </c>
      <c r="AM2393">
        <v>94.479145178950503</v>
      </c>
      <c r="AN2393">
        <v>0.99999997810932495</v>
      </c>
    </row>
    <row r="2394" spans="1:40" x14ac:dyDescent="0.25">
      <c r="A2394" t="str">
        <f>"20190304155640660"</f>
        <v>20190304155640660</v>
      </c>
      <c r="B2394" t="str">
        <f>"1551686200656997"</f>
        <v>1551686200656997</v>
      </c>
      <c r="C2394" t="s">
        <v>40</v>
      </c>
      <c r="D2394">
        <v>4.6523899999999996</v>
      </c>
      <c r="E2394">
        <v>0.51929040000000004</v>
      </c>
      <c r="F2394" t="s">
        <v>64</v>
      </c>
      <c r="G2394">
        <v>-408.06979999999999</v>
      </c>
      <c r="H2394" s="1">
        <v>5.047746E-6</v>
      </c>
      <c r="I2394">
        <v>283.53179999999998</v>
      </c>
      <c r="J2394">
        <v>-363.44889999999998</v>
      </c>
      <c r="K2394">
        <v>1.1094569999999999</v>
      </c>
      <c r="L2394">
        <v>284.39260000000002</v>
      </c>
      <c r="M2394">
        <v>-0.99992619999999999</v>
      </c>
      <c r="N2394">
        <v>-1.063308E-2</v>
      </c>
      <c r="O2394">
        <v>5.8789339999999997E-3</v>
      </c>
      <c r="P2394">
        <v>-0.98513439999999997</v>
      </c>
      <c r="Q2394">
        <v>0.15633569999999999</v>
      </c>
      <c r="R2394">
        <v>-7.1198280000000003E-2</v>
      </c>
      <c r="S2394">
        <v>-3.0533139999999999</v>
      </c>
      <c r="T2394">
        <v>-7.5247410000000001E-2</v>
      </c>
      <c r="U2394">
        <v>-5.8227540000000001E-2</v>
      </c>
      <c r="V2394">
        <v>-7.6962669999999997E-2</v>
      </c>
      <c r="W2394">
        <v>0.16680989999999901</v>
      </c>
      <c r="X2394">
        <v>0.98298079999999999</v>
      </c>
      <c r="Y2394">
        <v>-2.4933259999999999E-2</v>
      </c>
      <c r="Z2394">
        <v>-5.2211100000000002E-4</v>
      </c>
      <c r="AA2394">
        <v>0.99968900000000005</v>
      </c>
      <c r="AB2394">
        <v>39</v>
      </c>
      <c r="AC2394">
        <v>-44.620899999999999</v>
      </c>
      <c r="AD2394">
        <v>-1.1094519522539901</v>
      </c>
      <c r="AE2394">
        <v>-0.86080000000003998</v>
      </c>
      <c r="AF2394">
        <v>-1.12242962971837</v>
      </c>
      <c r="AG2394">
        <v>-1.1094519522539901</v>
      </c>
      <c r="AH2394">
        <v>44.587513476710903</v>
      </c>
      <c r="AI2394">
        <v>91.424920921499805</v>
      </c>
      <c r="AJ2394">
        <v>91.442038274043895</v>
      </c>
      <c r="AK2394">
        <v>44.615435557034601</v>
      </c>
      <c r="AL2394">
        <v>80.397608827988194</v>
      </c>
      <c r="AM2394">
        <v>94.476851033337397</v>
      </c>
      <c r="AN2394">
        <v>1.0000000242400799</v>
      </c>
    </row>
    <row r="2395" spans="1:40" x14ac:dyDescent="0.25">
      <c r="A2395" t="str">
        <f>"20190304155640681"</f>
        <v>20190304155640681</v>
      </c>
      <c r="B2395" t="str">
        <f>"1551686200677493"</f>
        <v>1551686200677493</v>
      </c>
      <c r="C2395" t="s">
        <v>40</v>
      </c>
      <c r="D2395">
        <v>4.6301259999999997</v>
      </c>
      <c r="E2395">
        <v>0.51932270000000003</v>
      </c>
      <c r="F2395" t="s">
        <v>64</v>
      </c>
      <c r="G2395">
        <v>-406.70119999999997</v>
      </c>
      <c r="H2395" s="1">
        <v>5.6477350000000001E-6</v>
      </c>
      <c r="I2395">
        <v>283.5652</v>
      </c>
      <c r="J2395">
        <v>-363.81279999999998</v>
      </c>
      <c r="K2395">
        <v>1.1094619999999999</v>
      </c>
      <c r="L2395">
        <v>284.39479999999998</v>
      </c>
      <c r="M2395">
        <v>-0.99992599999999998</v>
      </c>
      <c r="N2395">
        <v>-1.0637209999999999E-2</v>
      </c>
      <c r="O2395">
        <v>5.9050329999999996E-3</v>
      </c>
      <c r="P2395">
        <v>-0.98521840000000005</v>
      </c>
      <c r="Q2395">
        <v>0.15591679999999999</v>
      </c>
      <c r="R2395">
        <v>-7.0955809999999994E-2</v>
      </c>
      <c r="S2395">
        <v>-3.053436</v>
      </c>
      <c r="T2395">
        <v>-7.832277E-2</v>
      </c>
      <c r="U2395">
        <v>-5.841064E-2</v>
      </c>
      <c r="V2395">
        <v>-7.6749250000000005E-2</v>
      </c>
      <c r="W2395">
        <v>0.16639379999999901</v>
      </c>
      <c r="X2395">
        <v>0.98306800000000005</v>
      </c>
      <c r="Y2395">
        <v>-2.5017629999999999E-2</v>
      </c>
      <c r="Z2395">
        <v>-5.4251199999999999E-4</v>
      </c>
      <c r="AA2395">
        <v>0.99968679999999999</v>
      </c>
      <c r="AB2395">
        <v>39</v>
      </c>
      <c r="AC2395">
        <v>-42.888399999999898</v>
      </c>
      <c r="AD2395">
        <v>-1.1094563522650001</v>
      </c>
      <c r="AE2395">
        <v>-0.82959999999997003</v>
      </c>
      <c r="AF2395">
        <v>-1.0821334102983999</v>
      </c>
      <c r="AG2395">
        <v>-1.1094563522650001</v>
      </c>
      <c r="AH2395">
        <v>42.854086842877201</v>
      </c>
      <c r="AI2395">
        <v>91.482536011974503</v>
      </c>
      <c r="AJ2395">
        <v>91.446501572874297</v>
      </c>
      <c r="AK2395">
        <v>42.882101922038899</v>
      </c>
      <c r="AL2395">
        <v>80.421787459671606</v>
      </c>
      <c r="AM2395">
        <v>94.464092429485504</v>
      </c>
      <c r="AN2395">
        <v>1.0000000183390001</v>
      </c>
    </row>
    <row r="2396" spans="1:40" x14ac:dyDescent="0.25">
      <c r="A2396" t="str">
        <f>"20190304155640705"</f>
        <v>20190304155640705</v>
      </c>
      <c r="B2396" t="str">
        <f>"1551686200697520"</f>
        <v>1551686200697520</v>
      </c>
      <c r="C2396" t="s">
        <v>40</v>
      </c>
      <c r="D2396">
        <v>4.6261409999999996</v>
      </c>
      <c r="E2396">
        <v>0.51927699999999999</v>
      </c>
      <c r="F2396" t="s">
        <v>64</v>
      </c>
      <c r="G2396">
        <v>-406.15589999999997</v>
      </c>
      <c r="H2396" s="1">
        <v>5.8835100000000004E-6</v>
      </c>
      <c r="I2396">
        <v>283.59449999999998</v>
      </c>
      <c r="J2396">
        <v>-364.21929999999998</v>
      </c>
      <c r="K2396">
        <v>1.1094729999999999</v>
      </c>
      <c r="L2396">
        <v>284.3972</v>
      </c>
      <c r="M2396">
        <v>-0.99992590000000003</v>
      </c>
      <c r="N2396">
        <v>-1.064179E-2</v>
      </c>
      <c r="O2396">
        <v>5.9250350000000004E-3</v>
      </c>
      <c r="P2396">
        <v>-0.98526939999999996</v>
      </c>
      <c r="Q2396">
        <v>0.15554960000000001</v>
      </c>
      <c r="R2396">
        <v>-7.1054119999999998E-2</v>
      </c>
      <c r="S2396">
        <v>-3.0534970000000001</v>
      </c>
      <c r="T2396">
        <v>-8.0006599999999997E-2</v>
      </c>
      <c r="U2396">
        <v>-5.7708740000000001E-2</v>
      </c>
      <c r="V2396">
        <v>-7.6871700000000001E-2</v>
      </c>
      <c r="W2396">
        <v>0.16602979999999901</v>
      </c>
      <c r="X2396">
        <v>0.98311999999999999</v>
      </c>
      <c r="Y2396">
        <v>-2.480715E-2</v>
      </c>
      <c r="Z2396">
        <v>-5.4911719999999997E-4</v>
      </c>
      <c r="AA2396">
        <v>0.99969209999999997</v>
      </c>
      <c r="AB2396">
        <v>39</v>
      </c>
      <c r="AC2396">
        <v>-41.936599999999999</v>
      </c>
      <c r="AD2396">
        <v>-1.1094671164899901</v>
      </c>
      <c r="AE2396">
        <v>-0.80270000000001496</v>
      </c>
      <c r="AF2396">
        <v>-1.05044083713722</v>
      </c>
      <c r="AG2396">
        <v>-1.1094671164899901</v>
      </c>
      <c r="AH2396">
        <v>41.901790744229501</v>
      </c>
      <c r="AI2396">
        <v>91.516235502994604</v>
      </c>
      <c r="AJ2396">
        <v>91.436053737563498</v>
      </c>
      <c r="AK2396">
        <v>41.929636425899297</v>
      </c>
      <c r="AL2396">
        <v>80.442937559488001</v>
      </c>
      <c r="AM2396">
        <v>94.470950297565693</v>
      </c>
      <c r="AN2396">
        <v>1.00000004357446</v>
      </c>
    </row>
    <row r="2397" spans="1:40" x14ac:dyDescent="0.25">
      <c r="A2397" t="str">
        <f>"20190304155640725"</f>
        <v>20190304155640725</v>
      </c>
      <c r="B2397" t="str">
        <f>"1551686200717039"</f>
        <v>1551686200717039</v>
      </c>
      <c r="C2397" t="s">
        <v>40</v>
      </c>
      <c r="D2397">
        <v>4.6253640000000003</v>
      </c>
      <c r="E2397">
        <v>0.5192156</v>
      </c>
      <c r="F2397" t="s">
        <v>64</v>
      </c>
      <c r="G2397">
        <v>-405.71350000000001</v>
      </c>
      <c r="H2397" s="1">
        <v>6.0775959999999999E-6</v>
      </c>
      <c r="I2397">
        <v>283.60469999999998</v>
      </c>
      <c r="J2397">
        <v>-364.58300000000003</v>
      </c>
      <c r="K2397">
        <v>1.10948</v>
      </c>
      <c r="L2397">
        <v>284.39940000000001</v>
      </c>
      <c r="M2397">
        <v>-0.99992590000000003</v>
      </c>
      <c r="N2397">
        <v>-1.064586E-2</v>
      </c>
      <c r="O2397">
        <v>5.9368399999999997E-3</v>
      </c>
      <c r="P2397">
        <v>-0.98529330000000004</v>
      </c>
      <c r="Q2397">
        <v>0.15544479999999999</v>
      </c>
      <c r="R2397">
        <v>-7.0952899999999999E-2</v>
      </c>
      <c r="S2397">
        <v>-3.053528</v>
      </c>
      <c r="T2397">
        <v>-8.1644889999999998E-2</v>
      </c>
      <c r="U2397">
        <v>-5.8319089999999997E-2</v>
      </c>
      <c r="V2397">
        <v>-7.678488E-2</v>
      </c>
      <c r="W2397">
        <v>0.16592870000000001</v>
      </c>
      <c r="X2397">
        <v>0.98314380000000001</v>
      </c>
      <c r="Y2397">
        <v>-2.5017930000000001E-2</v>
      </c>
      <c r="Z2397">
        <v>-5.6309679999999997E-4</v>
      </c>
      <c r="AA2397">
        <v>0.99968679999999999</v>
      </c>
      <c r="AB2397">
        <v>39</v>
      </c>
      <c r="AC2397">
        <v>-41.130499999999898</v>
      </c>
      <c r="AD2397">
        <v>-1.109473922404</v>
      </c>
      <c r="AE2397">
        <v>-0.79470000000003405</v>
      </c>
      <c r="AF2397">
        <v>-1.0381298972680899</v>
      </c>
      <c r="AG2397">
        <v>-1.109473922404</v>
      </c>
      <c r="AH2397">
        <v>41.0951661785802</v>
      </c>
      <c r="AI2397">
        <v>91.545984186844393</v>
      </c>
      <c r="AJ2397">
        <v>91.447075644447807</v>
      </c>
      <c r="AK2397">
        <v>41.1232456077243</v>
      </c>
      <c r="AL2397">
        <v>80.448811137281098</v>
      </c>
      <c r="AM2397">
        <v>94.4658135070447</v>
      </c>
      <c r="AN2397">
        <v>0.99999999137937201</v>
      </c>
    </row>
    <row r="2398" spans="1:40" x14ac:dyDescent="0.25">
      <c r="A2398" t="str">
        <f>"20190304155640738"</f>
        <v>20190304155640738</v>
      </c>
      <c r="B2398" t="str">
        <f>"1551686200726799"</f>
        <v>1551686200726799</v>
      </c>
      <c r="C2398" t="s">
        <v>40</v>
      </c>
      <c r="D2398">
        <v>4.8212080000000004</v>
      </c>
      <c r="E2398">
        <v>0.5192156</v>
      </c>
      <c r="F2398" t="s">
        <v>64</v>
      </c>
      <c r="G2398">
        <v>-405.86610000000002</v>
      </c>
      <c r="H2398" s="1">
        <v>6.0091669999999997E-6</v>
      </c>
      <c r="I2398">
        <v>283.60849999999999</v>
      </c>
      <c r="J2398">
        <v>-364.80770000000001</v>
      </c>
      <c r="K2398">
        <v>1.109486</v>
      </c>
      <c r="L2398">
        <v>284.4008</v>
      </c>
      <c r="M2398">
        <v>-0.99992570000000003</v>
      </c>
      <c r="N2398">
        <v>-1.0648360000000001E-2</v>
      </c>
      <c r="O2398">
        <v>5.9416670000000003E-3</v>
      </c>
      <c r="P2398">
        <v>-0.98526020000000003</v>
      </c>
      <c r="Q2398">
        <v>0.15561849999999999</v>
      </c>
      <c r="R2398">
        <v>-7.1030609999999994E-2</v>
      </c>
      <c r="S2398">
        <v>-3.053528</v>
      </c>
      <c r="T2398">
        <v>-8.2063079999999997E-2</v>
      </c>
      <c r="U2398">
        <v>-5.85021999999999E-2</v>
      </c>
      <c r="V2398">
        <v>-7.6868850000000002E-2</v>
      </c>
      <c r="W2398">
        <v>0.16610369999999999</v>
      </c>
      <c r="X2398">
        <v>0.98310770000000003</v>
      </c>
      <c r="Y2398">
        <v>-2.5082520000000001E-2</v>
      </c>
      <c r="Z2398">
        <v>-5.6692829999999996E-4</v>
      </c>
      <c r="AA2398">
        <v>0.99968520000000005</v>
      </c>
      <c r="AB2398">
        <v>39</v>
      </c>
      <c r="AC2398">
        <v>-41.058399999999999</v>
      </c>
      <c r="AD2398">
        <v>-1.109479990833</v>
      </c>
      <c r="AE2398">
        <v>-0.792300000000011</v>
      </c>
      <c r="AF2398">
        <v>-1.0354993452346499</v>
      </c>
      <c r="AG2398">
        <v>-1.109479990833</v>
      </c>
      <c r="AH2398">
        <v>41.023023926793698</v>
      </c>
      <c r="AI2398">
        <v>91.548710836417001</v>
      </c>
      <c r="AJ2398">
        <v>91.445947679689198</v>
      </c>
      <c r="AK2398">
        <v>41.051086427064597</v>
      </c>
      <c r="AL2398">
        <v>80.438643403505495</v>
      </c>
      <c r="AM2398">
        <v>94.470840918937498</v>
      </c>
      <c r="AN2398">
        <v>1.0000000045266499</v>
      </c>
    </row>
    <row r="2399" spans="1:40" x14ac:dyDescent="0.25">
      <c r="A2399" t="str">
        <f>"20190304155640751"</f>
        <v>20190304155640751</v>
      </c>
      <c r="B2399" t="str">
        <f>"1551686200747295"</f>
        <v>1551686200747295</v>
      </c>
      <c r="C2399" t="s">
        <v>40</v>
      </c>
      <c r="D2399">
        <v>4.6126189999999996</v>
      </c>
      <c r="E2399">
        <v>0.51912979999999997</v>
      </c>
      <c r="F2399" t="s">
        <v>64</v>
      </c>
      <c r="G2399">
        <v>-406.34739999999999</v>
      </c>
      <c r="H2399" s="1">
        <v>5.7972930000000004E-6</v>
      </c>
      <c r="I2399">
        <v>283.60079999999999</v>
      </c>
      <c r="J2399">
        <v>-365.02960000000002</v>
      </c>
      <c r="K2399">
        <v>1.1094900000000001</v>
      </c>
      <c r="L2399">
        <v>284.40199999999999</v>
      </c>
      <c r="M2399">
        <v>-0.99992559999999997</v>
      </c>
      <c r="N2399">
        <v>-1.065081E-2</v>
      </c>
      <c r="O2399">
        <v>5.9451290000000004E-3</v>
      </c>
      <c r="P2399">
        <v>-0.98528700000000002</v>
      </c>
      <c r="Q2399">
        <v>0.15563729999999901</v>
      </c>
      <c r="R2399">
        <v>-7.0616990000000004E-2</v>
      </c>
      <c r="S2399">
        <v>-3.0535580000000002</v>
      </c>
      <c r="T2399">
        <v>-8.1557270000000001E-2</v>
      </c>
      <c r="U2399">
        <v>-5.8807369999999998E-2</v>
      </c>
      <c r="V2399">
        <v>-7.6459799999999994E-2</v>
      </c>
      <c r="W2399">
        <v>0.1661243</v>
      </c>
      <c r="X2399">
        <v>0.98313609999999896</v>
      </c>
      <c r="Y2399">
        <v>-2.518577E-2</v>
      </c>
      <c r="Z2399">
        <v>-5.65863E-4</v>
      </c>
      <c r="AA2399">
        <v>0.99968259999999998</v>
      </c>
      <c r="AB2399">
        <v>39</v>
      </c>
      <c r="AC2399">
        <v>-41.317799999999899</v>
      </c>
      <c r="AD2399">
        <v>-1.10948420270699</v>
      </c>
      <c r="AE2399">
        <v>-0.80119999999999403</v>
      </c>
      <c r="AF2399">
        <v>-1.0460854246207001</v>
      </c>
      <c r="AG2399">
        <v>-1.10948420270699</v>
      </c>
      <c r="AH2399">
        <v>41.282550458657802</v>
      </c>
      <c r="AI2399">
        <v>91.538981460421695</v>
      </c>
      <c r="AJ2399">
        <v>91.451544436934199</v>
      </c>
      <c r="AK2399">
        <v>41.310703483277699</v>
      </c>
      <c r="AL2399">
        <v>80.437446317646405</v>
      </c>
      <c r="AM2399">
        <v>94.447017521045396</v>
      </c>
      <c r="AN2399">
        <v>0.99999998759486897</v>
      </c>
    </row>
    <row r="2400" spans="1:40" x14ac:dyDescent="0.25">
      <c r="A2400" t="str">
        <f>"20190304155640763"</f>
        <v>20190304155640763</v>
      </c>
      <c r="B2400" t="str">
        <f>"1551686200757054"</f>
        <v>1551686200757054</v>
      </c>
      <c r="C2400" t="s">
        <v>40</v>
      </c>
      <c r="D2400">
        <v>4.6463130000000001</v>
      </c>
      <c r="E2400">
        <v>0.51903690000000002</v>
      </c>
      <c r="F2400" t="s">
        <v>64</v>
      </c>
      <c r="G2400">
        <v>-406.5247</v>
      </c>
      <c r="H2400" s="1">
        <v>5.7167760000000002E-6</v>
      </c>
      <c r="I2400">
        <v>283.61</v>
      </c>
      <c r="J2400">
        <v>-365.25099999999998</v>
      </c>
      <c r="K2400">
        <v>1.1094930000000001</v>
      </c>
      <c r="L2400">
        <v>284.40339999999998</v>
      </c>
      <c r="M2400">
        <v>-0.99992570000000003</v>
      </c>
      <c r="N2400">
        <v>-1.0653259999999999E-2</v>
      </c>
      <c r="O2400">
        <v>5.9468150000000003E-3</v>
      </c>
      <c r="P2400">
        <v>-0.98526709999999995</v>
      </c>
      <c r="Q2400">
        <v>0.15569069999999999</v>
      </c>
      <c r="R2400">
        <v>-7.0776679999999995E-2</v>
      </c>
      <c r="S2400">
        <v>-3.0535580000000002</v>
      </c>
      <c r="T2400">
        <v>-8.1645250000000003E-2</v>
      </c>
      <c r="U2400">
        <v>-5.8288569999999998E-2</v>
      </c>
      <c r="V2400">
        <v>-7.6622200000000001E-2</v>
      </c>
      <c r="W2400">
        <v>0.16617979999999999</v>
      </c>
      <c r="X2400">
        <v>0.98311409999999999</v>
      </c>
      <c r="Y2400">
        <v>-2.501772E-2</v>
      </c>
      <c r="Z2400">
        <v>-5.6329929999999996E-4</v>
      </c>
      <c r="AA2400">
        <v>0.99968679999999999</v>
      </c>
      <c r="AB2400">
        <v>39</v>
      </c>
      <c r="AC2400">
        <v>-41.273699999999998</v>
      </c>
      <c r="AD2400">
        <v>-1.1094872832239999</v>
      </c>
      <c r="AE2400">
        <v>-0.79339999999996202</v>
      </c>
      <c r="AF2400">
        <v>-1.03809707288514</v>
      </c>
      <c r="AG2400">
        <v>-1.1094872832239999</v>
      </c>
      <c r="AH2400">
        <v>41.238463727209499</v>
      </c>
      <c r="AI2400">
        <v>91.540636695745903</v>
      </c>
      <c r="AJ2400">
        <v>91.442003821444402</v>
      </c>
      <c r="AK2400">
        <v>41.266445184250401</v>
      </c>
      <c r="AL2400">
        <v>80.4342217999843</v>
      </c>
      <c r="AM2400">
        <v>94.456524266021205</v>
      </c>
      <c r="AN2400">
        <v>1.0000000105398399</v>
      </c>
    </row>
    <row r="2401" spans="1:40" x14ac:dyDescent="0.25">
      <c r="A2401" t="str">
        <f>"20190304155640777"</f>
        <v>20190304155640777</v>
      </c>
      <c r="B2401" t="str">
        <f>"1551686200766815"</f>
        <v>1551686200766815</v>
      </c>
      <c r="C2401" t="s">
        <v>40</v>
      </c>
      <c r="D2401">
        <v>4.5374879999999997</v>
      </c>
      <c r="E2401">
        <v>0.51903690000000002</v>
      </c>
      <c r="F2401" t="s">
        <v>64</v>
      </c>
      <c r="G2401">
        <v>-406.82380000000001</v>
      </c>
      <c r="H2401" s="1">
        <v>5.5875920000000003E-6</v>
      </c>
      <c r="I2401">
        <v>283.59320000000002</v>
      </c>
      <c r="J2401">
        <v>-365.47719999999998</v>
      </c>
      <c r="K2401">
        <v>1.1094930000000001</v>
      </c>
      <c r="L2401">
        <v>284.40469999999999</v>
      </c>
      <c r="M2401">
        <v>-0.99992570000000003</v>
      </c>
      <c r="N2401">
        <v>-1.065575E-2</v>
      </c>
      <c r="O2401">
        <v>5.9477899999999997E-3</v>
      </c>
      <c r="P2401">
        <v>-0.98526809999999998</v>
      </c>
      <c r="Q2401">
        <v>0.15578919999999999</v>
      </c>
      <c r="R2401">
        <v>-7.0548879999999994E-2</v>
      </c>
      <c r="S2401">
        <v>-3.053528</v>
      </c>
      <c r="T2401">
        <v>-8.1491949999999994E-2</v>
      </c>
      <c r="U2401">
        <v>-5.9509279999999998E-2</v>
      </c>
      <c r="V2401">
        <v>-7.6395879999999999E-2</v>
      </c>
      <c r="W2401">
        <v>0.16627999999999901</v>
      </c>
      <c r="X2401">
        <v>0.98311479999999996</v>
      </c>
      <c r="Y2401">
        <v>-2.541823E-2</v>
      </c>
      <c r="Z2401">
        <v>-5.6988660000000001E-4</v>
      </c>
      <c r="AA2401">
        <v>0.99967680000000003</v>
      </c>
      <c r="AB2401">
        <v>39</v>
      </c>
      <c r="AC2401">
        <v>-41.346600000000002</v>
      </c>
      <c r="AD2401">
        <v>-1.1094874124079901</v>
      </c>
      <c r="AE2401">
        <v>-0.81149999999996603</v>
      </c>
      <c r="AF2401">
        <v>-1.05665990155312</v>
      </c>
      <c r="AG2401">
        <v>-1.1094874124079901</v>
      </c>
      <c r="AH2401">
        <v>41.311306739582299</v>
      </c>
      <c r="AI2401">
        <v>91.537905835447205</v>
      </c>
      <c r="AJ2401">
        <v>91.465191004626703</v>
      </c>
      <c r="AK2401">
        <v>41.339709203109997</v>
      </c>
      <c r="AL2401">
        <v>80.428400040179497</v>
      </c>
      <c r="AM2401">
        <v>94.443410613720502</v>
      </c>
      <c r="AN2401">
        <v>1.0000000394299999</v>
      </c>
    </row>
    <row r="2402" spans="1:40" x14ac:dyDescent="0.25">
      <c r="A2402" t="str">
        <f>"20190304155640792"</f>
        <v>20190304155640792</v>
      </c>
      <c r="B2402" t="str">
        <f>"1551686200787314"</f>
        <v>1551686200787314</v>
      </c>
      <c r="C2402" t="s">
        <v>40</v>
      </c>
      <c r="D2402">
        <v>4.5623809999999896</v>
      </c>
      <c r="E2402">
        <v>0.49418240000000002</v>
      </c>
      <c r="F2402" t="s">
        <v>64</v>
      </c>
      <c r="G2402">
        <v>-407.19470000000001</v>
      </c>
      <c r="H2402" s="1">
        <v>5.4218819999999996E-6</v>
      </c>
      <c r="I2402">
        <v>283.5992</v>
      </c>
      <c r="J2402">
        <v>-365.7414</v>
      </c>
      <c r="K2402">
        <v>1.10949599999999</v>
      </c>
      <c r="L2402">
        <v>284.40629999999999</v>
      </c>
      <c r="M2402">
        <v>-0.99992559999999997</v>
      </c>
      <c r="N2402">
        <v>-1.065866E-2</v>
      </c>
      <c r="O2402">
        <v>5.9477509999999898E-3</v>
      </c>
      <c r="P2402">
        <v>-0.98522520000000002</v>
      </c>
      <c r="Q2402">
        <v>0.1560424</v>
      </c>
      <c r="R2402">
        <v>-7.0587430000000007E-2</v>
      </c>
      <c r="S2402">
        <v>-3.053436</v>
      </c>
      <c r="T2402">
        <v>-8.1207039999999994E-2</v>
      </c>
      <c r="U2402">
        <v>-5.8959959999999999E-2</v>
      </c>
      <c r="V2402">
        <v>-7.6435210000000003E-2</v>
      </c>
      <c r="W2402">
        <v>0.1665353</v>
      </c>
      <c r="X2402">
        <v>0.98306850000000001</v>
      </c>
      <c r="Y2402">
        <v>-2.523916E-2</v>
      </c>
      <c r="Z2402">
        <v>-5.648459E-4</v>
      </c>
      <c r="AA2402">
        <v>0.99968129999999999</v>
      </c>
      <c r="AB2402">
        <v>39</v>
      </c>
      <c r="AC2402">
        <v>-41.453299999999999</v>
      </c>
      <c r="AD2402">
        <v>-1.10949057811799</v>
      </c>
      <c r="AE2402">
        <v>-0.80709999999999105</v>
      </c>
      <c r="AF2402">
        <v>-1.0528996466432099</v>
      </c>
      <c r="AG2402">
        <v>-1.10949057811799</v>
      </c>
      <c r="AH2402">
        <v>41.418107113443703</v>
      </c>
      <c r="AI2402">
        <v>91.533952600652498</v>
      </c>
      <c r="AJ2402">
        <v>91.4562161353482</v>
      </c>
      <c r="AK2402">
        <v>41.446340777800103</v>
      </c>
      <c r="AL2402">
        <v>80.413565322690303</v>
      </c>
      <c r="AM2402">
        <v>94.445897536010307</v>
      </c>
      <c r="AN2402">
        <v>1.0000000115830401</v>
      </c>
    </row>
    <row r="2403" spans="1:40" x14ac:dyDescent="0.25">
      <c r="A2403" t="str">
        <f>"20190304155640804"</f>
        <v>20190304155640804</v>
      </c>
      <c r="B2403" t="str">
        <f>"1551686200797071"</f>
        <v>1551686200797071</v>
      </c>
      <c r="C2403" t="s">
        <v>40</v>
      </c>
      <c r="D2403">
        <v>4.4639220000000002</v>
      </c>
      <c r="E2403">
        <v>0.4919153</v>
      </c>
      <c r="F2403" t="s">
        <v>55</v>
      </c>
      <c r="G2403">
        <v>-396.56970000000001</v>
      </c>
      <c r="H2403" s="1">
        <v>1.9592959999999999E-6</v>
      </c>
      <c r="I2403">
        <v>281.80889999999999</v>
      </c>
      <c r="J2403">
        <v>-365.96690000000001</v>
      </c>
      <c r="K2403">
        <v>1.1094949999999999</v>
      </c>
      <c r="L2403">
        <v>284.40769999999998</v>
      </c>
      <c r="M2403">
        <v>-0.99992550000000002</v>
      </c>
      <c r="N2403">
        <v>-1.066114E-2</v>
      </c>
      <c r="O2403">
        <v>5.9471849999999998E-3</v>
      </c>
      <c r="P2403">
        <v>-0.98519800000000002</v>
      </c>
      <c r="Q2403">
        <v>0.1561796</v>
      </c>
      <c r="R2403">
        <v>-7.0662150000000007E-2</v>
      </c>
      <c r="S2403">
        <v>-3.044006</v>
      </c>
      <c r="T2403">
        <v>-0.1095521</v>
      </c>
      <c r="U2403">
        <v>-0.25646970000000002</v>
      </c>
      <c r="V2403">
        <v>-7.6509320000000006E-2</v>
      </c>
      <c r="W2403">
        <v>0.166674499999999</v>
      </c>
      <c r="X2403">
        <v>0.98303910000000005</v>
      </c>
      <c r="Y2403">
        <v>-8.9804720000000005E-2</v>
      </c>
      <c r="Z2403">
        <v>-2.2427300000000001E-3</v>
      </c>
      <c r="AA2403">
        <v>0.99595679999999998</v>
      </c>
      <c r="AB2403">
        <v>39</v>
      </c>
      <c r="AC2403">
        <v>-30.602799999999998</v>
      </c>
      <c r="AD2403">
        <v>-1.109493040704</v>
      </c>
      <c r="AE2403">
        <v>-2.5987999999999798</v>
      </c>
      <c r="AF2403">
        <v>-2.7771407573075999</v>
      </c>
      <c r="AG2403">
        <v>-1.109493040704</v>
      </c>
      <c r="AH2403">
        <v>30.546938958362599</v>
      </c>
      <c r="AI2403">
        <v>92.071585191161205</v>
      </c>
      <c r="AJ2403">
        <v>95.194701080113603</v>
      </c>
      <c r="AK2403">
        <v>30.692979088371299</v>
      </c>
      <c r="AL2403">
        <v>80.405476284903898</v>
      </c>
      <c r="AM2403">
        <v>94.450323437371296</v>
      </c>
      <c r="AN2403">
        <v>0.99999996856296003</v>
      </c>
    </row>
    <row r="2404" spans="1:40" x14ac:dyDescent="0.25">
      <c r="A2404" t="str">
        <f>"20190304155640819"</f>
        <v>20190304155640819</v>
      </c>
      <c r="B2404" t="str">
        <f>"1551686200817567"</f>
        <v>1551686200817567</v>
      </c>
      <c r="C2404" t="s">
        <v>40</v>
      </c>
      <c r="D2404">
        <v>4.483625</v>
      </c>
      <c r="E2404">
        <v>0.4897282</v>
      </c>
      <c r="F2404" t="s">
        <v>64</v>
      </c>
      <c r="G2404">
        <v>-401.25479999999999</v>
      </c>
      <c r="H2404" s="1">
        <v>8.5470800000000002E-6</v>
      </c>
      <c r="I2404">
        <v>281.22250000000003</v>
      </c>
      <c r="J2404">
        <v>-366.21800000000002</v>
      </c>
      <c r="K2404">
        <v>1.1094980000000001</v>
      </c>
      <c r="L2404">
        <v>284.4092</v>
      </c>
      <c r="M2404">
        <v>-0.99992550000000002</v>
      </c>
      <c r="N2404">
        <v>-1.06639E-2</v>
      </c>
      <c r="O2404">
        <v>5.9463199999999997E-3</v>
      </c>
      <c r="P2404">
        <v>-0.98520660000000004</v>
      </c>
      <c r="Q2404">
        <v>0.15612970000000001</v>
      </c>
      <c r="R2404">
        <v>-7.0649710000000004E-2</v>
      </c>
      <c r="S2404">
        <v>-3.0405579999999999</v>
      </c>
      <c r="T2404">
        <v>-9.5598340000000004E-2</v>
      </c>
      <c r="U2404">
        <v>-0.27444459999999998</v>
      </c>
      <c r="V2404">
        <v>-7.6496800000000004E-2</v>
      </c>
      <c r="W2404">
        <v>0.166627</v>
      </c>
      <c r="X2404">
        <v>0.98304809999999998</v>
      </c>
      <c r="Y2404">
        <v>-9.5752550000000006E-2</v>
      </c>
      <c r="Z2404">
        <v>-2.1369000000000002E-3</v>
      </c>
      <c r="AA2404">
        <v>0.99540289999999998</v>
      </c>
      <c r="AB2404">
        <v>39</v>
      </c>
      <c r="AC2404">
        <v>-35.0367999999999</v>
      </c>
      <c r="AD2404">
        <v>-1.1094894529199999</v>
      </c>
      <c r="AE2404">
        <v>-3.1866999999999699</v>
      </c>
      <c r="AF2404">
        <v>-3.3916224338024201</v>
      </c>
      <c r="AG2404">
        <v>-1.1094894529199999</v>
      </c>
      <c r="AH2404">
        <v>34.9824390595466</v>
      </c>
      <c r="AI2404">
        <v>91.808089553135204</v>
      </c>
      <c r="AJ2404">
        <v>95.537641131366797</v>
      </c>
      <c r="AK2404">
        <v>35.163974635050899</v>
      </c>
      <c r="AL2404">
        <v>80.408236177456601</v>
      </c>
      <c r="AM2404">
        <v>94.449557537032305</v>
      </c>
      <c r="AN2404">
        <v>0.99999994222642297</v>
      </c>
    </row>
    <row r="2405" spans="1:40" x14ac:dyDescent="0.25">
      <c r="A2405" t="str">
        <f>"20190304155640839"</f>
        <v>20190304155640839</v>
      </c>
      <c r="B2405" t="str">
        <f>"1551686200827327"</f>
        <v>1551686200827327</v>
      </c>
      <c r="C2405" t="s">
        <v>40</v>
      </c>
      <c r="D2405">
        <v>4.5004210000000002</v>
      </c>
      <c r="E2405">
        <v>0.48907489999999998</v>
      </c>
      <c r="F2405" t="s">
        <v>64</v>
      </c>
      <c r="G2405">
        <v>-406.44139999999999</v>
      </c>
      <c r="H2405" s="1">
        <v>6.3871369999999998E-6</v>
      </c>
      <c r="I2405">
        <v>280.5444</v>
      </c>
      <c r="J2405">
        <v>-366.54410000000001</v>
      </c>
      <c r="K2405">
        <v>1.109499</v>
      </c>
      <c r="L2405">
        <v>284.41109999999998</v>
      </c>
      <c r="M2405">
        <v>-0.99992559999999997</v>
      </c>
      <c r="N2405">
        <v>-1.066748E-2</v>
      </c>
      <c r="O2405">
        <v>5.9450880000000003E-3</v>
      </c>
      <c r="P2405">
        <v>-0.98517670000000002</v>
      </c>
      <c r="Q2405">
        <v>0.15625159999999999</v>
      </c>
      <c r="R2405">
        <v>-7.0799290000000001E-2</v>
      </c>
      <c r="S2405">
        <v>-3.0374150000000002</v>
      </c>
      <c r="T2405">
        <v>-8.3781599999999998E-2</v>
      </c>
      <c r="U2405">
        <v>-0.29183959999999998</v>
      </c>
      <c r="V2405">
        <v>-7.6646110000000003E-2</v>
      </c>
      <c r="W2405">
        <v>0.16675209999999999</v>
      </c>
      <c r="X2405">
        <v>0.98301530000000004</v>
      </c>
      <c r="Y2405">
        <v>-0.1015036</v>
      </c>
      <c r="Z2405">
        <v>-2.0395360000000002E-3</v>
      </c>
      <c r="AA2405">
        <v>0.99483310000000003</v>
      </c>
      <c r="AB2405">
        <v>39</v>
      </c>
      <c r="AC2405">
        <v>-39.897299999999902</v>
      </c>
      <c r="AD2405">
        <v>-1.109492612863</v>
      </c>
      <c r="AE2405">
        <v>-3.8666999999999798</v>
      </c>
      <c r="AF2405">
        <v>-4.1006964141650002</v>
      </c>
      <c r="AG2405">
        <v>-1.109492612863</v>
      </c>
      <c r="AH2405">
        <v>39.8430807512174</v>
      </c>
      <c r="AI2405">
        <v>91.586700656651502</v>
      </c>
      <c r="AJ2405">
        <v>95.876258233601504</v>
      </c>
      <c r="AK2405">
        <v>40.068912746506797</v>
      </c>
      <c r="AL2405">
        <v>80.400967181820704</v>
      </c>
      <c r="AM2405">
        <v>94.458355567315294</v>
      </c>
      <c r="AN2405">
        <v>0.99999998453331596</v>
      </c>
    </row>
    <row r="2406" spans="1:40" x14ac:dyDescent="0.25">
      <c r="A2406" t="str">
        <f>"20190304155640861"</f>
        <v>20190304155640861</v>
      </c>
      <c r="B2406" t="str">
        <f>"1551686200857583"</f>
        <v>1551686200857583</v>
      </c>
      <c r="C2406" t="s">
        <v>40</v>
      </c>
      <c r="D2406">
        <v>4.6394260000000003</v>
      </c>
      <c r="E2406">
        <v>0.48612369999999999</v>
      </c>
      <c r="F2406" t="s">
        <v>64</v>
      </c>
      <c r="G2406">
        <v>-408.65030000000002</v>
      </c>
      <c r="H2406" s="1">
        <v>5.4607710000000001E-6</v>
      </c>
      <c r="I2406">
        <v>280.28719999999998</v>
      </c>
      <c r="J2406">
        <v>-366.92939999999999</v>
      </c>
      <c r="K2406">
        <v>1.1094999999999999</v>
      </c>
      <c r="L2406">
        <v>284.41340000000002</v>
      </c>
      <c r="M2406">
        <v>-0.99992539999999996</v>
      </c>
      <c r="N2406">
        <v>-1.0671689999999999E-2</v>
      </c>
      <c r="O2406">
        <v>5.9442080000000003E-3</v>
      </c>
      <c r="P2406">
        <v>-0.98513110000000004</v>
      </c>
      <c r="Q2406">
        <v>0.15661900000000001</v>
      </c>
      <c r="R2406">
        <v>-7.0621119999999996E-2</v>
      </c>
      <c r="S2406">
        <v>-3.036438</v>
      </c>
      <c r="T2406">
        <v>-8.0009940000000002E-2</v>
      </c>
      <c r="U2406">
        <v>-0.29739379999999999</v>
      </c>
      <c r="V2406">
        <v>-7.6467339999999995E-2</v>
      </c>
      <c r="W2406">
        <v>0.16712249999999901</v>
      </c>
      <c r="X2406">
        <v>0.98296640000000002</v>
      </c>
      <c r="Y2406">
        <v>-0.103339</v>
      </c>
      <c r="Z2406">
        <v>-2.0038360000000002E-3</v>
      </c>
      <c r="AA2406">
        <v>0.99464419999999998</v>
      </c>
      <c r="AB2406">
        <v>39</v>
      </c>
      <c r="AC2406">
        <v>-41.7209</v>
      </c>
      <c r="AD2406">
        <v>-1.1094945392290001</v>
      </c>
      <c r="AE2406">
        <v>-4.1262000000000398</v>
      </c>
      <c r="AF2406">
        <v>-4.3710776333634502</v>
      </c>
      <c r="AG2406">
        <v>-1.1094945392290001</v>
      </c>
      <c r="AH2406">
        <v>41.666453307726698</v>
      </c>
      <c r="AI2406">
        <v>91.516991132403703</v>
      </c>
      <c r="AJ2406">
        <v>95.988788515523893</v>
      </c>
      <c r="AK2406">
        <v>41.909791565390101</v>
      </c>
      <c r="AL2406">
        <v>80.379443553737701</v>
      </c>
      <c r="AM2406">
        <v>94.448219029824898</v>
      </c>
      <c r="AN2406">
        <v>1.0000000638109401</v>
      </c>
    </row>
    <row r="2407" spans="1:40" x14ac:dyDescent="0.25">
      <c r="A2407" t="str">
        <f>"20190304155640882"</f>
        <v>20190304155640882</v>
      </c>
      <c r="B2407" t="str">
        <f>"1551686200877103"</f>
        <v>1551686200877103</v>
      </c>
      <c r="C2407" t="s">
        <v>40</v>
      </c>
      <c r="D2407">
        <v>4.6611760000000002</v>
      </c>
      <c r="E2407">
        <v>0.48513390000000001</v>
      </c>
      <c r="F2407" t="s">
        <v>64</v>
      </c>
      <c r="G2407">
        <v>-402.79640000000001</v>
      </c>
      <c r="H2407" s="1">
        <v>7.9855240000000007E-6</v>
      </c>
      <c r="I2407">
        <v>280.63150000000002</v>
      </c>
      <c r="J2407">
        <v>-367.30810000000002</v>
      </c>
      <c r="K2407">
        <v>1.1095060000000001</v>
      </c>
      <c r="L2407">
        <v>284.41559999999998</v>
      </c>
      <c r="M2407">
        <v>-0.99992539999999996</v>
      </c>
      <c r="N2407">
        <v>-1.0675860000000001E-2</v>
      </c>
      <c r="O2407">
        <v>5.9438080000000001E-3</v>
      </c>
      <c r="P2407">
        <v>-0.98503909999999995</v>
      </c>
      <c r="Q2407">
        <v>0.1572537</v>
      </c>
      <c r="R2407">
        <v>-7.0494260000000003E-2</v>
      </c>
      <c r="S2407">
        <v>-3.0372620000000001</v>
      </c>
      <c r="T2407">
        <v>-9.3953129999999996E-2</v>
      </c>
      <c r="U2407">
        <v>-0.32025150000000002</v>
      </c>
      <c r="V2407">
        <v>-7.6339899999999905E-2</v>
      </c>
      <c r="W2407">
        <v>0.1677604</v>
      </c>
      <c r="X2407">
        <v>0.98286750000000001</v>
      </c>
      <c r="Y2407">
        <v>-0.1106973</v>
      </c>
      <c r="Z2407">
        <v>-2.4197799999999998E-3</v>
      </c>
      <c r="AA2407">
        <v>0.99385120000000005</v>
      </c>
      <c r="AB2407">
        <v>39</v>
      </c>
      <c r="AC2407">
        <v>-35.488299999999903</v>
      </c>
      <c r="AD2407">
        <v>-1.1094980144759901</v>
      </c>
      <c r="AE2407">
        <v>-3.7840999999999601</v>
      </c>
      <c r="AF2407">
        <v>-3.9911236377719801</v>
      </c>
      <c r="AG2407">
        <v>-1.1094980144759901</v>
      </c>
      <c r="AH2407">
        <v>35.430938098360997</v>
      </c>
      <c r="AI2407">
        <v>91.782331002012896</v>
      </c>
      <c r="AJ2407">
        <v>96.426999620879201</v>
      </c>
      <c r="AK2407">
        <v>35.672278147968001</v>
      </c>
      <c r="AL2407">
        <v>80.342369860349507</v>
      </c>
      <c r="AM2407">
        <v>94.441280400722604</v>
      </c>
      <c r="AN2407">
        <v>0.99999992734820697</v>
      </c>
    </row>
    <row r="2408" spans="1:40" x14ac:dyDescent="0.25">
      <c r="A2408" t="str">
        <f>"20190304155640894"</f>
        <v>20190304155640894</v>
      </c>
      <c r="B2408" t="str">
        <f>"1551686200886863"</f>
        <v>1551686200886863</v>
      </c>
      <c r="C2408" t="s">
        <v>40</v>
      </c>
      <c r="D2408">
        <v>4.6454709999999997</v>
      </c>
      <c r="E2408">
        <v>0.48475790000000002</v>
      </c>
      <c r="F2408" t="s">
        <v>64</v>
      </c>
      <c r="G2408">
        <v>-401.95429999999999</v>
      </c>
      <c r="H2408" s="1">
        <v>8.3499760000000007E-6</v>
      </c>
      <c r="I2408">
        <v>280.67529999999999</v>
      </c>
      <c r="J2408">
        <v>-367.52670000000001</v>
      </c>
      <c r="K2408">
        <v>1.1095090000000001</v>
      </c>
      <c r="L2408">
        <v>284.41699999999997</v>
      </c>
      <c r="M2408">
        <v>-0.99992530000000002</v>
      </c>
      <c r="N2408">
        <v>-1.067827E-2</v>
      </c>
      <c r="O2408">
        <v>5.9437839999999997E-3</v>
      </c>
      <c r="P2408">
        <v>-0.98498770000000002</v>
      </c>
      <c r="Q2408">
        <v>0.15762029999999999</v>
      </c>
      <c r="R2408">
        <v>-7.039202E-2</v>
      </c>
      <c r="S2408">
        <v>-3.0376280000000002</v>
      </c>
      <c r="T2408">
        <v>-9.7275970000000003E-2</v>
      </c>
      <c r="U2408">
        <v>-0.32794190000000001</v>
      </c>
      <c r="V2408">
        <v>-7.6238029999999998E-2</v>
      </c>
      <c r="W2408">
        <v>0.16812849999999999</v>
      </c>
      <c r="X2408">
        <v>0.98281260000000004</v>
      </c>
      <c r="Y2408">
        <v>-0.113166</v>
      </c>
      <c r="Z2408">
        <v>-2.538953E-3</v>
      </c>
      <c r="AA2408">
        <v>0.99357280000000003</v>
      </c>
      <c r="AB2408">
        <v>39</v>
      </c>
      <c r="AC2408">
        <v>-34.427599999999899</v>
      </c>
      <c r="AD2408">
        <v>-1.1095006500239999</v>
      </c>
      <c r="AE2408">
        <v>-3.74170000000003</v>
      </c>
      <c r="AF2408">
        <v>-3.9422292487442401</v>
      </c>
      <c r="AG2408">
        <v>-1.1095006500239999</v>
      </c>
      <c r="AH2408">
        <v>34.369471792904797</v>
      </c>
      <c r="AI2408">
        <v>91.836920027597699</v>
      </c>
      <c r="AJ2408">
        <v>96.543315086267299</v>
      </c>
      <c r="AK2408">
        <v>34.612609760972099</v>
      </c>
      <c r="AL2408">
        <v>80.320976293273205</v>
      </c>
      <c r="AM2408">
        <v>94.435624273875405</v>
      </c>
      <c r="AN2408">
        <v>1.00000001822464</v>
      </c>
    </row>
    <row r="2409" spans="1:40" x14ac:dyDescent="0.25">
      <c r="A2409" t="str">
        <f>"20190304155640907"</f>
        <v>20190304155640907</v>
      </c>
      <c r="B2409" t="str">
        <f>"1551686200896624"</f>
        <v>1551686200896624</v>
      </c>
      <c r="C2409" t="s">
        <v>40</v>
      </c>
      <c r="D2409">
        <v>4.64872</v>
      </c>
      <c r="E2409">
        <v>0.48443330000000001</v>
      </c>
      <c r="F2409" t="s">
        <v>64</v>
      </c>
      <c r="G2409">
        <v>-401.8535</v>
      </c>
      <c r="H2409" s="1">
        <v>8.3933669999999997E-6</v>
      </c>
      <c r="I2409">
        <v>280.6816</v>
      </c>
      <c r="J2409">
        <v>-367.75720000000001</v>
      </c>
      <c r="K2409">
        <v>1.1095109999999999</v>
      </c>
      <c r="L2409">
        <v>284.41829999999999</v>
      </c>
      <c r="M2409">
        <v>-0.99992539999999996</v>
      </c>
      <c r="N2409">
        <v>-1.0680830000000001E-2</v>
      </c>
      <c r="O2409">
        <v>5.9436419999999998E-3</v>
      </c>
      <c r="P2409">
        <v>-0.98496450000000002</v>
      </c>
      <c r="Q2409">
        <v>0.1578397</v>
      </c>
      <c r="R2409">
        <v>-7.0228750000000006E-2</v>
      </c>
      <c r="S2409">
        <v>-3.037811</v>
      </c>
      <c r="T2409">
        <v>-9.8187330000000003E-2</v>
      </c>
      <c r="U2409">
        <v>-0.33056639999999998</v>
      </c>
      <c r="V2409">
        <v>-7.6074370000000002E-2</v>
      </c>
      <c r="W2409">
        <v>0.1683499</v>
      </c>
      <c r="X2409">
        <v>0.98278739999999998</v>
      </c>
      <c r="Y2409">
        <v>-0.114006</v>
      </c>
      <c r="Z2409">
        <v>-2.575623E-3</v>
      </c>
      <c r="AA2409">
        <v>0.99347669999999999</v>
      </c>
      <c r="AB2409">
        <v>39</v>
      </c>
      <c r="AC2409">
        <v>-34.0962999999999</v>
      </c>
      <c r="AD2409">
        <v>-1.1095026066329901</v>
      </c>
      <c r="AE2409">
        <v>-3.7366999999999799</v>
      </c>
      <c r="AF2409">
        <v>-3.9351843367838901</v>
      </c>
      <c r="AG2409">
        <v>-1.1095026066329901</v>
      </c>
      <c r="AH2409">
        <v>34.037872896895102</v>
      </c>
      <c r="AI2409">
        <v>91.854614457845898</v>
      </c>
      <c r="AJ2409">
        <v>96.594797632493396</v>
      </c>
      <c r="AK2409">
        <v>34.282553334659603</v>
      </c>
      <c r="AL2409">
        <v>80.308107754751305</v>
      </c>
      <c r="AM2409">
        <v>94.426253248712399</v>
      </c>
      <c r="AN2409">
        <v>1.00000003609983</v>
      </c>
    </row>
    <row r="2410" spans="1:40" x14ac:dyDescent="0.25">
      <c r="A2410" t="str">
        <f>"20190304155640926"</f>
        <v>20190304155640926</v>
      </c>
      <c r="B2410" t="str">
        <f>"1551686200917122"</f>
        <v>1551686200917122</v>
      </c>
      <c r="C2410" t="s">
        <v>40</v>
      </c>
      <c r="D2410">
        <v>4.6970470000000004</v>
      </c>
      <c r="E2410">
        <v>0.48426819999999998</v>
      </c>
      <c r="F2410" t="s">
        <v>64</v>
      </c>
      <c r="G2410">
        <v>-401.52690000000001</v>
      </c>
      <c r="H2410" s="1">
        <v>8.5301259999999993E-6</v>
      </c>
      <c r="I2410">
        <v>280.72050000000002</v>
      </c>
      <c r="J2410">
        <v>-368.08269999999999</v>
      </c>
      <c r="K2410">
        <v>1.1095139999999999</v>
      </c>
      <c r="L2410">
        <v>284.4203</v>
      </c>
      <c r="M2410">
        <v>-0.99992530000000002</v>
      </c>
      <c r="N2410">
        <v>-1.068446E-2</v>
      </c>
      <c r="O2410">
        <v>5.9439089999999998E-3</v>
      </c>
      <c r="P2410">
        <v>-0.98480610000000002</v>
      </c>
      <c r="Q2410">
        <v>0.15900889999999901</v>
      </c>
      <c r="R2410">
        <v>-6.9807300000000003E-2</v>
      </c>
      <c r="S2410">
        <v>-3.0380859999999998</v>
      </c>
      <c r="T2410">
        <v>-9.9816080000000001E-2</v>
      </c>
      <c r="U2410">
        <v>-0.33267210000000003</v>
      </c>
      <c r="V2410">
        <v>-7.5652659999999997E-2</v>
      </c>
      <c r="W2410">
        <v>0.16952059999999999</v>
      </c>
      <c r="X2410">
        <v>0.98261869999999996</v>
      </c>
      <c r="Y2410">
        <v>-0.11467430000000001</v>
      </c>
      <c r="Z2410">
        <v>-2.6237320000000001E-3</v>
      </c>
      <c r="AA2410">
        <v>0.9933997</v>
      </c>
      <c r="AB2410">
        <v>39</v>
      </c>
      <c r="AC2410">
        <v>-33.444200000000002</v>
      </c>
      <c r="AD2410">
        <v>-1.1095054698739999</v>
      </c>
      <c r="AE2410">
        <v>-3.6997999999999802</v>
      </c>
      <c r="AF2410">
        <v>-3.8943011253823401</v>
      </c>
      <c r="AG2410">
        <v>-1.1095054698739999</v>
      </c>
      <c r="AH2410">
        <v>33.385317987197602</v>
      </c>
      <c r="AI2410">
        <v>91.890619762714394</v>
      </c>
      <c r="AJ2410">
        <v>96.653320025650302</v>
      </c>
      <c r="AK2410">
        <v>33.629987224932698</v>
      </c>
      <c r="AL2410">
        <v>80.240053430817696</v>
      </c>
      <c r="AM2410">
        <v>94.402566245589</v>
      </c>
      <c r="AN2410">
        <v>1.0000000341895601</v>
      </c>
    </row>
    <row r="2411" spans="1:40" x14ac:dyDescent="0.25">
      <c r="A2411" t="str">
        <f>"20190304155640939"</f>
        <v>20190304155640939</v>
      </c>
      <c r="B2411" t="str">
        <f>"1551686200926879"</f>
        <v>1551686200926879</v>
      </c>
      <c r="C2411" t="s">
        <v>40</v>
      </c>
      <c r="D2411">
        <v>4.690016</v>
      </c>
      <c r="E2411">
        <v>0.48403079999999998</v>
      </c>
      <c r="F2411" t="s">
        <v>64</v>
      </c>
      <c r="G2411">
        <v>-402.29719999999998</v>
      </c>
      <c r="H2411" s="1">
        <v>8.1977999999999997E-6</v>
      </c>
      <c r="I2411">
        <v>280.67579999999998</v>
      </c>
      <c r="J2411">
        <v>-368.31209999999999</v>
      </c>
      <c r="K2411">
        <v>1.1095170000000001</v>
      </c>
      <c r="L2411">
        <v>284.42160000000001</v>
      </c>
      <c r="M2411">
        <v>-0.99992530000000002</v>
      </c>
      <c r="N2411">
        <v>-1.068701E-2</v>
      </c>
      <c r="O2411">
        <v>5.9438889999999999E-3</v>
      </c>
      <c r="P2411">
        <v>-0.98475500000000005</v>
      </c>
      <c r="Q2411">
        <v>0.15950039999999999</v>
      </c>
      <c r="R2411">
        <v>-6.9407319999999995E-2</v>
      </c>
      <c r="S2411">
        <v>-3.038605</v>
      </c>
      <c r="T2411">
        <v>-9.8535899999999996E-2</v>
      </c>
      <c r="U2411">
        <v>-0.33255000000000001</v>
      </c>
      <c r="V2411">
        <v>-7.5252579999999999E-2</v>
      </c>
      <c r="W2411">
        <v>0.170014</v>
      </c>
      <c r="X2411">
        <v>0.9825642</v>
      </c>
      <c r="Y2411">
        <v>-0.1146184</v>
      </c>
      <c r="Z2411">
        <v>-2.595745E-3</v>
      </c>
      <c r="AA2411">
        <v>0.99340620000000002</v>
      </c>
      <c r="AB2411">
        <v>39</v>
      </c>
      <c r="AC2411">
        <v>-33.985099999999903</v>
      </c>
      <c r="AD2411">
        <v>-1.1095088021999999</v>
      </c>
      <c r="AE2411">
        <v>-3.7458000000000302</v>
      </c>
      <c r="AF2411">
        <v>-3.9435962855625202</v>
      </c>
      <c r="AG2411">
        <v>-1.1095088021999999</v>
      </c>
      <c r="AH2411">
        <v>33.926508099653702</v>
      </c>
      <c r="AI2411">
        <v>91.860574947813703</v>
      </c>
      <c r="AJ2411">
        <v>96.630270916503306</v>
      </c>
      <c r="AK2411">
        <v>34.172955875685297</v>
      </c>
      <c r="AL2411">
        <v>80.211367536777402</v>
      </c>
      <c r="AM2411">
        <v>94.379616583676096</v>
      </c>
      <c r="AN2411">
        <v>1.0000000590571401</v>
      </c>
    </row>
    <row r="2412" spans="1:40" x14ac:dyDescent="0.25">
      <c r="A2412" t="str">
        <f>"20190304155640953"</f>
        <v>20190304155640953</v>
      </c>
      <c r="B2412" t="str">
        <f>"1551686200947375"</f>
        <v>1551686200947375</v>
      </c>
      <c r="C2412" t="s">
        <v>40</v>
      </c>
      <c r="D2412">
        <v>4.637848</v>
      </c>
      <c r="E2412">
        <v>0.483902</v>
      </c>
      <c r="F2412" t="s">
        <v>64</v>
      </c>
      <c r="G2412">
        <v>-402.50979999999998</v>
      </c>
      <c r="H2412" s="1">
        <v>8.1051059999999994E-6</v>
      </c>
      <c r="I2412">
        <v>280.66789999999997</v>
      </c>
      <c r="J2412">
        <v>-368.54750000000001</v>
      </c>
      <c r="K2412">
        <v>1.109518</v>
      </c>
      <c r="L2412">
        <v>284.423</v>
      </c>
      <c r="M2412">
        <v>-0.99992530000000002</v>
      </c>
      <c r="N2412">
        <v>-1.068963E-2</v>
      </c>
      <c r="O2412">
        <v>5.9440489999999999E-3</v>
      </c>
      <c r="P2412">
        <v>-0.98470429999999998</v>
      </c>
      <c r="Q2412">
        <v>0.15993450000000001</v>
      </c>
      <c r="R2412">
        <v>-6.9127590000000003E-2</v>
      </c>
      <c r="S2412">
        <v>-3.0388790000000001</v>
      </c>
      <c r="T2412">
        <v>-9.8593239999999999E-2</v>
      </c>
      <c r="U2412">
        <v>-0.3335571</v>
      </c>
      <c r="V2412">
        <v>-7.4972289999999997E-2</v>
      </c>
      <c r="W2412">
        <v>0.17045009999999999</v>
      </c>
      <c r="X2412">
        <v>0.98250999999999999</v>
      </c>
      <c r="Y2412">
        <v>-0.11493390000000001</v>
      </c>
      <c r="Z2412">
        <v>-2.603658E-3</v>
      </c>
      <c r="AA2412">
        <v>0.99336979999999997</v>
      </c>
      <c r="AB2412">
        <v>39</v>
      </c>
      <c r="AC2412">
        <v>-33.9622999999999</v>
      </c>
      <c r="AD2412">
        <v>-1.1095098948940001</v>
      </c>
      <c r="AE2412">
        <v>-3.7551000000000201</v>
      </c>
      <c r="AF2412">
        <v>-3.9527511005593601</v>
      </c>
      <c r="AG2412">
        <v>-1.1095098948940001</v>
      </c>
      <c r="AH2412">
        <v>33.903631368427703</v>
      </c>
      <c r="AI2412">
        <v>91.861756871963806</v>
      </c>
      <c r="AJ2412">
        <v>96.649969137054299</v>
      </c>
      <c r="AK2412">
        <v>34.151302660895297</v>
      </c>
      <c r="AL2412">
        <v>80.186010061227194</v>
      </c>
      <c r="AM2412">
        <v>94.363606906568094</v>
      </c>
      <c r="AN2412">
        <v>0.99999999047892696</v>
      </c>
    </row>
    <row r="2413" spans="1:40" x14ac:dyDescent="0.25">
      <c r="A2413" t="str">
        <f>"20190304155640965"</f>
        <v>20190304155640965</v>
      </c>
      <c r="B2413" t="str">
        <f>"1551686200957134"</f>
        <v>1551686200957134</v>
      </c>
      <c r="C2413" t="s">
        <v>40</v>
      </c>
      <c r="D2413">
        <v>4.6496890000000004</v>
      </c>
      <c r="E2413">
        <v>0.48392269999999998</v>
      </c>
      <c r="F2413" t="s">
        <v>64</v>
      </c>
      <c r="G2413">
        <v>-402.60660000000001</v>
      </c>
      <c r="H2413" s="1">
        <v>8.0590860000000005E-6</v>
      </c>
      <c r="I2413">
        <v>280.68299999999999</v>
      </c>
      <c r="J2413">
        <v>-368.77640000000002</v>
      </c>
      <c r="K2413">
        <v>1.1095189999999999</v>
      </c>
      <c r="L2413">
        <v>284.42439999999999</v>
      </c>
      <c r="M2413">
        <v>-0.99992519999999996</v>
      </c>
      <c r="N2413">
        <v>-1.0692180000000001E-2</v>
      </c>
      <c r="O2413">
        <v>5.9438520000000003E-3</v>
      </c>
      <c r="P2413">
        <v>-0.98469660000000003</v>
      </c>
      <c r="Q2413">
        <v>0.16010479999999899</v>
      </c>
      <c r="R2413">
        <v>-6.8840209999999999E-2</v>
      </c>
      <c r="S2413">
        <v>-3.0392459999999999</v>
      </c>
      <c r="T2413">
        <v>-9.9006529999999995E-2</v>
      </c>
      <c r="U2413">
        <v>-0.33374019999999999</v>
      </c>
      <c r="V2413">
        <v>-7.4685630000000003E-2</v>
      </c>
      <c r="W2413">
        <v>0.170623</v>
      </c>
      <c r="X2413">
        <v>0.98250179999999998</v>
      </c>
      <c r="Y2413">
        <v>-0.1149792</v>
      </c>
      <c r="Z2413">
        <v>-2.613106E-3</v>
      </c>
      <c r="AA2413">
        <v>0.99336449999999998</v>
      </c>
      <c r="AB2413">
        <v>39</v>
      </c>
      <c r="AC2413">
        <v>-33.830199999999898</v>
      </c>
      <c r="AD2413">
        <v>-1.109510940914</v>
      </c>
      <c r="AE2413">
        <v>-3.7413999999999898</v>
      </c>
      <c r="AF2413">
        <v>-3.9382422715018901</v>
      </c>
      <c r="AG2413">
        <v>-1.109510940914</v>
      </c>
      <c r="AH2413">
        <v>33.771476773637801</v>
      </c>
      <c r="AI2413">
        <v>91.869033187279101</v>
      </c>
      <c r="AJ2413">
        <v>96.651473545486198</v>
      </c>
      <c r="AK2413">
        <v>34.0184275090635</v>
      </c>
      <c r="AL2413">
        <v>80.175956136699298</v>
      </c>
      <c r="AM2413">
        <v>94.347022669535406</v>
      </c>
      <c r="AN2413">
        <v>0.99999996923036705</v>
      </c>
    </row>
    <row r="2414" spans="1:40" x14ac:dyDescent="0.25">
      <c r="A2414" t="str">
        <f>"20190304155640983"</f>
        <v>20190304155640983</v>
      </c>
      <c r="B2414" t="str">
        <f>"1551686200976657"</f>
        <v>1551686200976657</v>
      </c>
      <c r="C2414" t="s">
        <v>40</v>
      </c>
      <c r="D2414">
        <v>4.6696489999999997</v>
      </c>
      <c r="E2414">
        <v>0.48389140000000003</v>
      </c>
      <c r="F2414" t="s">
        <v>64</v>
      </c>
      <c r="G2414">
        <v>-402.83769999999998</v>
      </c>
      <c r="H2414" s="1">
        <v>7.9542010000000002E-6</v>
      </c>
      <c r="I2414">
        <v>280.69459999999998</v>
      </c>
      <c r="J2414">
        <v>-369.06939999999997</v>
      </c>
      <c r="K2414">
        <v>1.109515</v>
      </c>
      <c r="L2414">
        <v>284.42610000000002</v>
      </c>
      <c r="M2414">
        <v>-0.99992519999999996</v>
      </c>
      <c r="N2414">
        <v>-1.069526E-2</v>
      </c>
      <c r="O2414">
        <v>5.9436530000000001E-3</v>
      </c>
      <c r="P2414">
        <v>-0.98468540000000004</v>
      </c>
      <c r="Q2414">
        <v>0.1605336</v>
      </c>
      <c r="R2414">
        <v>-6.7996760000000003E-2</v>
      </c>
      <c r="S2414">
        <v>-3.0394589999999999</v>
      </c>
      <c r="T2414">
        <v>-9.9007250000000005E-2</v>
      </c>
      <c r="U2414">
        <v>-0.33282469999999997</v>
      </c>
      <c r="V2414">
        <v>-7.3841400000000001E-2</v>
      </c>
      <c r="W2414">
        <v>0.17105429999999999</v>
      </c>
      <c r="X2414">
        <v>0.98249070000000005</v>
      </c>
      <c r="Y2414">
        <v>-0.114676</v>
      </c>
      <c r="Z2414">
        <v>-2.6066050000000001E-3</v>
      </c>
      <c r="AA2414">
        <v>0.99339960000000005</v>
      </c>
      <c r="AB2414">
        <v>39</v>
      </c>
      <c r="AC2414">
        <v>-33.768300000000004</v>
      </c>
      <c r="AD2414">
        <v>-1.1095070457989999</v>
      </c>
      <c r="AE2414">
        <v>-3.73150000000004</v>
      </c>
      <c r="AF2414">
        <v>-3.9279633382746399</v>
      </c>
      <c r="AG2414">
        <v>-1.1095070457989999</v>
      </c>
      <c r="AH2414">
        <v>33.709571377919097</v>
      </c>
      <c r="AI2414">
        <v>91.872476066253995</v>
      </c>
      <c r="AJ2414">
        <v>96.646342443064896</v>
      </c>
      <c r="AK2414">
        <v>33.955781604235398</v>
      </c>
      <c r="AL2414">
        <v>80.150876570683195</v>
      </c>
      <c r="AM2414">
        <v>94.298118436067</v>
      </c>
      <c r="AN2414">
        <v>1.00000005074446</v>
      </c>
    </row>
    <row r="2415" spans="1:40" x14ac:dyDescent="0.25">
      <c r="A2415" t="str">
        <f>"20190304155641004"</f>
        <v>20190304155641004</v>
      </c>
      <c r="B2415" t="str">
        <f>"1551686200997154"</f>
        <v>1551686200997154</v>
      </c>
      <c r="C2415" t="s">
        <v>40</v>
      </c>
      <c r="D2415">
        <v>4.7053849999999997</v>
      </c>
      <c r="E2415">
        <v>0.48366619999999999</v>
      </c>
      <c r="F2415" t="s">
        <v>64</v>
      </c>
      <c r="G2415">
        <v>-403.24259999999998</v>
      </c>
      <c r="H2415" s="1">
        <v>7.7704659999999999E-6</v>
      </c>
      <c r="I2415">
        <v>280.7149</v>
      </c>
      <c r="J2415">
        <v>-369.44940000000003</v>
      </c>
      <c r="K2415">
        <v>1.109513</v>
      </c>
      <c r="L2415">
        <v>284.42829999999998</v>
      </c>
      <c r="M2415">
        <v>-0.99992519999999996</v>
      </c>
      <c r="N2415">
        <v>-1.069931E-2</v>
      </c>
      <c r="O2415">
        <v>5.9433300000000001E-3</v>
      </c>
      <c r="P2415">
        <v>-0.98462240000000001</v>
      </c>
      <c r="Q2415">
        <v>0.1611331</v>
      </c>
      <c r="R2415">
        <v>-6.7491410000000002E-2</v>
      </c>
      <c r="S2415">
        <v>-3.0399780000000001</v>
      </c>
      <c r="T2415">
        <v>-9.8699690000000007E-2</v>
      </c>
      <c r="U2415">
        <v>-0.33013920000000002</v>
      </c>
      <c r="V2415">
        <v>-7.3335600000000001E-2</v>
      </c>
      <c r="W2415">
        <v>0.171657</v>
      </c>
      <c r="X2415">
        <v>0.98242339999999995</v>
      </c>
      <c r="Y2415">
        <v>-0.113791</v>
      </c>
      <c r="Z2415">
        <v>-2.581074E-3</v>
      </c>
      <c r="AA2415">
        <v>0.99350139999999998</v>
      </c>
      <c r="AB2415">
        <v>39</v>
      </c>
      <c r="AC2415">
        <v>-33.793199999999899</v>
      </c>
      <c r="AD2415">
        <v>-1.109505229534</v>
      </c>
      <c r="AE2415">
        <v>-3.7133999999999698</v>
      </c>
      <c r="AF2415">
        <v>-3.9100254835618502</v>
      </c>
      <c r="AG2415">
        <v>-1.109505229534</v>
      </c>
      <c r="AH2415">
        <v>33.734601385282197</v>
      </c>
      <c r="AI2415">
        <v>91.8712172185231</v>
      </c>
      <c r="AJ2415">
        <v>96.611394679680004</v>
      </c>
      <c r="AK2415">
        <v>33.978561355071299</v>
      </c>
      <c r="AL2415">
        <v>80.115825337970804</v>
      </c>
      <c r="AM2415">
        <v>94.269077666745503</v>
      </c>
      <c r="AN2415">
        <v>0.99999998637195897</v>
      </c>
    </row>
    <row r="2416" spans="1:40" x14ac:dyDescent="0.25">
      <c r="A2416" t="str">
        <f>"20190304155641019"</f>
        <v>20190304155641019</v>
      </c>
      <c r="B2416" t="str">
        <f>"1551686201006911"</f>
        <v>1551686201006911</v>
      </c>
      <c r="C2416" t="s">
        <v>40</v>
      </c>
      <c r="D2416">
        <v>4.6578900000000001</v>
      </c>
      <c r="E2416">
        <v>0.48362850000000002</v>
      </c>
      <c r="F2416" t="s">
        <v>64</v>
      </c>
      <c r="G2416">
        <v>-403.90159999999997</v>
      </c>
      <c r="H2416" s="1">
        <v>7.4842409999999999E-6</v>
      </c>
      <c r="I2416">
        <v>280.68579999999997</v>
      </c>
      <c r="J2416">
        <v>-369.7004</v>
      </c>
      <c r="K2416">
        <v>1.1095139999999999</v>
      </c>
      <c r="L2416">
        <v>284.42989999999998</v>
      </c>
      <c r="M2416">
        <v>-0.99992519999999996</v>
      </c>
      <c r="N2416">
        <v>-1.0702150000000001E-2</v>
      </c>
      <c r="O2416">
        <v>5.9431340000000001E-3</v>
      </c>
      <c r="P2416">
        <v>-0.98459390000000002</v>
      </c>
      <c r="Q2416">
        <v>0.1615132</v>
      </c>
      <c r="R2416">
        <v>-6.6996130000000001E-2</v>
      </c>
      <c r="S2416">
        <v>-3.0402529999999999</v>
      </c>
      <c r="T2416">
        <v>-9.7908969999999998E-2</v>
      </c>
      <c r="U2416">
        <v>-0.33026119999999998</v>
      </c>
      <c r="V2416">
        <v>-7.2840169999999996E-2</v>
      </c>
      <c r="W2416">
        <v>0.1720399</v>
      </c>
      <c r="X2416">
        <v>0.98239330000000002</v>
      </c>
      <c r="Y2416">
        <v>-0.1138218</v>
      </c>
      <c r="Z2416">
        <v>-2.5654010000000001E-3</v>
      </c>
      <c r="AA2416">
        <v>0.99349779999999999</v>
      </c>
      <c r="AB2416">
        <v>39</v>
      </c>
      <c r="AC2416">
        <v>-34.201199999999901</v>
      </c>
      <c r="AD2416">
        <v>-1.1095065157589901</v>
      </c>
      <c r="AE2416">
        <v>-3.7441</v>
      </c>
      <c r="AF2416">
        <v>-3.9432071474091499</v>
      </c>
      <c r="AG2416">
        <v>-1.1095065157589901</v>
      </c>
      <c r="AH2416">
        <v>34.142836867725002</v>
      </c>
      <c r="AI2416">
        <v>91.848948739065705</v>
      </c>
      <c r="AJ2416">
        <v>96.587987665808996</v>
      </c>
      <c r="AK2416">
        <v>34.387689609684102</v>
      </c>
      <c r="AL2416">
        <v>80.093555687412305</v>
      </c>
      <c r="AM2416">
        <v>94.240472249205894</v>
      </c>
      <c r="AN2416">
        <v>1.00000000672126</v>
      </c>
    </row>
    <row r="2417" spans="1:40" x14ac:dyDescent="0.25">
      <c r="A2417" t="str">
        <f>"20190304155641040"</f>
        <v>20190304155641040</v>
      </c>
      <c r="B2417" t="str">
        <f>"1551686201027407"</f>
        <v>1551686201027407</v>
      </c>
      <c r="C2417" t="s">
        <v>40</v>
      </c>
      <c r="D2417">
        <v>4.7425050000000004</v>
      </c>
      <c r="E2417">
        <v>0.48333609999999999</v>
      </c>
      <c r="F2417" t="s">
        <v>64</v>
      </c>
      <c r="G2417">
        <v>-404.39409999999998</v>
      </c>
      <c r="H2417" s="1">
        <v>7.2675919999999901E-6</v>
      </c>
      <c r="I2417">
        <v>280.67720000000003</v>
      </c>
      <c r="J2417">
        <v>-370.05520000000001</v>
      </c>
      <c r="K2417">
        <v>1.109524</v>
      </c>
      <c r="L2417">
        <v>284.43189999999998</v>
      </c>
      <c r="M2417">
        <v>-0.99992499999999995</v>
      </c>
      <c r="N2417">
        <v>-1.07062999999999E-2</v>
      </c>
      <c r="O2417">
        <v>5.9427530000000003E-3</v>
      </c>
      <c r="P2417">
        <v>-0.98454759999999997</v>
      </c>
      <c r="Q2417">
        <v>0.16225329999999999</v>
      </c>
      <c r="R2417">
        <v>-6.5880389999999997E-2</v>
      </c>
      <c r="S2417">
        <v>-3.0405579999999999</v>
      </c>
      <c r="T2417">
        <v>-9.7237229999999994E-2</v>
      </c>
      <c r="U2417">
        <v>-0.32888790000000001</v>
      </c>
      <c r="V2417">
        <v>-7.1723709999999996E-2</v>
      </c>
      <c r="W2417">
        <v>0.172783399999999</v>
      </c>
      <c r="X2417">
        <v>0.98234489999999997</v>
      </c>
      <c r="Y2417">
        <v>-0.11336839999999999</v>
      </c>
      <c r="Z2417">
        <v>-2.5419370000000002E-3</v>
      </c>
      <c r="AA2417">
        <v>0.99354980000000004</v>
      </c>
      <c r="AB2417">
        <v>39</v>
      </c>
      <c r="AC2417">
        <v>-34.338899999999903</v>
      </c>
      <c r="AD2417">
        <v>-1.109516732408</v>
      </c>
      <c r="AE2417">
        <v>-3.75469999999995</v>
      </c>
      <c r="AF2417">
        <v>-3.9546331866823499</v>
      </c>
      <c r="AG2417">
        <v>-1.109516732408</v>
      </c>
      <c r="AH2417">
        <v>34.280613349867103</v>
      </c>
      <c r="AI2417">
        <v>91.841567172555898</v>
      </c>
      <c r="AJ2417">
        <v>96.580588501995393</v>
      </c>
      <c r="AK2417">
        <v>34.525796191598303</v>
      </c>
      <c r="AL2417">
        <v>80.0503080615823</v>
      </c>
      <c r="AM2417">
        <v>94.175912970305802</v>
      </c>
      <c r="AN2417">
        <v>0.99999994822386495</v>
      </c>
    </row>
    <row r="2418" spans="1:40" x14ac:dyDescent="0.25">
      <c r="A2418" t="str">
        <f>"20190304155641062"</f>
        <v>20190304155641062</v>
      </c>
      <c r="B2418" t="str">
        <f>"1551686201056686"</f>
        <v>1551686201056686</v>
      </c>
      <c r="C2418" t="s">
        <v>40</v>
      </c>
      <c r="D2418">
        <v>4.7202409999999997</v>
      </c>
      <c r="E2418">
        <v>0.48282199999999997</v>
      </c>
      <c r="F2418" t="s">
        <v>64</v>
      </c>
      <c r="G2418">
        <v>-405.0591</v>
      </c>
      <c r="H2418" s="1">
        <v>6.9771539999999999E-6</v>
      </c>
      <c r="I2418">
        <v>280.65570000000002</v>
      </c>
      <c r="J2418">
        <v>-370.4486</v>
      </c>
      <c r="K2418">
        <v>1.109526</v>
      </c>
      <c r="L2418">
        <v>284.43430000000001</v>
      </c>
      <c r="M2418">
        <v>-0.99992499999999995</v>
      </c>
      <c r="N2418">
        <v>-1.071094E-2</v>
      </c>
      <c r="O2418">
        <v>5.9424279999999996E-3</v>
      </c>
      <c r="P2418">
        <v>-0.98445570000000004</v>
      </c>
      <c r="Q2418">
        <v>0.16302179999999999</v>
      </c>
      <c r="R2418">
        <v>-6.5351709999999993E-2</v>
      </c>
      <c r="S2418">
        <v>-3.0410159999999999</v>
      </c>
      <c r="T2418">
        <v>-9.6391080000000004E-2</v>
      </c>
      <c r="U2418">
        <v>-0.32806400000000002</v>
      </c>
      <c r="V2418">
        <v>-7.1194419999999994E-2</v>
      </c>
      <c r="W2418">
        <v>0.1735555</v>
      </c>
      <c r="X2418">
        <v>0.98224739999999999</v>
      </c>
      <c r="Y2418">
        <v>-0.1130874</v>
      </c>
      <c r="Z2418">
        <v>-2.5185730000000001E-3</v>
      </c>
      <c r="AA2418">
        <v>0.99358179999999996</v>
      </c>
      <c r="AB2418">
        <v>39</v>
      </c>
      <c r="AC2418">
        <v>-34.610500000000002</v>
      </c>
      <c r="AD2418">
        <v>-1.1095190228459999</v>
      </c>
      <c r="AE2418">
        <v>-3.77859999999998</v>
      </c>
      <c r="AF2418">
        <v>-3.98017334790035</v>
      </c>
      <c r="AG2418">
        <v>-1.1095190228459999</v>
      </c>
      <c r="AH2418">
        <v>34.552343320195</v>
      </c>
      <c r="AI2418">
        <v>91.827133070385997</v>
      </c>
      <c r="AJ2418">
        <v>96.571085796467003</v>
      </c>
      <c r="AK2418">
        <v>34.798523549972899</v>
      </c>
      <c r="AL2418">
        <v>80.005392474923397</v>
      </c>
      <c r="AM2418">
        <v>94.145614380314697</v>
      </c>
      <c r="AN2418">
        <v>1.00000005591307</v>
      </c>
    </row>
    <row r="2419" spans="1:40" x14ac:dyDescent="0.25">
      <c r="A2419" t="str">
        <f>"20190304155641083"</f>
        <v>20190304155641083</v>
      </c>
      <c r="B2419" t="str">
        <f>"1551686201077186"</f>
        <v>1551686201077186</v>
      </c>
      <c r="C2419" t="s">
        <v>40</v>
      </c>
      <c r="D2419">
        <v>4.7421470000000001</v>
      </c>
      <c r="E2419">
        <v>0.48232720000000001</v>
      </c>
      <c r="F2419" t="s">
        <v>64</v>
      </c>
      <c r="G2419">
        <v>-405.58359999999999</v>
      </c>
      <c r="H2419" s="1">
        <v>6.751944E-6</v>
      </c>
      <c r="I2419">
        <v>280.62009999999998</v>
      </c>
      <c r="J2419">
        <v>-370.82639999999998</v>
      </c>
      <c r="K2419">
        <v>1.1095280000000001</v>
      </c>
      <c r="L2419">
        <v>284.43650000000002</v>
      </c>
      <c r="M2419">
        <v>-0.99992499999999995</v>
      </c>
      <c r="N2419">
        <v>-1.071537E-2</v>
      </c>
      <c r="O2419">
        <v>5.942045E-3</v>
      </c>
      <c r="P2419">
        <v>-0.98438479999999995</v>
      </c>
      <c r="Q2419">
        <v>0.16362869999999999</v>
      </c>
      <c r="R2419">
        <v>-6.4904680000000006E-2</v>
      </c>
      <c r="S2419">
        <v>-3.0413510000000001</v>
      </c>
      <c r="T2419">
        <v>-9.6042279999999994E-2</v>
      </c>
      <c r="U2419">
        <v>-0.33016970000000001</v>
      </c>
      <c r="V2419">
        <v>-7.0746390000000006E-2</v>
      </c>
      <c r="W2419">
        <v>0.17416589999999901</v>
      </c>
      <c r="X2419">
        <v>0.98217169999999998</v>
      </c>
      <c r="Y2419">
        <v>-0.1137553</v>
      </c>
      <c r="Z2419">
        <v>-2.5254850000000001E-3</v>
      </c>
      <c r="AA2419">
        <v>0.99350559999999999</v>
      </c>
      <c r="AB2419">
        <v>39</v>
      </c>
      <c r="AC2419">
        <v>-34.757199999999997</v>
      </c>
      <c r="AD2419">
        <v>-1.1095212480559999</v>
      </c>
      <c r="AE2419">
        <v>-3.8164000000000402</v>
      </c>
      <c r="AF2419">
        <v>-4.0188268383397201</v>
      </c>
      <c r="AG2419">
        <v>-1.1095212480559999</v>
      </c>
      <c r="AH2419">
        <v>34.698970162991301</v>
      </c>
      <c r="AI2419">
        <v>91.8192910511289</v>
      </c>
      <c r="AJ2419">
        <v>96.606548531349503</v>
      </c>
      <c r="AK2419">
        <v>34.948541270396497</v>
      </c>
      <c r="AL2419">
        <v>79.969878001067201</v>
      </c>
      <c r="AM2419">
        <v>94.119932350574501</v>
      </c>
      <c r="AN2419">
        <v>1.00000003035086</v>
      </c>
    </row>
    <row r="2420" spans="1:40" x14ac:dyDescent="0.25">
      <c r="A2420" t="str">
        <f>"20190304155641105"</f>
        <v>20190304155641105</v>
      </c>
      <c r="B2420" t="str">
        <f>"1551686201096703"</f>
        <v>1551686201096703</v>
      </c>
      <c r="C2420" t="s">
        <v>40</v>
      </c>
      <c r="D2420">
        <v>4.7470619999999997</v>
      </c>
      <c r="E2420">
        <v>0.48201179999999899</v>
      </c>
      <c r="F2420" t="s">
        <v>64</v>
      </c>
      <c r="G2420">
        <v>-406.06380000000001</v>
      </c>
      <c r="H2420" s="1">
        <v>6.54666399999999E-6</v>
      </c>
      <c r="I2420">
        <v>280.58269999999999</v>
      </c>
      <c r="J2420">
        <v>-371.21300000000002</v>
      </c>
      <c r="K2420">
        <v>1.1095330000000001</v>
      </c>
      <c r="L2420">
        <v>284.43880000000001</v>
      </c>
      <c r="M2420">
        <v>-0.99992479999999995</v>
      </c>
      <c r="N2420">
        <v>-1.071984E-2</v>
      </c>
      <c r="O2420">
        <v>5.9416620000000003E-3</v>
      </c>
      <c r="P2420">
        <v>-0.98422929999999997</v>
      </c>
      <c r="Q2420">
        <v>0.16473950000000001</v>
      </c>
      <c r="R2420">
        <v>-6.4448420000000006E-2</v>
      </c>
      <c r="S2420">
        <v>-3.041534</v>
      </c>
      <c r="T2420">
        <v>-9.5768930000000002E-2</v>
      </c>
      <c r="U2420">
        <v>-0.33264159999999998</v>
      </c>
      <c r="V2420">
        <v>-7.0288749999999997E-2</v>
      </c>
      <c r="W2420">
        <v>0.17527909999999999</v>
      </c>
      <c r="X2420">
        <v>0.9820065</v>
      </c>
      <c r="Y2420">
        <v>-0.1145463</v>
      </c>
      <c r="Z2420">
        <v>-2.536572E-3</v>
      </c>
      <c r="AA2420">
        <v>0.99341460000000004</v>
      </c>
      <c r="AB2420">
        <v>39</v>
      </c>
      <c r="AC2420">
        <v>-34.8507999999999</v>
      </c>
      <c r="AD2420">
        <v>-1.1095264533360001</v>
      </c>
      <c r="AE2420">
        <v>-3.8561000000000201</v>
      </c>
      <c r="AF2420">
        <v>-4.0590511785248102</v>
      </c>
      <c r="AG2420">
        <v>-1.1095264533360001</v>
      </c>
      <c r="AH2420">
        <v>34.792434041104499</v>
      </c>
      <c r="AI2420">
        <v>91.814239899908003</v>
      </c>
      <c r="AJ2420">
        <v>96.654317612294193</v>
      </c>
      <c r="AK2420">
        <v>35.045975688017897</v>
      </c>
      <c r="AL2420">
        <v>79.905099783250293</v>
      </c>
      <c r="AM2420">
        <v>94.094058739767206</v>
      </c>
      <c r="AN2420">
        <v>1.00000001865781</v>
      </c>
    </row>
    <row r="2421" spans="1:40" x14ac:dyDescent="0.25">
      <c r="A2421" t="str">
        <f>"20190304155641118"</f>
        <v>20190304155641118</v>
      </c>
      <c r="B2421" t="str">
        <f>"1551686201107440"</f>
        <v>1551686201107440</v>
      </c>
      <c r="C2421" t="s">
        <v>40</v>
      </c>
      <c r="D2421">
        <v>4.6618969999999997</v>
      </c>
      <c r="E2421">
        <v>0.48177950000000003</v>
      </c>
      <c r="F2421" t="s">
        <v>64</v>
      </c>
      <c r="G2421">
        <v>-407.3098</v>
      </c>
      <c r="H2421" s="1">
        <v>6.0158369999999996E-6</v>
      </c>
      <c r="I2421">
        <v>280.47770000000003</v>
      </c>
      <c r="J2421">
        <v>-371.4409</v>
      </c>
      <c r="K2421">
        <v>1.1095349999999999</v>
      </c>
      <c r="L2421">
        <v>284.4402</v>
      </c>
      <c r="M2421">
        <v>-0.99992490000000001</v>
      </c>
      <c r="N2421">
        <v>-1.0723760000000001E-2</v>
      </c>
      <c r="O2421">
        <v>5.9411660000000003E-3</v>
      </c>
      <c r="P2421">
        <v>-0.98420450000000004</v>
      </c>
      <c r="Q2421">
        <v>0.16493389999999999</v>
      </c>
      <c r="R2421">
        <v>-6.4331959999999994E-2</v>
      </c>
      <c r="S2421">
        <v>-3.0418400000000001</v>
      </c>
      <c r="T2421">
        <v>-9.3498590000000006E-2</v>
      </c>
      <c r="U2421">
        <v>-0.33380130000000002</v>
      </c>
      <c r="V2421">
        <v>-7.0171529999999996E-2</v>
      </c>
      <c r="W2421">
        <v>0.17547769999999999</v>
      </c>
      <c r="X2421">
        <v>0.98197939999999995</v>
      </c>
      <c r="Y2421">
        <v>-0.11491220000000001</v>
      </c>
      <c r="Z2421">
        <v>-2.4970970000000002E-3</v>
      </c>
      <c r="AA2421">
        <v>0.99337249999999999</v>
      </c>
      <c r="AB2421">
        <v>39</v>
      </c>
      <c r="AC2421">
        <v>-35.868899999999996</v>
      </c>
      <c r="AD2421">
        <v>-1.1095289841629901</v>
      </c>
      <c r="AE2421">
        <v>-3.9624999999999702</v>
      </c>
      <c r="AF2421">
        <v>-4.1716019440127097</v>
      </c>
      <c r="AG2421">
        <v>-1.1095289841629901</v>
      </c>
      <c r="AH2421">
        <v>35.810871370685597</v>
      </c>
      <c r="AI2421">
        <v>91.762716614297005</v>
      </c>
      <c r="AJ2421">
        <v>96.6444283132724</v>
      </c>
      <c r="AK2421">
        <v>36.070096003112802</v>
      </c>
      <c r="AL2421">
        <v>79.893541558746193</v>
      </c>
      <c r="AM2421">
        <v>94.087366683678297</v>
      </c>
      <c r="AN2421">
        <v>1.00000000442209</v>
      </c>
    </row>
    <row r="2422" spans="1:40" x14ac:dyDescent="0.25">
      <c r="A2422" t="str">
        <f>"20190304155641131"</f>
        <v>20190304155641131</v>
      </c>
      <c r="B2422" t="str">
        <f>"1551686201126959"</f>
        <v>1551686201126959</v>
      </c>
      <c r="C2422" t="s">
        <v>40</v>
      </c>
      <c r="D2422">
        <v>4.7662250000000004</v>
      </c>
      <c r="E2422">
        <v>0.48136679999999998</v>
      </c>
      <c r="F2422" t="s">
        <v>64</v>
      </c>
      <c r="G2422">
        <v>-407.03890000000001</v>
      </c>
      <c r="H2422" s="1">
        <v>6.1277139999999998E-6</v>
      </c>
      <c r="I2422">
        <v>280.51769999999999</v>
      </c>
      <c r="J2422">
        <v>-371.66739999999999</v>
      </c>
      <c r="K2422">
        <v>1.1095360000000001</v>
      </c>
      <c r="L2422">
        <v>284.44150000000002</v>
      </c>
      <c r="M2422">
        <v>-0.99992479999999995</v>
      </c>
      <c r="N2422">
        <v>-1.0728730000000001E-2</v>
      </c>
      <c r="O2422">
        <v>5.9407829999999998E-3</v>
      </c>
      <c r="P2422">
        <v>-0.98416729999999997</v>
      </c>
      <c r="Q2422">
        <v>0.16521729999999901</v>
      </c>
      <c r="R2422">
        <v>-6.4174490000000001E-2</v>
      </c>
      <c r="S2422">
        <v>-3.0421140000000002</v>
      </c>
      <c r="T2422">
        <v>-9.4817520000000002E-2</v>
      </c>
      <c r="U2422">
        <v>-0.33520509999999998</v>
      </c>
      <c r="V2422">
        <v>-7.0013350000000002E-2</v>
      </c>
      <c r="W2422">
        <v>0.17576539999999999</v>
      </c>
      <c r="X2422">
        <v>0.98193920000000001</v>
      </c>
      <c r="Y2422">
        <v>-0.11535289999999999</v>
      </c>
      <c r="Z2422">
        <v>-2.5337459999999999E-3</v>
      </c>
      <c r="AA2422">
        <v>0.99332140000000002</v>
      </c>
      <c r="AB2422">
        <v>39</v>
      </c>
      <c r="AC2422">
        <v>-35.371499999999997</v>
      </c>
      <c r="AD2422">
        <v>-1.1095298722859901</v>
      </c>
      <c r="AE2422">
        <v>-3.9238000000000199</v>
      </c>
      <c r="AF2422">
        <v>-4.1298630875220796</v>
      </c>
      <c r="AG2422">
        <v>-1.1095298722859901</v>
      </c>
      <c r="AH2422">
        <v>35.313240031899603</v>
      </c>
      <c r="AI2422">
        <v>91.787447561584003</v>
      </c>
      <c r="AJ2422">
        <v>96.670407787387404</v>
      </c>
      <c r="AK2422">
        <v>35.571220771991001</v>
      </c>
      <c r="AL2422">
        <v>79.876796955067903</v>
      </c>
      <c r="AM2422">
        <v>94.078350498171602</v>
      </c>
      <c r="AN2422">
        <v>0.99999996875601005</v>
      </c>
    </row>
    <row r="2423" spans="1:40" x14ac:dyDescent="0.25">
      <c r="A2423" t="str">
        <f>"20190304155641150"</f>
        <v>20190304155641150</v>
      </c>
      <c r="B2423" t="str">
        <f>"1551686201147455"</f>
        <v>1551686201147455</v>
      </c>
      <c r="C2423" t="s">
        <v>40</v>
      </c>
      <c r="D2423">
        <v>4.6560309999999996</v>
      </c>
      <c r="E2423">
        <v>0.48138439999999999</v>
      </c>
      <c r="F2423" t="s">
        <v>64</v>
      </c>
      <c r="G2423">
        <v>-406.90870000000001</v>
      </c>
      <c r="H2423" s="1">
        <v>6.1839589999999999E-6</v>
      </c>
      <c r="I2423">
        <v>280.52499999999998</v>
      </c>
      <c r="J2423">
        <v>-372.005</v>
      </c>
      <c r="K2423">
        <v>1.1095379999999999</v>
      </c>
      <c r="L2423">
        <v>284.44349999999997</v>
      </c>
      <c r="M2423">
        <v>-0.9999247</v>
      </c>
      <c r="N2423">
        <v>-1.0741840000000001E-2</v>
      </c>
      <c r="O2423">
        <v>5.9402350000000003E-3</v>
      </c>
      <c r="P2423">
        <v>-0.98414829999999998</v>
      </c>
      <c r="Q2423">
        <v>0.1653328</v>
      </c>
      <c r="R2423">
        <v>-6.4165319999999998E-2</v>
      </c>
      <c r="S2423">
        <v>-3.0422669999999998</v>
      </c>
      <c r="T2423">
        <v>-9.5782279999999997E-2</v>
      </c>
      <c r="U2423">
        <v>-0.33810420000000002</v>
      </c>
      <c r="V2423">
        <v>-7.0003770000000007E-2</v>
      </c>
      <c r="W2423">
        <v>0.1758931</v>
      </c>
      <c r="X2423">
        <v>0.98191700000000004</v>
      </c>
      <c r="Y2423">
        <v>-0.1162801</v>
      </c>
      <c r="Z2423">
        <v>-2.5738950000000001E-3</v>
      </c>
      <c r="AA2423">
        <v>0.99321309999999996</v>
      </c>
      <c r="AB2423">
        <v>39</v>
      </c>
      <c r="AC2423">
        <v>-34.903700000000001</v>
      </c>
      <c r="AD2423">
        <v>-1.1095318160409999</v>
      </c>
      <c r="AE2423">
        <v>-3.9184999999999901</v>
      </c>
      <c r="AF2423">
        <v>-4.1216658859583104</v>
      </c>
      <c r="AG2423">
        <v>-1.1095318160409999</v>
      </c>
      <c r="AH2423">
        <v>34.845033292817099</v>
      </c>
      <c r="AI2423">
        <v>91.811171872376704</v>
      </c>
      <c r="AJ2423">
        <v>96.745920730185006</v>
      </c>
      <c r="AK2423">
        <v>35.105491532006901</v>
      </c>
      <c r="AL2423">
        <v>79.869364326317495</v>
      </c>
      <c r="AM2423">
        <v>94.077886219025103</v>
      </c>
      <c r="AN2423">
        <v>0.99999995266540997</v>
      </c>
    </row>
    <row r="2424" spans="1:40" x14ac:dyDescent="0.25">
      <c r="A2424" t="str">
        <f>"20190304155641162"</f>
        <v>20190304155641162</v>
      </c>
      <c r="B2424" t="str">
        <f>"1551686201157215"</f>
        <v>1551686201157215</v>
      </c>
      <c r="C2424" t="s">
        <v>40</v>
      </c>
      <c r="D2424">
        <v>4.6512989999999999</v>
      </c>
      <c r="E2424">
        <v>0.4814428</v>
      </c>
      <c r="F2424" t="s">
        <v>64</v>
      </c>
      <c r="G2424">
        <v>-407.55900000000003</v>
      </c>
      <c r="H2424" s="1">
        <v>5.9000490000000001E-6</v>
      </c>
      <c r="I2424">
        <v>280.50319999999999</v>
      </c>
      <c r="J2424">
        <v>-372.22149999999999</v>
      </c>
      <c r="K2424">
        <v>1.1095379999999999</v>
      </c>
      <c r="L2424">
        <v>284.44479999999999</v>
      </c>
      <c r="M2424">
        <v>-0.99992449999999999</v>
      </c>
      <c r="N2424">
        <v>-1.075307E-2</v>
      </c>
      <c r="O2424">
        <v>5.939995E-3</v>
      </c>
      <c r="P2424">
        <v>-0.9840894</v>
      </c>
      <c r="Q2424">
        <v>0.16564309999999999</v>
      </c>
      <c r="R2424">
        <v>-6.4269030000000005E-2</v>
      </c>
      <c r="S2424">
        <v>-3.0422669999999998</v>
      </c>
      <c r="T2424">
        <v>-9.4939830000000003E-2</v>
      </c>
      <c r="U2424">
        <v>-0.33715820000000002</v>
      </c>
      <c r="V2424">
        <v>-7.0106909999999995E-2</v>
      </c>
      <c r="W2424">
        <v>0.1762137</v>
      </c>
      <c r="X2424">
        <v>0.98185219999999995</v>
      </c>
      <c r="Y2424">
        <v>-0.1159761</v>
      </c>
      <c r="Z2424">
        <v>-2.5504519999999999E-3</v>
      </c>
      <c r="AA2424">
        <v>0.99324869999999998</v>
      </c>
      <c r="AB2424">
        <v>39</v>
      </c>
      <c r="AC2424">
        <v>-35.337499999999999</v>
      </c>
      <c r="AD2424">
        <v>-1.1095320999510001</v>
      </c>
      <c r="AE2424">
        <v>-3.94159999999999</v>
      </c>
      <c r="AF2424">
        <v>-4.1474087204220504</v>
      </c>
      <c r="AG2424">
        <v>-1.1095320999510001</v>
      </c>
      <c r="AH2424">
        <v>35.279109771252401</v>
      </c>
      <c r="AI2424">
        <v>91.789053019592004</v>
      </c>
      <c r="AJ2424">
        <v>96.704911266405404</v>
      </c>
      <c r="AK2424">
        <v>35.539381632593603</v>
      </c>
      <c r="AL2424">
        <v>79.850704264909595</v>
      </c>
      <c r="AM2424">
        <v>94.084142670088298</v>
      </c>
      <c r="AN2424">
        <v>0.99999999477113799</v>
      </c>
    </row>
    <row r="2425" spans="1:40" x14ac:dyDescent="0.25">
      <c r="A2425" t="str">
        <f>"20190304155641176"</f>
        <v>20190304155641176</v>
      </c>
      <c r="B2425" t="str">
        <f>"1551686201166975"</f>
        <v>1551686201166975</v>
      </c>
      <c r="C2425" t="s">
        <v>40</v>
      </c>
      <c r="D2425">
        <v>4.6386250000000002</v>
      </c>
      <c r="E2425">
        <v>0.48145500000000002</v>
      </c>
      <c r="F2425" t="s">
        <v>64</v>
      </c>
      <c r="G2425">
        <v>-408.2398</v>
      </c>
      <c r="H2425" s="1">
        <v>5.608363E-6</v>
      </c>
      <c r="I2425">
        <v>280.4538</v>
      </c>
      <c r="J2425">
        <v>-372.45639999999997</v>
      </c>
      <c r="K2425">
        <v>1.1095410000000001</v>
      </c>
      <c r="L2425">
        <v>284.44619999999998</v>
      </c>
      <c r="M2425">
        <v>-0.99992440000000005</v>
      </c>
      <c r="N2425">
        <v>-1.076569E-2</v>
      </c>
      <c r="O2425">
        <v>5.9397479999999999E-3</v>
      </c>
      <c r="P2425">
        <v>-0.98405169999999997</v>
      </c>
      <c r="Q2425">
        <v>0.1658558</v>
      </c>
      <c r="R2425">
        <v>-6.4296480000000003E-2</v>
      </c>
      <c r="S2425">
        <v>-3.0422669999999998</v>
      </c>
      <c r="T2425">
        <v>-9.3716140000000003E-2</v>
      </c>
      <c r="U2425">
        <v>-0.33709719999999999</v>
      </c>
      <c r="V2425">
        <v>-7.0134009999999997E-2</v>
      </c>
      <c r="W2425">
        <v>0.1764385</v>
      </c>
      <c r="X2425">
        <v>0.98180990000000001</v>
      </c>
      <c r="Y2425">
        <v>-0.1159579</v>
      </c>
      <c r="Z2425">
        <v>-2.5251090000000002E-3</v>
      </c>
      <c r="AA2425">
        <v>0.99325090000000005</v>
      </c>
      <c r="AB2425">
        <v>39</v>
      </c>
      <c r="AC2425">
        <v>-35.7834</v>
      </c>
      <c r="AD2425">
        <v>-1.1095353916370001</v>
      </c>
      <c r="AE2425">
        <v>-3.9923999999999702</v>
      </c>
      <c r="AF2425">
        <v>-4.2008970387161</v>
      </c>
      <c r="AG2425">
        <v>-1.1095353916370001</v>
      </c>
      <c r="AH2425">
        <v>35.725128446212103</v>
      </c>
      <c r="AI2425">
        <v>91.766730610639797</v>
      </c>
      <c r="AJ2425">
        <v>96.706579259638204</v>
      </c>
      <c r="AK2425">
        <v>35.988378780010898</v>
      </c>
      <c r="AL2425">
        <v>79.837619224578802</v>
      </c>
      <c r="AM2425">
        <v>94.085891491708693</v>
      </c>
      <c r="AN2425">
        <v>1.0000000016894699</v>
      </c>
    </row>
    <row r="2426" spans="1:40" x14ac:dyDescent="0.25">
      <c r="A2426" t="str">
        <f>"20190304155641189"</f>
        <v>20190304155641189</v>
      </c>
      <c r="B2426" t="str">
        <f>"1551686201176736"</f>
        <v>1551686201176736</v>
      </c>
      <c r="C2426" t="s">
        <v>40</v>
      </c>
      <c r="D2426">
        <v>4.6646219999999996</v>
      </c>
      <c r="E2426">
        <v>0.48147600000000002</v>
      </c>
      <c r="F2426" t="s">
        <v>64</v>
      </c>
      <c r="G2426">
        <v>-408.78579999999999</v>
      </c>
      <c r="H2426" s="1">
        <v>5.3731320000000003E-6</v>
      </c>
      <c r="I2426">
        <v>280.42039999999997</v>
      </c>
      <c r="J2426">
        <v>-372.70030000000003</v>
      </c>
      <c r="K2426">
        <v>1.1095410000000001</v>
      </c>
      <c r="L2426">
        <v>284.44760000000002</v>
      </c>
      <c r="M2426">
        <v>-0.99992440000000005</v>
      </c>
      <c r="N2426">
        <v>-1.077939E-2</v>
      </c>
      <c r="O2426">
        <v>5.9393750000000002E-3</v>
      </c>
      <c r="P2426">
        <v>-0.98404599999999998</v>
      </c>
      <c r="Q2426">
        <v>0.16590150000000001</v>
      </c>
      <c r="R2426">
        <v>-6.4266409999999996E-2</v>
      </c>
      <c r="S2426">
        <v>-3.0422669999999998</v>
      </c>
      <c r="T2426">
        <v>-9.2913750000000003E-2</v>
      </c>
      <c r="U2426">
        <v>-0.33712769999999997</v>
      </c>
      <c r="V2426">
        <v>-7.0103760000000001E-2</v>
      </c>
      <c r="W2426">
        <v>0.17649770000000001</v>
      </c>
      <c r="X2426">
        <v>0.98180149999999999</v>
      </c>
      <c r="Y2426">
        <v>-0.1159685</v>
      </c>
      <c r="Z2426">
        <v>-2.5092360000000002E-3</v>
      </c>
      <c r="AA2426">
        <v>0.99324970000000001</v>
      </c>
      <c r="AB2426">
        <v>39</v>
      </c>
      <c r="AC2426">
        <v>-36.085499999999897</v>
      </c>
      <c r="AD2426">
        <v>-1.1095356268679999</v>
      </c>
      <c r="AE2426">
        <v>-4.0272000000000503</v>
      </c>
      <c r="AF2426">
        <v>-4.2375098261225999</v>
      </c>
      <c r="AG2426">
        <v>-1.1095356268679999</v>
      </c>
      <c r="AH2426">
        <v>36.027301679122097</v>
      </c>
      <c r="AI2426">
        <v>91.751915994063197</v>
      </c>
      <c r="AJ2426">
        <v>96.708274047018605</v>
      </c>
      <c r="AK2426">
        <v>36.292616674914001</v>
      </c>
      <c r="AL2426">
        <v>79.834174042317201</v>
      </c>
      <c r="AM2426">
        <v>94.084169965948803</v>
      </c>
      <c r="AN2426">
        <v>1.0000000803368301</v>
      </c>
    </row>
    <row r="2427" spans="1:40" x14ac:dyDescent="0.25">
      <c r="A2427" t="str">
        <f>"20190304155641201"</f>
        <v>20190304155641201</v>
      </c>
      <c r="B2427" t="str">
        <f>"1551686201197231"</f>
        <v>1551686201197231</v>
      </c>
      <c r="C2427" t="s">
        <v>40</v>
      </c>
      <c r="D2427">
        <v>4.6791159999999996</v>
      </c>
      <c r="E2427">
        <v>0.48147119999999999</v>
      </c>
      <c r="F2427" t="s">
        <v>64</v>
      </c>
      <c r="G2427">
        <v>-409.18079999999998</v>
      </c>
      <c r="H2427" s="1">
        <v>5.2004850000000002E-6</v>
      </c>
      <c r="I2427">
        <v>280.4083</v>
      </c>
      <c r="J2427">
        <v>-372.9128</v>
      </c>
      <c r="K2427">
        <v>1.109542</v>
      </c>
      <c r="L2427">
        <v>284.44889999999998</v>
      </c>
      <c r="M2427">
        <v>-0.99992420000000004</v>
      </c>
      <c r="N2427">
        <v>-1.079099E-2</v>
      </c>
      <c r="O2427">
        <v>5.9391330000000001E-3</v>
      </c>
      <c r="P2427">
        <v>-0.98405129999999996</v>
      </c>
      <c r="Q2427">
        <v>0.16579539999999901</v>
      </c>
      <c r="R2427">
        <v>-6.4461619999999997E-2</v>
      </c>
      <c r="S2427">
        <v>-3.0422060000000002</v>
      </c>
      <c r="T2427">
        <v>-9.2527150000000002E-2</v>
      </c>
      <c r="U2427">
        <v>-0.33685300000000001</v>
      </c>
      <c r="V2427">
        <v>-7.0298319999999997E-2</v>
      </c>
      <c r="W2427">
        <v>0.1764029</v>
      </c>
      <c r="X2427">
        <v>0.98180449999999997</v>
      </c>
      <c r="Y2427">
        <v>-0.115882399999999</v>
      </c>
      <c r="Z2427">
        <v>-2.5000180000000001E-3</v>
      </c>
      <c r="AA2427">
        <v>0.99325980000000003</v>
      </c>
      <c r="AB2427">
        <v>39</v>
      </c>
      <c r="AC2427">
        <v>-36.267999999999901</v>
      </c>
      <c r="AD2427">
        <v>-1.1095367995150001</v>
      </c>
      <c r="AE2427">
        <v>-4.04059999999998</v>
      </c>
      <c r="AF2427">
        <v>-4.2520110024547497</v>
      </c>
      <c r="AG2427">
        <v>-1.1095367995150001</v>
      </c>
      <c r="AH2427">
        <v>36.209887336613797</v>
      </c>
      <c r="AI2427">
        <v>91.743128288854194</v>
      </c>
      <c r="AJ2427">
        <v>96.697388568470203</v>
      </c>
      <c r="AK2427">
        <v>36.475561824387803</v>
      </c>
      <c r="AL2427">
        <v>79.839690994322098</v>
      </c>
      <c r="AM2427">
        <v>94.095453835350796</v>
      </c>
      <c r="AN2427">
        <v>0.99999995657174001</v>
      </c>
    </row>
    <row r="2428" spans="1:40" x14ac:dyDescent="0.25">
      <c r="A2428" t="str">
        <f>"20190304155641217"</f>
        <v>20190304155641217</v>
      </c>
      <c r="B2428" t="str">
        <f>"1551686201206991"</f>
        <v>1551686201206991</v>
      </c>
      <c r="C2428" t="s">
        <v>40</v>
      </c>
      <c r="D2428">
        <v>4.6570429999999998</v>
      </c>
      <c r="E2428">
        <v>0.48146909999999998</v>
      </c>
      <c r="F2428" t="s">
        <v>64</v>
      </c>
      <c r="G2428">
        <v>-409.38200000000001</v>
      </c>
      <c r="H2428" s="1">
        <v>5.1124770000000002E-6</v>
      </c>
      <c r="I2428">
        <v>280.40230000000003</v>
      </c>
      <c r="J2428">
        <v>-373.18920000000003</v>
      </c>
      <c r="K2428">
        <v>1.109537</v>
      </c>
      <c r="L2428">
        <v>284.45060000000001</v>
      </c>
      <c r="M2428">
        <v>-0.99992400000000004</v>
      </c>
      <c r="N2428">
        <v>-1.08057E-2</v>
      </c>
      <c r="O2428">
        <v>5.9388729999999999E-3</v>
      </c>
      <c r="P2428">
        <v>-0.98407230000000001</v>
      </c>
      <c r="Q2428">
        <v>0.16550970000000001</v>
      </c>
      <c r="R2428">
        <v>-6.4871029999999996E-2</v>
      </c>
      <c r="S2428">
        <v>-3.0421140000000002</v>
      </c>
      <c r="T2428">
        <v>-9.2553140000000006E-2</v>
      </c>
      <c r="U2428">
        <v>-0.33755489999999999</v>
      </c>
      <c r="V2428">
        <v>-7.0707690000000004E-2</v>
      </c>
      <c r="W2428">
        <v>0.17613199999999901</v>
      </c>
      <c r="X2428">
        <v>0.98182380000000002</v>
      </c>
      <c r="Y2428">
        <v>-0.1161116</v>
      </c>
      <c r="Z2428">
        <v>-2.5060849999999999E-3</v>
      </c>
      <c r="AA2428">
        <v>0.99323300000000003</v>
      </c>
      <c r="AB2428">
        <v>39</v>
      </c>
      <c r="AC2428">
        <v>-36.192799999999899</v>
      </c>
      <c r="AD2428">
        <v>-1.109531887523</v>
      </c>
      <c r="AE2428">
        <v>-4.0482999999999798</v>
      </c>
      <c r="AF2428">
        <v>-4.2592322244588097</v>
      </c>
      <c r="AG2428">
        <v>-1.109531887523</v>
      </c>
      <c r="AH2428">
        <v>36.134578277533898</v>
      </c>
      <c r="AI2428">
        <v>91.746661157197195</v>
      </c>
      <c r="AJ2428">
        <v>96.722513072634399</v>
      </c>
      <c r="AK2428">
        <v>36.401646493620603</v>
      </c>
      <c r="AL2428">
        <v>79.855459932098995</v>
      </c>
      <c r="AM2428">
        <v>94.119140443249705</v>
      </c>
      <c r="AN2428">
        <v>1.00000001654778</v>
      </c>
    </row>
    <row r="2429" spans="1:40" x14ac:dyDescent="0.25">
      <c r="A2429" t="str">
        <f>"20190304155641230"</f>
        <v>20190304155641230</v>
      </c>
      <c r="B2429" t="str">
        <f>"1551686201227487"</f>
        <v>1551686201227487</v>
      </c>
      <c r="C2429" t="s">
        <v>40</v>
      </c>
      <c r="D2429">
        <v>4.6794890000000002</v>
      </c>
      <c r="E2429">
        <v>0.4815024</v>
      </c>
      <c r="F2429" t="s">
        <v>64</v>
      </c>
      <c r="G2429">
        <v>-409.33089999999999</v>
      </c>
      <c r="H2429" s="1">
        <v>5.1308019999999997E-6</v>
      </c>
      <c r="I2429">
        <v>280.42340000000002</v>
      </c>
      <c r="J2429">
        <v>-373.41500000000002</v>
      </c>
      <c r="K2429">
        <v>1.109537</v>
      </c>
      <c r="L2429">
        <v>284.45190000000002</v>
      </c>
      <c r="M2429">
        <v>-0.99992389999999998</v>
      </c>
      <c r="N2429">
        <v>-1.0817419999999999E-2</v>
      </c>
      <c r="O2429">
        <v>5.9386309999999998E-3</v>
      </c>
      <c r="P2429">
        <v>-0.98408370000000001</v>
      </c>
      <c r="Q2429">
        <v>0.1653625</v>
      </c>
      <c r="R2429">
        <v>-6.5074939999999998E-2</v>
      </c>
      <c r="S2429">
        <v>-3.0419619999999998</v>
      </c>
      <c r="T2429">
        <v>-9.3386769999999994E-2</v>
      </c>
      <c r="U2429">
        <v>-0.3389587</v>
      </c>
      <c r="V2429">
        <v>-7.0911680000000005E-2</v>
      </c>
      <c r="W2429">
        <v>0.17599679999999901</v>
      </c>
      <c r="X2429">
        <v>0.98183330000000002</v>
      </c>
      <c r="Y2429">
        <v>-0.11656809999999999</v>
      </c>
      <c r="Z2429">
        <v>-2.533694E-3</v>
      </c>
      <c r="AA2429">
        <v>0.99317949999999999</v>
      </c>
      <c r="AB2429">
        <v>39</v>
      </c>
      <c r="AC2429">
        <v>-35.915899999999901</v>
      </c>
      <c r="AD2429">
        <v>-1.1095318691980001</v>
      </c>
      <c r="AE2429">
        <v>-4.0285000000000002</v>
      </c>
      <c r="AF2429">
        <v>-4.2377386795741696</v>
      </c>
      <c r="AG2429">
        <v>-1.1095318691980001</v>
      </c>
      <c r="AH2429">
        <v>35.857546073616</v>
      </c>
      <c r="AI2429">
        <v>91.760083489663899</v>
      </c>
      <c r="AJ2429">
        <v>96.740101307944897</v>
      </c>
      <c r="AK2429">
        <v>36.124134598722499</v>
      </c>
      <c r="AL2429">
        <v>79.863328922245003</v>
      </c>
      <c r="AM2429">
        <v>94.130943151667296</v>
      </c>
      <c r="AN2429">
        <v>0.99999998447977601</v>
      </c>
    </row>
    <row r="2430" spans="1:40" x14ac:dyDescent="0.25">
      <c r="A2430" t="str">
        <f>"20190304155641251"</f>
        <v>20190304155641251</v>
      </c>
      <c r="B2430" t="str">
        <f>"1551686201247007"</f>
        <v>1551686201247007</v>
      </c>
      <c r="C2430" t="s">
        <v>40</v>
      </c>
      <c r="D2430">
        <v>4.6938110000000002</v>
      </c>
      <c r="E2430">
        <v>0.48153980000000002</v>
      </c>
      <c r="F2430" t="s">
        <v>64</v>
      </c>
      <c r="G2430">
        <v>-409.40159999999997</v>
      </c>
      <c r="H2430" s="1">
        <v>5.0962020000000001E-6</v>
      </c>
      <c r="I2430">
        <v>280.43900000000002</v>
      </c>
      <c r="J2430">
        <v>-373.79079999999999</v>
      </c>
      <c r="K2430">
        <v>1.1095389999999901</v>
      </c>
      <c r="L2430">
        <v>284.45420000000001</v>
      </c>
      <c r="M2430">
        <v>-0.99992380000000003</v>
      </c>
      <c r="N2430">
        <v>-1.0839700000000001E-2</v>
      </c>
      <c r="O2430">
        <v>5.9382109999999997E-3</v>
      </c>
      <c r="P2430">
        <v>-0.9840835</v>
      </c>
      <c r="Q2430">
        <v>0.16505929999999999</v>
      </c>
      <c r="R2430">
        <v>-6.5845089999999995E-2</v>
      </c>
      <c r="S2430">
        <v>-3.0418400000000001</v>
      </c>
      <c r="T2430">
        <v>-9.378541E-2</v>
      </c>
      <c r="U2430">
        <v>-0.33920289999999997</v>
      </c>
      <c r="V2430">
        <v>-7.1681250000000002E-2</v>
      </c>
      <c r="W2430">
        <v>0.17571519999999999</v>
      </c>
      <c r="X2430">
        <v>0.98182789999999998</v>
      </c>
      <c r="Y2430">
        <v>-0.11665010000000001</v>
      </c>
      <c r="Z2430">
        <v>-2.5450239999999999E-3</v>
      </c>
      <c r="AA2430">
        <v>0.99316979999999999</v>
      </c>
      <c r="AB2430">
        <v>39</v>
      </c>
      <c r="AC2430">
        <v>-35.610799999999898</v>
      </c>
      <c r="AD2430">
        <v>-1.1095339037980001</v>
      </c>
      <c r="AE2430">
        <v>-4.0151999999999903</v>
      </c>
      <c r="AF2430">
        <v>-4.2225583412703003</v>
      </c>
      <c r="AG2430">
        <v>-1.1095339037980001</v>
      </c>
      <c r="AH2430">
        <v>35.552247657437299</v>
      </c>
      <c r="AI2430">
        <v>91.775069658472603</v>
      </c>
      <c r="AJ2430">
        <v>96.773318370147706</v>
      </c>
      <c r="AK2430">
        <v>35.819315709891299</v>
      </c>
      <c r="AL2430">
        <v>79.879719293100095</v>
      </c>
      <c r="AM2430">
        <v>94.175639430239301</v>
      </c>
      <c r="AN2430">
        <v>1.0000000291655</v>
      </c>
    </row>
    <row r="2431" spans="1:40" x14ac:dyDescent="0.25">
      <c r="A2431" t="str">
        <f>"20190304155641273"</f>
        <v>20190304155641273</v>
      </c>
      <c r="B2431" t="str">
        <f>"1551686201267503"</f>
        <v>1551686201267503</v>
      </c>
      <c r="C2431" t="s">
        <v>40</v>
      </c>
      <c r="D2431">
        <v>4.7352999999999996</v>
      </c>
      <c r="E2431">
        <v>0.48163840000000002</v>
      </c>
      <c r="F2431" t="s">
        <v>64</v>
      </c>
      <c r="G2431">
        <v>-409.43579999999997</v>
      </c>
      <c r="H2431" s="1">
        <v>5.0773020000000001E-6</v>
      </c>
      <c r="I2431">
        <v>280.45710000000003</v>
      </c>
      <c r="J2431">
        <v>-374.17750000000001</v>
      </c>
      <c r="K2431">
        <v>1.109545</v>
      </c>
      <c r="L2431">
        <v>284.45650000000001</v>
      </c>
      <c r="M2431">
        <v>-0.99992349999999997</v>
      </c>
      <c r="N2431">
        <v>-1.086463E-2</v>
      </c>
      <c r="O2431">
        <v>5.9378959999999998E-3</v>
      </c>
      <c r="P2431">
        <v>-0.98401280000000002</v>
      </c>
      <c r="Q2431">
        <v>0.16524029999999901</v>
      </c>
      <c r="R2431">
        <v>-6.6442370000000001E-2</v>
      </c>
      <c r="S2431">
        <v>-3.0415649999999999</v>
      </c>
      <c r="T2431">
        <v>-9.4675899999999993E-2</v>
      </c>
      <c r="U2431">
        <v>-0.34106449999999999</v>
      </c>
      <c r="V2431">
        <v>-7.2278289999999995E-2</v>
      </c>
      <c r="W2431">
        <v>0.17591989999999999</v>
      </c>
      <c r="X2431">
        <v>0.98174740000000005</v>
      </c>
      <c r="Y2431">
        <v>-0.1172583</v>
      </c>
      <c r="Z2431">
        <v>-2.5779589999999999E-3</v>
      </c>
      <c r="AA2431">
        <v>0.99309809999999998</v>
      </c>
      <c r="AB2431">
        <v>40</v>
      </c>
      <c r="AC2431">
        <v>-35.258299999999899</v>
      </c>
      <c r="AD2431">
        <v>-1.1095399226980001</v>
      </c>
      <c r="AE2431">
        <v>-3.9993999999999699</v>
      </c>
      <c r="AF2431">
        <v>-4.2045910505069797</v>
      </c>
      <c r="AG2431">
        <v>-1.1095399226980001</v>
      </c>
      <c r="AH2431">
        <v>35.199513943904698</v>
      </c>
      <c r="AI2431">
        <v>91.792712737908602</v>
      </c>
      <c r="AJ2431">
        <v>96.811720676460098</v>
      </c>
      <c r="AK2431">
        <v>35.467103724849103</v>
      </c>
      <c r="AL2431">
        <v>79.8678045506431</v>
      </c>
      <c r="AM2431">
        <v>94.210638166941294</v>
      </c>
      <c r="AN2431">
        <v>0.999999959914046</v>
      </c>
    </row>
    <row r="2432" spans="1:40" x14ac:dyDescent="0.25">
      <c r="A2432" t="str">
        <f>"20190304155641295"</f>
        <v>20190304155641295</v>
      </c>
      <c r="B2432" t="str">
        <f>"1551686201287026"</f>
        <v>1551686201287026</v>
      </c>
      <c r="C2432" t="s">
        <v>40</v>
      </c>
      <c r="D2432">
        <v>4.6660259999999996</v>
      </c>
      <c r="E2432">
        <v>0.51628890000000005</v>
      </c>
      <c r="F2432" t="s">
        <v>64</v>
      </c>
      <c r="G2432">
        <v>-409.91269999999997</v>
      </c>
      <c r="H2432" s="1">
        <v>4.8688419999999998E-6</v>
      </c>
      <c r="I2432">
        <v>280.44240000000002</v>
      </c>
      <c r="J2432">
        <v>-374.56200000000001</v>
      </c>
      <c r="K2432">
        <v>1.1095520000000001</v>
      </c>
      <c r="L2432">
        <v>284.45870000000002</v>
      </c>
      <c r="M2432">
        <v>-0.99992320000000001</v>
      </c>
      <c r="N2432">
        <v>-1.088927E-2</v>
      </c>
      <c r="O2432">
        <v>5.9374040000000003E-3</v>
      </c>
      <c r="P2432">
        <v>-0.98390100000000003</v>
      </c>
      <c r="Q2432">
        <v>0.16587789999999999</v>
      </c>
      <c r="R2432">
        <v>-6.6510150000000004E-2</v>
      </c>
      <c r="S2432">
        <v>-3.0415040000000002</v>
      </c>
      <c r="T2432">
        <v>-9.4435450000000004E-2</v>
      </c>
      <c r="U2432">
        <v>-0.34164430000000001</v>
      </c>
      <c r="V2432">
        <v>-7.2344500000000006E-2</v>
      </c>
      <c r="W2432">
        <v>0.1765803</v>
      </c>
      <c r="X2432">
        <v>0.98162400000000005</v>
      </c>
      <c r="Y2432">
        <v>-0.1174472</v>
      </c>
      <c r="Z2432">
        <v>-2.5781480000000002E-3</v>
      </c>
      <c r="AA2432">
        <v>0.99307579999999995</v>
      </c>
      <c r="AB2432">
        <v>40</v>
      </c>
      <c r="AC2432">
        <v>-35.350700000000003</v>
      </c>
      <c r="AD2432">
        <v>-1.1095471311579901</v>
      </c>
      <c r="AE2432">
        <v>-4.0163000000000002</v>
      </c>
      <c r="AF2432">
        <v>-4.2220267458501901</v>
      </c>
      <c r="AG2432">
        <v>-1.1095471311579901</v>
      </c>
      <c r="AH2432">
        <v>35.291904794563003</v>
      </c>
      <c r="AI2432">
        <v>91.787996058318001</v>
      </c>
      <c r="AJ2432">
        <v>96.821963911549801</v>
      </c>
      <c r="AK2432">
        <v>35.5608654099902</v>
      </c>
      <c r="AL2432">
        <v>79.829365099968399</v>
      </c>
      <c r="AM2432">
        <v>94.215009293188004</v>
      </c>
      <c r="AN2432">
        <v>1.0000000032021701</v>
      </c>
    </row>
    <row r="2433" spans="1:40" x14ac:dyDescent="0.25">
      <c r="A2433" t="str">
        <f>"20190304155641309"</f>
        <v>20190304155641309</v>
      </c>
      <c r="B2433" t="str">
        <f>"1551686201307520"</f>
        <v>1551686201307520</v>
      </c>
      <c r="C2433" t="s">
        <v>40</v>
      </c>
      <c r="D2433">
        <v>4.6615099999999998</v>
      </c>
      <c r="E2433">
        <v>0.52100970000000002</v>
      </c>
      <c r="F2433" t="s">
        <v>64</v>
      </c>
      <c r="G2433">
        <v>-418.84</v>
      </c>
      <c r="H2433" s="1">
        <v>3.8708219999999996E-6</v>
      </c>
      <c r="I2433">
        <v>283.5068</v>
      </c>
      <c r="J2433">
        <v>-374.82319999999999</v>
      </c>
      <c r="K2433">
        <v>1.109559</v>
      </c>
      <c r="L2433">
        <v>284.46030000000002</v>
      </c>
      <c r="M2433">
        <v>-0.99992300000000001</v>
      </c>
      <c r="N2433">
        <v>-1.0905349999999999E-2</v>
      </c>
      <c r="O2433">
        <v>5.9371379999999998E-3</v>
      </c>
      <c r="P2433">
        <v>-0.98378829999999995</v>
      </c>
      <c r="Q2433">
        <v>0.16644049999999999</v>
      </c>
      <c r="R2433">
        <v>-6.6769949999999995E-2</v>
      </c>
      <c r="S2433">
        <v>-3.0575559999999999</v>
      </c>
      <c r="T2433">
        <v>-7.6618190000000003E-2</v>
      </c>
      <c r="U2433">
        <v>-6.5734860000000006E-2</v>
      </c>
      <c r="V2433">
        <v>-7.2603169999999995E-2</v>
      </c>
      <c r="W2433">
        <v>0.1771576</v>
      </c>
      <c r="X2433">
        <v>0.98150090000000001</v>
      </c>
      <c r="Y2433">
        <v>-2.7416980000000001E-2</v>
      </c>
      <c r="Z2433">
        <v>-5.76977E-4</v>
      </c>
      <c r="AA2433">
        <v>0.99962390000000001</v>
      </c>
      <c r="AB2433">
        <v>40</v>
      </c>
      <c r="AC2433">
        <v>-44.016799999999897</v>
      </c>
      <c r="AD2433">
        <v>-1.1095551291779999</v>
      </c>
      <c r="AE2433">
        <v>-0.953500000000019</v>
      </c>
      <c r="AF2433">
        <v>-1.2140614488550501</v>
      </c>
      <c r="AG2433">
        <v>-1.1095551291779999</v>
      </c>
      <c r="AH2433">
        <v>43.982428512462803</v>
      </c>
      <c r="AI2433">
        <v>91.4445576766784</v>
      </c>
      <c r="AJ2433">
        <v>91.581152756346597</v>
      </c>
      <c r="AK2433">
        <v>44.013169343279301</v>
      </c>
      <c r="AL2433">
        <v>79.795758653195094</v>
      </c>
      <c r="AM2433">
        <v>94.230554187261205</v>
      </c>
      <c r="AN2433">
        <v>1.0000000261163</v>
      </c>
    </row>
    <row r="2434" spans="1:40" x14ac:dyDescent="0.25">
      <c r="A2434" t="str">
        <f>"20190304155641325"</f>
        <v>20190304155641325</v>
      </c>
      <c r="B2434" t="str">
        <f>"1551686201317279"</f>
        <v>1551686201317279</v>
      </c>
      <c r="C2434" t="s">
        <v>40</v>
      </c>
      <c r="D2434">
        <v>4.6590290000000003</v>
      </c>
      <c r="E2434">
        <v>0.52187280000000003</v>
      </c>
      <c r="F2434" t="s">
        <v>64</v>
      </c>
      <c r="G2434">
        <v>-425.58339999999998</v>
      </c>
      <c r="H2434" s="1">
        <v>3.029992E-6</v>
      </c>
      <c r="I2434">
        <v>283.97820000000002</v>
      </c>
      <c r="J2434">
        <v>-375.09359999999998</v>
      </c>
      <c r="K2434">
        <v>1.1095630000000001</v>
      </c>
      <c r="L2434">
        <v>284.46190000000001</v>
      </c>
      <c r="M2434">
        <v>-0.9999228</v>
      </c>
      <c r="N2434">
        <v>-1.092342E-2</v>
      </c>
      <c r="O2434">
        <v>5.9368600000000004E-3</v>
      </c>
      <c r="P2434">
        <v>-0.98368920000000004</v>
      </c>
      <c r="Q2434">
        <v>0.16704150000000001</v>
      </c>
      <c r="R2434">
        <v>-6.6731670000000007E-2</v>
      </c>
      <c r="S2434">
        <v>-3.0588380000000002</v>
      </c>
      <c r="T2434">
        <v>-6.6862459999999999E-2</v>
      </c>
      <c r="U2434">
        <v>-2.9052729999999999E-2</v>
      </c>
      <c r="V2434">
        <v>-7.2564089999999998E-2</v>
      </c>
      <c r="W2434">
        <v>0.1777746</v>
      </c>
      <c r="X2434">
        <v>0.98139219999999905</v>
      </c>
      <c r="Y2434">
        <v>-1.542843E-2</v>
      </c>
      <c r="Z2434">
        <v>-3.1779170000000002E-4</v>
      </c>
      <c r="AA2434">
        <v>0.99988089999999996</v>
      </c>
      <c r="AB2434">
        <v>40</v>
      </c>
      <c r="AC2434">
        <v>-50.489800000000002</v>
      </c>
      <c r="AD2434">
        <v>-1.1095599700080001</v>
      </c>
      <c r="AE2434">
        <v>-0.48369999999999802</v>
      </c>
      <c r="AF2434">
        <v>-0.78308205964662003</v>
      </c>
      <c r="AG2434">
        <v>-1.1095599700080001</v>
      </c>
      <c r="AH2434">
        <v>50.461670482981198</v>
      </c>
      <c r="AI2434">
        <v>91.259474975545302</v>
      </c>
      <c r="AJ2434">
        <v>90.889064818583094</v>
      </c>
      <c r="AK2434">
        <v>50.479941845966501</v>
      </c>
      <c r="AL2434">
        <v>79.759836729200998</v>
      </c>
      <c r="AM2434">
        <v>94.228751904534406</v>
      </c>
      <c r="AN2434">
        <v>1.0000000028917599</v>
      </c>
    </row>
    <row r="2435" spans="1:40" x14ac:dyDescent="0.25">
      <c r="A2435" t="str">
        <f>"20190304155641339"</f>
        <v>20190304155641339</v>
      </c>
      <c r="B2435" t="str">
        <f>"1551686201327039"</f>
        <v>1551686201327039</v>
      </c>
      <c r="C2435" t="s">
        <v>40</v>
      </c>
      <c r="D2435">
        <v>4.6647129999999999</v>
      </c>
      <c r="E2435">
        <v>0.52232309999999904</v>
      </c>
      <c r="F2435" t="s">
        <v>64</v>
      </c>
      <c r="G2435">
        <v>-429.5539</v>
      </c>
      <c r="H2435" s="1">
        <v>2.3174149999999998E-6</v>
      </c>
      <c r="I2435">
        <v>284.0729</v>
      </c>
      <c r="J2435">
        <v>-375.35489999999999</v>
      </c>
      <c r="K2435">
        <v>1.1095710000000001</v>
      </c>
      <c r="L2435">
        <v>284.46350000000001</v>
      </c>
      <c r="M2435">
        <v>-0.99992250000000005</v>
      </c>
      <c r="N2435">
        <v>-1.094348E-2</v>
      </c>
      <c r="O2435">
        <v>5.9367489999999998E-3</v>
      </c>
      <c r="P2435">
        <v>-0.98347180000000001</v>
      </c>
      <c r="Q2435">
        <v>0.16831479999999999</v>
      </c>
      <c r="R2435">
        <v>-6.673221E-2</v>
      </c>
      <c r="S2435">
        <v>-3.0588989999999998</v>
      </c>
      <c r="T2435">
        <v>-6.2321309999999998E-2</v>
      </c>
      <c r="U2435">
        <v>-2.185059E-2</v>
      </c>
      <c r="V2435">
        <v>-7.2563199999999994E-2</v>
      </c>
      <c r="W2435">
        <v>0.1790658</v>
      </c>
      <c r="X2435">
        <v>0.98115750000000002</v>
      </c>
      <c r="Y2435">
        <v>-1.30755E-2</v>
      </c>
      <c r="Z2435">
        <v>-2.6071660000000002E-4</v>
      </c>
      <c r="AA2435">
        <v>0.99991450000000004</v>
      </c>
      <c r="AB2435">
        <v>40</v>
      </c>
      <c r="AC2435">
        <v>-54.198999999999998</v>
      </c>
      <c r="AD2435">
        <v>-1.109568682585</v>
      </c>
      <c r="AE2435">
        <v>-0.390600000000006</v>
      </c>
      <c r="AF2435">
        <v>-0.71207981935198805</v>
      </c>
      <c r="AG2435">
        <v>-1.109568682585</v>
      </c>
      <c r="AH2435">
        <v>54.173022560754902</v>
      </c>
      <c r="AI2435">
        <v>91.173263421983293</v>
      </c>
      <c r="AJ2435">
        <v>90.753083673246806</v>
      </c>
      <c r="AK2435">
        <v>54.189063229572099</v>
      </c>
      <c r="AL2435">
        <v>79.6846500621849</v>
      </c>
      <c r="AM2435">
        <v>94.229708092128604</v>
      </c>
      <c r="AN2435">
        <v>1.0000000092650601</v>
      </c>
    </row>
    <row r="2436" spans="1:40" x14ac:dyDescent="0.25">
      <c r="A2436" t="str">
        <f>"20190304155641354"</f>
        <v>20190304155641354</v>
      </c>
      <c r="B2436" t="str">
        <f>"1551686201347536"</f>
        <v>1551686201347536</v>
      </c>
      <c r="C2436" t="s">
        <v>40</v>
      </c>
      <c r="D2436">
        <v>4.672466</v>
      </c>
      <c r="E2436">
        <v>0.52329369999999997</v>
      </c>
      <c r="F2436" t="s">
        <v>64</v>
      </c>
      <c r="G2436">
        <v>-433.39659999999998</v>
      </c>
      <c r="H2436" s="1">
        <v>3.765823E-6</v>
      </c>
      <c r="I2436">
        <v>284.12939999999998</v>
      </c>
      <c r="J2436">
        <v>-375.60640000000001</v>
      </c>
      <c r="K2436">
        <v>1.109578</v>
      </c>
      <c r="L2436">
        <v>284.46499999999997</v>
      </c>
      <c r="M2436">
        <v>-0.99992230000000004</v>
      </c>
      <c r="N2436">
        <v>-1.096459E-2</v>
      </c>
      <c r="O2436">
        <v>5.9365140000000004E-3</v>
      </c>
      <c r="P2436">
        <v>-0.98333910000000002</v>
      </c>
      <c r="Q2436">
        <v>0.16909589999999999</v>
      </c>
      <c r="R2436">
        <v>-6.671415E-2</v>
      </c>
      <c r="S2436">
        <v>-3.0592350000000001</v>
      </c>
      <c r="T2436">
        <v>-5.8482529999999998E-2</v>
      </c>
      <c r="U2436">
        <v>-1.7608639999999998E-2</v>
      </c>
      <c r="V2436">
        <v>-7.2544020000000001E-2</v>
      </c>
      <c r="W2436">
        <v>0.17986559999999999</v>
      </c>
      <c r="X2436">
        <v>0.98101260000000001</v>
      </c>
      <c r="Y2436">
        <v>-1.168892E-2</v>
      </c>
      <c r="Z2436">
        <v>-2.241945E-4</v>
      </c>
      <c r="AA2436">
        <v>0.99993160000000003</v>
      </c>
      <c r="AB2436">
        <v>40</v>
      </c>
      <c r="AC2436">
        <v>-57.790199999999899</v>
      </c>
      <c r="AD2436">
        <v>-1.1095742341769901</v>
      </c>
      <c r="AE2436">
        <v>-0.33559999999999901</v>
      </c>
      <c r="AF2436">
        <v>-0.67843693755162204</v>
      </c>
      <c r="AG2436">
        <v>-1.1095742341769901</v>
      </c>
      <c r="AH2436">
        <v>57.765894934722901</v>
      </c>
      <c r="AI2436">
        <v>91.100333015280697</v>
      </c>
      <c r="AJ2436">
        <v>90.672884686077794</v>
      </c>
      <c r="AK2436">
        <v>57.780533480306602</v>
      </c>
      <c r="AL2436">
        <v>79.638068463024197</v>
      </c>
      <c r="AM2436">
        <v>94.229216462447994</v>
      </c>
      <c r="AN2436">
        <v>0.99999999512993998</v>
      </c>
    </row>
    <row r="2437" spans="1:40" x14ac:dyDescent="0.25">
      <c r="A2437" t="str">
        <f>"20190304155641367"</f>
        <v>20190304155641367</v>
      </c>
      <c r="B2437" t="str">
        <f>"1551686201357295"</f>
        <v>1551686201357295</v>
      </c>
      <c r="C2437" t="s">
        <v>40</v>
      </c>
      <c r="D2437">
        <v>4.680777</v>
      </c>
      <c r="E2437">
        <v>0.5235495</v>
      </c>
      <c r="F2437" t="s">
        <v>64</v>
      </c>
      <c r="G2437">
        <v>-438.4443</v>
      </c>
      <c r="H2437" s="1">
        <v>5.9925580000000001E-6</v>
      </c>
      <c r="I2437">
        <v>284.26310000000001</v>
      </c>
      <c r="J2437">
        <v>-375.8399</v>
      </c>
      <c r="K2437">
        <v>1.1095839999999999</v>
      </c>
      <c r="L2437">
        <v>284.46640000000002</v>
      </c>
      <c r="M2437">
        <v>-0.99992219999999998</v>
      </c>
      <c r="N2437">
        <v>-1.098554E-2</v>
      </c>
      <c r="O2437">
        <v>5.9362190000000004E-3</v>
      </c>
      <c r="P2437">
        <v>-0.9832263</v>
      </c>
      <c r="Q2437">
        <v>0.16975889999999999</v>
      </c>
      <c r="R2437">
        <v>-6.6694439999999994E-2</v>
      </c>
      <c r="S2437">
        <v>-3.059418</v>
      </c>
      <c r="T2437">
        <v>-5.4022189999999998E-2</v>
      </c>
      <c r="U2437">
        <v>-9.8266599999999992E-3</v>
      </c>
      <c r="V2437">
        <v>-7.2523569999999996E-2</v>
      </c>
      <c r="W2437">
        <v>0.18054809999999999</v>
      </c>
      <c r="X2437">
        <v>0.98088869999999895</v>
      </c>
      <c r="Y2437">
        <v>-9.1459680000000008E-3</v>
      </c>
      <c r="Z2437">
        <v>-1.7058500000000001E-4</v>
      </c>
      <c r="AA2437">
        <v>0.99995820000000002</v>
      </c>
      <c r="AB2437">
        <v>40</v>
      </c>
      <c r="AC2437">
        <v>-62.604399999999998</v>
      </c>
      <c r="AD2437">
        <v>-1.1095780074420001</v>
      </c>
      <c r="AE2437">
        <v>-0.203300000000012</v>
      </c>
      <c r="AF2437">
        <v>-0.57477166263926005</v>
      </c>
      <c r="AG2437">
        <v>-1.1095780074420001</v>
      </c>
      <c r="AH2437">
        <v>62.582431247159597</v>
      </c>
      <c r="AI2437">
        <v>91.015697139839901</v>
      </c>
      <c r="AJ2437">
        <v>90.526203023822404</v>
      </c>
      <c r="AK2437">
        <v>62.594905756173397</v>
      </c>
      <c r="AL2437">
        <v>79.598312913580102</v>
      </c>
      <c r="AM2437">
        <v>94.228560701814501</v>
      </c>
      <c r="AN2437">
        <v>0.99999996320342099</v>
      </c>
    </row>
    <row r="2438" spans="1:40" x14ac:dyDescent="0.25">
      <c r="A2438" t="str">
        <f>"20190304155641379"</f>
        <v>20190304155641379</v>
      </c>
      <c r="B2438" t="str">
        <f>"1551686201367056"</f>
        <v>1551686201367056</v>
      </c>
      <c r="C2438" t="s">
        <v>40</v>
      </c>
      <c r="D2438">
        <v>4.6700970000000002</v>
      </c>
      <c r="E2438">
        <v>0.52370419999999995</v>
      </c>
      <c r="F2438" t="s">
        <v>55</v>
      </c>
      <c r="G2438">
        <v>-441.36450000000002</v>
      </c>
      <c r="H2438" s="1">
        <v>-7.9681219999999898E-7</v>
      </c>
      <c r="I2438">
        <v>284.29969999999997</v>
      </c>
      <c r="J2438">
        <v>-376.06130000000002</v>
      </c>
      <c r="K2438">
        <v>1.109586</v>
      </c>
      <c r="L2438">
        <v>284.46769999999998</v>
      </c>
      <c r="M2438">
        <v>-0.99992190000000003</v>
      </c>
      <c r="N2438">
        <v>-1.1007019999999999E-2</v>
      </c>
      <c r="O2438">
        <v>5.9359219999999997E-3</v>
      </c>
      <c r="P2438">
        <v>-0.98310419999999998</v>
      </c>
      <c r="Q2438">
        <v>0.17042879999999999</v>
      </c>
      <c r="R2438">
        <v>-6.6786509999999993E-2</v>
      </c>
      <c r="S2438">
        <v>-3.0596009999999998</v>
      </c>
      <c r="T2438">
        <v>-5.181086E-2</v>
      </c>
      <c r="U2438">
        <v>-7.7819819999999998E-3</v>
      </c>
      <c r="V2438">
        <v>-7.261476E-2</v>
      </c>
      <c r="W2438">
        <v>0.18123800000000001</v>
      </c>
      <c r="X2438">
        <v>0.98075469999999998</v>
      </c>
      <c r="Y2438">
        <v>-8.4775630000000005E-3</v>
      </c>
      <c r="Z2438">
        <v>-1.5361030000000001E-4</v>
      </c>
      <c r="AA2438">
        <v>0.99996410000000002</v>
      </c>
      <c r="AB2438">
        <v>40</v>
      </c>
      <c r="AC2438">
        <v>-65.303200000000004</v>
      </c>
      <c r="AD2438">
        <v>-1.1095867968122</v>
      </c>
      <c r="AE2438">
        <v>-0.16800000000000601</v>
      </c>
      <c r="AF2438">
        <v>-0.55549481461844596</v>
      </c>
      <c r="AG2438">
        <v>-1.1095867968122</v>
      </c>
      <c r="AH2438">
        <v>65.282204925680304</v>
      </c>
      <c r="AI2438">
        <v>90.973714334268493</v>
      </c>
      <c r="AJ2438">
        <v>90.4875255106423</v>
      </c>
      <c r="AK2438">
        <v>65.293996946941803</v>
      </c>
      <c r="AL2438">
        <v>79.558121353964196</v>
      </c>
      <c r="AM2438">
        <v>94.234434671698693</v>
      </c>
      <c r="AN2438">
        <v>0.99999994879297205</v>
      </c>
    </row>
    <row r="2439" spans="1:40" x14ac:dyDescent="0.25">
      <c r="A2439" t="str">
        <f>"20190304155641396"</f>
        <v>20190304155641396</v>
      </c>
      <c r="B2439" t="str">
        <f>"1551686201387551"</f>
        <v>1551686201387551</v>
      </c>
      <c r="C2439" t="s">
        <v>40</v>
      </c>
      <c r="D2439">
        <v>4.6962929999999998</v>
      </c>
      <c r="E2439">
        <v>0.52322309999999905</v>
      </c>
      <c r="F2439" t="s">
        <v>55</v>
      </c>
      <c r="G2439">
        <v>-444.16410000000002</v>
      </c>
      <c r="H2439" s="1">
        <v>6.9249110000000005E-7</v>
      </c>
      <c r="I2439">
        <v>284.3107</v>
      </c>
      <c r="J2439">
        <v>-376.33960000000002</v>
      </c>
      <c r="K2439">
        <v>1.109594</v>
      </c>
      <c r="L2439">
        <v>284.46929999999998</v>
      </c>
      <c r="M2439">
        <v>-0.99992150000000002</v>
      </c>
      <c r="N2439">
        <v>-1.1035909999999999E-2</v>
      </c>
      <c r="O2439">
        <v>5.9357619999999998E-3</v>
      </c>
      <c r="P2439">
        <v>-0.98289079999999995</v>
      </c>
      <c r="Q2439">
        <v>0.1715593</v>
      </c>
      <c r="R2439">
        <v>-6.7031049999999995E-2</v>
      </c>
      <c r="S2439">
        <v>-3.0596920000000001</v>
      </c>
      <c r="T2439">
        <v>-4.9850940000000003E-2</v>
      </c>
      <c r="U2439">
        <v>-7.0495610000000002E-3</v>
      </c>
      <c r="V2439">
        <v>-7.2857539999999998E-2</v>
      </c>
      <c r="W2439">
        <v>0.18239420000000001</v>
      </c>
      <c r="X2439">
        <v>0.98052240000000002</v>
      </c>
      <c r="Y2439">
        <v>-8.2381539999999993E-3</v>
      </c>
      <c r="Z2439">
        <v>-1.437671E-4</v>
      </c>
      <c r="AA2439">
        <v>0.99996609999999997</v>
      </c>
      <c r="AB2439">
        <v>40</v>
      </c>
      <c r="AC2439">
        <v>-67.8245</v>
      </c>
      <c r="AD2439">
        <v>-1.1095933075089</v>
      </c>
      <c r="AE2439">
        <v>-0.15859999999997801</v>
      </c>
      <c r="AF2439">
        <v>-0.56106164453815899</v>
      </c>
      <c r="AG2439">
        <v>-1.1095933075089</v>
      </c>
      <c r="AH2439">
        <v>67.804216370573798</v>
      </c>
      <c r="AI2439">
        <v>90.937510479429207</v>
      </c>
      <c r="AJ2439">
        <v>90.474096336887499</v>
      </c>
      <c r="AK2439">
        <v>67.815615790941706</v>
      </c>
      <c r="AL2439">
        <v>79.490753877880096</v>
      </c>
      <c r="AM2439">
        <v>94.249543171489805</v>
      </c>
      <c r="AN2439">
        <v>1.0000000211151201</v>
      </c>
    </row>
    <row r="2440" spans="1:40" x14ac:dyDescent="0.25">
      <c r="A2440" t="str">
        <f>"20190304155641409"</f>
        <v>20190304155641409</v>
      </c>
      <c r="B2440" t="str">
        <f>"1551686201397311"</f>
        <v>1551686201397311</v>
      </c>
      <c r="C2440" t="s">
        <v>40</v>
      </c>
      <c r="D2440">
        <v>4.6691880000000001</v>
      </c>
      <c r="E2440">
        <v>0.52334590000000003</v>
      </c>
      <c r="F2440" t="s">
        <v>55</v>
      </c>
      <c r="G2440">
        <v>-444.8689</v>
      </c>
      <c r="H2440" s="1">
        <v>1.071896E-6</v>
      </c>
      <c r="I2440">
        <v>284.21159999999998</v>
      </c>
      <c r="J2440">
        <v>-376.59350000000001</v>
      </c>
      <c r="K2440">
        <v>1.109607</v>
      </c>
      <c r="L2440">
        <v>284.4708</v>
      </c>
      <c r="M2440">
        <v>-0.99992130000000001</v>
      </c>
      <c r="N2440">
        <v>-1.106453E-2</v>
      </c>
      <c r="O2440">
        <v>5.9354250000000002E-3</v>
      </c>
      <c r="P2440">
        <v>-0.98281529999999995</v>
      </c>
      <c r="Q2440">
        <v>0.17194509999999999</v>
      </c>
      <c r="R2440">
        <v>-6.7151619999999995E-2</v>
      </c>
      <c r="S2440">
        <v>-3.0600890000000001</v>
      </c>
      <c r="T2440">
        <v>-4.9547430000000003E-2</v>
      </c>
      <c r="U2440">
        <v>-1.1505130000000001E-2</v>
      </c>
      <c r="V2440">
        <v>-7.2977159999999999E-2</v>
      </c>
      <c r="W2440">
        <v>0.18280679999999999</v>
      </c>
      <c r="X2440">
        <v>0.98043659999999999</v>
      </c>
      <c r="Y2440">
        <v>-9.6931750000000001E-3</v>
      </c>
      <c r="Z2440">
        <v>-1.625245E-4</v>
      </c>
      <c r="AA2440">
        <v>0.99995299999999998</v>
      </c>
      <c r="AB2440">
        <v>40</v>
      </c>
      <c r="AC2440">
        <v>-68.275399999999905</v>
      </c>
      <c r="AD2440">
        <v>-1.109605928104</v>
      </c>
      <c r="AE2440">
        <v>-0.25920000000002102</v>
      </c>
      <c r="AF2440">
        <v>-0.66428825278271697</v>
      </c>
      <c r="AG2440">
        <v>-1.109605928104</v>
      </c>
      <c r="AH2440">
        <v>68.254631165360607</v>
      </c>
      <c r="AI2440">
        <v>90.931323277317105</v>
      </c>
      <c r="AJ2440">
        <v>90.557613614683603</v>
      </c>
      <c r="AK2440">
        <v>68.266882012568004</v>
      </c>
      <c r="AL2440">
        <v>79.466708725750607</v>
      </c>
      <c r="AM2440">
        <v>94.256865720477805</v>
      </c>
      <c r="AN2440">
        <v>0.99999995931373198</v>
      </c>
    </row>
    <row r="2441" spans="1:40" x14ac:dyDescent="0.25">
      <c r="A2441" t="str">
        <f>"20190304155641422"</f>
        <v>20190304155641422</v>
      </c>
      <c r="B2441" t="str">
        <f>"1551686201416831"</f>
        <v>1551686201416831</v>
      </c>
      <c r="C2441" t="s">
        <v>40</v>
      </c>
      <c r="D2441">
        <v>4.6992010000000004</v>
      </c>
      <c r="E2441">
        <v>0.52232120000000004</v>
      </c>
      <c r="F2441" t="s">
        <v>55</v>
      </c>
      <c r="G2441">
        <v>-446.28109999999998</v>
      </c>
      <c r="H2441" s="1">
        <v>1.822839E-6</v>
      </c>
      <c r="I2441">
        <v>284.22410000000002</v>
      </c>
      <c r="J2441">
        <v>-376.83229999999998</v>
      </c>
      <c r="K2441">
        <v>1.10961</v>
      </c>
      <c r="L2441">
        <v>284.47219999999999</v>
      </c>
      <c r="M2441">
        <v>-0.99992080000000005</v>
      </c>
      <c r="N2441">
        <v>-1.109299E-2</v>
      </c>
      <c r="O2441">
        <v>5.9352669999999897E-3</v>
      </c>
      <c r="P2441">
        <v>-0.98267409999999999</v>
      </c>
      <c r="Q2441">
        <v>0.17268020000000001</v>
      </c>
      <c r="R2441">
        <v>-6.732929E-2</v>
      </c>
      <c r="S2441">
        <v>-3.0602109999999998</v>
      </c>
      <c r="T2441">
        <v>-4.8726440000000003E-2</v>
      </c>
      <c r="U2441">
        <v>-1.083374E-2</v>
      </c>
      <c r="V2441">
        <v>-7.3154049999999998E-2</v>
      </c>
      <c r="W2441">
        <v>0.18356810000000001</v>
      </c>
      <c r="X2441">
        <v>0.98028119999999996</v>
      </c>
      <c r="Y2441">
        <v>-9.4735970000000003E-3</v>
      </c>
      <c r="Z2441">
        <v>-1.566274E-4</v>
      </c>
      <c r="AA2441">
        <v>0.99995509999999999</v>
      </c>
      <c r="AB2441">
        <v>40</v>
      </c>
      <c r="AC2441">
        <v>-69.448800000000006</v>
      </c>
      <c r="AD2441">
        <v>-1.109608177161</v>
      </c>
      <c r="AE2441">
        <v>-0.24809999999996499</v>
      </c>
      <c r="AF2441">
        <v>-0.66014966890063098</v>
      </c>
      <c r="AG2441">
        <v>-1.109608177161</v>
      </c>
      <c r="AH2441">
        <v>69.428380792211996</v>
      </c>
      <c r="AI2441">
        <v>90.915584946822705</v>
      </c>
      <c r="AJ2441">
        <v>90.544772175834893</v>
      </c>
      <c r="AK2441">
        <v>69.440385132288597</v>
      </c>
      <c r="AL2441">
        <v>79.422339015084006</v>
      </c>
      <c r="AM2441">
        <v>94.267819863750105</v>
      </c>
      <c r="AN2441">
        <v>0.99999999672122597</v>
      </c>
    </row>
    <row r="2442" spans="1:40" x14ac:dyDescent="0.25">
      <c r="A2442" t="str">
        <f>"20190304155641438"</f>
        <v>20190304155641438</v>
      </c>
      <c r="B2442" t="str">
        <f>"1551686201427569"</f>
        <v>1551686201427569</v>
      </c>
      <c r="C2442" t="s">
        <v>40</v>
      </c>
      <c r="D2442">
        <v>4.7148820000000002</v>
      </c>
      <c r="E2442">
        <v>0.52186290000000002</v>
      </c>
      <c r="F2442" t="s">
        <v>55</v>
      </c>
      <c r="G2442">
        <v>-443.35419999999999</v>
      </c>
      <c r="H2442" s="1">
        <v>2.73005599999999E-7</v>
      </c>
      <c r="I2442">
        <v>284.0471</v>
      </c>
      <c r="J2442">
        <v>-377.1003</v>
      </c>
      <c r="K2442">
        <v>1.1096170000000001</v>
      </c>
      <c r="L2442">
        <v>284.47379999999998</v>
      </c>
      <c r="M2442">
        <v>-0.99992060000000005</v>
      </c>
      <c r="N2442">
        <v>-1.112603E-2</v>
      </c>
      <c r="O2442">
        <v>5.9349030000000001E-3</v>
      </c>
      <c r="P2442">
        <v>-0.98259459999999998</v>
      </c>
      <c r="Q2442">
        <v>0.17306529999999901</v>
      </c>
      <c r="R2442">
        <v>-6.7501580000000005E-2</v>
      </c>
      <c r="S2442">
        <v>-3.0605159999999998</v>
      </c>
      <c r="T2442">
        <v>-5.1050539999999998E-2</v>
      </c>
      <c r="U2442">
        <v>-1.9561769999999999E-2</v>
      </c>
      <c r="V2442">
        <v>-7.3325870000000001E-2</v>
      </c>
      <c r="W2442">
        <v>0.18398519999999999</v>
      </c>
      <c r="X2442">
        <v>0.98019020000000001</v>
      </c>
      <c r="Y2442">
        <v>-1.232361E-2</v>
      </c>
      <c r="Z2442">
        <v>-2.0429700000000001E-4</v>
      </c>
      <c r="AA2442">
        <v>0.99992409999999998</v>
      </c>
      <c r="AB2442">
        <v>40</v>
      </c>
      <c r="AC2442">
        <v>-66.253899999999902</v>
      </c>
      <c r="AD2442">
        <v>-1.1096167269943999</v>
      </c>
      <c r="AE2442">
        <v>-0.42669999999998198</v>
      </c>
      <c r="AF2442">
        <v>-0.819697340522485</v>
      </c>
      <c r="AG2442">
        <v>-1.1096167269943999</v>
      </c>
      <c r="AH2442">
        <v>66.231623651024506</v>
      </c>
      <c r="AI2442">
        <v>90.959746077150399</v>
      </c>
      <c r="AJ2442">
        <v>90.709069139801898</v>
      </c>
      <c r="AK2442">
        <v>66.245989497190195</v>
      </c>
      <c r="AL2442">
        <v>79.398027246053402</v>
      </c>
      <c r="AM2442">
        <v>94.278202378530807</v>
      </c>
      <c r="AN2442">
        <v>1.0000000326031599</v>
      </c>
    </row>
    <row r="2443" spans="1:40" x14ac:dyDescent="0.25">
      <c r="A2443" t="str">
        <f>"20190304155641452"</f>
        <v>20190304155641452</v>
      </c>
      <c r="B2443" t="str">
        <f>"1551686201447088"</f>
        <v>1551686201447088</v>
      </c>
      <c r="C2443" t="s">
        <v>40</v>
      </c>
      <c r="D2443">
        <v>4.6708970000000001</v>
      </c>
      <c r="E2443">
        <v>0.5212135</v>
      </c>
      <c r="F2443" t="s">
        <v>55</v>
      </c>
      <c r="G2443">
        <v>-442.0772</v>
      </c>
      <c r="H2443" s="1">
        <v>-4.0336939999999999E-7</v>
      </c>
      <c r="I2443">
        <v>283.97500000000002</v>
      </c>
      <c r="J2443">
        <v>-377.34840000000003</v>
      </c>
      <c r="K2443">
        <v>1.1096239999999999</v>
      </c>
      <c r="L2443">
        <v>284.4753</v>
      </c>
      <c r="M2443">
        <v>-0.99992020000000004</v>
      </c>
      <c r="N2443">
        <v>-1.1157510000000001E-2</v>
      </c>
      <c r="O2443">
        <v>5.9347280000000002E-3</v>
      </c>
      <c r="P2443">
        <v>-0.98236100000000004</v>
      </c>
      <c r="Q2443">
        <v>0.17428389999999999</v>
      </c>
      <c r="R2443">
        <v>-6.7765030000000004E-2</v>
      </c>
      <c r="S2443">
        <v>-3.06073</v>
      </c>
      <c r="T2443">
        <v>-5.2268389999999998E-2</v>
      </c>
      <c r="U2443">
        <v>-2.3498539999999998E-2</v>
      </c>
      <c r="V2443">
        <v>-7.3587830000000007E-2</v>
      </c>
      <c r="W2443">
        <v>0.1852318</v>
      </c>
      <c r="X2443">
        <v>0.97993569999999997</v>
      </c>
      <c r="Y2443">
        <v>-1.36086E-2</v>
      </c>
      <c r="Z2443">
        <v>-2.272423E-4</v>
      </c>
      <c r="AA2443">
        <v>0.9999074</v>
      </c>
      <c r="AB2443">
        <v>40</v>
      </c>
      <c r="AC2443">
        <v>-64.728799999999893</v>
      </c>
      <c r="AD2443">
        <v>-1.1096244033693901</v>
      </c>
      <c r="AE2443">
        <v>-0.50029999999998098</v>
      </c>
      <c r="AF2443">
        <v>-0.88420307481432303</v>
      </c>
      <c r="AG2443">
        <v>-1.1096244033693901</v>
      </c>
      <c r="AH2443">
        <v>64.705676619831394</v>
      </c>
      <c r="AI2443">
        <v>90.982365597411501</v>
      </c>
      <c r="AJ2443">
        <v>90.782898102072593</v>
      </c>
      <c r="AK2443">
        <v>64.721230428849694</v>
      </c>
      <c r="AL2443">
        <v>79.325352669974393</v>
      </c>
      <c r="AM2443">
        <v>94.294540280371095</v>
      </c>
      <c r="AN2443">
        <v>0.99999998229491904</v>
      </c>
    </row>
    <row r="2444" spans="1:40" x14ac:dyDescent="0.25">
      <c r="A2444" t="str">
        <f>"20190304155641475"</f>
        <v>20190304155641475</v>
      </c>
      <c r="B2444" t="str">
        <f>"1551686201466608"</f>
        <v>1551686201466608</v>
      </c>
      <c r="C2444" t="s">
        <v>40</v>
      </c>
      <c r="D2444">
        <v>4.6374610000000001</v>
      </c>
      <c r="E2444">
        <v>0.5211133</v>
      </c>
      <c r="F2444" t="s">
        <v>55</v>
      </c>
      <c r="G2444">
        <v>-441.99400000000003</v>
      </c>
      <c r="H2444" s="1">
        <v>-4.4213079999999999E-7</v>
      </c>
      <c r="I2444">
        <v>283.84890000000001</v>
      </c>
      <c r="J2444">
        <v>-377.75049999999999</v>
      </c>
      <c r="K2444">
        <v>1.1096379999999999</v>
      </c>
      <c r="L2444">
        <v>284.47770000000003</v>
      </c>
      <c r="M2444">
        <v>-0.99991969999999997</v>
      </c>
      <c r="N2444">
        <v>-1.1209530000000001E-2</v>
      </c>
      <c r="O2444">
        <v>5.9342569999999897E-3</v>
      </c>
      <c r="P2444">
        <v>-0.98215680000000005</v>
      </c>
      <c r="Q2444">
        <v>0.175342</v>
      </c>
      <c r="R2444">
        <v>-6.7996870000000001E-2</v>
      </c>
      <c r="S2444">
        <v>-3.0611570000000001</v>
      </c>
      <c r="T2444">
        <v>-5.2544E-2</v>
      </c>
      <c r="U2444">
        <v>-2.966309E-2</v>
      </c>
      <c r="V2444">
        <v>-7.3817399999999894E-2</v>
      </c>
      <c r="W2444">
        <v>0.1863389</v>
      </c>
      <c r="X2444">
        <v>0.97970849999999998</v>
      </c>
      <c r="Y2444">
        <v>-1.561997E-2</v>
      </c>
      <c r="Z2444">
        <v>-2.569367E-4</v>
      </c>
      <c r="AA2444">
        <v>0.99987800000000004</v>
      </c>
      <c r="AB2444">
        <v>40</v>
      </c>
      <c r="AC2444">
        <v>-64.243499999999997</v>
      </c>
      <c r="AD2444">
        <v>-1.1096384421308001</v>
      </c>
      <c r="AE2444">
        <v>-0.62880000000001202</v>
      </c>
      <c r="AF2444">
        <v>-1.0097490531383799</v>
      </c>
      <c r="AG2444">
        <v>-1.1096384421308001</v>
      </c>
      <c r="AH2444">
        <v>64.219479872308995</v>
      </c>
      <c r="AI2444">
        <v>90.989784071235704</v>
      </c>
      <c r="AJ2444">
        <v>90.900810661227197</v>
      </c>
      <c r="AK2444">
        <v>64.237002465031495</v>
      </c>
      <c r="AL2444">
        <v>79.260796471309007</v>
      </c>
      <c r="AM2444">
        <v>94.308882748888095</v>
      </c>
      <c r="AN2444">
        <v>0.99999996958410897</v>
      </c>
    </row>
    <row r="2445" spans="1:40" x14ac:dyDescent="0.25">
      <c r="A2445" t="str">
        <f>"20190304155641495"</f>
        <v>20190304155641495</v>
      </c>
      <c r="B2445" t="str">
        <f>"1551686201487106"</f>
        <v>1551686201487106</v>
      </c>
      <c r="C2445" t="s">
        <v>40</v>
      </c>
      <c r="D2445">
        <v>4.6903449999999998</v>
      </c>
      <c r="E2445">
        <v>0.52094839999999998</v>
      </c>
      <c r="F2445" t="s">
        <v>55</v>
      </c>
      <c r="G2445">
        <v>-444.10750000000002</v>
      </c>
      <c r="H2445" s="1">
        <v>6.848526E-7</v>
      </c>
      <c r="I2445">
        <v>283.79640000000001</v>
      </c>
      <c r="J2445">
        <v>-378.12189999999998</v>
      </c>
      <c r="K2445">
        <v>1.10965</v>
      </c>
      <c r="L2445">
        <v>284.47989999999999</v>
      </c>
      <c r="M2445">
        <v>-0.99991909999999895</v>
      </c>
      <c r="N2445">
        <v>-1.125905E-2</v>
      </c>
      <c r="O2445">
        <v>5.9339780000000003E-3</v>
      </c>
      <c r="P2445">
        <v>-0.98196570000000005</v>
      </c>
      <c r="Q2445">
        <v>0.1764831</v>
      </c>
      <c r="R2445">
        <v>-6.7803459999999996E-2</v>
      </c>
      <c r="S2445">
        <v>-3.0614620000000001</v>
      </c>
      <c r="T2445">
        <v>-5.1194549999999998E-2</v>
      </c>
      <c r="U2445">
        <v>-3.143311E-2</v>
      </c>
      <c r="V2445">
        <v>-7.3622960000000001E-2</v>
      </c>
      <c r="W2445">
        <v>0.187526</v>
      </c>
      <c r="X2445">
        <v>0.9794967</v>
      </c>
      <c r="Y2445">
        <v>-1.6196789999999999E-2</v>
      </c>
      <c r="Z2445">
        <v>-2.590173E-4</v>
      </c>
      <c r="AA2445">
        <v>0.9998688</v>
      </c>
      <c r="AB2445">
        <v>40</v>
      </c>
      <c r="AC2445">
        <v>-65.985600000000005</v>
      </c>
      <c r="AD2445">
        <v>-1.1096493151473901</v>
      </c>
      <c r="AE2445">
        <v>-0.68349999999998001</v>
      </c>
      <c r="AF2445">
        <v>-1.0747659407930299</v>
      </c>
      <c r="AG2445">
        <v>-1.1096493151473901</v>
      </c>
      <c r="AH2445">
        <v>65.961730258611198</v>
      </c>
      <c r="AI2445">
        <v>90.963646498806298</v>
      </c>
      <c r="AJ2445">
        <v>90.933482239915904</v>
      </c>
      <c r="AK2445">
        <v>65.979817384862997</v>
      </c>
      <c r="AL2445">
        <v>79.191561224119994</v>
      </c>
      <c r="AM2445">
        <v>94.298501236633399</v>
      </c>
      <c r="AN2445">
        <v>1.0000000631130199</v>
      </c>
    </row>
    <row r="2446" spans="1:40" x14ac:dyDescent="0.25">
      <c r="A2446" t="str">
        <f>"20190304155641518"</f>
        <v>20190304155641518</v>
      </c>
      <c r="B2446" t="str">
        <f>"1551686201506623"</f>
        <v>1551686201506623</v>
      </c>
      <c r="C2446" t="s">
        <v>40</v>
      </c>
      <c r="D2446">
        <v>4.6682079999999999</v>
      </c>
      <c r="E2446">
        <v>0.52120239999999995</v>
      </c>
      <c r="F2446" t="s">
        <v>55</v>
      </c>
      <c r="G2446">
        <v>-447.37599999999998</v>
      </c>
      <c r="H2446" s="1">
        <v>2.4259590000000001E-6</v>
      </c>
      <c r="I2446">
        <v>283.75650000000002</v>
      </c>
      <c r="J2446">
        <v>-378.529</v>
      </c>
      <c r="K2446">
        <v>1.1096600000000001</v>
      </c>
      <c r="L2446">
        <v>284.48230000000001</v>
      </c>
      <c r="M2446">
        <v>-0.99991850000000004</v>
      </c>
      <c r="N2446">
        <v>-1.131414E-2</v>
      </c>
      <c r="O2446">
        <v>5.9336659999999998E-3</v>
      </c>
      <c r="P2446">
        <v>-0.98181549999999995</v>
      </c>
      <c r="Q2446">
        <v>0.1773921</v>
      </c>
      <c r="R2446">
        <v>-6.7604709999999998E-2</v>
      </c>
      <c r="S2446">
        <v>-3.0617070000000002</v>
      </c>
      <c r="T2446">
        <v>-4.9057249999999997E-2</v>
      </c>
      <c r="U2446">
        <v>-3.1982419999999998E-2</v>
      </c>
      <c r="V2446">
        <v>-7.3422849999999998E-2</v>
      </c>
      <c r="W2446">
        <v>0.18848699999999999</v>
      </c>
      <c r="X2446">
        <v>0.97932719999999995</v>
      </c>
      <c r="Y2446">
        <v>-1.6375270000000001E-2</v>
      </c>
      <c r="Z2446">
        <v>-2.5176149999999998E-4</v>
      </c>
      <c r="AA2446">
        <v>0.99986589999999997</v>
      </c>
      <c r="AB2446">
        <v>40</v>
      </c>
      <c r="AC2446">
        <v>-68.846999999999895</v>
      </c>
      <c r="AD2446">
        <v>-1.109657574041</v>
      </c>
      <c r="AE2446">
        <v>-0.72579999999999201</v>
      </c>
      <c r="AF2446">
        <v>-1.1340338596997099</v>
      </c>
      <c r="AG2446">
        <v>-1.109657574041</v>
      </c>
      <c r="AH2446">
        <v>68.823603808434001</v>
      </c>
      <c r="AI2446">
        <v>90.923586630467895</v>
      </c>
      <c r="AJ2446">
        <v>90.943999892169401</v>
      </c>
      <c r="AK2446">
        <v>68.841889964663693</v>
      </c>
      <c r="AL2446">
        <v>79.135499754437902</v>
      </c>
      <c r="AM2446">
        <v>94.287600554961898</v>
      </c>
      <c r="AN2446">
        <v>1.0000000143654799</v>
      </c>
    </row>
    <row r="2447" spans="1:40" x14ac:dyDescent="0.25">
      <c r="A2447" t="str">
        <f>"20190304155641532"</f>
        <v>20190304155641532</v>
      </c>
      <c r="B2447" t="str">
        <f>"1551686201527120"</f>
        <v>1551686201527120</v>
      </c>
      <c r="C2447" t="s">
        <v>40</v>
      </c>
      <c r="D2447">
        <v>4.6429499999999999</v>
      </c>
      <c r="E2447">
        <v>0.52100590000000002</v>
      </c>
      <c r="F2447" t="s">
        <v>55</v>
      </c>
      <c r="G2447">
        <v>-448.21170000000001</v>
      </c>
      <c r="H2447" s="1">
        <v>2.8681449999999999E-6</v>
      </c>
      <c r="I2447">
        <v>283.81360000000001</v>
      </c>
      <c r="J2447">
        <v>-378.76909999999998</v>
      </c>
      <c r="K2447">
        <v>1.109667</v>
      </c>
      <c r="L2447">
        <v>284.4837</v>
      </c>
      <c r="M2447">
        <v>-0.99991819999999998</v>
      </c>
      <c r="N2447">
        <v>-1.1347629999999999E-2</v>
      </c>
      <c r="O2447">
        <v>5.9333559999999999E-3</v>
      </c>
      <c r="P2447">
        <v>-0.98174629999999996</v>
      </c>
      <c r="Q2447">
        <v>0.1778428</v>
      </c>
      <c r="R2447">
        <v>-6.7427810000000005E-2</v>
      </c>
      <c r="S2447">
        <v>-3.0623469999999999</v>
      </c>
      <c r="T2447">
        <v>-4.8766139999999999E-2</v>
      </c>
      <c r="U2447">
        <v>-2.938843E-2</v>
      </c>
      <c r="V2447">
        <v>-7.3245009999999999E-2</v>
      </c>
      <c r="W2447">
        <v>0.18896969999999999</v>
      </c>
      <c r="X2447">
        <v>0.97924750000000005</v>
      </c>
      <c r="Y2447">
        <v>-1.5526119999999999E-2</v>
      </c>
      <c r="Z2447">
        <v>-2.3886710000000001E-4</v>
      </c>
      <c r="AA2447">
        <v>0.99987939999999997</v>
      </c>
      <c r="AB2447">
        <v>40</v>
      </c>
      <c r="AC2447">
        <v>-69.442599999999999</v>
      </c>
      <c r="AD2447">
        <v>-1.109664131855</v>
      </c>
      <c r="AE2447">
        <v>-0.67009999999999004</v>
      </c>
      <c r="AF2447">
        <v>-1.08186609699196</v>
      </c>
      <c r="AG2447">
        <v>-1.109664131855</v>
      </c>
      <c r="AH2447">
        <v>69.419676810016796</v>
      </c>
      <c r="AI2447">
        <v>90.915676110008405</v>
      </c>
      <c r="AJ2447">
        <v>90.892849788906005</v>
      </c>
      <c r="AK2447">
        <v>69.436973703816705</v>
      </c>
      <c r="AL2447">
        <v>79.107337069022805</v>
      </c>
      <c r="AM2447">
        <v>94.277600827660805</v>
      </c>
      <c r="AN2447">
        <v>1.00000002263211</v>
      </c>
    </row>
    <row r="2448" spans="1:40" x14ac:dyDescent="0.25">
      <c r="A2448" t="str">
        <f>"20190304155641544"</f>
        <v>20190304155641544</v>
      </c>
      <c r="B2448" t="str">
        <f>"1551686201536879"</f>
        <v>1551686201536879</v>
      </c>
      <c r="C2448" t="s">
        <v>40</v>
      </c>
      <c r="D2448">
        <v>4.6874010000000004</v>
      </c>
      <c r="E2448">
        <v>0.52105299999999999</v>
      </c>
      <c r="F2448" t="s">
        <v>55</v>
      </c>
      <c r="G2448">
        <v>-448.0693</v>
      </c>
      <c r="H2448" s="1">
        <v>2.7932619999999998E-6</v>
      </c>
      <c r="I2448">
        <v>283.79390000000001</v>
      </c>
      <c r="J2448">
        <v>-378.99770000000001</v>
      </c>
      <c r="K2448">
        <v>1.1096760000000001</v>
      </c>
      <c r="L2448">
        <v>284.48509999999999</v>
      </c>
      <c r="M2448">
        <v>-0.99991770000000002</v>
      </c>
      <c r="N2448">
        <v>-1.1381230000000001E-2</v>
      </c>
      <c r="O2448">
        <v>5.9331640000000003E-3</v>
      </c>
      <c r="P2448">
        <v>-0.98173189999999999</v>
      </c>
      <c r="Q2448">
        <v>0.17812149999999999</v>
      </c>
      <c r="R2448">
        <v>-6.6899299999999995E-2</v>
      </c>
      <c r="S2448">
        <v>-3.0625610000000001</v>
      </c>
      <c r="T2448">
        <v>-4.9039010000000001E-2</v>
      </c>
      <c r="U2448">
        <v>-3.048706E-2</v>
      </c>
      <c r="V2448">
        <v>-7.2716180000000005E-2</v>
      </c>
      <c r="W2448">
        <v>0.18928110000000001</v>
      </c>
      <c r="X2448">
        <v>0.97922679999999995</v>
      </c>
      <c r="Y2448">
        <v>-1.58838E-2</v>
      </c>
      <c r="Z2448">
        <v>-2.4503179999999999E-4</v>
      </c>
      <c r="AA2448">
        <v>0.99987380000000003</v>
      </c>
      <c r="AB2448">
        <v>40</v>
      </c>
      <c r="AC2448">
        <v>-69.071599999999904</v>
      </c>
      <c r="AD2448">
        <v>-1.109673206738</v>
      </c>
      <c r="AE2448">
        <v>-0.69119999999998005</v>
      </c>
      <c r="AF2448">
        <v>-1.10074340300117</v>
      </c>
      <c r="AG2448">
        <v>-1.109673206738</v>
      </c>
      <c r="AH2448">
        <v>69.048463065778193</v>
      </c>
      <c r="AI2448">
        <v>90.920600408342594</v>
      </c>
      <c r="AJ2448">
        <v>90.913309388017097</v>
      </c>
      <c r="AK2448">
        <v>69.066151350796602</v>
      </c>
      <c r="AL2448">
        <v>79.089167573438104</v>
      </c>
      <c r="AM2448">
        <v>94.246919337649501</v>
      </c>
      <c r="AN2448">
        <v>1.0000000517446099</v>
      </c>
    </row>
    <row r="2449" spans="1:40" x14ac:dyDescent="0.25">
      <c r="A2449" t="str">
        <f>"20190304155641557"</f>
        <v>20190304155641557</v>
      </c>
      <c r="B2449" t="str">
        <f>"1551686201546640"</f>
        <v>1551686201546640</v>
      </c>
      <c r="C2449" t="s">
        <v>40</v>
      </c>
      <c r="D2449">
        <v>4.6740979999999999</v>
      </c>
      <c r="E2449">
        <v>0.52103100000000002</v>
      </c>
      <c r="F2449" t="s">
        <v>55</v>
      </c>
      <c r="G2449">
        <v>-448.96519999999998</v>
      </c>
      <c r="H2449" s="1">
        <v>3.2683160000000001E-6</v>
      </c>
      <c r="I2449">
        <v>283.83260000000001</v>
      </c>
      <c r="J2449">
        <v>-379.22109999999998</v>
      </c>
      <c r="K2449">
        <v>1.1096809999999999</v>
      </c>
      <c r="L2449">
        <v>284.4864</v>
      </c>
      <c r="M2449">
        <v>-0.99991739999999996</v>
      </c>
      <c r="N2449">
        <v>-1.141444E-2</v>
      </c>
      <c r="O2449">
        <v>5.9327950000000003E-3</v>
      </c>
      <c r="P2449">
        <v>-0.98163619999999996</v>
      </c>
      <c r="Q2449">
        <v>0.17874570000000001</v>
      </c>
      <c r="R2449">
        <v>-6.6637310000000005E-2</v>
      </c>
      <c r="S2449">
        <v>-3.0626829999999998</v>
      </c>
      <c r="T2449">
        <v>-4.8573610000000003E-2</v>
      </c>
      <c r="U2449">
        <v>-2.8564450000000002E-2</v>
      </c>
      <c r="V2449">
        <v>-7.2453279999999995E-2</v>
      </c>
      <c r="W2449">
        <v>0.1899371</v>
      </c>
      <c r="X2449">
        <v>0.97911919999999997</v>
      </c>
      <c r="Y2449">
        <v>-1.5255609999999999E-2</v>
      </c>
      <c r="Z2449">
        <v>-2.344131E-4</v>
      </c>
      <c r="AA2449">
        <v>0.99988359999999998</v>
      </c>
      <c r="AB2449">
        <v>40</v>
      </c>
      <c r="AC2449">
        <v>-69.744100000000003</v>
      </c>
      <c r="AD2449">
        <v>-1.1096777316840001</v>
      </c>
      <c r="AE2449">
        <v>-0.65379999999998895</v>
      </c>
      <c r="AF2449">
        <v>-1.06732266753704</v>
      </c>
      <c r="AG2449">
        <v>-1.1096777316840001</v>
      </c>
      <c r="AH2449">
        <v>69.721344845149403</v>
      </c>
      <c r="AI2449">
        <v>90.911729920317299</v>
      </c>
      <c r="AJ2449">
        <v>90.877038559939393</v>
      </c>
      <c r="AK2449">
        <v>69.738343035672102</v>
      </c>
      <c r="AL2449">
        <v>79.050886480306801</v>
      </c>
      <c r="AM2449">
        <v>94.232084131558594</v>
      </c>
      <c r="AN2449">
        <v>0.99999999377390403</v>
      </c>
    </row>
    <row r="2450" spans="1:40" x14ac:dyDescent="0.25">
      <c r="A2450" t="str">
        <f>"20190304155641571"</f>
        <v>20190304155641571</v>
      </c>
      <c r="B2450" t="str">
        <f>"1551686201567135"</f>
        <v>1551686201567135</v>
      </c>
      <c r="C2450" t="s">
        <v>40</v>
      </c>
      <c r="D2450">
        <v>4.6699789999999997</v>
      </c>
      <c r="E2450">
        <v>0.52113949999999998</v>
      </c>
      <c r="F2450" t="s">
        <v>55</v>
      </c>
      <c r="G2450">
        <v>-451.72019999999998</v>
      </c>
      <c r="H2450" s="1">
        <v>-5.8659980000000004E-7</v>
      </c>
      <c r="I2450">
        <v>283.82040000000001</v>
      </c>
      <c r="J2450">
        <v>-379.45589999999999</v>
      </c>
      <c r="K2450">
        <v>1.109688</v>
      </c>
      <c r="L2450">
        <v>284.48779999999999</v>
      </c>
      <c r="M2450">
        <v>-0.9999169</v>
      </c>
      <c r="N2450">
        <v>-1.144966E-2</v>
      </c>
      <c r="O2450">
        <v>5.9325940000000002E-3</v>
      </c>
      <c r="P2450">
        <v>-0.98154379999999997</v>
      </c>
      <c r="Q2450">
        <v>0.179316899999999</v>
      </c>
      <c r="R2450">
        <v>-6.6464159999999994E-2</v>
      </c>
      <c r="S2450">
        <v>-3.0627439999999999</v>
      </c>
      <c r="T2450">
        <v>-4.687881E-2</v>
      </c>
      <c r="U2450">
        <v>-2.8137209999999999E-2</v>
      </c>
      <c r="V2450">
        <v>-7.2279380000000004E-2</v>
      </c>
      <c r="W2450">
        <v>0.1905414</v>
      </c>
      <c r="X2450">
        <v>0.97901459999999996</v>
      </c>
      <c r="Y2450">
        <v>-1.5115969999999999E-2</v>
      </c>
      <c r="Z2450">
        <v>-2.2509670000000001E-4</v>
      </c>
      <c r="AA2450">
        <v>0.99988569999999999</v>
      </c>
      <c r="AB2450">
        <v>40</v>
      </c>
      <c r="AC2450">
        <v>-72.264299999999906</v>
      </c>
      <c r="AD2450">
        <v>-1.1096885865998001</v>
      </c>
      <c r="AE2450">
        <v>-0.667399999999986</v>
      </c>
      <c r="AF2450">
        <v>-1.0958726979884501</v>
      </c>
      <c r="AG2450">
        <v>-1.1096885865998001</v>
      </c>
      <c r="AH2450">
        <v>72.242034810306706</v>
      </c>
      <c r="AI2450">
        <v>90.879933137064995</v>
      </c>
      <c r="AJ2450">
        <v>90.869079409772993</v>
      </c>
      <c r="AK2450">
        <v>72.258867547609697</v>
      </c>
      <c r="AL2450">
        <v>79.015618198229404</v>
      </c>
      <c r="AM2450">
        <v>94.222412646958603</v>
      </c>
      <c r="AN2450">
        <v>0.99999996045015105</v>
      </c>
    </row>
    <row r="2451" spans="1:40" x14ac:dyDescent="0.25">
      <c r="A2451" t="str">
        <f>"20190304155641585"</f>
        <v>20190304155641585</v>
      </c>
      <c r="B2451" t="str">
        <f>"1551686201576896"</f>
        <v>1551686201576896</v>
      </c>
      <c r="C2451" t="s">
        <v>40</v>
      </c>
      <c r="D2451">
        <v>4.6186590000000001</v>
      </c>
      <c r="E2451">
        <v>0.52123090000000005</v>
      </c>
      <c r="F2451" t="s">
        <v>55</v>
      </c>
      <c r="G2451">
        <v>-453.99310000000003</v>
      </c>
      <c r="H2451" s="1">
        <v>6.2211669999999996E-7</v>
      </c>
      <c r="I2451">
        <v>283.83870000000002</v>
      </c>
      <c r="J2451">
        <v>-379.72739999999999</v>
      </c>
      <c r="K2451">
        <v>1.109694</v>
      </c>
      <c r="L2451">
        <v>284.48939999999999</v>
      </c>
      <c r="M2451">
        <v>-0.99991649999999999</v>
      </c>
      <c r="N2451">
        <v>-1.1491400000000001E-2</v>
      </c>
      <c r="O2451">
        <v>5.9323529999999996E-3</v>
      </c>
      <c r="P2451">
        <v>-0.98138099999999995</v>
      </c>
      <c r="Q2451">
        <v>0.18039269999999999</v>
      </c>
      <c r="R2451">
        <v>-6.5954509999999994E-2</v>
      </c>
      <c r="S2451">
        <v>-3.0629270000000002</v>
      </c>
      <c r="T2451">
        <v>-4.5599939999999999E-2</v>
      </c>
      <c r="U2451">
        <v>-2.6672359999999999E-2</v>
      </c>
      <c r="V2451">
        <v>-7.1768680000000001E-2</v>
      </c>
      <c r="W2451">
        <v>0.19165579999999999</v>
      </c>
      <c r="X2451">
        <v>0.97883469999999995</v>
      </c>
      <c r="Y2451">
        <v>-1.4637259999999999E-2</v>
      </c>
      <c r="Z2451">
        <v>-2.1320510000000001E-4</v>
      </c>
      <c r="AA2451">
        <v>0.99989280000000003</v>
      </c>
      <c r="AB2451">
        <v>40</v>
      </c>
      <c r="AC2451">
        <v>-74.265699999999995</v>
      </c>
      <c r="AD2451">
        <v>-1.1096933778833</v>
      </c>
      <c r="AE2451">
        <v>-0.65069999999997197</v>
      </c>
      <c r="AF2451">
        <v>-1.0910443548584701</v>
      </c>
      <c r="AG2451">
        <v>-1.1096933778833</v>
      </c>
      <c r="AH2451">
        <v>74.243957430328194</v>
      </c>
      <c r="AI2451">
        <v>90.856219854834706</v>
      </c>
      <c r="AJ2451">
        <v>90.841923566645093</v>
      </c>
      <c r="AK2451">
        <v>74.260265365089893</v>
      </c>
      <c r="AL2451">
        <v>78.950569745599296</v>
      </c>
      <c r="AM2451">
        <v>94.193453193671701</v>
      </c>
      <c r="AN2451">
        <v>1.00000002951333</v>
      </c>
    </row>
    <row r="2452" spans="1:40" x14ac:dyDescent="0.25">
      <c r="A2452" t="str">
        <f>"20190304155641608"</f>
        <v>20190304155641608</v>
      </c>
      <c r="B2452" t="str">
        <f>"1551686201597391"</f>
        <v>1551686201597391</v>
      </c>
      <c r="C2452" t="s">
        <v>40</v>
      </c>
      <c r="D2452">
        <v>4.6434249999999997</v>
      </c>
      <c r="E2452">
        <v>0.52138359999999995</v>
      </c>
      <c r="F2452" t="s">
        <v>55</v>
      </c>
      <c r="G2452">
        <v>-456.85610000000003</v>
      </c>
      <c r="H2452" s="1">
        <v>2.1442339999999998E-6</v>
      </c>
      <c r="I2452">
        <v>283.8716</v>
      </c>
      <c r="J2452">
        <v>-380.11040000000003</v>
      </c>
      <c r="K2452">
        <v>1.1097049999999999</v>
      </c>
      <c r="L2452">
        <v>284.49169999999998</v>
      </c>
      <c r="M2452">
        <v>-0.99991569999999996</v>
      </c>
      <c r="N2452">
        <v>-1.154986E-2</v>
      </c>
      <c r="O2452">
        <v>5.932016E-3</v>
      </c>
      <c r="P2452">
        <v>-0.98123709999999997</v>
      </c>
      <c r="Q2452">
        <v>0.18135560000000001</v>
      </c>
      <c r="R2452">
        <v>-6.545289E-2</v>
      </c>
      <c r="S2452">
        <v>-3.0633849999999998</v>
      </c>
      <c r="T2452">
        <v>-4.4074540000000002E-2</v>
      </c>
      <c r="U2452">
        <v>-2.453613E-2</v>
      </c>
      <c r="V2452">
        <v>-7.1265499999999996E-2</v>
      </c>
      <c r="W2452">
        <v>0.1926745</v>
      </c>
      <c r="X2452">
        <v>0.97867139999999997</v>
      </c>
      <c r="Y2452">
        <v>-1.393868E-2</v>
      </c>
      <c r="Z2452">
        <v>-1.9759829999999999E-4</v>
      </c>
      <c r="AA2452">
        <v>0.99990279999999998</v>
      </c>
      <c r="AB2452">
        <v>40</v>
      </c>
      <c r="AC2452">
        <v>-76.745699999999999</v>
      </c>
      <c r="AD2452">
        <v>-1.109702855766</v>
      </c>
      <c r="AE2452">
        <v>-0.620099999999979</v>
      </c>
      <c r="AF2452">
        <v>-1.0751514038174099</v>
      </c>
      <c r="AG2452">
        <v>-1.109702855766</v>
      </c>
      <c r="AH2452">
        <v>76.7246305512964</v>
      </c>
      <c r="AI2452">
        <v>90.828555527351895</v>
      </c>
      <c r="AJ2452">
        <v>90.8028400478685</v>
      </c>
      <c r="AK2452">
        <v>76.740187152509293</v>
      </c>
      <c r="AL2452">
        <v>78.891093412657</v>
      </c>
      <c r="AM2452">
        <v>94.164848489654005</v>
      </c>
      <c r="AN2452">
        <v>0.99999997180922895</v>
      </c>
    </row>
    <row r="2453" spans="1:40" x14ac:dyDescent="0.25">
      <c r="A2453" t="str">
        <f>"20190304155641621"</f>
        <v>20190304155641621</v>
      </c>
      <c r="B2453" t="str">
        <f>"1551686201616911"</f>
        <v>1551686201616911</v>
      </c>
      <c r="C2453" t="s">
        <v>40</v>
      </c>
      <c r="D2453">
        <v>4.6544189999999999</v>
      </c>
      <c r="E2453">
        <v>0.52133289999999999</v>
      </c>
      <c r="F2453" t="s">
        <v>55</v>
      </c>
      <c r="G2453">
        <v>-459.20519999999999</v>
      </c>
      <c r="H2453" s="1">
        <v>3.3916939999999999E-6</v>
      </c>
      <c r="I2453">
        <v>283.9316</v>
      </c>
      <c r="J2453">
        <v>-380.35520000000002</v>
      </c>
      <c r="K2453">
        <v>1.10971</v>
      </c>
      <c r="L2453">
        <v>284.49310000000003</v>
      </c>
      <c r="M2453">
        <v>-0.99991549999999996</v>
      </c>
      <c r="N2453">
        <v>-1.158755E-2</v>
      </c>
      <c r="O2453">
        <v>5.931619E-3</v>
      </c>
      <c r="P2453">
        <v>-0.98117659999999995</v>
      </c>
      <c r="Q2453">
        <v>0.181731</v>
      </c>
      <c r="R2453">
        <v>-6.5320630000000005E-2</v>
      </c>
      <c r="S2453">
        <v>-3.063904</v>
      </c>
      <c r="T2453">
        <v>-4.2986629999999998E-2</v>
      </c>
      <c r="U2453">
        <v>-2.1697999999999999E-2</v>
      </c>
      <c r="V2453">
        <v>-7.1132699999999993E-2</v>
      </c>
      <c r="W2453">
        <v>0.1930859</v>
      </c>
      <c r="X2453">
        <v>0.97860000000000003</v>
      </c>
      <c r="Y2453">
        <v>-1.301102E-2</v>
      </c>
      <c r="Z2453">
        <v>-1.8114199999999999E-4</v>
      </c>
      <c r="AA2453">
        <v>0.99991540000000001</v>
      </c>
      <c r="AB2453">
        <v>40</v>
      </c>
      <c r="AC2453">
        <v>-78.849999999999895</v>
      </c>
      <c r="AD2453">
        <v>-1.1097066083060001</v>
      </c>
      <c r="AE2453">
        <v>-0.56150000000002298</v>
      </c>
      <c r="AF2453">
        <v>-1.02902576756894</v>
      </c>
      <c r="AG2453">
        <v>-1.1097066083060001</v>
      </c>
      <c r="AH2453">
        <v>78.829669047927794</v>
      </c>
      <c r="AI2453">
        <v>90.806446240676806</v>
      </c>
      <c r="AJ2453">
        <v>90.747884466058807</v>
      </c>
      <c r="AK2453">
        <v>78.844194871865298</v>
      </c>
      <c r="AL2453">
        <v>78.867071077473796</v>
      </c>
      <c r="AM2453">
        <v>94.157416964284195</v>
      </c>
      <c r="AN2453">
        <v>0.99999999289404995</v>
      </c>
    </row>
    <row r="2454" spans="1:40" x14ac:dyDescent="0.25">
      <c r="A2454" t="str">
        <f>"20190304155641636"</f>
        <v>20190304155641636</v>
      </c>
      <c r="B2454" t="str">
        <f>"1551686201626672"</f>
        <v>1551686201626672</v>
      </c>
      <c r="C2454" t="s">
        <v>40</v>
      </c>
      <c r="D2454">
        <v>4.6686170000000002</v>
      </c>
      <c r="E2454">
        <v>0.52126110000000003</v>
      </c>
      <c r="F2454" t="s">
        <v>55</v>
      </c>
      <c r="G2454">
        <v>-459.21890000000002</v>
      </c>
      <c r="H2454" s="1">
        <v>3.398871E-6</v>
      </c>
      <c r="I2454">
        <v>283.93470000000002</v>
      </c>
      <c r="J2454">
        <v>-380.60199999999998</v>
      </c>
      <c r="K2454">
        <v>1.109715</v>
      </c>
      <c r="L2454">
        <v>284.49459999999999</v>
      </c>
      <c r="M2454">
        <v>-0.99991490000000005</v>
      </c>
      <c r="N2454">
        <v>-1.1626310000000001E-2</v>
      </c>
      <c r="O2454">
        <v>5.9313930000000001E-3</v>
      </c>
      <c r="P2454">
        <v>-0.98111789999999999</v>
      </c>
      <c r="Q2454">
        <v>0.1820543</v>
      </c>
      <c r="R2454">
        <v>-6.5301620000000005E-2</v>
      </c>
      <c r="S2454">
        <v>-3.0640559999999999</v>
      </c>
      <c r="T2454">
        <v>-4.3114899999999998E-2</v>
      </c>
      <c r="U2454">
        <v>-2.1697999999999999E-2</v>
      </c>
      <c r="V2454">
        <v>-7.1113090000000004E-2</v>
      </c>
      <c r="W2454">
        <v>0.1934466</v>
      </c>
      <c r="X2454">
        <v>0.97853020000000002</v>
      </c>
      <c r="Y2454">
        <v>-1.301044E-2</v>
      </c>
      <c r="Z2454">
        <v>-1.8166809999999999E-4</v>
      </c>
      <c r="AA2454">
        <v>0.99991540000000001</v>
      </c>
      <c r="AB2454">
        <v>40</v>
      </c>
      <c r="AC2454">
        <v>-78.616900000000001</v>
      </c>
      <c r="AD2454">
        <v>-1.109711601129</v>
      </c>
      <c r="AE2454">
        <v>-0.55989999999996998</v>
      </c>
      <c r="AF2454">
        <v>-1.0260249410507101</v>
      </c>
      <c r="AG2454">
        <v>-1.109711601129</v>
      </c>
      <c r="AH2454">
        <v>78.596536454353298</v>
      </c>
      <c r="AI2454">
        <v>90.808841632509996</v>
      </c>
      <c r="AJ2454">
        <v>90.747915396677698</v>
      </c>
      <c r="AK2454">
        <v>78.611066203415902</v>
      </c>
      <c r="AL2454">
        <v>78.846007503587202</v>
      </c>
      <c r="AM2454">
        <v>94.156570290725796</v>
      </c>
      <c r="AN2454">
        <v>1.0000000054664699</v>
      </c>
    </row>
    <row r="2455" spans="1:40" x14ac:dyDescent="0.25">
      <c r="A2455" t="str">
        <f>"20190304155641652"</f>
        <v>20190304155641652</v>
      </c>
      <c r="B2455" t="str">
        <f>"1551686201647168"</f>
        <v>1551686201647168</v>
      </c>
      <c r="C2455" t="s">
        <v>40</v>
      </c>
      <c r="D2455">
        <v>4.6809539999999998</v>
      </c>
      <c r="E2455">
        <v>0.52117869999999999</v>
      </c>
      <c r="F2455" t="s">
        <v>55</v>
      </c>
      <c r="G2455">
        <v>-460.48689999999999</v>
      </c>
      <c r="H2455" s="1">
        <v>-1.247336E-6</v>
      </c>
      <c r="I2455">
        <v>283.92180000000002</v>
      </c>
      <c r="J2455">
        <v>-380.88900000000001</v>
      </c>
      <c r="K2455">
        <v>1.109721</v>
      </c>
      <c r="L2455">
        <v>284.49630000000002</v>
      </c>
      <c r="M2455">
        <v>-0.99991430000000003</v>
      </c>
      <c r="N2455">
        <v>-1.167264E-2</v>
      </c>
      <c r="O2455">
        <v>5.9311219999999996E-3</v>
      </c>
      <c r="P2455">
        <v>-0.98111389999999998</v>
      </c>
      <c r="Q2455">
        <v>0.1822558</v>
      </c>
      <c r="R2455">
        <v>-6.4796019999999996E-2</v>
      </c>
      <c r="S2455">
        <v>-3.064209</v>
      </c>
      <c r="T2455">
        <v>-4.2566300000000001E-2</v>
      </c>
      <c r="U2455">
        <v>-2.1972660000000001E-2</v>
      </c>
      <c r="V2455">
        <v>-7.0607489999999995E-2</v>
      </c>
      <c r="W2455">
        <v>0.19369400000000001</v>
      </c>
      <c r="X2455">
        <v>0.97851790000000005</v>
      </c>
      <c r="Y2455">
        <v>-1.309947E-2</v>
      </c>
      <c r="Z2455">
        <v>-1.8059700000000001E-4</v>
      </c>
      <c r="AA2455">
        <v>0.99991419999999998</v>
      </c>
      <c r="AB2455">
        <v>40</v>
      </c>
      <c r="AC2455">
        <v>-79.597899999999896</v>
      </c>
      <c r="AD2455">
        <v>-1.109722247336</v>
      </c>
      <c r="AE2455">
        <v>-0.57450000000000001</v>
      </c>
      <c r="AF2455">
        <v>-1.04642352554036</v>
      </c>
      <c r="AG2455">
        <v>-1.109722247336</v>
      </c>
      <c r="AH2455">
        <v>79.577625519948796</v>
      </c>
      <c r="AI2455">
        <v>90.798877628032301</v>
      </c>
      <c r="AJ2455">
        <v>90.753380058988498</v>
      </c>
      <c r="AK2455">
        <v>79.592241889861597</v>
      </c>
      <c r="AL2455">
        <v>78.831559559160993</v>
      </c>
      <c r="AM2455">
        <v>94.127172078082694</v>
      </c>
      <c r="AN2455">
        <v>1.00000003195025</v>
      </c>
    </row>
    <row r="2456" spans="1:40" x14ac:dyDescent="0.25">
      <c r="A2456" t="str">
        <f>"20190304155641667"</f>
        <v>20190304155641667</v>
      </c>
      <c r="B2456" t="str">
        <f>"1551686201656927"</f>
        <v>1551686201656927</v>
      </c>
      <c r="C2456" t="s">
        <v>40</v>
      </c>
      <c r="D2456">
        <v>4.7510199999999996</v>
      </c>
      <c r="E2456">
        <v>0.52124349999999997</v>
      </c>
      <c r="F2456" t="s">
        <v>55</v>
      </c>
      <c r="G2456">
        <v>-459.45830000000001</v>
      </c>
      <c r="H2456" s="1">
        <v>3.5252499999999998E-6</v>
      </c>
      <c r="I2456">
        <v>283.9572</v>
      </c>
      <c r="J2456">
        <v>-381.18029999999999</v>
      </c>
      <c r="K2456">
        <v>1.109729</v>
      </c>
      <c r="L2456">
        <v>284.49799999999999</v>
      </c>
      <c r="M2456">
        <v>-0.99991379999999996</v>
      </c>
      <c r="N2456">
        <v>-1.1720070000000001E-2</v>
      </c>
      <c r="O2456">
        <v>5.9310229999999997E-3</v>
      </c>
      <c r="P2456">
        <v>-0.98102040000000001</v>
      </c>
      <c r="Q2456">
        <v>0.1828941</v>
      </c>
      <c r="R2456">
        <v>-6.4413670000000006E-2</v>
      </c>
      <c r="S2456">
        <v>-3.0643919999999998</v>
      </c>
      <c r="T2456">
        <v>-4.3281670000000001E-2</v>
      </c>
      <c r="U2456">
        <v>-2.1026610000000001E-2</v>
      </c>
      <c r="V2456">
        <v>-7.0224079999999994E-2</v>
      </c>
      <c r="W2456">
        <v>0.19437750000000001</v>
      </c>
      <c r="X2456">
        <v>0.97840990000000005</v>
      </c>
      <c r="Y2456">
        <v>-1.279025E-2</v>
      </c>
      <c r="Z2456">
        <v>-1.795333E-4</v>
      </c>
      <c r="AA2456">
        <v>0.99991819999999998</v>
      </c>
      <c r="AB2456">
        <v>40</v>
      </c>
      <c r="AC2456">
        <v>-78.278000000000006</v>
      </c>
      <c r="AD2456">
        <v>-1.1097254747500001</v>
      </c>
      <c r="AE2456">
        <v>-0.54079999999998996</v>
      </c>
      <c r="AF2456">
        <v>-1.0048890084383999</v>
      </c>
      <c r="AG2456">
        <v>-1.1097254747500001</v>
      </c>
      <c r="AH2456">
        <v>78.257687850719904</v>
      </c>
      <c r="AI2456">
        <v>90.812355774291007</v>
      </c>
      <c r="AJ2456">
        <v>90.735681521931298</v>
      </c>
      <c r="AK2456">
        <v>78.2720064920358</v>
      </c>
      <c r="AL2456">
        <v>78.791638632120197</v>
      </c>
      <c r="AM2456">
        <v>94.105289243539801</v>
      </c>
      <c r="AN2456">
        <v>0.99999998316805305</v>
      </c>
    </row>
    <row r="2457" spans="1:40" x14ac:dyDescent="0.25">
      <c r="A2457" t="str">
        <f>"20190304155641687"</f>
        <v>20190304155641687</v>
      </c>
      <c r="B2457" t="str">
        <f>"1551686201677423"</f>
        <v>1551686201677423</v>
      </c>
      <c r="C2457" t="s">
        <v>40</v>
      </c>
      <c r="D2457">
        <v>4.6593519999999904</v>
      </c>
      <c r="E2457">
        <v>0.54269089999999998</v>
      </c>
      <c r="F2457" t="s">
        <v>55</v>
      </c>
      <c r="G2457">
        <v>-462.81490000000002</v>
      </c>
      <c r="H2457" s="1">
        <v>-1.0986E-8</v>
      </c>
      <c r="I2457">
        <v>283.9794</v>
      </c>
      <c r="J2457">
        <v>-381.51889999999997</v>
      </c>
      <c r="K2457">
        <v>1.109742</v>
      </c>
      <c r="L2457">
        <v>284.50009999999997</v>
      </c>
      <c r="M2457">
        <v>-0.99991319999999995</v>
      </c>
      <c r="N2457">
        <v>-1.177563E-2</v>
      </c>
      <c r="O2457">
        <v>5.930874E-3</v>
      </c>
      <c r="P2457">
        <v>-0.98093090000000005</v>
      </c>
      <c r="Q2457">
        <v>0.18347849999999999</v>
      </c>
      <c r="R2457">
        <v>-6.4113160000000002E-2</v>
      </c>
      <c r="S2457">
        <v>-3.0645449999999999</v>
      </c>
      <c r="T2457">
        <v>-4.1659000000000002E-2</v>
      </c>
      <c r="U2457">
        <v>-1.9470210000000002E-2</v>
      </c>
      <c r="V2457">
        <v>-6.9923009999999994E-2</v>
      </c>
      <c r="W2457">
        <v>0.19501450000000001</v>
      </c>
      <c r="X2457">
        <v>0.97830470000000003</v>
      </c>
      <c r="Y2457">
        <v>-1.228218E-2</v>
      </c>
      <c r="Z2457">
        <v>-1.6657900000000001E-4</v>
      </c>
      <c r="AA2457">
        <v>0.99992449999999999</v>
      </c>
      <c r="AB2457">
        <v>40</v>
      </c>
      <c r="AC2457">
        <v>-81.296000000000006</v>
      </c>
      <c r="AD2457">
        <v>-1.1097420109859999</v>
      </c>
      <c r="AE2457">
        <v>-0.52069999999997596</v>
      </c>
      <c r="AF2457">
        <v>-1.0026937121911099</v>
      </c>
      <c r="AG2457">
        <v>-1.1097420109859999</v>
      </c>
      <c r="AH2457">
        <v>81.276337167690997</v>
      </c>
      <c r="AI2457">
        <v>90.782204855187501</v>
      </c>
      <c r="AJ2457">
        <v>90.706813391539299</v>
      </c>
      <c r="AK2457">
        <v>81.290097216128402</v>
      </c>
      <c r="AL2457">
        <v>78.754429178000294</v>
      </c>
      <c r="AM2457">
        <v>94.088186605695498</v>
      </c>
      <c r="AN2457">
        <v>0.999999984289899</v>
      </c>
    </row>
    <row r="2458" spans="1:40" x14ac:dyDescent="0.25">
      <c r="A2458" t="str">
        <f>"20190304155641709"</f>
        <v>20190304155641709</v>
      </c>
      <c r="B2458" t="str">
        <f>"1551686201696944"</f>
        <v>1551686201696944</v>
      </c>
      <c r="C2458" t="s">
        <v>40</v>
      </c>
      <c r="D2458">
        <v>4.6597160000000004</v>
      </c>
      <c r="E2458">
        <v>0.54687369999999902</v>
      </c>
      <c r="F2458" t="s">
        <v>55</v>
      </c>
      <c r="G2458">
        <v>-463.54140000000001</v>
      </c>
      <c r="H2458" s="1">
        <v>1.756137E-7</v>
      </c>
      <c r="I2458">
        <v>288.55410000000001</v>
      </c>
      <c r="J2458">
        <v>-381.91989999999998</v>
      </c>
      <c r="K2458">
        <v>1.1097539999999999</v>
      </c>
      <c r="L2458">
        <v>284.50240000000002</v>
      </c>
      <c r="M2458">
        <v>-0.99991229999999998</v>
      </c>
      <c r="N2458">
        <v>-1.1850370000000001E-2</v>
      </c>
      <c r="O2458">
        <v>5.9305499999999997E-3</v>
      </c>
      <c r="P2458">
        <v>-0.98080480000000003</v>
      </c>
      <c r="Q2458">
        <v>0.18434890000000001</v>
      </c>
      <c r="R2458">
        <v>-6.354187E-2</v>
      </c>
      <c r="S2458">
        <v>-3.07605</v>
      </c>
      <c r="T2458">
        <v>-4.161811E-2</v>
      </c>
      <c r="U2458">
        <v>0.1520386</v>
      </c>
      <c r="V2458">
        <v>-6.9350869999999995E-2</v>
      </c>
      <c r="W2458">
        <v>0.19595679999999999</v>
      </c>
      <c r="X2458">
        <v>0.97815719999999995</v>
      </c>
      <c r="Y2458">
        <v>4.3434250000000001E-2</v>
      </c>
      <c r="Z2458">
        <v>5.4123669999999997E-4</v>
      </c>
      <c r="AA2458">
        <v>0.99905619999999995</v>
      </c>
      <c r="AB2458">
        <v>40</v>
      </c>
      <c r="AC2458">
        <v>-81.621499999999997</v>
      </c>
      <c r="AD2458">
        <v>-1.1097538243863001</v>
      </c>
      <c r="AE2458">
        <v>4.0516999999999799</v>
      </c>
      <c r="AF2458">
        <v>3.5668766554148901</v>
      </c>
      <c r="AG2458">
        <v>-1.1097538243863001</v>
      </c>
      <c r="AH2458">
        <v>81.629042013943106</v>
      </c>
      <c r="AI2458">
        <v>90.778150612911404</v>
      </c>
      <c r="AJ2458">
        <v>87.497985368532696</v>
      </c>
      <c r="AK2458">
        <v>81.714470338733605</v>
      </c>
      <c r="AL2458">
        <v>78.699378078749206</v>
      </c>
      <c r="AM2458">
        <v>94.055456757322304</v>
      </c>
      <c r="AN2458">
        <v>1.00000005927391</v>
      </c>
    </row>
    <row r="2459" spans="1:40" x14ac:dyDescent="0.25">
      <c r="A2459" t="str">
        <f>"20190304155641731"</f>
        <v>20190304155641731</v>
      </c>
      <c r="B2459" t="str">
        <f>"1551686201727200"</f>
        <v>1551686201727200</v>
      </c>
      <c r="C2459" t="s">
        <v>40</v>
      </c>
      <c r="D2459">
        <v>4.6414010000000001</v>
      </c>
      <c r="E2459">
        <v>0.54932169999999902</v>
      </c>
      <c r="F2459" t="s">
        <v>53</v>
      </c>
      <c r="G2459">
        <v>-486.70839999999998</v>
      </c>
      <c r="H2459" s="1">
        <v>4.1654220000000001E-6</v>
      </c>
      <c r="I2459">
        <v>290.8723</v>
      </c>
      <c r="J2459">
        <v>-382.29570000000001</v>
      </c>
      <c r="K2459">
        <v>1.1097680000000001</v>
      </c>
      <c r="L2459">
        <v>284.50470000000001</v>
      </c>
      <c r="M2459">
        <v>-0.99991129999999995</v>
      </c>
      <c r="N2459">
        <v>-1.19325E-2</v>
      </c>
      <c r="O2459">
        <v>5.9302399999999998E-3</v>
      </c>
      <c r="P2459">
        <v>-0.9807053</v>
      </c>
      <c r="Q2459">
        <v>0.1850272</v>
      </c>
      <c r="R2459">
        <v>-6.3107570000000002E-2</v>
      </c>
      <c r="S2459">
        <v>-3.076965</v>
      </c>
      <c r="T2459">
        <v>-3.2586219999999999E-2</v>
      </c>
      <c r="U2459">
        <v>0.18704219999999999</v>
      </c>
      <c r="V2459">
        <v>-6.8915749999999998E-2</v>
      </c>
      <c r="W2459">
        <v>0.19671420000000001</v>
      </c>
      <c r="X2459">
        <v>0.97803589999999996</v>
      </c>
      <c r="Y2459">
        <v>5.4748579999999998E-2</v>
      </c>
      <c r="Z2459">
        <v>6.2456749999999998E-4</v>
      </c>
      <c r="AA2459">
        <v>0.99850000000000005</v>
      </c>
      <c r="AB2459">
        <v>40</v>
      </c>
      <c r="AC2459">
        <v>-104.41269999999901</v>
      </c>
      <c r="AD2459">
        <v>-1.1097638345780001</v>
      </c>
      <c r="AE2459">
        <v>6.3675999999999799</v>
      </c>
      <c r="AF2459">
        <v>5.7476047210460504</v>
      </c>
      <c r="AG2459">
        <v>-1.1097638345780001</v>
      </c>
      <c r="AH2459">
        <v>104.436873542152</v>
      </c>
      <c r="AI2459">
        <v>90.607891886976503</v>
      </c>
      <c r="AJ2459">
        <v>86.849947598770498</v>
      </c>
      <c r="AK2459">
        <v>104.600798711374</v>
      </c>
      <c r="AL2459">
        <v>78.655120640234799</v>
      </c>
      <c r="AM2459">
        <v>94.030594369307906</v>
      </c>
      <c r="AN2459">
        <v>1.0000000393842501</v>
      </c>
    </row>
    <row r="2460" spans="1:40" x14ac:dyDescent="0.25">
      <c r="A2460" t="str">
        <f>"20190304155641754"</f>
        <v>20190304155641754</v>
      </c>
      <c r="B2460" t="str">
        <f>"1551686201746720"</f>
        <v>1551686201746720</v>
      </c>
      <c r="C2460" t="s">
        <v>40</v>
      </c>
      <c r="D2460">
        <v>4.6413580000000003</v>
      </c>
      <c r="E2460">
        <v>0.54948619999999904</v>
      </c>
      <c r="F2460" t="s">
        <v>53</v>
      </c>
      <c r="G2460">
        <v>-499.95780000000002</v>
      </c>
      <c r="H2460">
        <v>1.227428E-2</v>
      </c>
      <c r="I2460">
        <v>292.45319999999998</v>
      </c>
      <c r="J2460">
        <v>-382.70420000000001</v>
      </c>
      <c r="K2460">
        <v>1.109782</v>
      </c>
      <c r="L2460">
        <v>284.50709999999998</v>
      </c>
      <c r="M2460">
        <v>-0.99991010000000002</v>
      </c>
      <c r="N2460">
        <v>-1.2033540000000001E-2</v>
      </c>
      <c r="O2460">
        <v>5.9303469999999999E-3</v>
      </c>
      <c r="P2460">
        <v>-0.98071439999999999</v>
      </c>
      <c r="Q2460">
        <v>0.18514420000000001</v>
      </c>
      <c r="R2460">
        <v>-6.2618750000000001E-2</v>
      </c>
      <c r="S2460">
        <v>-3.0777890000000001</v>
      </c>
      <c r="T2460">
        <v>-2.87081E-2</v>
      </c>
      <c r="U2460">
        <v>0.2079163</v>
      </c>
      <c r="V2460">
        <v>-6.8426769999999998E-2</v>
      </c>
      <c r="W2460">
        <v>0.19692979999999999</v>
      </c>
      <c r="X2460">
        <v>0.97802679999999997</v>
      </c>
      <c r="Y2460">
        <v>6.1475580000000002E-2</v>
      </c>
      <c r="Z2460">
        <v>6.7275199999999999E-4</v>
      </c>
      <c r="AA2460">
        <v>0.99810840000000001</v>
      </c>
      <c r="AB2460">
        <v>40</v>
      </c>
      <c r="AC2460">
        <v>-117.25360000000001</v>
      </c>
      <c r="AD2460">
        <v>-1.0975077200000001</v>
      </c>
      <c r="AE2460">
        <v>7.9461000000000004</v>
      </c>
      <c r="AF2460">
        <v>7.2499231524217498</v>
      </c>
      <c r="AG2460">
        <v>-1.0975077200000001</v>
      </c>
      <c r="AH2460">
        <v>117.28843549630299</v>
      </c>
      <c r="AI2460">
        <v>90.5350991940428</v>
      </c>
      <c r="AJ2460">
        <v>86.462889432181896</v>
      </c>
      <c r="AK2460">
        <v>117.517415773501</v>
      </c>
      <c r="AL2460">
        <v>78.642520708392993</v>
      </c>
      <c r="AM2460">
        <v>94.002126347801294</v>
      </c>
      <c r="AN2460">
        <v>0.99999999524945604</v>
      </c>
    </row>
    <row r="2461" spans="1:40" x14ac:dyDescent="0.25">
      <c r="A2461" t="str">
        <f>"20190304155641775"</f>
        <v>20190304155641775</v>
      </c>
      <c r="B2461" t="str">
        <f>"1551686201767215"</f>
        <v>1551686201767215</v>
      </c>
      <c r="C2461" t="s">
        <v>40</v>
      </c>
      <c r="D2461">
        <v>4.7076089999999997</v>
      </c>
      <c r="E2461">
        <v>0.54969760000000001</v>
      </c>
      <c r="F2461" t="s">
        <v>53</v>
      </c>
      <c r="G2461">
        <v>-499.95780000000002</v>
      </c>
      <c r="H2461">
        <v>3.3138939999999999E-2</v>
      </c>
      <c r="I2461">
        <v>292.54430000000002</v>
      </c>
      <c r="J2461">
        <v>-383.08409999999998</v>
      </c>
      <c r="K2461">
        <v>1.1097999999999999</v>
      </c>
      <c r="L2461">
        <v>284.5093</v>
      </c>
      <c r="M2461">
        <v>-0.99990889999999999</v>
      </c>
      <c r="N2461">
        <v>-1.213032E-2</v>
      </c>
      <c r="O2461">
        <v>5.9310680000000003E-3</v>
      </c>
      <c r="P2461">
        <v>-0.98060539999999996</v>
      </c>
      <c r="Q2461">
        <v>0.1858195</v>
      </c>
      <c r="R2461">
        <v>-6.2324070000000002E-2</v>
      </c>
      <c r="S2461">
        <v>-3.0777890000000001</v>
      </c>
      <c r="T2461">
        <v>-2.8260830000000001E-2</v>
      </c>
      <c r="U2461">
        <v>0.21096799999999999</v>
      </c>
      <c r="V2461">
        <v>-6.8132449999999997E-2</v>
      </c>
      <c r="W2461">
        <v>0.1976987</v>
      </c>
      <c r="X2461">
        <v>0.97789219999999999</v>
      </c>
      <c r="Y2461">
        <v>6.2459960000000002E-2</v>
      </c>
      <c r="Z2461">
        <v>6.8319959999999999E-4</v>
      </c>
      <c r="AA2461">
        <v>0.99804720000000002</v>
      </c>
      <c r="AB2461">
        <v>40</v>
      </c>
      <c r="AC2461">
        <v>-116.8737</v>
      </c>
      <c r="AD2461">
        <v>-1.0766610599999999</v>
      </c>
      <c r="AE2461">
        <v>8.0350000000000197</v>
      </c>
      <c r="AF2461">
        <v>7.3410017728952397</v>
      </c>
      <c r="AG2461">
        <v>-1.0766610599999999</v>
      </c>
      <c r="AH2461">
        <v>116.909428898126</v>
      </c>
      <c r="AI2461">
        <v>90.526605477551001</v>
      </c>
      <c r="AJ2461">
        <v>86.406988497674106</v>
      </c>
      <c r="AK2461">
        <v>117.144628862589</v>
      </c>
      <c r="AL2461">
        <v>78.597582342870894</v>
      </c>
      <c r="AM2461">
        <v>93.985514553756204</v>
      </c>
      <c r="AN2461">
        <v>0.99999998077276597</v>
      </c>
    </row>
    <row r="2462" spans="1:40" x14ac:dyDescent="0.25">
      <c r="A2462" t="str">
        <f>"20190304155641789"</f>
        <v>20190304155641789</v>
      </c>
      <c r="B2462" t="str">
        <f>"1551686201776975"</f>
        <v>1551686201776975</v>
      </c>
      <c r="C2462" t="s">
        <v>40</v>
      </c>
      <c r="D2462">
        <v>4.6732250000000004</v>
      </c>
      <c r="E2462">
        <v>0.54962610000000001</v>
      </c>
      <c r="F2462" t="s">
        <v>53</v>
      </c>
      <c r="G2462">
        <v>-503.4948</v>
      </c>
      <c r="H2462">
        <v>8.0004290000000006E-2</v>
      </c>
      <c r="I2462">
        <v>292.86520000000002</v>
      </c>
      <c r="J2462">
        <v>-383.34129999999999</v>
      </c>
      <c r="K2462">
        <v>1.1098110000000001</v>
      </c>
      <c r="L2462">
        <v>284.51089999999999</v>
      </c>
      <c r="M2462">
        <v>-0.99990800000000002</v>
      </c>
      <c r="N2462">
        <v>-1.2196139999999999E-2</v>
      </c>
      <c r="O2462">
        <v>5.9312059999999996E-3</v>
      </c>
      <c r="P2462">
        <v>-0.98058509999999999</v>
      </c>
      <c r="Q2462">
        <v>0.18595610000000001</v>
      </c>
      <c r="R2462">
        <v>-6.223658E-2</v>
      </c>
      <c r="S2462">
        <v>-3.0779420000000002</v>
      </c>
      <c r="T2462">
        <v>-2.6323679999999999E-2</v>
      </c>
      <c r="U2462">
        <v>0.21359249999999999</v>
      </c>
      <c r="V2462">
        <v>-6.8044779999999999E-2</v>
      </c>
      <c r="W2462">
        <v>0.19789970000000001</v>
      </c>
      <c r="X2462">
        <v>0.97785759999999999</v>
      </c>
      <c r="Y2462">
        <v>6.3303899999999996E-2</v>
      </c>
      <c r="Z2462">
        <v>6.7849269999999996E-4</v>
      </c>
      <c r="AA2462">
        <v>0.9979941</v>
      </c>
      <c r="AB2462">
        <v>40</v>
      </c>
      <c r="AC2462">
        <v>-120.15349999999999</v>
      </c>
      <c r="AD2462">
        <v>-1.0298067099999999</v>
      </c>
      <c r="AE2462">
        <v>8.3543000000000198</v>
      </c>
      <c r="AF2462">
        <v>7.6408862529335897</v>
      </c>
      <c r="AG2462">
        <v>-1.0298067099999999</v>
      </c>
      <c r="AH2462">
        <v>120.19215438974901</v>
      </c>
      <c r="AI2462">
        <v>90.489909463356994</v>
      </c>
      <c r="AJ2462">
        <v>86.362473113073406</v>
      </c>
      <c r="AK2462">
        <v>120.439186403096</v>
      </c>
      <c r="AL2462">
        <v>78.585833235221997</v>
      </c>
      <c r="AM2462">
        <v>93.980543042514498</v>
      </c>
      <c r="AN2462">
        <v>0.99999993461154701</v>
      </c>
    </row>
    <row r="2463" spans="1:40" x14ac:dyDescent="0.25">
      <c r="A2463" t="str">
        <f>"20190304155641803"</f>
        <v>20190304155641803</v>
      </c>
      <c r="B2463" t="str">
        <f>"1551686201797471"</f>
        <v>1551686201797471</v>
      </c>
      <c r="C2463" t="s">
        <v>40</v>
      </c>
      <c r="D2463">
        <v>4.6552179999999996</v>
      </c>
      <c r="E2463">
        <v>0.54927999999999999</v>
      </c>
      <c r="F2463" t="s">
        <v>53</v>
      </c>
      <c r="G2463">
        <v>-503.39460000000003</v>
      </c>
      <c r="H2463">
        <v>8.0004290000000006E-2</v>
      </c>
      <c r="I2463">
        <v>292.8252</v>
      </c>
      <c r="J2463">
        <v>-383.57850000000002</v>
      </c>
      <c r="K2463">
        <v>1.10982</v>
      </c>
      <c r="L2463">
        <v>284.51229999999998</v>
      </c>
      <c r="M2463">
        <v>-0.99990730000000005</v>
      </c>
      <c r="N2463">
        <v>-1.2259559999999999E-2</v>
      </c>
      <c r="O2463">
        <v>5.93094E-3</v>
      </c>
      <c r="P2463">
        <v>-0.98060170000000002</v>
      </c>
      <c r="Q2463">
        <v>0.18588669999999999</v>
      </c>
      <c r="R2463">
        <v>-6.2182469999999997E-2</v>
      </c>
      <c r="S2463">
        <v>-3.0779719999999999</v>
      </c>
      <c r="T2463">
        <v>-2.640259E-2</v>
      </c>
      <c r="U2463">
        <v>0.2131653</v>
      </c>
      <c r="V2463">
        <v>-6.7990330000000002E-2</v>
      </c>
      <c r="W2463">
        <v>0.19789219999999999</v>
      </c>
      <c r="X2463">
        <v>0.97786300000000004</v>
      </c>
      <c r="Y2463">
        <v>6.3165599999999905E-2</v>
      </c>
      <c r="Z2463">
        <v>6.8009229999999997E-4</v>
      </c>
      <c r="AA2463">
        <v>0.99800279999999997</v>
      </c>
      <c r="AB2463">
        <v>40</v>
      </c>
      <c r="AC2463">
        <v>-119.81610000000001</v>
      </c>
      <c r="AD2463">
        <v>-1.0298157100000001</v>
      </c>
      <c r="AE2463">
        <v>8.3129000000000097</v>
      </c>
      <c r="AF2463">
        <v>7.6015194292604003</v>
      </c>
      <c r="AG2463">
        <v>-1.0298157100000001</v>
      </c>
      <c r="AH2463">
        <v>119.854487696863</v>
      </c>
      <c r="AI2463">
        <v>90.491298554070298</v>
      </c>
      <c r="AJ2463">
        <v>86.370996028199002</v>
      </c>
      <c r="AK2463">
        <v>120.099716232419</v>
      </c>
      <c r="AL2463">
        <v>78.586272695518701</v>
      </c>
      <c r="AM2463">
        <v>93.977346112443399</v>
      </c>
      <c r="AN2463">
        <v>1.00000002728167</v>
      </c>
    </row>
    <row r="2464" spans="1:40" x14ac:dyDescent="0.25">
      <c r="A2464" t="str">
        <f>"20190304155641816"</f>
        <v>20190304155641816</v>
      </c>
      <c r="B2464" t="str">
        <f>"1551686201807232"</f>
        <v>1551686201807232</v>
      </c>
      <c r="C2464" t="s">
        <v>40</v>
      </c>
      <c r="D2464">
        <v>4.6427509999999996</v>
      </c>
      <c r="E2464">
        <v>0.5493268</v>
      </c>
      <c r="F2464" t="s">
        <v>44</v>
      </c>
      <c r="G2464">
        <v>-521.67740000000003</v>
      </c>
      <c r="H2464">
        <v>-0.05</v>
      </c>
      <c r="I2464">
        <v>293.97199999999998</v>
      </c>
      <c r="J2464">
        <v>-383.82659999999998</v>
      </c>
      <c r="K2464">
        <v>1.109831</v>
      </c>
      <c r="L2464">
        <v>284.5138</v>
      </c>
      <c r="M2464">
        <v>-0.99990639999999997</v>
      </c>
      <c r="N2464">
        <v>-1.23299E-2</v>
      </c>
      <c r="O2464">
        <v>5.9303899999999998E-3</v>
      </c>
      <c r="P2464">
        <v>-0.98063690000000003</v>
      </c>
      <c r="Q2464">
        <v>0.18581410000000001</v>
      </c>
      <c r="R2464">
        <v>-6.1845089999999998E-2</v>
      </c>
      <c r="S2464">
        <v>-3.0776059999999998</v>
      </c>
      <c r="T2464">
        <v>-2.5847200000000001E-2</v>
      </c>
      <c r="U2464">
        <v>0.21081539999999999</v>
      </c>
      <c r="V2464">
        <v>-6.7652779999999996E-2</v>
      </c>
      <c r="W2464">
        <v>0.19788890000000001</v>
      </c>
      <c r="X2464">
        <v>0.97788699999999995</v>
      </c>
      <c r="Y2464">
        <v>6.2416109999999997E-2</v>
      </c>
      <c r="Z2464">
        <v>6.7036109999999999E-4</v>
      </c>
      <c r="AA2464">
        <v>0.99804999999999999</v>
      </c>
      <c r="AB2464">
        <v>40</v>
      </c>
      <c r="AC2464">
        <v>-137.85079999999999</v>
      </c>
      <c r="AD2464">
        <v>-1.1598310000000001</v>
      </c>
      <c r="AE2464">
        <v>9.4581999999999695</v>
      </c>
      <c r="AF2464">
        <v>8.6398537525810806</v>
      </c>
      <c r="AG2464">
        <v>-1.1598310000000001</v>
      </c>
      <c r="AH2464">
        <v>137.89475480754399</v>
      </c>
      <c r="AI2464">
        <v>90.480959614130995</v>
      </c>
      <c r="AJ2464">
        <v>86.414795460933902</v>
      </c>
      <c r="AK2464">
        <v>138.17002455036001</v>
      </c>
      <c r="AL2464">
        <v>78.586464693145302</v>
      </c>
      <c r="AM2464">
        <v>93.9575659575071</v>
      </c>
      <c r="AN2464">
        <v>0.99999995007696796</v>
      </c>
    </row>
    <row r="2465" spans="1:40" x14ac:dyDescent="0.25">
      <c r="A2465" t="str">
        <f>"20190304155641831"</f>
        <v>20190304155641831</v>
      </c>
      <c r="B2465" t="str">
        <f>"1551686201826752"</f>
        <v>1551686201826752</v>
      </c>
      <c r="C2465" t="s">
        <v>40</v>
      </c>
      <c r="D2465">
        <v>4.6730219999999996</v>
      </c>
      <c r="E2465">
        <v>0.54936059999999998</v>
      </c>
      <c r="F2465" t="s">
        <v>44</v>
      </c>
      <c r="G2465">
        <v>-523.63379999999995</v>
      </c>
      <c r="H2465">
        <v>-0.05</v>
      </c>
      <c r="I2465">
        <v>294.13819999999998</v>
      </c>
      <c r="J2465">
        <v>-384.07979999999998</v>
      </c>
      <c r="K2465">
        <v>1.1098410000000001</v>
      </c>
      <c r="L2465">
        <v>284.51530000000002</v>
      </c>
      <c r="M2465">
        <v>-0.9999055</v>
      </c>
      <c r="N2465">
        <v>-1.240628E-2</v>
      </c>
      <c r="O2465">
        <v>5.9300380000000003E-3</v>
      </c>
      <c r="P2465">
        <v>-0.98058089999999998</v>
      </c>
      <c r="Q2465">
        <v>0.186198</v>
      </c>
      <c r="R2465">
        <v>-6.1575100000000001E-2</v>
      </c>
      <c r="S2465">
        <v>-3.0774539999999999</v>
      </c>
      <c r="T2465">
        <v>-2.5530339999999999E-2</v>
      </c>
      <c r="U2465">
        <v>0.21185300000000001</v>
      </c>
      <c r="V2465">
        <v>-6.7382020000000001E-2</v>
      </c>
      <c r="W2465">
        <v>0.198347</v>
      </c>
      <c r="X2465">
        <v>0.97781289999999998</v>
      </c>
      <c r="Y2465">
        <v>6.2754809999999994E-2</v>
      </c>
      <c r="Z2465">
        <v>6.7411819999999999E-4</v>
      </c>
      <c r="AA2465">
        <v>0.99802880000000005</v>
      </c>
      <c r="AB2465">
        <v>40</v>
      </c>
      <c r="AC2465">
        <v>-139.55399999999901</v>
      </c>
      <c r="AD2465">
        <v>-1.1598409999999999</v>
      </c>
      <c r="AE2465">
        <v>9.6228999999999605</v>
      </c>
      <c r="AF2465">
        <v>8.7945020021462401</v>
      </c>
      <c r="AG2465">
        <v>-1.1598409999999999</v>
      </c>
      <c r="AH2465">
        <v>139.59901743948299</v>
      </c>
      <c r="AI2465">
        <v>90.475082101706505</v>
      </c>
      <c r="AJ2465">
        <v>86.395226614553494</v>
      </c>
      <c r="AK2465">
        <v>139.88057108362099</v>
      </c>
      <c r="AL2465">
        <v>78.559686917006999</v>
      </c>
      <c r="AM2465">
        <v>93.942074785992801</v>
      </c>
      <c r="AN2465">
        <v>0.99999996821734405</v>
      </c>
    </row>
    <row r="2466" spans="1:40" x14ac:dyDescent="0.25">
      <c r="A2466" t="str">
        <f>"20190304155641845"</f>
        <v>20190304155641845</v>
      </c>
      <c r="B2466" t="str">
        <f>"1551686201837488"</f>
        <v>1551686201837488</v>
      </c>
      <c r="C2466" t="s">
        <v>40</v>
      </c>
      <c r="D2466">
        <v>4.635408</v>
      </c>
      <c r="E2466">
        <v>0.5492958</v>
      </c>
      <c r="F2466" t="s">
        <v>65</v>
      </c>
      <c r="G2466">
        <v>-529.14409999999998</v>
      </c>
      <c r="H2466">
        <v>1.8357459999999999E-2</v>
      </c>
      <c r="I2466">
        <v>294.55</v>
      </c>
      <c r="J2466">
        <v>-384.33909999999997</v>
      </c>
      <c r="K2466">
        <v>1.1098490000000001</v>
      </c>
      <c r="L2466">
        <v>284.51679999999999</v>
      </c>
      <c r="M2466">
        <v>-0.99990440000000003</v>
      </c>
      <c r="N2466">
        <v>-1.2490650000000001E-2</v>
      </c>
      <c r="O2466">
        <v>5.929691E-3</v>
      </c>
      <c r="P2466">
        <v>-0.98053369999999995</v>
      </c>
      <c r="Q2466">
        <v>0.1864693</v>
      </c>
      <c r="R2466">
        <v>-6.1503870000000002E-2</v>
      </c>
      <c r="S2466">
        <v>-3.0771480000000002</v>
      </c>
      <c r="T2466">
        <v>-2.3151040000000001E-2</v>
      </c>
      <c r="U2466">
        <v>0.2128601</v>
      </c>
      <c r="V2466">
        <v>-6.7309969999999997E-2</v>
      </c>
      <c r="W2466">
        <v>0.1987003</v>
      </c>
      <c r="X2466">
        <v>0.97774620000000001</v>
      </c>
      <c r="Y2466">
        <v>6.3087660000000004E-2</v>
      </c>
      <c r="Z2466">
        <v>6.609672E-4</v>
      </c>
      <c r="AA2466">
        <v>0.9980078</v>
      </c>
      <c r="AB2466">
        <v>40</v>
      </c>
      <c r="AC2466">
        <v>-144.80500000000001</v>
      </c>
      <c r="AD2466">
        <v>-1.09149154</v>
      </c>
      <c r="AE2466">
        <v>10.033200000000001</v>
      </c>
      <c r="AF2466">
        <v>9.1737889493898805</v>
      </c>
      <c r="AG2466">
        <v>-1.09149154</v>
      </c>
      <c r="AH2466">
        <v>144.853761490919</v>
      </c>
      <c r="AI2466">
        <v>90.430859662142694</v>
      </c>
      <c r="AJ2466">
        <v>86.376218742616203</v>
      </c>
      <c r="AK2466">
        <v>145.14806914161099</v>
      </c>
      <c r="AL2466">
        <v>78.539034020894903</v>
      </c>
      <c r="AM2466">
        <v>93.938140676211106</v>
      </c>
      <c r="AN2466">
        <v>1.00000003644796</v>
      </c>
    </row>
    <row r="2467" spans="1:40" x14ac:dyDescent="0.25">
      <c r="A2467" t="str">
        <f>"20190304155641866"</f>
        <v>20190304155641866</v>
      </c>
      <c r="B2467" t="str">
        <f>"1551686201857007"</f>
        <v>1551686201857007</v>
      </c>
      <c r="C2467" t="s">
        <v>40</v>
      </c>
      <c r="D2467">
        <v>4.66608</v>
      </c>
      <c r="E2467">
        <v>0.54935649999999903</v>
      </c>
      <c r="F2467" t="s">
        <v>65</v>
      </c>
      <c r="G2467">
        <v>-529.65639999999996</v>
      </c>
      <c r="H2467">
        <v>3.7345589999999998E-2</v>
      </c>
      <c r="I2467">
        <v>294.55</v>
      </c>
      <c r="J2467">
        <v>-384.69409999999999</v>
      </c>
      <c r="K2467">
        <v>1.1098680000000001</v>
      </c>
      <c r="L2467">
        <v>284.51889999999997</v>
      </c>
      <c r="M2467">
        <v>-0.99990299999999999</v>
      </c>
      <c r="N2467">
        <v>-1.260932E-2</v>
      </c>
      <c r="O2467">
        <v>5.92948E-3</v>
      </c>
      <c r="P2467">
        <v>-0.98046239999999996</v>
      </c>
      <c r="Q2467">
        <v>0.18686440000000001</v>
      </c>
      <c r="R2467">
        <v>-6.144264E-2</v>
      </c>
      <c r="S2467">
        <v>-3.0772400000000002</v>
      </c>
      <c r="T2467">
        <v>-2.2709489999999999E-2</v>
      </c>
      <c r="U2467">
        <v>0.2124634</v>
      </c>
      <c r="V2467">
        <v>-6.7248310000000006E-2</v>
      </c>
      <c r="W2467">
        <v>0.19921059999999999</v>
      </c>
      <c r="X2467">
        <v>0.97764660000000003</v>
      </c>
      <c r="Y2467">
        <v>6.2957879999999994E-2</v>
      </c>
      <c r="Z2467">
        <v>6.6044219999999998E-4</v>
      </c>
      <c r="AA2467">
        <v>0.99801589999999996</v>
      </c>
      <c r="AB2467">
        <v>40</v>
      </c>
      <c r="AC2467">
        <v>-144.962299999999</v>
      </c>
      <c r="AD2467">
        <v>-1.0725224099999999</v>
      </c>
      <c r="AE2467">
        <v>10.0311</v>
      </c>
      <c r="AF2467">
        <v>9.1708046862841694</v>
      </c>
      <c r="AG2467">
        <v>-1.0725224099999999</v>
      </c>
      <c r="AH2467">
        <v>145.011335106102</v>
      </c>
      <c r="AI2467">
        <v>90.422914339386693</v>
      </c>
      <c r="AJ2467">
        <v>86.381320395915495</v>
      </c>
      <c r="AK2467">
        <v>145.30499396843899</v>
      </c>
      <c r="AL2467">
        <v>78.509199550267098</v>
      </c>
      <c r="AM2467">
        <v>93.934944018898705</v>
      </c>
      <c r="AN2467">
        <v>1.0000000364208801</v>
      </c>
    </row>
    <row r="2468" spans="1:40" x14ac:dyDescent="0.25">
      <c r="A2468" t="str">
        <f>"20190304155641887"</f>
        <v>20190304155641887</v>
      </c>
      <c r="B2468" t="str">
        <f>"1551686201877503"</f>
        <v>1551686201877503</v>
      </c>
      <c r="C2468" t="s">
        <v>40</v>
      </c>
      <c r="D2468">
        <v>4.6327910000000001</v>
      </c>
      <c r="E2468">
        <v>0.54941130000000005</v>
      </c>
      <c r="F2468" t="s">
        <v>65</v>
      </c>
      <c r="G2468">
        <v>-529.32989999999995</v>
      </c>
      <c r="H2468">
        <v>0.13790079999999999</v>
      </c>
      <c r="I2468">
        <v>294.55</v>
      </c>
      <c r="J2468">
        <v>-385.06979999999999</v>
      </c>
      <c r="K2468">
        <v>1.1098920000000001</v>
      </c>
      <c r="L2468">
        <v>284.52109999999999</v>
      </c>
      <c r="M2468">
        <v>-0.9999015</v>
      </c>
      <c r="N2468">
        <v>-1.2736259999999999E-2</v>
      </c>
      <c r="O2468">
        <v>5.9293269999999999E-3</v>
      </c>
      <c r="P2468">
        <v>-0.98032209999999997</v>
      </c>
      <c r="Q2468">
        <v>0.18764639999999999</v>
      </c>
      <c r="R2468">
        <v>-6.1302620000000002E-2</v>
      </c>
      <c r="S2468">
        <v>-3.0770870000000001</v>
      </c>
      <c r="T2468">
        <v>-2.0676489999999999E-2</v>
      </c>
      <c r="U2468">
        <v>0.2134094</v>
      </c>
      <c r="V2468">
        <v>-6.7107029999999998E-2</v>
      </c>
      <c r="W2468">
        <v>0.20011429999999999</v>
      </c>
      <c r="X2468">
        <v>0.97747169999999906</v>
      </c>
      <c r="Y2468">
        <v>6.3267320000000002E-2</v>
      </c>
      <c r="Z2468">
        <v>6.5135569999999997E-4</v>
      </c>
      <c r="AA2468">
        <v>0.99799640000000001</v>
      </c>
      <c r="AB2468">
        <v>40</v>
      </c>
      <c r="AC2468">
        <v>-144.260099999999</v>
      </c>
      <c r="AD2468">
        <v>-0.97199120000000006</v>
      </c>
      <c r="AE2468">
        <v>10.0289</v>
      </c>
      <c r="AF2468">
        <v>9.1728747266746993</v>
      </c>
      <c r="AG2468">
        <v>-0.97199120000000006</v>
      </c>
      <c r="AH2468">
        <v>144.310513306296</v>
      </c>
      <c r="AI2468">
        <v>90.385127808168093</v>
      </c>
      <c r="AJ2468">
        <v>86.362975306468201</v>
      </c>
      <c r="AK2468">
        <v>144.60501598620499</v>
      </c>
      <c r="AL2468">
        <v>78.456357000189797</v>
      </c>
      <c r="AM2468">
        <v>93.9274035092606</v>
      </c>
      <c r="AN2468">
        <v>1.0000000054203999</v>
      </c>
    </row>
    <row r="2469" spans="1:40" x14ac:dyDescent="0.25">
      <c r="A2469" t="str">
        <f>"20190304155641900"</f>
        <v>20190304155641900</v>
      </c>
      <c r="B2469" t="str">
        <f>"1551686201897024"</f>
        <v>1551686201897024</v>
      </c>
      <c r="C2469" t="s">
        <v>40</v>
      </c>
      <c r="D2469">
        <v>4.5765880000000001</v>
      </c>
      <c r="E2469">
        <v>0.54938480000000001</v>
      </c>
      <c r="F2469" t="s">
        <v>65</v>
      </c>
      <c r="G2469">
        <v>-529.21029999999996</v>
      </c>
      <c r="H2469">
        <v>0.19347549999999999</v>
      </c>
      <c r="I2469">
        <v>294.55</v>
      </c>
      <c r="J2469">
        <v>-385.30650000000003</v>
      </c>
      <c r="K2469">
        <v>1.109904</v>
      </c>
      <c r="L2469">
        <v>284.52260000000001</v>
      </c>
      <c r="M2469">
        <v>-0.99990040000000002</v>
      </c>
      <c r="N2469">
        <v>-1.281592E-2</v>
      </c>
      <c r="O2469">
        <v>5.9294710000000004E-3</v>
      </c>
      <c r="P2469">
        <v>-0.98033890000000001</v>
      </c>
      <c r="Q2469">
        <v>0.18760740000000001</v>
      </c>
      <c r="R2469">
        <v>-6.1151490000000003E-2</v>
      </c>
      <c r="S2469">
        <v>-3.0773320000000002</v>
      </c>
      <c r="T2469">
        <v>-1.9563199999999999E-2</v>
      </c>
      <c r="U2469">
        <v>0.2141113</v>
      </c>
      <c r="V2469">
        <v>-6.6956390000000005E-2</v>
      </c>
      <c r="W2469">
        <v>0.20015350000000001</v>
      </c>
      <c r="X2469">
        <v>0.97747399999999995</v>
      </c>
      <c r="Y2469">
        <v>6.3488539999999996E-2</v>
      </c>
      <c r="Z2469">
        <v>6.4717240000000003E-4</v>
      </c>
      <c r="AA2469">
        <v>0.99798240000000005</v>
      </c>
      <c r="AB2469">
        <v>40</v>
      </c>
      <c r="AC2469">
        <v>-143.90379999999899</v>
      </c>
      <c r="AD2469">
        <v>-0.91642849999999998</v>
      </c>
      <c r="AE2469">
        <v>10.0274</v>
      </c>
      <c r="AF2469">
        <v>9.1735100543228398</v>
      </c>
      <c r="AG2469">
        <v>-0.91642849999999998</v>
      </c>
      <c r="AH2469">
        <v>143.95492189492501</v>
      </c>
      <c r="AI2469">
        <v>90.364006248677896</v>
      </c>
      <c r="AJ2469">
        <v>86.353763638790099</v>
      </c>
      <c r="AK2469">
        <v>144.249827263974</v>
      </c>
      <c r="AL2469">
        <v>78.454064578238601</v>
      </c>
      <c r="AM2469">
        <v>93.9186056880271</v>
      </c>
      <c r="AN2469">
        <v>1.0000000012000401</v>
      </c>
    </row>
    <row r="2470" spans="1:40" x14ac:dyDescent="0.25">
      <c r="A2470" t="str">
        <f>"20190304155641920"</f>
        <v>20190304155641920</v>
      </c>
      <c r="B2470" t="str">
        <f>"1551686201917520"</f>
        <v>1551686201917520</v>
      </c>
      <c r="C2470" t="s">
        <v>40</v>
      </c>
      <c r="D2470">
        <v>4.6151479999999996</v>
      </c>
      <c r="E2470">
        <v>0.54940509999999998</v>
      </c>
      <c r="F2470" t="s">
        <v>65</v>
      </c>
      <c r="G2470">
        <v>-529.50760000000002</v>
      </c>
      <c r="H2470">
        <v>0.1863341</v>
      </c>
      <c r="I2470">
        <v>294.55</v>
      </c>
      <c r="J2470">
        <v>-385.6524</v>
      </c>
      <c r="K2470">
        <v>1.109923</v>
      </c>
      <c r="L2470">
        <v>284.52460000000002</v>
      </c>
      <c r="M2470">
        <v>-0.99989890000000003</v>
      </c>
      <c r="N2470">
        <v>-1.29318E-2</v>
      </c>
      <c r="O2470">
        <v>5.9295559999999999E-3</v>
      </c>
      <c r="P2470">
        <v>-0.98041109999999998</v>
      </c>
      <c r="Q2470">
        <v>0.18728030000000001</v>
      </c>
      <c r="R2470">
        <v>-6.0995130000000002E-2</v>
      </c>
      <c r="S2470">
        <v>-3.0773009999999998</v>
      </c>
      <c r="T2470">
        <v>-1.970744E-2</v>
      </c>
      <c r="U2470">
        <v>0.21398929999999999</v>
      </c>
      <c r="V2470">
        <v>-6.6799949999999997E-2</v>
      </c>
      <c r="W2470">
        <v>0.1999409</v>
      </c>
      <c r="X2470">
        <v>0.97752819999999996</v>
      </c>
      <c r="Y2470">
        <v>6.3449679999999994E-2</v>
      </c>
      <c r="Z2470">
        <v>6.5237689999999996E-4</v>
      </c>
      <c r="AA2470">
        <v>0.99798480000000001</v>
      </c>
      <c r="AB2470">
        <v>40</v>
      </c>
      <c r="AC2470">
        <v>-143.8552</v>
      </c>
      <c r="AD2470">
        <v>-0.92358890000000005</v>
      </c>
      <c r="AE2470">
        <v>10.0253999999999</v>
      </c>
      <c r="AF2470">
        <v>9.1717787810042193</v>
      </c>
      <c r="AG2470">
        <v>-0.92358890000000005</v>
      </c>
      <c r="AH2470">
        <v>143.90621862257299</v>
      </c>
      <c r="AI2470">
        <v>90.366974219169094</v>
      </c>
      <c r="AJ2470">
        <v>86.353219457640904</v>
      </c>
      <c r="AK2470">
        <v>144.201159151762</v>
      </c>
      <c r="AL2470">
        <v>78.466496826926502</v>
      </c>
      <c r="AM2470">
        <v>93.909262408426898</v>
      </c>
      <c r="AN2470">
        <v>0.999999989304026</v>
      </c>
    </row>
    <row r="2471" spans="1:40" x14ac:dyDescent="0.25">
      <c r="A2471" t="str">
        <f>"20190304155641934"</f>
        <v>20190304155641934</v>
      </c>
      <c r="B2471" t="str">
        <f>"1551686201927280"</f>
        <v>1551686201927280</v>
      </c>
      <c r="C2471" t="s">
        <v>40</v>
      </c>
      <c r="D2471">
        <v>4.619853</v>
      </c>
      <c r="E2471">
        <v>0.54946090000000003</v>
      </c>
      <c r="F2471" t="s">
        <v>65</v>
      </c>
      <c r="G2471">
        <v>-529.18809999999996</v>
      </c>
      <c r="H2471">
        <v>0.14906329999999901</v>
      </c>
      <c r="I2471">
        <v>294.55</v>
      </c>
      <c r="J2471">
        <v>-385.88900000000001</v>
      </c>
      <c r="K2471">
        <v>1.1099330000000001</v>
      </c>
      <c r="L2471">
        <v>284.52600000000001</v>
      </c>
      <c r="M2471">
        <v>-0.99989799999999995</v>
      </c>
      <c r="N2471">
        <v>-1.3009959999999999E-2</v>
      </c>
      <c r="O2471">
        <v>5.9294049999999996E-3</v>
      </c>
      <c r="P2471">
        <v>-0.98038179999999997</v>
      </c>
      <c r="Q2471">
        <v>0.1874247</v>
      </c>
      <c r="R2471">
        <v>-6.1024299999999997E-2</v>
      </c>
      <c r="S2471">
        <v>-3.0772710000000001</v>
      </c>
      <c r="T2471">
        <v>-2.059805E-2</v>
      </c>
      <c r="U2471">
        <v>0.2149353</v>
      </c>
      <c r="V2471">
        <v>-6.6829520000000003E-2</v>
      </c>
      <c r="W2471">
        <v>0.20016139999999999</v>
      </c>
      <c r="X2471">
        <v>0.97748109999999999</v>
      </c>
      <c r="Y2471">
        <v>6.3755549999999994E-2</v>
      </c>
      <c r="Z2471">
        <v>6.6579740000000001E-4</v>
      </c>
      <c r="AA2471">
        <v>0.99796530000000006</v>
      </c>
      <c r="AB2471">
        <v>40</v>
      </c>
      <c r="AC2471">
        <v>-143.29909999999899</v>
      </c>
      <c r="AD2471">
        <v>-0.96086970000000005</v>
      </c>
      <c r="AE2471">
        <v>10.023999999999999</v>
      </c>
      <c r="AF2471">
        <v>9.17366316769135</v>
      </c>
      <c r="AG2471">
        <v>-0.96086970000000005</v>
      </c>
      <c r="AH2471">
        <v>143.34960803454001</v>
      </c>
      <c r="AI2471">
        <v>90.383262795092605</v>
      </c>
      <c r="AJ2471">
        <v>86.338347743920295</v>
      </c>
      <c r="AK2471">
        <v>143.64605629863601</v>
      </c>
      <c r="AL2471">
        <v>78.453602998022603</v>
      </c>
      <c r="AM2471">
        <v>93.911175399276502</v>
      </c>
      <c r="AN2471">
        <v>1.0000000358252901</v>
      </c>
    </row>
    <row r="2472" spans="1:40" x14ac:dyDescent="0.25">
      <c r="A2472" t="str">
        <f>"20190304155641947"</f>
        <v>20190304155641947</v>
      </c>
      <c r="B2472" t="str">
        <f>"1551686201937040"</f>
        <v>1551686201937040</v>
      </c>
      <c r="C2472" t="s">
        <v>40</v>
      </c>
      <c r="D2472">
        <v>4.5732929999999996</v>
      </c>
      <c r="E2472">
        <v>0.54947299999999999</v>
      </c>
      <c r="F2472" t="s">
        <v>65</v>
      </c>
      <c r="G2472">
        <v>-528.87789999999995</v>
      </c>
      <c r="H2472">
        <v>0.17617360000000001</v>
      </c>
      <c r="I2472">
        <v>294.55</v>
      </c>
      <c r="J2472">
        <v>-386.15010000000001</v>
      </c>
      <c r="K2472">
        <v>1.1099399999999999</v>
      </c>
      <c r="L2472">
        <v>284.52760000000001</v>
      </c>
      <c r="M2472">
        <v>-0.99989660000000002</v>
      </c>
      <c r="N2472">
        <v>-1.3093789999999999E-2</v>
      </c>
      <c r="O2472">
        <v>5.9295119999999996E-3</v>
      </c>
      <c r="P2472">
        <v>-0.98041610000000001</v>
      </c>
      <c r="Q2472">
        <v>0.18730720000000001</v>
      </c>
      <c r="R2472">
        <v>-6.0831290000000003E-2</v>
      </c>
      <c r="S2472">
        <v>-3.0773009999999998</v>
      </c>
      <c r="T2472">
        <v>-2.0093799999999998E-2</v>
      </c>
      <c r="U2472">
        <v>0.2157288</v>
      </c>
      <c r="V2472">
        <v>-6.6636570000000006E-2</v>
      </c>
      <c r="W2472">
        <v>0.20012640000000001</v>
      </c>
      <c r="X2472">
        <v>0.97750139999999996</v>
      </c>
      <c r="Y2472">
        <v>6.4010899999999996E-2</v>
      </c>
      <c r="Z2472">
        <v>6.6723009999999905E-4</v>
      </c>
      <c r="AA2472">
        <v>0.99794899999999997</v>
      </c>
      <c r="AB2472">
        <v>40</v>
      </c>
      <c r="AC2472">
        <v>-142.72779999999901</v>
      </c>
      <c r="AD2472">
        <v>-0.9337664</v>
      </c>
      <c r="AE2472">
        <v>10.022399999999999</v>
      </c>
      <c r="AF2472">
        <v>9.1754541442880893</v>
      </c>
      <c r="AG2472">
        <v>-0.9337664</v>
      </c>
      <c r="AH2472">
        <v>142.77864233795299</v>
      </c>
      <c r="AI2472">
        <v>90.373935358947605</v>
      </c>
      <c r="AJ2472">
        <v>86.323029280925397</v>
      </c>
      <c r="AK2472">
        <v>143.07620901573</v>
      </c>
      <c r="AL2472">
        <v>78.455649317482397</v>
      </c>
      <c r="AM2472">
        <v>93.899837220623297</v>
      </c>
      <c r="AN2472">
        <v>0.99999999772014203</v>
      </c>
    </row>
    <row r="2473" spans="1:40" x14ac:dyDescent="0.25">
      <c r="A2473" t="str">
        <f>"20190304155641961"</f>
        <v>20190304155641961</v>
      </c>
      <c r="B2473" t="str">
        <f>"1551686201957536"</f>
        <v>1551686201957536</v>
      </c>
      <c r="C2473" t="s">
        <v>40</v>
      </c>
      <c r="D2473">
        <v>4.5908239999999996</v>
      </c>
      <c r="E2473">
        <v>0.54957709999999904</v>
      </c>
      <c r="F2473" t="s">
        <v>65</v>
      </c>
      <c r="G2473">
        <v>-528.81150000000002</v>
      </c>
      <c r="H2473">
        <v>0.16134960000000001</v>
      </c>
      <c r="I2473">
        <v>294.55</v>
      </c>
      <c r="J2473">
        <v>-386.38330000000002</v>
      </c>
      <c r="K2473">
        <v>1.10995</v>
      </c>
      <c r="L2473">
        <v>284.529</v>
      </c>
      <c r="M2473">
        <v>-0.9998958</v>
      </c>
      <c r="N2473">
        <v>-1.316616E-2</v>
      </c>
      <c r="O2473">
        <v>5.9293929999999998E-3</v>
      </c>
      <c r="P2473">
        <v>-0.98040349999999998</v>
      </c>
      <c r="Q2473">
        <v>0.18735840000000001</v>
      </c>
      <c r="R2473">
        <v>-6.0873959999999998E-2</v>
      </c>
      <c r="S2473">
        <v>-3.0772400000000002</v>
      </c>
      <c r="T2473">
        <v>-2.0459410000000001E-2</v>
      </c>
      <c r="U2473">
        <v>0.2161865</v>
      </c>
      <c r="V2473">
        <v>-6.6679160000000001E-2</v>
      </c>
      <c r="W2473">
        <v>0.20024790000000001</v>
      </c>
      <c r="X2473">
        <v>0.97747360000000005</v>
      </c>
      <c r="Y2473">
        <v>6.415999E-2</v>
      </c>
      <c r="Z2473">
        <v>6.7455429999999995E-4</v>
      </c>
      <c r="AA2473">
        <v>0.99793940000000003</v>
      </c>
      <c r="AB2473">
        <v>40</v>
      </c>
      <c r="AC2473">
        <v>-142.4282</v>
      </c>
      <c r="AD2473">
        <v>-0.94860040000000001</v>
      </c>
      <c r="AE2473">
        <v>10.021000000000001</v>
      </c>
      <c r="AF2473">
        <v>9.1758328614525908</v>
      </c>
      <c r="AG2473">
        <v>-0.94860040000000001</v>
      </c>
      <c r="AH2473">
        <v>142.478830431929</v>
      </c>
      <c r="AI2473">
        <v>90.380671567410005</v>
      </c>
      <c r="AJ2473">
        <v>86.315161620536699</v>
      </c>
      <c r="AK2473">
        <v>142.77714408360501</v>
      </c>
      <c r="AL2473">
        <v>78.448543907334397</v>
      </c>
      <c r="AM2473">
        <v>93.902432700035703</v>
      </c>
      <c r="AN2473">
        <v>0.99999998526483702</v>
      </c>
    </row>
    <row r="2474" spans="1:40" x14ac:dyDescent="0.25">
      <c r="A2474" t="str">
        <f>"20190304155641976"</f>
        <v>20190304155641976</v>
      </c>
      <c r="B2474" t="str">
        <f>"1551686201967296"</f>
        <v>1551686201967296</v>
      </c>
      <c r="C2474" t="s">
        <v>40</v>
      </c>
      <c r="D2474">
        <v>4.5849000000000002</v>
      </c>
      <c r="E2474">
        <v>0.54960750000000003</v>
      </c>
      <c r="F2474" t="s">
        <v>65</v>
      </c>
      <c r="G2474">
        <v>-528.50319999999999</v>
      </c>
      <c r="H2474">
        <v>0.18730289999999999</v>
      </c>
      <c r="I2474">
        <v>294.55</v>
      </c>
      <c r="J2474">
        <v>-386.64409999999998</v>
      </c>
      <c r="K2474">
        <v>1.109964</v>
      </c>
      <c r="L2474">
        <v>284.53050000000002</v>
      </c>
      <c r="M2474">
        <v>-0.99989470000000003</v>
      </c>
      <c r="N2474">
        <v>-1.32459E-2</v>
      </c>
      <c r="O2474">
        <v>5.9292219999999996E-3</v>
      </c>
      <c r="P2474">
        <v>-0.98031440000000003</v>
      </c>
      <c r="Q2474">
        <v>0.18781310000000001</v>
      </c>
      <c r="R2474">
        <v>-6.0909619999999998E-2</v>
      </c>
      <c r="S2474">
        <v>-3.0772400000000002</v>
      </c>
      <c r="T2474">
        <v>-1.9975659999999999E-2</v>
      </c>
      <c r="U2474">
        <v>0.21698000000000001</v>
      </c>
      <c r="V2474">
        <v>-6.6714179999999998E-2</v>
      </c>
      <c r="W2474">
        <v>0.20077900000000001</v>
      </c>
      <c r="X2474">
        <v>0.97736230000000002</v>
      </c>
      <c r="Y2474">
        <v>6.4416310000000004E-2</v>
      </c>
      <c r="Z2474">
        <v>6.7601309999999997E-4</v>
      </c>
      <c r="AA2474">
        <v>0.99792289999999995</v>
      </c>
      <c r="AB2474">
        <v>40</v>
      </c>
      <c r="AC2474">
        <v>-141.85910000000001</v>
      </c>
      <c r="AD2474">
        <v>-0.92266109999999901</v>
      </c>
      <c r="AE2474">
        <v>10.019499999999899</v>
      </c>
      <c r="AF2474">
        <v>9.1777496422627394</v>
      </c>
      <c r="AG2474">
        <v>-0.92266109999999901</v>
      </c>
      <c r="AH2474">
        <v>141.91004561005701</v>
      </c>
      <c r="AI2474">
        <v>90.371739973929294</v>
      </c>
      <c r="AJ2474">
        <v>86.299662807979004</v>
      </c>
      <c r="AK2474">
        <v>142.20950543845501</v>
      </c>
      <c r="AL2474">
        <v>78.417483797407499</v>
      </c>
      <c r="AM2474">
        <v>93.904919184266504</v>
      </c>
      <c r="AN2474">
        <v>1.0000000270576801</v>
      </c>
    </row>
    <row r="2475" spans="1:40" x14ac:dyDescent="0.25">
      <c r="A2475" t="str">
        <f>"20190304155641999"</f>
        <v>20190304155641999</v>
      </c>
      <c r="B2475" t="str">
        <f>"1551686201986816"</f>
        <v>1551686201986816</v>
      </c>
      <c r="C2475" t="s">
        <v>40</v>
      </c>
      <c r="D2475">
        <v>4.6920729999999997</v>
      </c>
      <c r="E2475">
        <v>0.54958079999999998</v>
      </c>
      <c r="F2475" t="s">
        <v>65</v>
      </c>
      <c r="G2475">
        <v>-528.66470000000004</v>
      </c>
      <c r="H2475">
        <v>0.2473207</v>
      </c>
      <c r="I2475">
        <v>294.55</v>
      </c>
      <c r="J2475">
        <v>-387.04250000000002</v>
      </c>
      <c r="K2475">
        <v>1.1099760000000001</v>
      </c>
      <c r="L2475">
        <v>284.53289999999998</v>
      </c>
      <c r="M2475">
        <v>-0.99989320000000004</v>
      </c>
      <c r="N2475">
        <v>-1.3365500000000001E-2</v>
      </c>
      <c r="O2475">
        <v>5.9290799999999998E-3</v>
      </c>
      <c r="P2475">
        <v>-0.98028199999999999</v>
      </c>
      <c r="Q2475">
        <v>0.18802679999999999</v>
      </c>
      <c r="R2475">
        <v>-6.0772140000000002E-2</v>
      </c>
      <c r="S2475">
        <v>-3.0773009999999998</v>
      </c>
      <c r="T2475">
        <v>-1.8689870000000001E-2</v>
      </c>
      <c r="U2475">
        <v>0.21710209999999999</v>
      </c>
      <c r="V2475">
        <v>-6.6576270000000007E-2</v>
      </c>
      <c r="W2475">
        <v>0.20110929999999999</v>
      </c>
      <c r="X2475">
        <v>0.97730379999999994</v>
      </c>
      <c r="Y2475">
        <v>6.4454789999999998E-2</v>
      </c>
      <c r="Z2475">
        <v>6.6998160000000004E-4</v>
      </c>
      <c r="AA2475">
        <v>0.99792040000000004</v>
      </c>
      <c r="AB2475">
        <v>39</v>
      </c>
      <c r="AC2475">
        <v>-141.62219999999999</v>
      </c>
      <c r="AD2475">
        <v>-0.86265530000000001</v>
      </c>
      <c r="AE2475">
        <v>10.017099999999999</v>
      </c>
      <c r="AF2475">
        <v>9.1768208231988897</v>
      </c>
      <c r="AG2475">
        <v>-0.86265530000000001</v>
      </c>
      <c r="AH2475">
        <v>141.67387733422501</v>
      </c>
      <c r="AI2475">
        <v>90.348141361061394</v>
      </c>
      <c r="AJ2475">
        <v>86.293885644333997</v>
      </c>
      <c r="AK2475">
        <v>141.97339797828599</v>
      </c>
      <c r="AL2475">
        <v>78.398165029816994</v>
      </c>
      <c r="AM2475">
        <v>93.897104464705706</v>
      </c>
      <c r="AN2475">
        <v>1.00000003388402</v>
      </c>
    </row>
    <row r="2476" spans="1:40" x14ac:dyDescent="0.25">
      <c r="A2476" t="str">
        <f>"20190304155642013"</f>
        <v>20190304155642013</v>
      </c>
      <c r="B2476" t="str">
        <f>"1551686202007312"</f>
        <v>1551686202007312</v>
      </c>
      <c r="C2476" t="s">
        <v>40</v>
      </c>
      <c r="D2476">
        <v>4.6972719999999999</v>
      </c>
      <c r="E2476">
        <v>0.54955480000000001</v>
      </c>
      <c r="F2476" t="s">
        <v>65</v>
      </c>
      <c r="G2476">
        <v>-528.89</v>
      </c>
      <c r="H2476">
        <v>0.27558339999999998</v>
      </c>
      <c r="I2476">
        <v>294.55</v>
      </c>
      <c r="J2476">
        <v>-387.27980000000002</v>
      </c>
      <c r="K2476">
        <v>1.109982</v>
      </c>
      <c r="L2476">
        <v>284.53429999999997</v>
      </c>
      <c r="M2476">
        <v>-0.99989220000000001</v>
      </c>
      <c r="N2476">
        <v>-1.343572E-2</v>
      </c>
      <c r="O2476">
        <v>5.9289059999999899E-3</v>
      </c>
      <c r="P2476">
        <v>-0.98033060000000005</v>
      </c>
      <c r="Q2476">
        <v>0.1878572</v>
      </c>
      <c r="R2476">
        <v>-6.0515079999999999E-2</v>
      </c>
      <c r="S2476">
        <v>-3.0773009999999998</v>
      </c>
      <c r="T2476">
        <v>-1.8099779999999999E-2</v>
      </c>
      <c r="U2476">
        <v>0.2173157</v>
      </c>
      <c r="V2476">
        <v>-6.6319500000000003E-2</v>
      </c>
      <c r="W2476">
        <v>0.2010093</v>
      </c>
      <c r="X2476">
        <v>0.97734180000000004</v>
      </c>
      <c r="Y2476">
        <v>6.4524040000000005E-2</v>
      </c>
      <c r="Z2476">
        <v>6.6829539999999998E-4</v>
      </c>
      <c r="AA2476">
        <v>0.99791589999999997</v>
      </c>
      <c r="AB2476">
        <v>39</v>
      </c>
      <c r="AC2476">
        <v>-141.610199999999</v>
      </c>
      <c r="AD2476">
        <v>-0.83439859999999899</v>
      </c>
      <c r="AE2476">
        <v>10.015700000000001</v>
      </c>
      <c r="AF2476">
        <v>9.1755376366002999</v>
      </c>
      <c r="AG2476">
        <v>-0.83439859999999899</v>
      </c>
      <c r="AH2476">
        <v>141.66220430909701</v>
      </c>
      <c r="AI2476">
        <v>90.336765913579995</v>
      </c>
      <c r="AJ2476">
        <v>86.294097931045599</v>
      </c>
      <c r="AK2476">
        <v>141.96149774377801</v>
      </c>
      <c r="AL2476">
        <v>78.404013703312202</v>
      </c>
      <c r="AM2476">
        <v>93.881969760031694</v>
      </c>
      <c r="AN2476">
        <v>1.0000000043969901</v>
      </c>
    </row>
    <row r="2477" spans="1:40" x14ac:dyDescent="0.25">
      <c r="A2477" t="str">
        <f>"20190304155642032"</f>
        <v>20190304155642032</v>
      </c>
      <c r="B2477" t="str">
        <f>"1551686202026835"</f>
        <v>1551686202026835</v>
      </c>
      <c r="C2477" t="s">
        <v>40</v>
      </c>
      <c r="D2477">
        <v>4.5181620000000002</v>
      </c>
      <c r="E2477">
        <v>0.52725849999999996</v>
      </c>
      <c r="F2477" t="s">
        <v>65</v>
      </c>
      <c r="G2477">
        <v>-528.68330000000003</v>
      </c>
      <c r="H2477">
        <v>0.26871600000000001</v>
      </c>
      <c r="I2477">
        <v>294.55</v>
      </c>
      <c r="J2477">
        <v>-387.6361</v>
      </c>
      <c r="K2477">
        <v>1.109998</v>
      </c>
      <c r="L2477">
        <v>284.53640000000001</v>
      </c>
      <c r="M2477">
        <v>-0.99989090000000003</v>
      </c>
      <c r="N2477">
        <v>-1.353678E-2</v>
      </c>
      <c r="O2477">
        <v>5.9285789999999998E-3</v>
      </c>
      <c r="P2477">
        <v>-0.98030139999999999</v>
      </c>
      <c r="Q2477">
        <v>0.18797369999999999</v>
      </c>
      <c r="R2477">
        <v>-6.0623789999999997E-2</v>
      </c>
      <c r="S2477">
        <v>-3.0771480000000002</v>
      </c>
      <c r="T2477">
        <v>-1.83053E-2</v>
      </c>
      <c r="U2477">
        <v>0.2179565</v>
      </c>
      <c r="V2477">
        <v>-6.642787E-2</v>
      </c>
      <c r="W2477">
        <v>0.20122409999999999</v>
      </c>
      <c r="X2477">
        <v>0.9772902</v>
      </c>
      <c r="Y2477">
        <v>6.4734539999999993E-2</v>
      </c>
      <c r="Z2477">
        <v>6.7597449999999895E-4</v>
      </c>
      <c r="AA2477">
        <v>0.99790230000000002</v>
      </c>
      <c r="AB2477">
        <v>39</v>
      </c>
      <c r="AC2477">
        <v>-141.0472</v>
      </c>
      <c r="AD2477">
        <v>-0.84128199999999997</v>
      </c>
      <c r="AE2477">
        <v>10.013599999999901</v>
      </c>
      <c r="AF2477">
        <v>9.1768131437307208</v>
      </c>
      <c r="AG2477">
        <v>-0.84128199999999997</v>
      </c>
      <c r="AH2477">
        <v>141.09909807533299</v>
      </c>
      <c r="AI2477">
        <v>90.340893155977497</v>
      </c>
      <c r="AJ2477">
        <v>86.278833907860999</v>
      </c>
      <c r="AK2477">
        <v>141.39970697477</v>
      </c>
      <c r="AL2477">
        <v>78.391449424222998</v>
      </c>
      <c r="AM2477">
        <v>93.888498355152294</v>
      </c>
      <c r="AN2477">
        <v>0.99999996767479205</v>
      </c>
    </row>
    <row r="2478" spans="1:40" x14ac:dyDescent="0.25">
      <c r="A2478" t="str">
        <f>"20190304155642046"</f>
        <v>20190304155642046</v>
      </c>
      <c r="B2478" t="str">
        <f>"1551686202037568"</f>
        <v>1551686202037568</v>
      </c>
      <c r="C2478" t="s">
        <v>40</v>
      </c>
      <c r="D2478">
        <v>4.5313330000000001</v>
      </c>
      <c r="E2478">
        <v>0.5273255</v>
      </c>
      <c r="F2478" t="s">
        <v>51</v>
      </c>
      <c r="G2478">
        <v>-568.77290000000005</v>
      </c>
      <c r="H2478">
        <v>-0.1</v>
      </c>
      <c r="I2478">
        <v>286.9085</v>
      </c>
      <c r="J2478">
        <v>-387.87389999999999</v>
      </c>
      <c r="K2478">
        <v>1.110007</v>
      </c>
      <c r="L2478">
        <v>284.5378</v>
      </c>
      <c r="M2478">
        <v>-0.99988999999999995</v>
      </c>
      <c r="N2478">
        <v>-1.3599780000000001E-2</v>
      </c>
      <c r="O2478">
        <v>5.9285079999999999E-3</v>
      </c>
      <c r="P2478">
        <v>-0.98028499999999996</v>
      </c>
      <c r="Q2478">
        <v>0.18809619999999999</v>
      </c>
      <c r="R2478">
        <v>-6.0509960000000002E-2</v>
      </c>
      <c r="S2478">
        <v>-3.0666500000000001</v>
      </c>
      <c r="T2478">
        <v>-2.0485280000000002E-2</v>
      </c>
      <c r="U2478">
        <v>4.0161130000000003E-2</v>
      </c>
      <c r="V2478">
        <v>-6.6313490000000003E-2</v>
      </c>
      <c r="W2478">
        <v>0.2014077</v>
      </c>
      <c r="X2478">
        <v>0.97726020000000002</v>
      </c>
      <c r="Y2478">
        <v>7.1658490000000002E-3</v>
      </c>
      <c r="Z2478">
        <v>1.136946E-4</v>
      </c>
      <c r="AA2478">
        <v>0.99997429999999998</v>
      </c>
      <c r="AB2478">
        <v>39</v>
      </c>
      <c r="AC2478">
        <v>-180.899</v>
      </c>
      <c r="AD2478">
        <v>-1.2100070000000001</v>
      </c>
      <c r="AE2478">
        <v>2.3706999999999998</v>
      </c>
      <c r="AF2478">
        <v>1.2980399651896899</v>
      </c>
      <c r="AG2478">
        <v>-1.2100070000000001</v>
      </c>
      <c r="AH2478">
        <v>180.90178405513399</v>
      </c>
      <c r="AI2478">
        <v>90.383221626002594</v>
      </c>
      <c r="AJ2478">
        <v>89.588887773037101</v>
      </c>
      <c r="AK2478">
        <v>180.91048753187701</v>
      </c>
      <c r="AL2478">
        <v>78.380710655674804</v>
      </c>
      <c r="AM2478">
        <v>93.881942163366602</v>
      </c>
      <c r="AN2478">
        <v>1.0000000195396499</v>
      </c>
    </row>
    <row r="2479" spans="1:40" x14ac:dyDescent="0.25">
      <c r="A2479" t="str">
        <f>"20190304155642066"</f>
        <v>20190304155642066</v>
      </c>
      <c r="B2479" t="str">
        <f>"1551686202057088"</f>
        <v>1551686202057088</v>
      </c>
      <c r="C2479" t="s">
        <v>40</v>
      </c>
      <c r="D2479">
        <v>4.531644</v>
      </c>
      <c r="E2479">
        <v>0.52731359999999905</v>
      </c>
      <c r="F2479" t="s">
        <v>51</v>
      </c>
      <c r="G2479">
        <v>-583.52840000000003</v>
      </c>
      <c r="H2479">
        <v>-0.1</v>
      </c>
      <c r="I2479">
        <v>287.1431</v>
      </c>
      <c r="J2479">
        <v>-388.2276</v>
      </c>
      <c r="K2479">
        <v>1.1100179999999999</v>
      </c>
      <c r="L2479">
        <v>284.53989999999999</v>
      </c>
      <c r="M2479">
        <v>-0.99988880000000002</v>
      </c>
      <c r="N2479">
        <v>-1.3686490000000001E-2</v>
      </c>
      <c r="O2479">
        <v>5.9282110000000001E-3</v>
      </c>
      <c r="P2479">
        <v>-0.98015909999999995</v>
      </c>
      <c r="Q2479">
        <v>0.18886549999999999</v>
      </c>
      <c r="R2479">
        <v>-6.0150759999999998E-2</v>
      </c>
      <c r="S2479">
        <v>-3.0664669999999998</v>
      </c>
      <c r="T2479">
        <v>-1.8964290000000002E-2</v>
      </c>
      <c r="U2479">
        <v>4.0832519999999997E-2</v>
      </c>
      <c r="V2479">
        <v>-6.5953100000000001E-2</v>
      </c>
      <c r="W2479">
        <v>0.20226</v>
      </c>
      <c r="X2479">
        <v>0.97710850000000005</v>
      </c>
      <c r="Y2479">
        <v>7.3858769999999999E-3</v>
      </c>
      <c r="Z2479">
        <v>1.1786570000000001E-4</v>
      </c>
      <c r="AA2479">
        <v>0.99997270000000005</v>
      </c>
      <c r="AB2479">
        <v>39</v>
      </c>
      <c r="AC2479">
        <v>-195.30080000000001</v>
      </c>
      <c r="AD2479">
        <v>-1.210018</v>
      </c>
      <c r="AE2479">
        <v>2.60320000000001</v>
      </c>
      <c r="AF2479">
        <v>1.44520602168365</v>
      </c>
      <c r="AG2479">
        <v>-1.210018</v>
      </c>
      <c r="AH2479">
        <v>195.30530559072</v>
      </c>
      <c r="AI2479">
        <v>90.354962909783197</v>
      </c>
      <c r="AJ2479">
        <v>89.576034588373503</v>
      </c>
      <c r="AK2479">
        <v>195.31440078982899</v>
      </c>
      <c r="AL2479">
        <v>78.330850758718498</v>
      </c>
      <c r="AM2479">
        <v>93.861506790694705</v>
      </c>
      <c r="AN2479">
        <v>0.99999996988592899</v>
      </c>
    </row>
    <row r="2480" spans="1:40" x14ac:dyDescent="0.25">
      <c r="A2480" t="str">
        <f>"20190304155642088"</f>
        <v>20190304155642088</v>
      </c>
      <c r="B2480" t="str">
        <f>"1551686202076608"</f>
        <v>1551686202076608</v>
      </c>
      <c r="C2480" t="s">
        <v>40</v>
      </c>
      <c r="D2480">
        <v>4.7011640000000003</v>
      </c>
      <c r="E2480">
        <v>0.52664540000000004</v>
      </c>
      <c r="F2480" t="s">
        <v>51</v>
      </c>
      <c r="G2480">
        <v>-581.35969999999998</v>
      </c>
      <c r="H2480">
        <v>-0.1</v>
      </c>
      <c r="I2480">
        <v>287.1841</v>
      </c>
      <c r="J2480">
        <v>-388.61810000000003</v>
      </c>
      <c r="K2480">
        <v>1.1100300000000001</v>
      </c>
      <c r="L2480">
        <v>284.54219999999998</v>
      </c>
      <c r="M2480">
        <v>-0.99988770000000005</v>
      </c>
      <c r="N2480">
        <v>-1.377542E-2</v>
      </c>
      <c r="O2480">
        <v>5.9279559999999999E-3</v>
      </c>
      <c r="P2480">
        <v>-0.98013410000000001</v>
      </c>
      <c r="Q2480">
        <v>0.1891111</v>
      </c>
      <c r="R2480">
        <v>-5.9788540000000001E-2</v>
      </c>
      <c r="S2480">
        <v>-3.0670169999999999</v>
      </c>
      <c r="T2480">
        <v>-1.9215579999999999E-2</v>
      </c>
      <c r="U2480">
        <v>4.1992189999999999E-2</v>
      </c>
      <c r="V2480">
        <v>-6.5590659999999995E-2</v>
      </c>
      <c r="W2480">
        <v>0.20259250000000001</v>
      </c>
      <c r="X2480">
        <v>0.97706400000000004</v>
      </c>
      <c r="Y2480">
        <v>7.7617390000000001E-3</v>
      </c>
      <c r="Z2480">
        <v>1.2230539999999999E-4</v>
      </c>
      <c r="AA2480">
        <v>0.99996980000000002</v>
      </c>
      <c r="AB2480">
        <v>39</v>
      </c>
      <c r="AC2480">
        <v>-192.74159999999901</v>
      </c>
      <c r="AD2480">
        <v>-1.2100299999999999</v>
      </c>
      <c r="AE2480">
        <v>2.6419000000000201</v>
      </c>
      <c r="AF2480">
        <v>1.4991225306395599</v>
      </c>
      <c r="AG2480">
        <v>-1.2100299999999999</v>
      </c>
      <c r="AH2480">
        <v>192.74628003073801</v>
      </c>
      <c r="AI2480">
        <v>90.359678041616107</v>
      </c>
      <c r="AJ2480">
        <v>89.554379664000706</v>
      </c>
      <c r="AK2480">
        <v>192.75590783851601</v>
      </c>
      <c r="AL2480">
        <v>78.311397031792794</v>
      </c>
      <c r="AM2480">
        <v>93.840524246402296</v>
      </c>
      <c r="AN2480">
        <v>0.99999995791574103</v>
      </c>
    </row>
    <row r="2481" spans="1:40" x14ac:dyDescent="0.25">
      <c r="A2481" t="str">
        <f>"20190304155642103"</f>
        <v>20190304155642103</v>
      </c>
      <c r="B2481" t="str">
        <f>"1551686202097104"</f>
        <v>1551686202097104</v>
      </c>
      <c r="C2481" t="s">
        <v>40</v>
      </c>
      <c r="D2481">
        <v>4.5516759999999996</v>
      </c>
      <c r="E2481">
        <v>0.52694229999999997</v>
      </c>
      <c r="F2481" t="s">
        <v>51</v>
      </c>
      <c r="G2481">
        <v>-574.83780000000002</v>
      </c>
      <c r="H2481">
        <v>-0.1</v>
      </c>
      <c r="I2481">
        <v>286.8306</v>
      </c>
      <c r="J2481">
        <v>-388.87619999999998</v>
      </c>
      <c r="K2481">
        <v>1.1100380000000001</v>
      </c>
      <c r="L2481">
        <v>284.5437</v>
      </c>
      <c r="M2481">
        <v>-0.99988699999999997</v>
      </c>
      <c r="N2481">
        <v>-1.383035E-2</v>
      </c>
      <c r="O2481">
        <v>5.9279320000000003E-3</v>
      </c>
      <c r="P2481">
        <v>-0.98010390000000003</v>
      </c>
      <c r="Q2481">
        <v>0.18928539999999999</v>
      </c>
      <c r="R2481">
        <v>-5.9728730000000001E-2</v>
      </c>
      <c r="S2481">
        <v>-3.0669249999999999</v>
      </c>
      <c r="T2481">
        <v>-1.9928459999999999E-2</v>
      </c>
      <c r="U2481">
        <v>3.7689210000000001E-2</v>
      </c>
      <c r="V2481">
        <v>-6.5530660000000004E-2</v>
      </c>
      <c r="W2481">
        <v>0.2028199</v>
      </c>
      <c r="X2481">
        <v>0.97702089999999997</v>
      </c>
      <c r="Y2481">
        <v>6.3594709999999898E-3</v>
      </c>
      <c r="Z2481">
        <v>1.081143E-4</v>
      </c>
      <c r="AA2481">
        <v>0.99997979999999997</v>
      </c>
      <c r="AB2481">
        <v>39</v>
      </c>
      <c r="AC2481">
        <v>-185.9616</v>
      </c>
      <c r="AD2481">
        <v>-1.2100379999999999</v>
      </c>
      <c r="AE2481">
        <v>2.2869000000000002</v>
      </c>
      <c r="AF2481">
        <v>1.18433674722996</v>
      </c>
      <c r="AG2481">
        <v>-1.2100379999999999</v>
      </c>
      <c r="AH2481">
        <v>185.964017311574</v>
      </c>
      <c r="AI2481">
        <v>90.372801615759201</v>
      </c>
      <c r="AJ2481">
        <v>89.635109088737494</v>
      </c>
      <c r="AK2481">
        <v>185.97172521690399</v>
      </c>
      <c r="AL2481">
        <v>78.298092355782003</v>
      </c>
      <c r="AM2481">
        <v>93.837190330410493</v>
      </c>
      <c r="AN2481">
        <v>1.0000000091364201</v>
      </c>
    </row>
    <row r="2482" spans="1:40" x14ac:dyDescent="0.25">
      <c r="A2482" t="str">
        <f>"20190304155642121"</f>
        <v>20190304155642121</v>
      </c>
      <c r="B2482" t="str">
        <f>"1551686202116624"</f>
        <v>1551686202116624</v>
      </c>
      <c r="C2482" t="s">
        <v>40</v>
      </c>
      <c r="D2482">
        <v>4.5380940000000001</v>
      </c>
      <c r="E2482">
        <v>0.52719039999999995</v>
      </c>
      <c r="F2482" t="s">
        <v>51</v>
      </c>
      <c r="G2482">
        <v>-579.62260000000003</v>
      </c>
      <c r="H2482">
        <v>-0.1</v>
      </c>
      <c r="I2482">
        <v>287.05650000000003</v>
      </c>
      <c r="J2482">
        <v>-389.20159999999998</v>
      </c>
      <c r="K2482">
        <v>1.1100479999999999</v>
      </c>
      <c r="L2482">
        <v>284.54559999999998</v>
      </c>
      <c r="M2482">
        <v>-0.99988589999999999</v>
      </c>
      <c r="N2482">
        <v>-1.389575E-2</v>
      </c>
      <c r="O2482">
        <v>5.9281330000000004E-3</v>
      </c>
      <c r="P2482">
        <v>-0.97992659999999998</v>
      </c>
      <c r="Q2482">
        <v>0.19038749999999999</v>
      </c>
      <c r="R2482">
        <v>-5.91304E-2</v>
      </c>
      <c r="S2482">
        <v>-3.067078</v>
      </c>
      <c r="T2482">
        <v>-1.9456620000000001E-2</v>
      </c>
      <c r="U2482">
        <v>4.040527E-2</v>
      </c>
      <c r="V2482">
        <v>-6.4931329999999995E-2</v>
      </c>
      <c r="W2482">
        <v>0.20398330000000001</v>
      </c>
      <c r="X2482">
        <v>0.97681870000000004</v>
      </c>
      <c r="Y2482">
        <v>7.2440059999999999E-3</v>
      </c>
      <c r="Z2482">
        <v>1.180871E-4</v>
      </c>
      <c r="AA2482">
        <v>0.99997380000000002</v>
      </c>
      <c r="AB2482">
        <v>39</v>
      </c>
      <c r="AC2482">
        <v>-190.42099999999999</v>
      </c>
      <c r="AD2482">
        <v>-1.210048</v>
      </c>
      <c r="AE2482">
        <v>2.5109000000000399</v>
      </c>
      <c r="AF2482">
        <v>1.3818500926386199</v>
      </c>
      <c r="AG2482">
        <v>-1.210048</v>
      </c>
      <c r="AH2482">
        <v>190.42485156918301</v>
      </c>
      <c r="AI2482">
        <v>90.364069523401298</v>
      </c>
      <c r="AJ2482">
        <v>89.584230798298194</v>
      </c>
      <c r="AK2482">
        <v>190.43370978108399</v>
      </c>
      <c r="AL2482">
        <v>78.230011344577093</v>
      </c>
      <c r="AM2482">
        <v>93.802984326676906</v>
      </c>
      <c r="AN2482">
        <v>1.0000000184820701</v>
      </c>
    </row>
    <row r="2483" spans="1:40" x14ac:dyDescent="0.25">
      <c r="A2483" t="str">
        <f>"20190304155642135"</f>
        <v>20190304155642135</v>
      </c>
      <c r="B2483" t="str">
        <f>"1551686202127361"</f>
        <v>1551686202127361</v>
      </c>
      <c r="C2483" t="s">
        <v>40</v>
      </c>
      <c r="D2483">
        <v>4.4958390000000001</v>
      </c>
      <c r="E2483">
        <v>0.52732860000000004</v>
      </c>
      <c r="F2483" t="s">
        <v>51</v>
      </c>
      <c r="G2483">
        <v>-628.51819999999998</v>
      </c>
      <c r="H2483">
        <v>-0.1</v>
      </c>
      <c r="I2483">
        <v>287.98869999999999</v>
      </c>
      <c r="J2483">
        <v>-389.43279999999999</v>
      </c>
      <c r="K2483">
        <v>1.110055</v>
      </c>
      <c r="L2483">
        <v>284.54700000000003</v>
      </c>
      <c r="M2483">
        <v>-0.99988529999999998</v>
      </c>
      <c r="N2483">
        <v>-1.3939109999999999E-2</v>
      </c>
      <c r="O2483">
        <v>5.928188E-3</v>
      </c>
      <c r="P2483">
        <v>-0.97981689999999999</v>
      </c>
      <c r="Q2483">
        <v>0.1910193</v>
      </c>
      <c r="R2483">
        <v>-5.8913880000000002E-2</v>
      </c>
      <c r="S2483">
        <v>-3.0671689999999998</v>
      </c>
      <c r="T2483">
        <v>-1.550841E-2</v>
      </c>
      <c r="U2483">
        <v>4.4128420000000002E-2</v>
      </c>
      <c r="V2483">
        <v>-6.4714320000000006E-2</v>
      </c>
      <c r="W2483">
        <v>0.204656</v>
      </c>
      <c r="X2483">
        <v>0.97669240000000002</v>
      </c>
      <c r="Y2483">
        <v>8.457282E-3</v>
      </c>
      <c r="Z2483">
        <v>1.3299399999999999E-4</v>
      </c>
      <c r="AA2483">
        <v>0.99996419999999997</v>
      </c>
      <c r="AB2483">
        <v>39</v>
      </c>
      <c r="AC2483">
        <v>-239.08539999999999</v>
      </c>
      <c r="AD2483">
        <v>-1.2100549999999901</v>
      </c>
      <c r="AE2483">
        <v>3.44169999999996</v>
      </c>
      <c r="AF2483">
        <v>2.02410679914408</v>
      </c>
      <c r="AG2483">
        <v>-1.2100549999999901</v>
      </c>
      <c r="AH2483">
        <v>239.09547973561499</v>
      </c>
      <c r="AI2483">
        <v>90.289959343542193</v>
      </c>
      <c r="AJ2483">
        <v>89.514963617809897</v>
      </c>
      <c r="AK2483">
        <v>239.10710920305399</v>
      </c>
      <c r="AL2483">
        <v>78.190638031898203</v>
      </c>
      <c r="AM2483">
        <v>93.790800019621699</v>
      </c>
      <c r="AN2483">
        <v>1.00000003288341</v>
      </c>
    </row>
    <row r="2484" spans="1:40" x14ac:dyDescent="0.25">
      <c r="A2484" t="str">
        <f>"20190304155642148"</f>
        <v>20190304155642148</v>
      </c>
      <c r="B2484" t="str">
        <f>"1551686202137120"</f>
        <v>1551686202137120</v>
      </c>
      <c r="C2484" t="s">
        <v>40</v>
      </c>
      <c r="D2484">
        <v>4.5262520000000004</v>
      </c>
      <c r="E2484">
        <v>0.52741159999999998</v>
      </c>
      <c r="F2484" t="s">
        <v>51</v>
      </c>
      <c r="G2484">
        <v>-603.13589999999999</v>
      </c>
      <c r="H2484">
        <v>-0.1</v>
      </c>
      <c r="I2484">
        <v>287.72919999999999</v>
      </c>
      <c r="J2484">
        <v>-389.68529999999998</v>
      </c>
      <c r="K2484">
        <v>1.11006</v>
      </c>
      <c r="L2484">
        <v>284.54849999999999</v>
      </c>
      <c r="M2484">
        <v>-0.99988469999999996</v>
      </c>
      <c r="N2484">
        <v>-1.398335E-2</v>
      </c>
      <c r="O2484">
        <v>5.9278780000000001E-3</v>
      </c>
      <c r="P2484">
        <v>-0.97971059999999999</v>
      </c>
      <c r="Q2484">
        <v>0.19167310000000001</v>
      </c>
      <c r="R2484">
        <v>-5.8554309999999998E-2</v>
      </c>
      <c r="S2484">
        <v>-3.0679630000000002</v>
      </c>
      <c r="T2484">
        <v>-1.7371770000000002E-2</v>
      </c>
      <c r="U2484">
        <v>4.5684809999999999E-2</v>
      </c>
      <c r="V2484">
        <v>-6.4354040000000001E-2</v>
      </c>
      <c r="W2484">
        <v>0.20535139999999999</v>
      </c>
      <c r="X2484">
        <v>0.97657020000000005</v>
      </c>
      <c r="Y2484">
        <v>8.9609259999999993E-3</v>
      </c>
      <c r="Z2484">
        <v>1.373588E-4</v>
      </c>
      <c r="AA2484">
        <v>0.99995979999999995</v>
      </c>
      <c r="AB2484">
        <v>39</v>
      </c>
      <c r="AC2484">
        <v>-213.45060000000001</v>
      </c>
      <c r="AD2484">
        <v>-1.2100599999999999</v>
      </c>
      <c r="AE2484">
        <v>3.1806999999999999</v>
      </c>
      <c r="AF2484">
        <v>1.9151497842834699</v>
      </c>
      <c r="AG2484">
        <v>-1.2100599999999999</v>
      </c>
      <c r="AH2484">
        <v>213.458846958571</v>
      </c>
      <c r="AI2484">
        <v>90.324782969108895</v>
      </c>
      <c r="AJ2484">
        <v>89.485956861541993</v>
      </c>
      <c r="AK2484">
        <v>213.47086777540099</v>
      </c>
      <c r="AL2484">
        <v>78.1499295339692</v>
      </c>
      <c r="AM2484">
        <v>93.770227113965007</v>
      </c>
      <c r="AN2484">
        <v>0.99999999773715997</v>
      </c>
    </row>
    <row r="2485" spans="1:40" x14ac:dyDescent="0.25">
      <c r="A2485" t="str">
        <f>"20190304155642161"</f>
        <v>20190304155642161</v>
      </c>
      <c r="B2485" t="str">
        <f>"1551686202156640"</f>
        <v>1551686202156640</v>
      </c>
      <c r="C2485" t="s">
        <v>40</v>
      </c>
      <c r="D2485">
        <v>4.546786</v>
      </c>
      <c r="E2485">
        <v>0.52729099999999995</v>
      </c>
      <c r="F2485" t="s">
        <v>51</v>
      </c>
      <c r="G2485">
        <v>-634.89319999999998</v>
      </c>
      <c r="H2485">
        <v>-0.1</v>
      </c>
      <c r="I2485">
        <v>288.3073</v>
      </c>
      <c r="J2485">
        <v>-389.90629999999999</v>
      </c>
      <c r="K2485">
        <v>1.1100650000000001</v>
      </c>
      <c r="L2485">
        <v>284.5498</v>
      </c>
      <c r="M2485">
        <v>-0.99988429999999995</v>
      </c>
      <c r="N2485">
        <v>-1.401811E-2</v>
      </c>
      <c r="O2485">
        <v>5.9279320000000003E-3</v>
      </c>
      <c r="P2485">
        <v>-0.97967309999999996</v>
      </c>
      <c r="Q2485">
        <v>0.1919679</v>
      </c>
      <c r="R2485">
        <v>-5.821805E-2</v>
      </c>
      <c r="S2485">
        <v>-3.0679020000000001</v>
      </c>
      <c r="T2485">
        <v>-1.513958E-2</v>
      </c>
      <c r="U2485">
        <v>4.7027590000000001E-2</v>
      </c>
      <c r="V2485">
        <v>-6.4017519999999994E-2</v>
      </c>
      <c r="W2485">
        <v>0.20567940000000001</v>
      </c>
      <c r="X2485">
        <v>0.97652329999999998</v>
      </c>
      <c r="Y2485">
        <v>9.3988279999999997E-3</v>
      </c>
      <c r="Z2485">
        <v>1.4292370000000001E-4</v>
      </c>
      <c r="AA2485">
        <v>0.99995579999999995</v>
      </c>
      <c r="AB2485">
        <v>39</v>
      </c>
      <c r="AC2485">
        <v>-244.98689999999999</v>
      </c>
      <c r="AD2485">
        <v>-1.2100649999999999</v>
      </c>
      <c r="AE2485">
        <v>3.7574999999999901</v>
      </c>
      <c r="AF2485">
        <v>2.3049695400699401</v>
      </c>
      <c r="AG2485">
        <v>-1.2100649999999999</v>
      </c>
      <c r="AH2485">
        <v>244.99889527467499</v>
      </c>
      <c r="AI2485">
        <v>90.282972645812194</v>
      </c>
      <c r="AJ2485">
        <v>89.460972547795507</v>
      </c>
      <c r="AK2485">
        <v>245.012725848467</v>
      </c>
      <c r="AL2485">
        <v>78.130726721172095</v>
      </c>
      <c r="AM2485">
        <v>93.750747885906904</v>
      </c>
      <c r="AN2485">
        <v>1.0000000069471</v>
      </c>
    </row>
    <row r="2486" spans="1:40" x14ac:dyDescent="0.25">
      <c r="A2486" t="str">
        <f>"20190304155642178"</f>
        <v>20190304155642178</v>
      </c>
      <c r="B2486" t="str">
        <f>"1551686202167376"</f>
        <v>1551686202167376</v>
      </c>
      <c r="C2486" t="s">
        <v>40</v>
      </c>
      <c r="D2486">
        <v>4.5624279999999997</v>
      </c>
      <c r="E2486">
        <v>0.52727740000000001</v>
      </c>
      <c r="F2486" t="s">
        <v>51</v>
      </c>
      <c r="G2486">
        <v>-644.8365</v>
      </c>
      <c r="H2486">
        <v>-0.1</v>
      </c>
      <c r="I2486">
        <v>288.45510000000002</v>
      </c>
      <c r="J2486">
        <v>-390.18169999999998</v>
      </c>
      <c r="K2486">
        <v>1.110074</v>
      </c>
      <c r="L2486">
        <v>284.55149999999998</v>
      </c>
      <c r="M2486">
        <v>-0.99988370000000004</v>
      </c>
      <c r="N2486">
        <v>-1.405879E-2</v>
      </c>
      <c r="O2486">
        <v>5.9280030000000003E-3</v>
      </c>
      <c r="P2486">
        <v>-0.97957430000000001</v>
      </c>
      <c r="Q2486">
        <v>0.1926089</v>
      </c>
      <c r="R2486">
        <v>-5.775901E-2</v>
      </c>
      <c r="S2486">
        <v>-3.0679020000000001</v>
      </c>
      <c r="T2486">
        <v>-1.4562250000000001E-2</v>
      </c>
      <c r="U2486">
        <v>4.6997070000000002E-2</v>
      </c>
      <c r="V2486">
        <v>-6.3557950000000002E-2</v>
      </c>
      <c r="W2486">
        <v>0.20635880000000001</v>
      </c>
      <c r="X2486">
        <v>0.97641</v>
      </c>
      <c r="Y2486">
        <v>9.3888440000000004E-3</v>
      </c>
      <c r="Z2486">
        <v>1.4349400000000001E-4</v>
      </c>
      <c r="AA2486">
        <v>0.99995590000000001</v>
      </c>
      <c r="AB2486">
        <v>39</v>
      </c>
      <c r="AC2486">
        <v>-254.65479999999999</v>
      </c>
      <c r="AD2486">
        <v>-1.2100739999999901</v>
      </c>
      <c r="AE2486">
        <v>3.9036000000000399</v>
      </c>
      <c r="AF2486">
        <v>2.3937338883160302</v>
      </c>
      <c r="AG2486">
        <v>-1.2100739999999901</v>
      </c>
      <c r="AH2486">
        <v>254.66771847853801</v>
      </c>
      <c r="AI2486">
        <v>90.272231397371201</v>
      </c>
      <c r="AJ2486">
        <v>89.461467629100397</v>
      </c>
      <c r="AK2486">
        <v>254.681842847262</v>
      </c>
      <c r="AL2486">
        <v>78.090946854756396</v>
      </c>
      <c r="AM2486">
        <v>93.724328888507102</v>
      </c>
      <c r="AN2486">
        <v>1.00000002772282</v>
      </c>
    </row>
    <row r="2487" spans="1:40" x14ac:dyDescent="0.25">
      <c r="A2487" t="str">
        <f>"20190304155642191"</f>
        <v>20190304155642191</v>
      </c>
      <c r="B2487" t="str">
        <f>"1551686202186896"</f>
        <v>1551686202186896</v>
      </c>
      <c r="C2487" t="s">
        <v>40</v>
      </c>
      <c r="D2487">
        <v>4.5305119999999999</v>
      </c>
      <c r="E2487">
        <v>0.52748790000000001</v>
      </c>
      <c r="F2487" t="s">
        <v>51</v>
      </c>
      <c r="G2487">
        <v>-685.52930000000003</v>
      </c>
      <c r="H2487">
        <v>-0.1</v>
      </c>
      <c r="I2487">
        <v>289.214</v>
      </c>
      <c r="J2487">
        <v>-390.41950000000003</v>
      </c>
      <c r="K2487">
        <v>1.11008</v>
      </c>
      <c r="L2487">
        <v>284.55290000000002</v>
      </c>
      <c r="M2487">
        <v>-0.99988330000000003</v>
      </c>
      <c r="N2487">
        <v>-1.40914E-2</v>
      </c>
      <c r="O2487">
        <v>5.9279519999999898E-3</v>
      </c>
      <c r="P2487">
        <v>-0.97955139999999996</v>
      </c>
      <c r="Q2487">
        <v>0.1926716</v>
      </c>
      <c r="R2487">
        <v>-5.793951E-2</v>
      </c>
      <c r="S2487">
        <v>-3.0678709999999998</v>
      </c>
      <c r="T2487">
        <v>-1.2569429999999999E-2</v>
      </c>
      <c r="U2487">
        <v>4.8431399999999999E-2</v>
      </c>
      <c r="V2487">
        <v>-6.3738230000000007E-2</v>
      </c>
      <c r="W2487">
        <v>0.20645259999999999</v>
      </c>
      <c r="X2487">
        <v>0.97637839999999998</v>
      </c>
      <c r="Y2487">
        <v>9.856531E-3</v>
      </c>
      <c r="Z2487">
        <v>1.488944E-4</v>
      </c>
      <c r="AA2487">
        <v>0.99995140000000005</v>
      </c>
      <c r="AB2487">
        <v>39</v>
      </c>
      <c r="AC2487">
        <v>-295.10980000000001</v>
      </c>
      <c r="AD2487">
        <v>-1.2100799999999901</v>
      </c>
      <c r="AE2487">
        <v>4.66109999999997</v>
      </c>
      <c r="AF2487">
        <v>2.9113989870061601</v>
      </c>
      <c r="AG2487">
        <v>-1.2100799999999901</v>
      </c>
      <c r="AH2487">
        <v>295.12728635593101</v>
      </c>
      <c r="AI2487">
        <v>90.234911234140398</v>
      </c>
      <c r="AJ2487">
        <v>89.434801621763199</v>
      </c>
      <c r="AK2487">
        <v>295.14412697779301</v>
      </c>
      <c r="AL2487">
        <v>78.085454009095898</v>
      </c>
      <c r="AM2487">
        <v>93.734983499918897</v>
      </c>
      <c r="AN2487">
        <v>1.00000000899842</v>
      </c>
    </row>
    <row r="2488" spans="1:40" x14ac:dyDescent="0.25">
      <c r="A2488" t="str">
        <f>"20190304155642203"</f>
        <v>20190304155642203</v>
      </c>
      <c r="B2488" t="str">
        <f>"1551686202196656"</f>
        <v>1551686202196656</v>
      </c>
      <c r="C2488" t="s">
        <v>40</v>
      </c>
      <c r="D2488">
        <v>4.5449250000000001</v>
      </c>
      <c r="E2488">
        <v>0.5273658</v>
      </c>
      <c r="F2488" t="s">
        <v>51</v>
      </c>
      <c r="G2488">
        <v>-653.30589999999995</v>
      </c>
      <c r="H2488">
        <v>-0.1</v>
      </c>
      <c r="I2488">
        <v>288.7808</v>
      </c>
      <c r="J2488">
        <v>-390.6551</v>
      </c>
      <c r="K2488">
        <v>1.1100829999999999</v>
      </c>
      <c r="L2488">
        <v>284.55419999999998</v>
      </c>
      <c r="M2488">
        <v>-0.99988290000000002</v>
      </c>
      <c r="N2488">
        <v>-1.412038E-2</v>
      </c>
      <c r="O2488">
        <v>5.927926E-3</v>
      </c>
      <c r="P2488">
        <v>-0.97949030000000004</v>
      </c>
      <c r="Q2488">
        <v>0.19295590000000001</v>
      </c>
      <c r="R2488">
        <v>-5.8028709999999997E-2</v>
      </c>
      <c r="S2488">
        <v>-3.0683289999999999</v>
      </c>
      <c r="T2488">
        <v>-1.412368E-2</v>
      </c>
      <c r="U2488">
        <v>4.9346920000000002E-2</v>
      </c>
      <c r="V2488">
        <v>-6.3826579999999994E-2</v>
      </c>
      <c r="W2488">
        <v>0.2067647</v>
      </c>
      <c r="X2488">
        <v>0.97630660000000002</v>
      </c>
      <c r="Y2488">
        <v>1.0152390000000001E-2</v>
      </c>
      <c r="Z2488">
        <v>1.514733E-4</v>
      </c>
      <c r="AA2488">
        <v>0.99994839999999996</v>
      </c>
      <c r="AB2488">
        <v>39</v>
      </c>
      <c r="AC2488">
        <v>-262.65079999999898</v>
      </c>
      <c r="AD2488">
        <v>-1.210083</v>
      </c>
      <c r="AE2488">
        <v>4.2266000000000101</v>
      </c>
      <c r="AF2488">
        <v>2.6693395930696102</v>
      </c>
      <c r="AG2488">
        <v>-1.210083</v>
      </c>
      <c r="AH2488">
        <v>262.66566773337701</v>
      </c>
      <c r="AI2488">
        <v>90.263942292132</v>
      </c>
      <c r="AJ2488">
        <v>89.417751739994401</v>
      </c>
      <c r="AK2488">
        <v>262.68201819034101</v>
      </c>
      <c r="AL2488">
        <v>78.067177857627698</v>
      </c>
      <c r="AM2488">
        <v>93.740420297521297</v>
      </c>
      <c r="AN2488">
        <v>1.00000002534207</v>
      </c>
    </row>
    <row r="2489" spans="1:40" x14ac:dyDescent="0.25">
      <c r="A2489" t="str">
        <f>"20190304155642216"</f>
        <v>20190304155642216</v>
      </c>
      <c r="B2489" t="str">
        <f>"1551686202206874"</f>
        <v>1551686202206874</v>
      </c>
      <c r="C2489" t="s">
        <v>40</v>
      </c>
      <c r="D2489">
        <v>4.5624269999999996</v>
      </c>
      <c r="E2489">
        <v>0.52721779999999996</v>
      </c>
      <c r="F2489" t="s">
        <v>51</v>
      </c>
      <c r="G2489">
        <v>-672.72080000000005</v>
      </c>
      <c r="H2489">
        <v>-0.1</v>
      </c>
      <c r="I2489">
        <v>289.00659999999999</v>
      </c>
      <c r="J2489">
        <v>-390.8657</v>
      </c>
      <c r="K2489">
        <v>1.110087</v>
      </c>
      <c r="L2489">
        <v>284.55549999999999</v>
      </c>
      <c r="M2489">
        <v>-0.99988239999999995</v>
      </c>
      <c r="N2489">
        <v>-1.414437E-2</v>
      </c>
      <c r="O2489">
        <v>5.9278760000000003E-3</v>
      </c>
      <c r="P2489">
        <v>-0.97941599999999995</v>
      </c>
      <c r="Q2489">
        <v>0.19328609999999999</v>
      </c>
      <c r="R2489">
        <v>-5.8179769999999999E-2</v>
      </c>
      <c r="S2489">
        <v>-3.0682369999999999</v>
      </c>
      <c r="T2489">
        <v>-1.316297E-2</v>
      </c>
      <c r="U2489">
        <v>4.8431399999999999E-2</v>
      </c>
      <c r="V2489">
        <v>-6.3977649999999997E-2</v>
      </c>
      <c r="W2489">
        <v>0.20711740000000001</v>
      </c>
      <c r="X2489">
        <v>0.97622189999999998</v>
      </c>
      <c r="Y2489">
        <v>9.8546880000000003E-3</v>
      </c>
      <c r="Z2489">
        <v>1.49259E-4</v>
      </c>
      <c r="AA2489">
        <v>0.99995140000000005</v>
      </c>
      <c r="AB2489">
        <v>39</v>
      </c>
      <c r="AC2489">
        <v>-281.85509999999999</v>
      </c>
      <c r="AD2489">
        <v>-1.2100869999999999</v>
      </c>
      <c r="AE2489">
        <v>4.4510999999999896</v>
      </c>
      <c r="AF2489">
        <v>2.7800013223489599</v>
      </c>
      <c r="AG2489">
        <v>-1.2100869999999999</v>
      </c>
      <c r="AH2489">
        <v>281.87134075624402</v>
      </c>
      <c r="AI2489">
        <v>90.245960018685395</v>
      </c>
      <c r="AJ2489">
        <v>89.434929503258402</v>
      </c>
      <c r="AK2489">
        <v>281.88764686949702</v>
      </c>
      <c r="AL2489">
        <v>78.046521939447899</v>
      </c>
      <c r="AM2489">
        <v>93.749572579062701</v>
      </c>
      <c r="AN2489">
        <v>0.99999997756094505</v>
      </c>
    </row>
    <row r="2490" spans="1:40" x14ac:dyDescent="0.25">
      <c r="A2490" t="str">
        <f>"20190304155642234"</f>
        <v>20190304155642234</v>
      </c>
      <c r="B2490" t="str">
        <f>"1551686202227370"</f>
        <v>1551686202227370</v>
      </c>
      <c r="C2490" t="s">
        <v>40</v>
      </c>
      <c r="D2490">
        <v>4.7159559999999896</v>
      </c>
      <c r="E2490">
        <v>0.52678019999999903</v>
      </c>
      <c r="F2490" t="s">
        <v>51</v>
      </c>
      <c r="G2490">
        <v>-692.23109999999997</v>
      </c>
      <c r="H2490">
        <v>-0.1</v>
      </c>
      <c r="I2490">
        <v>289.14449999999999</v>
      </c>
      <c r="J2490">
        <v>-391.16230000000002</v>
      </c>
      <c r="K2490">
        <v>1.1100939999999999</v>
      </c>
      <c r="L2490">
        <v>284.5573</v>
      </c>
      <c r="M2490">
        <v>-0.9998821</v>
      </c>
      <c r="N2490">
        <v>-1.417534E-2</v>
      </c>
      <c r="O2490">
        <v>5.9276559999999999E-3</v>
      </c>
      <c r="P2490">
        <v>-0.97939050000000005</v>
      </c>
      <c r="Q2490">
        <v>0.1934448</v>
      </c>
      <c r="R2490">
        <v>-5.8086020000000002E-2</v>
      </c>
      <c r="S2490">
        <v>-3.0682680000000002</v>
      </c>
      <c r="T2490">
        <v>-1.232016E-2</v>
      </c>
      <c r="U2490">
        <v>4.6722409999999999E-2</v>
      </c>
      <c r="V2490">
        <v>-6.3882869999999994E-2</v>
      </c>
      <c r="W2490">
        <v>0.20730589999999999</v>
      </c>
      <c r="X2490">
        <v>0.9761881</v>
      </c>
      <c r="Y2490">
        <v>9.2979900000000008E-3</v>
      </c>
      <c r="Z2490">
        <v>1.448039E-4</v>
      </c>
      <c r="AA2490">
        <v>0.99995679999999998</v>
      </c>
      <c r="AB2490">
        <v>39</v>
      </c>
      <c r="AC2490">
        <v>-301.06879999999899</v>
      </c>
      <c r="AD2490">
        <v>-1.210094</v>
      </c>
      <c r="AE2490">
        <v>4.5871999999999904</v>
      </c>
      <c r="AF2490">
        <v>2.8022627846139598</v>
      </c>
      <c r="AG2490">
        <v>-1.210094</v>
      </c>
      <c r="AH2490">
        <v>301.08584071081498</v>
      </c>
      <c r="AI2490">
        <v>90.230266235122699</v>
      </c>
      <c r="AJ2490">
        <v>89.466752755740302</v>
      </c>
      <c r="AK2490">
        <v>301.10131265197299</v>
      </c>
      <c r="AL2490">
        <v>78.035482129979997</v>
      </c>
      <c r="AM2490">
        <v>93.744162834156995</v>
      </c>
      <c r="AN2490">
        <v>0.99999998191792805</v>
      </c>
    </row>
    <row r="2491" spans="1:40" x14ac:dyDescent="0.25">
      <c r="A2491" t="str">
        <f>"20190304155642256"</f>
        <v>20190304155642256</v>
      </c>
      <c r="B2491" t="str">
        <f>"1551686202247226"</f>
        <v>1551686202247226</v>
      </c>
      <c r="C2491" t="s">
        <v>40</v>
      </c>
      <c r="D2491">
        <v>4.5620900000000004</v>
      </c>
      <c r="E2491">
        <v>0.52659650000000002</v>
      </c>
      <c r="F2491" t="s">
        <v>51</v>
      </c>
      <c r="G2491">
        <v>-705.3306</v>
      </c>
      <c r="H2491">
        <v>-0.1</v>
      </c>
      <c r="I2491">
        <v>289.01979999999998</v>
      </c>
      <c r="J2491">
        <v>-391.54860000000002</v>
      </c>
      <c r="K2491">
        <v>1.1101019999999999</v>
      </c>
      <c r="L2491">
        <v>284.55959999999999</v>
      </c>
      <c r="M2491">
        <v>-0.99988140000000003</v>
      </c>
      <c r="N2491">
        <v>-1.4210499999999999E-2</v>
      </c>
      <c r="O2491">
        <v>5.927585E-3</v>
      </c>
      <c r="P2491">
        <v>-0.97938170000000002</v>
      </c>
      <c r="Q2491">
        <v>0.1935306</v>
      </c>
      <c r="R2491">
        <v>-5.7940970000000001E-2</v>
      </c>
      <c r="S2491">
        <v>-3.0680540000000001</v>
      </c>
      <c r="T2491">
        <v>-1.1817340000000001E-2</v>
      </c>
      <c r="U2491">
        <v>4.3579100000000003E-2</v>
      </c>
      <c r="V2491">
        <v>-6.3738320000000001E-2</v>
      </c>
      <c r="W2491">
        <v>0.20742620000000001</v>
      </c>
      <c r="X2491">
        <v>0.97617200000000004</v>
      </c>
      <c r="Y2491">
        <v>8.2749150000000007E-3</v>
      </c>
      <c r="Z2491">
        <v>1.3614389999999901E-4</v>
      </c>
      <c r="AA2491">
        <v>0.99996569999999996</v>
      </c>
      <c r="AB2491">
        <v>39</v>
      </c>
      <c r="AC2491">
        <v>-313.78199999999998</v>
      </c>
      <c r="AD2491">
        <v>-1.210102</v>
      </c>
      <c r="AE2491">
        <v>4.46019999999998</v>
      </c>
      <c r="AF2491">
        <v>2.59992555810393</v>
      </c>
      <c r="AG2491">
        <v>-1.210102</v>
      </c>
      <c r="AH2491">
        <v>313.79826109580802</v>
      </c>
      <c r="AI2491">
        <v>90.220941358430593</v>
      </c>
      <c r="AJ2491">
        <v>89.525295798349106</v>
      </c>
      <c r="AK2491">
        <v>313.81136471853699</v>
      </c>
      <c r="AL2491">
        <v>78.028436365879102</v>
      </c>
      <c r="AM2491">
        <v>93.735776241932101</v>
      </c>
      <c r="AN2491">
        <v>0.99999998773343102</v>
      </c>
    </row>
    <row r="2492" spans="1:40" x14ac:dyDescent="0.25">
      <c r="A2492" t="str">
        <f>"20190304155642279"</f>
        <v>20190304155642279</v>
      </c>
      <c r="B2492" t="str">
        <f>"1551686202266747"</f>
        <v>1551686202266747</v>
      </c>
      <c r="C2492" t="s">
        <v>40</v>
      </c>
      <c r="D2492">
        <v>4.5403779999999996</v>
      </c>
      <c r="E2492">
        <v>0.52640209999999998</v>
      </c>
      <c r="F2492" t="s">
        <v>51</v>
      </c>
      <c r="G2492">
        <v>-697.12789999999995</v>
      </c>
      <c r="H2492">
        <v>-0.1</v>
      </c>
      <c r="I2492">
        <v>288.79059999999998</v>
      </c>
      <c r="J2492">
        <v>-391.94459999999998</v>
      </c>
      <c r="K2492">
        <v>1.1101080000000001</v>
      </c>
      <c r="L2492">
        <v>284.56189999999998</v>
      </c>
      <c r="M2492">
        <v>-0.99988109999999997</v>
      </c>
      <c r="N2492">
        <v>-1.42396E-2</v>
      </c>
      <c r="O2492">
        <v>5.9273769999999898E-3</v>
      </c>
      <c r="P2492">
        <v>-0.97930079999999997</v>
      </c>
      <c r="Q2492">
        <v>0.19395290000000001</v>
      </c>
      <c r="R2492">
        <v>-5.7898930000000001E-2</v>
      </c>
      <c r="S2492">
        <v>-3.0680540000000001</v>
      </c>
      <c r="T2492">
        <v>-1.214957E-2</v>
      </c>
      <c r="U2492">
        <v>4.2480469999999999E-2</v>
      </c>
      <c r="V2492">
        <v>-6.3695799999999997E-2</v>
      </c>
      <c r="W2492">
        <v>0.20787539999999999</v>
      </c>
      <c r="X2492">
        <v>0.97607920000000004</v>
      </c>
      <c r="Y2492">
        <v>7.9171099999999998E-3</v>
      </c>
      <c r="Z2492">
        <v>1.329848E-4</v>
      </c>
      <c r="AA2492">
        <v>0.99996859999999999</v>
      </c>
      <c r="AB2492">
        <v>39</v>
      </c>
      <c r="AC2492">
        <v>-305.18329999999997</v>
      </c>
      <c r="AD2492">
        <v>-1.210108</v>
      </c>
      <c r="AE2492">
        <v>4.2286999999999999</v>
      </c>
      <c r="AF2492">
        <v>2.4194678724904799</v>
      </c>
      <c r="AG2492">
        <v>-1.210108</v>
      </c>
      <c r="AH2492">
        <v>305.19820776686498</v>
      </c>
      <c r="AI2492">
        <v>90.2271688939136</v>
      </c>
      <c r="AJ2492">
        <v>89.545795517993298</v>
      </c>
      <c r="AK2492">
        <v>305.210196766531</v>
      </c>
      <c r="AL2492">
        <v>78.002125399405799</v>
      </c>
      <c r="AM2492">
        <v>93.733645081897507</v>
      </c>
      <c r="AN2492">
        <v>0.99999997076771896</v>
      </c>
    </row>
    <row r="2493" spans="1:40" x14ac:dyDescent="0.25">
      <c r="A2493" t="str">
        <f>"20190304155642299"</f>
        <v>20190304155642299</v>
      </c>
      <c r="B2493" t="str">
        <f>"1551686202287242"</f>
        <v>1551686202287242</v>
      </c>
      <c r="C2493" t="s">
        <v>40</v>
      </c>
      <c r="D2493">
        <v>4.5493430000000004</v>
      </c>
      <c r="E2493">
        <v>0.52619740000000004</v>
      </c>
      <c r="F2493" t="s">
        <v>51</v>
      </c>
      <c r="G2493">
        <v>-718.35530000000006</v>
      </c>
      <c r="H2493">
        <v>-0.1</v>
      </c>
      <c r="I2493">
        <v>288.91899999999998</v>
      </c>
      <c r="J2493">
        <v>-392.30770000000001</v>
      </c>
      <c r="K2493">
        <v>1.110114</v>
      </c>
      <c r="L2493">
        <v>284.5641</v>
      </c>
      <c r="M2493">
        <v>-0.99988089999999996</v>
      </c>
      <c r="N2493">
        <v>-1.4258399999999999E-2</v>
      </c>
      <c r="O2493">
        <v>5.9272429999999996E-3</v>
      </c>
      <c r="P2493">
        <v>-0.97926170000000001</v>
      </c>
      <c r="Q2493">
        <v>0.19419310000000001</v>
      </c>
      <c r="R2493">
        <v>-5.7754800000000002E-2</v>
      </c>
      <c r="S2493">
        <v>-3.0681150000000001</v>
      </c>
      <c r="T2493">
        <v>-1.1374469999999999E-2</v>
      </c>
      <c r="U2493">
        <v>4.0954589999999999E-2</v>
      </c>
      <c r="V2493">
        <v>-6.3551209999999997E-2</v>
      </c>
      <c r="W2493">
        <v>0.20813329999999999</v>
      </c>
      <c r="X2493">
        <v>0.9760337</v>
      </c>
      <c r="Y2493">
        <v>7.4197949999999999E-3</v>
      </c>
      <c r="Z2493">
        <v>1.2919900000000001E-4</v>
      </c>
      <c r="AA2493">
        <v>0.99997250000000004</v>
      </c>
      <c r="AB2493">
        <v>39</v>
      </c>
      <c r="AC2493">
        <v>-326.04759999999999</v>
      </c>
      <c r="AD2493">
        <v>-1.2101139999999999</v>
      </c>
      <c r="AE2493">
        <v>4.3549000000000397</v>
      </c>
      <c r="AF2493">
        <v>2.4220305360919099</v>
      </c>
      <c r="AG2493">
        <v>-1.2101139999999999</v>
      </c>
      <c r="AH2493">
        <v>326.06319586326998</v>
      </c>
      <c r="AI2493">
        <v>90.212634221727399</v>
      </c>
      <c r="AJ2493">
        <v>89.574408957877097</v>
      </c>
      <c r="AK2493">
        <v>326.07443675391102</v>
      </c>
      <c r="AL2493">
        <v>77.987018815267206</v>
      </c>
      <c r="AM2493">
        <v>93.725366737144299</v>
      </c>
      <c r="AN2493">
        <v>1.0000000051985201</v>
      </c>
    </row>
    <row r="2494" spans="1:40" x14ac:dyDescent="0.25">
      <c r="A2494" t="str">
        <f>"20190304155642313"</f>
        <v>20190304155642313</v>
      </c>
      <c r="B2494" t="str">
        <f>"1551686202306763"</f>
        <v>1551686202306763</v>
      </c>
      <c r="C2494" t="s">
        <v>40</v>
      </c>
      <c r="D2494">
        <v>4.5774189999999999</v>
      </c>
      <c r="E2494">
        <v>0.52577369999999901</v>
      </c>
      <c r="F2494" t="s">
        <v>51</v>
      </c>
      <c r="G2494">
        <v>-733.50340000000006</v>
      </c>
      <c r="H2494">
        <v>-0.1</v>
      </c>
      <c r="I2494">
        <v>288.99990000000003</v>
      </c>
      <c r="J2494">
        <v>-392.53800000000001</v>
      </c>
      <c r="K2494">
        <v>1.1101099999999999</v>
      </c>
      <c r="L2494">
        <v>284.56549999999999</v>
      </c>
      <c r="M2494">
        <v>-0.99988080000000001</v>
      </c>
      <c r="N2494">
        <v>-1.426736E-2</v>
      </c>
      <c r="O2494">
        <v>5.9273569999999899E-3</v>
      </c>
      <c r="P2494">
        <v>-0.97918070000000001</v>
      </c>
      <c r="Q2494">
        <v>0.1946349</v>
      </c>
      <c r="R2494">
        <v>-5.7642989999999998E-2</v>
      </c>
      <c r="S2494">
        <v>-3.0680540000000001</v>
      </c>
      <c r="T2494">
        <v>-1.0881419999999999E-2</v>
      </c>
      <c r="U2494">
        <v>3.988647E-2</v>
      </c>
      <c r="V2494">
        <v>-6.3438410000000001E-2</v>
      </c>
      <c r="W2494">
        <v>0.20858289999999999</v>
      </c>
      <c r="X2494">
        <v>0.97594510000000001</v>
      </c>
      <c r="Y2494">
        <v>7.0719090000000004E-3</v>
      </c>
      <c r="Z2494">
        <v>1.2654380000000001E-4</v>
      </c>
      <c r="AA2494">
        <v>0.99997499999999995</v>
      </c>
      <c r="AB2494">
        <v>39</v>
      </c>
      <c r="AC2494">
        <v>-340.96539999999999</v>
      </c>
      <c r="AD2494">
        <v>-1.21011</v>
      </c>
      <c r="AE2494">
        <v>4.4344000000000303</v>
      </c>
      <c r="AF2494">
        <v>2.4130626252565901</v>
      </c>
      <c r="AG2494">
        <v>-1.21011</v>
      </c>
      <c r="AH2494">
        <v>340.98140176875802</v>
      </c>
      <c r="AI2494">
        <v>90.203331232203794</v>
      </c>
      <c r="AJ2494">
        <v>89.594535081892502</v>
      </c>
      <c r="AK2494">
        <v>340.99208728302199</v>
      </c>
      <c r="AL2494">
        <v>77.960681101562898</v>
      </c>
      <c r="AM2494">
        <v>93.719109638224893</v>
      </c>
      <c r="AN2494">
        <v>1.0000000481248701</v>
      </c>
    </row>
    <row r="2495" spans="1:40" x14ac:dyDescent="0.25">
      <c r="A2495" t="str">
        <f>"20190304155642326"</f>
        <v>20190304155642326</v>
      </c>
      <c r="B2495" t="str">
        <f>"1551686202317498"</f>
        <v>1551686202317498</v>
      </c>
      <c r="C2495" t="s">
        <v>40</v>
      </c>
      <c r="D2495">
        <v>4.5607699999999998</v>
      </c>
      <c r="E2495">
        <v>0.52566389999999996</v>
      </c>
      <c r="F2495" t="s">
        <v>51</v>
      </c>
      <c r="G2495">
        <v>-738.52719999999999</v>
      </c>
      <c r="H2495">
        <v>-0.1</v>
      </c>
      <c r="I2495">
        <v>288.71589999999998</v>
      </c>
      <c r="J2495">
        <v>-392.77089999999998</v>
      </c>
      <c r="K2495">
        <v>1.110112</v>
      </c>
      <c r="L2495">
        <v>284.5668</v>
      </c>
      <c r="M2495">
        <v>-0.99988060000000001</v>
      </c>
      <c r="N2495">
        <v>-1.4274220000000001E-2</v>
      </c>
      <c r="O2495">
        <v>5.9273080000000001E-3</v>
      </c>
      <c r="P2495">
        <v>-0.97913490000000003</v>
      </c>
      <c r="Q2495">
        <v>0.19496440000000001</v>
      </c>
      <c r="R2495">
        <v>-5.7306540000000003E-2</v>
      </c>
      <c r="S2495">
        <v>-3.068085</v>
      </c>
      <c r="T2495">
        <v>-1.0730740000000001E-2</v>
      </c>
      <c r="U2495">
        <v>3.6804200000000002E-2</v>
      </c>
      <c r="V2495">
        <v>-6.3101980000000002E-2</v>
      </c>
      <c r="W2495">
        <v>0.2089182</v>
      </c>
      <c r="X2495">
        <v>0.97589519999999996</v>
      </c>
      <c r="Y2495">
        <v>6.0674190000000001E-3</v>
      </c>
      <c r="Z2495">
        <v>1.177994E-4</v>
      </c>
      <c r="AA2495">
        <v>0.99998160000000003</v>
      </c>
      <c r="AB2495">
        <v>39</v>
      </c>
      <c r="AC2495">
        <v>-345.75630000000001</v>
      </c>
      <c r="AD2495">
        <v>-1.2101120000000001</v>
      </c>
      <c r="AE2495">
        <v>4.1490999999999696</v>
      </c>
      <c r="AF2495">
        <v>2.0993885887488899</v>
      </c>
      <c r="AG2495">
        <v>-1.2101120000000001</v>
      </c>
      <c r="AH2495">
        <v>345.77058564856497</v>
      </c>
      <c r="AI2495">
        <v>90.200516620564699</v>
      </c>
      <c r="AJ2495">
        <v>89.652125910593497</v>
      </c>
      <c r="AK2495">
        <v>345.77907643935202</v>
      </c>
      <c r="AL2495">
        <v>77.941037165971807</v>
      </c>
      <c r="AM2495">
        <v>93.6996298086396</v>
      </c>
      <c r="AN2495">
        <v>1.00000005777709</v>
      </c>
    </row>
    <row r="2496" spans="1:40" x14ac:dyDescent="0.25">
      <c r="A2496" t="str">
        <f>"20190304155642339"</f>
        <v>20190304155642339</v>
      </c>
      <c r="B2496" t="str">
        <f>"1551686202337018"</f>
        <v>1551686202337018</v>
      </c>
      <c r="C2496" t="s">
        <v>40</v>
      </c>
      <c r="D2496">
        <v>4.5407169999999999</v>
      </c>
      <c r="E2496">
        <v>0.52551619999999999</v>
      </c>
      <c r="F2496" t="s">
        <v>51</v>
      </c>
      <c r="G2496">
        <v>-766.09029999999996</v>
      </c>
      <c r="H2496">
        <v>-0.1</v>
      </c>
      <c r="I2496">
        <v>289.06369999999998</v>
      </c>
      <c r="J2496">
        <v>-393.00330000000002</v>
      </c>
      <c r="K2496">
        <v>1.1101129999999999</v>
      </c>
      <c r="L2496">
        <v>284.56819999999999</v>
      </c>
      <c r="M2496">
        <v>-0.9998804</v>
      </c>
      <c r="N2496">
        <v>-1.427981E-2</v>
      </c>
      <c r="O2496">
        <v>5.9274469999999998E-3</v>
      </c>
      <c r="P2496">
        <v>-0.97906990000000005</v>
      </c>
      <c r="Q2496">
        <v>0.19535739999999999</v>
      </c>
      <c r="R2496">
        <v>-5.7075699999999903E-2</v>
      </c>
      <c r="S2496">
        <v>-3.0681150000000001</v>
      </c>
      <c r="T2496">
        <v>-9.9452729999999993E-3</v>
      </c>
      <c r="U2496">
        <v>3.6956790000000003E-2</v>
      </c>
      <c r="V2496">
        <v>-6.2870830000000003E-2</v>
      </c>
      <c r="W2496">
        <v>0.20931540000000001</v>
      </c>
      <c r="X2496">
        <v>0.97582500000000005</v>
      </c>
      <c r="Y2496">
        <v>6.116916E-3</v>
      </c>
      <c r="Z2496">
        <v>1.1902539999999999E-4</v>
      </c>
      <c r="AA2496">
        <v>0.99998129999999996</v>
      </c>
      <c r="AB2496">
        <v>39</v>
      </c>
      <c r="AC2496">
        <v>-373.08699999999902</v>
      </c>
      <c r="AD2496">
        <v>-1.210113</v>
      </c>
      <c r="AE2496">
        <v>4.4954999999999901</v>
      </c>
      <c r="AF2496">
        <v>2.2837179090849902</v>
      </c>
      <c r="AG2496">
        <v>-1.210113</v>
      </c>
      <c r="AH2496">
        <v>373.103169406299</v>
      </c>
      <c r="AI2496">
        <v>90.185827490733004</v>
      </c>
      <c r="AJ2496">
        <v>89.649304067925399</v>
      </c>
      <c r="AK2496">
        <v>373.11212089931701</v>
      </c>
      <c r="AL2496">
        <v>77.917764703102605</v>
      </c>
      <c r="AM2496">
        <v>93.686379504921504</v>
      </c>
      <c r="AN2496">
        <v>1.0000000542835199</v>
      </c>
    </row>
    <row r="2497" spans="1:40" x14ac:dyDescent="0.25">
      <c r="A2497" t="str">
        <f>"20190304155642352"</f>
        <v>20190304155642352</v>
      </c>
      <c r="B2497" t="str">
        <f>"1551686202346779"</f>
        <v>1551686202346779</v>
      </c>
      <c r="C2497" t="s">
        <v>40</v>
      </c>
      <c r="D2497">
        <v>4.520975</v>
      </c>
      <c r="E2497">
        <v>0.52543200000000001</v>
      </c>
      <c r="F2497" t="s">
        <v>51</v>
      </c>
      <c r="G2497">
        <v>-815.11490000000003</v>
      </c>
      <c r="H2497">
        <v>-0.1</v>
      </c>
      <c r="I2497">
        <v>289.57740000000001</v>
      </c>
      <c r="J2497">
        <v>-393.23610000000002</v>
      </c>
      <c r="K2497">
        <v>1.110114</v>
      </c>
      <c r="L2497">
        <v>284.56959999999998</v>
      </c>
      <c r="M2497">
        <v>-0.99988049999999995</v>
      </c>
      <c r="N2497">
        <v>-1.428463E-2</v>
      </c>
      <c r="O2497">
        <v>5.9274130000000003E-3</v>
      </c>
      <c r="P2497">
        <v>-0.97903600000000002</v>
      </c>
      <c r="Q2497">
        <v>0.1955807</v>
      </c>
      <c r="R2497">
        <v>-5.6893310000000002E-2</v>
      </c>
      <c r="S2497">
        <v>-3.0679630000000002</v>
      </c>
      <c r="T2497">
        <v>-8.7952610000000004E-3</v>
      </c>
      <c r="U2497">
        <v>3.6407469999999997E-2</v>
      </c>
      <c r="V2497">
        <v>-6.2688099999999997E-2</v>
      </c>
      <c r="W2497">
        <v>0.20954300000000001</v>
      </c>
      <c r="X2497">
        <v>0.97578790000000004</v>
      </c>
      <c r="Y2497">
        <v>5.9385829999999999E-3</v>
      </c>
      <c r="Z2497">
        <v>1.1861370000000001E-4</v>
      </c>
      <c r="AA2497">
        <v>0.99998240000000005</v>
      </c>
      <c r="AB2497">
        <v>39</v>
      </c>
      <c r="AC2497">
        <v>-421.87880000000001</v>
      </c>
      <c r="AD2497">
        <v>-1.2101139999999999</v>
      </c>
      <c r="AE2497">
        <v>5.0078000000000298</v>
      </c>
      <c r="AF2497">
        <v>2.5067865834550802</v>
      </c>
      <c r="AG2497">
        <v>-1.2101139999999999</v>
      </c>
      <c r="AH2497">
        <v>421.89760280861799</v>
      </c>
      <c r="AI2497">
        <v>90.164336110214407</v>
      </c>
      <c r="AJ2497">
        <v>89.659569999339197</v>
      </c>
      <c r="AK2497">
        <v>421.90678545210199</v>
      </c>
      <c r="AL2497">
        <v>77.904428338329296</v>
      </c>
      <c r="AM2497">
        <v>93.675834065627299</v>
      </c>
      <c r="AN2497">
        <v>1.0000000462584999</v>
      </c>
    </row>
    <row r="2498" spans="1:40" x14ac:dyDescent="0.25">
      <c r="A2498" t="str">
        <f>"20190304155642367"</f>
        <v>20190304155642367</v>
      </c>
      <c r="B2498" t="str">
        <f>"1551686202357514"</f>
        <v>1551686202357514</v>
      </c>
      <c r="C2498" t="s">
        <v>40</v>
      </c>
      <c r="D2498">
        <v>4.58317</v>
      </c>
      <c r="E2498">
        <v>0.52522899999999995</v>
      </c>
      <c r="F2498" t="s">
        <v>51</v>
      </c>
      <c r="G2498">
        <v>-835.35739999999998</v>
      </c>
      <c r="H2498">
        <v>-0.1</v>
      </c>
      <c r="I2498">
        <v>289.82929999999999</v>
      </c>
      <c r="J2498">
        <v>-393.48329999999999</v>
      </c>
      <c r="K2498">
        <v>1.110117</v>
      </c>
      <c r="L2498">
        <v>284.57100000000003</v>
      </c>
      <c r="M2498">
        <v>-0.9998804</v>
      </c>
      <c r="N2498">
        <v>-1.4288749999999999E-2</v>
      </c>
      <c r="O2498">
        <v>5.9272049999999996E-3</v>
      </c>
      <c r="P2498">
        <v>-0.97894199999999998</v>
      </c>
      <c r="Q2498">
        <v>0.19608539999999999</v>
      </c>
      <c r="R2498">
        <v>-5.677633E-2</v>
      </c>
      <c r="S2498">
        <v>-3.0680540000000001</v>
      </c>
      <c r="T2498">
        <v>-8.3974600000000007E-3</v>
      </c>
      <c r="U2498">
        <v>3.649902E-2</v>
      </c>
      <c r="V2498">
        <v>-6.2570390000000004E-2</v>
      </c>
      <c r="W2498">
        <v>0.2100503</v>
      </c>
      <c r="X2498">
        <v>0.97568630000000001</v>
      </c>
      <c r="Y2498">
        <v>5.9682889999999999E-3</v>
      </c>
      <c r="Z2498">
        <v>1.192845E-4</v>
      </c>
      <c r="AA2498">
        <v>0.99998220000000004</v>
      </c>
      <c r="AB2498">
        <v>39</v>
      </c>
      <c r="AC2498">
        <v>-441.8741</v>
      </c>
      <c r="AD2498">
        <v>-1.2101170000000001</v>
      </c>
      <c r="AE2498">
        <v>5.2583000000000197</v>
      </c>
      <c r="AF2498">
        <v>2.6388421929047299</v>
      </c>
      <c r="AG2498">
        <v>-1.2101170000000001</v>
      </c>
      <c r="AH2498">
        <v>441.89419293334998</v>
      </c>
      <c r="AI2498">
        <v>90.156899973768304</v>
      </c>
      <c r="AJ2498">
        <v>89.657853111276296</v>
      </c>
      <c r="AK2498">
        <v>441.90372890425999</v>
      </c>
      <c r="AL2498">
        <v>77.874699651315893</v>
      </c>
      <c r="AM2498">
        <v>93.669331800748793</v>
      </c>
      <c r="AN2498">
        <v>0.99999996912126499</v>
      </c>
    </row>
    <row r="2499" spans="1:40" x14ac:dyDescent="0.25">
      <c r="A2499" t="str">
        <f>"20190304155642380"</f>
        <v>20190304155642380</v>
      </c>
      <c r="B2499" t="str">
        <f>"1551686202377035"</f>
        <v>1551686202377035</v>
      </c>
      <c r="C2499" t="s">
        <v>40</v>
      </c>
      <c r="D2499">
        <v>4.5846169999999997</v>
      </c>
      <c r="E2499">
        <v>0.48917109999999903</v>
      </c>
      <c r="F2499" t="s">
        <v>51</v>
      </c>
      <c r="G2499">
        <v>-891.36689999999999</v>
      </c>
      <c r="H2499">
        <v>-0.1</v>
      </c>
      <c r="I2499">
        <v>290.2713</v>
      </c>
      <c r="J2499">
        <v>-393.69979999999998</v>
      </c>
      <c r="K2499">
        <v>1.11012</v>
      </c>
      <c r="L2499">
        <v>284.57229999999998</v>
      </c>
      <c r="M2499">
        <v>-0.99988030000000006</v>
      </c>
      <c r="N2499">
        <v>-1.428979E-2</v>
      </c>
      <c r="O2499">
        <v>5.9271979999999998E-3</v>
      </c>
      <c r="P2499">
        <v>-0.97889099999999996</v>
      </c>
      <c r="Q2499">
        <v>0.1963356</v>
      </c>
      <c r="R2499">
        <v>-5.6788310000000002E-2</v>
      </c>
      <c r="S2499">
        <v>-3.0680239999999999</v>
      </c>
      <c r="T2499">
        <v>-7.4568990000000003E-3</v>
      </c>
      <c r="U2499">
        <v>3.5125730000000001E-2</v>
      </c>
      <c r="V2499">
        <v>-6.258184E-2</v>
      </c>
      <c r="W2499">
        <v>0.21030109999999999</v>
      </c>
      <c r="X2499">
        <v>0.97563160000000004</v>
      </c>
      <c r="Y2499">
        <v>5.5209159999999998E-3</v>
      </c>
      <c r="Z2499">
        <v>1.164554E-4</v>
      </c>
      <c r="AA2499">
        <v>0.99998469999999995</v>
      </c>
      <c r="AB2499">
        <v>39</v>
      </c>
      <c r="AC2499">
        <v>-497.6671</v>
      </c>
      <c r="AD2499">
        <v>-1.2101200000000001</v>
      </c>
      <c r="AE2499">
        <v>5.6990000000000096</v>
      </c>
      <c r="AF2499">
        <v>2.74881088320606</v>
      </c>
      <c r="AG2499">
        <v>-1.2101200000000001</v>
      </c>
      <c r="AH2499">
        <v>497.68919649443899</v>
      </c>
      <c r="AI2499">
        <v>90.139310989774202</v>
      </c>
      <c r="AJ2499">
        <v>89.683550171566296</v>
      </c>
      <c r="AK2499">
        <v>497.69825864570402</v>
      </c>
      <c r="AL2499">
        <v>77.860002307194307</v>
      </c>
      <c r="AM2499">
        <v>93.670206631956503</v>
      </c>
      <c r="AN2499">
        <v>1.0000000291387701</v>
      </c>
    </row>
    <row r="2500" spans="1:40" x14ac:dyDescent="0.25">
      <c r="A2500" t="str">
        <f>"20190304155642393"</f>
        <v>20190304155642393</v>
      </c>
      <c r="B2500" t="str">
        <f>"1551686202386794"</f>
        <v>1551686202386794</v>
      </c>
      <c r="C2500" t="s">
        <v>40</v>
      </c>
      <c r="D2500">
        <v>4.5887929999999999</v>
      </c>
      <c r="E2500">
        <v>0.4870717</v>
      </c>
      <c r="F2500" t="s">
        <v>64</v>
      </c>
      <c r="G2500">
        <v>-436.23239999999998</v>
      </c>
      <c r="H2500" s="1">
        <v>5.2897499999999996E-6</v>
      </c>
      <c r="I2500">
        <v>281.08229999999998</v>
      </c>
      <c r="J2500">
        <v>-393.94569999999999</v>
      </c>
      <c r="K2500">
        <v>1.110123</v>
      </c>
      <c r="L2500">
        <v>284.57380000000001</v>
      </c>
      <c r="M2500">
        <v>-0.99988030000000006</v>
      </c>
      <c r="N2500">
        <v>-1.428928E-2</v>
      </c>
      <c r="O2500">
        <v>5.9272020000000003E-3</v>
      </c>
      <c r="P2500">
        <v>-0.97885390000000005</v>
      </c>
      <c r="Q2500">
        <v>0.19650619999999999</v>
      </c>
      <c r="R2500">
        <v>-5.6833729999999999E-2</v>
      </c>
      <c r="S2500">
        <v>-3.0661320000000001</v>
      </c>
      <c r="T2500">
        <v>-8.0026979999999998E-2</v>
      </c>
      <c r="U2500">
        <v>-0.2515869</v>
      </c>
      <c r="V2500">
        <v>-6.2627870000000002E-2</v>
      </c>
      <c r="W2500">
        <v>0.21047080000000001</v>
      </c>
      <c r="X2500">
        <v>0.97559200000000001</v>
      </c>
      <c r="Y2500">
        <v>-8.7638809999999998E-2</v>
      </c>
      <c r="Z2500">
        <v>-1.838861E-3</v>
      </c>
      <c r="AA2500">
        <v>0.9961506</v>
      </c>
      <c r="AB2500">
        <v>39</v>
      </c>
      <c r="AC2500">
        <v>-42.286700000000003</v>
      </c>
      <c r="AD2500">
        <v>-1.1101177102499999</v>
      </c>
      <c r="AE2500">
        <v>-3.49150000000003</v>
      </c>
      <c r="AF2500">
        <v>-3.73954631302826</v>
      </c>
      <c r="AG2500">
        <v>-1.1101177102499999</v>
      </c>
      <c r="AH2500">
        <v>42.236348898011997</v>
      </c>
      <c r="AI2500">
        <v>91.4997210884532</v>
      </c>
      <c r="AJ2500">
        <v>95.059693311329895</v>
      </c>
      <c r="AK2500">
        <v>42.416102322024898</v>
      </c>
      <c r="AL2500">
        <v>77.850055996089793</v>
      </c>
      <c r="AM2500">
        <v>93.673047421789605</v>
      </c>
      <c r="AN2500">
        <v>0.99999997910868799</v>
      </c>
    </row>
    <row r="2501" spans="1:40" x14ac:dyDescent="0.25">
      <c r="A2501" t="str">
        <f>"20190304155642413"</f>
        <v>20190304155642413</v>
      </c>
      <c r="B2501" t="str">
        <f>"1551686202407290"</f>
        <v>1551686202407290</v>
      </c>
      <c r="C2501" t="s">
        <v>40</v>
      </c>
      <c r="D2501">
        <v>4.5512829999999997</v>
      </c>
      <c r="E2501">
        <v>0.48411130000000002</v>
      </c>
      <c r="F2501" t="s">
        <v>64</v>
      </c>
      <c r="G2501">
        <v>-439.15370000000001</v>
      </c>
      <c r="H2501" s="1">
        <v>6.6260529999999997E-6</v>
      </c>
      <c r="I2501">
        <v>280.61540000000002</v>
      </c>
      <c r="J2501">
        <v>-394.26080000000002</v>
      </c>
      <c r="K2501">
        <v>1.1101219999999901</v>
      </c>
      <c r="L2501">
        <v>284.57560000000001</v>
      </c>
      <c r="M2501">
        <v>-0.99988049999999995</v>
      </c>
      <c r="N2501">
        <v>-1.428536E-2</v>
      </c>
      <c r="O2501">
        <v>5.9270520000000004E-3</v>
      </c>
      <c r="P2501">
        <v>-0.97867950000000004</v>
      </c>
      <c r="Q2501">
        <v>0.1973316</v>
      </c>
      <c r="R2501">
        <v>-5.6982489999999997E-2</v>
      </c>
      <c r="S2501">
        <v>-3.0643919999999998</v>
      </c>
      <c r="T2501">
        <v>-7.5248480000000006E-2</v>
      </c>
      <c r="U2501">
        <v>-0.26831050000000001</v>
      </c>
      <c r="V2501">
        <v>-6.2774699999999906E-2</v>
      </c>
      <c r="W2501">
        <v>0.2112897</v>
      </c>
      <c r="X2501">
        <v>0.97540559999999998</v>
      </c>
      <c r="Y2501">
        <v>-9.3082860000000003E-2</v>
      </c>
      <c r="Z2501">
        <v>-1.86758E-3</v>
      </c>
      <c r="AA2501">
        <v>0.9956566</v>
      </c>
      <c r="AB2501">
        <v>39</v>
      </c>
      <c r="AC2501">
        <v>-44.892899999999997</v>
      </c>
      <c r="AD2501">
        <v>-1.11011537394699</v>
      </c>
      <c r="AE2501">
        <v>-3.96019999999998</v>
      </c>
      <c r="AF2501">
        <v>-4.22367735897926</v>
      </c>
      <c r="AG2501">
        <v>-1.11011537394699</v>
      </c>
      <c r="AH2501">
        <v>44.841428758872603</v>
      </c>
      <c r="AI2501">
        <v>91.411904583967001</v>
      </c>
      <c r="AJ2501">
        <v>95.380894542484995</v>
      </c>
      <c r="AK2501">
        <v>45.053585203769003</v>
      </c>
      <c r="AL2501">
        <v>77.802057859148803</v>
      </c>
      <c r="AM2501">
        <v>93.682336788568307</v>
      </c>
      <c r="AN2501">
        <v>1.0000000423987601</v>
      </c>
    </row>
    <row r="2502" spans="1:40" x14ac:dyDescent="0.25">
      <c r="A2502" t="str">
        <f>"20190304155642425"</f>
        <v>20190304155642425</v>
      </c>
      <c r="B2502" t="str">
        <f>"1551686202417051"</f>
        <v>1551686202417051</v>
      </c>
      <c r="C2502" t="s">
        <v>40</v>
      </c>
      <c r="D2502">
        <v>4.5679040000000004</v>
      </c>
      <c r="E2502">
        <v>0.48339949999999998</v>
      </c>
      <c r="F2502" t="s">
        <v>64</v>
      </c>
      <c r="G2502">
        <v>-438.99430000000001</v>
      </c>
      <c r="H2502" s="1">
        <v>6.582252E-6</v>
      </c>
      <c r="I2502">
        <v>280.30770000000001</v>
      </c>
      <c r="J2502">
        <v>-394.49459999999999</v>
      </c>
      <c r="K2502">
        <v>1.110125</v>
      </c>
      <c r="L2502">
        <v>284.577</v>
      </c>
      <c r="M2502">
        <v>-0.99988060000000001</v>
      </c>
      <c r="N2502">
        <v>-1.428106E-2</v>
      </c>
      <c r="O2502">
        <v>5.9269040000000002E-3</v>
      </c>
      <c r="P2502">
        <v>-0.97864249999999997</v>
      </c>
      <c r="Q2502">
        <v>0.1974873</v>
      </c>
      <c r="R2502">
        <v>-5.7076040000000001E-2</v>
      </c>
      <c r="S2502">
        <v>-3.0636899999999998</v>
      </c>
      <c r="T2502">
        <v>-7.6029180000000002E-2</v>
      </c>
      <c r="U2502">
        <v>-0.29229739999999999</v>
      </c>
      <c r="V2502">
        <v>-6.2867930000000002E-2</v>
      </c>
      <c r="W2502">
        <v>0.21144070000000001</v>
      </c>
      <c r="X2502">
        <v>0.97536679999999998</v>
      </c>
      <c r="Y2502">
        <v>-0.10082579999999999</v>
      </c>
      <c r="Z2502">
        <v>-2.032116E-3</v>
      </c>
      <c r="AA2502">
        <v>0.99490199999999995</v>
      </c>
      <c r="AB2502">
        <v>39</v>
      </c>
      <c r="AC2502">
        <v>-44.499699999999997</v>
      </c>
      <c r="AD2502">
        <v>-1.1101184177479999</v>
      </c>
      <c r="AE2502">
        <v>-4.2692999999999799</v>
      </c>
      <c r="AF2502">
        <v>-4.5302037163606297</v>
      </c>
      <c r="AG2502">
        <v>-1.1101184177479999</v>
      </c>
      <c r="AH2502">
        <v>44.446203764061302</v>
      </c>
      <c r="AI2502">
        <v>91.423389130693394</v>
      </c>
      <c r="AJ2502">
        <v>95.819805675839206</v>
      </c>
      <c r="AK2502">
        <v>44.6902689368682</v>
      </c>
      <c r="AL2502">
        <v>77.793205320437906</v>
      </c>
      <c r="AM2502">
        <v>93.687936834916201</v>
      </c>
      <c r="AN2502">
        <v>0.99999997039060695</v>
      </c>
    </row>
    <row r="2503" spans="1:40" x14ac:dyDescent="0.25">
      <c r="A2503" t="str">
        <f>"20190304155642438"</f>
        <v>20190304155642438</v>
      </c>
      <c r="B2503" t="str">
        <f>"1551686202426811"</f>
        <v>1551686202426811</v>
      </c>
      <c r="C2503" t="s">
        <v>40</v>
      </c>
      <c r="D2503">
        <v>4.5553160000000004</v>
      </c>
      <c r="E2503">
        <v>0.48291089999999998</v>
      </c>
      <c r="F2503" t="s">
        <v>64</v>
      </c>
      <c r="G2503">
        <v>-439.2627</v>
      </c>
      <c r="H2503" s="1">
        <v>6.7089350000000002E-6</v>
      </c>
      <c r="I2503">
        <v>280.22019999999998</v>
      </c>
      <c r="J2503">
        <v>-394.71809999999999</v>
      </c>
      <c r="K2503">
        <v>1.110133</v>
      </c>
      <c r="L2503">
        <v>284.57830000000001</v>
      </c>
      <c r="M2503">
        <v>-0.99988060000000001</v>
      </c>
      <c r="N2503">
        <v>-1.427661E-2</v>
      </c>
      <c r="O2503">
        <v>5.9269359999999998E-3</v>
      </c>
      <c r="P2503">
        <v>-0.9785682</v>
      </c>
      <c r="Q2503">
        <v>0.19786339999999999</v>
      </c>
      <c r="R2503">
        <v>-5.7047149999999998E-2</v>
      </c>
      <c r="S2503">
        <v>-3.0633849999999998</v>
      </c>
      <c r="T2503">
        <v>-7.5963020000000006E-2</v>
      </c>
      <c r="U2503">
        <v>-0.29812620000000001</v>
      </c>
      <c r="V2503">
        <v>-6.283859E-2</v>
      </c>
      <c r="W2503">
        <v>0.21181120000000001</v>
      </c>
      <c r="X2503">
        <v>0.9752883</v>
      </c>
      <c r="Y2503">
        <v>-0.1027098</v>
      </c>
      <c r="Z2503">
        <v>-2.0675749999999999E-3</v>
      </c>
      <c r="AA2503">
        <v>0.99470919999999896</v>
      </c>
      <c r="AB2503">
        <v>39</v>
      </c>
      <c r="AC2503">
        <v>-44.544600000000003</v>
      </c>
      <c r="AD2503">
        <v>-1.110126291065</v>
      </c>
      <c r="AE2503">
        <v>-4.3581000000000296</v>
      </c>
      <c r="AF2503">
        <v>-4.6192215666252903</v>
      </c>
      <c r="AG2503">
        <v>-1.110126291065</v>
      </c>
      <c r="AH2503">
        <v>44.490613939869</v>
      </c>
      <c r="AI2503">
        <v>91.421704219063699</v>
      </c>
      <c r="AJ2503">
        <v>95.927475520889402</v>
      </c>
      <c r="AK2503">
        <v>44.743539388498903</v>
      </c>
      <c r="AL2503">
        <v>77.771485291674395</v>
      </c>
      <c r="AM2503">
        <v>93.686516330659799</v>
      </c>
      <c r="AN2503">
        <v>0.99999997047775802</v>
      </c>
    </row>
    <row r="2504" spans="1:40" x14ac:dyDescent="0.25">
      <c r="A2504" t="str">
        <f>"20190304155642453"</f>
        <v>20190304155642453</v>
      </c>
      <c r="B2504" t="str">
        <f>"1551686202447307"</f>
        <v>1551686202447307</v>
      </c>
      <c r="C2504" t="s">
        <v>40</v>
      </c>
      <c r="D2504">
        <v>4.5464760000000002</v>
      </c>
      <c r="E2504">
        <v>0.48210930000000002</v>
      </c>
      <c r="F2504" t="s">
        <v>64</v>
      </c>
      <c r="G2504">
        <v>-439.89949999999999</v>
      </c>
      <c r="H2504" s="1">
        <v>6.9997759999999996E-6</v>
      </c>
      <c r="I2504">
        <v>280.12360000000001</v>
      </c>
      <c r="J2504">
        <v>-394.9658</v>
      </c>
      <c r="K2504">
        <v>1.110134</v>
      </c>
      <c r="L2504">
        <v>284.57979999999998</v>
      </c>
      <c r="M2504">
        <v>-0.99988080000000001</v>
      </c>
      <c r="N2504">
        <v>-1.427148E-2</v>
      </c>
      <c r="O2504">
        <v>5.9266750000000002E-3</v>
      </c>
      <c r="P2504">
        <v>-0.97849580000000003</v>
      </c>
      <c r="Q2504">
        <v>0.19823550000000001</v>
      </c>
      <c r="R2504">
        <v>-5.7002329999999997E-2</v>
      </c>
      <c r="S2504">
        <v>-3.0632929999999998</v>
      </c>
      <c r="T2504">
        <v>-7.5266360000000004E-2</v>
      </c>
      <c r="U2504">
        <v>-0.30203249999999998</v>
      </c>
      <c r="V2504">
        <v>-6.279303E-2</v>
      </c>
      <c r="W2504">
        <v>0.212177</v>
      </c>
      <c r="X2504">
        <v>0.97521170000000001</v>
      </c>
      <c r="Y2504">
        <v>-0.1039689</v>
      </c>
      <c r="Z2504">
        <v>-2.0787869999999999E-3</v>
      </c>
      <c r="AA2504">
        <v>0.99457839999999997</v>
      </c>
      <c r="AB2504">
        <v>39</v>
      </c>
      <c r="AC2504">
        <v>-44.933699999999902</v>
      </c>
      <c r="AD2504">
        <v>-1.110127000224</v>
      </c>
      <c r="AE2504">
        <v>-4.45619999999996</v>
      </c>
      <c r="AF2504">
        <v>-4.71960352668179</v>
      </c>
      <c r="AG2504">
        <v>-1.110127000224</v>
      </c>
      <c r="AH2504">
        <v>44.879370825099201</v>
      </c>
      <c r="AI2504">
        <v>91.4092001977791</v>
      </c>
      <c r="AJ2504">
        <v>96.003272397589498</v>
      </c>
      <c r="AK2504">
        <v>45.140502490141301</v>
      </c>
      <c r="AL2504">
        <v>77.750038810422595</v>
      </c>
      <c r="AM2504">
        <v>93.684139409141494</v>
      </c>
      <c r="AN2504">
        <v>0.99999995188123403</v>
      </c>
    </row>
    <row r="2505" spans="1:40" x14ac:dyDescent="0.25">
      <c r="A2505" t="str">
        <f>"20190304155642468"</f>
        <v>20190304155642468</v>
      </c>
      <c r="B2505" t="str">
        <f>"1551686202457068"</f>
        <v>1551686202457068</v>
      </c>
      <c r="C2505" t="s">
        <v>40</v>
      </c>
      <c r="D2505">
        <v>4.5642019999999999</v>
      </c>
      <c r="E2505">
        <v>0.48184009999999999</v>
      </c>
      <c r="F2505" t="s">
        <v>64</v>
      </c>
      <c r="G2505">
        <v>-439.77210000000002</v>
      </c>
      <c r="H2505" s="1">
        <v>6.9480609999999996E-6</v>
      </c>
      <c r="I2505">
        <v>280.06880000000001</v>
      </c>
      <c r="J2505">
        <v>-395.23809999999997</v>
      </c>
      <c r="K2505">
        <v>1.110136</v>
      </c>
      <c r="L2505">
        <v>284.58139999999997</v>
      </c>
      <c r="M2505">
        <v>-0.99988069999999896</v>
      </c>
      <c r="N2505">
        <v>-1.4265699999999999E-2</v>
      </c>
      <c r="O2505">
        <v>5.9267159999999899E-3</v>
      </c>
      <c r="P2505">
        <v>-0.97846010000000005</v>
      </c>
      <c r="Q2505">
        <v>0.19839979999999999</v>
      </c>
      <c r="R2505">
        <v>-5.7040590000000002E-2</v>
      </c>
      <c r="S2505">
        <v>-3.0633539999999999</v>
      </c>
      <c r="T2505">
        <v>-7.5898049999999995E-2</v>
      </c>
      <c r="U2505">
        <v>-0.30841059999999998</v>
      </c>
      <c r="V2505">
        <v>-6.2831280000000003E-2</v>
      </c>
      <c r="W2505">
        <v>0.21233550000000001</v>
      </c>
      <c r="X2505">
        <v>0.97517480000000001</v>
      </c>
      <c r="Y2505">
        <v>-0.1060155</v>
      </c>
      <c r="Z2505">
        <v>-2.1302669999999999E-3</v>
      </c>
      <c r="AA2505">
        <v>0.99436219999999997</v>
      </c>
      <c r="AB2505">
        <v>39</v>
      </c>
      <c r="AC2505">
        <v>-44.533999999999999</v>
      </c>
      <c r="AD2505">
        <v>-1.1101290519389999</v>
      </c>
      <c r="AE2505">
        <v>-4.51259999999996</v>
      </c>
      <c r="AF2505">
        <v>-4.7735518677934197</v>
      </c>
      <c r="AG2505">
        <v>-1.1101290519389999</v>
      </c>
      <c r="AH2505">
        <v>44.479112136634598</v>
      </c>
      <c r="AI2505">
        <v>91.421556386231899</v>
      </c>
      <c r="AJ2505">
        <v>96.125605924952495</v>
      </c>
      <c r="AK2505">
        <v>44.748302765689203</v>
      </c>
      <c r="AL2505">
        <v>77.740746429763007</v>
      </c>
      <c r="AM2505">
        <v>93.686516499992393</v>
      </c>
      <c r="AN2505">
        <v>1.0000000124308599</v>
      </c>
    </row>
    <row r="2506" spans="1:40" x14ac:dyDescent="0.25">
      <c r="A2506" t="str">
        <f>"20190304155642492"</f>
        <v>20190304155642492</v>
      </c>
      <c r="B2506" t="str">
        <f>"1551686202487323"</f>
        <v>1551686202487323</v>
      </c>
      <c r="C2506" t="s">
        <v>40</v>
      </c>
      <c r="D2506">
        <v>4.61069</v>
      </c>
      <c r="E2506">
        <v>0.48122799999999999</v>
      </c>
      <c r="F2506" t="s">
        <v>55</v>
      </c>
      <c r="G2506">
        <v>-440.35449999999997</v>
      </c>
      <c r="H2506" s="1">
        <v>-1.1467489999999901E-6</v>
      </c>
      <c r="I2506">
        <v>280.00940000000003</v>
      </c>
      <c r="J2506">
        <v>-395.61630000000002</v>
      </c>
      <c r="K2506">
        <v>1.1101350000000001</v>
      </c>
      <c r="L2506">
        <v>284.58359999999999</v>
      </c>
      <c r="M2506">
        <v>-0.99988089999999996</v>
      </c>
      <c r="N2506">
        <v>-1.425763E-2</v>
      </c>
      <c r="O2506">
        <v>5.9267740000000001E-3</v>
      </c>
      <c r="P2506">
        <v>-0.97845070000000001</v>
      </c>
      <c r="Q2506">
        <v>0.1984272</v>
      </c>
      <c r="R2506">
        <v>-5.7105339999999997E-2</v>
      </c>
      <c r="S2506">
        <v>-3.0632320000000002</v>
      </c>
      <c r="T2506">
        <v>-7.5374010000000005E-2</v>
      </c>
      <c r="U2506">
        <v>-0.3104248</v>
      </c>
      <c r="V2506">
        <v>-6.2896099999999996E-2</v>
      </c>
      <c r="W2506">
        <v>0.2123545</v>
      </c>
      <c r="X2506">
        <v>0.97516639999999999</v>
      </c>
      <c r="Y2506">
        <v>-0.106667</v>
      </c>
      <c r="Z2506">
        <v>-2.1325200000000002E-3</v>
      </c>
      <c r="AA2506">
        <v>0.99429250000000002</v>
      </c>
      <c r="AB2506">
        <v>39</v>
      </c>
      <c r="AC2506">
        <v>-44.7381999999999</v>
      </c>
      <c r="AD2506">
        <v>-1.1101361467489901</v>
      </c>
      <c r="AE2506">
        <v>-4.5741999999999603</v>
      </c>
      <c r="AF2506">
        <v>-4.83635265605366</v>
      </c>
      <c r="AG2506">
        <v>-1.1101361467489901</v>
      </c>
      <c r="AH2506">
        <v>44.683072683789398</v>
      </c>
      <c r="AI2506">
        <v>91.414941252199</v>
      </c>
      <c r="AJ2506">
        <v>96.177463131480494</v>
      </c>
      <c r="AK2506">
        <v>44.957754545159901</v>
      </c>
      <c r="AL2506">
        <v>77.739631382701305</v>
      </c>
      <c r="AM2506">
        <v>93.690340897350595</v>
      </c>
      <c r="AN2506">
        <v>0.99999993037720702</v>
      </c>
    </row>
    <row r="2507" spans="1:40" x14ac:dyDescent="0.25">
      <c r="A2507" t="str">
        <f>"20190304155642513"</f>
        <v>20190304155642513</v>
      </c>
      <c r="B2507" t="str">
        <f>"1551686202506846"</f>
        <v>1551686202506846</v>
      </c>
      <c r="C2507" t="s">
        <v>40</v>
      </c>
      <c r="D2507">
        <v>4.602468</v>
      </c>
      <c r="E2507">
        <v>0.48089910000000002</v>
      </c>
      <c r="F2507" t="s">
        <v>55</v>
      </c>
      <c r="G2507">
        <v>-440.08170000000001</v>
      </c>
      <c r="H2507" s="1">
        <v>-1.291799E-6</v>
      </c>
      <c r="I2507">
        <v>280.00619999999998</v>
      </c>
      <c r="J2507">
        <v>-395.99459999999999</v>
      </c>
      <c r="K2507">
        <v>1.110134</v>
      </c>
      <c r="L2507">
        <v>284.58589999999998</v>
      </c>
      <c r="M2507">
        <v>-0.99988089999999996</v>
      </c>
      <c r="N2507">
        <v>-1.4249650000000001E-2</v>
      </c>
      <c r="O2507">
        <v>5.9266519999999897E-3</v>
      </c>
      <c r="P2507">
        <v>-0.97838780000000003</v>
      </c>
      <c r="Q2507">
        <v>0.19866919999999999</v>
      </c>
      <c r="R2507">
        <v>-5.7341469999999999E-2</v>
      </c>
      <c r="S2507">
        <v>-3.0631710000000001</v>
      </c>
      <c r="T2507">
        <v>-7.6476100000000005E-2</v>
      </c>
      <c r="U2507">
        <v>-0.31533810000000001</v>
      </c>
      <c r="V2507">
        <v>-6.3131839999999995E-2</v>
      </c>
      <c r="W2507">
        <v>0.212588</v>
      </c>
      <c r="X2507">
        <v>0.97510030000000003</v>
      </c>
      <c r="Y2507">
        <v>-0.1082451</v>
      </c>
      <c r="Z2507">
        <v>-2.184301E-3</v>
      </c>
      <c r="AA2507">
        <v>0.99412180000000006</v>
      </c>
      <c r="AB2507">
        <v>39</v>
      </c>
      <c r="AC2507">
        <v>-44.0871</v>
      </c>
      <c r="AD2507">
        <v>-1.1101352917989999</v>
      </c>
      <c r="AE2507">
        <v>-4.5796999999999999</v>
      </c>
      <c r="AF2507">
        <v>-4.8379002232769102</v>
      </c>
      <c r="AG2507">
        <v>-1.1101352917989999</v>
      </c>
      <c r="AH2507">
        <v>44.031560004976598</v>
      </c>
      <c r="AI2507">
        <v>91.435614470976802</v>
      </c>
      <c r="AJ2507">
        <v>96.270135345736705</v>
      </c>
      <c r="AK2507">
        <v>44.310449731506203</v>
      </c>
      <c r="AL2507">
        <v>77.725940343585407</v>
      </c>
      <c r="AM2507">
        <v>93.704384572894099</v>
      </c>
      <c r="AN2507">
        <v>0.99999994101293599</v>
      </c>
    </row>
    <row r="2508" spans="1:40" x14ac:dyDescent="0.25">
      <c r="A2508" t="str">
        <f>"20190304155642535"</f>
        <v>20190304155642535</v>
      </c>
      <c r="B2508" t="str">
        <f>"1551686202527341"</f>
        <v>1551686202527341</v>
      </c>
      <c r="C2508" t="s">
        <v>40</v>
      </c>
      <c r="D2508">
        <v>4.6250749999999998</v>
      </c>
      <c r="E2508">
        <v>0.48061399999999999</v>
      </c>
      <c r="F2508" t="s">
        <v>55</v>
      </c>
      <c r="G2508">
        <v>-440.65980000000002</v>
      </c>
      <c r="H2508" s="1">
        <v>-9.812321E-7</v>
      </c>
      <c r="I2508">
        <v>279.93959999999998</v>
      </c>
      <c r="J2508">
        <v>-396.37630000000001</v>
      </c>
      <c r="K2508">
        <v>1.110136</v>
      </c>
      <c r="L2508">
        <v>284.58819999999997</v>
      </c>
      <c r="M2508">
        <v>-0.99988109999999997</v>
      </c>
      <c r="N2508">
        <v>-1.4241800000000001E-2</v>
      </c>
      <c r="O2508">
        <v>5.9263509999999998E-3</v>
      </c>
      <c r="P2508">
        <v>-0.9783615</v>
      </c>
      <c r="Q2508">
        <v>0.1986994</v>
      </c>
      <c r="R2508">
        <v>-5.7686250000000001E-2</v>
      </c>
      <c r="S2508">
        <v>-3.0630489999999999</v>
      </c>
      <c r="T2508">
        <v>-7.6130749999999997E-2</v>
      </c>
      <c r="U2508">
        <v>-0.31863399999999997</v>
      </c>
      <c r="V2508">
        <v>-6.3475589999999998E-2</v>
      </c>
      <c r="W2508">
        <v>0.2126104</v>
      </c>
      <c r="X2508">
        <v>0.97507319999999997</v>
      </c>
      <c r="Y2508">
        <v>-0.1093071</v>
      </c>
      <c r="Z2508">
        <v>-2.1979349999999998E-3</v>
      </c>
      <c r="AA2508">
        <v>0.99400560000000004</v>
      </c>
      <c r="AB2508">
        <v>39</v>
      </c>
      <c r="AC2508">
        <v>-44.283499999999997</v>
      </c>
      <c r="AD2508">
        <v>-1.1101369812321</v>
      </c>
      <c r="AE2508">
        <v>-4.6485999999999796</v>
      </c>
      <c r="AF2508">
        <v>-4.9079337488502199</v>
      </c>
      <c r="AG2508">
        <v>-1.1101369812321</v>
      </c>
      <c r="AH2508">
        <v>44.227678308610997</v>
      </c>
      <c r="AI2508">
        <v>91.429082514196807</v>
      </c>
      <c r="AJ2508">
        <v>96.332190160216996</v>
      </c>
      <c r="AK2508">
        <v>44.513006485410401</v>
      </c>
      <c r="AL2508">
        <v>77.724628113893104</v>
      </c>
      <c r="AM2508">
        <v>93.724601381344897</v>
      </c>
      <c r="AN2508">
        <v>1.0000000390361199</v>
      </c>
    </row>
    <row r="2509" spans="1:40" x14ac:dyDescent="0.25">
      <c r="A2509" t="str">
        <f>"20190304155642556"</f>
        <v>20190304155642556</v>
      </c>
      <c r="B2509" t="str">
        <f>"1551686202546859"</f>
        <v>1551686202546859</v>
      </c>
      <c r="C2509" t="s">
        <v>40</v>
      </c>
      <c r="D2509">
        <v>4.6438639999999998</v>
      </c>
      <c r="E2509">
        <v>0.48046860000000002</v>
      </c>
      <c r="F2509" t="s">
        <v>55</v>
      </c>
      <c r="G2509">
        <v>-440.6148</v>
      </c>
      <c r="H2509" s="1">
        <v>-1.0051670000000001E-6</v>
      </c>
      <c r="I2509">
        <v>279.93939999999998</v>
      </c>
      <c r="J2509">
        <v>-396.75150000000002</v>
      </c>
      <c r="K2509">
        <v>1.1101399999999999</v>
      </c>
      <c r="L2509">
        <v>284.59039999999999</v>
      </c>
      <c r="M2509">
        <v>-0.99988120000000003</v>
      </c>
      <c r="N2509">
        <v>-1.423438E-2</v>
      </c>
      <c r="O2509">
        <v>5.926405E-3</v>
      </c>
      <c r="P2509">
        <v>-0.97831829999999997</v>
      </c>
      <c r="Q2509">
        <v>0.19887150000000001</v>
      </c>
      <c r="R2509">
        <v>-5.7823840000000001E-2</v>
      </c>
      <c r="S2509">
        <v>-3.0629879999999998</v>
      </c>
      <c r="T2509">
        <v>-7.6863650000000006E-2</v>
      </c>
      <c r="U2509">
        <v>-0.32186890000000001</v>
      </c>
      <c r="V2509">
        <v>-6.3613219999999998E-2</v>
      </c>
      <c r="W2509">
        <v>0.2127744</v>
      </c>
      <c r="X2509">
        <v>0.97502840000000002</v>
      </c>
      <c r="Y2509">
        <v>-0.11034620000000001</v>
      </c>
      <c r="Z2509">
        <v>-2.2324379999999998E-3</v>
      </c>
      <c r="AA2509">
        <v>0.99389070000000002</v>
      </c>
      <c r="AB2509">
        <v>39</v>
      </c>
      <c r="AC2509">
        <v>-43.863299999999903</v>
      </c>
      <c r="AD2509">
        <v>-1.110141005167</v>
      </c>
      <c r="AE2509">
        <v>-4.6510000000000096</v>
      </c>
      <c r="AF2509">
        <v>-4.9077875698247002</v>
      </c>
      <c r="AG2509">
        <v>-1.110141005167</v>
      </c>
      <c r="AH2509">
        <v>43.807214279380602</v>
      </c>
      <c r="AI2509">
        <v>91.442629754150005</v>
      </c>
      <c r="AJ2509">
        <v>96.392277305570502</v>
      </c>
      <c r="AK2509">
        <v>44.095247077224201</v>
      </c>
      <c r="AL2509">
        <v>77.715010884776603</v>
      </c>
      <c r="AM2509">
        <v>93.7328254074923</v>
      </c>
      <c r="AN2509">
        <v>0.99999998393034395</v>
      </c>
    </row>
    <row r="2510" spans="1:40" x14ac:dyDescent="0.25">
      <c r="A2510" t="str">
        <f>"20190304155642570"</f>
        <v>20190304155642570</v>
      </c>
      <c r="B2510" t="str">
        <f>"1551686202567355"</f>
        <v>1551686202567355</v>
      </c>
      <c r="C2510" t="s">
        <v>40</v>
      </c>
      <c r="D2510">
        <v>4.6131349999999998</v>
      </c>
      <c r="E2510">
        <v>0.48024670000000003</v>
      </c>
      <c r="F2510" t="s">
        <v>55</v>
      </c>
      <c r="G2510">
        <v>-441.03120000000001</v>
      </c>
      <c r="H2510" s="1">
        <v>-7.8244839999999898E-7</v>
      </c>
      <c r="I2510">
        <v>279.91340000000002</v>
      </c>
      <c r="J2510">
        <v>-396.98059999999998</v>
      </c>
      <c r="K2510">
        <v>1.1101460000000001</v>
      </c>
      <c r="L2510">
        <v>284.5917</v>
      </c>
      <c r="M2510">
        <v>-0.99988129999999997</v>
      </c>
      <c r="N2510">
        <v>-1.422996E-2</v>
      </c>
      <c r="O2510">
        <v>5.9262569999999999E-3</v>
      </c>
      <c r="P2510">
        <v>-0.97825470000000003</v>
      </c>
      <c r="Q2510">
        <v>0.19910659999999999</v>
      </c>
      <c r="R2510">
        <v>-5.8088439999999998E-2</v>
      </c>
      <c r="S2510">
        <v>-3.0629270000000002</v>
      </c>
      <c r="T2510">
        <v>-7.6790810000000001E-2</v>
      </c>
      <c r="U2510">
        <v>-0.32351679999999999</v>
      </c>
      <c r="V2510">
        <v>-6.3877279999999995E-2</v>
      </c>
      <c r="W2510">
        <v>0.2130041</v>
      </c>
      <c r="X2510">
        <v>0.97496099999999997</v>
      </c>
      <c r="Y2510">
        <v>-0.1108768</v>
      </c>
      <c r="Z2510">
        <v>-2.2412E-3</v>
      </c>
      <c r="AA2510">
        <v>0.99383160000000004</v>
      </c>
      <c r="AB2510">
        <v>39</v>
      </c>
      <c r="AC2510">
        <v>-44.050600000000003</v>
      </c>
      <c r="AD2510">
        <v>-1.1101467824483999</v>
      </c>
      <c r="AE2510">
        <v>-4.6782999999999699</v>
      </c>
      <c r="AF2510">
        <v>-4.9361992900056899</v>
      </c>
      <c r="AG2510">
        <v>-1.1101467824483999</v>
      </c>
      <c r="AH2510">
        <v>43.994468472199003</v>
      </c>
      <c r="AI2510">
        <v>91.436472659689997</v>
      </c>
      <c r="AJ2510">
        <v>96.401837886818399</v>
      </c>
      <c r="AK2510">
        <v>44.284441347504298</v>
      </c>
      <c r="AL2510">
        <v>77.701541503262305</v>
      </c>
      <c r="AM2510">
        <v>93.748534757201</v>
      </c>
      <c r="AN2510">
        <v>1.0000000025189999</v>
      </c>
    </row>
    <row r="2511" spans="1:40" x14ac:dyDescent="0.25">
      <c r="A2511" t="str">
        <f>"20190304155642590"</f>
        <v>20190304155642590</v>
      </c>
      <c r="B2511" t="str">
        <f>"1551686202586875"</f>
        <v>1551686202586875</v>
      </c>
      <c r="C2511" t="s">
        <v>40</v>
      </c>
      <c r="D2511">
        <v>4.6542649999999997</v>
      </c>
      <c r="E2511">
        <v>0.48011939999999997</v>
      </c>
      <c r="F2511" t="s">
        <v>55</v>
      </c>
      <c r="G2511">
        <v>-441.22480000000002</v>
      </c>
      <c r="H2511" s="1">
        <v>-6.781103E-7</v>
      </c>
      <c r="I2511">
        <v>279.88330000000002</v>
      </c>
      <c r="J2511">
        <v>-397.33629999999999</v>
      </c>
      <c r="K2511">
        <v>1.110147</v>
      </c>
      <c r="L2511">
        <v>284.59379999999999</v>
      </c>
      <c r="M2511">
        <v>-0.99988129999999997</v>
      </c>
      <c r="N2511">
        <v>-1.4223410000000001E-2</v>
      </c>
      <c r="O2511">
        <v>5.9261849999999996E-3</v>
      </c>
      <c r="P2511">
        <v>-0.97820750000000001</v>
      </c>
      <c r="Q2511">
        <v>0.19914019999999999</v>
      </c>
      <c r="R2511">
        <v>-5.8766279999999997E-2</v>
      </c>
      <c r="S2511">
        <v>-3.0629879999999998</v>
      </c>
      <c r="T2511">
        <v>-7.6854469999999994E-2</v>
      </c>
      <c r="U2511">
        <v>-0.32595829999999998</v>
      </c>
      <c r="V2511">
        <v>-6.4554700000000007E-2</v>
      </c>
      <c r="W2511">
        <v>0.21303059999999999</v>
      </c>
      <c r="X2511">
        <v>0.97491059999999996</v>
      </c>
      <c r="Y2511">
        <v>-0.11165750000000001</v>
      </c>
      <c r="Z2511">
        <v>-2.2574219999999998E-3</v>
      </c>
      <c r="AA2511">
        <v>0.99374419999999997</v>
      </c>
      <c r="AB2511">
        <v>38</v>
      </c>
      <c r="AC2511">
        <v>-43.888500000000001</v>
      </c>
      <c r="AD2511">
        <v>-1.1101476781102999</v>
      </c>
      <c r="AE2511">
        <v>-4.7104999999999597</v>
      </c>
      <c r="AF2511">
        <v>-4.9673928864295203</v>
      </c>
      <c r="AG2511">
        <v>-1.1101476781102999</v>
      </c>
      <c r="AH2511">
        <v>43.832085637971502</v>
      </c>
      <c r="AI2511">
        <v>91.441612324213096</v>
      </c>
      <c r="AJ2511">
        <v>96.465617858707802</v>
      </c>
      <c r="AK2511">
        <v>44.126626330706898</v>
      </c>
      <c r="AL2511">
        <v>77.6999876155555</v>
      </c>
      <c r="AM2511">
        <v>93.788368175948804</v>
      </c>
      <c r="AN2511">
        <v>1.0000000119104</v>
      </c>
    </row>
    <row r="2512" spans="1:40" x14ac:dyDescent="0.25">
      <c r="A2512" t="str">
        <f>"20190304155642603"</f>
        <v>20190304155642603</v>
      </c>
      <c r="B2512" t="str">
        <f>"1551686202596634"</f>
        <v>1551686202596634</v>
      </c>
      <c r="C2512" t="s">
        <v>40</v>
      </c>
      <c r="D2512">
        <v>4.6305379999999996</v>
      </c>
      <c r="E2512">
        <v>0.48000680000000001</v>
      </c>
      <c r="F2512" t="s">
        <v>55</v>
      </c>
      <c r="G2512">
        <v>-441.28969999999998</v>
      </c>
      <c r="H2512" s="1">
        <v>-6.4320680000000004E-7</v>
      </c>
      <c r="I2512">
        <v>279.87450000000001</v>
      </c>
      <c r="J2512">
        <v>-397.565</v>
      </c>
      <c r="K2512">
        <v>1.1101490000000001</v>
      </c>
      <c r="L2512">
        <v>284.59519999999998</v>
      </c>
      <c r="M2512">
        <v>-0.99988140000000003</v>
      </c>
      <c r="N2512">
        <v>-1.421939E-2</v>
      </c>
      <c r="O2512">
        <v>5.9260349999999996E-3</v>
      </c>
      <c r="P2512">
        <v>-0.97821930000000001</v>
      </c>
      <c r="Q2512">
        <v>0.1990662</v>
      </c>
      <c r="R2512">
        <v>-5.8821070000000003E-2</v>
      </c>
      <c r="S2512">
        <v>-3.0628359999999999</v>
      </c>
      <c r="T2512">
        <v>-7.7359200000000003E-2</v>
      </c>
      <c r="U2512">
        <v>-0.32885740000000002</v>
      </c>
      <c r="V2512">
        <v>-6.4609739999999999E-2</v>
      </c>
      <c r="W2512">
        <v>0.21295330000000001</v>
      </c>
      <c r="X2512">
        <v>0.97492380000000001</v>
      </c>
      <c r="Y2512">
        <v>-0.1125915</v>
      </c>
      <c r="Z2512">
        <v>-2.2858280000000002E-3</v>
      </c>
      <c r="AA2512">
        <v>0.99363880000000004</v>
      </c>
      <c r="AB2512">
        <v>38</v>
      </c>
      <c r="AC2512">
        <v>-43.724699999999899</v>
      </c>
      <c r="AD2512">
        <v>-1.1101496432068001</v>
      </c>
      <c r="AE2512">
        <v>-4.7206999999999599</v>
      </c>
      <c r="AF2512">
        <v>-4.9765862924826703</v>
      </c>
      <c r="AG2512">
        <v>-1.1101496432068001</v>
      </c>
      <c r="AH2512">
        <v>43.668128846032801</v>
      </c>
      <c r="AI2512">
        <v>91.446922066612103</v>
      </c>
      <c r="AJ2512">
        <v>96.501595066238806</v>
      </c>
      <c r="AK2512">
        <v>43.964807747453598</v>
      </c>
      <c r="AL2512">
        <v>77.704520084102796</v>
      </c>
      <c r="AM2512">
        <v>93.791537573316802</v>
      </c>
      <c r="AN2512">
        <v>0.99999997114509798</v>
      </c>
    </row>
    <row r="2513" spans="1:40" x14ac:dyDescent="0.25">
      <c r="A2513" t="str">
        <f>"20190304155642617"</f>
        <v>20190304155642617</v>
      </c>
      <c r="B2513" t="str">
        <f>"1551686202607371"</f>
        <v>1551686202607371</v>
      </c>
      <c r="C2513" t="s">
        <v>40</v>
      </c>
      <c r="D2513">
        <v>4.6245260000000004</v>
      </c>
      <c r="E2513">
        <v>0.47987970000000002</v>
      </c>
      <c r="F2513" t="s">
        <v>55</v>
      </c>
      <c r="G2513">
        <v>-441.35750000000002</v>
      </c>
      <c r="H2513" s="1">
        <v>-6.0721659999999996E-7</v>
      </c>
      <c r="I2513">
        <v>279.87599999999998</v>
      </c>
      <c r="J2513">
        <v>-397.78949999999998</v>
      </c>
      <c r="K2513">
        <v>1.11015</v>
      </c>
      <c r="L2513">
        <v>284.59649999999999</v>
      </c>
      <c r="M2513">
        <v>-0.99988140000000003</v>
      </c>
      <c r="N2513">
        <v>-1.421556E-2</v>
      </c>
      <c r="O2513">
        <v>5.9265430000000003E-3</v>
      </c>
      <c r="P2513">
        <v>-0.97816159999999996</v>
      </c>
      <c r="Q2513">
        <v>0.19917969999999999</v>
      </c>
      <c r="R2513">
        <v>-5.9392569999999999E-2</v>
      </c>
      <c r="S2513">
        <v>-3.0627439999999999</v>
      </c>
      <c r="T2513">
        <v>-7.7641249999999995E-2</v>
      </c>
      <c r="U2513">
        <v>-0.330047599999999</v>
      </c>
      <c r="V2513">
        <v>-6.5180890000000005E-2</v>
      </c>
      <c r="W2513">
        <v>0.2130619</v>
      </c>
      <c r="X2513">
        <v>0.97486209999999995</v>
      </c>
      <c r="Y2513">
        <v>-0.1129763</v>
      </c>
      <c r="Z2513">
        <v>-2.2989909999999998E-3</v>
      </c>
      <c r="AA2513">
        <v>0.99359500000000001</v>
      </c>
      <c r="AB2513">
        <v>38</v>
      </c>
      <c r="AC2513">
        <v>-43.567999999999998</v>
      </c>
      <c r="AD2513">
        <v>-1.1101506072166001</v>
      </c>
      <c r="AE2513">
        <v>-4.7205000000000101</v>
      </c>
      <c r="AF2513">
        <v>-4.9754578411659196</v>
      </c>
      <c r="AG2513">
        <v>-1.1101506072166001</v>
      </c>
      <c r="AH2513">
        <v>43.511332609593403</v>
      </c>
      <c r="AI2513">
        <v>91.452072256889707</v>
      </c>
      <c r="AJ2513">
        <v>96.523355593946903</v>
      </c>
      <c r="AK2513">
        <v>43.808945211709798</v>
      </c>
      <c r="AL2513">
        <v>77.698152192570305</v>
      </c>
      <c r="AM2513">
        <v>93.825197065993507</v>
      </c>
      <c r="AN2513">
        <v>1.0000000178346</v>
      </c>
    </row>
    <row r="2514" spans="1:40" x14ac:dyDescent="0.25">
      <c r="A2514" t="str">
        <f>"20190304155642634"</f>
        <v>20190304155642634</v>
      </c>
      <c r="B2514" t="str">
        <f>"1551686202626894"</f>
        <v>1551686202626894</v>
      </c>
      <c r="C2514" t="s">
        <v>40</v>
      </c>
      <c r="D2514">
        <v>4.6290449999999996</v>
      </c>
      <c r="E2514">
        <v>0.4797149</v>
      </c>
      <c r="F2514" t="s">
        <v>55</v>
      </c>
      <c r="G2514">
        <v>-441.58300000000003</v>
      </c>
      <c r="H2514" s="1">
        <v>-4.8571829999999996E-7</v>
      </c>
      <c r="I2514">
        <v>279.84249999999997</v>
      </c>
      <c r="J2514">
        <v>-398.09379999999999</v>
      </c>
      <c r="K2514">
        <v>1.1101490000000001</v>
      </c>
      <c r="L2514">
        <v>284.59829999999999</v>
      </c>
      <c r="M2514">
        <v>-0.99988140000000003</v>
      </c>
      <c r="N2514">
        <v>-1.4210550000000001E-2</v>
      </c>
      <c r="O2514">
        <v>5.9296409999999898E-3</v>
      </c>
      <c r="P2514">
        <v>-0.97805980000000003</v>
      </c>
      <c r="Q2514">
        <v>0.19950780000000001</v>
      </c>
      <c r="R2514">
        <v>-5.996489E-2</v>
      </c>
      <c r="S2514">
        <v>-3.0625610000000001</v>
      </c>
      <c r="T2514">
        <v>-7.7634930000000005E-2</v>
      </c>
      <c r="U2514">
        <v>-0.33245849999999999</v>
      </c>
      <c r="V2514">
        <v>-6.5755339999999995E-2</v>
      </c>
      <c r="W2514">
        <v>0.2133842</v>
      </c>
      <c r="X2514">
        <v>0.97475299999999998</v>
      </c>
      <c r="Y2514">
        <v>-0.113758399999999</v>
      </c>
      <c r="Z2514">
        <v>-2.3141659999999999E-3</v>
      </c>
      <c r="AA2514">
        <v>0.99350570000000005</v>
      </c>
      <c r="AB2514">
        <v>38</v>
      </c>
      <c r="AC2514">
        <v>-43.489199999999997</v>
      </c>
      <c r="AD2514">
        <v>-1.1101494857183001</v>
      </c>
      <c r="AE2514">
        <v>-4.7558000000000202</v>
      </c>
      <c r="AF2514">
        <v>-5.0103914386545698</v>
      </c>
      <c r="AG2514">
        <v>-1.1101494857183001</v>
      </c>
      <c r="AH2514">
        <v>43.432264998499001</v>
      </c>
      <c r="AI2514">
        <v>91.454546238735205</v>
      </c>
      <c r="AJ2514">
        <v>96.580611861773207</v>
      </c>
      <c r="AK2514">
        <v>43.734404044745197</v>
      </c>
      <c r="AL2514">
        <v>77.679250835356896</v>
      </c>
      <c r="AM2514">
        <v>93.859238350194602</v>
      </c>
      <c r="AN2514">
        <v>0.99999999627857705</v>
      </c>
    </row>
    <row r="2515" spans="1:40" x14ac:dyDescent="0.25">
      <c r="A2515" t="str">
        <f>"20190304155642646"</f>
        <v>20190304155642646</v>
      </c>
      <c r="B2515" t="str">
        <f>"1551686202636650"</f>
        <v>1551686202636650</v>
      </c>
      <c r="C2515" t="s">
        <v>40</v>
      </c>
      <c r="D2515">
        <v>4.6174540000000004</v>
      </c>
      <c r="E2515">
        <v>0.47964390000000001</v>
      </c>
      <c r="F2515" t="s">
        <v>55</v>
      </c>
      <c r="G2515">
        <v>-442.08159999999998</v>
      </c>
      <c r="H2515" s="1">
        <v>-2.1741159999999999E-7</v>
      </c>
      <c r="I2515">
        <v>279.77480000000003</v>
      </c>
      <c r="J2515">
        <v>-398.30259999999998</v>
      </c>
      <c r="K2515">
        <v>1.1101490000000001</v>
      </c>
      <c r="L2515">
        <v>284.59960000000001</v>
      </c>
      <c r="M2515">
        <v>-0.99988160000000004</v>
      </c>
      <c r="N2515">
        <v>-1.4207259999999999E-2</v>
      </c>
      <c r="O2515">
        <v>5.9345910000000003E-3</v>
      </c>
      <c r="P2515">
        <v>-0.978043</v>
      </c>
      <c r="Q2515">
        <v>0.19946369999999999</v>
      </c>
      <c r="R2515">
        <v>-6.0386790000000003E-2</v>
      </c>
      <c r="S2515">
        <v>-3.0624690000000001</v>
      </c>
      <c r="T2515">
        <v>-7.7289579999999997E-2</v>
      </c>
      <c r="U2515">
        <v>-0.33581539999999999</v>
      </c>
      <c r="V2515">
        <v>-6.61804E-2</v>
      </c>
      <c r="W2515">
        <v>0.21333669999999999</v>
      </c>
      <c r="X2515">
        <v>0.97473460000000001</v>
      </c>
      <c r="Y2515">
        <v>-0.1148426</v>
      </c>
      <c r="Z2515">
        <v>-2.3283620000000001E-3</v>
      </c>
      <c r="AA2515">
        <v>0.99338099999999996</v>
      </c>
      <c r="AB2515">
        <v>38</v>
      </c>
      <c r="AC2515">
        <v>-43.779000000000003</v>
      </c>
      <c r="AD2515">
        <v>-1.1101492174116001</v>
      </c>
      <c r="AE2515">
        <v>-4.8247999999999802</v>
      </c>
      <c r="AF2515">
        <v>-5.0813234344189002</v>
      </c>
      <c r="AG2515">
        <v>-1.1101492174116001</v>
      </c>
      <c r="AH2515">
        <v>43.721815751141897</v>
      </c>
      <c r="AI2515">
        <v>91.444775510610697</v>
      </c>
      <c r="AJ2515">
        <v>96.629141686376897</v>
      </c>
      <c r="AK2515">
        <v>44.030097112167397</v>
      </c>
      <c r="AL2515">
        <v>77.682036159150101</v>
      </c>
      <c r="AM2515">
        <v>93.884182472241605</v>
      </c>
      <c r="AN2515">
        <v>0.99999996667410396</v>
      </c>
    </row>
    <row r="2516" spans="1:40" x14ac:dyDescent="0.25">
      <c r="A2516" t="str">
        <f>"20190304155642669"</f>
        <v>20190304155642669</v>
      </c>
      <c r="B2516" t="str">
        <f>"1551686202657147"</f>
        <v>1551686202657147</v>
      </c>
      <c r="C2516" t="s">
        <v>40</v>
      </c>
      <c r="D2516">
        <v>4.6059239999999999</v>
      </c>
      <c r="E2516">
        <v>0.4795432</v>
      </c>
      <c r="F2516" t="s">
        <v>55</v>
      </c>
      <c r="G2516">
        <v>-442.02379999999999</v>
      </c>
      <c r="H2516" s="1">
        <v>-2.4833079999999999E-7</v>
      </c>
      <c r="I2516">
        <v>279.77850000000001</v>
      </c>
      <c r="J2516">
        <v>-398.69279999999998</v>
      </c>
      <c r="K2516">
        <v>1.1101430000000001</v>
      </c>
      <c r="L2516">
        <v>284.6019</v>
      </c>
      <c r="M2516">
        <v>-0.99988160000000004</v>
      </c>
      <c r="N2516">
        <v>-1.420137E-2</v>
      </c>
      <c r="O2516">
        <v>5.951736E-3</v>
      </c>
      <c r="P2516">
        <v>-0.97796649999999996</v>
      </c>
      <c r="Q2516">
        <v>0.19954179999999999</v>
      </c>
      <c r="R2516">
        <v>-6.1358679999999999E-2</v>
      </c>
      <c r="S2516">
        <v>-3.0623170000000002</v>
      </c>
      <c r="T2516">
        <v>-7.7757000000000007E-2</v>
      </c>
      <c r="U2516">
        <v>-0.337677</v>
      </c>
      <c r="V2516">
        <v>-6.716511E-2</v>
      </c>
      <c r="W2516">
        <v>0.21340890000000001</v>
      </c>
      <c r="X2516">
        <v>0.9746515</v>
      </c>
      <c r="Y2516">
        <v>-0.1154607</v>
      </c>
      <c r="Z2516">
        <v>-2.35017E-3</v>
      </c>
      <c r="AA2516">
        <v>0.99330929999999995</v>
      </c>
      <c r="AB2516">
        <v>38</v>
      </c>
      <c r="AC2516">
        <v>-43.331000000000003</v>
      </c>
      <c r="AD2516">
        <v>-1.1101432483308</v>
      </c>
      <c r="AE2516">
        <v>-4.8233999999999897</v>
      </c>
      <c r="AF2516">
        <v>-5.0779428882734798</v>
      </c>
      <c r="AG2516">
        <v>-1.1101432483308</v>
      </c>
      <c r="AH2516">
        <v>43.2734653520994</v>
      </c>
      <c r="AI2516">
        <v>91.459541065886498</v>
      </c>
      <c r="AJ2516">
        <v>96.692789418103999</v>
      </c>
      <c r="AK2516">
        <v>43.584523922921697</v>
      </c>
      <c r="AL2516">
        <v>77.677802666296301</v>
      </c>
      <c r="AM2516">
        <v>93.942130081428104</v>
      </c>
      <c r="AN2516">
        <v>1.0000000285263799</v>
      </c>
    </row>
    <row r="2517" spans="1:40" x14ac:dyDescent="0.25">
      <c r="A2517" t="str">
        <f>"20190304155642692"</f>
        <v>20190304155642692</v>
      </c>
      <c r="B2517" t="str">
        <f>"1551686202687403"</f>
        <v>1551686202687403</v>
      </c>
      <c r="C2517" t="s">
        <v>40</v>
      </c>
      <c r="D2517">
        <v>4.6279669999999999</v>
      </c>
      <c r="E2517">
        <v>0.47940149999999998</v>
      </c>
      <c r="F2517" t="s">
        <v>55</v>
      </c>
      <c r="G2517">
        <v>-442.42829999999998</v>
      </c>
      <c r="H2517" s="1">
        <v>-3.0865419999999901E-8</v>
      </c>
      <c r="I2517">
        <v>279.7278</v>
      </c>
      <c r="J2517">
        <v>-399.06659999999999</v>
      </c>
      <c r="K2517">
        <v>1.1101399999999999</v>
      </c>
      <c r="L2517">
        <v>284.60410000000002</v>
      </c>
      <c r="M2517">
        <v>-0.99988140000000003</v>
      </c>
      <c r="N2517">
        <v>-1.419636E-2</v>
      </c>
      <c r="O2517">
        <v>5.9801319999999896E-3</v>
      </c>
      <c r="P2517">
        <v>-0.97777749999999997</v>
      </c>
      <c r="Q2517">
        <v>0.20026050000000001</v>
      </c>
      <c r="R2517">
        <v>-6.2025169999999998E-2</v>
      </c>
      <c r="S2517">
        <v>-3.0620419999999999</v>
      </c>
      <c r="T2517">
        <v>-7.7724100000000004E-2</v>
      </c>
      <c r="U2517">
        <v>-0.34124759999999998</v>
      </c>
      <c r="V2517">
        <v>-6.785323E-2</v>
      </c>
      <c r="W2517">
        <v>0.21412210000000001</v>
      </c>
      <c r="X2517">
        <v>0.97444739999999996</v>
      </c>
      <c r="Y2517">
        <v>-0.1166422</v>
      </c>
      <c r="Z2517">
        <v>-2.3730050000000001E-3</v>
      </c>
      <c r="AA2517">
        <v>0.99317120000000003</v>
      </c>
      <c r="AB2517">
        <v>38</v>
      </c>
      <c r="AC2517">
        <v>-43.3616999999999</v>
      </c>
      <c r="AD2517">
        <v>-1.1101400308654199</v>
      </c>
      <c r="AE2517">
        <v>-4.8763000000000103</v>
      </c>
      <c r="AF2517">
        <v>-5.1322256650620597</v>
      </c>
      <c r="AG2517">
        <v>-1.1101400308654199</v>
      </c>
      <c r="AH2517">
        <v>43.303731450864603</v>
      </c>
      <c r="AI2517">
        <v>91.458318526929801</v>
      </c>
      <c r="AJ2517">
        <v>96.758991836751704</v>
      </c>
      <c r="AK2517">
        <v>43.620927417168097</v>
      </c>
      <c r="AL2517">
        <v>77.635972490987896</v>
      </c>
      <c r="AM2517">
        <v>93.983220131889894</v>
      </c>
      <c r="AN2517">
        <v>1.0000000349483</v>
      </c>
    </row>
    <row r="2518" spans="1:40" x14ac:dyDescent="0.25">
      <c r="A2518" t="str">
        <f>"20190304155642713"</f>
        <v>20190304155642713</v>
      </c>
      <c r="B2518" t="str">
        <f>"1551686202706923"</f>
        <v>1551686202706923</v>
      </c>
      <c r="C2518" t="s">
        <v>40</v>
      </c>
      <c r="D2518">
        <v>4.6143890000000001</v>
      </c>
      <c r="E2518">
        <v>0.47932449999999999</v>
      </c>
      <c r="F2518" t="s">
        <v>55</v>
      </c>
      <c r="G2518">
        <v>-443.36070000000001</v>
      </c>
      <c r="H2518">
        <v>1.266025E-2</v>
      </c>
      <c r="I2518">
        <v>279.61630000000002</v>
      </c>
      <c r="J2518">
        <v>-399.45089999999999</v>
      </c>
      <c r="K2518">
        <v>1.110134</v>
      </c>
      <c r="L2518">
        <v>284.60649999999998</v>
      </c>
      <c r="M2518">
        <v>-0.99988120000000003</v>
      </c>
      <c r="N2518">
        <v>-1.419131E-2</v>
      </c>
      <c r="O2518">
        <v>6.0210560000000003E-3</v>
      </c>
      <c r="P2518">
        <v>-0.97769740000000005</v>
      </c>
      <c r="Q2518">
        <v>0.20048669999999999</v>
      </c>
      <c r="R2518">
        <v>-6.2556139999999996E-2</v>
      </c>
      <c r="S2518">
        <v>-3.06189</v>
      </c>
      <c r="T2518">
        <v>-7.5864669999999995E-2</v>
      </c>
      <c r="U2518">
        <v>-0.34478760000000003</v>
      </c>
      <c r="V2518">
        <v>-6.8418069999999997E-2</v>
      </c>
      <c r="W2518">
        <v>0.2143438</v>
      </c>
      <c r="X2518">
        <v>0.97435919999999998</v>
      </c>
      <c r="Y2518">
        <v>-0.117824</v>
      </c>
      <c r="Z2518">
        <v>-2.357296E-3</v>
      </c>
      <c r="AA2518">
        <v>0.99303169999999996</v>
      </c>
      <c r="AB2518">
        <v>38</v>
      </c>
      <c r="AC2518">
        <v>-43.909799999999997</v>
      </c>
      <c r="AD2518">
        <v>-1.09747375</v>
      </c>
      <c r="AE2518">
        <v>-4.99019999999995</v>
      </c>
      <c r="AF2518">
        <v>-5.2512809086210597</v>
      </c>
      <c r="AG2518">
        <v>-1.09747375</v>
      </c>
      <c r="AH2518">
        <v>43.8519099954325</v>
      </c>
      <c r="AI2518">
        <v>91.423465961803402</v>
      </c>
      <c r="AJ2518">
        <v>96.828671305116501</v>
      </c>
      <c r="AK2518">
        <v>44.178845730289297</v>
      </c>
      <c r="AL2518">
        <v>77.622968576686304</v>
      </c>
      <c r="AM2518">
        <v>94.016632502658993</v>
      </c>
      <c r="AN2518">
        <v>1.0000000737627901</v>
      </c>
    </row>
    <row r="2519" spans="1:40" x14ac:dyDescent="0.25">
      <c r="A2519" t="str">
        <f>"20190304155642736"</f>
        <v>20190304155642736</v>
      </c>
      <c r="B2519" t="str">
        <f>"1551686202727418"</f>
        <v>1551686202727418</v>
      </c>
      <c r="C2519" t="s">
        <v>40</v>
      </c>
      <c r="D2519">
        <v>4.6387530000000003</v>
      </c>
      <c r="E2519">
        <v>0.47921619999999998</v>
      </c>
      <c r="F2519" t="s">
        <v>55</v>
      </c>
      <c r="G2519">
        <v>-443.41199999999998</v>
      </c>
      <c r="H2519">
        <v>3.120966E-2</v>
      </c>
      <c r="I2519">
        <v>279.61630000000002</v>
      </c>
      <c r="J2519">
        <v>-399.82580000000002</v>
      </c>
      <c r="K2519">
        <v>1.1101179999999999</v>
      </c>
      <c r="L2519">
        <v>284.60879999999997</v>
      </c>
      <c r="M2519">
        <v>-0.99988089999999996</v>
      </c>
      <c r="N2519">
        <v>-1.418641E-2</v>
      </c>
      <c r="O2519">
        <v>6.0706559999999998E-3</v>
      </c>
      <c r="P2519">
        <v>-0.97777990000000004</v>
      </c>
      <c r="Q2519">
        <v>0.2000294</v>
      </c>
      <c r="R2519">
        <v>-6.2727870000000005E-2</v>
      </c>
      <c r="S2519">
        <v>-3.0616150000000002</v>
      </c>
      <c r="T2519">
        <v>-7.5140239999999997E-2</v>
      </c>
      <c r="U2519">
        <v>-0.34753420000000002</v>
      </c>
      <c r="V2519">
        <v>-6.8634230000000004E-2</v>
      </c>
      <c r="W2519">
        <v>0.21388409999999999</v>
      </c>
      <c r="X2519">
        <v>0.97444489999999995</v>
      </c>
      <c r="Y2519">
        <v>-0.1187632</v>
      </c>
      <c r="Z2519">
        <v>-2.3605179999999998E-3</v>
      </c>
      <c r="AA2519">
        <v>0.99291980000000002</v>
      </c>
      <c r="AB2519">
        <v>38</v>
      </c>
      <c r="AC2519">
        <v>-43.586199999999899</v>
      </c>
      <c r="AD2519">
        <v>-1.0789083399999999</v>
      </c>
      <c r="AE2519">
        <v>-4.99249999999995</v>
      </c>
      <c r="AF2519">
        <v>-5.2538539344126898</v>
      </c>
      <c r="AG2519">
        <v>-1.0789083399999999</v>
      </c>
      <c r="AH2519">
        <v>43.528759796757001</v>
      </c>
      <c r="AI2519">
        <v>91.409621929963905</v>
      </c>
      <c r="AJ2519">
        <v>96.882220427323801</v>
      </c>
      <c r="AK2519">
        <v>43.857952002048997</v>
      </c>
      <c r="AL2519">
        <v>77.649931408627495</v>
      </c>
      <c r="AM2519">
        <v>94.028927717715604</v>
      </c>
      <c r="AN2519">
        <v>0.99999996444825501</v>
      </c>
    </row>
    <row r="2520" spans="1:40" x14ac:dyDescent="0.25">
      <c r="A2520" t="str">
        <f>"20190304155642748"</f>
        <v>20190304155642748</v>
      </c>
      <c r="B2520" t="str">
        <f>"1551686202737179"</f>
        <v>1551686202737179</v>
      </c>
      <c r="C2520" t="s">
        <v>40</v>
      </c>
      <c r="D2520">
        <v>4.6018919999999897</v>
      </c>
      <c r="E2520">
        <v>0.4791707</v>
      </c>
      <c r="F2520" t="s">
        <v>55</v>
      </c>
      <c r="G2520">
        <v>-443.5813</v>
      </c>
      <c r="H2520">
        <v>1.46298E-2</v>
      </c>
      <c r="I2520">
        <v>279.61630000000002</v>
      </c>
      <c r="J2520">
        <v>-400.04820000000001</v>
      </c>
      <c r="K2520">
        <v>1.1101129999999999</v>
      </c>
      <c r="L2520">
        <v>284.61020000000002</v>
      </c>
      <c r="M2520">
        <v>-0.99988069999999896</v>
      </c>
      <c r="N2520">
        <v>-1.4183589999999999E-2</v>
      </c>
      <c r="O2520">
        <v>6.1030059999999898E-3</v>
      </c>
      <c r="P2520">
        <v>-0.97777099999999995</v>
      </c>
      <c r="Q2520">
        <v>0.2000257</v>
      </c>
      <c r="R2520">
        <v>-6.2877699999999995E-2</v>
      </c>
      <c r="S2520">
        <v>-3.0614319999999999</v>
      </c>
      <c r="T2520">
        <v>-7.6647759999999995E-2</v>
      </c>
      <c r="U2520">
        <v>-0.34930420000000001</v>
      </c>
      <c r="V2520">
        <v>-6.8812739999999997E-2</v>
      </c>
      <c r="W2520">
        <v>0.2138785</v>
      </c>
      <c r="X2520">
        <v>0.97443360000000001</v>
      </c>
      <c r="Y2520">
        <v>-0.1193665</v>
      </c>
      <c r="Z2520">
        <v>-2.404729E-3</v>
      </c>
      <c r="AA2520">
        <v>0.99284729999999999</v>
      </c>
      <c r="AB2520">
        <v>38</v>
      </c>
      <c r="AC2520">
        <v>-43.533099999999898</v>
      </c>
      <c r="AD2520">
        <v>-1.0954832000000001</v>
      </c>
      <c r="AE2520">
        <v>-4.9938999999999902</v>
      </c>
      <c r="AF2520">
        <v>-5.2562312445324002</v>
      </c>
      <c r="AG2520">
        <v>-1.0954832000000001</v>
      </c>
      <c r="AH2520">
        <v>43.474635678730102</v>
      </c>
      <c r="AI2520">
        <v>91.433014651251099</v>
      </c>
      <c r="AJ2520">
        <v>96.893794146509507</v>
      </c>
      <c r="AK2520">
        <v>43.804931203413602</v>
      </c>
      <c r="AL2520">
        <v>77.6502606048725</v>
      </c>
      <c r="AM2520">
        <v>94.039418555559493</v>
      </c>
      <c r="AN2520">
        <v>1.00000002337875</v>
      </c>
    </row>
    <row r="2521" spans="1:40" x14ac:dyDescent="0.25">
      <c r="A2521" t="str">
        <f>"20190304155642762"</f>
        <v>20190304155642762</v>
      </c>
      <c r="B2521" t="str">
        <f>"1551686202756700"</f>
        <v>1551686202756700</v>
      </c>
      <c r="C2521" t="s">
        <v>40</v>
      </c>
      <c r="D2521">
        <v>4.5923210000000001</v>
      </c>
      <c r="E2521">
        <v>0.4791147</v>
      </c>
      <c r="F2521" t="s">
        <v>55</v>
      </c>
      <c r="G2521">
        <v>-443.75790000000001</v>
      </c>
      <c r="H2521">
        <v>1.688017E-2</v>
      </c>
      <c r="I2521">
        <v>279.61630000000002</v>
      </c>
      <c r="J2521">
        <v>-400.27350000000001</v>
      </c>
      <c r="K2521">
        <v>1.1101099999999999</v>
      </c>
      <c r="L2521">
        <v>284.61160000000001</v>
      </c>
      <c r="M2521">
        <v>-0.99988060000000001</v>
      </c>
      <c r="N2521">
        <v>-1.418091E-2</v>
      </c>
      <c r="O2521">
        <v>6.1400480000000004E-3</v>
      </c>
      <c r="P2521">
        <v>-0.97778770000000004</v>
      </c>
      <c r="Q2521">
        <v>0.19989190000000001</v>
      </c>
      <c r="R2521">
        <v>-6.304353E-2</v>
      </c>
      <c r="S2521">
        <v>-3.0613709999999998</v>
      </c>
      <c r="T2521">
        <v>-7.6568600000000001E-2</v>
      </c>
      <c r="U2521">
        <v>-0.34976200000000002</v>
      </c>
      <c r="V2521">
        <v>-6.9012770000000001E-2</v>
      </c>
      <c r="W2521">
        <v>0.21374290000000001</v>
      </c>
      <c r="X2521">
        <v>0.97444920000000002</v>
      </c>
      <c r="Y2521">
        <v>-0.11955209999999999</v>
      </c>
      <c r="Z2521">
        <v>-2.4069489999999998E-3</v>
      </c>
      <c r="AA2521">
        <v>0.99282499999999996</v>
      </c>
      <c r="AB2521">
        <v>38</v>
      </c>
      <c r="AC2521">
        <v>-43.484400000000001</v>
      </c>
      <c r="AD2521">
        <v>-1.0932298299999901</v>
      </c>
      <c r="AE2521">
        <v>-4.9952999999999799</v>
      </c>
      <c r="AF2521">
        <v>-5.2589483100392798</v>
      </c>
      <c r="AG2521">
        <v>-1.0932298299999901</v>
      </c>
      <c r="AH2521">
        <v>43.425815594353402</v>
      </c>
      <c r="AI2521">
        <v>91.431641381111803</v>
      </c>
      <c r="AJ2521">
        <v>96.905002660908707</v>
      </c>
      <c r="AK2521">
        <v>43.756749751594398</v>
      </c>
      <c r="AL2521">
        <v>77.6582137442457</v>
      </c>
      <c r="AM2521">
        <v>94.051056960769202</v>
      </c>
      <c r="AN2521">
        <v>1.0000000165520599</v>
      </c>
    </row>
    <row r="2522" spans="1:40" x14ac:dyDescent="0.25">
      <c r="A2522" t="str">
        <f>"20190304155642781"</f>
        <v>20190304155642781</v>
      </c>
      <c r="B2522" t="str">
        <f>"1551686202777194"</f>
        <v>1551686202777194</v>
      </c>
      <c r="C2522" t="s">
        <v>40</v>
      </c>
      <c r="D2522">
        <v>4.5964809999999998</v>
      </c>
      <c r="E2522">
        <v>0.47907</v>
      </c>
      <c r="F2522" t="s">
        <v>55</v>
      </c>
      <c r="G2522">
        <v>-443.8535</v>
      </c>
      <c r="H2522">
        <v>1.253921E-2</v>
      </c>
      <c r="I2522">
        <v>279.61630000000002</v>
      </c>
      <c r="J2522">
        <v>-400.58350000000002</v>
      </c>
      <c r="K2522">
        <v>1.110106</v>
      </c>
      <c r="L2522">
        <v>284.61349999999999</v>
      </c>
      <c r="M2522">
        <v>-0.9998804</v>
      </c>
      <c r="N2522">
        <v>-1.417733E-2</v>
      </c>
      <c r="O2522">
        <v>6.1939769999999998E-3</v>
      </c>
      <c r="P2522">
        <v>-0.9777496</v>
      </c>
      <c r="Q2522">
        <v>0.1999958</v>
      </c>
      <c r="R2522">
        <v>-6.3303819999999997E-2</v>
      </c>
      <c r="S2522">
        <v>-3.0612789999999999</v>
      </c>
      <c r="T2522">
        <v>-7.7098970000000003E-2</v>
      </c>
      <c r="U2522">
        <v>-0.35089110000000001</v>
      </c>
      <c r="V2522">
        <v>-6.9322999999999996E-2</v>
      </c>
      <c r="W2522">
        <v>0.21384349999999999</v>
      </c>
      <c r="X2522">
        <v>0.97440510000000002</v>
      </c>
      <c r="Y2522">
        <v>-0.1199696</v>
      </c>
      <c r="Z2522">
        <v>-2.4269719999999999E-3</v>
      </c>
      <c r="AA2522">
        <v>0.99277459999999995</v>
      </c>
      <c r="AB2522">
        <v>38</v>
      </c>
      <c r="AC2522">
        <v>-43.269999999999897</v>
      </c>
      <c r="AD2522">
        <v>-1.0975667899999999</v>
      </c>
      <c r="AE2522">
        <v>-4.9971999999999603</v>
      </c>
      <c r="AF2522">
        <v>-5.2618034811257504</v>
      </c>
      <c r="AG2522">
        <v>-1.0975667899999999</v>
      </c>
      <c r="AH2522">
        <v>43.210777810187402</v>
      </c>
      <c r="AI2522">
        <v>91.444352703707096</v>
      </c>
      <c r="AJ2522">
        <v>96.942761653700003</v>
      </c>
      <c r="AK2522">
        <v>43.543800335913197</v>
      </c>
      <c r="AL2522">
        <v>77.652313282046094</v>
      </c>
      <c r="AM2522">
        <v>94.069390003930096</v>
      </c>
      <c r="AN2522">
        <v>1.0000000098636299</v>
      </c>
    </row>
    <row r="2523" spans="1:40" x14ac:dyDescent="0.25">
      <c r="A2523" t="str">
        <f>"20190304155642793"</f>
        <v>20190304155642793</v>
      </c>
      <c r="B2523" t="str">
        <f>"1551686202786955"</f>
        <v>1551686202786955</v>
      </c>
      <c r="C2523" t="s">
        <v>40</v>
      </c>
      <c r="D2523">
        <v>4.6086210000000003</v>
      </c>
      <c r="E2523">
        <v>0.47904439999999998</v>
      </c>
      <c r="F2523" t="s">
        <v>55</v>
      </c>
      <c r="G2523">
        <v>-444.09210000000002</v>
      </c>
      <c r="H2523">
        <v>1.9886279999999999E-2</v>
      </c>
      <c r="I2523">
        <v>279.61630000000002</v>
      </c>
      <c r="J2523">
        <v>-400.80930000000001</v>
      </c>
      <c r="K2523">
        <v>1.1101030000000001</v>
      </c>
      <c r="L2523">
        <v>284.61489999999998</v>
      </c>
      <c r="M2523">
        <v>-0.99988010000000005</v>
      </c>
      <c r="N2523">
        <v>-1.4174809999999999E-2</v>
      </c>
      <c r="O2523">
        <v>6.234875E-3</v>
      </c>
      <c r="P2523">
        <v>-0.97780049999999996</v>
      </c>
      <c r="Q2523">
        <v>0.19970019999999999</v>
      </c>
      <c r="R2523">
        <v>-6.3452149999999999E-2</v>
      </c>
      <c r="S2523">
        <v>-3.061188</v>
      </c>
      <c r="T2523">
        <v>-7.6705809999999999E-2</v>
      </c>
      <c r="U2523">
        <v>-0.35159299999999999</v>
      </c>
      <c r="V2523">
        <v>-6.9510680000000005E-2</v>
      </c>
      <c r="W2523">
        <v>0.21354680000000001</v>
      </c>
      <c r="X2523">
        <v>0.97445680000000001</v>
      </c>
      <c r="Y2523">
        <v>-0.1202386</v>
      </c>
      <c r="Z2523">
        <v>-2.4241219999999999E-3</v>
      </c>
      <c r="AA2523">
        <v>0.99274209999999996</v>
      </c>
      <c r="AB2523">
        <v>38</v>
      </c>
      <c r="AC2523">
        <v>-43.282800000000002</v>
      </c>
      <c r="AD2523">
        <v>-1.0902167199999999</v>
      </c>
      <c r="AE2523">
        <v>-4.99859999999995</v>
      </c>
      <c r="AF2523">
        <v>-5.2650963275427003</v>
      </c>
      <c r="AG2523">
        <v>-1.0902167199999999</v>
      </c>
      <c r="AH2523">
        <v>43.223727558923599</v>
      </c>
      <c r="AI2523">
        <v>91.434247890805494</v>
      </c>
      <c r="AJ2523">
        <v>96.945003004527607</v>
      </c>
      <c r="AK2523">
        <v>43.556864394982803</v>
      </c>
      <c r="AL2523">
        <v>77.669714946549803</v>
      </c>
      <c r="AM2523">
        <v>94.080154255139107</v>
      </c>
      <c r="AN2523">
        <v>1.00000001274527</v>
      </c>
    </row>
    <row r="2524" spans="1:40" x14ac:dyDescent="0.25">
      <c r="A2524" t="str">
        <f>"20190304155642808"</f>
        <v>20190304155642808</v>
      </c>
      <c r="B2524" t="str">
        <f>"1551686202796715"</f>
        <v>1551686202796715</v>
      </c>
      <c r="C2524" t="s">
        <v>40</v>
      </c>
      <c r="D2524">
        <v>4.558135</v>
      </c>
      <c r="E2524">
        <v>0.4790044</v>
      </c>
      <c r="F2524" t="s">
        <v>55</v>
      </c>
      <c r="G2524">
        <v>-444.2534</v>
      </c>
      <c r="H2524">
        <v>9.0336689999999994E-3</v>
      </c>
      <c r="I2524">
        <v>279.61630000000002</v>
      </c>
      <c r="J2524">
        <v>-401.072</v>
      </c>
      <c r="K2524">
        <v>1.110101</v>
      </c>
      <c r="L2524">
        <v>284.61660000000001</v>
      </c>
      <c r="M2524">
        <v>-0.99987990000000004</v>
      </c>
      <c r="N2524">
        <v>-1.4171950000000001E-2</v>
      </c>
      <c r="O2524">
        <v>6.2838269999999996E-3</v>
      </c>
      <c r="P2524">
        <v>-0.97782800000000003</v>
      </c>
      <c r="Q2524">
        <v>0.19964000000000001</v>
      </c>
      <c r="R2524">
        <v>-6.3215320000000005E-2</v>
      </c>
      <c r="S2524">
        <v>-3.061096</v>
      </c>
      <c r="T2524">
        <v>-7.7581880000000006E-2</v>
      </c>
      <c r="U2524">
        <v>-0.3522034</v>
      </c>
      <c r="V2524">
        <v>-6.9319740000000005E-2</v>
      </c>
      <c r="W2524">
        <v>0.21348439999999999</v>
      </c>
      <c r="X2524">
        <v>0.97448409999999996</v>
      </c>
      <c r="Y2524">
        <v>-0.1204846</v>
      </c>
      <c r="Z2524">
        <v>-2.4483349999999998E-3</v>
      </c>
      <c r="AA2524">
        <v>0.99271220000000004</v>
      </c>
      <c r="AB2524">
        <v>38</v>
      </c>
      <c r="AC2524">
        <v>-43.181399999999996</v>
      </c>
      <c r="AD2524">
        <v>-1.1010673309999901</v>
      </c>
      <c r="AE2524">
        <v>-5.0002999999999798</v>
      </c>
      <c r="AF2524">
        <v>-5.26819298045677</v>
      </c>
      <c r="AG2524">
        <v>-1.1010673309999901</v>
      </c>
      <c r="AH2524">
        <v>43.121457323374003</v>
      </c>
      <c r="AI2524">
        <v>91.4518875143862</v>
      </c>
      <c r="AJ2524">
        <v>96.965366958358601</v>
      </c>
      <c r="AK2524">
        <v>43.456027064589001</v>
      </c>
      <c r="AL2524">
        <v>77.673374915564494</v>
      </c>
      <c r="AM2524">
        <v>94.068870502691198</v>
      </c>
      <c r="AN2524">
        <v>1.0000000382749099</v>
      </c>
    </row>
    <row r="2525" spans="1:40" x14ac:dyDescent="0.25">
      <c r="A2525" t="str">
        <f>"20190304155642825"</f>
        <v>20190304155642825</v>
      </c>
      <c r="B2525" t="str">
        <f>"1551686202817211"</f>
        <v>1551686202817211</v>
      </c>
      <c r="C2525" t="s">
        <v>40</v>
      </c>
      <c r="D2525">
        <v>4.5702530000000001</v>
      </c>
      <c r="E2525">
        <v>0.47893439999999998</v>
      </c>
      <c r="F2525" t="s">
        <v>55</v>
      </c>
      <c r="G2525">
        <v>-444.56560000000002</v>
      </c>
      <c r="H2525">
        <v>3.586049E-3</v>
      </c>
      <c r="I2525">
        <v>279.61630000000002</v>
      </c>
      <c r="J2525">
        <v>-401.34840000000003</v>
      </c>
      <c r="K2525">
        <v>1.110096</v>
      </c>
      <c r="L2525">
        <v>284.61840000000001</v>
      </c>
      <c r="M2525">
        <v>-0.99987950000000003</v>
      </c>
      <c r="N2525">
        <v>-1.4169050000000001E-2</v>
      </c>
      <c r="O2525">
        <v>6.3363469999999896E-3</v>
      </c>
      <c r="P2525">
        <v>-0.97783010000000004</v>
      </c>
      <c r="Q2525">
        <v>0.19957449999999999</v>
      </c>
      <c r="R2525">
        <v>-6.3392950000000003E-2</v>
      </c>
      <c r="S2525">
        <v>-3.0611570000000001</v>
      </c>
      <c r="T2525">
        <v>-7.7878589999999998E-2</v>
      </c>
      <c r="U2525">
        <v>-0.35192869999999998</v>
      </c>
      <c r="V2525">
        <v>-6.9547059999999994E-2</v>
      </c>
      <c r="W2525">
        <v>0.21341679999999999</v>
      </c>
      <c r="X2525">
        <v>0.97448270000000003</v>
      </c>
      <c r="Y2525">
        <v>-0.12044630000000001</v>
      </c>
      <c r="Z2525">
        <v>-2.4544039999999999E-3</v>
      </c>
      <c r="AA2525">
        <v>0.99271679999999995</v>
      </c>
      <c r="AB2525">
        <v>38</v>
      </c>
      <c r="AC2525">
        <v>-43.217199999999899</v>
      </c>
      <c r="AD2525">
        <v>-1.106509951</v>
      </c>
      <c r="AE2525">
        <v>-5.00209999999998</v>
      </c>
      <c r="AF2525">
        <v>-5.2724556404426401</v>
      </c>
      <c r="AG2525">
        <v>-1.106509951</v>
      </c>
      <c r="AH2525">
        <v>43.156717173546902</v>
      </c>
      <c r="AI2525">
        <v>91.457869775414196</v>
      </c>
      <c r="AJ2525">
        <v>96.9653079993723</v>
      </c>
      <c r="AK2525">
        <v>43.491670351339899</v>
      </c>
      <c r="AL2525">
        <v>77.677339353600203</v>
      </c>
      <c r="AM2525">
        <v>94.082174346238503</v>
      </c>
      <c r="AN2525">
        <v>1.0000000283380801</v>
      </c>
    </row>
    <row r="2526" spans="1:40" x14ac:dyDescent="0.25">
      <c r="A2526" t="str">
        <f>"20190304155642848"</f>
        <v>20190304155642848</v>
      </c>
      <c r="B2526" t="str">
        <f>"1551686202836730"</f>
        <v>1551686202836730</v>
      </c>
      <c r="C2526" t="s">
        <v>40</v>
      </c>
      <c r="D2526">
        <v>4.6027950000000004</v>
      </c>
      <c r="E2526">
        <v>0.47935369999999999</v>
      </c>
      <c r="F2526" t="s">
        <v>55</v>
      </c>
      <c r="G2526">
        <v>-444.69130000000001</v>
      </c>
      <c r="H2526">
        <v>4.4365280000000003E-3</v>
      </c>
      <c r="I2526">
        <v>279.61630000000002</v>
      </c>
      <c r="J2526">
        <v>-401.73309999999998</v>
      </c>
      <c r="K2526">
        <v>1.110096</v>
      </c>
      <c r="L2526">
        <v>284.62090000000001</v>
      </c>
      <c r="M2526">
        <v>-0.99987910000000002</v>
      </c>
      <c r="N2526">
        <v>-1.4165179999999999E-2</v>
      </c>
      <c r="O2526">
        <v>6.409863E-3</v>
      </c>
      <c r="P2526">
        <v>-0.97786090000000003</v>
      </c>
      <c r="Q2526">
        <v>0.1993926</v>
      </c>
      <c r="R2526">
        <v>-6.3485669999999994E-2</v>
      </c>
      <c r="S2526">
        <v>-3.061096</v>
      </c>
      <c r="T2526">
        <v>-7.8087210000000004E-2</v>
      </c>
      <c r="U2526">
        <v>-0.35327150000000002</v>
      </c>
      <c r="V2526">
        <v>-6.9710729999999999E-2</v>
      </c>
      <c r="W2526">
        <v>0.21323230000000001</v>
      </c>
      <c r="X2526">
        <v>0.97451140000000003</v>
      </c>
      <c r="Y2526">
        <v>-0.12095069999999999</v>
      </c>
      <c r="Z2526">
        <v>-2.4695590000000001E-3</v>
      </c>
      <c r="AA2526">
        <v>0.99265550000000002</v>
      </c>
      <c r="AB2526">
        <v>38</v>
      </c>
      <c r="AC2526">
        <v>-42.958199999999998</v>
      </c>
      <c r="AD2526">
        <v>-1.1056594719999999</v>
      </c>
      <c r="AE2526">
        <v>-5.0045999999999804</v>
      </c>
      <c r="AF2526">
        <v>-5.2764324319409699</v>
      </c>
      <c r="AG2526">
        <v>-1.1056594719999999</v>
      </c>
      <c r="AH2526">
        <v>42.897198723504403</v>
      </c>
      <c r="AI2526">
        <v>91.465411741408204</v>
      </c>
      <c r="AJ2526">
        <v>97.012261400830596</v>
      </c>
      <c r="AK2526">
        <v>43.234625942648002</v>
      </c>
      <c r="AL2526">
        <v>77.688159562221401</v>
      </c>
      <c r="AM2526">
        <v>94.091628527420298</v>
      </c>
      <c r="AN2526">
        <v>1.00000003418519</v>
      </c>
    </row>
    <row r="2527" spans="1:40" x14ac:dyDescent="0.25">
      <c r="A2527" t="str">
        <f>"20190304155642862"</f>
        <v>20190304155642862</v>
      </c>
      <c r="B2527" t="str">
        <f>"1551686202857227"</f>
        <v>1551686202857227</v>
      </c>
      <c r="C2527" t="s">
        <v>40</v>
      </c>
      <c r="D2527">
        <v>4.5412039999999996</v>
      </c>
      <c r="E2527">
        <v>0.50315670000000001</v>
      </c>
      <c r="F2527" t="s">
        <v>55</v>
      </c>
      <c r="G2527">
        <v>-444.93040000000002</v>
      </c>
      <c r="H2527" s="1">
        <v>1.3025969999999999E-6</v>
      </c>
      <c r="I2527">
        <v>279.68200000000002</v>
      </c>
      <c r="J2527">
        <v>-401.9699</v>
      </c>
      <c r="K2527">
        <v>1.110093</v>
      </c>
      <c r="L2527">
        <v>284.6225</v>
      </c>
      <c r="M2527">
        <v>-0.99987890000000001</v>
      </c>
      <c r="N2527">
        <v>-1.4162849999999999E-2</v>
      </c>
      <c r="O2527">
        <v>6.4550869999999896E-3</v>
      </c>
      <c r="P2527">
        <v>-0.97783100000000001</v>
      </c>
      <c r="Q2527">
        <v>0.1995875</v>
      </c>
      <c r="R2527">
        <v>-6.3337030000000002E-2</v>
      </c>
      <c r="S2527">
        <v>-3.0612490000000001</v>
      </c>
      <c r="T2527">
        <v>-7.8668710000000003E-2</v>
      </c>
      <c r="U2527">
        <v>-0.35000609999999999</v>
      </c>
      <c r="V2527">
        <v>-6.9604579999999999E-2</v>
      </c>
      <c r="W2527">
        <v>0.2134248</v>
      </c>
      <c r="X2527">
        <v>0.97447680000000003</v>
      </c>
      <c r="Y2527">
        <v>-0.1199446</v>
      </c>
      <c r="Z2527">
        <v>-2.46254E-3</v>
      </c>
      <c r="AA2527">
        <v>0.99277749999999998</v>
      </c>
      <c r="AB2527">
        <v>38</v>
      </c>
      <c r="AC2527">
        <v>-42.960500000000003</v>
      </c>
      <c r="AD2527">
        <v>-1.110091697403</v>
      </c>
      <c r="AE2527">
        <v>-4.9404999999999797</v>
      </c>
      <c r="AF2527">
        <v>-5.2143024922827603</v>
      </c>
      <c r="AG2527">
        <v>-1.110091697403</v>
      </c>
      <c r="AH2527">
        <v>42.8994402868123</v>
      </c>
      <c r="AI2527">
        <v>91.471464416446807</v>
      </c>
      <c r="AJ2527">
        <v>96.930141239293903</v>
      </c>
      <c r="AK2527">
        <v>43.229425522200003</v>
      </c>
      <c r="AL2527">
        <v>77.676869676281498</v>
      </c>
      <c r="AM2527">
        <v>94.085563797502502</v>
      </c>
      <c r="AN2527">
        <v>0.99999998827512804</v>
      </c>
    </row>
    <row r="2528" spans="1:40" x14ac:dyDescent="0.25">
      <c r="A2528" t="str">
        <f>"20190304155642878"</f>
        <v>20190304155642878</v>
      </c>
      <c r="B2528" t="str">
        <f>"1551686202866986"</f>
        <v>1551686202866986</v>
      </c>
      <c r="C2528" t="s">
        <v>40</v>
      </c>
      <c r="D2528">
        <v>4.5545010000000001</v>
      </c>
      <c r="E2528">
        <v>0.50314590000000003</v>
      </c>
      <c r="F2528" t="s">
        <v>53</v>
      </c>
      <c r="G2528">
        <v>-502.11489999999998</v>
      </c>
      <c r="H2528">
        <v>8.0000269999999998E-2</v>
      </c>
      <c r="I2528">
        <v>279.37200000000001</v>
      </c>
      <c r="J2528">
        <v>-402.24110000000002</v>
      </c>
      <c r="K2528">
        <v>1.11009</v>
      </c>
      <c r="L2528">
        <v>284.62430000000001</v>
      </c>
      <c r="M2528">
        <v>-0.99987859999999995</v>
      </c>
      <c r="N2528">
        <v>-1.416018E-2</v>
      </c>
      <c r="O2528">
        <v>6.5069289999999998E-3</v>
      </c>
      <c r="P2528">
        <v>-0.9778078</v>
      </c>
      <c r="Q2528">
        <v>0.19965830000000001</v>
      </c>
      <c r="R2528">
        <v>-6.3470540000000006E-2</v>
      </c>
      <c r="S2528">
        <v>-3.0640559999999999</v>
      </c>
      <c r="T2528">
        <v>-3.1516910000000002E-2</v>
      </c>
      <c r="U2528">
        <v>-0.1606445</v>
      </c>
      <c r="V2528">
        <v>-6.9787520000000006E-2</v>
      </c>
      <c r="W2528">
        <v>0.21349280000000001</v>
      </c>
      <c r="X2528">
        <v>0.97444889999999995</v>
      </c>
      <c r="Y2528">
        <v>-5.8846919999999997E-2</v>
      </c>
      <c r="Z2528">
        <v>-6.942157E-4</v>
      </c>
      <c r="AA2528">
        <v>0.99826680000000001</v>
      </c>
      <c r="AB2528">
        <v>38</v>
      </c>
      <c r="AC2528">
        <v>-99.873799999999903</v>
      </c>
      <c r="AD2528">
        <v>-1.03008973</v>
      </c>
      <c r="AE2528">
        <v>-5.2522999999999902</v>
      </c>
      <c r="AF2528">
        <v>-5.9014996009046099</v>
      </c>
      <c r="AG2528">
        <v>-1.03008973</v>
      </c>
      <c r="AH2528">
        <v>99.8269154693742</v>
      </c>
      <c r="AI2528">
        <v>90.590169963197496</v>
      </c>
      <c r="AJ2528">
        <v>93.383235229781206</v>
      </c>
      <c r="AK2528">
        <v>100.006508960771</v>
      </c>
      <c r="AL2528">
        <v>77.672882622534203</v>
      </c>
      <c r="AM2528">
        <v>94.096382162288506</v>
      </c>
      <c r="AN2528">
        <v>1.0000000661553901</v>
      </c>
    </row>
    <row r="2529" spans="1:40" x14ac:dyDescent="0.25">
      <c r="A2529" t="str">
        <f>"20190304155642894"</f>
        <v>20190304155642894</v>
      </c>
      <c r="B2529" t="str">
        <f>"1551686202887483"</f>
        <v>1551686202887483</v>
      </c>
      <c r="C2529" t="s">
        <v>40</v>
      </c>
      <c r="D2529">
        <v>4.5610280000000003</v>
      </c>
      <c r="E2529">
        <v>0.50303999999999904</v>
      </c>
      <c r="F2529" t="s">
        <v>53</v>
      </c>
      <c r="G2529">
        <v>-499.95769999999999</v>
      </c>
      <c r="H2529">
        <v>1.431669E-2</v>
      </c>
      <c r="I2529">
        <v>279.48559999999998</v>
      </c>
      <c r="J2529">
        <v>-402.50900000000001</v>
      </c>
      <c r="K2529">
        <v>1.110093</v>
      </c>
      <c r="L2529">
        <v>284.62599999999998</v>
      </c>
      <c r="M2529">
        <v>-0.9998783</v>
      </c>
      <c r="N2529">
        <v>-1.415755E-2</v>
      </c>
      <c r="O2529">
        <v>6.5580500000000002E-3</v>
      </c>
      <c r="P2529">
        <v>-0.9778038</v>
      </c>
      <c r="Q2529">
        <v>0.19974649999999999</v>
      </c>
      <c r="R2529">
        <v>-6.3256080000000006E-2</v>
      </c>
      <c r="S2529">
        <v>-3.064667</v>
      </c>
      <c r="T2529">
        <v>-3.436649E-2</v>
      </c>
      <c r="U2529">
        <v>-0.16116329999999901</v>
      </c>
      <c r="V2529">
        <v>-6.962264E-2</v>
      </c>
      <c r="W2529">
        <v>0.21357799999999999</v>
      </c>
      <c r="X2529">
        <v>0.97444189999999997</v>
      </c>
      <c r="Y2529">
        <v>-5.9055099999999902E-2</v>
      </c>
      <c r="Z2529">
        <v>-7.2995989999999995E-4</v>
      </c>
      <c r="AA2529">
        <v>0.99825450000000004</v>
      </c>
      <c r="AB2529">
        <v>38</v>
      </c>
      <c r="AC2529">
        <v>-97.448699999999903</v>
      </c>
      <c r="AD2529">
        <v>-1.09577631</v>
      </c>
      <c r="AE2529">
        <v>-5.1403999999999996</v>
      </c>
      <c r="AF2529">
        <v>-5.7786982786786201</v>
      </c>
      <c r="AG2529">
        <v>-1.09577631</v>
      </c>
      <c r="AH2529">
        <v>97.400608277040803</v>
      </c>
      <c r="AI2529">
        <v>90.643430446495699</v>
      </c>
      <c r="AJ2529">
        <v>93.395331581656507</v>
      </c>
      <c r="AK2529">
        <v>97.578033246500198</v>
      </c>
      <c r="AL2529">
        <v>77.667884257624195</v>
      </c>
      <c r="AM2529">
        <v>94.086766137935896</v>
      </c>
      <c r="AN2529">
        <v>0.99999994528008795</v>
      </c>
    </row>
    <row r="2530" spans="1:40" x14ac:dyDescent="0.25">
      <c r="A2530" t="str">
        <f>"20190304155642915"</f>
        <v>20190304155642915</v>
      </c>
      <c r="B2530" t="str">
        <f>"1551686202907003"</f>
        <v>1551686202907003</v>
      </c>
      <c r="C2530" t="s">
        <v>40</v>
      </c>
      <c r="D2530">
        <v>4.55288</v>
      </c>
      <c r="E2530">
        <v>0.50293840000000001</v>
      </c>
      <c r="F2530" t="s">
        <v>53</v>
      </c>
      <c r="G2530">
        <v>-499.63529999999997</v>
      </c>
      <c r="H2530" s="1">
        <v>1.7989400000000001E-6</v>
      </c>
      <c r="I2530">
        <v>279.5061</v>
      </c>
      <c r="J2530">
        <v>-402.87650000000002</v>
      </c>
      <c r="K2530">
        <v>1.110093</v>
      </c>
      <c r="L2530">
        <v>284.62849999999997</v>
      </c>
      <c r="M2530">
        <v>-0.99987789999999999</v>
      </c>
      <c r="N2530">
        <v>-1.415398E-2</v>
      </c>
      <c r="O2530">
        <v>6.6283119999999999E-3</v>
      </c>
      <c r="P2530">
        <v>-0.97776870000000005</v>
      </c>
      <c r="Q2530">
        <v>0.1998952</v>
      </c>
      <c r="R2530">
        <v>-6.3326850000000004E-2</v>
      </c>
      <c r="S2530">
        <v>-3.064819</v>
      </c>
      <c r="T2530">
        <v>-3.502893E-2</v>
      </c>
      <c r="U2530">
        <v>-0.16156010000000001</v>
      </c>
      <c r="V2530">
        <v>-6.9761160000000003E-2</v>
      </c>
      <c r="W2530">
        <v>0.2137233</v>
      </c>
      <c r="X2530">
        <v>0.97440020000000005</v>
      </c>
      <c r="Y2530">
        <v>-5.9251249999999998E-2</v>
      </c>
      <c r="Z2530">
        <v>-7.3997080000000001E-4</v>
      </c>
      <c r="AA2530">
        <v>0.99824290000000004</v>
      </c>
      <c r="AB2530">
        <v>38</v>
      </c>
      <c r="AC2530">
        <v>-96.758799999999894</v>
      </c>
      <c r="AD2530">
        <v>-1.1100912010599999</v>
      </c>
      <c r="AE2530">
        <v>-5.1223999999999696</v>
      </c>
      <c r="AF2530">
        <v>-5.7629427671758799</v>
      </c>
      <c r="AG2530">
        <v>-1.1100912010599999</v>
      </c>
      <c r="AH2530">
        <v>96.710023937910506</v>
      </c>
      <c r="AI2530">
        <v>90.656479368114404</v>
      </c>
      <c r="AJ2530">
        <v>93.410218322961896</v>
      </c>
      <c r="AK2530">
        <v>96.887938061884896</v>
      </c>
      <c r="AL2530">
        <v>77.659363211841907</v>
      </c>
      <c r="AM2530">
        <v>94.095044111174204</v>
      </c>
      <c r="AN2530">
        <v>1.00000000908373</v>
      </c>
    </row>
    <row r="2531" spans="1:40" x14ac:dyDescent="0.25">
      <c r="A2531" t="str">
        <f>"20190304155642937"</f>
        <v>20190304155642937</v>
      </c>
      <c r="B2531" t="str">
        <f>"1551686202927498"</f>
        <v>1551686202927498</v>
      </c>
      <c r="C2531" t="s">
        <v>40</v>
      </c>
      <c r="D2531">
        <v>4.5439970000000001</v>
      </c>
      <c r="E2531">
        <v>0.50289569999999995</v>
      </c>
      <c r="F2531" t="s">
        <v>53</v>
      </c>
      <c r="G2531">
        <v>-498.50400000000002</v>
      </c>
      <c r="H2531" s="1">
        <v>2.0077840000000001E-6</v>
      </c>
      <c r="I2531">
        <v>279.55259999999998</v>
      </c>
      <c r="J2531">
        <v>-403.2414</v>
      </c>
      <c r="K2531">
        <v>1.11009</v>
      </c>
      <c r="L2531">
        <v>284.63099999999997</v>
      </c>
      <c r="M2531">
        <v>-0.99987749999999997</v>
      </c>
      <c r="N2531">
        <v>-1.415053E-2</v>
      </c>
      <c r="O2531">
        <v>6.6979090000000002E-3</v>
      </c>
      <c r="P2531">
        <v>-0.97777270000000005</v>
      </c>
      <c r="Q2531">
        <v>0.1998577</v>
      </c>
      <c r="R2531">
        <v>-6.3384120000000002E-2</v>
      </c>
      <c r="S2531">
        <v>-3.0649410000000001</v>
      </c>
      <c r="T2531">
        <v>-3.5579319999999998E-2</v>
      </c>
      <c r="U2531">
        <v>-0.16268920000000001</v>
      </c>
      <c r="V2531">
        <v>-6.9885849999999999E-2</v>
      </c>
      <c r="W2531">
        <v>0.21368280000000001</v>
      </c>
      <c r="X2531">
        <v>0.97440020000000005</v>
      </c>
      <c r="Y2531">
        <v>-5.968511E-2</v>
      </c>
      <c r="Z2531">
        <v>-7.5179360000000005E-4</v>
      </c>
      <c r="AA2531">
        <v>0.99821700000000002</v>
      </c>
      <c r="AB2531">
        <v>38</v>
      </c>
      <c r="AC2531">
        <v>-95.262600000000006</v>
      </c>
      <c r="AD2531">
        <v>-1.1100879922159901</v>
      </c>
      <c r="AE2531">
        <v>-5.0783999999999798</v>
      </c>
      <c r="AF2531">
        <v>-5.7156362124541502</v>
      </c>
      <c r="AG2531">
        <v>-1.1100879922159901</v>
      </c>
      <c r="AH2531">
        <v>95.213552175074597</v>
      </c>
      <c r="AI2531">
        <v>90.666776932771597</v>
      </c>
      <c r="AJ2531">
        <v>93.435323085574794</v>
      </c>
      <c r="AK2531">
        <v>95.391411093762699</v>
      </c>
      <c r="AL2531">
        <v>77.661739207870497</v>
      </c>
      <c r="AM2531">
        <v>94.102338561265</v>
      </c>
      <c r="AN2531">
        <v>1.0000000604030399</v>
      </c>
    </row>
    <row r="2532" spans="1:40" x14ac:dyDescent="0.25">
      <c r="A2532" t="str">
        <f>"20190304155642958"</f>
        <v>20190304155642958</v>
      </c>
      <c r="B2532" t="str">
        <f>"1551686202947019"</f>
        <v>1551686202947019</v>
      </c>
      <c r="C2532" t="s">
        <v>40</v>
      </c>
      <c r="D2532">
        <v>4.5294129999999999</v>
      </c>
      <c r="E2532">
        <v>0.50269849999999905</v>
      </c>
      <c r="F2532" t="s">
        <v>53</v>
      </c>
      <c r="G2532">
        <v>-499.93830000000003</v>
      </c>
      <c r="H2532" s="1">
        <v>1.741395E-6</v>
      </c>
      <c r="I2532">
        <v>279.4846</v>
      </c>
      <c r="J2532">
        <v>-403.62110000000001</v>
      </c>
      <c r="K2532">
        <v>1.110088</v>
      </c>
      <c r="L2532">
        <v>284.6336</v>
      </c>
      <c r="M2532">
        <v>-0.99987720000000002</v>
      </c>
      <c r="N2532">
        <v>-1.414703E-2</v>
      </c>
      <c r="O2532">
        <v>6.7703640000000001E-3</v>
      </c>
      <c r="P2532">
        <v>-0.9776688</v>
      </c>
      <c r="Q2532">
        <v>0.20036329999999999</v>
      </c>
      <c r="R2532">
        <v>-6.3393379999999999E-2</v>
      </c>
      <c r="S2532">
        <v>-3.064819</v>
      </c>
      <c r="T2532">
        <v>-3.5184380000000001E-2</v>
      </c>
      <c r="U2532">
        <v>-0.1631165</v>
      </c>
      <c r="V2532">
        <v>-6.9964419999999999E-2</v>
      </c>
      <c r="W2532">
        <v>0.21418309999999999</v>
      </c>
      <c r="X2532">
        <v>0.97428459999999995</v>
      </c>
      <c r="Y2532">
        <v>-5.9898420000000001E-2</v>
      </c>
      <c r="Z2532">
        <v>-7.4956459999999997E-4</v>
      </c>
      <c r="AA2532">
        <v>0.99820419999999999</v>
      </c>
      <c r="AB2532">
        <v>38</v>
      </c>
      <c r="AC2532">
        <v>-96.3172</v>
      </c>
      <c r="AD2532">
        <v>-1.110086258605</v>
      </c>
      <c r="AE2532">
        <v>-5.149</v>
      </c>
      <c r="AF2532">
        <v>-5.80028133382012</v>
      </c>
      <c r="AG2532">
        <v>-1.110086258605</v>
      </c>
      <c r="AH2532">
        <v>96.2673769242014</v>
      </c>
      <c r="AI2532">
        <v>90.659468665003601</v>
      </c>
      <c r="AJ2532">
        <v>93.448004637392401</v>
      </c>
      <c r="AK2532">
        <v>96.448345838170098</v>
      </c>
      <c r="AL2532">
        <v>77.632393385038597</v>
      </c>
      <c r="AM2532">
        <v>94.107420516373296</v>
      </c>
      <c r="AN2532">
        <v>0.99999995109435103</v>
      </c>
    </row>
    <row r="2533" spans="1:40" x14ac:dyDescent="0.25">
      <c r="A2533" t="str">
        <f>"20190304155642974"</f>
        <v>20190304155642974</v>
      </c>
      <c r="B2533" t="str">
        <f>"1551686202967515"</f>
        <v>1551686202967515</v>
      </c>
      <c r="C2533" t="s">
        <v>40</v>
      </c>
      <c r="D2533">
        <v>4.5412460000000001</v>
      </c>
      <c r="E2533">
        <v>0.50269470000000005</v>
      </c>
      <c r="F2533" t="s">
        <v>53</v>
      </c>
      <c r="G2533">
        <v>-499.97250000000003</v>
      </c>
      <c r="H2533">
        <v>6.4775819999999998E-2</v>
      </c>
      <c r="I2533">
        <v>279.44200000000001</v>
      </c>
      <c r="J2533">
        <v>-403.87889999999999</v>
      </c>
      <c r="K2533">
        <v>1.1100920000000001</v>
      </c>
      <c r="L2533">
        <v>284.6354</v>
      </c>
      <c r="M2533">
        <v>-0.99987669999999995</v>
      </c>
      <c r="N2533">
        <v>-1.414468E-2</v>
      </c>
      <c r="O2533">
        <v>6.8196189999999999E-3</v>
      </c>
      <c r="P2533">
        <v>-0.97762389999999999</v>
      </c>
      <c r="Q2533">
        <v>0.20059650000000001</v>
      </c>
      <c r="R2533">
        <v>-6.3346559999999996E-2</v>
      </c>
      <c r="S2533">
        <v>-3.064667</v>
      </c>
      <c r="T2533">
        <v>-3.3248420000000001E-2</v>
      </c>
      <c r="U2533">
        <v>-0.16513059999999999</v>
      </c>
      <c r="V2533">
        <v>-6.9964979999999996E-2</v>
      </c>
      <c r="W2533">
        <v>0.21441360000000001</v>
      </c>
      <c r="X2533">
        <v>0.97423389999999999</v>
      </c>
      <c r="Y2533">
        <v>-6.0604959999999999E-2</v>
      </c>
      <c r="Z2533">
        <v>-7.3502179999999895E-4</v>
      </c>
      <c r="AA2533">
        <v>0.99816159999999998</v>
      </c>
      <c r="AB2533">
        <v>38</v>
      </c>
      <c r="AC2533">
        <v>-96.093599999999995</v>
      </c>
      <c r="AD2533">
        <v>-1.0453161799999999</v>
      </c>
      <c r="AE2533">
        <v>-5.1933999999999898</v>
      </c>
      <c r="AF2533">
        <v>-5.8479765228726501</v>
      </c>
      <c r="AG2533">
        <v>-1.0453161799999999</v>
      </c>
      <c r="AH2533">
        <v>96.044612290268205</v>
      </c>
      <c r="AI2533">
        <v>90.622410138624303</v>
      </c>
      <c r="AJ2533">
        <v>93.4843310371364</v>
      </c>
      <c r="AK2533">
        <v>96.2281614981611</v>
      </c>
      <c r="AL2533">
        <v>77.618873098743705</v>
      </c>
      <c r="AM2533">
        <v>94.107666303785706</v>
      </c>
      <c r="AN2533">
        <v>0.99999999110028504</v>
      </c>
    </row>
    <row r="2534" spans="1:40" x14ac:dyDescent="0.25">
      <c r="A2534" t="str">
        <f>"20190304155642992"</f>
        <v>20190304155642992</v>
      </c>
      <c r="B2534" t="str">
        <f>"1551686202987035"</f>
        <v>1551686202987035</v>
      </c>
      <c r="C2534" t="s">
        <v>40</v>
      </c>
      <c r="D2534">
        <v>4.5521500000000001</v>
      </c>
      <c r="E2534">
        <v>0.5026716</v>
      </c>
      <c r="F2534" t="s">
        <v>53</v>
      </c>
      <c r="G2534">
        <v>-500.39839999999998</v>
      </c>
      <c r="H2534">
        <v>8.0000569999999993E-2</v>
      </c>
      <c r="I2534">
        <v>279.42219999999998</v>
      </c>
      <c r="J2534">
        <v>-404.19450000000001</v>
      </c>
      <c r="K2534">
        <v>1.11009</v>
      </c>
      <c r="L2534">
        <v>284.63760000000002</v>
      </c>
      <c r="M2534">
        <v>-0.9998764</v>
      </c>
      <c r="N2534">
        <v>-1.4141849999999999E-2</v>
      </c>
      <c r="O2534">
        <v>6.8797839999999999E-3</v>
      </c>
      <c r="P2534">
        <v>-0.97759660000000004</v>
      </c>
      <c r="Q2534">
        <v>0.20082079999999999</v>
      </c>
      <c r="R2534">
        <v>-6.3059069999999995E-2</v>
      </c>
      <c r="S2534">
        <v>-3.064667</v>
      </c>
      <c r="T2534">
        <v>-3.270721E-2</v>
      </c>
      <c r="U2534">
        <v>-0.16552729999999999</v>
      </c>
      <c r="V2534">
        <v>-6.9735729999999996E-2</v>
      </c>
      <c r="W2534">
        <v>0.21463479999999999</v>
      </c>
      <c r="X2534">
        <v>0.9742016</v>
      </c>
      <c r="Y2534">
        <v>-6.0794019999999997E-2</v>
      </c>
      <c r="Z2534">
        <v>-7.3054249999999999E-4</v>
      </c>
      <c r="AA2534">
        <v>0.99815010000000004</v>
      </c>
      <c r="AB2534">
        <v>38</v>
      </c>
      <c r="AC2534">
        <v>-96.203899999999905</v>
      </c>
      <c r="AD2534">
        <v>-1.0300894300000001</v>
      </c>
      <c r="AE2534">
        <v>-5.2154000000000398</v>
      </c>
      <c r="AF2534">
        <v>-5.8765329917900004</v>
      </c>
      <c r="AG2534">
        <v>-1.0300894300000001</v>
      </c>
      <c r="AH2534">
        <v>96.154746776879406</v>
      </c>
      <c r="AI2534">
        <v>90.612633484527507</v>
      </c>
      <c r="AJ2534">
        <v>93.497302886433502</v>
      </c>
      <c r="AK2534">
        <v>96.339659808218101</v>
      </c>
      <c r="AL2534">
        <v>77.605896827014107</v>
      </c>
      <c r="AM2534">
        <v>94.094388093976093</v>
      </c>
      <c r="AN2534">
        <v>0.99999996342611497</v>
      </c>
    </row>
    <row r="2535" spans="1:40" x14ac:dyDescent="0.25">
      <c r="A2535" t="str">
        <f>"20190304155643015"</f>
        <v>20190304155643015</v>
      </c>
      <c r="B2535" t="str">
        <f>"1551686203007530"</f>
        <v>1551686203007530</v>
      </c>
      <c r="C2535" t="s">
        <v>40</v>
      </c>
      <c r="D2535">
        <v>4.5554009999999998</v>
      </c>
      <c r="E2535">
        <v>0.50266670000000002</v>
      </c>
      <c r="F2535" t="s">
        <v>53</v>
      </c>
      <c r="G2535">
        <v>-503.08499999999998</v>
      </c>
      <c r="H2535">
        <v>8.0000119999999994E-2</v>
      </c>
      <c r="I2535">
        <v>279.31009999999998</v>
      </c>
      <c r="J2535">
        <v>-404.5668</v>
      </c>
      <c r="K2535">
        <v>1.110093</v>
      </c>
      <c r="L2535">
        <v>284.64030000000002</v>
      </c>
      <c r="M2535">
        <v>-0.99987599999999999</v>
      </c>
      <c r="N2535">
        <v>-1.4138629999999999E-2</v>
      </c>
      <c r="O2535">
        <v>6.9506799999999999E-3</v>
      </c>
      <c r="P2535">
        <v>-0.97756480000000001</v>
      </c>
      <c r="Q2535">
        <v>0.20095469999999999</v>
      </c>
      <c r="R2535">
        <v>-6.3124120000000006E-2</v>
      </c>
      <c r="S2535">
        <v>-3.0646360000000001</v>
      </c>
      <c r="T2535">
        <v>-3.1922699999999998E-2</v>
      </c>
      <c r="U2535">
        <v>-0.1651001</v>
      </c>
      <c r="V2535">
        <v>-6.9869790000000001E-2</v>
      </c>
      <c r="W2535">
        <v>0.21476529999999999</v>
      </c>
      <c r="X2535">
        <v>0.97416329999999995</v>
      </c>
      <c r="Y2535">
        <v>-6.0726849999999999E-2</v>
      </c>
      <c r="Z2535">
        <v>-7.1984559999999998E-4</v>
      </c>
      <c r="AA2535">
        <v>0.99815419999999999</v>
      </c>
      <c r="AB2535">
        <v>38</v>
      </c>
      <c r="AC2535">
        <v>-98.518199999999894</v>
      </c>
      <c r="AD2535">
        <v>-1.03009288</v>
      </c>
      <c r="AE2535">
        <v>-5.3302000000000396</v>
      </c>
      <c r="AF2535">
        <v>-6.0142524843070602</v>
      </c>
      <c r="AG2535">
        <v>-1.03009288</v>
      </c>
      <c r="AH2535">
        <v>98.468033871900204</v>
      </c>
      <c r="AI2535">
        <v>90.598245440351803</v>
      </c>
      <c r="AJ2535">
        <v>93.495182369442603</v>
      </c>
      <c r="AK2535">
        <v>98.656910649402107</v>
      </c>
      <c r="AL2535">
        <v>77.598242016517105</v>
      </c>
      <c r="AM2535">
        <v>94.102393033584306</v>
      </c>
      <c r="AN2535">
        <v>1.0000000283528101</v>
      </c>
    </row>
    <row r="2536" spans="1:40" x14ac:dyDescent="0.25">
      <c r="A2536" t="str">
        <f>"20190304155643037"</f>
        <v>20190304155643037</v>
      </c>
      <c r="B2536" t="str">
        <f>"1551686203027051"</f>
        <v>1551686203027051</v>
      </c>
      <c r="C2536" t="s">
        <v>40</v>
      </c>
      <c r="D2536">
        <v>4.5635890000000003</v>
      </c>
      <c r="E2536">
        <v>0.50263639999999998</v>
      </c>
      <c r="F2536" t="s">
        <v>66</v>
      </c>
      <c r="G2536">
        <v>-511.95859999999999</v>
      </c>
      <c r="H2536">
        <v>3.0552449999999998E-2</v>
      </c>
      <c r="I2536">
        <v>278.8449</v>
      </c>
      <c r="J2536">
        <v>-404.94690000000003</v>
      </c>
      <c r="K2536">
        <v>1.110096</v>
      </c>
      <c r="L2536">
        <v>284.6429</v>
      </c>
      <c r="M2536">
        <v>-0.99987550000000003</v>
      </c>
      <c r="N2536">
        <v>-1.413521E-2</v>
      </c>
      <c r="O2536">
        <v>7.0231249999999999E-3</v>
      </c>
      <c r="P2536">
        <v>-0.97749379999999997</v>
      </c>
      <c r="Q2536">
        <v>0.2012303</v>
      </c>
      <c r="R2536">
        <v>-6.3344780000000003E-2</v>
      </c>
      <c r="S2536">
        <v>-3.064514</v>
      </c>
      <c r="T2536">
        <v>-3.0803199999999999E-2</v>
      </c>
      <c r="U2536">
        <v>-0.16537479999999999</v>
      </c>
      <c r="V2536">
        <v>-7.0160479999999997E-2</v>
      </c>
      <c r="W2536">
        <v>0.21503630000000001</v>
      </c>
      <c r="X2536">
        <v>0.97408260000000002</v>
      </c>
      <c r="Y2536">
        <v>-6.089087E-2</v>
      </c>
      <c r="Z2536">
        <v>-7.0784789999999895E-4</v>
      </c>
      <c r="AA2536">
        <v>0.99814409999999998</v>
      </c>
      <c r="AB2536">
        <v>38</v>
      </c>
      <c r="AC2536">
        <v>-107.011699999999</v>
      </c>
      <c r="AD2536">
        <v>-1.0795435499999999</v>
      </c>
      <c r="AE2536">
        <v>-5.798</v>
      </c>
      <c r="AF2536">
        <v>-6.5488240432972002</v>
      </c>
      <c r="AG2536">
        <v>-1.0795435499999999</v>
      </c>
      <c r="AH2536">
        <v>106.957483004737</v>
      </c>
      <c r="AI2536">
        <v>90.577197433363807</v>
      </c>
      <c r="AJ2536">
        <v>93.5037487040061</v>
      </c>
      <c r="AK2536">
        <v>107.163219816013</v>
      </c>
      <c r="AL2536">
        <v>77.582343139864804</v>
      </c>
      <c r="AM2536">
        <v>94.119742318052104</v>
      </c>
      <c r="AN2536">
        <v>1.00000000744714</v>
      </c>
    </row>
    <row r="2537" spans="1:40" x14ac:dyDescent="0.25">
      <c r="A2537" t="str">
        <f>"20190304155643052"</f>
        <v>20190304155643052</v>
      </c>
      <c r="B2537" t="str">
        <f>"1551686203047547"</f>
        <v>1551686203047547</v>
      </c>
      <c r="C2537" t="s">
        <v>40</v>
      </c>
      <c r="D2537">
        <v>4.5592090000000001</v>
      </c>
      <c r="E2537">
        <v>0.502664</v>
      </c>
      <c r="F2537" t="s">
        <v>66</v>
      </c>
      <c r="G2537">
        <v>-511.95859999999999</v>
      </c>
      <c r="H2537">
        <v>7.6212409999999994E-2</v>
      </c>
      <c r="I2537">
        <v>278.83479999999997</v>
      </c>
      <c r="J2537">
        <v>-405.18790000000001</v>
      </c>
      <c r="K2537">
        <v>1.1100969999999999</v>
      </c>
      <c r="L2537">
        <v>284.6447</v>
      </c>
      <c r="M2537">
        <v>-0.99987510000000002</v>
      </c>
      <c r="N2537">
        <v>-1.4133039999999999E-2</v>
      </c>
      <c r="O2537">
        <v>7.0691549999999997E-3</v>
      </c>
      <c r="P2537">
        <v>-0.97754719999999995</v>
      </c>
      <c r="Q2537">
        <v>0.20097319999999999</v>
      </c>
      <c r="R2537">
        <v>-6.3334970000000004E-2</v>
      </c>
      <c r="S2537">
        <v>-3.0643919999999998</v>
      </c>
      <c r="T2537">
        <v>-2.9603959999999999E-2</v>
      </c>
      <c r="U2537">
        <v>-0.16632079999999999</v>
      </c>
      <c r="V2537">
        <v>-7.0196610000000007E-2</v>
      </c>
      <c r="W2537">
        <v>0.21477779999999999</v>
      </c>
      <c r="X2537">
        <v>0.97413700000000003</v>
      </c>
      <c r="Y2537">
        <v>-6.1246549999999997E-2</v>
      </c>
      <c r="Z2537">
        <v>-6.9718679999999998E-4</v>
      </c>
      <c r="AA2537">
        <v>0.99812250000000002</v>
      </c>
      <c r="AB2537">
        <v>38</v>
      </c>
      <c r="AC2537">
        <v>-106.770699999999</v>
      </c>
      <c r="AD2537">
        <v>-1.03388459</v>
      </c>
      <c r="AE2537">
        <v>-5.8099000000000203</v>
      </c>
      <c r="AF2537">
        <v>-6.5639951911648602</v>
      </c>
      <c r="AG2537">
        <v>-1.03388459</v>
      </c>
      <c r="AH2537">
        <v>106.716979664414</v>
      </c>
      <c r="AI2537">
        <v>90.554022819518494</v>
      </c>
      <c r="AJ2537">
        <v>93.519739889744002</v>
      </c>
      <c r="AK2537">
        <v>106.923658275005</v>
      </c>
      <c r="AL2537">
        <v>77.597508111615994</v>
      </c>
      <c r="AM2537">
        <v>94.121627130725003</v>
      </c>
      <c r="AN2537">
        <v>0.99999998109866595</v>
      </c>
    </row>
    <row r="2538" spans="1:40" x14ac:dyDescent="0.25">
      <c r="A2538" t="str">
        <f>"20190304155643065"</f>
        <v>20190304155643065</v>
      </c>
      <c r="B2538" t="str">
        <f>"1551686203057307"</f>
        <v>1551686203057307</v>
      </c>
      <c r="C2538" t="s">
        <v>40</v>
      </c>
      <c r="D2538">
        <v>4.6278879999999996</v>
      </c>
      <c r="E2538">
        <v>0.502664</v>
      </c>
      <c r="F2538" t="s">
        <v>66</v>
      </c>
      <c r="G2538">
        <v>-511.95859999999999</v>
      </c>
      <c r="H2538">
        <v>8.0433489999999996E-2</v>
      </c>
      <c r="I2538">
        <v>278.84609999999998</v>
      </c>
      <c r="J2538">
        <v>-405.41849999999999</v>
      </c>
      <c r="K2538">
        <v>1.110096</v>
      </c>
      <c r="L2538">
        <v>284.6463</v>
      </c>
      <c r="M2538">
        <v>-0.99987479999999995</v>
      </c>
      <c r="N2538">
        <v>-1.413099E-2</v>
      </c>
      <c r="O2538">
        <v>7.113215E-3</v>
      </c>
      <c r="P2538">
        <v>-0.97753610000000002</v>
      </c>
      <c r="Q2538">
        <v>0.20109289999999999</v>
      </c>
      <c r="R2538">
        <v>-6.3124E-2</v>
      </c>
      <c r="S2538">
        <v>-3.0642399999999999</v>
      </c>
      <c r="T2538">
        <v>-2.9548169999999999E-2</v>
      </c>
      <c r="U2538">
        <v>-0.16641239999999999</v>
      </c>
      <c r="V2538">
        <v>-7.0027989999999998E-2</v>
      </c>
      <c r="W2538">
        <v>0.21489559999999999</v>
      </c>
      <c r="X2538">
        <v>0.97412319999999997</v>
      </c>
      <c r="Y2538">
        <v>-6.1322960000000003E-2</v>
      </c>
      <c r="Z2538">
        <v>-6.9718190000000004E-4</v>
      </c>
      <c r="AA2538">
        <v>0.9981177</v>
      </c>
      <c r="AB2538">
        <v>38</v>
      </c>
      <c r="AC2538">
        <v>-106.5401</v>
      </c>
      <c r="AD2538">
        <v>-1.0296625100000001</v>
      </c>
      <c r="AE2538">
        <v>-5.80020000000001</v>
      </c>
      <c r="AF2538">
        <v>-6.5573609110481597</v>
      </c>
      <c r="AG2538">
        <v>-1.0296625100000001</v>
      </c>
      <c r="AH2538">
        <v>106.48622508254</v>
      </c>
      <c r="AI2538">
        <v>90.552953672565394</v>
      </c>
      <c r="AJ2538">
        <v>93.523791764301905</v>
      </c>
      <c r="AK2538">
        <v>106.69290191634801</v>
      </c>
      <c r="AL2538">
        <v>77.590597836063907</v>
      </c>
      <c r="AM2538">
        <v>94.111818575532993</v>
      </c>
      <c r="AN2538">
        <v>1.00000002353051</v>
      </c>
    </row>
    <row r="2539" spans="1:40" x14ac:dyDescent="0.25">
      <c r="A2539" t="str">
        <f>"20190304155643079"</f>
        <v>20190304155643079</v>
      </c>
      <c r="B2539" t="str">
        <f>"1551686203067068"</f>
        <v>1551686203067068</v>
      </c>
      <c r="C2539" t="s">
        <v>40</v>
      </c>
      <c r="D2539">
        <v>4.6146190000000002</v>
      </c>
      <c r="E2539">
        <v>0.50161509999999998</v>
      </c>
      <c r="F2539" t="s">
        <v>66</v>
      </c>
      <c r="G2539">
        <v>-511.95859999999999</v>
      </c>
      <c r="H2539">
        <v>9.5155480000000001E-2</v>
      </c>
      <c r="I2539">
        <v>278.87939999999998</v>
      </c>
      <c r="J2539">
        <v>-405.64850000000001</v>
      </c>
      <c r="K2539">
        <v>1.110098</v>
      </c>
      <c r="L2539">
        <v>284.64800000000002</v>
      </c>
      <c r="M2539">
        <v>-0.99987470000000001</v>
      </c>
      <c r="N2539">
        <v>-1.4128949999999999E-2</v>
      </c>
      <c r="O2539">
        <v>7.1570369999999998E-3</v>
      </c>
      <c r="P2539">
        <v>-0.97754600000000003</v>
      </c>
      <c r="Q2539">
        <v>0.2009697</v>
      </c>
      <c r="R2539">
        <v>-6.3366030000000004E-2</v>
      </c>
      <c r="S2539">
        <v>-3.064209</v>
      </c>
      <c r="T2539">
        <v>-2.9188390000000002E-2</v>
      </c>
      <c r="U2539">
        <v>-0.16586300000000001</v>
      </c>
      <c r="V2539">
        <v>-7.0313299999999995E-2</v>
      </c>
      <c r="W2539">
        <v>0.21477080000000001</v>
      </c>
      <c r="X2539">
        <v>0.97413019999999995</v>
      </c>
      <c r="Y2539">
        <v>-6.1188970000000002E-2</v>
      </c>
      <c r="Z2539">
        <v>-6.90918E-4</v>
      </c>
      <c r="AA2539">
        <v>0.99812599999999996</v>
      </c>
      <c r="AB2539">
        <v>38</v>
      </c>
      <c r="AC2539">
        <v>-106.310099999999</v>
      </c>
      <c r="AD2539">
        <v>-1.01494252</v>
      </c>
      <c r="AE2539">
        <v>-5.7685999999999904</v>
      </c>
      <c r="AF2539">
        <v>-6.5288000777450996</v>
      </c>
      <c r="AG2539">
        <v>-1.01494252</v>
      </c>
      <c r="AH2539">
        <v>106.256430119237</v>
      </c>
      <c r="AI2539">
        <v>90.546232378109806</v>
      </c>
      <c r="AJ2539">
        <v>93.516050765329496</v>
      </c>
      <c r="AK2539">
        <v>106.461656386036</v>
      </c>
      <c r="AL2539">
        <v>77.597919653754104</v>
      </c>
      <c r="AM2539">
        <v>94.128483687682603</v>
      </c>
      <c r="AN2539">
        <v>1.0000000516207801</v>
      </c>
    </row>
    <row r="2540" spans="1:40" x14ac:dyDescent="0.25">
      <c r="A2540" t="str">
        <f>"20190304155643094"</f>
        <v>20190304155643094</v>
      </c>
      <c r="B2540" t="str">
        <f>"1551686203087563"</f>
        <v>1551686203087563</v>
      </c>
      <c r="C2540" t="s">
        <v>40</v>
      </c>
      <c r="D2540">
        <v>4.5755739999999996</v>
      </c>
      <c r="E2540">
        <v>0.45918330000000002</v>
      </c>
      <c r="F2540" t="s">
        <v>53</v>
      </c>
      <c r="G2540">
        <v>-503.60669999999999</v>
      </c>
      <c r="H2540">
        <v>8.0000039999999994E-2</v>
      </c>
      <c r="I2540">
        <v>279.04899999999998</v>
      </c>
      <c r="J2540">
        <v>-405.90159999999997</v>
      </c>
      <c r="K2540">
        <v>1.1101000000000001</v>
      </c>
      <c r="L2540">
        <v>284.64980000000003</v>
      </c>
      <c r="M2540">
        <v>-0.99987420000000005</v>
      </c>
      <c r="N2540">
        <v>-1.4126720000000001E-2</v>
      </c>
      <c r="O2540">
        <v>7.2056269999999896E-3</v>
      </c>
      <c r="P2540">
        <v>-0.97751650000000001</v>
      </c>
      <c r="Q2540">
        <v>0.2008798</v>
      </c>
      <c r="R2540">
        <v>-6.4100359999999995E-2</v>
      </c>
      <c r="S2540">
        <v>-3.064209</v>
      </c>
      <c r="T2540">
        <v>-3.2222269999999997E-2</v>
      </c>
      <c r="U2540">
        <v>-0.1751404</v>
      </c>
      <c r="V2540">
        <v>-7.1094669999999999E-2</v>
      </c>
      <c r="W2540">
        <v>0.21467820000000001</v>
      </c>
      <c r="X2540">
        <v>0.97409389999999996</v>
      </c>
      <c r="Y2540">
        <v>-6.4248440000000004E-2</v>
      </c>
      <c r="Z2540">
        <v>-7.6575679999999998E-4</v>
      </c>
      <c r="AA2540">
        <v>0.99793359999999998</v>
      </c>
      <c r="AB2540">
        <v>38</v>
      </c>
      <c r="AC2540">
        <v>-97.705100000000002</v>
      </c>
      <c r="AD2540">
        <v>-1.03009996</v>
      </c>
      <c r="AE2540">
        <v>-5.6007999999999898</v>
      </c>
      <c r="AF2540">
        <v>-6.3040529461621304</v>
      </c>
      <c r="AG2540">
        <v>-1.03009996</v>
      </c>
      <c r="AH2540">
        <v>97.651382908147497</v>
      </c>
      <c r="AI2540">
        <v>90.603121024023693</v>
      </c>
      <c r="AJ2540">
        <v>93.693702009260406</v>
      </c>
      <c r="AK2540">
        <v>97.860077525767593</v>
      </c>
      <c r="AL2540">
        <v>77.603351980798905</v>
      </c>
      <c r="AM2540">
        <v>94.174355976491597</v>
      </c>
      <c r="AN2540">
        <v>1.0000000538374201</v>
      </c>
    </row>
    <row r="2541" spans="1:40" x14ac:dyDescent="0.25">
      <c r="A2541" t="str">
        <f>"20190304155643127"</f>
        <v>20190304155643127</v>
      </c>
      <c r="B2541" t="str">
        <f>"1551686203116856"</f>
        <v>1551686203116856</v>
      </c>
      <c r="C2541" t="s">
        <v>40</v>
      </c>
      <c r="D2541">
        <v>4.5484830000000001</v>
      </c>
      <c r="E2541">
        <v>0.45321030000000001</v>
      </c>
      <c r="F2541" t="s">
        <v>55</v>
      </c>
      <c r="G2541">
        <v>-447.79360000000003</v>
      </c>
      <c r="H2541">
        <v>8.0000940000000006E-2</v>
      </c>
      <c r="I2541">
        <v>277.57209999999998</v>
      </c>
      <c r="J2541">
        <v>-406.44839999999999</v>
      </c>
      <c r="K2541">
        <v>1.1100939999999999</v>
      </c>
      <c r="L2541">
        <v>284.65390000000002</v>
      </c>
      <c r="M2541">
        <v>-0.99987380000000003</v>
      </c>
      <c r="N2541">
        <v>-1.412192E-2</v>
      </c>
      <c r="O2541">
        <v>7.3097850000000001E-3</v>
      </c>
      <c r="P2541">
        <v>-0.97754010000000002</v>
      </c>
      <c r="Q2541">
        <v>0.20056280000000001</v>
      </c>
      <c r="R2541">
        <v>-6.4732159999999997E-2</v>
      </c>
      <c r="S2541">
        <v>-3.0506289999999998</v>
      </c>
      <c r="T2541">
        <v>-7.5013040000000003E-2</v>
      </c>
      <c r="U2541">
        <v>-0.51541139999999996</v>
      </c>
      <c r="V2541">
        <v>-7.1828630000000004E-2</v>
      </c>
      <c r="W2541">
        <v>0.2143564</v>
      </c>
      <c r="X2541">
        <v>0.9741109</v>
      </c>
      <c r="Y2541">
        <v>-0.17371400000000001</v>
      </c>
      <c r="Z2541">
        <v>-3.4319760000000002E-3</v>
      </c>
      <c r="AA2541">
        <v>0.9847901</v>
      </c>
      <c r="AB2541">
        <v>38</v>
      </c>
      <c r="AC2541">
        <v>-41.345199999999998</v>
      </c>
      <c r="AD2541">
        <v>-1.03009306</v>
      </c>
      <c r="AE2541">
        <v>-7.0818000000000403</v>
      </c>
      <c r="AF2541">
        <v>-7.3794152839492897</v>
      </c>
      <c r="AG2541">
        <v>-1.03009306</v>
      </c>
      <c r="AH2541">
        <v>41.267437756848899</v>
      </c>
      <c r="AI2541">
        <v>91.407567838979205</v>
      </c>
      <c r="AJ2541">
        <v>100.13843545686299</v>
      </c>
      <c r="AK2541">
        <v>41.934690658935899</v>
      </c>
      <c r="AL2541">
        <v>77.622228944469995</v>
      </c>
      <c r="AM2541">
        <v>94.217222744523497</v>
      </c>
      <c r="AN2541">
        <v>1.0000000319037201</v>
      </c>
    </row>
    <row r="2542" spans="1:40" x14ac:dyDescent="0.25">
      <c r="A2542" t="str">
        <f>"20190304155643149"</f>
        <v>20190304155643149</v>
      </c>
      <c r="B2542" t="str">
        <f>"1551686203137339"</f>
        <v>1551686203137339</v>
      </c>
      <c r="C2542" t="s">
        <v>40</v>
      </c>
      <c r="D2542">
        <v>4.5813490000000003</v>
      </c>
      <c r="E2542">
        <v>0.4522099</v>
      </c>
      <c r="F2542" t="s">
        <v>55</v>
      </c>
      <c r="G2542">
        <v>-441.70870000000002</v>
      </c>
      <c r="H2542">
        <v>8.0001240000000001E-2</v>
      </c>
      <c r="I2542">
        <v>278.11759999999998</v>
      </c>
      <c r="J2542">
        <v>-406.82330000000002</v>
      </c>
      <c r="K2542">
        <v>1.1100969999999999</v>
      </c>
      <c r="L2542">
        <v>284.6567</v>
      </c>
      <c r="M2542">
        <v>-0.99987309999999996</v>
      </c>
      <c r="N2542">
        <v>-1.411859E-2</v>
      </c>
      <c r="O2542">
        <v>7.3816860000000002E-3</v>
      </c>
      <c r="P2542">
        <v>-0.97752939999999999</v>
      </c>
      <c r="Q2542">
        <v>0.20047209999999999</v>
      </c>
      <c r="R2542">
        <v>-6.5170210000000006E-2</v>
      </c>
      <c r="S2542">
        <v>-3.049744</v>
      </c>
      <c r="T2542">
        <v>-8.909512E-2</v>
      </c>
      <c r="U2542">
        <v>-0.56533809999999995</v>
      </c>
      <c r="V2542">
        <v>-7.2336899999999996E-2</v>
      </c>
      <c r="W2542">
        <v>0.21426229999999999</v>
      </c>
      <c r="X2542">
        <v>0.97409400000000002</v>
      </c>
      <c r="Y2542">
        <v>-0.18940309999999999</v>
      </c>
      <c r="Z2542">
        <v>-4.2019980000000002E-3</v>
      </c>
      <c r="AA2542">
        <v>0.98189040000000005</v>
      </c>
      <c r="AB2542">
        <v>38</v>
      </c>
      <c r="AC2542">
        <v>-34.885399999999997</v>
      </c>
      <c r="AD2542">
        <v>-1.03009575999999</v>
      </c>
      <c r="AE2542">
        <v>-6.5391000000000101</v>
      </c>
      <c r="AF2542">
        <v>-6.7907406501335297</v>
      </c>
      <c r="AG2542">
        <v>-1.03009575999999</v>
      </c>
      <c r="AH2542">
        <v>34.806856898382499</v>
      </c>
      <c r="AI2542">
        <v>91.663801228781196</v>
      </c>
      <c r="AJ2542">
        <v>101.039606281386</v>
      </c>
      <c r="AK2542">
        <v>35.478057204371098</v>
      </c>
      <c r="AL2542">
        <v>77.627748833522304</v>
      </c>
      <c r="AM2542">
        <v>94.2470290444368</v>
      </c>
      <c r="AN2542">
        <v>1.00000004056944</v>
      </c>
    </row>
    <row r="2543" spans="1:40" x14ac:dyDescent="0.25">
      <c r="A2543" t="str">
        <f>"20190304155643171"</f>
        <v>20190304155643171</v>
      </c>
      <c r="B2543" t="str">
        <f>"1551686203167595"</f>
        <v>1551686203167595</v>
      </c>
      <c r="C2543" t="s">
        <v>40</v>
      </c>
      <c r="D2543">
        <v>4.589188</v>
      </c>
      <c r="E2543">
        <v>0.45144620000000002</v>
      </c>
      <c r="F2543" t="s">
        <v>64</v>
      </c>
      <c r="G2543">
        <v>-439.01569999999998</v>
      </c>
      <c r="H2543">
        <v>8.0000500000000002E-2</v>
      </c>
      <c r="I2543">
        <v>278.59050000000002</v>
      </c>
      <c r="J2543">
        <v>-407.1936</v>
      </c>
      <c r="K2543">
        <v>1.1100950000000001</v>
      </c>
      <c r="L2543">
        <v>284.65949999999998</v>
      </c>
      <c r="M2543">
        <v>-0.99987269999999995</v>
      </c>
      <c r="N2543">
        <v>-1.4115290000000001E-2</v>
      </c>
      <c r="O2543">
        <v>7.4525750000000003E-3</v>
      </c>
      <c r="P2543">
        <v>-0.97744529999999996</v>
      </c>
      <c r="Q2543">
        <v>0.20072909999999999</v>
      </c>
      <c r="R2543">
        <v>-6.5641019999999994E-2</v>
      </c>
      <c r="S2543">
        <v>-3.050659</v>
      </c>
      <c r="T2543">
        <v>-9.7615359999999998E-2</v>
      </c>
      <c r="U2543">
        <v>-0.57485959999999903</v>
      </c>
      <c r="V2543">
        <v>-7.2876189999999993E-2</v>
      </c>
      <c r="W2543">
        <v>0.21451519999999999</v>
      </c>
      <c r="X2543">
        <v>0.97399809999999998</v>
      </c>
      <c r="Y2543">
        <v>-0.19235859999999999</v>
      </c>
      <c r="Z2543">
        <v>-4.5520659999999996E-3</v>
      </c>
      <c r="AA2543">
        <v>0.98131409999999997</v>
      </c>
      <c r="AB2543">
        <v>38</v>
      </c>
      <c r="AC2543">
        <v>-31.822099999999899</v>
      </c>
      <c r="AD2543">
        <v>-1.0300944999999999</v>
      </c>
      <c r="AE2543">
        <v>-6.0689999999999502</v>
      </c>
      <c r="AF2543">
        <v>-6.2996422498051903</v>
      </c>
      <c r="AG2543">
        <v>-1.0300944999999999</v>
      </c>
      <c r="AH2543">
        <v>31.7438866832745</v>
      </c>
      <c r="AI2543">
        <v>91.823077555717006</v>
      </c>
      <c r="AJ2543">
        <v>101.224632304594</v>
      </c>
      <c r="AK2543">
        <v>32.379328728604499</v>
      </c>
      <c r="AL2543">
        <v>77.612913338739403</v>
      </c>
      <c r="AM2543">
        <v>94.278994286147295</v>
      </c>
      <c r="AN2543">
        <v>1.0000000044517801</v>
      </c>
    </row>
    <row r="2544" spans="1:40" x14ac:dyDescent="0.25">
      <c r="A2544" t="str">
        <f>"20190304155643192"</f>
        <v>20190304155643192</v>
      </c>
      <c r="B2544" t="str">
        <f>"1551686203187118"</f>
        <v>1551686203187118</v>
      </c>
      <c r="C2544" t="s">
        <v>40</v>
      </c>
      <c r="D2544">
        <v>4.6128539999999996</v>
      </c>
      <c r="E2544">
        <v>0.4509396</v>
      </c>
      <c r="F2544" t="s">
        <v>64</v>
      </c>
      <c r="G2544">
        <v>-438.05630000000002</v>
      </c>
      <c r="H2544">
        <v>8.0000730000000006E-2</v>
      </c>
      <c r="I2544">
        <v>278.76580000000001</v>
      </c>
      <c r="J2544">
        <v>-407.57100000000003</v>
      </c>
      <c r="K2544">
        <v>1.1100939999999999</v>
      </c>
      <c r="L2544">
        <v>284.66239999999999</v>
      </c>
      <c r="M2544">
        <v>-0.99987219999999999</v>
      </c>
      <c r="N2544">
        <v>-1.4112009999999999E-2</v>
      </c>
      <c r="O2544">
        <v>7.524836E-3</v>
      </c>
      <c r="P2544">
        <v>-0.9773712</v>
      </c>
      <c r="Q2544">
        <v>0.2009939</v>
      </c>
      <c r="R2544">
        <v>-6.5935779999999999E-2</v>
      </c>
      <c r="S2544">
        <v>-3.0510250000000001</v>
      </c>
      <c r="T2544">
        <v>-0.1018331</v>
      </c>
      <c r="U2544">
        <v>-0.58264159999999998</v>
      </c>
      <c r="V2544">
        <v>-7.3240659999999999E-2</v>
      </c>
      <c r="W2544">
        <v>0.21477599999999999</v>
      </c>
      <c r="X2544">
        <v>0.97391329999999998</v>
      </c>
      <c r="Y2544">
        <v>-0.19481119999999999</v>
      </c>
      <c r="Z2544">
        <v>-4.752259E-3</v>
      </c>
      <c r="AA2544">
        <v>0.98082919999999996</v>
      </c>
      <c r="AB2544">
        <v>38</v>
      </c>
      <c r="AC2544">
        <v>-30.485299999999999</v>
      </c>
      <c r="AD2544">
        <v>-1.0300932700000001</v>
      </c>
      <c r="AE2544">
        <v>-5.8965999999999701</v>
      </c>
      <c r="AF2544">
        <v>-6.1191181678049302</v>
      </c>
      <c r="AG2544">
        <v>-1.0300932700000001</v>
      </c>
      <c r="AH2544">
        <v>30.4065965625188</v>
      </c>
      <c r="AI2544">
        <v>91.9021772397831</v>
      </c>
      <c r="AJ2544">
        <v>101.378401809388</v>
      </c>
      <c r="AK2544">
        <v>31.033301690478201</v>
      </c>
      <c r="AL2544">
        <v>77.597614200797494</v>
      </c>
      <c r="AM2544">
        <v>94.3006874371913</v>
      </c>
      <c r="AN2544">
        <v>1.0000000201850601</v>
      </c>
    </row>
    <row r="2545" spans="1:40" x14ac:dyDescent="0.25">
      <c r="A2545" t="str">
        <f>"20190304155643216"</f>
        <v>20190304155643216</v>
      </c>
      <c r="B2545" t="str">
        <f>"1551686203207611"</f>
        <v>1551686203207611</v>
      </c>
      <c r="C2545" t="s">
        <v>40</v>
      </c>
      <c r="D2545">
        <v>4.617076</v>
      </c>
      <c r="E2545">
        <v>0.45066539999999999</v>
      </c>
      <c r="F2545" t="s">
        <v>64</v>
      </c>
      <c r="G2545">
        <v>-438.15570000000002</v>
      </c>
      <c r="H2545">
        <v>8.0000710000000003E-2</v>
      </c>
      <c r="I2545">
        <v>278.77019999999999</v>
      </c>
      <c r="J2545">
        <v>-407.95179999999999</v>
      </c>
      <c r="K2545">
        <v>1.1100890000000001</v>
      </c>
      <c r="L2545">
        <v>284.6653</v>
      </c>
      <c r="M2545">
        <v>-0.99987159999999997</v>
      </c>
      <c r="N2545">
        <v>-1.41087E-2</v>
      </c>
      <c r="O2545">
        <v>7.597576E-3</v>
      </c>
      <c r="P2545">
        <v>-0.97737079999999998</v>
      </c>
      <c r="Q2545">
        <v>0.200931</v>
      </c>
      <c r="R2545">
        <v>-6.6130499999999995E-2</v>
      </c>
      <c r="S2545">
        <v>-3.0509339999999998</v>
      </c>
      <c r="T2545">
        <v>-0.1027555</v>
      </c>
      <c r="U2545">
        <v>-0.58776859999999997</v>
      </c>
      <c r="V2545">
        <v>-7.3506440000000006E-2</v>
      </c>
      <c r="W2545">
        <v>0.21470990000000001</v>
      </c>
      <c r="X2545">
        <v>0.97390779999999999</v>
      </c>
      <c r="Y2545">
        <v>-0.1964738</v>
      </c>
      <c r="Z2545">
        <v>-4.8241550000000001E-3</v>
      </c>
      <c r="AA2545">
        <v>0.98049719999999996</v>
      </c>
      <c r="AB2545">
        <v>38</v>
      </c>
      <c r="AC2545">
        <v>-30.203900000000001</v>
      </c>
      <c r="AD2545">
        <v>-1.0300882899999999</v>
      </c>
      <c r="AE2545">
        <v>-5.89510000000001</v>
      </c>
      <c r="AF2545">
        <v>-6.1175747535342797</v>
      </c>
      <c r="AG2545">
        <v>-1.0300882899999999</v>
      </c>
      <c r="AH2545">
        <v>30.124482665759398</v>
      </c>
      <c r="AI2545">
        <v>91.919285424394204</v>
      </c>
      <c r="AJ2545">
        <v>101.479323051207</v>
      </c>
      <c r="AK2545">
        <v>30.756629506984499</v>
      </c>
      <c r="AL2545">
        <v>77.601491289313003</v>
      </c>
      <c r="AM2545">
        <v>94.316259435199896</v>
      </c>
      <c r="AN2545">
        <v>0.99999997039016097</v>
      </c>
    </row>
    <row r="2546" spans="1:40" x14ac:dyDescent="0.25">
      <c r="A2546" t="str">
        <f>"20190304155643237"</f>
        <v>20190304155643237</v>
      </c>
      <c r="B2546" t="str">
        <f>"1551686203227131"</f>
        <v>1551686203227131</v>
      </c>
      <c r="C2546" t="s">
        <v>40</v>
      </c>
      <c r="D2546">
        <v>4.6000459999999999</v>
      </c>
      <c r="E2546">
        <v>0.45041310000000001</v>
      </c>
      <c r="F2546" t="s">
        <v>64</v>
      </c>
      <c r="G2546">
        <v>-438.16090000000003</v>
      </c>
      <c r="H2546">
        <v>8.0000710000000003E-2</v>
      </c>
      <c r="I2546">
        <v>278.8152</v>
      </c>
      <c r="J2546">
        <v>-408.32279999999997</v>
      </c>
      <c r="K2546">
        <v>1.110088</v>
      </c>
      <c r="L2546">
        <v>284.66829999999999</v>
      </c>
      <c r="M2546">
        <v>-0.99987119999999996</v>
      </c>
      <c r="N2546">
        <v>-1.410547E-2</v>
      </c>
      <c r="O2546">
        <v>7.6684630000000004E-3</v>
      </c>
      <c r="P2546">
        <v>-0.97744790000000004</v>
      </c>
      <c r="Q2546">
        <v>0.20068069999999999</v>
      </c>
      <c r="R2546">
        <v>-6.5752950000000004E-2</v>
      </c>
      <c r="S2546">
        <v>-3.0508730000000002</v>
      </c>
      <c r="T2546">
        <v>-0.1040305</v>
      </c>
      <c r="U2546">
        <v>-0.59082029999999996</v>
      </c>
      <c r="V2546">
        <v>-7.3199E-2</v>
      </c>
      <c r="W2546">
        <v>0.21445700000000001</v>
      </c>
      <c r="X2546">
        <v>0.97398669999999998</v>
      </c>
      <c r="Y2546">
        <v>-0.19748830000000001</v>
      </c>
      <c r="Z2546">
        <v>-4.8932929999999999E-3</v>
      </c>
      <c r="AA2546">
        <v>0.98029299999999997</v>
      </c>
      <c r="AB2546">
        <v>38</v>
      </c>
      <c r="AC2546">
        <v>-29.838100000000001</v>
      </c>
      <c r="AD2546">
        <v>-1.03008729</v>
      </c>
      <c r="AE2546">
        <v>-5.85309999999998</v>
      </c>
      <c r="AF2546">
        <v>-6.0747912697638302</v>
      </c>
      <c r="AG2546">
        <v>-1.03008729</v>
      </c>
      <c r="AH2546">
        <v>29.7581819042659</v>
      </c>
      <c r="AI2546">
        <v>91.942487453671404</v>
      </c>
      <c r="AJ2546">
        <v>101.537749806674</v>
      </c>
      <c r="AK2546">
        <v>30.3893658874876</v>
      </c>
      <c r="AL2546">
        <v>77.616327291121493</v>
      </c>
      <c r="AM2546">
        <v>94.297927630727699</v>
      </c>
      <c r="AN2546">
        <v>0.99999999511344495</v>
      </c>
    </row>
    <row r="2547" spans="1:40" x14ac:dyDescent="0.25">
      <c r="A2547" t="str">
        <f>"20190304155643260"</f>
        <v>20190304155643260</v>
      </c>
      <c r="B2547" t="str">
        <f>"1551686203257388"</f>
        <v>1551686203257388</v>
      </c>
      <c r="C2547" t="s">
        <v>40</v>
      </c>
      <c r="D2547">
        <v>4.7853440000000003</v>
      </c>
      <c r="E2547">
        <v>0.45022329999999999</v>
      </c>
      <c r="F2547" t="s">
        <v>64</v>
      </c>
      <c r="G2547">
        <v>-438.00940000000003</v>
      </c>
      <c r="H2547">
        <v>8.0000740000000001E-2</v>
      </c>
      <c r="I2547">
        <v>278.91059999999999</v>
      </c>
      <c r="J2547">
        <v>-408.68990000000002</v>
      </c>
      <c r="K2547">
        <v>1.110088</v>
      </c>
      <c r="L2547">
        <v>284.67110000000002</v>
      </c>
      <c r="M2547">
        <v>-0.9998705</v>
      </c>
      <c r="N2547">
        <v>-1.410229E-2</v>
      </c>
      <c r="O2547">
        <v>7.7388129999999998E-3</v>
      </c>
      <c r="P2547">
        <v>-0.97750539999999997</v>
      </c>
      <c r="Q2547">
        <v>0.20036880000000001</v>
      </c>
      <c r="R2547">
        <v>-6.5843559999999995E-2</v>
      </c>
      <c r="S2547">
        <v>-3.0511469999999998</v>
      </c>
      <c r="T2547">
        <v>-0.1058711</v>
      </c>
      <c r="U2547">
        <v>-0.59176640000000003</v>
      </c>
      <c r="V2547">
        <v>-7.3359309999999997E-2</v>
      </c>
      <c r="W2547">
        <v>0.21414259999999999</v>
      </c>
      <c r="X2547">
        <v>0.97404380000000002</v>
      </c>
      <c r="Y2547">
        <v>-0.19782859999999999</v>
      </c>
      <c r="Z2547">
        <v>-4.9658890000000002E-3</v>
      </c>
      <c r="AA2547">
        <v>0.98022410000000004</v>
      </c>
      <c r="AB2547">
        <v>37</v>
      </c>
      <c r="AC2547">
        <v>-29.319500000000001</v>
      </c>
      <c r="AD2547">
        <v>-1.0300872599999999</v>
      </c>
      <c r="AE2547">
        <v>-5.7605000000000297</v>
      </c>
      <c r="AF2547">
        <v>-5.9801410058892603</v>
      </c>
      <c r="AG2547">
        <v>-1.0300872599999999</v>
      </c>
      <c r="AH2547">
        <v>29.2392881531173</v>
      </c>
      <c r="AI2547">
        <v>91.976783136875099</v>
      </c>
      <c r="AJ2547">
        <v>101.558959994814</v>
      </c>
      <c r="AK2547">
        <v>29.862336444333302</v>
      </c>
      <c r="AL2547">
        <v>77.634769382534003</v>
      </c>
      <c r="AM2547">
        <v>94.307053401772507</v>
      </c>
      <c r="AN2547">
        <v>0.99999998290843795</v>
      </c>
    </row>
    <row r="2548" spans="1:40" x14ac:dyDescent="0.25">
      <c r="A2548" t="str">
        <f>"20190304155643283"</f>
        <v>20190304155643283</v>
      </c>
      <c r="B2548" t="str">
        <f>"1551686203276907"</f>
        <v>1551686203276907</v>
      </c>
      <c r="C2548" t="s">
        <v>40</v>
      </c>
      <c r="D2548">
        <v>4.5979580000000002</v>
      </c>
      <c r="E2548">
        <v>0.4501385</v>
      </c>
      <c r="F2548" t="s">
        <v>64</v>
      </c>
      <c r="G2548">
        <v>-438.31990000000002</v>
      </c>
      <c r="H2548">
        <v>8.0000669999999996E-2</v>
      </c>
      <c r="I2548">
        <v>278.90710000000001</v>
      </c>
      <c r="J2548">
        <v>-409.07900000000001</v>
      </c>
      <c r="K2548">
        <v>1.1100939999999999</v>
      </c>
      <c r="L2548">
        <v>284.67419999999998</v>
      </c>
      <c r="M2548">
        <v>-0.99987020000000004</v>
      </c>
      <c r="N2548">
        <v>-1.4098879999999999E-2</v>
      </c>
      <c r="O2548">
        <v>7.8130979999999992E-3</v>
      </c>
      <c r="P2548">
        <v>-0.97750400000000004</v>
      </c>
      <c r="Q2548">
        <v>0.20047909999999999</v>
      </c>
      <c r="R2548">
        <v>-6.5532010000000002E-2</v>
      </c>
      <c r="S2548">
        <v>-3.0507810000000002</v>
      </c>
      <c r="T2548">
        <v>-0.1060604</v>
      </c>
      <c r="U2548">
        <v>-0.59347530000000004</v>
      </c>
      <c r="V2548">
        <v>-7.3119729999999994E-2</v>
      </c>
      <c r="W2548">
        <v>0.21424969999999999</v>
      </c>
      <c r="X2548">
        <v>0.97403830000000002</v>
      </c>
      <c r="Y2548">
        <v>-0.1984515</v>
      </c>
      <c r="Z2548">
        <v>-4.9891279999999998E-3</v>
      </c>
      <c r="AA2548">
        <v>0.98009800000000002</v>
      </c>
      <c r="AB2548">
        <v>37</v>
      </c>
      <c r="AC2548">
        <v>-29.2409</v>
      </c>
      <c r="AD2548">
        <v>-1.0300933299999999</v>
      </c>
      <c r="AE2548">
        <v>-5.7670999999999699</v>
      </c>
      <c r="AF2548">
        <v>-5.9882554623600903</v>
      </c>
      <c r="AG2548">
        <v>-1.0300933299999999</v>
      </c>
      <c r="AH2548">
        <v>29.1601111740977</v>
      </c>
      <c r="AI2548">
        <v>91.9818332947589</v>
      </c>
      <c r="AJ2548">
        <v>101.60479694565799</v>
      </c>
      <c r="AK2548">
        <v>29.786446237118199</v>
      </c>
      <c r="AL2548">
        <v>77.628487657335299</v>
      </c>
      <c r="AM2548">
        <v>94.293064064339802</v>
      </c>
      <c r="AN2548">
        <v>1.00000001936612</v>
      </c>
    </row>
    <row r="2549" spans="1:40" x14ac:dyDescent="0.25">
      <c r="A2549" t="str">
        <f>"20190304155643305"</f>
        <v>20190304155643305</v>
      </c>
      <c r="B2549" t="str">
        <f>"1551686203297403"</f>
        <v>1551686203297403</v>
      </c>
      <c r="C2549" t="s">
        <v>40</v>
      </c>
      <c r="D2549">
        <v>4.5696479999999999</v>
      </c>
      <c r="E2549">
        <v>0.4499937</v>
      </c>
      <c r="F2549" t="s">
        <v>64</v>
      </c>
      <c r="G2549">
        <v>-438.43009999999998</v>
      </c>
      <c r="H2549">
        <v>8.0000650000000006E-2</v>
      </c>
      <c r="I2549">
        <v>278.96859999999998</v>
      </c>
      <c r="J2549">
        <v>-409.4409</v>
      </c>
      <c r="K2549">
        <v>1.1100939999999999</v>
      </c>
      <c r="L2549">
        <v>284.6771</v>
      </c>
      <c r="M2549">
        <v>-0.99986960000000003</v>
      </c>
      <c r="N2549">
        <v>-1.4095699999999999E-2</v>
      </c>
      <c r="O2549">
        <v>7.8826139999999996E-3</v>
      </c>
      <c r="P2549">
        <v>-0.97757229999999995</v>
      </c>
      <c r="Q2549">
        <v>0.20032240000000001</v>
      </c>
      <c r="R2549">
        <v>-6.4986530000000001E-2</v>
      </c>
      <c r="S2549">
        <v>-3.0512389999999998</v>
      </c>
      <c r="T2549">
        <v>-0.10708520000000001</v>
      </c>
      <c r="U2549">
        <v>-0.59313959999999999</v>
      </c>
      <c r="V2549">
        <v>-7.2643460000000007E-2</v>
      </c>
      <c r="W2549">
        <v>0.2140909</v>
      </c>
      <c r="X2549">
        <v>0.9741088</v>
      </c>
      <c r="Y2549">
        <v>-0.19838549999999999</v>
      </c>
      <c r="Z2549">
        <v>-5.0237370000000003E-3</v>
      </c>
      <c r="AA2549">
        <v>0.98011119999999996</v>
      </c>
      <c r="AB2549">
        <v>37</v>
      </c>
      <c r="AC2549">
        <v>-28.989199999999901</v>
      </c>
      <c r="AD2549">
        <v>-1.03009335</v>
      </c>
      <c r="AE2549">
        <v>-5.7085000000000097</v>
      </c>
      <c r="AF2549">
        <v>-5.9296484390939996</v>
      </c>
      <c r="AG2549">
        <v>-1.03009335</v>
      </c>
      <c r="AH2549">
        <v>28.9081586529196</v>
      </c>
      <c r="AI2549">
        <v>91.999185729208904</v>
      </c>
      <c r="AJ2549">
        <v>101.591737465531</v>
      </c>
      <c r="AK2549">
        <v>29.528011440381999</v>
      </c>
      <c r="AL2549">
        <v>77.6378017421859</v>
      </c>
      <c r="AM2549">
        <v>94.264896897696204</v>
      </c>
      <c r="AN2549">
        <v>0.99999996999051</v>
      </c>
    </row>
    <row r="2550" spans="1:40" x14ac:dyDescent="0.25">
      <c r="A2550" t="str">
        <f>"20190304155643327"</f>
        <v>20190304155643327</v>
      </c>
      <c r="B2550" t="str">
        <f>"1551686203316924"</f>
        <v>1551686203316924</v>
      </c>
      <c r="C2550" t="s">
        <v>40</v>
      </c>
      <c r="D2550">
        <v>4.6102600000000002</v>
      </c>
      <c r="E2550">
        <v>0.44988470000000003</v>
      </c>
      <c r="F2550" t="s">
        <v>64</v>
      </c>
      <c r="G2550">
        <v>-438.49349999999998</v>
      </c>
      <c r="H2550">
        <v>8.0000639999999998E-2</v>
      </c>
      <c r="I2550">
        <v>279.0324</v>
      </c>
      <c r="J2550">
        <v>-409.81369999999998</v>
      </c>
      <c r="K2550">
        <v>1.110093</v>
      </c>
      <c r="L2550">
        <v>284.68009999999998</v>
      </c>
      <c r="M2550">
        <v>-0.99986909999999896</v>
      </c>
      <c r="N2550">
        <v>-1.4092469999999999E-2</v>
      </c>
      <c r="O2550">
        <v>7.9541560000000004E-3</v>
      </c>
      <c r="P2550">
        <v>-0.97759839999999998</v>
      </c>
      <c r="Q2550">
        <v>0.20035069999999999</v>
      </c>
      <c r="R2550">
        <v>-6.4508529999999994E-2</v>
      </c>
      <c r="S2550">
        <v>-3.0515750000000001</v>
      </c>
      <c r="T2550">
        <v>-0.10819670000000001</v>
      </c>
      <c r="U2550">
        <v>-0.59289550000000002</v>
      </c>
      <c r="V2550">
        <v>-7.2235229999999997E-2</v>
      </c>
      <c r="W2550">
        <v>0.214116</v>
      </c>
      <c r="X2550">
        <v>0.97413369999999999</v>
      </c>
      <c r="Y2550">
        <v>-0.1983569</v>
      </c>
      <c r="Z2550">
        <v>-5.0624770000000001E-3</v>
      </c>
      <c r="AA2550">
        <v>0.98011680000000001</v>
      </c>
      <c r="AB2550">
        <v>37</v>
      </c>
      <c r="AC2550">
        <v>-28.6798</v>
      </c>
      <c r="AD2550">
        <v>-1.03009236</v>
      </c>
      <c r="AE2550">
        <v>-5.64769999999998</v>
      </c>
      <c r="AF2550">
        <v>-5.8683797684987704</v>
      </c>
      <c r="AG2550">
        <v>-1.03009236</v>
      </c>
      <c r="AH2550">
        <v>28.598449754565198</v>
      </c>
      <c r="AI2550">
        <v>92.020784856940097</v>
      </c>
      <c r="AJ2550">
        <v>101.596080270702</v>
      </c>
      <c r="AK2550">
        <v>29.212502456000699</v>
      </c>
      <c r="AL2550">
        <v>77.636330202411898</v>
      </c>
      <c r="AM2550">
        <v>94.240909400709995</v>
      </c>
      <c r="AN2550">
        <v>1.0000000276924199</v>
      </c>
    </row>
    <row r="2551" spans="1:40" x14ac:dyDescent="0.25">
      <c r="A2551" t="str">
        <f>"20190304155643349"</f>
        <v>20190304155643349</v>
      </c>
      <c r="B2551" t="str">
        <f>"1551686203337419"</f>
        <v>1551686203337419</v>
      </c>
      <c r="C2551" t="s">
        <v>40</v>
      </c>
      <c r="D2551">
        <v>4.5977709999999998</v>
      </c>
      <c r="E2551">
        <v>0.4496965</v>
      </c>
      <c r="F2551" t="s">
        <v>64</v>
      </c>
      <c r="G2551">
        <v>-438.72340000000003</v>
      </c>
      <c r="H2551">
        <v>8.0000589999999996E-2</v>
      </c>
      <c r="I2551">
        <v>279.06939999999997</v>
      </c>
      <c r="J2551">
        <v>-410.18279999999999</v>
      </c>
      <c r="K2551">
        <v>1.1100989999999999</v>
      </c>
      <c r="L2551">
        <v>284.68310000000002</v>
      </c>
      <c r="M2551">
        <v>-0.99986850000000005</v>
      </c>
      <c r="N2551">
        <v>-1.4089300000000001E-2</v>
      </c>
      <c r="O2551">
        <v>8.0252220000000003E-3</v>
      </c>
      <c r="P2551">
        <v>-0.97772320000000001</v>
      </c>
      <c r="Q2551">
        <v>0.19979849999999999</v>
      </c>
      <c r="R2551">
        <v>-6.4327949999999995E-2</v>
      </c>
      <c r="S2551">
        <v>-3.0519409999999998</v>
      </c>
      <c r="T2551">
        <v>-0.1087446</v>
      </c>
      <c r="U2551">
        <v>-0.592315699999999</v>
      </c>
      <c r="V2551">
        <v>-7.2125259999999997E-2</v>
      </c>
      <c r="W2551">
        <v>0.21356269999999999</v>
      </c>
      <c r="X2551">
        <v>0.97426330000000005</v>
      </c>
      <c r="Y2551">
        <v>-0.1982237</v>
      </c>
      <c r="Z2551">
        <v>-5.0790399999999999E-3</v>
      </c>
      <c r="AA2551">
        <v>0.98014369999999995</v>
      </c>
      <c r="AB2551">
        <v>37</v>
      </c>
      <c r="AC2551">
        <v>-28.540600000000001</v>
      </c>
      <c r="AD2551">
        <v>-1.0300984099999999</v>
      </c>
      <c r="AE2551">
        <v>-5.6137000000000503</v>
      </c>
      <c r="AF2551">
        <v>-5.8352683366534599</v>
      </c>
      <c r="AG2551">
        <v>-1.0300984099999999</v>
      </c>
      <c r="AH2551">
        <v>28.458933565256999</v>
      </c>
      <c r="AI2551">
        <v>92.030758044155604</v>
      </c>
      <c r="AJ2551">
        <v>101.58741950360201</v>
      </c>
      <c r="AK2551">
        <v>29.069268290872898</v>
      </c>
      <c r="AL2551">
        <v>77.668782633211706</v>
      </c>
      <c r="AM2551">
        <v>94.233915358943193</v>
      </c>
      <c r="AN2551">
        <v>1.00000002884412</v>
      </c>
    </row>
    <row r="2552" spans="1:40" x14ac:dyDescent="0.25">
      <c r="A2552" t="str">
        <f>"20190304155643372"</f>
        <v>20190304155643372</v>
      </c>
      <c r="B2552" t="str">
        <f>"1551686203367675"</f>
        <v>1551686203367675</v>
      </c>
      <c r="C2552" t="s">
        <v>40</v>
      </c>
      <c r="D2552">
        <v>4.7500790000000004</v>
      </c>
      <c r="E2552">
        <v>0.48473450000000001</v>
      </c>
      <c r="F2552" t="s">
        <v>64</v>
      </c>
      <c r="G2552">
        <v>-438.65069999999997</v>
      </c>
      <c r="H2552">
        <v>8.000061E-2</v>
      </c>
      <c r="I2552">
        <v>279.14999999999998</v>
      </c>
      <c r="J2552">
        <v>-410.56400000000002</v>
      </c>
      <c r="K2552">
        <v>1.1100920000000001</v>
      </c>
      <c r="L2552">
        <v>284.68619999999999</v>
      </c>
      <c r="M2552">
        <v>-0.99986790000000003</v>
      </c>
      <c r="N2552">
        <v>-1.409061E-2</v>
      </c>
      <c r="O2552">
        <v>8.09822199999999E-3</v>
      </c>
      <c r="P2552">
        <v>-0.97778799999999999</v>
      </c>
      <c r="Q2552">
        <v>0.19953460000000001</v>
      </c>
      <c r="R2552">
        <v>-6.4160830000000002E-2</v>
      </c>
      <c r="S2552">
        <v>-3.0518489999999998</v>
      </c>
      <c r="T2552">
        <v>-0.11042979999999999</v>
      </c>
      <c r="U2552">
        <v>-0.59317019999999998</v>
      </c>
      <c r="V2552">
        <v>-7.2030520000000001E-2</v>
      </c>
      <c r="W2552">
        <v>0.21330080000000001</v>
      </c>
      <c r="X2552">
        <v>0.97432759999999996</v>
      </c>
      <c r="Y2552">
        <v>-0.19856019999999999</v>
      </c>
      <c r="Z2552">
        <v>-5.1478089999999997E-3</v>
      </c>
      <c r="AA2552">
        <v>0.98007520000000004</v>
      </c>
      <c r="AB2552">
        <v>37</v>
      </c>
      <c r="AC2552">
        <v>-28.086699999999901</v>
      </c>
      <c r="AD2552">
        <v>-1.0300913899999999</v>
      </c>
      <c r="AE2552">
        <v>-5.5362</v>
      </c>
      <c r="AF2552">
        <v>-5.7560405392406402</v>
      </c>
      <c r="AG2552">
        <v>-1.0300913899999999</v>
      </c>
      <c r="AH2552">
        <v>28.004681084091001</v>
      </c>
      <c r="AI2552">
        <v>92.063454059206506</v>
      </c>
      <c r="AJ2552">
        <v>101.614733304065</v>
      </c>
      <c r="AK2552">
        <v>28.608656969224899</v>
      </c>
      <c r="AL2552">
        <v>77.684141324438301</v>
      </c>
      <c r="AM2552">
        <v>94.228096055147603</v>
      </c>
      <c r="AN2552">
        <v>0.99999994960693295</v>
      </c>
    </row>
    <row r="2553" spans="1:40" x14ac:dyDescent="0.25">
      <c r="A2553" t="str">
        <f>"20190304155643394"</f>
        <v>20190304155643394</v>
      </c>
      <c r="B2553" t="str">
        <f>"1551686203387195"</f>
        <v>1551686203387195</v>
      </c>
      <c r="C2553" t="s">
        <v>40</v>
      </c>
      <c r="D2553">
        <v>4.5779649999999998</v>
      </c>
      <c r="E2553">
        <v>0.50360720000000003</v>
      </c>
      <c r="F2553" t="s">
        <v>55</v>
      </c>
      <c r="G2553">
        <v>-460.02640000000002</v>
      </c>
      <c r="H2553">
        <v>4.8312490000000001E-3</v>
      </c>
      <c r="I2553">
        <v>279.61630000000002</v>
      </c>
      <c r="J2553">
        <v>-410.92410000000001</v>
      </c>
      <c r="K2553">
        <v>1.1100909999999999</v>
      </c>
      <c r="L2553">
        <v>284.68920000000003</v>
      </c>
      <c r="M2553">
        <v>-0.99986750000000002</v>
      </c>
      <c r="N2553">
        <v>-1.4095470000000001E-2</v>
      </c>
      <c r="O2553">
        <v>8.1673819999999904E-3</v>
      </c>
      <c r="P2553">
        <v>-0.97780230000000001</v>
      </c>
      <c r="Q2553">
        <v>0.199546</v>
      </c>
      <c r="R2553">
        <v>-6.3910460000000002E-2</v>
      </c>
      <c r="S2553">
        <v>-3.0615839999999999</v>
      </c>
      <c r="T2553">
        <v>-6.8412539999999994E-2</v>
      </c>
      <c r="U2553">
        <v>-0.31381229999999999</v>
      </c>
      <c r="V2553">
        <v>-7.1847670000000002E-2</v>
      </c>
      <c r="W2553">
        <v>0.21331710000000001</v>
      </c>
      <c r="X2553">
        <v>0.97433760000000003</v>
      </c>
      <c r="Y2553">
        <v>-0.1100431</v>
      </c>
      <c r="Z2553">
        <v>-2.0711060000000001E-3</v>
      </c>
      <c r="AA2553">
        <v>0.99392469999999999</v>
      </c>
      <c r="AB2553">
        <v>37</v>
      </c>
      <c r="AC2553">
        <v>-49.1023</v>
      </c>
      <c r="AD2553">
        <v>-1.105259751</v>
      </c>
      <c r="AE2553">
        <v>-5.0728999999999997</v>
      </c>
      <c r="AF2553">
        <v>-5.4710650233640701</v>
      </c>
      <c r="AG2553">
        <v>-1.105259751</v>
      </c>
      <c r="AH2553">
        <v>49.034643518444298</v>
      </c>
      <c r="AI2553">
        <v>91.283289784212698</v>
      </c>
      <c r="AJ2553">
        <v>96.366473625325995</v>
      </c>
      <c r="AK2553">
        <v>49.351295997045199</v>
      </c>
      <c r="AL2553">
        <v>77.683186230592497</v>
      </c>
      <c r="AM2553">
        <v>94.217358649160602</v>
      </c>
      <c r="AN2553">
        <v>1.00000001580529</v>
      </c>
    </row>
    <row r="2554" spans="1:40" x14ac:dyDescent="0.25">
      <c r="A2554" t="str">
        <f>"20190304155643416"</f>
        <v>20190304155643416</v>
      </c>
      <c r="B2554" t="str">
        <f>"1551686203407691"</f>
        <v>1551686203407691</v>
      </c>
      <c r="C2554" t="s">
        <v>40</v>
      </c>
      <c r="D2554">
        <v>4.5442580000000001</v>
      </c>
      <c r="E2554">
        <v>0.51051059999999904</v>
      </c>
      <c r="F2554" t="s">
        <v>55</v>
      </c>
      <c r="G2554">
        <v>-468.86540000000002</v>
      </c>
      <c r="H2554" s="1">
        <v>3.311983E-6</v>
      </c>
      <c r="I2554">
        <v>281.6182</v>
      </c>
      <c r="J2554">
        <v>-411.30099999999999</v>
      </c>
      <c r="K2554">
        <v>1.1101030000000001</v>
      </c>
      <c r="L2554">
        <v>284.69240000000002</v>
      </c>
      <c r="M2554">
        <v>-0.9998667</v>
      </c>
      <c r="N2554">
        <v>-1.410165E-2</v>
      </c>
      <c r="O2554">
        <v>8.2398709999999993E-3</v>
      </c>
      <c r="P2554">
        <v>-0.97775060000000003</v>
      </c>
      <c r="Q2554">
        <v>0.19981579999999999</v>
      </c>
      <c r="R2554">
        <v>-6.3856830000000003E-2</v>
      </c>
      <c r="S2554">
        <v>-3.069458</v>
      </c>
      <c r="T2554">
        <v>-5.8807249999999998E-2</v>
      </c>
      <c r="U2554">
        <v>-0.16268920000000001</v>
      </c>
      <c r="V2554">
        <v>-7.1864150000000002E-2</v>
      </c>
      <c r="W2554">
        <v>0.21359249999999999</v>
      </c>
      <c r="X2554">
        <v>0.97427609999999998</v>
      </c>
      <c r="Y2554">
        <v>-6.1136089999999997E-2</v>
      </c>
      <c r="Z2554">
        <v>-1.058273E-3</v>
      </c>
      <c r="AA2554">
        <v>0.99812889999999999</v>
      </c>
      <c r="AB2554">
        <v>37</v>
      </c>
      <c r="AC2554">
        <v>-57.564399999999999</v>
      </c>
      <c r="AD2554">
        <v>-1.110099688017</v>
      </c>
      <c r="AE2554">
        <v>-3.07420000000001</v>
      </c>
      <c r="AF2554">
        <v>-3.5471505706596398</v>
      </c>
      <c r="AG2554">
        <v>-1.110099688017</v>
      </c>
      <c r="AH2554">
        <v>57.515783081476599</v>
      </c>
      <c r="AI2554">
        <v>91.103619854298501</v>
      </c>
      <c r="AJ2554">
        <v>93.529112552894404</v>
      </c>
      <c r="AK2554">
        <v>57.635751942381603</v>
      </c>
      <c r="AL2554">
        <v>77.667035351910499</v>
      </c>
      <c r="AM2554">
        <v>94.218587826087202</v>
      </c>
      <c r="AN2554">
        <v>1.0000000655713299</v>
      </c>
    </row>
    <row r="2555" spans="1:40" x14ac:dyDescent="0.25">
      <c r="A2555" t="str">
        <f>"20190304155643438"</f>
        <v>20190304155643438</v>
      </c>
      <c r="B2555" t="str">
        <f>"1551686203427214"</f>
        <v>1551686203427214</v>
      </c>
      <c r="C2555" t="s">
        <v>40</v>
      </c>
      <c r="D2555">
        <v>4.5378210000000001</v>
      </c>
      <c r="E2555">
        <v>0.51382240000000001</v>
      </c>
      <c r="F2555" t="s">
        <v>53</v>
      </c>
      <c r="G2555">
        <v>-475.61680000000001</v>
      </c>
      <c r="H2555" s="1">
        <v>3.9325040000000002E-6</v>
      </c>
      <c r="I2555">
        <v>282.43389999999999</v>
      </c>
      <c r="J2555">
        <v>-411.66890000000001</v>
      </c>
      <c r="K2555">
        <v>1.1101000000000001</v>
      </c>
      <c r="L2555">
        <v>284.69549999999998</v>
      </c>
      <c r="M2555">
        <v>-0.99986600000000003</v>
      </c>
      <c r="N2555">
        <v>-1.4107359999999999E-2</v>
      </c>
      <c r="O2555">
        <v>8.3104570000000003E-3</v>
      </c>
      <c r="P2555">
        <v>-0.97769930000000005</v>
      </c>
      <c r="Q2555">
        <v>0.2000914</v>
      </c>
      <c r="R2555">
        <v>-6.3779929999999999E-2</v>
      </c>
      <c r="S2555">
        <v>-3.0720830000000001</v>
      </c>
      <c r="T2555">
        <v>-5.302453E-2</v>
      </c>
      <c r="U2555">
        <v>-0.10787960000000001</v>
      </c>
      <c r="V2555">
        <v>-7.1856400000000001E-2</v>
      </c>
      <c r="W2555">
        <v>0.2138719</v>
      </c>
      <c r="X2555">
        <v>0.97421530000000001</v>
      </c>
      <c r="Y2555">
        <v>-4.3387670000000003E-2</v>
      </c>
      <c r="Z2555">
        <v>-7.0667389999999998E-4</v>
      </c>
      <c r="AA2555">
        <v>0.99905809999999995</v>
      </c>
      <c r="AB2555">
        <v>37</v>
      </c>
      <c r="AC2555">
        <v>-63.947899999999997</v>
      </c>
      <c r="AD2555">
        <v>-1.1100960674959901</v>
      </c>
      <c r="AE2555">
        <v>-2.2615999999999801</v>
      </c>
      <c r="AF2555">
        <v>-2.7921706587726201</v>
      </c>
      <c r="AG2555">
        <v>-1.1100960674959901</v>
      </c>
      <c r="AH2555">
        <v>63.907660085878099</v>
      </c>
      <c r="AI2555">
        <v>90.994197294457095</v>
      </c>
      <c r="AJ2555">
        <v>92.501701937128601</v>
      </c>
      <c r="AK2555">
        <v>63.978258400169999</v>
      </c>
      <c r="AL2555">
        <v>77.650647311837901</v>
      </c>
      <c r="AM2555">
        <v>94.218396825895596</v>
      </c>
      <c r="AN2555">
        <v>0.99999999129232997</v>
      </c>
    </row>
    <row r="2556" spans="1:40" x14ac:dyDescent="0.25">
      <c r="A2556" t="str">
        <f>"20190304155643461"</f>
        <v>20190304155643461</v>
      </c>
      <c r="B2556" t="str">
        <f>"1551686203457467"</f>
        <v>1551686203457467</v>
      </c>
      <c r="C2556" t="s">
        <v>40</v>
      </c>
      <c r="D2556">
        <v>4.5402329999999997</v>
      </c>
      <c r="E2556">
        <v>0.51630900000000002</v>
      </c>
      <c r="F2556" t="s">
        <v>53</v>
      </c>
      <c r="G2556">
        <v>-481.90219999999999</v>
      </c>
      <c r="H2556" s="1">
        <v>2.3882089999999999E-6</v>
      </c>
      <c r="I2556">
        <v>282.84370000000001</v>
      </c>
      <c r="J2556">
        <v>-412.0385</v>
      </c>
      <c r="K2556">
        <v>1.1101000000000001</v>
      </c>
      <c r="L2556">
        <v>284.6986</v>
      </c>
      <c r="M2556">
        <v>-0.99986540000000002</v>
      </c>
      <c r="N2556">
        <v>-1.4114639999999999E-2</v>
      </c>
      <c r="O2556">
        <v>8.3816280000000003E-3</v>
      </c>
      <c r="P2556">
        <v>-0.97765279999999999</v>
      </c>
      <c r="Q2556">
        <v>0.2003643</v>
      </c>
      <c r="R2556">
        <v>-6.3636059999999994E-2</v>
      </c>
      <c r="S2556">
        <v>-3.0730590000000002</v>
      </c>
      <c r="T2556">
        <v>-4.8572299999999999E-2</v>
      </c>
      <c r="U2556">
        <v>-8.1024170000000006E-2</v>
      </c>
      <c r="V2556">
        <v>-7.1781750000000005E-2</v>
      </c>
      <c r="W2556">
        <v>0.21415139999999999</v>
      </c>
      <c r="X2556">
        <v>0.97415940000000001</v>
      </c>
      <c r="Y2556">
        <v>-3.4727220000000003E-2</v>
      </c>
      <c r="Z2556">
        <v>-5.3371050000000002E-4</v>
      </c>
      <c r="AA2556">
        <v>0.99939670000000003</v>
      </c>
      <c r="AB2556">
        <v>37</v>
      </c>
      <c r="AC2556">
        <v>-69.863699999999994</v>
      </c>
      <c r="AD2556">
        <v>-1.110097611791</v>
      </c>
      <c r="AE2556">
        <v>-1.85489999999998</v>
      </c>
      <c r="AF2556">
        <v>-2.4398490595995401</v>
      </c>
      <c r="AG2556">
        <v>-1.110097611791</v>
      </c>
      <c r="AH2556">
        <v>69.828079361163702</v>
      </c>
      <c r="AI2556">
        <v>90.910232254907996</v>
      </c>
      <c r="AJ2556">
        <v>92.001146350399296</v>
      </c>
      <c r="AK2556">
        <v>69.879509496062596</v>
      </c>
      <c r="AL2556">
        <v>77.634253283895106</v>
      </c>
      <c r="AM2556">
        <v>94.214271165087098</v>
      </c>
      <c r="AN2556">
        <v>0.99999998918169097</v>
      </c>
    </row>
    <row r="2557" spans="1:40" x14ac:dyDescent="0.25">
      <c r="A2557" t="str">
        <f>"20190304155643483"</f>
        <v>20190304155643483</v>
      </c>
      <c r="B2557" t="str">
        <f>"1551686203476987"</f>
        <v>1551686203476987</v>
      </c>
      <c r="C2557" t="s">
        <v>40</v>
      </c>
      <c r="D2557">
        <v>4.5701749999999999</v>
      </c>
      <c r="E2557">
        <v>0.51734659999999999</v>
      </c>
      <c r="F2557" t="s">
        <v>53</v>
      </c>
      <c r="G2557">
        <v>-488.8603</v>
      </c>
      <c r="H2557" s="1">
        <v>3.6522450000000001E-6</v>
      </c>
      <c r="I2557">
        <v>283.18459999999999</v>
      </c>
      <c r="J2557">
        <v>-412.41640000000001</v>
      </c>
      <c r="K2557">
        <v>1.110109</v>
      </c>
      <c r="L2557">
        <v>284.70190000000002</v>
      </c>
      <c r="M2557">
        <v>-0.99986450000000004</v>
      </c>
      <c r="N2557">
        <v>-1.412599E-2</v>
      </c>
      <c r="O2557">
        <v>8.4542019999999992E-3</v>
      </c>
      <c r="P2557">
        <v>-0.97751180000000004</v>
      </c>
      <c r="Q2557">
        <v>0.20097490000000001</v>
      </c>
      <c r="R2557">
        <v>-6.3872880000000007E-2</v>
      </c>
      <c r="S2557">
        <v>-3.0737000000000001</v>
      </c>
      <c r="T2557">
        <v>-4.4415830000000003E-2</v>
      </c>
      <c r="U2557">
        <v>-6.0577390000000002E-2</v>
      </c>
      <c r="V2557">
        <v>-7.2088050000000001E-2</v>
      </c>
      <c r="W2557">
        <v>0.2147713</v>
      </c>
      <c r="X2557">
        <v>0.97400030000000004</v>
      </c>
      <c r="Y2557">
        <v>-2.815136E-2</v>
      </c>
      <c r="Z2557">
        <v>-4.0498200000000002E-4</v>
      </c>
      <c r="AA2557">
        <v>0.99960360000000004</v>
      </c>
      <c r="AB2557">
        <v>37</v>
      </c>
      <c r="AC2557">
        <v>-76.4438999999999</v>
      </c>
      <c r="AD2557">
        <v>-1.110105347755</v>
      </c>
      <c r="AE2557">
        <v>-1.5173000000000301</v>
      </c>
      <c r="AF2557">
        <v>-2.1631264268491899</v>
      </c>
      <c r="AG2557">
        <v>-1.110105347755</v>
      </c>
      <c r="AH2557">
        <v>76.412230970611404</v>
      </c>
      <c r="AI2557">
        <v>90.831992618658305</v>
      </c>
      <c r="AJ2557">
        <v>91.621532600648493</v>
      </c>
      <c r="AK2557">
        <v>76.450902491257196</v>
      </c>
      <c r="AL2557">
        <v>77.597889561722397</v>
      </c>
      <c r="AM2557">
        <v>94.232877488488896</v>
      </c>
      <c r="AN2557">
        <v>0.99999999132829098</v>
      </c>
    </row>
    <row r="2558" spans="1:40" x14ac:dyDescent="0.25">
      <c r="A2558" t="str">
        <f>"20190304155643506"</f>
        <v>20190304155643506</v>
      </c>
      <c r="B2558" t="str">
        <f>"1551686203497483"</f>
        <v>1551686203497483</v>
      </c>
      <c r="C2558" t="s">
        <v>40</v>
      </c>
      <c r="D2558">
        <v>4.5420369999999997</v>
      </c>
      <c r="E2558">
        <v>0.51808419999999999</v>
      </c>
      <c r="F2558" t="s">
        <v>53</v>
      </c>
      <c r="G2558">
        <v>-497.92880000000002</v>
      </c>
      <c r="H2558" s="1">
        <v>2.4370129999999999E-6</v>
      </c>
      <c r="I2558">
        <v>283.23059999999998</v>
      </c>
      <c r="J2558">
        <v>-412.7851</v>
      </c>
      <c r="K2558">
        <v>1.1101209999999999</v>
      </c>
      <c r="L2558">
        <v>284.70499999999998</v>
      </c>
      <c r="M2558">
        <v>-0.99986370000000002</v>
      </c>
      <c r="N2558">
        <v>-1.4138929999999999E-2</v>
      </c>
      <c r="O2558">
        <v>8.5250949999999999E-3</v>
      </c>
      <c r="P2558">
        <v>-0.97746129999999998</v>
      </c>
      <c r="Q2558">
        <v>0.20131859999999999</v>
      </c>
      <c r="R2558">
        <v>-6.3563309999999998E-2</v>
      </c>
      <c r="S2558">
        <v>-3.0737920000000001</v>
      </c>
      <c r="T2558">
        <v>-3.9903399999999999E-2</v>
      </c>
      <c r="U2558">
        <v>-5.2886959999999997E-2</v>
      </c>
      <c r="V2558">
        <v>-7.1847289999999994E-2</v>
      </c>
      <c r="W2558">
        <v>0.2151267</v>
      </c>
      <c r="X2558">
        <v>0.97393969999999996</v>
      </c>
      <c r="Y2558">
        <v>-2.5722760000000001E-2</v>
      </c>
      <c r="Z2558">
        <v>-3.389566E-4</v>
      </c>
      <c r="AA2558">
        <v>0.99966909999999998</v>
      </c>
      <c r="AB2558">
        <v>37</v>
      </c>
      <c r="AC2558">
        <v>-85.143699999999995</v>
      </c>
      <c r="AD2558">
        <v>-1.1101185629869901</v>
      </c>
      <c r="AE2558">
        <v>-1.4743999999999999</v>
      </c>
      <c r="AF2558">
        <v>-2.1999032453855198</v>
      </c>
      <c r="AG2558">
        <v>-1.1101185629869901</v>
      </c>
      <c r="AH2558">
        <v>85.113570201617193</v>
      </c>
      <c r="AI2558">
        <v>90.747005095022303</v>
      </c>
      <c r="AJ2558">
        <v>91.480576059120494</v>
      </c>
      <c r="AK2558">
        <v>85.149232351082105</v>
      </c>
      <c r="AL2558">
        <v>77.577039818783803</v>
      </c>
      <c r="AM2558">
        <v>94.219053183348294</v>
      </c>
      <c r="AN2558">
        <v>1.00000003468466</v>
      </c>
    </row>
    <row r="2559" spans="1:40" x14ac:dyDescent="0.25">
      <c r="A2559" t="str">
        <f>"20190304155643528"</f>
        <v>20190304155643528</v>
      </c>
      <c r="B2559" t="str">
        <f>"1551686203517003"</f>
        <v>1551686203517003</v>
      </c>
      <c r="C2559" t="s">
        <v>40</v>
      </c>
      <c r="D2559">
        <v>4.6487150000000002</v>
      </c>
      <c r="E2559">
        <v>0.51842690000000002</v>
      </c>
      <c r="F2559" t="s">
        <v>53</v>
      </c>
      <c r="G2559">
        <v>-499.95780000000002</v>
      </c>
      <c r="H2559">
        <v>4.0178989999999998E-2</v>
      </c>
      <c r="I2559">
        <v>283.37479999999999</v>
      </c>
      <c r="J2559">
        <v>-413.16019999999997</v>
      </c>
      <c r="K2559">
        <v>1.1101270000000001</v>
      </c>
      <c r="L2559">
        <v>284.70830000000001</v>
      </c>
      <c r="M2559">
        <v>-0.9998629</v>
      </c>
      <c r="N2559">
        <v>-1.415167E-2</v>
      </c>
      <c r="O2559">
        <v>8.5971810000000006E-3</v>
      </c>
      <c r="P2559">
        <v>-0.97750789999999999</v>
      </c>
      <c r="Q2559">
        <v>0.2011318</v>
      </c>
      <c r="R2559">
        <v>-6.3437300000000002E-2</v>
      </c>
      <c r="S2559">
        <v>-3.0739139999999998</v>
      </c>
      <c r="T2559">
        <v>-3.7728669999999999E-2</v>
      </c>
      <c r="U2559">
        <v>-4.6905519999999999E-2</v>
      </c>
      <c r="V2559">
        <v>-7.1792040000000001E-2</v>
      </c>
      <c r="W2559">
        <v>0.2149529</v>
      </c>
      <c r="X2559">
        <v>0.97398209999999996</v>
      </c>
      <c r="Y2559">
        <v>-2.3850039999999999E-2</v>
      </c>
      <c r="Z2559">
        <v>-2.9899009999999999E-4</v>
      </c>
      <c r="AA2559">
        <v>0.99971549999999998</v>
      </c>
      <c r="AB2559">
        <v>37</v>
      </c>
      <c r="AC2559">
        <v>-86.797600000000003</v>
      </c>
      <c r="AD2559">
        <v>-1.0699480100000001</v>
      </c>
      <c r="AE2559">
        <v>-1.3335000000000099</v>
      </c>
      <c r="AF2559">
        <v>-2.0794242189400398</v>
      </c>
      <c r="AG2559">
        <v>-1.0699480100000001</v>
      </c>
      <c r="AH2559">
        <v>86.769744306835904</v>
      </c>
      <c r="AI2559">
        <v>90.706269281743999</v>
      </c>
      <c r="AJ2559">
        <v>91.372822197548601</v>
      </c>
      <c r="AK2559">
        <v>86.801251839475796</v>
      </c>
      <c r="AL2559">
        <v>77.587235790087306</v>
      </c>
      <c r="AM2559">
        <v>94.215637602601504</v>
      </c>
      <c r="AN2559">
        <v>0.99999998867309003</v>
      </c>
    </row>
    <row r="2560" spans="1:40" x14ac:dyDescent="0.25">
      <c r="A2560" t="str">
        <f>"20190304155643551"</f>
        <v>20190304155643551</v>
      </c>
      <c r="B2560" t="str">
        <f>"1551686203547260"</f>
        <v>1551686203547260</v>
      </c>
      <c r="C2560" t="s">
        <v>40</v>
      </c>
      <c r="D2560">
        <v>4.532324</v>
      </c>
      <c r="E2560">
        <v>0.519009099999999</v>
      </c>
      <c r="F2560" t="s">
        <v>53</v>
      </c>
      <c r="G2560">
        <v>-499.98320000000001</v>
      </c>
      <c r="H2560">
        <v>7.5336829999999994E-2</v>
      </c>
      <c r="I2560">
        <v>283.49549999999999</v>
      </c>
      <c r="J2560">
        <v>-413.52080000000001</v>
      </c>
      <c r="K2560">
        <v>1.110133</v>
      </c>
      <c r="L2560">
        <v>284.7115</v>
      </c>
      <c r="M2560">
        <v>-0.99986209999999998</v>
      </c>
      <c r="N2560">
        <v>-1.416688E-2</v>
      </c>
      <c r="O2560">
        <v>8.6669260000000001E-3</v>
      </c>
      <c r="P2560">
        <v>-0.97744759999999997</v>
      </c>
      <c r="Q2560">
        <v>0.20134850000000001</v>
      </c>
      <c r="R2560">
        <v>-6.3681329999999994E-2</v>
      </c>
      <c r="S2560">
        <v>-3.0737920000000001</v>
      </c>
      <c r="T2560">
        <v>-3.6634680000000003E-2</v>
      </c>
      <c r="U2560">
        <v>-4.2938230000000001E-2</v>
      </c>
      <c r="V2560">
        <v>-7.2103650000000005E-2</v>
      </c>
      <c r="W2560">
        <v>0.21518300000000001</v>
      </c>
      <c r="X2560">
        <v>0.97390829999999995</v>
      </c>
      <c r="Y2560">
        <v>-2.2630669999999999E-2</v>
      </c>
      <c r="Z2560">
        <v>-2.756848E-4</v>
      </c>
      <c r="AA2560">
        <v>0.99974390000000002</v>
      </c>
      <c r="AB2560">
        <v>37</v>
      </c>
      <c r="AC2560">
        <v>-86.462400000000002</v>
      </c>
      <c r="AD2560">
        <v>-1.0347961699999999</v>
      </c>
      <c r="AE2560">
        <v>-1.216</v>
      </c>
      <c r="AF2560">
        <v>-1.96511131833329</v>
      </c>
      <c r="AG2560">
        <v>-1.0347961699999999</v>
      </c>
      <c r="AH2560">
        <v>86.436233496124402</v>
      </c>
      <c r="AI2560">
        <v>90.685722921176705</v>
      </c>
      <c r="AJ2560">
        <v>91.302384285373407</v>
      </c>
      <c r="AK2560">
        <v>86.464761183984194</v>
      </c>
      <c r="AL2560">
        <v>77.573736500874503</v>
      </c>
      <c r="AM2560">
        <v>94.234188650765503</v>
      </c>
      <c r="AN2560">
        <v>1.0000000183205999</v>
      </c>
    </row>
    <row r="2561" spans="1:40" x14ac:dyDescent="0.25">
      <c r="A2561" t="str">
        <f>"20190304155643572"</f>
        <v>20190304155643572</v>
      </c>
      <c r="B2561" t="str">
        <f>"1551686203566783"</f>
        <v>1551686203566783</v>
      </c>
      <c r="C2561" t="s">
        <v>40</v>
      </c>
      <c r="D2561">
        <v>4.7324210000000004</v>
      </c>
      <c r="E2561">
        <v>0.51886209999999999</v>
      </c>
      <c r="F2561" t="s">
        <v>53</v>
      </c>
      <c r="G2561">
        <v>-499.98390000000001</v>
      </c>
      <c r="H2561">
        <v>7.6089190000000001E-2</v>
      </c>
      <c r="I2561">
        <v>283.62150000000003</v>
      </c>
      <c r="J2561">
        <v>-413.89179999999999</v>
      </c>
      <c r="K2561">
        <v>1.110139</v>
      </c>
      <c r="L2561">
        <v>284.71480000000003</v>
      </c>
      <c r="M2561">
        <v>-0.99986109999999995</v>
      </c>
      <c r="N2561">
        <v>-1.4194750000000001E-2</v>
      </c>
      <c r="O2561">
        <v>8.7378919999999902E-3</v>
      </c>
      <c r="P2561">
        <v>-0.97740380000000004</v>
      </c>
      <c r="Q2561">
        <v>0.20147699999999999</v>
      </c>
      <c r="R2561">
        <v>-6.3946779999999995E-2</v>
      </c>
      <c r="S2561">
        <v>-3.0742799999999999</v>
      </c>
      <c r="T2561">
        <v>-3.6766409999999999E-2</v>
      </c>
      <c r="U2561">
        <v>-3.8757319999999998E-2</v>
      </c>
      <c r="V2561">
        <v>-7.2438260000000004E-2</v>
      </c>
      <c r="W2561">
        <v>0.2153381</v>
      </c>
      <c r="X2561">
        <v>0.97384919999999997</v>
      </c>
      <c r="Y2561">
        <v>-2.13402E-2</v>
      </c>
      <c r="Z2561">
        <v>-2.5954109999999999E-4</v>
      </c>
      <c r="AA2561">
        <v>0.99977229999999995</v>
      </c>
      <c r="AB2561">
        <v>37</v>
      </c>
      <c r="AC2561">
        <v>-86.092100000000002</v>
      </c>
      <c r="AD2561">
        <v>-1.03404981</v>
      </c>
      <c r="AE2561">
        <v>-1.0932999999999899</v>
      </c>
      <c r="AF2561">
        <v>-1.84533133021119</v>
      </c>
      <c r="AG2561">
        <v>-1.03404981</v>
      </c>
      <c r="AH2561">
        <v>86.066844279106704</v>
      </c>
      <c r="AI2561">
        <v>90.688188682589995</v>
      </c>
      <c r="AJ2561">
        <v>91.228272059604507</v>
      </c>
      <c r="AK2561">
        <v>86.092834724452104</v>
      </c>
      <c r="AL2561">
        <v>77.564636760887595</v>
      </c>
      <c r="AM2561">
        <v>94.254023408999601</v>
      </c>
      <c r="AN2561">
        <v>1.0000000315820301</v>
      </c>
    </row>
    <row r="2562" spans="1:40" x14ac:dyDescent="0.25">
      <c r="A2562" t="str">
        <f>"20190304155643596"</f>
        <v>20190304155643596</v>
      </c>
      <c r="B2562" t="str">
        <f>"1551686203587278"</f>
        <v>1551686203587278</v>
      </c>
      <c r="C2562" t="s">
        <v>40</v>
      </c>
      <c r="D2562">
        <v>4.5409819999999996</v>
      </c>
      <c r="E2562">
        <v>0.51912510000000001</v>
      </c>
      <c r="F2562" t="s">
        <v>53</v>
      </c>
      <c r="G2562">
        <v>-499.96570000000003</v>
      </c>
      <c r="H2562">
        <v>5.7918890000000001E-2</v>
      </c>
      <c r="I2562">
        <v>283.57240000000002</v>
      </c>
      <c r="J2562">
        <v>-414.25990000000002</v>
      </c>
      <c r="K2562">
        <v>1.110147</v>
      </c>
      <c r="L2562">
        <v>284.71800000000002</v>
      </c>
      <c r="M2562">
        <v>-0.99985999999999997</v>
      </c>
      <c r="N2562">
        <v>-1.4230400000000001E-2</v>
      </c>
      <c r="O2562">
        <v>8.808448E-3</v>
      </c>
      <c r="P2562">
        <v>-0.97751359999999998</v>
      </c>
      <c r="Q2562">
        <v>0.20092479999999999</v>
      </c>
      <c r="R2562">
        <v>-6.4004229999999995E-2</v>
      </c>
      <c r="S2562">
        <v>-3.0744319999999998</v>
      </c>
      <c r="T2562">
        <v>-3.7583709999999999E-2</v>
      </c>
      <c r="U2562">
        <v>-4.0801999999999998E-2</v>
      </c>
      <c r="V2562">
        <v>-7.2565569999999996E-2</v>
      </c>
      <c r="W2562">
        <v>0.21482209999999999</v>
      </c>
      <c r="X2562">
        <v>0.97395370000000003</v>
      </c>
      <c r="Y2562">
        <v>-2.2074690000000001E-2</v>
      </c>
      <c r="Z2562">
        <v>-2.7433239999999999E-4</v>
      </c>
      <c r="AA2562">
        <v>0.99975630000000004</v>
      </c>
      <c r="AB2562">
        <v>37</v>
      </c>
      <c r="AC2562">
        <v>-85.705799999999996</v>
      </c>
      <c r="AD2562">
        <v>-1.0522281099999999</v>
      </c>
      <c r="AE2562">
        <v>-1.1456</v>
      </c>
      <c r="AF2562">
        <v>-1.9002806598519</v>
      </c>
      <c r="AG2562">
        <v>-1.0522281099999999</v>
      </c>
      <c r="AH2562">
        <v>85.679470229979799</v>
      </c>
      <c r="AI2562">
        <v>90.703440142625496</v>
      </c>
      <c r="AJ2562">
        <v>91.270551908073003</v>
      </c>
      <c r="AK2562">
        <v>85.707000119428301</v>
      </c>
      <c r="AL2562">
        <v>77.594910154285799</v>
      </c>
      <c r="AM2562">
        <v>94.261016773894397</v>
      </c>
      <c r="AN2562">
        <v>1.00000005317076</v>
      </c>
    </row>
    <row r="2563" spans="1:40" x14ac:dyDescent="0.25">
      <c r="A2563" t="str">
        <f>"20190304155643617"</f>
        <v>20190304155643617</v>
      </c>
      <c r="B2563" t="str">
        <f>"1551686203606795"</f>
        <v>1551686203606795</v>
      </c>
      <c r="C2563" t="s">
        <v>40</v>
      </c>
      <c r="D2563">
        <v>4.5524529999999999</v>
      </c>
      <c r="E2563">
        <v>0.51939849999999999</v>
      </c>
      <c r="F2563" t="s">
        <v>53</v>
      </c>
      <c r="G2563">
        <v>-499.95780000000002</v>
      </c>
      <c r="H2563">
        <v>9.5555139999999993E-3</v>
      </c>
      <c r="I2563">
        <v>283.6293</v>
      </c>
      <c r="J2563">
        <v>-414.62819999999999</v>
      </c>
      <c r="K2563">
        <v>1.1101449999999999</v>
      </c>
      <c r="L2563">
        <v>284.72140000000002</v>
      </c>
      <c r="M2563">
        <v>-0.99985889999999999</v>
      </c>
      <c r="N2563">
        <v>-1.427105E-2</v>
      </c>
      <c r="O2563">
        <v>8.8791419999999996E-3</v>
      </c>
      <c r="P2563">
        <v>-0.97755259999999999</v>
      </c>
      <c r="Q2563">
        <v>0.2007775</v>
      </c>
      <c r="R2563">
        <v>-6.387147E-2</v>
      </c>
      <c r="S2563">
        <v>-3.0745849999999999</v>
      </c>
      <c r="T2563">
        <v>-3.9485930000000002E-2</v>
      </c>
      <c r="U2563">
        <v>-3.90625E-2</v>
      </c>
      <c r="V2563">
        <v>-7.250231E-2</v>
      </c>
      <c r="W2563">
        <v>0.21471499999999999</v>
      </c>
      <c r="X2563">
        <v>0.97398200000000001</v>
      </c>
      <c r="Y2563">
        <v>-2.1579000000000001E-2</v>
      </c>
      <c r="Z2563">
        <v>-2.7986709999999998E-4</v>
      </c>
      <c r="AA2563">
        <v>0.99976710000000002</v>
      </c>
      <c r="AB2563">
        <v>37</v>
      </c>
      <c r="AC2563">
        <v>-85.329599999999999</v>
      </c>
      <c r="AD2563">
        <v>-1.1005894859999901</v>
      </c>
      <c r="AE2563">
        <v>-1.0921000000000101</v>
      </c>
      <c r="AF2563">
        <v>-1.849479987429</v>
      </c>
      <c r="AG2563">
        <v>-1.1005894859999901</v>
      </c>
      <c r="AH2563">
        <v>85.302349042785593</v>
      </c>
      <c r="AI2563">
        <v>90.739027946714302</v>
      </c>
      <c r="AJ2563">
        <v>91.242061899216296</v>
      </c>
      <c r="AK2563">
        <v>85.329494465031303</v>
      </c>
      <c r="AL2563">
        <v>77.601192806638394</v>
      </c>
      <c r="AM2563">
        <v>94.257192593510794</v>
      </c>
      <c r="AN2563">
        <v>1.00000002625216</v>
      </c>
    </row>
    <row r="2564" spans="1:40" x14ac:dyDescent="0.25">
      <c r="A2564" t="str">
        <f>"20190304155643639"</f>
        <v>20190304155643639</v>
      </c>
      <c r="B2564" t="str">
        <f>"1551686203637036"</f>
        <v>1551686203637036</v>
      </c>
      <c r="C2564" t="s">
        <v>40</v>
      </c>
      <c r="D2564">
        <v>4.5655489999999999</v>
      </c>
      <c r="E2564">
        <v>0.51974639999999905</v>
      </c>
      <c r="F2564" t="s">
        <v>53</v>
      </c>
      <c r="G2564">
        <v>-499.8929</v>
      </c>
      <c r="H2564" s="1">
        <v>2.129786E-6</v>
      </c>
      <c r="I2564">
        <v>283.70159999999998</v>
      </c>
      <c r="J2564">
        <v>-414.99099999999999</v>
      </c>
      <c r="K2564">
        <v>1.1101589999999999</v>
      </c>
      <c r="L2564">
        <v>284.72469999999998</v>
      </c>
      <c r="M2564">
        <v>-0.99985769999999996</v>
      </c>
      <c r="N2564">
        <v>-1.431372E-2</v>
      </c>
      <c r="O2564">
        <v>8.9491650000000002E-3</v>
      </c>
      <c r="P2564">
        <v>-0.97760360000000002</v>
      </c>
      <c r="Q2564">
        <v>0.20061709999999999</v>
      </c>
      <c r="R2564">
        <v>-6.3599719999999998E-2</v>
      </c>
      <c r="S2564">
        <v>-3.0746769999999999</v>
      </c>
      <c r="T2564">
        <v>-4.0032150000000002E-2</v>
      </c>
      <c r="U2564">
        <v>-3.6773680000000003E-2</v>
      </c>
      <c r="V2564">
        <v>-7.2299409999999995E-2</v>
      </c>
      <c r="W2564">
        <v>0.2145967</v>
      </c>
      <c r="X2564">
        <v>0.97402310000000003</v>
      </c>
      <c r="Y2564">
        <v>-2.0904559999999999E-2</v>
      </c>
      <c r="Z2564">
        <v>-2.7412600000000002E-4</v>
      </c>
      <c r="AA2564">
        <v>0.99978140000000004</v>
      </c>
      <c r="AB2564">
        <v>37</v>
      </c>
      <c r="AC2564">
        <v>-84.901899999999998</v>
      </c>
      <c r="AD2564">
        <v>-1.1101568702139999</v>
      </c>
      <c r="AE2564">
        <v>-1.0230999999999899</v>
      </c>
      <c r="AF2564">
        <v>-1.78263309020863</v>
      </c>
      <c r="AG2564">
        <v>-1.1101568702139999</v>
      </c>
      <c r="AH2564">
        <v>84.874833206624302</v>
      </c>
      <c r="AI2564">
        <v>90.749216832977297</v>
      </c>
      <c r="AJ2564">
        <v>91.2032110580557</v>
      </c>
      <c r="AK2564">
        <v>84.900810012997397</v>
      </c>
      <c r="AL2564">
        <v>77.608132007198094</v>
      </c>
      <c r="AM2564">
        <v>94.2451438426842</v>
      </c>
      <c r="AN2564">
        <v>0.99999997383542305</v>
      </c>
    </row>
    <row r="2565" spans="1:40" x14ac:dyDescent="0.25">
      <c r="A2565" t="str">
        <f>"20190304155643663"</f>
        <v>20190304155643663</v>
      </c>
      <c r="B2565" t="str">
        <f>"1551686203657531"</f>
        <v>1551686203657531</v>
      </c>
      <c r="C2565" t="s">
        <v>40</v>
      </c>
      <c r="D2565">
        <v>4.5786030000000002</v>
      </c>
      <c r="E2565">
        <v>0.51986860000000001</v>
      </c>
      <c r="F2565" t="s">
        <v>53</v>
      </c>
      <c r="G2565">
        <v>-499.95780000000002</v>
      </c>
      <c r="H2565">
        <v>2.9017029999999998E-3</v>
      </c>
      <c r="I2565">
        <v>283.80970000000002</v>
      </c>
      <c r="J2565">
        <v>-415.37</v>
      </c>
      <c r="K2565">
        <v>1.110171</v>
      </c>
      <c r="L2565">
        <v>284.72809999999998</v>
      </c>
      <c r="M2565">
        <v>-0.99985619999999997</v>
      </c>
      <c r="N2565">
        <v>-1.436145E-2</v>
      </c>
      <c r="O2565">
        <v>9.0223100000000004E-3</v>
      </c>
      <c r="P2565">
        <v>-0.97750689999999996</v>
      </c>
      <c r="Q2565">
        <v>0.20119709999999999</v>
      </c>
      <c r="R2565">
        <v>-6.3245350000000006E-2</v>
      </c>
      <c r="S2565">
        <v>-3.0747990000000001</v>
      </c>
      <c r="T2565">
        <v>-4.0069699999999903E-2</v>
      </c>
      <c r="U2565">
        <v>-3.311157E-2</v>
      </c>
      <c r="V2565">
        <v>-7.2016170000000004E-2</v>
      </c>
      <c r="W2565">
        <v>0.2152221</v>
      </c>
      <c r="X2565">
        <v>0.9739061</v>
      </c>
      <c r="Y2565">
        <v>-1.9786809999999998E-2</v>
      </c>
      <c r="Z2565">
        <v>-2.5901670000000001E-4</v>
      </c>
      <c r="AA2565">
        <v>0.99980420000000003</v>
      </c>
      <c r="AB2565">
        <v>37</v>
      </c>
      <c r="AC2565">
        <v>-84.587800000000001</v>
      </c>
      <c r="AD2565">
        <v>-1.107269297</v>
      </c>
      <c r="AE2565">
        <v>-0.91839999999996202</v>
      </c>
      <c r="AF2565">
        <v>-1.6813305859373699</v>
      </c>
      <c r="AG2565">
        <v>-1.107269297</v>
      </c>
      <c r="AH2565">
        <v>84.561581313910395</v>
      </c>
      <c r="AI2565">
        <v>90.750053353076694</v>
      </c>
      <c r="AJ2565">
        <v>91.139056928518499</v>
      </c>
      <c r="AK2565">
        <v>84.585542217002796</v>
      </c>
      <c r="AL2565">
        <v>77.571442082090201</v>
      </c>
      <c r="AM2565">
        <v>94.2290796748362</v>
      </c>
      <c r="AN2565">
        <v>0.99999998634354403</v>
      </c>
    </row>
    <row r="2566" spans="1:40" x14ac:dyDescent="0.25">
      <c r="A2566" t="str">
        <f>"20190304155643684"</f>
        <v>20190304155643684</v>
      </c>
      <c r="B2566" t="str">
        <f>"1551686203677051"</f>
        <v>1551686203677051</v>
      </c>
      <c r="C2566" t="s">
        <v>40</v>
      </c>
      <c r="D2566">
        <v>4.5686879999999999</v>
      </c>
      <c r="E2566">
        <v>0.51994810000000002</v>
      </c>
      <c r="F2566" t="s">
        <v>53</v>
      </c>
      <c r="G2566">
        <v>-499.95780000000002</v>
      </c>
      <c r="H2566">
        <v>3.128123E-2</v>
      </c>
      <c r="I2566">
        <v>283.88869999999997</v>
      </c>
      <c r="J2566">
        <v>-415.73450000000003</v>
      </c>
      <c r="K2566">
        <v>1.1101859999999999</v>
      </c>
      <c r="L2566">
        <v>284.73140000000001</v>
      </c>
      <c r="M2566">
        <v>-0.99985489999999999</v>
      </c>
      <c r="N2566">
        <v>-1.440833E-2</v>
      </c>
      <c r="O2566">
        <v>9.0926600000000007E-3</v>
      </c>
      <c r="P2566">
        <v>-0.97747399999999995</v>
      </c>
      <c r="Q2566">
        <v>0.2015392</v>
      </c>
      <c r="R2566">
        <v>-6.2663170000000004E-2</v>
      </c>
      <c r="S2566">
        <v>-3.0751650000000001</v>
      </c>
      <c r="T2566">
        <v>-3.9222720000000003E-2</v>
      </c>
      <c r="U2566">
        <v>-3.0517579999999999E-2</v>
      </c>
      <c r="V2566">
        <v>-7.1502330000000003E-2</v>
      </c>
      <c r="W2566">
        <v>0.2156091</v>
      </c>
      <c r="X2566">
        <v>0.97385840000000001</v>
      </c>
      <c r="Y2566">
        <v>-1.901284E-2</v>
      </c>
      <c r="Z2566">
        <v>-2.431895E-4</v>
      </c>
      <c r="AA2566">
        <v>0.99981920000000002</v>
      </c>
      <c r="AB2566">
        <v>37</v>
      </c>
      <c r="AC2566">
        <v>-84.223299999999995</v>
      </c>
      <c r="AD2566">
        <v>-1.0789047700000001</v>
      </c>
      <c r="AE2566">
        <v>-0.84270000000003598</v>
      </c>
      <c r="AF2566">
        <v>-1.6082945632513601</v>
      </c>
      <c r="AG2566">
        <v>-1.0789047700000001</v>
      </c>
      <c r="AH2566">
        <v>84.198339037271296</v>
      </c>
      <c r="AI2566">
        <v>90.734005388995996</v>
      </c>
      <c r="AJ2566">
        <v>91.094288642145699</v>
      </c>
      <c r="AK2566">
        <v>84.220608781581504</v>
      </c>
      <c r="AL2566">
        <v>77.548736012668002</v>
      </c>
      <c r="AM2566">
        <v>94.199218167246201</v>
      </c>
      <c r="AN2566">
        <v>1.0000000252243899</v>
      </c>
    </row>
    <row r="2567" spans="1:40" x14ac:dyDescent="0.25">
      <c r="A2567" t="str">
        <f>"20190304155643708"</f>
        <v>20190304155643708</v>
      </c>
      <c r="B2567" t="str">
        <f>"1551686203697548"</f>
        <v>1551686203697548</v>
      </c>
      <c r="C2567" t="s">
        <v>40</v>
      </c>
      <c r="D2567">
        <v>4.5805610000000003</v>
      </c>
      <c r="E2567">
        <v>0.51998459999999902</v>
      </c>
      <c r="F2567" t="s">
        <v>53</v>
      </c>
      <c r="G2567">
        <v>-499.98540000000003</v>
      </c>
      <c r="H2567">
        <v>7.7583659999999999E-2</v>
      </c>
      <c r="I2567">
        <v>283.9547</v>
      </c>
      <c r="J2567">
        <v>-416.10890000000001</v>
      </c>
      <c r="K2567">
        <v>1.11019</v>
      </c>
      <c r="L2567">
        <v>284.73500000000001</v>
      </c>
      <c r="M2567">
        <v>-0.99985369999999996</v>
      </c>
      <c r="N2567">
        <v>-1.4454E-2</v>
      </c>
      <c r="O2567">
        <v>9.1648059999999993E-3</v>
      </c>
      <c r="P2567">
        <v>-0.97741719999999999</v>
      </c>
      <c r="Q2567">
        <v>0.20198469999999999</v>
      </c>
      <c r="R2567">
        <v>-6.211626E-2</v>
      </c>
      <c r="S2567">
        <v>-3.0751339999999998</v>
      </c>
      <c r="T2567">
        <v>-3.7689689999999998E-2</v>
      </c>
      <c r="U2567">
        <v>-2.835083E-2</v>
      </c>
      <c r="V2567">
        <v>-7.1024950000000003E-2</v>
      </c>
      <c r="W2567">
        <v>0.21609790000000001</v>
      </c>
      <c r="X2567">
        <v>0.97378500000000001</v>
      </c>
      <c r="Y2567">
        <v>-1.838095E-2</v>
      </c>
      <c r="Z2567">
        <v>-2.2534080000000001E-4</v>
      </c>
      <c r="AA2567">
        <v>0.99983100000000003</v>
      </c>
      <c r="AB2567">
        <v>37</v>
      </c>
      <c r="AC2567">
        <v>-83.876499999999993</v>
      </c>
      <c r="AD2567">
        <v>-1.0326063400000001</v>
      </c>
      <c r="AE2567">
        <v>-0.78030000000001098</v>
      </c>
      <c r="AF2567">
        <v>-1.5488245343018301</v>
      </c>
      <c r="AG2567">
        <v>-1.0326063400000001</v>
      </c>
      <c r="AH2567">
        <v>83.853116792844503</v>
      </c>
      <c r="AI2567">
        <v>90.705410946995499</v>
      </c>
      <c r="AJ2567">
        <v>91.058171987613704</v>
      </c>
      <c r="AK2567">
        <v>83.873776170897898</v>
      </c>
      <c r="AL2567">
        <v>77.520053809166399</v>
      </c>
      <c r="AM2567">
        <v>94.171594992822904</v>
      </c>
      <c r="AN2567">
        <v>1.00000003606595</v>
      </c>
    </row>
    <row r="2568" spans="1:40" x14ac:dyDescent="0.25">
      <c r="A2568" t="str">
        <f>"20190304155643730"</f>
        <v>20190304155643730</v>
      </c>
      <c r="B2568" t="str">
        <f>"1551686203726827"</f>
        <v>1551686203726827</v>
      </c>
      <c r="C2568" t="s">
        <v>40</v>
      </c>
      <c r="D2568">
        <v>4.6109249999999999</v>
      </c>
      <c r="E2568">
        <v>0.52000809999999997</v>
      </c>
      <c r="F2568" t="s">
        <v>53</v>
      </c>
      <c r="G2568">
        <v>-504.53660000000002</v>
      </c>
      <c r="H2568">
        <v>7.9980720000000005E-2</v>
      </c>
      <c r="I2568">
        <v>283.9785</v>
      </c>
      <c r="J2568">
        <v>-416.47280000000001</v>
      </c>
      <c r="K2568">
        <v>1.1101989999999999</v>
      </c>
      <c r="L2568">
        <v>284.73829999999998</v>
      </c>
      <c r="M2568">
        <v>-0.99985239999999997</v>
      </c>
      <c r="N2568">
        <v>-1.449454E-2</v>
      </c>
      <c r="O2568">
        <v>9.2349619999999993E-3</v>
      </c>
      <c r="P2568">
        <v>-0.9773927</v>
      </c>
      <c r="Q2568">
        <v>0.20215359999999999</v>
      </c>
      <c r="R2568">
        <v>-6.1947530000000001E-2</v>
      </c>
      <c r="S2568">
        <v>-3.0750120000000001</v>
      </c>
      <c r="T2568">
        <v>-3.5824780000000001E-2</v>
      </c>
      <c r="U2568">
        <v>-2.630615E-2</v>
      </c>
      <c r="V2568">
        <v>-7.0924580000000001E-2</v>
      </c>
      <c r="W2568">
        <v>0.216306</v>
      </c>
      <c r="X2568">
        <v>0.97374609999999995</v>
      </c>
      <c r="Y2568">
        <v>-1.7786989999999999E-2</v>
      </c>
      <c r="Z2568">
        <v>-2.0625419999999999E-4</v>
      </c>
      <c r="AA2568">
        <v>0.99984170000000006</v>
      </c>
      <c r="AB2568">
        <v>37</v>
      </c>
      <c r="AC2568">
        <v>-88.063800000000001</v>
      </c>
      <c r="AD2568">
        <v>-1.0302182799999999</v>
      </c>
      <c r="AE2568">
        <v>-0.75979999999998404</v>
      </c>
      <c r="AF2568">
        <v>-1.57290355743934</v>
      </c>
      <c r="AG2568">
        <v>-1.0302182799999999</v>
      </c>
      <c r="AH2568">
        <v>88.040978397074895</v>
      </c>
      <c r="AI2568">
        <v>90.670313415490497</v>
      </c>
      <c r="AJ2568">
        <v>91.023513716906393</v>
      </c>
      <c r="AK2568">
        <v>88.061054118263101</v>
      </c>
      <c r="AL2568">
        <v>77.507841578668902</v>
      </c>
      <c r="AM2568">
        <v>94.165886436487995</v>
      </c>
      <c r="AN2568">
        <v>1.0000000244746901</v>
      </c>
    </row>
    <row r="2569" spans="1:40" x14ac:dyDescent="0.25">
      <c r="A2569" t="str">
        <f>"20190304155643752"</f>
        <v>20190304155643752</v>
      </c>
      <c r="B2569" t="str">
        <f>"1551686203747341"</f>
        <v>1551686203747341</v>
      </c>
      <c r="C2569" t="s">
        <v>40</v>
      </c>
      <c r="D2569">
        <v>4.6013669999999998</v>
      </c>
      <c r="E2569">
        <v>0.51998389999999906</v>
      </c>
      <c r="F2569" t="s">
        <v>44</v>
      </c>
      <c r="G2569">
        <v>-517.66610000000003</v>
      </c>
      <c r="H2569">
        <v>-0.05</v>
      </c>
      <c r="I2569">
        <v>283.91379999999998</v>
      </c>
      <c r="J2569">
        <v>-416.83569999999997</v>
      </c>
      <c r="K2569">
        <v>1.1102080000000001</v>
      </c>
      <c r="L2569">
        <v>284.74180000000001</v>
      </c>
      <c r="M2569">
        <v>-0.99985109999999999</v>
      </c>
      <c r="N2569">
        <v>-1.45305E-2</v>
      </c>
      <c r="O2569">
        <v>9.3052099999999995E-3</v>
      </c>
      <c r="P2569">
        <v>-0.97739140000000002</v>
      </c>
      <c r="Q2569">
        <v>0.20225989999999999</v>
      </c>
      <c r="R2569">
        <v>-6.1622160000000002E-2</v>
      </c>
      <c r="S2569">
        <v>-3.0751040000000001</v>
      </c>
      <c r="T2569">
        <v>-3.5256620000000002E-2</v>
      </c>
      <c r="U2569">
        <v>-2.505493E-2</v>
      </c>
      <c r="V2569">
        <v>-7.0667869999999994E-2</v>
      </c>
      <c r="W2569">
        <v>0.2164471</v>
      </c>
      <c r="X2569">
        <v>0.97373339999999997</v>
      </c>
      <c r="Y2569">
        <v>-1.745029E-2</v>
      </c>
      <c r="Z2569">
        <v>-1.982943E-4</v>
      </c>
      <c r="AA2569">
        <v>0.99984770000000001</v>
      </c>
      <c r="AB2569">
        <v>37</v>
      </c>
      <c r="AC2569">
        <v>-100.8304</v>
      </c>
      <c r="AD2569">
        <v>-1.1602079999999999</v>
      </c>
      <c r="AE2569">
        <v>-0.82800000000003104</v>
      </c>
      <c r="AF2569">
        <v>-1.76607746817171</v>
      </c>
      <c r="AG2569">
        <v>-1.1602079999999999</v>
      </c>
      <c r="AH2569">
        <v>100.804982455553</v>
      </c>
      <c r="AI2569">
        <v>90.659311542469396</v>
      </c>
      <c r="AJ2569">
        <v>91.003704694461007</v>
      </c>
      <c r="AK2569">
        <v>100.827127302582</v>
      </c>
      <c r="AL2569">
        <v>77.499560851524194</v>
      </c>
      <c r="AM2569">
        <v>94.150914846812697</v>
      </c>
      <c r="AN2569">
        <v>1.0000000146121499</v>
      </c>
    </row>
    <row r="2570" spans="1:40" x14ac:dyDescent="0.25">
      <c r="A2570" t="str">
        <f>"20190304155643766"</f>
        <v>20190304155643766</v>
      </c>
      <c r="B2570" t="str">
        <f>"1551686203757083"</f>
        <v>1551686203757083</v>
      </c>
      <c r="C2570" t="s">
        <v>40</v>
      </c>
      <c r="D2570">
        <v>4.6016469999999998</v>
      </c>
      <c r="E2570">
        <v>0.51983570000000001</v>
      </c>
      <c r="F2570" t="s">
        <v>44</v>
      </c>
      <c r="G2570">
        <v>-518.53689999999995</v>
      </c>
      <c r="H2570">
        <v>-0.05</v>
      </c>
      <c r="I2570">
        <v>283.92930000000001</v>
      </c>
      <c r="J2570">
        <v>-417.08499999999998</v>
      </c>
      <c r="K2570">
        <v>1.1102110000000001</v>
      </c>
      <c r="L2570">
        <v>284.7441</v>
      </c>
      <c r="M2570">
        <v>-0.99985040000000003</v>
      </c>
      <c r="N2570">
        <v>-1.4552799999999999E-2</v>
      </c>
      <c r="O2570">
        <v>9.3532049999999999E-3</v>
      </c>
      <c r="P2570">
        <v>-0.97735130000000003</v>
      </c>
      <c r="Q2570">
        <v>0.2024492</v>
      </c>
      <c r="R2570">
        <v>-6.163482E-2</v>
      </c>
      <c r="S2570">
        <v>-3.0751040000000001</v>
      </c>
      <c r="T2570">
        <v>-3.5080790000000001E-2</v>
      </c>
      <c r="U2570">
        <v>-2.4566649999999999E-2</v>
      </c>
      <c r="V2570">
        <v>-7.0727170000000006E-2</v>
      </c>
      <c r="W2570">
        <v>0.2166575</v>
      </c>
      <c r="X2570">
        <v>0.9736823</v>
      </c>
      <c r="Y2570">
        <v>-1.7339569999999999E-2</v>
      </c>
      <c r="Z2570">
        <v>-1.9566200000000001E-4</v>
      </c>
      <c r="AA2570">
        <v>0.99984960000000001</v>
      </c>
      <c r="AB2570">
        <v>37</v>
      </c>
      <c r="AC2570">
        <v>-101.451899999999</v>
      </c>
      <c r="AD2570">
        <v>-1.1602110000000001</v>
      </c>
      <c r="AE2570">
        <v>-0.81479999999999098</v>
      </c>
      <c r="AF2570">
        <v>-1.76353459774931</v>
      </c>
      <c r="AG2570">
        <v>-1.1602110000000001</v>
      </c>
      <c r="AH2570">
        <v>101.42657544873001</v>
      </c>
      <c r="AI2570">
        <v>90.6552745119495</v>
      </c>
      <c r="AJ2570">
        <v>90.996118704433201</v>
      </c>
      <c r="AK2570">
        <v>101.448540408913</v>
      </c>
      <c r="AL2570">
        <v>77.487212794173104</v>
      </c>
      <c r="AM2570">
        <v>94.154603104932505</v>
      </c>
      <c r="AN2570">
        <v>1.0000000131078699</v>
      </c>
    </row>
    <row r="2571" spans="1:40" x14ac:dyDescent="0.25">
      <c r="A2571" t="str">
        <f>"20190304155643785"</f>
        <v>20190304155643785</v>
      </c>
      <c r="B2571" t="str">
        <f>"1551686203777579"</f>
        <v>1551686203777579</v>
      </c>
      <c r="C2571" t="s">
        <v>40</v>
      </c>
      <c r="D2571">
        <v>4.6985469999999996</v>
      </c>
      <c r="E2571">
        <v>0.52108969999999999</v>
      </c>
      <c r="F2571" t="s">
        <v>44</v>
      </c>
      <c r="G2571">
        <v>-518.26070000000004</v>
      </c>
      <c r="H2571">
        <v>-0.05</v>
      </c>
      <c r="I2571">
        <v>283.89370000000002</v>
      </c>
      <c r="J2571">
        <v>-417.37419999999997</v>
      </c>
      <c r="K2571">
        <v>1.110212</v>
      </c>
      <c r="L2571">
        <v>284.74689999999998</v>
      </c>
      <c r="M2571">
        <v>-0.9998494</v>
      </c>
      <c r="N2571">
        <v>-1.4576250000000001E-2</v>
      </c>
      <c r="O2571">
        <v>9.4092370000000009E-3</v>
      </c>
      <c r="P2571">
        <v>-0.97731380000000001</v>
      </c>
      <c r="Q2571">
        <v>0.20277629999999999</v>
      </c>
      <c r="R2571">
        <v>-6.115458E-2</v>
      </c>
      <c r="S2571">
        <v>-3.0751949999999999</v>
      </c>
      <c r="T2571">
        <v>-3.5264129999999998E-2</v>
      </c>
      <c r="U2571">
        <v>-2.5848389999999999E-2</v>
      </c>
      <c r="V2571">
        <v>-7.0300940000000006E-2</v>
      </c>
      <c r="W2571">
        <v>0.21700659999999999</v>
      </c>
      <c r="X2571">
        <v>0.97363540000000004</v>
      </c>
      <c r="Y2571">
        <v>-1.7811980000000002E-2</v>
      </c>
      <c r="Z2571">
        <v>-2.026923E-4</v>
      </c>
      <c r="AA2571">
        <v>0.99984130000000004</v>
      </c>
      <c r="AB2571">
        <v>37</v>
      </c>
      <c r="AC2571">
        <v>-100.8865</v>
      </c>
      <c r="AD2571">
        <v>-1.160212</v>
      </c>
      <c r="AE2571">
        <v>-0.85319999999995799</v>
      </c>
      <c r="AF2571">
        <v>-1.80228981201967</v>
      </c>
      <c r="AG2571">
        <v>-1.160212</v>
      </c>
      <c r="AH2571">
        <v>100.860665941183</v>
      </c>
      <c r="AI2571">
        <v>90.658945779520195</v>
      </c>
      <c r="AJ2571">
        <v>91.023715340086198</v>
      </c>
      <c r="AK2571">
        <v>100.883439049977</v>
      </c>
      <c r="AL2571">
        <v>77.466723069950902</v>
      </c>
      <c r="AM2571">
        <v>94.129850937372893</v>
      </c>
      <c r="AN2571">
        <v>0.99999998937080103</v>
      </c>
    </row>
    <row r="2572" spans="1:40" x14ac:dyDescent="0.25">
      <c r="A2572" t="str">
        <f>"20190304155643799"</f>
        <v>20190304155643799</v>
      </c>
      <c r="B2572" t="str">
        <f>"1551686203787339"</f>
        <v>1551686203787339</v>
      </c>
      <c r="C2572" t="s">
        <v>40</v>
      </c>
      <c r="D2572">
        <v>4.6840270000000004</v>
      </c>
      <c r="E2572">
        <v>0.52226349999999999</v>
      </c>
      <c r="F2572" t="s">
        <v>44</v>
      </c>
      <c r="G2572">
        <v>-525.42049999999995</v>
      </c>
      <c r="H2572">
        <v>-0.05</v>
      </c>
      <c r="I2572">
        <v>284.24950000000001</v>
      </c>
      <c r="J2572">
        <v>-417.59730000000002</v>
      </c>
      <c r="K2572">
        <v>1.110214</v>
      </c>
      <c r="L2572">
        <v>284.74900000000002</v>
      </c>
      <c r="M2572">
        <v>-0.99984879999999998</v>
      </c>
      <c r="N2572">
        <v>-1.459267E-2</v>
      </c>
      <c r="O2572">
        <v>9.4522080000000001E-3</v>
      </c>
      <c r="P2572">
        <v>-0.977298</v>
      </c>
      <c r="Q2572">
        <v>0.2028228</v>
      </c>
      <c r="R2572">
        <v>-6.1249709999999999E-2</v>
      </c>
      <c r="S2572">
        <v>-3.0756230000000002</v>
      </c>
      <c r="T2572">
        <v>-3.3026340000000001E-2</v>
      </c>
      <c r="U2572">
        <v>-1.416016E-2</v>
      </c>
      <c r="V2572">
        <v>-7.0438280000000006E-2</v>
      </c>
      <c r="W2572">
        <v>0.21706900000000001</v>
      </c>
      <c r="X2572">
        <v>0.97361160000000002</v>
      </c>
      <c r="Y2572">
        <v>-1.405488E-2</v>
      </c>
      <c r="Z2572">
        <v>-1.415737E-4</v>
      </c>
      <c r="AA2572">
        <v>0.99990120000000005</v>
      </c>
      <c r="AB2572">
        <v>37</v>
      </c>
      <c r="AC2572">
        <v>-107.82319999999901</v>
      </c>
      <c r="AD2572">
        <v>-1.1602139999999901</v>
      </c>
      <c r="AE2572">
        <v>-0.49950000000001099</v>
      </c>
      <c r="AF2572">
        <v>-1.5185777455465399</v>
      </c>
      <c r="AG2572">
        <v>-1.1602139999999901</v>
      </c>
      <c r="AH2572">
        <v>107.801178818043</v>
      </c>
      <c r="AI2572">
        <v>90.616562878714902</v>
      </c>
      <c r="AJ2572">
        <v>90.807062984419105</v>
      </c>
      <c r="AK2572">
        <v>107.818116888836</v>
      </c>
      <c r="AL2572">
        <v>77.463060961618794</v>
      </c>
      <c r="AM2572">
        <v>94.137991821342695</v>
      </c>
      <c r="AN2572">
        <v>1.0000000248524501</v>
      </c>
    </row>
    <row r="2573" spans="1:40" x14ac:dyDescent="0.25">
      <c r="A2573" t="str">
        <f>"20190304155643813"</f>
        <v>20190304155643813</v>
      </c>
      <c r="B2573" t="str">
        <f>"1551686203806859"</f>
        <v>1551686203806859</v>
      </c>
      <c r="C2573" t="s">
        <v>40</v>
      </c>
      <c r="D2573">
        <v>4.6596970000000004</v>
      </c>
      <c r="E2573">
        <v>0.52454259999999997</v>
      </c>
      <c r="F2573" t="s">
        <v>44</v>
      </c>
      <c r="G2573">
        <v>-530.53060000000005</v>
      </c>
      <c r="H2573">
        <v>-0.05</v>
      </c>
      <c r="I2573">
        <v>284.57310000000001</v>
      </c>
      <c r="J2573">
        <v>-417.83519999999999</v>
      </c>
      <c r="K2573">
        <v>1.110214</v>
      </c>
      <c r="L2573">
        <v>284.75130000000001</v>
      </c>
      <c r="M2573">
        <v>-0.99984830000000002</v>
      </c>
      <c r="N2573">
        <v>-1.4608909999999999E-2</v>
      </c>
      <c r="O2573">
        <v>9.4979220000000007E-3</v>
      </c>
      <c r="P2573">
        <v>-0.97734600000000005</v>
      </c>
      <c r="Q2573">
        <v>0.20262440000000001</v>
      </c>
      <c r="R2573">
        <v>-6.1143379999999997E-2</v>
      </c>
      <c r="S2573">
        <v>-3.0759280000000002</v>
      </c>
      <c r="T2573">
        <v>-3.1600360000000001E-2</v>
      </c>
      <c r="U2573">
        <v>-4.7912600000000003E-3</v>
      </c>
      <c r="V2573">
        <v>-7.0377129999999996E-2</v>
      </c>
      <c r="W2573">
        <v>0.216887</v>
      </c>
      <c r="X2573">
        <v>0.97365650000000004</v>
      </c>
      <c r="Y2573">
        <v>-1.1055010000000001E-2</v>
      </c>
      <c r="Z2573" s="1">
        <v>-9.6353659999999996E-5</v>
      </c>
      <c r="AA2573">
        <v>0.99993889999999996</v>
      </c>
      <c r="AB2573">
        <v>37</v>
      </c>
      <c r="AC2573">
        <v>-112.69540000000001</v>
      </c>
      <c r="AD2573">
        <v>-1.1602139999999901</v>
      </c>
      <c r="AE2573">
        <v>-0.17820000000000299</v>
      </c>
      <c r="AF2573">
        <v>-1.2485458485505001</v>
      </c>
      <c r="AG2573">
        <v>-1.1602139999999901</v>
      </c>
      <c r="AH2573">
        <v>112.676680393807</v>
      </c>
      <c r="AI2573">
        <v>90.5899085406203</v>
      </c>
      <c r="AJ2573">
        <v>90.634856119118794</v>
      </c>
      <c r="AK2573">
        <v>112.689570359594</v>
      </c>
      <c r="AL2573">
        <v>77.473742274660793</v>
      </c>
      <c r="AM2573">
        <v>94.134221947927699</v>
      </c>
      <c r="AN2573">
        <v>0.99999994559414196</v>
      </c>
    </row>
    <row r="2574" spans="1:40" x14ac:dyDescent="0.25">
      <c r="A2574" t="str">
        <f>"20190304155643829"</f>
        <v>20190304155643829</v>
      </c>
      <c r="B2574" t="str">
        <f>"1551686203817596"</f>
        <v>1551686203817596</v>
      </c>
      <c r="C2574" t="s">
        <v>40</v>
      </c>
      <c r="D2574">
        <v>4.609578</v>
      </c>
      <c r="E2574">
        <v>0.52551289999999995</v>
      </c>
      <c r="F2574" t="s">
        <v>44</v>
      </c>
      <c r="G2574">
        <v>-538.55709999999999</v>
      </c>
      <c r="H2574">
        <v>-0.05</v>
      </c>
      <c r="I2574">
        <v>285.29140000000001</v>
      </c>
      <c r="J2574">
        <v>-418.10430000000002</v>
      </c>
      <c r="K2574">
        <v>1.1102110000000001</v>
      </c>
      <c r="L2574">
        <v>284.75389999999999</v>
      </c>
      <c r="M2574">
        <v>-0.99984740000000005</v>
      </c>
      <c r="N2574">
        <v>-1.462548E-2</v>
      </c>
      <c r="O2574">
        <v>9.5497719999999998E-3</v>
      </c>
      <c r="P2574">
        <v>-0.97731109999999999</v>
      </c>
      <c r="Q2574">
        <v>0.20278280000000001</v>
      </c>
      <c r="R2574">
        <v>-6.1173100000000001E-2</v>
      </c>
      <c r="S2574">
        <v>-3.0765380000000002</v>
      </c>
      <c r="T2574">
        <v>-2.956748E-2</v>
      </c>
      <c r="U2574">
        <v>1.376343E-2</v>
      </c>
      <c r="V2574">
        <v>-7.0457439999999996E-2</v>
      </c>
      <c r="W2574">
        <v>0.21706110000000001</v>
      </c>
      <c r="X2574">
        <v>0.97361200000000003</v>
      </c>
      <c r="Y2574">
        <v>-5.0765619999999997E-3</v>
      </c>
      <c r="Z2574" s="1">
        <v>-1.361615E-5</v>
      </c>
      <c r="AA2574">
        <v>0.99998710000000002</v>
      </c>
      <c r="AB2574">
        <v>36</v>
      </c>
      <c r="AC2574">
        <v>-120.452799999999</v>
      </c>
      <c r="AD2574">
        <v>-1.1602110000000001</v>
      </c>
      <c r="AE2574">
        <v>0.53750000000002196</v>
      </c>
      <c r="AF2574">
        <v>-0.61288752053921103</v>
      </c>
      <c r="AG2574">
        <v>-1.1602110000000001</v>
      </c>
      <c r="AH2574">
        <v>120.44126576241401</v>
      </c>
      <c r="AI2574">
        <v>90.551906164175193</v>
      </c>
      <c r="AJ2574">
        <v>90.291557589672905</v>
      </c>
      <c r="AK2574">
        <v>120.448413103411</v>
      </c>
      <c r="AL2574">
        <v>77.463524965035006</v>
      </c>
      <c r="AM2574">
        <v>94.139111795299897</v>
      </c>
      <c r="AN2574">
        <v>1.00000004926428</v>
      </c>
    </row>
    <row r="2575" spans="1:40" x14ac:dyDescent="0.25">
      <c r="A2575" t="str">
        <f>"20190304155643843"</f>
        <v>20190304155643843</v>
      </c>
      <c r="B2575" t="str">
        <f>"1551686203837115"</f>
        <v>1551686203837115</v>
      </c>
      <c r="C2575" t="s">
        <v>40</v>
      </c>
      <c r="D2575">
        <v>4.6073040000000001</v>
      </c>
      <c r="E2575">
        <v>0.52756389999999997</v>
      </c>
      <c r="F2575" t="s">
        <v>44</v>
      </c>
      <c r="G2575">
        <v>-546.52359999999999</v>
      </c>
      <c r="H2575">
        <v>-0.05</v>
      </c>
      <c r="I2575">
        <v>285.65440000000001</v>
      </c>
      <c r="J2575">
        <v>-418.3297</v>
      </c>
      <c r="K2575">
        <v>1.110212</v>
      </c>
      <c r="L2575">
        <v>284.7561</v>
      </c>
      <c r="M2575">
        <v>-0.99984689999999998</v>
      </c>
      <c r="N2575">
        <v>-1.46377E-2</v>
      </c>
      <c r="O2575">
        <v>9.5931300000000001E-3</v>
      </c>
      <c r="P2575">
        <v>-0.97740919999999998</v>
      </c>
      <c r="Q2575">
        <v>0.20243729999999999</v>
      </c>
      <c r="R2575">
        <v>-6.0750159999999997E-2</v>
      </c>
      <c r="S2575">
        <v>-3.0767820000000001</v>
      </c>
      <c r="T2575">
        <v>-2.779734E-2</v>
      </c>
      <c r="U2575">
        <v>2.157593E-2</v>
      </c>
      <c r="V2575">
        <v>-7.007787E-2</v>
      </c>
      <c r="W2575">
        <v>0.2167287</v>
      </c>
      <c r="X2575">
        <v>0.97371339999999995</v>
      </c>
      <c r="Y2575">
        <v>-2.5814919999999999E-3</v>
      </c>
      <c r="Z2575" s="1">
        <v>2.3209899999999999E-5</v>
      </c>
      <c r="AA2575">
        <v>0.99999669999999896</v>
      </c>
      <c r="AB2575">
        <v>36</v>
      </c>
      <c r="AC2575">
        <v>-128.19390000000001</v>
      </c>
      <c r="AD2575">
        <v>-1.160212</v>
      </c>
      <c r="AE2575">
        <v>0.89830000000000598</v>
      </c>
      <c r="AF2575">
        <v>-0.331626628710807</v>
      </c>
      <c r="AG2575">
        <v>-1.160212</v>
      </c>
      <c r="AH2575">
        <v>128.18611902555699</v>
      </c>
      <c r="AI2575">
        <v>90.518567953128297</v>
      </c>
      <c r="AJ2575">
        <v>90.148227935703801</v>
      </c>
      <c r="AK2575">
        <v>128.191798407465</v>
      </c>
      <c r="AL2575">
        <v>77.483034023800698</v>
      </c>
      <c r="AM2575">
        <v>94.116463101683607</v>
      </c>
      <c r="AN2575">
        <v>1.0000000113034899</v>
      </c>
    </row>
    <row r="2576" spans="1:40" x14ac:dyDescent="0.25">
      <c r="A2576" t="str">
        <f>"20190304155643863"</f>
        <v>20190304155643863</v>
      </c>
      <c r="B2576" t="str">
        <f>"1551686203857611"</f>
        <v>1551686203857611</v>
      </c>
      <c r="C2576" t="s">
        <v>40</v>
      </c>
      <c r="D2576">
        <v>4.6166960000000001</v>
      </c>
      <c r="E2576">
        <v>0.52941039999999995</v>
      </c>
      <c r="F2576" t="s">
        <v>44</v>
      </c>
      <c r="G2576">
        <v>-554.69200000000001</v>
      </c>
      <c r="H2576">
        <v>-0.05</v>
      </c>
      <c r="I2576">
        <v>286.48579999999998</v>
      </c>
      <c r="J2576">
        <v>-418.65359999999998</v>
      </c>
      <c r="K2576">
        <v>1.1102110000000001</v>
      </c>
      <c r="L2576">
        <v>284.7593</v>
      </c>
      <c r="M2576">
        <v>-0.99984609999999996</v>
      </c>
      <c r="N2576">
        <v>-1.46535E-2</v>
      </c>
      <c r="O2576">
        <v>9.655772E-3</v>
      </c>
      <c r="P2576">
        <v>-0.97751920000000003</v>
      </c>
      <c r="Q2576">
        <v>0.2019223</v>
      </c>
      <c r="R2576">
        <v>-6.0694520000000002E-2</v>
      </c>
      <c r="S2576">
        <v>-3.0771790000000001</v>
      </c>
      <c r="T2576">
        <v>-2.6181579999999999E-2</v>
      </c>
      <c r="U2576">
        <v>3.9031980000000001E-2</v>
      </c>
      <c r="V2576">
        <v>-7.0084880000000002E-2</v>
      </c>
      <c r="W2576">
        <v>0.2162306</v>
      </c>
      <c r="X2576">
        <v>0.97382360000000001</v>
      </c>
      <c r="Y2576">
        <v>3.026581E-3</v>
      </c>
      <c r="Z2576" s="1">
        <v>9.4404169999999998E-5</v>
      </c>
      <c r="AA2576">
        <v>0.99999539999999998</v>
      </c>
      <c r="AB2576">
        <v>36</v>
      </c>
      <c r="AC2576">
        <v>-136.0384</v>
      </c>
      <c r="AD2576">
        <v>-1.1602110000000001</v>
      </c>
      <c r="AE2576">
        <v>1.7264999999999799</v>
      </c>
      <c r="AF2576">
        <v>0.41269278075314197</v>
      </c>
      <c r="AG2576">
        <v>-1.1602110000000001</v>
      </c>
      <c r="AH2576">
        <v>136.03883591093501</v>
      </c>
      <c r="AI2576">
        <v>90.488634555722001</v>
      </c>
      <c r="AJ2576">
        <v>89.826185795561102</v>
      </c>
      <c r="AK2576">
        <v>136.04440922323201</v>
      </c>
      <c r="AL2576">
        <v>77.512265876387403</v>
      </c>
      <c r="AM2576">
        <v>94.116409189426506</v>
      </c>
      <c r="AN2576">
        <v>0.999999983348967</v>
      </c>
    </row>
    <row r="2577" spans="1:40" x14ac:dyDescent="0.25">
      <c r="A2577" t="str">
        <f>"20190304155643885"</f>
        <v>20190304155643885</v>
      </c>
      <c r="B2577" t="str">
        <f>"1551686203877132"</f>
        <v>1551686203877132</v>
      </c>
      <c r="C2577" t="s">
        <v>40</v>
      </c>
      <c r="D2577">
        <v>4.8695690000000003</v>
      </c>
      <c r="E2577">
        <v>0.5311034</v>
      </c>
      <c r="F2577" t="s">
        <v>44</v>
      </c>
      <c r="G2577">
        <v>-557.84040000000005</v>
      </c>
      <c r="H2577">
        <v>-0.05</v>
      </c>
      <c r="I2577">
        <v>287.19670000000002</v>
      </c>
      <c r="J2577">
        <v>-419.01249999999999</v>
      </c>
      <c r="K2577">
        <v>1.1102190000000001</v>
      </c>
      <c r="L2577">
        <v>284.76280000000003</v>
      </c>
      <c r="M2577">
        <v>-0.99984519999999999</v>
      </c>
      <c r="N2577">
        <v>-1.466832E-2</v>
      </c>
      <c r="O2577">
        <v>9.7252750000000002E-3</v>
      </c>
      <c r="P2577">
        <v>-0.97757749999999999</v>
      </c>
      <c r="Q2577">
        <v>0.20166110000000001</v>
      </c>
      <c r="R2577">
        <v>-6.0626630000000001E-2</v>
      </c>
      <c r="S2577">
        <v>-3.0776370000000002</v>
      </c>
      <c r="T2577">
        <v>-2.5654079999999999E-2</v>
      </c>
      <c r="U2577">
        <v>5.3894039999999997E-2</v>
      </c>
      <c r="V2577">
        <v>-7.0085519999999998E-2</v>
      </c>
      <c r="W2577">
        <v>0.2159848</v>
      </c>
      <c r="X2577">
        <v>0.97387809999999997</v>
      </c>
      <c r="Y2577">
        <v>7.7826099999999997E-3</v>
      </c>
      <c r="Z2577">
        <v>1.5112320000000001E-4</v>
      </c>
      <c r="AA2577">
        <v>0.99996969999999996</v>
      </c>
      <c r="AB2577">
        <v>36</v>
      </c>
      <c r="AC2577">
        <v>-138.8279</v>
      </c>
      <c r="AD2577">
        <v>-1.1602189999999999</v>
      </c>
      <c r="AE2577">
        <v>2.4338999999999902</v>
      </c>
      <c r="AF2577">
        <v>1.08342455997677</v>
      </c>
      <c r="AG2577">
        <v>-1.1602189999999999</v>
      </c>
      <c r="AH2577">
        <v>138.83531231111499</v>
      </c>
      <c r="AI2577">
        <v>90.478783672861695</v>
      </c>
      <c r="AJ2577">
        <v>89.552891885774997</v>
      </c>
      <c r="AK2577">
        <v>138.844387216157</v>
      </c>
      <c r="AL2577">
        <v>77.526690034502707</v>
      </c>
      <c r="AM2577">
        <v>94.116217078322705</v>
      </c>
      <c r="AN2577">
        <v>0.99999998380216004</v>
      </c>
    </row>
    <row r="2578" spans="1:40" x14ac:dyDescent="0.25">
      <c r="A2578" t="str">
        <f>"20190304155643909"</f>
        <v>20190304155643909</v>
      </c>
      <c r="B2578" t="str">
        <f>"1551686203897627"</f>
        <v>1551686203897627</v>
      </c>
      <c r="C2578" t="s">
        <v>40</v>
      </c>
      <c r="D2578">
        <v>4.6386479999999999</v>
      </c>
      <c r="E2578">
        <v>0.53287079999999998</v>
      </c>
      <c r="F2578" t="s">
        <v>51</v>
      </c>
      <c r="G2578">
        <v>-569.18820000000005</v>
      </c>
      <c r="H2578">
        <v>-0.1</v>
      </c>
      <c r="I2578">
        <v>288.06509999999997</v>
      </c>
      <c r="J2578">
        <v>-419.38749999999999</v>
      </c>
      <c r="K2578">
        <v>1.1102240000000001</v>
      </c>
      <c r="L2578">
        <v>284.76650000000001</v>
      </c>
      <c r="M2578">
        <v>-0.99984439999999997</v>
      </c>
      <c r="N2578">
        <v>-1.4681400000000001E-2</v>
      </c>
      <c r="O2578">
        <v>9.7981230000000006E-3</v>
      </c>
      <c r="P2578">
        <v>-0.9775336</v>
      </c>
      <c r="Q2578">
        <v>0.20192299999999999</v>
      </c>
      <c r="R2578">
        <v>-6.0459390000000002E-2</v>
      </c>
      <c r="S2578">
        <v>-3.0781860000000001</v>
      </c>
      <c r="T2578">
        <v>-2.4806140000000001E-2</v>
      </c>
      <c r="U2578">
        <v>6.7687990000000003E-2</v>
      </c>
      <c r="V2578">
        <v>-6.9989229999999999E-2</v>
      </c>
      <c r="W2578">
        <v>0.2162586</v>
      </c>
      <c r="X2578">
        <v>0.97382429999999998</v>
      </c>
      <c r="Y2578">
        <v>1.218549E-2</v>
      </c>
      <c r="Z2578">
        <v>2.0346439999999999E-4</v>
      </c>
      <c r="AA2578">
        <v>0.99992570000000003</v>
      </c>
      <c r="AB2578">
        <v>36</v>
      </c>
      <c r="AC2578">
        <v>-149.80070000000001</v>
      </c>
      <c r="AD2578">
        <v>-1.210224</v>
      </c>
      <c r="AE2578">
        <v>3.29859999999996</v>
      </c>
      <c r="AF2578">
        <v>1.83039859345642</v>
      </c>
      <c r="AG2578">
        <v>-1.210224</v>
      </c>
      <c r="AH2578">
        <v>149.81605763668901</v>
      </c>
      <c r="AI2578">
        <v>90.462794482682696</v>
      </c>
      <c r="AJ2578">
        <v>89.300015644905301</v>
      </c>
      <c r="AK2578">
        <v>149.832126484746</v>
      </c>
      <c r="AL2578">
        <v>77.510623191754206</v>
      </c>
      <c r="AM2578">
        <v>94.1108075505296</v>
      </c>
      <c r="AN2578">
        <v>1.00000002083022</v>
      </c>
    </row>
    <row r="2579" spans="1:40" x14ac:dyDescent="0.25">
      <c r="A2579" t="str">
        <f>"20190304155643931"</f>
        <v>20190304155643931</v>
      </c>
      <c r="B2579" t="str">
        <f>"1551686203926907"</f>
        <v>1551686203926907</v>
      </c>
      <c r="C2579" t="s">
        <v>40</v>
      </c>
      <c r="D2579">
        <v>4.5988350000000002</v>
      </c>
      <c r="E2579">
        <v>0.53533109999999995</v>
      </c>
      <c r="F2579" t="s">
        <v>51</v>
      </c>
      <c r="G2579">
        <v>-585.06119999999999</v>
      </c>
      <c r="H2579">
        <v>-0.1</v>
      </c>
      <c r="I2579">
        <v>289.17759999999998</v>
      </c>
      <c r="J2579">
        <v>-419.74340000000001</v>
      </c>
      <c r="K2579">
        <v>1.1102299999999901</v>
      </c>
      <c r="L2579">
        <v>284.77010000000001</v>
      </c>
      <c r="M2579">
        <v>-0.9998435</v>
      </c>
      <c r="N2579">
        <v>-1.4691620000000001E-2</v>
      </c>
      <c r="O2579">
        <v>9.8671829999999999E-3</v>
      </c>
      <c r="P2579">
        <v>-0.97757539999999998</v>
      </c>
      <c r="Q2579">
        <v>0.20183129999999999</v>
      </c>
      <c r="R2579">
        <v>-6.0086830000000001E-2</v>
      </c>
      <c r="S2579">
        <v>-3.0786739999999999</v>
      </c>
      <c r="T2579">
        <v>-2.2489309999999998E-2</v>
      </c>
      <c r="U2579">
        <v>8.1970210000000002E-2</v>
      </c>
      <c r="V2579">
        <v>-6.9684510000000005E-2</v>
      </c>
      <c r="W2579">
        <v>0.21617700000000001</v>
      </c>
      <c r="X2579">
        <v>0.97386430000000002</v>
      </c>
      <c r="Y2579">
        <v>1.6748610000000001E-2</v>
      </c>
      <c r="Z2579">
        <v>2.5712100000000002E-4</v>
      </c>
      <c r="AA2579">
        <v>0.99985970000000002</v>
      </c>
      <c r="AB2579">
        <v>36</v>
      </c>
      <c r="AC2579">
        <v>-165.31779999999901</v>
      </c>
      <c r="AD2579">
        <v>-1.2102299999999999</v>
      </c>
      <c r="AE2579">
        <v>4.4074999999999598</v>
      </c>
      <c r="AF2579">
        <v>2.7757398664906701</v>
      </c>
      <c r="AG2579">
        <v>-1.2102299999999999</v>
      </c>
      <c r="AH2579">
        <v>165.344389814935</v>
      </c>
      <c r="AI2579">
        <v>90.419307027239299</v>
      </c>
      <c r="AJ2579">
        <v>89.038230194566296</v>
      </c>
      <c r="AK2579">
        <v>165.37211564146099</v>
      </c>
      <c r="AL2579">
        <v>77.515412177951802</v>
      </c>
      <c r="AM2579">
        <v>94.0928032820417</v>
      </c>
      <c r="AN2579">
        <v>1.0000000505387101</v>
      </c>
    </row>
    <row r="2580" spans="1:40" x14ac:dyDescent="0.25">
      <c r="A2580" t="str">
        <f>"20190304155643953"</f>
        <v>20190304155643953</v>
      </c>
      <c r="B2580" t="str">
        <f>"1551686203947403"</f>
        <v>1551686203947403</v>
      </c>
      <c r="C2580" t="s">
        <v>40</v>
      </c>
      <c r="D2580">
        <v>4.6202680000000003</v>
      </c>
      <c r="E2580">
        <v>0.53686389999999995</v>
      </c>
      <c r="F2580" t="s">
        <v>51</v>
      </c>
      <c r="G2580">
        <v>-604.8433</v>
      </c>
      <c r="H2580">
        <v>-0.1</v>
      </c>
      <c r="I2580">
        <v>290.94310000000002</v>
      </c>
      <c r="J2580">
        <v>-420.10109999999997</v>
      </c>
      <c r="K2580">
        <v>1.110231</v>
      </c>
      <c r="L2580">
        <v>284.77370000000002</v>
      </c>
      <c r="M2580">
        <v>-0.99984260000000003</v>
      </c>
      <c r="N2580">
        <v>-1.4700019999999999E-2</v>
      </c>
      <c r="O2580">
        <v>9.9365540000000002E-3</v>
      </c>
      <c r="P2580">
        <v>-0.97755780000000003</v>
      </c>
      <c r="Q2580">
        <v>0.2020518</v>
      </c>
      <c r="R2580">
        <v>-5.9629309999999998E-2</v>
      </c>
      <c r="S2580">
        <v>-3.079285</v>
      </c>
      <c r="T2580">
        <v>-2.0133140000000001E-2</v>
      </c>
      <c r="U2580">
        <v>0.1026917</v>
      </c>
      <c r="V2580">
        <v>-6.9295019999999999E-2</v>
      </c>
      <c r="W2580">
        <v>0.21640519999999999</v>
      </c>
      <c r="X2580">
        <v>0.97384139999999997</v>
      </c>
      <c r="Y2580">
        <v>2.3395619999999999E-2</v>
      </c>
      <c r="Z2580">
        <v>3.2958139999999999E-4</v>
      </c>
      <c r="AA2580">
        <v>0.99972620000000001</v>
      </c>
      <c r="AB2580">
        <v>36</v>
      </c>
      <c r="AC2580">
        <v>-184.7422</v>
      </c>
      <c r="AD2580">
        <v>-1.2102310000000001</v>
      </c>
      <c r="AE2580">
        <v>6.1693999999999898</v>
      </c>
      <c r="AF2580">
        <v>4.3330104455049998</v>
      </c>
      <c r="AG2580">
        <v>-1.2102310000000001</v>
      </c>
      <c r="AH2580">
        <v>184.78646554300701</v>
      </c>
      <c r="AI2580">
        <v>90.3751415570772</v>
      </c>
      <c r="AJ2580">
        <v>88.6567321182726</v>
      </c>
      <c r="AK2580">
        <v>184.84122236793101</v>
      </c>
      <c r="AL2580">
        <v>77.502020164606506</v>
      </c>
      <c r="AM2580">
        <v>94.070099714355294</v>
      </c>
      <c r="AN2580">
        <v>1.0000000413688901</v>
      </c>
    </row>
    <row r="2581" spans="1:40" x14ac:dyDescent="0.25">
      <c r="A2581" t="str">
        <f>"20190304155643974"</f>
        <v>20190304155643974</v>
      </c>
      <c r="B2581" t="str">
        <f>"1551686203966927"</f>
        <v>1551686203966927</v>
      </c>
      <c r="C2581" t="s">
        <v>40</v>
      </c>
      <c r="D2581">
        <v>4.6377100000000002</v>
      </c>
      <c r="E2581">
        <v>0.5383213</v>
      </c>
      <c r="F2581" t="s">
        <v>51</v>
      </c>
      <c r="G2581">
        <v>-626.87660000000005</v>
      </c>
      <c r="H2581">
        <v>-0.1</v>
      </c>
      <c r="I2581">
        <v>292.57839999999999</v>
      </c>
      <c r="J2581">
        <v>-420.45460000000003</v>
      </c>
      <c r="K2581">
        <v>1.1102299999999901</v>
      </c>
      <c r="L2581">
        <v>284.77730000000003</v>
      </c>
      <c r="M2581">
        <v>-0.9998418</v>
      </c>
      <c r="N2581">
        <v>-1.470672E-2</v>
      </c>
      <c r="O2581">
        <v>1.0005109999999999E-2</v>
      </c>
      <c r="P2581">
        <v>-0.97753109999999999</v>
      </c>
      <c r="Q2581">
        <v>0.20226350000000001</v>
      </c>
      <c r="R2581">
        <v>-5.9349640000000002E-2</v>
      </c>
      <c r="S2581">
        <v>-3.0796510000000001</v>
      </c>
      <c r="T2581">
        <v>-1.8024800000000001E-2</v>
      </c>
      <c r="U2581">
        <v>0.1162415</v>
      </c>
      <c r="V2581">
        <v>-6.9082160000000004E-2</v>
      </c>
      <c r="W2581">
        <v>0.21662310000000001</v>
      </c>
      <c r="X2581">
        <v>0.97380809999999995</v>
      </c>
      <c r="Y2581">
        <v>2.7715920000000002E-2</v>
      </c>
      <c r="Z2581">
        <v>3.7354910000000002E-4</v>
      </c>
      <c r="AA2581">
        <v>0.99961580000000005</v>
      </c>
      <c r="AB2581">
        <v>36</v>
      </c>
      <c r="AC2581">
        <v>-206.422</v>
      </c>
      <c r="AD2581">
        <v>-1.2102299999999999</v>
      </c>
      <c r="AE2581">
        <v>7.80109999999996</v>
      </c>
      <c r="AF2581">
        <v>5.7350144166247299</v>
      </c>
      <c r="AG2581">
        <v>-1.2102299999999999</v>
      </c>
      <c r="AH2581">
        <v>206.48263775039001</v>
      </c>
      <c r="AI2581">
        <v>90.335687049221093</v>
      </c>
      <c r="AJ2581">
        <v>88.4090300867026</v>
      </c>
      <c r="AK2581">
        <v>206.56581212623399</v>
      </c>
      <c r="AL2581">
        <v>77.489232361761296</v>
      </c>
      <c r="AM2581">
        <v>94.057777323224499</v>
      </c>
      <c r="AN2581">
        <v>1.0000000639547399</v>
      </c>
    </row>
    <row r="2582" spans="1:40" x14ac:dyDescent="0.25">
      <c r="A2582" t="str">
        <f>"20190304155643998"</f>
        <v>20190304155643998</v>
      </c>
      <c r="B2582" t="str">
        <f>"1551686203987420"</f>
        <v>1551686203987420</v>
      </c>
      <c r="C2582" t="s">
        <v>40</v>
      </c>
      <c r="D2582">
        <v>4.6202170000000002</v>
      </c>
      <c r="E2582">
        <v>0.53967339999999997</v>
      </c>
      <c r="F2582" t="s">
        <v>51</v>
      </c>
      <c r="G2582">
        <v>-656.50720000000001</v>
      </c>
      <c r="H2582">
        <v>-0.1</v>
      </c>
      <c r="I2582">
        <v>294.63810000000001</v>
      </c>
      <c r="J2582">
        <v>-420.82979999999998</v>
      </c>
      <c r="K2582">
        <v>1.1102350000000001</v>
      </c>
      <c r="L2582">
        <v>284.78109999999998</v>
      </c>
      <c r="M2582">
        <v>-0.99984099999999998</v>
      </c>
      <c r="N2582">
        <v>-1.4712340000000001E-2</v>
      </c>
      <c r="O2582">
        <v>1.007766E-2</v>
      </c>
      <c r="P2582">
        <v>-0.97749319999999895</v>
      </c>
      <c r="Q2582">
        <v>0.20258580000000001</v>
      </c>
      <c r="R2582">
        <v>-5.8875039999999997E-2</v>
      </c>
      <c r="S2582">
        <v>-3.079987</v>
      </c>
      <c r="T2582">
        <v>-1.579094E-2</v>
      </c>
      <c r="U2582">
        <v>0.1286621</v>
      </c>
      <c r="V2582">
        <v>-6.8678180000000005E-2</v>
      </c>
      <c r="W2582">
        <v>0.21695030000000001</v>
      </c>
      <c r="X2582">
        <v>0.97376379999999996</v>
      </c>
      <c r="Y2582">
        <v>3.166397E-2</v>
      </c>
      <c r="Z2582">
        <v>4.1075889999999998E-4</v>
      </c>
      <c r="AA2582">
        <v>0.99949849999999996</v>
      </c>
      <c r="AB2582">
        <v>36</v>
      </c>
      <c r="AC2582">
        <v>-235.67740000000001</v>
      </c>
      <c r="AD2582">
        <v>-1.2102349999999999</v>
      </c>
      <c r="AE2582">
        <v>9.8570000000000206</v>
      </c>
      <c r="AF2582">
        <v>7.4809686682930403</v>
      </c>
      <c r="AG2582">
        <v>-1.2102349999999999</v>
      </c>
      <c r="AH2582">
        <v>235.758569739671</v>
      </c>
      <c r="AI2582">
        <v>90.293969659426594</v>
      </c>
      <c r="AJ2582">
        <v>88.182529870567905</v>
      </c>
      <c r="AK2582">
        <v>235.88033569305099</v>
      </c>
      <c r="AL2582">
        <v>77.470028085099003</v>
      </c>
      <c r="AM2582">
        <v>94.034309669593995</v>
      </c>
      <c r="AN2582">
        <v>1.0000000316343201</v>
      </c>
    </row>
    <row r="2583" spans="1:40" x14ac:dyDescent="0.25">
      <c r="A2583" t="str">
        <f>"20190304155644012"</f>
        <v>20190304155644012</v>
      </c>
      <c r="B2583" t="str">
        <f>"1551686204006939"</f>
        <v>1551686204006939</v>
      </c>
      <c r="C2583" t="s">
        <v>40</v>
      </c>
      <c r="D2583">
        <v>4.6633430000000002</v>
      </c>
      <c r="E2583">
        <v>0.54098970000000002</v>
      </c>
      <c r="F2583" t="s">
        <v>51</v>
      </c>
      <c r="G2583">
        <v>-703.97230000000002</v>
      </c>
      <c r="H2583">
        <v>-0.1</v>
      </c>
      <c r="I2583">
        <v>297.71879999999999</v>
      </c>
      <c r="J2583">
        <v>-421.06459999999998</v>
      </c>
      <c r="K2583">
        <v>1.110239</v>
      </c>
      <c r="L2583">
        <v>284.7835</v>
      </c>
      <c r="M2583">
        <v>-0.99984050000000002</v>
      </c>
      <c r="N2583">
        <v>-1.4715229999999999E-2</v>
      </c>
      <c r="O2583">
        <v>1.0123109999999999E-2</v>
      </c>
      <c r="P2583">
        <v>-0.97746710000000003</v>
      </c>
      <c r="Q2583">
        <v>0.2027262</v>
      </c>
      <c r="R2583">
        <v>-5.8824050000000003E-2</v>
      </c>
      <c r="S2583">
        <v>-3.0802610000000001</v>
      </c>
      <c r="T2583">
        <v>-1.3165949999999999E-2</v>
      </c>
      <c r="U2583">
        <v>0.14074710000000001</v>
      </c>
      <c r="V2583">
        <v>-6.8671289999999996E-2</v>
      </c>
      <c r="W2583">
        <v>0.21709319999999999</v>
      </c>
      <c r="X2583">
        <v>0.97373240000000005</v>
      </c>
      <c r="Y2583">
        <v>3.5528730000000001E-2</v>
      </c>
      <c r="Z2583">
        <v>4.4311589999999998E-4</v>
      </c>
      <c r="AA2583">
        <v>0.99936849999999999</v>
      </c>
      <c r="AB2583">
        <v>36</v>
      </c>
      <c r="AC2583">
        <v>-282.90769999999998</v>
      </c>
      <c r="AD2583">
        <v>-1.2102389999999901</v>
      </c>
      <c r="AE2583">
        <v>12.9352999999999</v>
      </c>
      <c r="AF2583">
        <v>10.070237319137499</v>
      </c>
      <c r="AG2583">
        <v>-1.2102389999999901</v>
      </c>
      <c r="AH2583">
        <v>283.01899185228399</v>
      </c>
      <c r="AI2583">
        <v>90.244850395172094</v>
      </c>
      <c r="AJ2583">
        <v>87.962190510592706</v>
      </c>
      <c r="AK2583">
        <v>283.200678154527</v>
      </c>
      <c r="AL2583">
        <v>77.461640153549695</v>
      </c>
      <c r="AM2583">
        <v>94.034035923949801</v>
      </c>
      <c r="AN2583">
        <v>0.99999999518313198</v>
      </c>
    </row>
    <row r="2584" spans="1:40" x14ac:dyDescent="0.25">
      <c r="A2584" t="str">
        <f>"20190304155644031"</f>
        <v>20190304155644031</v>
      </c>
      <c r="B2584" t="str">
        <f>"1551686204027191"</f>
        <v>1551686204027191</v>
      </c>
      <c r="C2584" t="s">
        <v>40</v>
      </c>
      <c r="D2584">
        <v>4.6031040000000001</v>
      </c>
      <c r="E2584">
        <v>0.54214439999999997</v>
      </c>
      <c r="F2584" t="s">
        <v>51</v>
      </c>
      <c r="G2584">
        <v>-749.46489999999994</v>
      </c>
      <c r="H2584">
        <v>-0.1</v>
      </c>
      <c r="I2584">
        <v>300.94209999999998</v>
      </c>
      <c r="J2584">
        <v>-421.3596</v>
      </c>
      <c r="K2584">
        <v>1.1102449999999999</v>
      </c>
      <c r="L2584">
        <v>284.78660000000002</v>
      </c>
      <c r="M2584">
        <v>-0.9998399</v>
      </c>
      <c r="N2584">
        <v>-1.4718129999999999E-2</v>
      </c>
      <c r="O2584">
        <v>1.0180130000000001E-2</v>
      </c>
      <c r="P2584">
        <v>-0.97755029999999998</v>
      </c>
      <c r="Q2584">
        <v>0.20244719999999999</v>
      </c>
      <c r="R2584">
        <v>-5.8402229999999999E-2</v>
      </c>
      <c r="S2584">
        <v>-3.0806580000000001</v>
      </c>
      <c r="T2584">
        <v>-1.135302E-2</v>
      </c>
      <c r="U2584">
        <v>0.15158079999999999</v>
      </c>
      <c r="V2584">
        <v>-6.830551E-2</v>
      </c>
      <c r="W2584">
        <v>0.21681810000000001</v>
      </c>
      <c r="X2584">
        <v>0.9738194</v>
      </c>
      <c r="Y2584">
        <v>3.8972399999999997E-2</v>
      </c>
      <c r="Z2584">
        <v>4.7103439999999998E-4</v>
      </c>
      <c r="AA2584">
        <v>0.99924020000000002</v>
      </c>
      <c r="AB2584">
        <v>36</v>
      </c>
      <c r="AC2584">
        <v>-328.10529999999898</v>
      </c>
      <c r="AD2584">
        <v>-1.210245</v>
      </c>
      <c r="AE2584">
        <v>16.1554999999999</v>
      </c>
      <c r="AF2584">
        <v>12.813972434067001</v>
      </c>
      <c r="AG2584">
        <v>-1.210245</v>
      </c>
      <c r="AH2584">
        <v>328.24832193404598</v>
      </c>
      <c r="AI2584">
        <v>90.211086659238603</v>
      </c>
      <c r="AJ2584">
        <v>87.764454885629206</v>
      </c>
      <c r="AK2584">
        <v>328.50056839375202</v>
      </c>
      <c r="AL2584">
        <v>77.477786587424404</v>
      </c>
      <c r="AM2584">
        <v>94.012261557226296</v>
      </c>
      <c r="AN2584">
        <v>0.99999997750016401</v>
      </c>
    </row>
    <row r="2585" spans="1:40" x14ac:dyDescent="0.25">
      <c r="A2585" t="str">
        <f>"20190304155644053"</f>
        <v>20190304155644053</v>
      </c>
      <c r="B2585" t="str">
        <f>"1551686204047686"</f>
        <v>1551686204047686</v>
      </c>
      <c r="C2585" t="s">
        <v>40</v>
      </c>
      <c r="D2585">
        <v>4.5942660000000002</v>
      </c>
      <c r="E2585">
        <v>0.54259159999999995</v>
      </c>
      <c r="F2585" t="s">
        <v>51</v>
      </c>
      <c r="G2585">
        <v>-763.96960000000001</v>
      </c>
      <c r="H2585">
        <v>-0.1</v>
      </c>
      <c r="I2585">
        <v>302.77030000000002</v>
      </c>
      <c r="J2585">
        <v>-421.72579999999999</v>
      </c>
      <c r="K2585">
        <v>1.110247</v>
      </c>
      <c r="L2585">
        <v>284.79039999999998</v>
      </c>
      <c r="M2585">
        <v>-0.99983909999999998</v>
      </c>
      <c r="N2585">
        <v>-1.472069E-2</v>
      </c>
      <c r="O2585">
        <v>1.025103E-2</v>
      </c>
      <c r="P2585">
        <v>-0.97748820000000003</v>
      </c>
      <c r="Q2585">
        <v>0.2027264</v>
      </c>
      <c r="R2585">
        <v>-5.8470710000000002E-2</v>
      </c>
      <c r="S2585">
        <v>-3.0808110000000002</v>
      </c>
      <c r="T2585">
        <v>-1.088274E-2</v>
      </c>
      <c r="U2585">
        <v>0.16171259999999901</v>
      </c>
      <c r="V2585">
        <v>-6.844277E-2</v>
      </c>
      <c r="W2585">
        <v>0.21709829999999999</v>
      </c>
      <c r="X2585">
        <v>0.97374740000000004</v>
      </c>
      <c r="Y2585">
        <v>4.2176610000000003E-2</v>
      </c>
      <c r="Z2585">
        <v>4.9974820000000001E-4</v>
      </c>
      <c r="AA2585">
        <v>0.99911000000000005</v>
      </c>
      <c r="AB2585">
        <v>36</v>
      </c>
      <c r="AC2585">
        <v>-342.24380000000002</v>
      </c>
      <c r="AD2585">
        <v>-1.2102469999999901</v>
      </c>
      <c r="AE2585">
        <v>17.979900000000001</v>
      </c>
      <c r="AF2585">
        <v>14.470042990848199</v>
      </c>
      <c r="AG2585">
        <v>-1.2102469999999901</v>
      </c>
      <c r="AH2585">
        <v>342.40587605572102</v>
      </c>
      <c r="AI2585">
        <v>90.202332745858797</v>
      </c>
      <c r="AJ2585">
        <v>87.580125132255503</v>
      </c>
      <c r="AK2585">
        <v>342.71362797450001</v>
      </c>
      <c r="AL2585">
        <v>77.461341399969697</v>
      </c>
      <c r="AM2585">
        <v>94.020594080254</v>
      </c>
      <c r="AN2585">
        <v>1.0000000418174599</v>
      </c>
    </row>
    <row r="2586" spans="1:40" x14ac:dyDescent="0.25">
      <c r="A2586" t="str">
        <f>"20190304155644067"</f>
        <v>20190304155644067</v>
      </c>
      <c r="B2586" t="str">
        <f>"1551686204057446"</f>
        <v>1551686204057446</v>
      </c>
      <c r="C2586" t="s">
        <v>40</v>
      </c>
      <c r="D2586">
        <v>4.5836209999999999</v>
      </c>
      <c r="E2586">
        <v>0.54207119999999998</v>
      </c>
      <c r="F2586" t="s">
        <v>51</v>
      </c>
      <c r="G2586">
        <v>-848.63009999999997</v>
      </c>
      <c r="H2586">
        <v>-0.1</v>
      </c>
      <c r="I2586">
        <v>307.71440000000001</v>
      </c>
      <c r="J2586">
        <v>-421.94880000000001</v>
      </c>
      <c r="K2586">
        <v>1.110249</v>
      </c>
      <c r="L2586">
        <v>284.79270000000002</v>
      </c>
      <c r="M2586">
        <v>-0.99983880000000003</v>
      </c>
      <c r="N2586">
        <v>-1.472183E-2</v>
      </c>
      <c r="O2586">
        <v>1.029411E-2</v>
      </c>
      <c r="P2586">
        <v>-0.97749750000000002</v>
      </c>
      <c r="Q2586">
        <v>0.20267579999999999</v>
      </c>
      <c r="R2586">
        <v>-5.8494480000000001E-2</v>
      </c>
      <c r="S2586">
        <v>-3.0808409999999999</v>
      </c>
      <c r="T2586">
        <v>-8.7339879999999998E-3</v>
      </c>
      <c r="U2586">
        <v>0.16543579999999999</v>
      </c>
      <c r="V2586">
        <v>-6.8509029999999999E-2</v>
      </c>
      <c r="W2586">
        <v>0.21704899999999999</v>
      </c>
      <c r="X2586">
        <v>0.97375370000000006</v>
      </c>
      <c r="Y2586">
        <v>4.3337390000000003E-2</v>
      </c>
      <c r="Z2586">
        <v>5.0294010000000004E-4</v>
      </c>
      <c r="AA2586">
        <v>0.99906039999999996</v>
      </c>
      <c r="AB2586">
        <v>36</v>
      </c>
      <c r="AC2586">
        <v>-426.68130000000002</v>
      </c>
      <c r="AD2586">
        <v>-1.2102489999999999</v>
      </c>
      <c r="AE2586">
        <v>22.921699999999898</v>
      </c>
      <c r="AF2586">
        <v>18.527557009448799</v>
      </c>
      <c r="AG2586">
        <v>-1.2102489999999999</v>
      </c>
      <c r="AH2586">
        <v>426.89124652750502</v>
      </c>
      <c r="AI2586">
        <v>90.1622819836887</v>
      </c>
      <c r="AJ2586">
        <v>87.514858761515697</v>
      </c>
      <c r="AK2586">
        <v>427.29482963544899</v>
      </c>
      <c r="AL2586">
        <v>77.464234700155899</v>
      </c>
      <c r="AM2586">
        <v>94.024447714181505</v>
      </c>
      <c r="AN2586">
        <v>1.0000000119281101</v>
      </c>
    </row>
    <row r="2587" spans="1:40" x14ac:dyDescent="0.25">
      <c r="A2587" t="str">
        <f>"20190304155644086"</f>
        <v>20190304155644086</v>
      </c>
      <c r="B2587" t="str">
        <f>"1551686204076967"</f>
        <v>1551686204076967</v>
      </c>
      <c r="C2587" t="s">
        <v>40</v>
      </c>
      <c r="D2587">
        <v>4.5179739999999997</v>
      </c>
      <c r="E2587">
        <v>0.4800257</v>
      </c>
      <c r="F2587" t="s">
        <v>51</v>
      </c>
      <c r="G2587">
        <v>-814.48080000000004</v>
      </c>
      <c r="H2587">
        <v>-0.1</v>
      </c>
      <c r="I2587">
        <v>305.28899999999999</v>
      </c>
      <c r="J2587">
        <v>-422.25389999999999</v>
      </c>
      <c r="K2587">
        <v>1.110247</v>
      </c>
      <c r="L2587">
        <v>284.79590000000002</v>
      </c>
      <c r="M2587">
        <v>-0.99983809999999995</v>
      </c>
      <c r="N2587">
        <v>-1.4722819999999999E-2</v>
      </c>
      <c r="O2587">
        <v>1.035346E-2</v>
      </c>
      <c r="P2587">
        <v>-0.97746820000000001</v>
      </c>
      <c r="Q2587">
        <v>0.202733</v>
      </c>
      <c r="R2587">
        <v>-5.8782250000000001E-2</v>
      </c>
      <c r="S2587">
        <v>-3.0806580000000001</v>
      </c>
      <c r="T2587">
        <v>-9.4982390000000003E-3</v>
      </c>
      <c r="U2587">
        <v>0.16085820000000001</v>
      </c>
      <c r="V2587">
        <v>-6.8854499999999999E-2</v>
      </c>
      <c r="W2587">
        <v>0.21710670000000001</v>
      </c>
      <c r="X2587">
        <v>0.97371640000000004</v>
      </c>
      <c r="Y2587">
        <v>4.1800740000000003E-2</v>
      </c>
      <c r="Z2587">
        <v>4.9279149999999997E-4</v>
      </c>
      <c r="AA2587">
        <v>0.99912579999999995</v>
      </c>
      <c r="AB2587">
        <v>36</v>
      </c>
      <c r="AC2587">
        <v>-392.2269</v>
      </c>
      <c r="AD2587">
        <v>-1.2102469999999901</v>
      </c>
      <c r="AE2587">
        <v>20.493099999999899</v>
      </c>
      <c r="AF2587">
        <v>16.4305000107138</v>
      </c>
      <c r="AG2587">
        <v>-1.2102469999999901</v>
      </c>
      <c r="AH2587">
        <v>392.414344216335</v>
      </c>
      <c r="AI2587">
        <v>90.176550945015094</v>
      </c>
      <c r="AJ2587">
        <v>87.602409877637498</v>
      </c>
      <c r="AK2587">
        <v>392.760033067444</v>
      </c>
      <c r="AL2587">
        <v>77.460847115510802</v>
      </c>
      <c r="AM2587">
        <v>94.044829006176897</v>
      </c>
      <c r="AN2587">
        <v>0.99999994449204799</v>
      </c>
    </row>
    <row r="2588" spans="1:40" x14ac:dyDescent="0.25">
      <c r="A2588" t="str">
        <f>"20190304155644100"</f>
        <v>20190304155644100</v>
      </c>
      <c r="B2588" t="str">
        <f>"1551686204097462"</f>
        <v>1551686204097462</v>
      </c>
      <c r="C2588" t="s">
        <v>40</v>
      </c>
      <c r="D2588">
        <v>4.5822120000000002</v>
      </c>
      <c r="E2588">
        <v>0.48244019999999999</v>
      </c>
      <c r="F2588" t="s">
        <v>55</v>
      </c>
      <c r="G2588">
        <v>-469.80410000000001</v>
      </c>
      <c r="H2588">
        <v>4.6888680000000002E-2</v>
      </c>
      <c r="I2588">
        <v>279.61630000000002</v>
      </c>
      <c r="J2588">
        <v>-422.471</v>
      </c>
      <c r="K2588">
        <v>1.110249</v>
      </c>
      <c r="L2588">
        <v>284.79820000000001</v>
      </c>
      <c r="M2588">
        <v>-0.99983759999999999</v>
      </c>
      <c r="N2588">
        <v>-1.4723190000000001E-2</v>
      </c>
      <c r="O2588">
        <v>1.0395420000000001E-2</v>
      </c>
      <c r="P2588">
        <v>-0.97749980000000003</v>
      </c>
      <c r="Q2588">
        <v>0.20267979999999999</v>
      </c>
      <c r="R2588">
        <v>-5.8437000000000003E-2</v>
      </c>
      <c r="S2588">
        <v>-3.0632929999999998</v>
      </c>
      <c r="T2588">
        <v>-6.8503980000000006E-2</v>
      </c>
      <c r="U2588">
        <v>-0.33367920000000001</v>
      </c>
      <c r="V2588">
        <v>-6.8550239999999998E-2</v>
      </c>
      <c r="W2588">
        <v>0.21705459999999999</v>
      </c>
      <c r="X2588">
        <v>0.97374950000000005</v>
      </c>
      <c r="Y2588">
        <v>-0.1185682</v>
      </c>
      <c r="Z2588">
        <v>-2.2765419999999999E-3</v>
      </c>
      <c r="AA2588">
        <v>0.99294329999999997</v>
      </c>
      <c r="AB2588">
        <v>36</v>
      </c>
      <c r="AC2588">
        <v>-47.333100000000002</v>
      </c>
      <c r="AD2588">
        <v>-1.0633603199999999</v>
      </c>
      <c r="AE2588">
        <v>-5.1818999999999802</v>
      </c>
      <c r="AF2588">
        <v>-5.6708925322798001</v>
      </c>
      <c r="AG2588">
        <v>-1.0633603199999999</v>
      </c>
      <c r="AH2588">
        <v>47.253101923615503</v>
      </c>
      <c r="AI2588">
        <v>91.279956824307604</v>
      </c>
      <c r="AJ2588">
        <v>96.843395336945207</v>
      </c>
      <c r="AK2588">
        <v>47.604048133393199</v>
      </c>
      <c r="AL2588">
        <v>77.463905368752094</v>
      </c>
      <c r="AM2588">
        <v>94.026877876344798</v>
      </c>
      <c r="AN2588">
        <v>0.99999996176773298</v>
      </c>
    </row>
    <row r="2589" spans="1:40" x14ac:dyDescent="0.25">
      <c r="A2589" t="str">
        <f>"20190304155644132"</f>
        <v>20190304155644132</v>
      </c>
      <c r="B2589" t="str">
        <f>"1551686204127719"</f>
        <v>1551686204127719</v>
      </c>
      <c r="C2589" t="s">
        <v>40</v>
      </c>
      <c r="D2589">
        <v>4.5307599999999999</v>
      </c>
      <c r="E2589">
        <v>0.48298950000000002</v>
      </c>
      <c r="F2589" t="s">
        <v>53</v>
      </c>
      <c r="G2589">
        <v>-473.18209999999999</v>
      </c>
      <c r="H2589">
        <v>2.9753450000000001E-2</v>
      </c>
      <c r="I2589">
        <v>279.61630000000002</v>
      </c>
      <c r="J2589">
        <v>-422.97930000000002</v>
      </c>
      <c r="K2589">
        <v>1.1102510000000001</v>
      </c>
      <c r="L2589">
        <v>284.80360000000002</v>
      </c>
      <c r="M2589">
        <v>-0.99983650000000002</v>
      </c>
      <c r="N2589">
        <v>-1.47233E-2</v>
      </c>
      <c r="O2589">
        <v>1.049435E-2</v>
      </c>
      <c r="P2589">
        <v>-0.97749680000000005</v>
      </c>
      <c r="Q2589">
        <v>0.20275940000000001</v>
      </c>
      <c r="R2589">
        <v>-5.821366E-2</v>
      </c>
      <c r="S2589">
        <v>-3.0638730000000001</v>
      </c>
      <c r="T2589">
        <v>-6.5281629999999993E-2</v>
      </c>
      <c r="U2589">
        <v>-0.31307980000000002</v>
      </c>
      <c r="V2589">
        <v>-6.8423659999999997E-2</v>
      </c>
      <c r="W2589">
        <v>0.21713370000000001</v>
      </c>
      <c r="X2589">
        <v>0.97374079999999996</v>
      </c>
      <c r="Y2589">
        <v>-0.1120476</v>
      </c>
      <c r="Z2589">
        <v>-2.0865860000000001E-3</v>
      </c>
      <c r="AA2589">
        <v>0.99370069999999999</v>
      </c>
      <c r="AB2589">
        <v>36</v>
      </c>
      <c r="AC2589">
        <v>-50.202799999999897</v>
      </c>
      <c r="AD2589">
        <v>-1.08049755</v>
      </c>
      <c r="AE2589">
        <v>-5.1872999999999898</v>
      </c>
      <c r="AF2589">
        <v>-5.7112995049972</v>
      </c>
      <c r="AG2589">
        <v>-1.08049755</v>
      </c>
      <c r="AH2589">
        <v>50.122618860886703</v>
      </c>
      <c r="AI2589">
        <v>91.2270012723625</v>
      </c>
      <c r="AJ2589">
        <v>96.500618888472204</v>
      </c>
      <c r="AK2589">
        <v>50.458530878980802</v>
      </c>
      <c r="AL2589">
        <v>77.459262945442703</v>
      </c>
      <c r="AM2589">
        <v>94.019502319377807</v>
      </c>
      <c r="AN2589">
        <v>0.99999999325406197</v>
      </c>
    </row>
    <row r="2590" spans="1:40" x14ac:dyDescent="0.25">
      <c r="A2590" t="str">
        <f>"20190304155644154"</f>
        <v>20190304155644154</v>
      </c>
      <c r="B2590" t="str">
        <f>"1551686204147242"</f>
        <v>1551686204147242</v>
      </c>
      <c r="C2590" t="s">
        <v>40</v>
      </c>
      <c r="D2590">
        <v>4.5098669999999998</v>
      </c>
      <c r="E2590">
        <v>0.4834331</v>
      </c>
      <c r="F2590" t="s">
        <v>53</v>
      </c>
      <c r="G2590">
        <v>-474.40429999999998</v>
      </c>
      <c r="H2590" s="1">
        <v>4.2248900000000001E-6</v>
      </c>
      <c r="I2590">
        <v>279.62799999999999</v>
      </c>
      <c r="J2590">
        <v>-423.32920000000001</v>
      </c>
      <c r="K2590">
        <v>1.110249</v>
      </c>
      <c r="L2590">
        <v>284.8073</v>
      </c>
      <c r="M2590">
        <v>-0.99983580000000005</v>
      </c>
      <c r="N2590">
        <v>-1.472268E-2</v>
      </c>
      <c r="O2590">
        <v>1.0562419999999999E-2</v>
      </c>
      <c r="P2590">
        <v>-0.97745530000000003</v>
      </c>
      <c r="Q2590">
        <v>0.20298669999999999</v>
      </c>
      <c r="R2590">
        <v>-5.8117309999999998E-2</v>
      </c>
      <c r="S2590">
        <v>-3.0643919999999998</v>
      </c>
      <c r="T2590">
        <v>-6.6159129999999997E-2</v>
      </c>
      <c r="U2590">
        <v>-0.30841059999999998</v>
      </c>
      <c r="V2590">
        <v>-6.8393670000000004E-2</v>
      </c>
      <c r="W2590">
        <v>0.21735989999999999</v>
      </c>
      <c r="X2590">
        <v>0.97369249999999996</v>
      </c>
      <c r="Y2590">
        <v>-0.110599</v>
      </c>
      <c r="Z2590">
        <v>-2.0795269999999999E-3</v>
      </c>
      <c r="AA2590">
        <v>0.99386289999999999</v>
      </c>
      <c r="AB2590">
        <v>36</v>
      </c>
      <c r="AC2590">
        <v>-51.0750999999999</v>
      </c>
      <c r="AD2590">
        <v>-1.11024477511</v>
      </c>
      <c r="AE2590">
        <v>-5.1793000000000102</v>
      </c>
      <c r="AF2590">
        <v>-5.7158727980210804</v>
      </c>
      <c r="AG2590">
        <v>-1.11024477511</v>
      </c>
      <c r="AH2590">
        <v>50.993688121313099</v>
      </c>
      <c r="AI2590">
        <v>91.239498259447799</v>
      </c>
      <c r="AJ2590">
        <v>96.395577233373203</v>
      </c>
      <c r="AK2590">
        <v>51.325043336733401</v>
      </c>
      <c r="AL2590">
        <v>77.445986286151296</v>
      </c>
      <c r="AM2590">
        <v>94.017944995140098</v>
      </c>
      <c r="AN2590">
        <v>1.00000005239016</v>
      </c>
    </row>
    <row r="2591" spans="1:40" x14ac:dyDescent="0.25">
      <c r="A2591" t="str">
        <f>"20190304155644176"</f>
        <v>20190304155644176</v>
      </c>
      <c r="B2591" t="str">
        <f>"1551686204167734"</f>
        <v>1551686204167734</v>
      </c>
      <c r="C2591" t="s">
        <v>40</v>
      </c>
      <c r="D2591">
        <v>4.5119319999999998</v>
      </c>
      <c r="E2591">
        <v>0.48326599999999997</v>
      </c>
      <c r="F2591" t="s">
        <v>53</v>
      </c>
      <c r="G2591">
        <v>-475.39940000000001</v>
      </c>
      <c r="H2591" s="1">
        <v>3.7838320000000001E-6</v>
      </c>
      <c r="I2591">
        <v>279.63040000000001</v>
      </c>
      <c r="J2591">
        <v>-423.68169999999998</v>
      </c>
      <c r="K2591">
        <v>1.1102540000000001</v>
      </c>
      <c r="L2591">
        <v>284.81110000000001</v>
      </c>
      <c r="M2591">
        <v>-0.99983509999999998</v>
      </c>
      <c r="N2591">
        <v>-1.472159E-2</v>
      </c>
      <c r="O2591">
        <v>1.063132E-2</v>
      </c>
      <c r="P2591">
        <v>-0.97744609999999998</v>
      </c>
      <c r="Q2591">
        <v>0.20308599999999999</v>
      </c>
      <c r="R2591">
        <v>-5.792423E-2</v>
      </c>
      <c r="S2591">
        <v>-3.064575</v>
      </c>
      <c r="T2591">
        <v>-6.5343139999999994E-2</v>
      </c>
      <c r="U2591">
        <v>-0.3046875</v>
      </c>
      <c r="V2591">
        <v>-6.8268159999999994E-2</v>
      </c>
      <c r="W2591">
        <v>0.2174577</v>
      </c>
      <c r="X2591">
        <v>0.97367939999999997</v>
      </c>
      <c r="Y2591">
        <v>-0.1094673</v>
      </c>
      <c r="Z2591">
        <v>-2.0419969999999998E-3</v>
      </c>
      <c r="AA2591">
        <v>0.99398830000000005</v>
      </c>
      <c r="AB2591">
        <v>36</v>
      </c>
      <c r="AC2591">
        <v>-51.717700000000001</v>
      </c>
      <c r="AD2591">
        <v>-1.1102502161679999</v>
      </c>
      <c r="AE2591">
        <v>-5.1806999999999999</v>
      </c>
      <c r="AF2591">
        <v>-5.7276807689796803</v>
      </c>
      <c r="AG2591">
        <v>-1.1102502161679999</v>
      </c>
      <c r="AH2591">
        <v>51.636132639548997</v>
      </c>
      <c r="AI2591">
        <v>91.224244583624596</v>
      </c>
      <c r="AJ2591">
        <v>96.329595444579894</v>
      </c>
      <c r="AK2591">
        <v>51.9646916329053</v>
      </c>
      <c r="AL2591">
        <v>77.440244562158398</v>
      </c>
      <c r="AM2591">
        <v>94.010649485098497</v>
      </c>
      <c r="AN2591">
        <v>0.99999998347171704</v>
      </c>
    </row>
    <row r="2592" spans="1:40" x14ac:dyDescent="0.25">
      <c r="A2592" t="str">
        <f>"20190304155644198"</f>
        <v>20190304155644198</v>
      </c>
      <c r="B2592" t="str">
        <f>"1551686204187255"</f>
        <v>1551686204187255</v>
      </c>
      <c r="C2592" t="s">
        <v>40</v>
      </c>
      <c r="D2592">
        <v>4.4776030000000002</v>
      </c>
      <c r="E2592">
        <v>0.48282130000000001</v>
      </c>
      <c r="F2592" t="s">
        <v>53</v>
      </c>
      <c r="G2592">
        <v>-475.80180000000001</v>
      </c>
      <c r="H2592">
        <v>4.7159599999999999E-3</v>
      </c>
      <c r="I2592">
        <v>279.61579999999998</v>
      </c>
      <c r="J2592">
        <v>-424.04559999999998</v>
      </c>
      <c r="K2592">
        <v>1.1102540000000001</v>
      </c>
      <c r="L2592">
        <v>284.81509999999997</v>
      </c>
      <c r="M2592">
        <v>-0.99983449999999996</v>
      </c>
      <c r="N2592">
        <v>-1.472008E-2</v>
      </c>
      <c r="O2592">
        <v>1.0702069999999999E-2</v>
      </c>
      <c r="P2592">
        <v>-0.9774311</v>
      </c>
      <c r="Q2592">
        <v>0.20314289999999999</v>
      </c>
      <c r="R2592">
        <v>-5.7979490000000002E-2</v>
      </c>
      <c r="S2592">
        <v>-3.0646360000000001</v>
      </c>
      <c r="T2592">
        <v>-6.5005060000000003E-2</v>
      </c>
      <c r="U2592">
        <v>-0.305481</v>
      </c>
      <c r="V2592">
        <v>-6.8392670000000003E-2</v>
      </c>
      <c r="W2592">
        <v>0.2175135</v>
      </c>
      <c r="X2592">
        <v>0.97365820000000003</v>
      </c>
      <c r="Y2592">
        <v>-0.10979079999999999</v>
      </c>
      <c r="Z2592">
        <v>-2.0409719999999998E-3</v>
      </c>
      <c r="AA2592">
        <v>0.99395259999999996</v>
      </c>
      <c r="AB2592">
        <v>36</v>
      </c>
      <c r="AC2592">
        <v>-51.7562</v>
      </c>
      <c r="AD2592">
        <v>-1.1055380400000001</v>
      </c>
      <c r="AE2592">
        <v>-5.1992999999999903</v>
      </c>
      <c r="AF2592">
        <v>-5.7503630963158097</v>
      </c>
      <c r="AG2592">
        <v>-1.1055380400000001</v>
      </c>
      <c r="AH2592">
        <v>51.674244162301399</v>
      </c>
      <c r="AI2592">
        <v>91.218103608058001</v>
      </c>
      <c r="AJ2592">
        <v>96.349808454103794</v>
      </c>
      <c r="AK2592">
        <v>52.004965146056001</v>
      </c>
      <c r="AL2592">
        <v>77.436969075679201</v>
      </c>
      <c r="AM2592">
        <v>94.018027518604598</v>
      </c>
      <c r="AN2592">
        <v>0.99999998520960898</v>
      </c>
    </row>
    <row r="2593" spans="1:40" x14ac:dyDescent="0.25">
      <c r="A2593" t="str">
        <f>"20190304155644220"</f>
        <v>20190304155644220</v>
      </c>
      <c r="B2593" t="str">
        <f>"1551686204217511"</f>
        <v>1551686204217511</v>
      </c>
      <c r="C2593" t="s">
        <v>40</v>
      </c>
      <c r="D2593">
        <v>4.5062110000000004</v>
      </c>
      <c r="E2593">
        <v>0.48255589999999998</v>
      </c>
      <c r="F2593" t="s">
        <v>53</v>
      </c>
      <c r="G2593">
        <v>-475.57170000000002</v>
      </c>
      <c r="H2593">
        <v>2.035329E-2</v>
      </c>
      <c r="I2593">
        <v>279.61599999999999</v>
      </c>
      <c r="J2593">
        <v>-424.3931</v>
      </c>
      <c r="K2593">
        <v>1.110249</v>
      </c>
      <c r="L2593">
        <v>284.81889999999999</v>
      </c>
      <c r="M2593">
        <v>-0.99983379999999999</v>
      </c>
      <c r="N2593">
        <v>-1.471835E-2</v>
      </c>
      <c r="O2593">
        <v>1.076949E-2</v>
      </c>
      <c r="P2593">
        <v>-0.97744089999999995</v>
      </c>
      <c r="Q2593">
        <v>0.20304829999999999</v>
      </c>
      <c r="R2593">
        <v>-5.814478E-2</v>
      </c>
      <c r="S2593">
        <v>-3.0643919999999998</v>
      </c>
      <c r="T2593">
        <v>-6.4819340000000003E-2</v>
      </c>
      <c r="U2593">
        <v>-0.30920409999999998</v>
      </c>
      <c r="V2593">
        <v>-6.8623519999999993E-2</v>
      </c>
      <c r="W2593">
        <v>0.2174172</v>
      </c>
      <c r="X2593">
        <v>0.97366350000000002</v>
      </c>
      <c r="Y2593">
        <v>-0.1110609</v>
      </c>
      <c r="Z2593">
        <v>-2.0602179999999999E-3</v>
      </c>
      <c r="AA2593">
        <v>0.99381149999999996</v>
      </c>
      <c r="AB2593">
        <v>36</v>
      </c>
      <c r="AC2593">
        <v>-51.178600000000003</v>
      </c>
      <c r="AD2593">
        <v>-1.08989571</v>
      </c>
      <c r="AE2593">
        <v>-5.2028999999999996</v>
      </c>
      <c r="AF2593">
        <v>-5.7512436663180502</v>
      </c>
      <c r="AG2593">
        <v>-1.08989571</v>
      </c>
      <c r="AH2593">
        <v>51.096656603085798</v>
      </c>
      <c r="AI2593">
        <v>91.214272976830998</v>
      </c>
      <c r="AJ2593">
        <v>96.421964458750296</v>
      </c>
      <c r="AK2593">
        <v>51.430856422790697</v>
      </c>
      <c r="AL2593">
        <v>77.442622372133101</v>
      </c>
      <c r="AM2593">
        <v>94.031523296091095</v>
      </c>
      <c r="AN2593">
        <v>1.0000000187926401</v>
      </c>
    </row>
    <row r="2594" spans="1:40" x14ac:dyDescent="0.25">
      <c r="A2594" t="str">
        <f>"20190304155644242"</f>
        <v>20190304155644242</v>
      </c>
      <c r="B2594" t="str">
        <f>"1551686204237034"</f>
        <v>1551686204237034</v>
      </c>
      <c r="C2594" t="s">
        <v>40</v>
      </c>
      <c r="D2594">
        <v>4.4432510000000001</v>
      </c>
      <c r="E2594">
        <v>0.48241079999999997</v>
      </c>
      <c r="F2594" t="s">
        <v>53</v>
      </c>
      <c r="G2594">
        <v>-475.55970000000002</v>
      </c>
      <c r="H2594">
        <v>2.7292960000000002E-2</v>
      </c>
      <c r="I2594">
        <v>279.61599999999999</v>
      </c>
      <c r="J2594">
        <v>-424.75310000000002</v>
      </c>
      <c r="K2594">
        <v>1.1102540000000001</v>
      </c>
      <c r="L2594">
        <v>284.82279999999997</v>
      </c>
      <c r="M2594">
        <v>-0.99983299999999997</v>
      </c>
      <c r="N2594">
        <v>-1.471628E-2</v>
      </c>
      <c r="O2594">
        <v>1.0839420000000001E-2</v>
      </c>
      <c r="P2594">
        <v>-0.97742499999999999</v>
      </c>
      <c r="Q2594">
        <v>0.20306979999999999</v>
      </c>
      <c r="R2594">
        <v>-5.833638E-2</v>
      </c>
      <c r="S2594">
        <v>-3.0641780000000001</v>
      </c>
      <c r="T2594">
        <v>-6.4854259999999997E-2</v>
      </c>
      <c r="U2594">
        <v>-0.31158449999999999</v>
      </c>
      <c r="V2594">
        <v>-6.8883680000000003E-2</v>
      </c>
      <c r="W2594">
        <v>0.21743580000000001</v>
      </c>
      <c r="X2594">
        <v>0.97364099999999998</v>
      </c>
      <c r="Y2594">
        <v>-0.111901</v>
      </c>
      <c r="Z2594">
        <v>-2.0764770000000002E-3</v>
      </c>
      <c r="AA2594">
        <v>0.99371719999999997</v>
      </c>
      <c r="AB2594">
        <v>36</v>
      </c>
      <c r="AC2594">
        <v>-50.806600000000003</v>
      </c>
      <c r="AD2594">
        <v>-1.08296104</v>
      </c>
      <c r="AE2594">
        <v>-5.2067999999999799</v>
      </c>
      <c r="AF2594">
        <v>-5.7546803052947997</v>
      </c>
      <c r="AG2594">
        <v>-1.08296104</v>
      </c>
      <c r="AH2594">
        <v>50.7243629448934</v>
      </c>
      <c r="AI2594">
        <v>91.215280921068995</v>
      </c>
      <c r="AJ2594">
        <v>96.472533232718504</v>
      </c>
      <c r="AK2594">
        <v>51.061239176067602</v>
      </c>
      <c r="AL2594">
        <v>77.441530855648693</v>
      </c>
      <c r="AM2594">
        <v>94.046849807817907</v>
      </c>
      <c r="AN2594">
        <v>1.0000000426864899</v>
      </c>
    </row>
    <row r="2595" spans="1:40" x14ac:dyDescent="0.25">
      <c r="A2595" t="str">
        <f>"20190304155644265"</f>
        <v>20190304155644265</v>
      </c>
      <c r="B2595" t="str">
        <f>"1551686204257526"</f>
        <v>1551686204257526</v>
      </c>
      <c r="C2595" t="s">
        <v>40</v>
      </c>
      <c r="D2595">
        <v>4.4729289999999997</v>
      </c>
      <c r="E2595">
        <v>0.4821049</v>
      </c>
      <c r="F2595" t="s">
        <v>53</v>
      </c>
      <c r="G2595">
        <v>-475.69189999999998</v>
      </c>
      <c r="H2595">
        <v>3.5790990000000002E-2</v>
      </c>
      <c r="I2595">
        <v>279.61590000000001</v>
      </c>
      <c r="J2595">
        <v>-425.10160000000002</v>
      </c>
      <c r="K2595">
        <v>1.110249</v>
      </c>
      <c r="L2595">
        <v>284.82670000000002</v>
      </c>
      <c r="M2595">
        <v>-0.99983239999999995</v>
      </c>
      <c r="N2595">
        <v>-1.4714039999999999E-2</v>
      </c>
      <c r="O2595">
        <v>1.090702E-2</v>
      </c>
      <c r="P2595">
        <v>-0.9772904</v>
      </c>
      <c r="Q2595">
        <v>0.2036202</v>
      </c>
      <c r="R2595">
        <v>-5.8675919999999999E-2</v>
      </c>
      <c r="S2595">
        <v>-3.0640260000000001</v>
      </c>
      <c r="T2595">
        <v>-6.4630149999999997E-2</v>
      </c>
      <c r="U2595">
        <v>-0.31320189999999998</v>
      </c>
      <c r="V2595">
        <v>-6.9287290000000001E-2</v>
      </c>
      <c r="W2595">
        <v>0.21798219999999999</v>
      </c>
      <c r="X2595">
        <v>0.97349010000000002</v>
      </c>
      <c r="Y2595">
        <v>-0.11249240000000001</v>
      </c>
      <c r="Z2595">
        <v>-2.0825750000000001E-3</v>
      </c>
      <c r="AA2595">
        <v>0.99365040000000004</v>
      </c>
      <c r="AB2595">
        <v>36</v>
      </c>
      <c r="AC2595">
        <v>-50.5902999999999</v>
      </c>
      <c r="AD2595">
        <v>-1.0744580100000001</v>
      </c>
      <c r="AE2595">
        <v>-5.2107999999999999</v>
      </c>
      <c r="AF2595">
        <v>-5.7597682639398</v>
      </c>
      <c r="AG2595">
        <v>-1.0744580100000001</v>
      </c>
      <c r="AH2595">
        <v>50.507906164822401</v>
      </c>
      <c r="AI2595">
        <v>91.210827802242804</v>
      </c>
      <c r="AJ2595">
        <v>96.505732753941302</v>
      </c>
      <c r="AK2595">
        <v>50.846612233501297</v>
      </c>
      <c r="AL2595">
        <v>77.409454152075796</v>
      </c>
      <c r="AM2595">
        <v>94.071110874437295</v>
      </c>
      <c r="AN2595">
        <v>0.99999997143519603</v>
      </c>
    </row>
    <row r="2596" spans="1:40" x14ac:dyDescent="0.25">
      <c r="A2596" t="str">
        <f>"20190304155644287"</f>
        <v>20190304155644287</v>
      </c>
      <c r="B2596" t="str">
        <f>"1551686204277050"</f>
        <v>1551686204277050</v>
      </c>
      <c r="C2596" t="s">
        <v>40</v>
      </c>
      <c r="D2596">
        <v>4.4610789999999998</v>
      </c>
      <c r="E2596">
        <v>0.48205959999999998</v>
      </c>
      <c r="F2596" t="s">
        <v>53</v>
      </c>
      <c r="G2596">
        <v>-475.67410000000001</v>
      </c>
      <c r="H2596">
        <v>6.2271189999999997E-2</v>
      </c>
      <c r="I2596">
        <v>279.60359999999997</v>
      </c>
      <c r="J2596">
        <v>-425.45710000000003</v>
      </c>
      <c r="K2596">
        <v>1.110252</v>
      </c>
      <c r="L2596">
        <v>284.8306</v>
      </c>
      <c r="M2596">
        <v>-0.99983160000000004</v>
      </c>
      <c r="N2596">
        <v>-1.471152E-2</v>
      </c>
      <c r="O2596">
        <v>1.09763E-2</v>
      </c>
      <c r="P2596">
        <v>-0.97724469999999997</v>
      </c>
      <c r="Q2596">
        <v>0.2038585</v>
      </c>
      <c r="R2596">
        <v>-5.8606539999999999E-2</v>
      </c>
      <c r="S2596">
        <v>-3.0639340000000002</v>
      </c>
      <c r="T2596">
        <v>-6.3491699999999998E-2</v>
      </c>
      <c r="U2596">
        <v>-0.31643680000000002</v>
      </c>
      <c r="V2596">
        <v>-6.9284960000000007E-2</v>
      </c>
      <c r="W2596">
        <v>0.2182171</v>
      </c>
      <c r="X2596">
        <v>0.97343769999999996</v>
      </c>
      <c r="Y2596">
        <v>-0.1136031</v>
      </c>
      <c r="Z2596">
        <v>-2.0776840000000002E-3</v>
      </c>
      <c r="AA2596">
        <v>0.99352399999999996</v>
      </c>
      <c r="AB2596">
        <v>36</v>
      </c>
      <c r="AC2596">
        <v>-50.216999999999899</v>
      </c>
      <c r="AD2596">
        <v>-1.0479808100000001</v>
      </c>
      <c r="AE2596">
        <v>-5.2270000000000296</v>
      </c>
      <c r="AF2596">
        <v>-5.7754531782595704</v>
      </c>
      <c r="AG2596">
        <v>-1.0479808100000001</v>
      </c>
      <c r="AH2596">
        <v>50.134994263210203</v>
      </c>
      <c r="AI2596">
        <v>91.189624392669501</v>
      </c>
      <c r="AJ2596">
        <v>96.571395018376194</v>
      </c>
      <c r="AK2596">
        <v>50.477438256755001</v>
      </c>
      <c r="AL2596">
        <v>77.395664158155896</v>
      </c>
      <c r="AM2596">
        <v>94.0711928340843</v>
      </c>
      <c r="AN2596">
        <v>1.0000000320979501</v>
      </c>
    </row>
    <row r="2597" spans="1:40" x14ac:dyDescent="0.25">
      <c r="A2597" t="str">
        <f>"20190304155644311"</f>
        <v>20190304155644311</v>
      </c>
      <c r="B2597" t="str">
        <f>"1551686204307303"</f>
        <v>1551686204307303</v>
      </c>
      <c r="C2597" t="s">
        <v>40</v>
      </c>
      <c r="D2597">
        <v>4.445951</v>
      </c>
      <c r="E2597">
        <v>0.48202669999999997</v>
      </c>
      <c r="F2597" t="s">
        <v>53</v>
      </c>
      <c r="G2597">
        <v>-476.06060000000002</v>
      </c>
      <c r="H2597">
        <v>7.6452019999999996E-2</v>
      </c>
      <c r="I2597">
        <v>279.58920000000001</v>
      </c>
      <c r="J2597">
        <v>-425.81139999999999</v>
      </c>
      <c r="K2597">
        <v>1.110252</v>
      </c>
      <c r="L2597">
        <v>284.83460000000002</v>
      </c>
      <c r="M2597">
        <v>-0.99983089999999997</v>
      </c>
      <c r="N2597">
        <v>-1.4708789999999999E-2</v>
      </c>
      <c r="O2597">
        <v>1.1045330000000001E-2</v>
      </c>
      <c r="P2597">
        <v>-0.97739679999999995</v>
      </c>
      <c r="Q2597">
        <v>0.20312859999999999</v>
      </c>
      <c r="R2597">
        <v>-5.8603860000000001E-2</v>
      </c>
      <c r="S2597">
        <v>-3.063904</v>
      </c>
      <c r="T2597">
        <v>-6.2593700000000002E-2</v>
      </c>
      <c r="U2597">
        <v>-0.31735229999999998</v>
      </c>
      <c r="V2597">
        <v>-6.9352239999999996E-2</v>
      </c>
      <c r="W2597">
        <v>0.21748700000000001</v>
      </c>
      <c r="X2597">
        <v>0.97359629999999997</v>
      </c>
      <c r="Y2597">
        <v>-0.1139672</v>
      </c>
      <c r="Z2597">
        <v>-2.0645450000000001E-3</v>
      </c>
      <c r="AA2597">
        <v>0.99348239999999999</v>
      </c>
      <c r="AB2597">
        <v>36</v>
      </c>
      <c r="AC2597">
        <v>-50.249200000000002</v>
      </c>
      <c r="AD2597">
        <v>-1.03379998</v>
      </c>
      <c r="AE2597">
        <v>-5.2454000000000098</v>
      </c>
      <c r="AF2597">
        <v>-5.7977314113950804</v>
      </c>
      <c r="AG2597">
        <v>-1.03379998</v>
      </c>
      <c r="AH2597">
        <v>50.167185382454903</v>
      </c>
      <c r="AI2597">
        <v>91.1727292003862</v>
      </c>
      <c r="AJ2597">
        <v>96.592324970909502</v>
      </c>
      <c r="AK2597">
        <v>50.511671137618499</v>
      </c>
      <c r="AL2597">
        <v>77.438525377329896</v>
      </c>
      <c r="AM2597">
        <v>94.074471294465994</v>
      </c>
      <c r="AN2597">
        <v>1.0000000418678501</v>
      </c>
    </row>
    <row r="2598" spans="1:40" x14ac:dyDescent="0.25">
      <c r="A2598" t="str">
        <f>"20190304155644333"</f>
        <v>20190304155644333</v>
      </c>
      <c r="B2598" t="str">
        <f>"1551686204326822"</f>
        <v>1551686204326822</v>
      </c>
      <c r="C2598" t="s">
        <v>40</v>
      </c>
      <c r="D2598">
        <v>4.3860859999999997</v>
      </c>
      <c r="E2598">
        <v>0.48193279999999999</v>
      </c>
      <c r="F2598" t="s">
        <v>53</v>
      </c>
      <c r="G2598">
        <v>-476.17349999999999</v>
      </c>
      <c r="H2598">
        <v>5.5841620000000002E-2</v>
      </c>
      <c r="I2598">
        <v>279.60980000000001</v>
      </c>
      <c r="J2598">
        <v>-426.1816</v>
      </c>
      <c r="K2598">
        <v>1.110252</v>
      </c>
      <c r="L2598">
        <v>284.83870000000002</v>
      </c>
      <c r="M2598">
        <v>-0.99983010000000005</v>
      </c>
      <c r="N2598">
        <v>-1.470574E-2</v>
      </c>
      <c r="O2598">
        <v>1.111783E-2</v>
      </c>
      <c r="P2598">
        <v>-0.97734869999999996</v>
      </c>
      <c r="Q2598">
        <v>0.20327870000000001</v>
      </c>
      <c r="R2598">
        <v>-5.8885470000000002E-2</v>
      </c>
      <c r="S2598">
        <v>-3.06366</v>
      </c>
      <c r="T2598">
        <v>-6.4142580000000005E-2</v>
      </c>
      <c r="U2598">
        <v>-0.31784059999999997</v>
      </c>
      <c r="V2598">
        <v>-6.9704119999999994E-2</v>
      </c>
      <c r="W2598">
        <v>0.21763360000000001</v>
      </c>
      <c r="X2598">
        <v>0.97353840000000003</v>
      </c>
      <c r="Y2598">
        <v>-0.11420230000000001</v>
      </c>
      <c r="Z2598">
        <v>-2.103447E-3</v>
      </c>
      <c r="AA2598">
        <v>0.99345530000000004</v>
      </c>
      <c r="AB2598">
        <v>35</v>
      </c>
      <c r="AC2598">
        <v>-49.991900000000001</v>
      </c>
      <c r="AD2598">
        <v>-1.05441038</v>
      </c>
      <c r="AE2598">
        <v>-5.2289000000000003</v>
      </c>
      <c r="AF2598">
        <v>-5.78189400661938</v>
      </c>
      <c r="AG2598">
        <v>-1.05441038</v>
      </c>
      <c r="AH2598">
        <v>49.9087073249718</v>
      </c>
      <c r="AI2598">
        <v>91.202256874876895</v>
      </c>
      <c r="AJ2598">
        <v>96.608223809488393</v>
      </c>
      <c r="AK2598">
        <v>50.253568494216701</v>
      </c>
      <c r="AL2598">
        <v>77.429919560130401</v>
      </c>
      <c r="AM2598">
        <v>94.0953169485649</v>
      </c>
      <c r="AN2598">
        <v>1.0000000322342399</v>
      </c>
    </row>
    <row r="2599" spans="1:40" x14ac:dyDescent="0.25">
      <c r="A2599" t="str">
        <f>"20190304155644355"</f>
        <v>20190304155644355</v>
      </c>
      <c r="B2599" t="str">
        <f>"1551686204347319"</f>
        <v>1551686204347319</v>
      </c>
      <c r="C2599" t="s">
        <v>40</v>
      </c>
      <c r="D2599">
        <v>4.4013439999999999</v>
      </c>
      <c r="E2599">
        <v>0.48206379999999999</v>
      </c>
      <c r="F2599" t="s">
        <v>53</v>
      </c>
      <c r="G2599">
        <v>-477.08150000000001</v>
      </c>
      <c r="H2599">
        <v>5.2718269999999998E-2</v>
      </c>
      <c r="I2599">
        <v>279.54480000000001</v>
      </c>
      <c r="J2599">
        <v>-426.51960000000003</v>
      </c>
      <c r="K2599">
        <v>1.1102650000000001</v>
      </c>
      <c r="L2599">
        <v>284.8426</v>
      </c>
      <c r="M2599">
        <v>-0.99982939999999998</v>
      </c>
      <c r="N2599">
        <v>-1.470287E-2</v>
      </c>
      <c r="O2599">
        <v>1.1183530000000001E-2</v>
      </c>
      <c r="P2599">
        <v>-0.97730649999999997</v>
      </c>
      <c r="Q2599">
        <v>0.20351630000000001</v>
      </c>
      <c r="R2599">
        <v>-5.8765390000000001E-2</v>
      </c>
      <c r="S2599">
        <v>-3.0635680000000001</v>
      </c>
      <c r="T2599">
        <v>-6.3651079999999999E-2</v>
      </c>
      <c r="U2599">
        <v>-0.31863399999999997</v>
      </c>
      <c r="V2599">
        <v>-6.9647479999999998E-2</v>
      </c>
      <c r="W2599">
        <v>0.21786720000000001</v>
      </c>
      <c r="X2599">
        <v>0.97349019999999997</v>
      </c>
      <c r="Y2599">
        <v>-0.11452560000000001</v>
      </c>
      <c r="Z2599">
        <v>-2.0985690000000002E-3</v>
      </c>
      <c r="AA2599">
        <v>0.99341809999999997</v>
      </c>
      <c r="AB2599">
        <v>35</v>
      </c>
      <c r="AC2599">
        <v>-50.561899999999902</v>
      </c>
      <c r="AD2599">
        <v>-1.0575467300000001</v>
      </c>
      <c r="AE2599">
        <v>-5.2977999999999899</v>
      </c>
      <c r="AF2599">
        <v>-5.8604542938540298</v>
      </c>
      <c r="AG2599">
        <v>-1.0575467300000001</v>
      </c>
      <c r="AH2599">
        <v>50.477639928887903</v>
      </c>
      <c r="AI2599">
        <v>91.192210794668497</v>
      </c>
      <c r="AJ2599">
        <v>96.622391671455603</v>
      </c>
      <c r="AK2599">
        <v>50.827703690083702</v>
      </c>
      <c r="AL2599">
        <v>77.416206164923906</v>
      </c>
      <c r="AM2599">
        <v>94.092202412172597</v>
      </c>
      <c r="AN2599">
        <v>1.0000000289011099</v>
      </c>
    </row>
    <row r="2600" spans="1:40" x14ac:dyDescent="0.25">
      <c r="A2600" t="str">
        <f>"20190304155644377"</f>
        <v>20190304155644377</v>
      </c>
      <c r="B2600" t="str">
        <f>"1551686204366839"</f>
        <v>1551686204366839</v>
      </c>
      <c r="C2600" t="s">
        <v>40</v>
      </c>
      <c r="D2600">
        <v>4.3802450000000004</v>
      </c>
      <c r="E2600">
        <v>0.48215960000000002</v>
      </c>
      <c r="F2600" t="s">
        <v>53</v>
      </c>
      <c r="G2600">
        <v>-481.55970000000002</v>
      </c>
      <c r="H2600" s="1">
        <v>1.8791430000000001E-6</v>
      </c>
      <c r="I2600">
        <v>279.1463</v>
      </c>
      <c r="J2600">
        <v>-426.8766</v>
      </c>
      <c r="K2600">
        <v>1.1102650000000001</v>
      </c>
      <c r="L2600">
        <v>284.84660000000002</v>
      </c>
      <c r="M2600">
        <v>-0.99982879999999996</v>
      </c>
      <c r="N2600">
        <v>-1.4699800000000001E-2</v>
      </c>
      <c r="O2600">
        <v>1.12528E-2</v>
      </c>
      <c r="P2600">
        <v>-0.97732229999999998</v>
      </c>
      <c r="Q2600">
        <v>0.2033759</v>
      </c>
      <c r="R2600">
        <v>-5.898846E-2</v>
      </c>
      <c r="S2600">
        <v>-3.0634459999999999</v>
      </c>
      <c r="T2600">
        <v>-6.1795469999999998E-2</v>
      </c>
      <c r="U2600">
        <v>-0.31704710000000003</v>
      </c>
      <c r="V2600">
        <v>-6.9938500000000001E-2</v>
      </c>
      <c r="W2600">
        <v>0.2177239</v>
      </c>
      <c r="X2600">
        <v>0.97350139999999996</v>
      </c>
      <c r="Y2600">
        <v>-0.1140915</v>
      </c>
      <c r="Z2600">
        <v>-2.0499609999999999E-3</v>
      </c>
      <c r="AA2600">
        <v>0.99346809999999997</v>
      </c>
      <c r="AB2600">
        <v>35</v>
      </c>
      <c r="AC2600">
        <v>-54.683100000000003</v>
      </c>
      <c r="AD2600">
        <v>-1.110263120857</v>
      </c>
      <c r="AE2600">
        <v>-5.7003000000000199</v>
      </c>
      <c r="AF2600">
        <v>-6.3127690113236401</v>
      </c>
      <c r="AG2600">
        <v>-1.110263120857</v>
      </c>
      <c r="AH2600">
        <v>54.5932223996411</v>
      </c>
      <c r="AI2600">
        <v>91.157354802295899</v>
      </c>
      <c r="AJ2600">
        <v>96.595979268106404</v>
      </c>
      <c r="AK2600">
        <v>54.968205980953599</v>
      </c>
      <c r="AL2600">
        <v>77.424618648961896</v>
      </c>
      <c r="AM2600">
        <v>94.109195994247202</v>
      </c>
      <c r="AN2600">
        <v>1.0000000331076999</v>
      </c>
    </row>
    <row r="2601" spans="1:40" x14ac:dyDescent="0.25">
      <c r="A2601" t="str">
        <f>"20190304155644399"</f>
        <v>20190304155644399</v>
      </c>
      <c r="B2601" t="str">
        <f>"1551686204387335"</f>
        <v>1551686204387335</v>
      </c>
      <c r="C2601" t="s">
        <v>40</v>
      </c>
      <c r="D2601">
        <v>4.3963960000000002</v>
      </c>
      <c r="E2601">
        <v>0.48225479999999998</v>
      </c>
      <c r="F2601" t="s">
        <v>53</v>
      </c>
      <c r="G2601">
        <v>-482.0471</v>
      </c>
      <c r="H2601" s="1">
        <v>1.9621429999999999E-6</v>
      </c>
      <c r="I2601">
        <v>279.13650000000001</v>
      </c>
      <c r="J2601">
        <v>-427.21980000000002</v>
      </c>
      <c r="K2601">
        <v>1.110266</v>
      </c>
      <c r="L2601">
        <v>284.85059999999999</v>
      </c>
      <c r="M2601">
        <v>-0.99982800000000005</v>
      </c>
      <c r="N2601">
        <v>-1.469666E-2</v>
      </c>
      <c r="O2601">
        <v>1.13197E-2</v>
      </c>
      <c r="P2601">
        <v>-0.97737649999999998</v>
      </c>
      <c r="Q2601">
        <v>0.20305960000000001</v>
      </c>
      <c r="R2601">
        <v>-5.917845E-2</v>
      </c>
      <c r="S2601">
        <v>-3.0632630000000001</v>
      </c>
      <c r="T2601">
        <v>-6.1645749999999999E-2</v>
      </c>
      <c r="U2601">
        <v>-0.31704710000000003</v>
      </c>
      <c r="V2601">
        <v>-7.0194740000000005E-2</v>
      </c>
      <c r="W2601">
        <v>0.2174055</v>
      </c>
      <c r="X2601">
        <v>0.97355409999999998</v>
      </c>
      <c r="Y2601">
        <v>-0.1141641</v>
      </c>
      <c r="Z2601">
        <v>-2.0481969999999999E-3</v>
      </c>
      <c r="AA2601">
        <v>0.9934598</v>
      </c>
      <c r="AB2601">
        <v>35</v>
      </c>
      <c r="AC2601">
        <v>-54.827299999999902</v>
      </c>
      <c r="AD2601">
        <v>-1.1102640378569999</v>
      </c>
      <c r="AE2601">
        <v>-5.71409999999997</v>
      </c>
      <c r="AF2601">
        <v>-6.3318607833203497</v>
      </c>
      <c r="AG2601">
        <v>-1.1102640378569999</v>
      </c>
      <c r="AH2601">
        <v>54.736892769076498</v>
      </c>
      <c r="AI2601">
        <v>91.154312853276707</v>
      </c>
      <c r="AJ2601">
        <v>96.598539659060293</v>
      </c>
      <c r="AK2601">
        <v>55.113088982804101</v>
      </c>
      <c r="AL2601">
        <v>77.443309167025106</v>
      </c>
      <c r="AM2601">
        <v>94.123976892674804</v>
      </c>
      <c r="AN2601">
        <v>1.00000001929036</v>
      </c>
    </row>
    <row r="2602" spans="1:40" x14ac:dyDescent="0.25">
      <c r="A2602" t="str">
        <f>"20190304155644422"</f>
        <v>20190304155644422</v>
      </c>
      <c r="B2602" t="str">
        <f>"1551686204417590"</f>
        <v>1551686204417590</v>
      </c>
      <c r="C2602" t="s">
        <v>40</v>
      </c>
      <c r="D2602">
        <v>4.3684120000000002</v>
      </c>
      <c r="E2602">
        <v>0.48232570000000002</v>
      </c>
      <c r="F2602" t="s">
        <v>53</v>
      </c>
      <c r="G2602">
        <v>-482.2627</v>
      </c>
      <c r="H2602" s="1">
        <v>2.0045780000000001E-6</v>
      </c>
      <c r="I2602">
        <v>279.14839999999998</v>
      </c>
      <c r="J2602">
        <v>-427.57909999999998</v>
      </c>
      <c r="K2602">
        <v>1.1102650000000001</v>
      </c>
      <c r="L2602">
        <v>284.85469999999998</v>
      </c>
      <c r="M2602">
        <v>-0.99982729999999997</v>
      </c>
      <c r="N2602">
        <v>-1.469326E-2</v>
      </c>
      <c r="O2602">
        <v>1.138957E-2</v>
      </c>
      <c r="P2602">
        <v>-0.97742300000000004</v>
      </c>
      <c r="Q2602">
        <v>0.20266000000000001</v>
      </c>
      <c r="R2602">
        <v>-5.9780640000000003E-2</v>
      </c>
      <c r="S2602">
        <v>-3.0630799999999998</v>
      </c>
      <c r="T2602">
        <v>-6.1785100000000003E-2</v>
      </c>
      <c r="U2602">
        <v>-0.31732179999999999</v>
      </c>
      <c r="V2602">
        <v>-7.086597E-2</v>
      </c>
      <c r="W2602">
        <v>0.21700340000000001</v>
      </c>
      <c r="X2602">
        <v>0.97359510000000005</v>
      </c>
      <c r="Y2602">
        <v>-0.1143276</v>
      </c>
      <c r="Z2602">
        <v>-2.0544539999999998E-3</v>
      </c>
      <c r="AA2602">
        <v>0.99344100000000002</v>
      </c>
      <c r="AB2602">
        <v>35</v>
      </c>
      <c r="AC2602">
        <v>-54.683599999999998</v>
      </c>
      <c r="AD2602">
        <v>-1.110262995422</v>
      </c>
      <c r="AE2602">
        <v>-5.7062999999999899</v>
      </c>
      <c r="AF2602">
        <v>-6.3262398850551698</v>
      </c>
      <c r="AG2602">
        <v>-1.110262995422</v>
      </c>
      <c r="AH2602">
        <v>54.592790704714503</v>
      </c>
      <c r="AI2602">
        <v>91.157331088529801</v>
      </c>
      <c r="AJ2602">
        <v>96.609981869641501</v>
      </c>
      <c r="AK2602">
        <v>54.969325918470503</v>
      </c>
      <c r="AL2602">
        <v>77.466910263707305</v>
      </c>
      <c r="AM2602">
        <v>94.163099282341406</v>
      </c>
      <c r="AN2602">
        <v>0.99999994002980297</v>
      </c>
    </row>
    <row r="2603" spans="1:40" x14ac:dyDescent="0.25">
      <c r="A2603" t="str">
        <f>"20190304155644443"</f>
        <v>20190304155644443</v>
      </c>
      <c r="B2603" t="str">
        <f>"1551686204437114"</f>
        <v>1551686204437114</v>
      </c>
      <c r="C2603" t="s">
        <v>40</v>
      </c>
      <c r="D2603">
        <v>4.4077820000000001</v>
      </c>
      <c r="E2603">
        <v>0.4821764</v>
      </c>
      <c r="F2603" t="s">
        <v>53</v>
      </c>
      <c r="G2603">
        <v>-482.5521</v>
      </c>
      <c r="H2603" s="1">
        <v>2.0521319999999998E-6</v>
      </c>
      <c r="I2603">
        <v>279.1377</v>
      </c>
      <c r="J2603">
        <v>-427.92230000000001</v>
      </c>
      <c r="K2603">
        <v>1.110268</v>
      </c>
      <c r="L2603">
        <v>284.8587</v>
      </c>
      <c r="M2603">
        <v>-0.99982660000000001</v>
      </c>
      <c r="N2603">
        <v>-1.468992E-2</v>
      </c>
      <c r="O2603">
        <v>1.1456640000000001E-2</v>
      </c>
      <c r="P2603">
        <v>-0.97740470000000002</v>
      </c>
      <c r="Q2603">
        <v>0.20268600000000001</v>
      </c>
      <c r="R2603">
        <v>-5.9990290000000002E-2</v>
      </c>
      <c r="S2603">
        <v>-3.0626829999999998</v>
      </c>
      <c r="T2603">
        <v>-6.1855439999999998E-2</v>
      </c>
      <c r="U2603">
        <v>-0.31851200000000002</v>
      </c>
      <c r="V2603">
        <v>-7.1140919999999996E-2</v>
      </c>
      <c r="W2603">
        <v>0.21702569999999999</v>
      </c>
      <c r="X2603">
        <v>0.97357020000000005</v>
      </c>
      <c r="Y2603">
        <v>-0.11478910000000001</v>
      </c>
      <c r="Z2603">
        <v>-2.0644579999999999E-3</v>
      </c>
      <c r="AA2603">
        <v>0.99338780000000004</v>
      </c>
      <c r="AB2603">
        <v>35</v>
      </c>
      <c r="AC2603">
        <v>-54.629799999999904</v>
      </c>
      <c r="AD2603">
        <v>-1.1102659478679999</v>
      </c>
      <c r="AE2603">
        <v>-5.7210000000000001</v>
      </c>
      <c r="AF2603">
        <v>-6.3439739523410097</v>
      </c>
      <c r="AG2603">
        <v>-1.1102659478679999</v>
      </c>
      <c r="AH2603">
        <v>54.5383810967149</v>
      </c>
      <c r="AI2603">
        <v>91.158429973514103</v>
      </c>
      <c r="AJ2603">
        <v>96.634900449713896</v>
      </c>
      <c r="AK2603">
        <v>54.917335228809897</v>
      </c>
      <c r="AL2603">
        <v>77.465602898456595</v>
      </c>
      <c r="AM2603">
        <v>94.179300911007701</v>
      </c>
      <c r="AN2603">
        <v>1.0000000596434799</v>
      </c>
    </row>
    <row r="2604" spans="1:40" x14ac:dyDescent="0.25">
      <c r="A2604" t="str">
        <f>"20190304155644466"</f>
        <v>20190304155644466</v>
      </c>
      <c r="B2604" t="str">
        <f>"1551686204457607"</f>
        <v>1551686204457607</v>
      </c>
      <c r="C2604" t="s">
        <v>40</v>
      </c>
      <c r="D2604">
        <v>4.3933059999999999</v>
      </c>
      <c r="E2604">
        <v>0.48211730000000003</v>
      </c>
      <c r="F2604" t="s">
        <v>53</v>
      </c>
      <c r="G2604">
        <v>-482.91219999999998</v>
      </c>
      <c r="H2604" s="1">
        <v>2.106038E-6</v>
      </c>
      <c r="I2604">
        <v>279.10950000000003</v>
      </c>
      <c r="J2604">
        <v>-428.27949999999998</v>
      </c>
      <c r="K2604">
        <v>1.1102700000000001</v>
      </c>
      <c r="L2604">
        <v>284.86290000000002</v>
      </c>
      <c r="M2604">
        <v>-0.99982570000000004</v>
      </c>
      <c r="N2604">
        <v>-1.4686380000000001E-2</v>
      </c>
      <c r="O2604">
        <v>1.1526399999999999E-2</v>
      </c>
      <c r="P2604">
        <v>-0.97738230000000004</v>
      </c>
      <c r="Q2604">
        <v>0.2026685</v>
      </c>
      <c r="R2604">
        <v>-6.0410440000000003E-2</v>
      </c>
      <c r="S2604">
        <v>-3.0625309999999999</v>
      </c>
      <c r="T2604">
        <v>-6.1833619999999999E-2</v>
      </c>
      <c r="U2604">
        <v>-0.32019039999999999</v>
      </c>
      <c r="V2604">
        <v>-7.1629159999999997E-2</v>
      </c>
      <c r="W2604">
        <v>0.21700430000000001</v>
      </c>
      <c r="X2604">
        <v>0.97353909999999999</v>
      </c>
      <c r="Y2604">
        <v>-0.1154019</v>
      </c>
      <c r="Z2604">
        <v>-2.0749290000000001E-3</v>
      </c>
      <c r="AA2604">
        <v>0.99331670000000005</v>
      </c>
      <c r="AB2604">
        <v>35</v>
      </c>
      <c r="AC2604">
        <v>-54.6327</v>
      </c>
      <c r="AD2604">
        <v>-1.1102678939620001</v>
      </c>
      <c r="AE2604">
        <v>-5.7533999999999903</v>
      </c>
      <c r="AF2604">
        <v>-6.38019787547052</v>
      </c>
      <c r="AG2604">
        <v>-1.1102678939620001</v>
      </c>
      <c r="AH2604">
        <v>54.540468608747602</v>
      </c>
      <c r="AI2604">
        <v>91.158299755856703</v>
      </c>
      <c r="AJ2604">
        <v>96.672191824328493</v>
      </c>
      <c r="AK2604">
        <v>54.923604541110599</v>
      </c>
      <c r="AL2604">
        <v>77.4668580879883</v>
      </c>
      <c r="AM2604">
        <v>94.208014709350493</v>
      </c>
      <c r="AN2604">
        <v>0.99999999100480197</v>
      </c>
    </row>
    <row r="2605" spans="1:40" x14ac:dyDescent="0.25">
      <c r="A2605" t="str">
        <f>"20190304155644488"</f>
        <v>20190304155644488</v>
      </c>
      <c r="B2605" t="str">
        <f>"1551686204477127"</f>
        <v>1551686204477127</v>
      </c>
      <c r="C2605" t="s">
        <v>40</v>
      </c>
      <c r="D2605">
        <v>4.4190339999999999</v>
      </c>
      <c r="E2605">
        <v>0.46511920000000001</v>
      </c>
      <c r="F2605" t="s">
        <v>53</v>
      </c>
      <c r="G2605">
        <v>-483.5145</v>
      </c>
      <c r="H2605" s="1">
        <v>2.1938530000000001E-6</v>
      </c>
      <c r="I2605">
        <v>279.0557</v>
      </c>
      <c r="J2605">
        <v>-428.62849999999997</v>
      </c>
      <c r="K2605">
        <v>1.1102749999999999</v>
      </c>
      <c r="L2605">
        <v>284.86689999999999</v>
      </c>
      <c r="M2605">
        <v>-0.99982510000000002</v>
      </c>
      <c r="N2605">
        <v>-1.4682880000000001E-2</v>
      </c>
      <c r="O2605">
        <v>1.1594490000000001E-2</v>
      </c>
      <c r="P2605">
        <v>-0.97740389999999999</v>
      </c>
      <c r="Q2605">
        <v>0.20250799999999999</v>
      </c>
      <c r="R2605">
        <v>-6.0601820000000001E-2</v>
      </c>
      <c r="S2605">
        <v>-3.0623170000000002</v>
      </c>
      <c r="T2605">
        <v>-6.1555029999999997E-2</v>
      </c>
      <c r="U2605">
        <v>-0.32196039999999998</v>
      </c>
      <c r="V2605">
        <v>-7.1886699999999998E-2</v>
      </c>
      <c r="W2605">
        <v>0.21684049999999999</v>
      </c>
      <c r="X2605">
        <v>0.97355659999999999</v>
      </c>
      <c r="Y2605">
        <v>-0.1160446</v>
      </c>
      <c r="Z2605">
        <v>-2.080115E-3</v>
      </c>
      <c r="AA2605">
        <v>0.99324179999999995</v>
      </c>
      <c r="AB2605">
        <v>35</v>
      </c>
      <c r="AC2605">
        <v>-54.886000000000003</v>
      </c>
      <c r="AD2605">
        <v>-1.110272806147</v>
      </c>
      <c r="AE2605">
        <v>-5.8111999999999799</v>
      </c>
      <c r="AF2605">
        <v>-6.4446450858036597</v>
      </c>
      <c r="AG2605">
        <v>-1.110272806147</v>
      </c>
      <c r="AH2605">
        <v>54.792752033810999</v>
      </c>
      <c r="AI2605">
        <v>91.1528880822069</v>
      </c>
      <c r="AJ2605">
        <v>96.708226740398501</v>
      </c>
      <c r="AK2605">
        <v>55.181625849776701</v>
      </c>
      <c r="AL2605">
        <v>77.476471874868906</v>
      </c>
      <c r="AM2605">
        <v>94.223014194133697</v>
      </c>
      <c r="AN2605">
        <v>0.99999997674034902</v>
      </c>
    </row>
    <row r="2606" spans="1:40" x14ac:dyDescent="0.25">
      <c r="A2606" t="str">
        <f>"20190304155644511"</f>
        <v>20190304155644511</v>
      </c>
      <c r="B2606" t="str">
        <f>"1551686204507383"</f>
        <v>1551686204507383</v>
      </c>
      <c r="C2606" t="s">
        <v>40</v>
      </c>
      <c r="D2606">
        <v>4.3668420000000001</v>
      </c>
      <c r="E2606">
        <v>0.45914769999999999</v>
      </c>
      <c r="F2606" t="s">
        <v>55</v>
      </c>
      <c r="G2606">
        <v>-469.05889999999999</v>
      </c>
      <c r="H2606">
        <v>8.0000520000000006E-2</v>
      </c>
      <c r="I2606">
        <v>278.81020000000001</v>
      </c>
      <c r="J2606">
        <v>-428.9744</v>
      </c>
      <c r="K2606">
        <v>1.1102810000000001</v>
      </c>
      <c r="L2606">
        <v>284.87110000000001</v>
      </c>
      <c r="M2606">
        <v>-0.9998243</v>
      </c>
      <c r="N2606">
        <v>-1.4679309999999999E-2</v>
      </c>
      <c r="O2606">
        <v>1.1662219999999999E-2</v>
      </c>
      <c r="P2606">
        <v>-0.97733320000000001</v>
      </c>
      <c r="Q2606">
        <v>0.2027553</v>
      </c>
      <c r="R2606">
        <v>-6.0912969999999997E-2</v>
      </c>
      <c r="S2606">
        <v>-3.0570979999999999</v>
      </c>
      <c r="T2606">
        <v>-7.7903150000000004E-2</v>
      </c>
      <c r="U2606">
        <v>-0.45797729999999998</v>
      </c>
      <c r="V2606">
        <v>-7.2263369999999993E-2</v>
      </c>
      <c r="W2606">
        <v>0.21708340000000001</v>
      </c>
      <c r="X2606">
        <v>0.97347459999999997</v>
      </c>
      <c r="Y2606">
        <v>-0.15959809999999999</v>
      </c>
      <c r="Z2606">
        <v>-3.3254859999999999E-3</v>
      </c>
      <c r="AA2606">
        <v>0.98717650000000001</v>
      </c>
      <c r="AB2606">
        <v>35</v>
      </c>
      <c r="AC2606">
        <v>-40.084499999999899</v>
      </c>
      <c r="AD2606">
        <v>-1.0302804799999901</v>
      </c>
      <c r="AE2606">
        <v>-6.0609000000000002</v>
      </c>
      <c r="AF2606">
        <v>-6.5237988532879303</v>
      </c>
      <c r="AG2606">
        <v>-1.0302804799999901</v>
      </c>
      <c r="AH2606">
        <v>39.985257242975102</v>
      </c>
      <c r="AI2606">
        <v>91.4567326138704</v>
      </c>
      <c r="AJ2606">
        <v>99.266451558295898</v>
      </c>
      <c r="AK2606">
        <v>40.527055483127803</v>
      </c>
      <c r="AL2606">
        <v>77.462215393403298</v>
      </c>
      <c r="AM2606">
        <v>94.245417423702193</v>
      </c>
      <c r="AN2606">
        <v>0.99999999702223796</v>
      </c>
    </row>
    <row r="2607" spans="1:40" x14ac:dyDescent="0.25">
      <c r="A2607" t="str">
        <f>"20190304155644533"</f>
        <v>20190304155644533</v>
      </c>
      <c r="B2607" t="str">
        <f>"1551686204526903"</f>
        <v>1551686204526903</v>
      </c>
      <c r="C2607" t="s">
        <v>40</v>
      </c>
      <c r="D2607">
        <v>4.3789309999999997</v>
      </c>
      <c r="E2607">
        <v>0.45783669999999999</v>
      </c>
      <c r="F2607" t="s">
        <v>55</v>
      </c>
      <c r="G2607">
        <v>-466.25189999999998</v>
      </c>
      <c r="H2607">
        <v>8.0001349999999999E-2</v>
      </c>
      <c r="I2607">
        <v>278.69400000000002</v>
      </c>
      <c r="J2607">
        <v>-429.33069999999998</v>
      </c>
      <c r="K2607">
        <v>1.1102780000000001</v>
      </c>
      <c r="L2607">
        <v>284.87520000000001</v>
      </c>
      <c r="M2607">
        <v>-0.99982360000000003</v>
      </c>
      <c r="N2607">
        <v>-1.4675580000000001E-2</v>
      </c>
      <c r="O2607">
        <v>1.173162E-2</v>
      </c>
      <c r="P2607">
        <v>-0.97717279999999995</v>
      </c>
      <c r="Q2607">
        <v>0.20333190000000001</v>
      </c>
      <c r="R2607">
        <v>-6.1559709999999997E-2</v>
      </c>
      <c r="S2607">
        <v>-3.055542</v>
      </c>
      <c r="T2607">
        <v>-8.4449289999999996E-2</v>
      </c>
      <c r="U2607">
        <v>-0.50631709999999996</v>
      </c>
      <c r="V2607">
        <v>-7.297613E-2</v>
      </c>
      <c r="W2607">
        <v>0.2176536</v>
      </c>
      <c r="X2607">
        <v>0.97329410000000005</v>
      </c>
      <c r="Y2607">
        <v>-0.1749378</v>
      </c>
      <c r="Z2607">
        <v>-3.8445369999999999E-3</v>
      </c>
      <c r="AA2607">
        <v>0.984572</v>
      </c>
      <c r="AB2607">
        <v>35</v>
      </c>
      <c r="AC2607">
        <v>-36.921199999999999</v>
      </c>
      <c r="AD2607">
        <v>-1.03027665</v>
      </c>
      <c r="AE2607">
        <v>-6.1811999999999898</v>
      </c>
      <c r="AF2607">
        <v>-6.6089606963801302</v>
      </c>
      <c r="AG2607">
        <v>-1.03027665</v>
      </c>
      <c r="AH2607">
        <v>36.818247527881603</v>
      </c>
      <c r="AI2607">
        <v>91.5776738700485</v>
      </c>
      <c r="AJ2607">
        <v>100.176351022886</v>
      </c>
      <c r="AK2607">
        <v>37.420892326161699</v>
      </c>
      <c r="AL2607">
        <v>77.428745153930507</v>
      </c>
      <c r="AM2607">
        <v>94.287928259884197</v>
      </c>
      <c r="AN2607">
        <v>1.0000000051187701</v>
      </c>
    </row>
    <row r="2608" spans="1:40" x14ac:dyDescent="0.25">
      <c r="A2608" t="str">
        <f>"20190304155644556"</f>
        <v>20190304155644556</v>
      </c>
      <c r="B2608" t="str">
        <f>"1551686204547399"</f>
        <v>1551686204547399</v>
      </c>
      <c r="C2608" t="s">
        <v>40</v>
      </c>
      <c r="D2608">
        <v>4.4048220000000002</v>
      </c>
      <c r="E2608">
        <v>0.45713029999999999</v>
      </c>
      <c r="F2608" t="s">
        <v>55</v>
      </c>
      <c r="G2608">
        <v>-467.18920000000003</v>
      </c>
      <c r="H2608">
        <v>8.0001089999999997E-2</v>
      </c>
      <c r="I2608">
        <v>278.44749999999999</v>
      </c>
      <c r="J2608">
        <v>-429.67430000000002</v>
      </c>
      <c r="K2608">
        <v>1.1102810000000001</v>
      </c>
      <c r="L2608">
        <v>284.87939999999998</v>
      </c>
      <c r="M2608">
        <v>-0.99982289999999996</v>
      </c>
      <c r="N2608">
        <v>-1.467196E-2</v>
      </c>
      <c r="O2608">
        <v>1.179852E-2</v>
      </c>
      <c r="P2608">
        <v>-0.97716919999999996</v>
      </c>
      <c r="Q2608">
        <v>0.20329929999999999</v>
      </c>
      <c r="R2608">
        <v>-6.1727839999999999E-2</v>
      </c>
      <c r="S2608">
        <v>-3.0547490000000002</v>
      </c>
      <c r="T2608">
        <v>-8.3131549999999999E-2</v>
      </c>
      <c r="U2608">
        <v>-0.51864619999999995</v>
      </c>
      <c r="V2608">
        <v>-7.3209730000000001E-2</v>
      </c>
      <c r="W2608">
        <v>0.2176178</v>
      </c>
      <c r="X2608">
        <v>0.9732845</v>
      </c>
      <c r="Y2608">
        <v>-0.17890889999999901</v>
      </c>
      <c r="Z2608">
        <v>-3.885889E-3</v>
      </c>
      <c r="AA2608">
        <v>0.98385800000000001</v>
      </c>
      <c r="AB2608">
        <v>35</v>
      </c>
      <c r="AC2608">
        <v>-37.514899999999997</v>
      </c>
      <c r="AD2608">
        <v>-1.03027991</v>
      </c>
      <c r="AE2608">
        <v>-6.4318999999999802</v>
      </c>
      <c r="AF2608">
        <v>-6.8690871720699898</v>
      </c>
      <c r="AG2608">
        <v>-1.03027991</v>
      </c>
      <c r="AH2608">
        <v>37.408983928767498</v>
      </c>
      <c r="AI2608">
        <v>91.551654325473507</v>
      </c>
      <c r="AJ2608">
        <v>100.40482109904001</v>
      </c>
      <c r="AK2608">
        <v>38.048362827501897</v>
      </c>
      <c r="AL2608">
        <v>77.430845945206499</v>
      </c>
      <c r="AM2608">
        <v>94.301644950045599</v>
      </c>
      <c r="AN2608">
        <v>0.99999994469188003</v>
      </c>
    </row>
    <row r="2609" spans="1:40" x14ac:dyDescent="0.25">
      <c r="A2609" t="str">
        <f>"20190304155644578"</f>
        <v>20190304155644578</v>
      </c>
      <c r="B2609" t="str">
        <f>"1551686204566918"</f>
        <v>1551686204566918</v>
      </c>
      <c r="C2609" t="s">
        <v>40</v>
      </c>
      <c r="D2609">
        <v>4.3665430000000001</v>
      </c>
      <c r="E2609">
        <v>0.45672810000000003</v>
      </c>
      <c r="F2609" t="s">
        <v>55</v>
      </c>
      <c r="G2609">
        <v>-467.23970000000003</v>
      </c>
      <c r="H2609">
        <v>8.0001069999999994E-2</v>
      </c>
      <c r="I2609">
        <v>278.41649999999998</v>
      </c>
      <c r="J2609">
        <v>-430.02609999999999</v>
      </c>
      <c r="K2609">
        <v>1.1102780000000001</v>
      </c>
      <c r="L2609">
        <v>284.8836</v>
      </c>
      <c r="M2609">
        <v>-0.99982210000000005</v>
      </c>
      <c r="N2609">
        <v>-1.4668189999999999E-2</v>
      </c>
      <c r="O2609">
        <v>1.186738E-2</v>
      </c>
      <c r="P2609">
        <v>-0.9772419</v>
      </c>
      <c r="Q2609">
        <v>0.20280110000000001</v>
      </c>
      <c r="R2609">
        <v>-6.2212290000000003E-2</v>
      </c>
      <c r="S2609">
        <v>-3.0543520000000002</v>
      </c>
      <c r="T2609">
        <v>-8.3769440000000001E-2</v>
      </c>
      <c r="U2609">
        <v>-0.52548219999999901</v>
      </c>
      <c r="V2609">
        <v>-7.3762519999999998E-2</v>
      </c>
      <c r="W2609">
        <v>0.21711649999999999</v>
      </c>
      <c r="X2609">
        <v>0.97335479999999996</v>
      </c>
      <c r="Y2609">
        <v>-0.1811342</v>
      </c>
      <c r="Z2609">
        <v>-3.954305E-3</v>
      </c>
      <c r="AA2609">
        <v>0.98345039999999995</v>
      </c>
      <c r="AB2609">
        <v>35</v>
      </c>
      <c r="AC2609">
        <v>-37.2136</v>
      </c>
      <c r="AD2609">
        <v>-1.0302769300000001</v>
      </c>
      <c r="AE2609">
        <v>-6.4671000000000101</v>
      </c>
      <c r="AF2609">
        <v>-6.9031838052393599</v>
      </c>
      <c r="AG2609">
        <v>-1.0302769300000001</v>
      </c>
      <c r="AH2609">
        <v>37.106615131589201</v>
      </c>
      <c r="AI2609">
        <v>91.563612700530001</v>
      </c>
      <c r="AJ2609">
        <v>100.538627800911</v>
      </c>
      <c r="AK2609">
        <v>37.757334436176599</v>
      </c>
      <c r="AL2609">
        <v>77.460272925888006</v>
      </c>
      <c r="AM2609">
        <v>94.333690566823293</v>
      </c>
      <c r="AN2609">
        <v>1.0000000253060199</v>
      </c>
    </row>
    <row r="2610" spans="1:40" x14ac:dyDescent="0.25">
      <c r="A2610" t="str">
        <f>"20190304155644601"</f>
        <v>20190304155644601</v>
      </c>
      <c r="B2610" t="str">
        <f>"1551686204597175"</f>
        <v>1551686204597175</v>
      </c>
      <c r="C2610" t="s">
        <v>40</v>
      </c>
      <c r="D2610">
        <v>4.4238939999999998</v>
      </c>
      <c r="E2610">
        <v>0.45621410000000001</v>
      </c>
      <c r="F2610" t="s">
        <v>55</v>
      </c>
      <c r="G2610">
        <v>-466.40649999999999</v>
      </c>
      <c r="H2610">
        <v>8.0001310000000006E-2</v>
      </c>
      <c r="I2610">
        <v>278.56950000000001</v>
      </c>
      <c r="J2610">
        <v>-430.37279999999998</v>
      </c>
      <c r="K2610">
        <v>1.1102719999999999</v>
      </c>
      <c r="L2610">
        <v>284.88780000000003</v>
      </c>
      <c r="M2610">
        <v>-0.99982119999999997</v>
      </c>
      <c r="N2610">
        <v>-1.4664450000000001E-2</v>
      </c>
      <c r="O2610">
        <v>1.1935289999999999E-2</v>
      </c>
      <c r="P2610">
        <v>-0.97716910000000001</v>
      </c>
      <c r="Q2610">
        <v>0.20295270000000001</v>
      </c>
      <c r="R2610">
        <v>-6.2854809999999997E-2</v>
      </c>
      <c r="S2610">
        <v>-3.0540769999999999</v>
      </c>
      <c r="T2610">
        <v>-8.6490150000000002E-2</v>
      </c>
      <c r="U2610">
        <v>-0.53005979999999997</v>
      </c>
      <c r="V2610">
        <v>-7.4470590000000003E-2</v>
      </c>
      <c r="W2610">
        <v>0.21726400000000001</v>
      </c>
      <c r="X2610">
        <v>0.97326789999999996</v>
      </c>
      <c r="Y2610">
        <v>-0.18264030000000001</v>
      </c>
      <c r="Z2610">
        <v>-4.0778569999999998E-3</v>
      </c>
      <c r="AA2610">
        <v>0.98317129999999997</v>
      </c>
      <c r="AB2610">
        <v>35</v>
      </c>
      <c r="AC2610">
        <v>-36.033700000000003</v>
      </c>
      <c r="AD2610">
        <v>-1.0302706899999901</v>
      </c>
      <c r="AE2610">
        <v>-6.3183000000000202</v>
      </c>
      <c r="AF2610">
        <v>-6.7426211462385197</v>
      </c>
      <c r="AG2610">
        <v>-1.0302706899999901</v>
      </c>
      <c r="AH2610">
        <v>35.927219738791003</v>
      </c>
      <c r="AI2610">
        <v>91.614428169378002</v>
      </c>
      <c r="AJ2610">
        <v>100.62931066866</v>
      </c>
      <c r="AK2610">
        <v>36.568969301523197</v>
      </c>
      <c r="AL2610">
        <v>77.451614295801704</v>
      </c>
      <c r="AM2610">
        <v>94.375519410984396</v>
      </c>
      <c r="AN2610">
        <v>0.99999995982067802</v>
      </c>
    </row>
    <row r="2611" spans="1:40" x14ac:dyDescent="0.25">
      <c r="A2611" t="str">
        <f>"20190304155644622"</f>
        <v>20190304155644622</v>
      </c>
      <c r="B2611" t="str">
        <f>"1551686204617674"</f>
        <v>1551686204617674</v>
      </c>
      <c r="C2611" t="s">
        <v>40</v>
      </c>
      <c r="D2611">
        <v>4.4057079999999997</v>
      </c>
      <c r="E2611">
        <v>0.45593420000000001</v>
      </c>
      <c r="F2611" t="s">
        <v>55</v>
      </c>
      <c r="G2611">
        <v>-466.09390000000002</v>
      </c>
      <c r="H2611">
        <v>8.0001399999999903E-2</v>
      </c>
      <c r="I2611">
        <v>278.62569999999999</v>
      </c>
      <c r="J2611">
        <v>-430.726</v>
      </c>
      <c r="K2611">
        <v>1.1102749999999999</v>
      </c>
      <c r="L2611">
        <v>284.89210000000003</v>
      </c>
      <c r="M2611">
        <v>-0.9998205</v>
      </c>
      <c r="N2611">
        <v>-1.4660650000000001E-2</v>
      </c>
      <c r="O2611">
        <v>1.200434E-2</v>
      </c>
      <c r="P2611">
        <v>-0.97722989999999998</v>
      </c>
      <c r="Q2611">
        <v>0.20254130000000001</v>
      </c>
      <c r="R2611">
        <v>-6.3235840000000001E-2</v>
      </c>
      <c r="S2611">
        <v>-3.053925</v>
      </c>
      <c r="T2611">
        <v>-8.8081480000000004E-2</v>
      </c>
      <c r="U2611">
        <v>-0.53536989999999995</v>
      </c>
      <c r="V2611">
        <v>-7.4919920000000001E-2</v>
      </c>
      <c r="W2611">
        <v>0.21684929999999999</v>
      </c>
      <c r="X2611">
        <v>0.97332600000000002</v>
      </c>
      <c r="Y2611">
        <v>-0.1843708</v>
      </c>
      <c r="Z2611">
        <v>-4.1693889999999999E-3</v>
      </c>
      <c r="AA2611">
        <v>0.9828479</v>
      </c>
      <c r="AB2611">
        <v>35</v>
      </c>
      <c r="AC2611">
        <v>-35.367899999999999</v>
      </c>
      <c r="AD2611">
        <v>-1.0302735999999999</v>
      </c>
      <c r="AE2611">
        <v>-6.2664000000000302</v>
      </c>
      <c r="AF2611">
        <v>-6.6850622242159901</v>
      </c>
      <c r="AG2611">
        <v>-1.0302735999999999</v>
      </c>
      <c r="AH2611">
        <v>35.261108208663501</v>
      </c>
      <c r="AI2611">
        <v>91.644341349622493</v>
      </c>
      <c r="AJ2611">
        <v>100.735149426307</v>
      </c>
      <c r="AK2611">
        <v>35.904000790101001</v>
      </c>
      <c r="AL2611">
        <v>77.475956414289698</v>
      </c>
      <c r="AM2611">
        <v>94.401554623271295</v>
      </c>
      <c r="AN2611">
        <v>1.00000005779964</v>
      </c>
    </row>
    <row r="2612" spans="1:40" x14ac:dyDescent="0.25">
      <c r="A2612" t="str">
        <f>"20190304155644644"</f>
        <v>20190304155644644</v>
      </c>
      <c r="B2612" t="str">
        <f>"1551686204637194"</f>
        <v>1551686204637194</v>
      </c>
      <c r="C2612" t="s">
        <v>40</v>
      </c>
      <c r="D2612">
        <v>4.4173809999999998</v>
      </c>
      <c r="E2612">
        <v>0.455731</v>
      </c>
      <c r="F2612" t="s">
        <v>55</v>
      </c>
      <c r="G2612">
        <v>-465.65320000000003</v>
      </c>
      <c r="H2612">
        <v>8.0001530000000001E-2</v>
      </c>
      <c r="I2612">
        <v>278.73099999999999</v>
      </c>
      <c r="J2612">
        <v>-431.0634</v>
      </c>
      <c r="K2612">
        <v>1.1102749999999999</v>
      </c>
      <c r="L2612">
        <v>284.89620000000002</v>
      </c>
      <c r="M2612">
        <v>-0.99981980000000004</v>
      </c>
      <c r="N2612">
        <v>-1.465697E-2</v>
      </c>
      <c r="O2612">
        <v>1.2070579999999999E-2</v>
      </c>
      <c r="P2612">
        <v>-0.97723930000000003</v>
      </c>
      <c r="Q2612">
        <v>0.20231969999999999</v>
      </c>
      <c r="R2612">
        <v>-6.3797039999999999E-2</v>
      </c>
      <c r="S2612">
        <v>-3.0537109999999998</v>
      </c>
      <c r="T2612">
        <v>-9.007764E-2</v>
      </c>
      <c r="U2612">
        <v>-0.53866579999999997</v>
      </c>
      <c r="V2612">
        <v>-7.5545699999999993E-2</v>
      </c>
      <c r="W2612">
        <v>0.21662439999999999</v>
      </c>
      <c r="X2612">
        <v>0.97332759999999996</v>
      </c>
      <c r="Y2612">
        <v>-0.18547130000000001</v>
      </c>
      <c r="Z2612">
        <v>-4.261936E-3</v>
      </c>
      <c r="AA2612">
        <v>0.98264039999999997</v>
      </c>
      <c r="AB2612">
        <v>35</v>
      </c>
      <c r="AC2612">
        <v>-34.589799999999997</v>
      </c>
      <c r="AD2612">
        <v>-1.03027346999999</v>
      </c>
      <c r="AE2612">
        <v>-6.16520000000002</v>
      </c>
      <c r="AF2612">
        <v>-6.5766595333759197</v>
      </c>
      <c r="AG2612">
        <v>-1.03027346999999</v>
      </c>
      <c r="AH2612">
        <v>34.4832033402202</v>
      </c>
      <c r="AI2612">
        <v>91.681065241421905</v>
      </c>
      <c r="AJ2612">
        <v>100.79781430534899</v>
      </c>
      <c r="AK2612">
        <v>35.1198693995849</v>
      </c>
      <c r="AL2612">
        <v>77.489154619296002</v>
      </c>
      <c r="AM2612">
        <v>94.438165727859698</v>
      </c>
      <c r="AN2612">
        <v>0.99999995019280297</v>
      </c>
    </row>
    <row r="2613" spans="1:40" x14ac:dyDescent="0.25">
      <c r="A2613" t="str">
        <f>"20190304155644667"</f>
        <v>20190304155644667</v>
      </c>
      <c r="B2613" t="str">
        <f>"1551686204657687"</f>
        <v>1551686204657687</v>
      </c>
      <c r="C2613" t="s">
        <v>40</v>
      </c>
      <c r="D2613">
        <v>4.4003569999999996</v>
      </c>
      <c r="E2613">
        <v>0.45550410000000002</v>
      </c>
      <c r="F2613" t="s">
        <v>55</v>
      </c>
      <c r="G2613">
        <v>-465.57080000000002</v>
      </c>
      <c r="H2613">
        <v>8.0001550000000005E-2</v>
      </c>
      <c r="I2613">
        <v>278.76870000000002</v>
      </c>
      <c r="J2613">
        <v>-431.41419999999999</v>
      </c>
      <c r="K2613">
        <v>1.1102799999999999</v>
      </c>
      <c r="L2613">
        <v>284.90050000000002</v>
      </c>
      <c r="M2613">
        <v>-0.99981900000000001</v>
      </c>
      <c r="N2613">
        <v>-1.465317E-2</v>
      </c>
      <c r="O2613">
        <v>1.213908E-2</v>
      </c>
      <c r="P2613">
        <v>-0.97714999999999996</v>
      </c>
      <c r="Q2613">
        <v>0.20242979999999999</v>
      </c>
      <c r="R2613">
        <v>-6.4808470000000007E-2</v>
      </c>
      <c r="S2613">
        <v>-3.0532840000000001</v>
      </c>
      <c r="T2613">
        <v>-9.1160770000000002E-2</v>
      </c>
      <c r="U2613">
        <v>-0.54217530000000003</v>
      </c>
      <c r="V2613">
        <v>-7.6623360000000001E-2</v>
      </c>
      <c r="W2613">
        <v>0.21672920000000001</v>
      </c>
      <c r="X2613">
        <v>0.97322010000000003</v>
      </c>
      <c r="Y2613">
        <v>-0.18665399999999999</v>
      </c>
      <c r="Z2613">
        <v>-4.3260620000000003E-3</v>
      </c>
      <c r="AA2613">
        <v>0.98241619999999996</v>
      </c>
      <c r="AB2613">
        <v>35</v>
      </c>
      <c r="AC2613">
        <v>-34.156599999999997</v>
      </c>
      <c r="AD2613">
        <v>-1.03027845</v>
      </c>
      <c r="AE2613">
        <v>-6.1317999999999904</v>
      </c>
      <c r="AF2613">
        <v>-6.5402575671225698</v>
      </c>
      <c r="AG2613">
        <v>-1.03027845</v>
      </c>
      <c r="AH2613">
        <v>34.049628219916997</v>
      </c>
      <c r="AI2613">
        <v>91.702039968070196</v>
      </c>
      <c r="AJ2613">
        <v>100.872954051967</v>
      </c>
      <c r="AK2613">
        <v>34.687369814435399</v>
      </c>
      <c r="AL2613">
        <v>77.483004842941398</v>
      </c>
      <c r="AM2613">
        <v>94.501712993105897</v>
      </c>
      <c r="AN2613">
        <v>1.0000000242371601</v>
      </c>
    </row>
    <row r="2614" spans="1:40" x14ac:dyDescent="0.25">
      <c r="A2614" t="str">
        <f>"20190304155644690"</f>
        <v>20190304155644690</v>
      </c>
      <c r="B2614" t="str">
        <f>"1551686204686968"</f>
        <v>1551686204686968</v>
      </c>
      <c r="C2614" t="s">
        <v>40</v>
      </c>
      <c r="D2614">
        <v>4.4194760000000004</v>
      </c>
      <c r="E2614">
        <v>0.45531490000000002</v>
      </c>
      <c r="F2614" t="s">
        <v>55</v>
      </c>
      <c r="G2614">
        <v>-465.97449999999998</v>
      </c>
      <c r="H2614">
        <v>8.0001439999999993E-2</v>
      </c>
      <c r="I2614">
        <v>278.70260000000002</v>
      </c>
      <c r="J2614">
        <v>-431.76339999999999</v>
      </c>
      <c r="K2614">
        <v>1.110284</v>
      </c>
      <c r="L2614">
        <v>284.90480000000002</v>
      </c>
      <c r="M2614">
        <v>-0.99981830000000005</v>
      </c>
      <c r="N2614">
        <v>-1.464937E-2</v>
      </c>
      <c r="O2614">
        <v>1.220747E-2</v>
      </c>
      <c r="P2614">
        <v>-0.97716349999999996</v>
      </c>
      <c r="Q2614">
        <v>0.20210890000000001</v>
      </c>
      <c r="R2614">
        <v>-6.5604010000000004E-2</v>
      </c>
      <c r="S2614">
        <v>-3.052673</v>
      </c>
      <c r="T2614">
        <v>-9.1003180000000003E-2</v>
      </c>
      <c r="U2614">
        <v>-0.54745480000000002</v>
      </c>
      <c r="V2614">
        <v>-7.7485719999999994E-2</v>
      </c>
      <c r="W2614">
        <v>0.21640470000000001</v>
      </c>
      <c r="X2614">
        <v>0.97322399999999998</v>
      </c>
      <c r="Y2614">
        <v>-0.1884006</v>
      </c>
      <c r="Z2614">
        <v>-4.3604809999999898E-3</v>
      </c>
      <c r="AA2614">
        <v>0.98208260000000003</v>
      </c>
      <c r="AB2614">
        <v>35</v>
      </c>
      <c r="AC2614">
        <v>-34.211099999999902</v>
      </c>
      <c r="AD2614">
        <v>-1.0302825600000001</v>
      </c>
      <c r="AE2614">
        <v>-6.2022000000000004</v>
      </c>
      <c r="AF2614">
        <v>-6.6136062149386499</v>
      </c>
      <c r="AG2614">
        <v>-1.0302825600000001</v>
      </c>
      <c r="AH2614">
        <v>34.102883888416997</v>
      </c>
      <c r="AI2614">
        <v>91.698805549741493</v>
      </c>
      <c r="AJ2614">
        <v>100.975191408554</v>
      </c>
      <c r="AK2614">
        <v>34.753531602220903</v>
      </c>
      <c r="AL2614">
        <v>77.502048888213807</v>
      </c>
      <c r="AM2614">
        <v>94.552147734867404</v>
      </c>
      <c r="AN2614">
        <v>0.99999999258100403</v>
      </c>
    </row>
    <row r="2615" spans="1:40" x14ac:dyDescent="0.25">
      <c r="A2615" t="str">
        <f>"20190304155644713"</f>
        <v>20190304155644713</v>
      </c>
      <c r="B2615" t="str">
        <f>"1551686204707464"</f>
        <v>1551686204707464</v>
      </c>
      <c r="C2615" t="s">
        <v>40</v>
      </c>
      <c r="D2615">
        <v>4.4129430000000003</v>
      </c>
      <c r="E2615">
        <v>0.45517859999999999</v>
      </c>
      <c r="F2615" t="s">
        <v>55</v>
      </c>
      <c r="G2615">
        <v>-465.84129999999999</v>
      </c>
      <c r="H2615">
        <v>8.0001470000000005E-2</v>
      </c>
      <c r="I2615">
        <v>278.74669999999998</v>
      </c>
      <c r="J2615">
        <v>-432.1155</v>
      </c>
      <c r="K2615">
        <v>1.11029</v>
      </c>
      <c r="L2615">
        <v>284.90910000000002</v>
      </c>
      <c r="M2615">
        <v>-0.99981759999999997</v>
      </c>
      <c r="N2615">
        <v>-1.464555E-2</v>
      </c>
      <c r="O2615">
        <v>1.2276219999999999E-2</v>
      </c>
      <c r="P2615">
        <v>-0.97709469999999998</v>
      </c>
      <c r="Q2615">
        <v>0.20206370000000001</v>
      </c>
      <c r="R2615">
        <v>-6.6756700000000002E-2</v>
      </c>
      <c r="S2615">
        <v>-3.052155</v>
      </c>
      <c r="T2615">
        <v>-9.2276330000000004E-2</v>
      </c>
      <c r="U2615">
        <v>-0.55154419999999904</v>
      </c>
      <c r="V2615">
        <v>-7.8704709999999997E-2</v>
      </c>
      <c r="W2615">
        <v>0.21635489999999999</v>
      </c>
      <c r="X2615">
        <v>0.97313729999999998</v>
      </c>
      <c r="Y2615">
        <v>-0.18976750000000001</v>
      </c>
      <c r="Z2615">
        <v>-4.4361729999999999E-3</v>
      </c>
      <c r="AA2615">
        <v>0.981819</v>
      </c>
      <c r="AB2615">
        <v>35</v>
      </c>
      <c r="AC2615">
        <v>-33.7257999999999</v>
      </c>
      <c r="AD2615">
        <v>-1.03028853</v>
      </c>
      <c r="AE2615">
        <v>-6.1624000000000398</v>
      </c>
      <c r="AF2615">
        <v>-6.5700718340631203</v>
      </c>
      <c r="AG2615">
        <v>-1.03028853</v>
      </c>
      <c r="AH2615">
        <v>33.617239610002102</v>
      </c>
      <c r="AI2615">
        <v>91.722855619821303</v>
      </c>
      <c r="AJ2615">
        <v>101.058359883758</v>
      </c>
      <c r="AK2615">
        <v>34.268734107872902</v>
      </c>
      <c r="AL2615">
        <v>77.504972050170096</v>
      </c>
      <c r="AM2615">
        <v>94.623863267645802</v>
      </c>
      <c r="AN2615">
        <v>1.00000003939074</v>
      </c>
    </row>
    <row r="2616" spans="1:40" x14ac:dyDescent="0.25">
      <c r="A2616" t="str">
        <f>"20190304155644734"</f>
        <v>20190304155644734</v>
      </c>
      <c r="B2616" t="str">
        <f>"1551686204726982"</f>
        <v>1551686204726982</v>
      </c>
      <c r="C2616" t="s">
        <v>40</v>
      </c>
      <c r="D2616">
        <v>4.4550289999999997</v>
      </c>
      <c r="E2616">
        <v>0.45504460000000002</v>
      </c>
      <c r="F2616" t="s">
        <v>55</v>
      </c>
      <c r="G2616">
        <v>-466.01369999999997</v>
      </c>
      <c r="H2616">
        <v>8.0001420000000004E-2</v>
      </c>
      <c r="I2616">
        <v>278.73309999999998</v>
      </c>
      <c r="J2616">
        <v>-432.46170000000001</v>
      </c>
      <c r="K2616">
        <v>1.110293</v>
      </c>
      <c r="L2616">
        <v>284.9135</v>
      </c>
      <c r="M2616">
        <v>-0.9998167</v>
      </c>
      <c r="N2616">
        <v>-1.464176E-2</v>
      </c>
      <c r="O2616">
        <v>1.2344249999999999E-2</v>
      </c>
      <c r="P2616">
        <v>-0.97700659999999895</v>
      </c>
      <c r="Q2616">
        <v>0.2021877</v>
      </c>
      <c r="R2616">
        <v>-6.7665219999999998E-2</v>
      </c>
      <c r="S2616">
        <v>-3.0515140000000001</v>
      </c>
      <c r="T2616">
        <v>-9.2746620000000002E-2</v>
      </c>
      <c r="U2616">
        <v>-0.55596919999999905</v>
      </c>
      <c r="V2616">
        <v>-7.9678390000000002E-2</v>
      </c>
      <c r="W2616">
        <v>0.2164741</v>
      </c>
      <c r="X2616">
        <v>0.97303150000000005</v>
      </c>
      <c r="Y2616">
        <v>-0.19124650000000001</v>
      </c>
      <c r="Z2616">
        <v>-4.4869590000000004E-3</v>
      </c>
      <c r="AA2616">
        <v>0.98153179999999995</v>
      </c>
      <c r="AB2616">
        <v>35</v>
      </c>
      <c r="AC2616">
        <v>-33.5519999999999</v>
      </c>
      <c r="AD2616">
        <v>-1.0302915800000001</v>
      </c>
      <c r="AE2616">
        <v>-6.1804000000000103</v>
      </c>
      <c r="AF2616">
        <v>-6.5881392904210303</v>
      </c>
      <c r="AG2616">
        <v>-1.0302915800000001</v>
      </c>
      <c r="AH2616">
        <v>33.442642959093597</v>
      </c>
      <c r="AI2616">
        <v>91.731339657202199</v>
      </c>
      <c r="AJ2616">
        <v>101.144460020802</v>
      </c>
      <c r="AK2616">
        <v>34.100959636632297</v>
      </c>
      <c r="AL2616">
        <v>77.497975996609</v>
      </c>
      <c r="AM2616">
        <v>94.681320544886205</v>
      </c>
      <c r="AN2616">
        <v>0.99999999089802605</v>
      </c>
    </row>
    <row r="2617" spans="1:40" x14ac:dyDescent="0.25">
      <c r="A2617" t="str">
        <f>"20190304155644758"</f>
        <v>20190304155644758</v>
      </c>
      <c r="B2617" t="str">
        <f>"1551686204747479"</f>
        <v>1551686204747479</v>
      </c>
      <c r="C2617" t="s">
        <v>40</v>
      </c>
      <c r="D2617">
        <v>4.4516960000000001</v>
      </c>
      <c r="E2617">
        <v>0.45491809999999999</v>
      </c>
      <c r="F2617" t="s">
        <v>55</v>
      </c>
      <c r="G2617">
        <v>-466.32979999999998</v>
      </c>
      <c r="H2617">
        <v>8.0001329999999996E-2</v>
      </c>
      <c r="I2617">
        <v>278.69819999999999</v>
      </c>
      <c r="J2617">
        <v>-432.80829999999997</v>
      </c>
      <c r="K2617">
        <v>1.110295</v>
      </c>
      <c r="L2617">
        <v>284.9178</v>
      </c>
      <c r="M2617">
        <v>-0.99981600000000004</v>
      </c>
      <c r="N2617">
        <v>-1.463799E-2</v>
      </c>
      <c r="O2617">
        <v>1.2411800000000001E-2</v>
      </c>
      <c r="P2617">
        <v>-0.97688750000000002</v>
      </c>
      <c r="Q2617">
        <v>0.20231189999999999</v>
      </c>
      <c r="R2617">
        <v>-6.9001119999999999E-2</v>
      </c>
      <c r="S2617">
        <v>-3.0510250000000001</v>
      </c>
      <c r="T2617">
        <v>-9.2814209999999994E-2</v>
      </c>
      <c r="U2617">
        <v>-0.55990600000000001</v>
      </c>
      <c r="V2617">
        <v>-8.1078250000000004E-2</v>
      </c>
      <c r="W2617">
        <v>0.21659229999999999</v>
      </c>
      <c r="X2617">
        <v>0.97288949999999996</v>
      </c>
      <c r="Y2617">
        <v>-0.19256480000000001</v>
      </c>
      <c r="Z2617">
        <v>-4.5200070000000004E-3</v>
      </c>
      <c r="AA2617">
        <v>0.98127379999999997</v>
      </c>
      <c r="AB2617">
        <v>35</v>
      </c>
      <c r="AC2617">
        <v>-33.521500000000003</v>
      </c>
      <c r="AD2617">
        <v>-1.0302936700000001</v>
      </c>
      <c r="AE2617">
        <v>-6.2196000000000096</v>
      </c>
      <c r="AF2617">
        <v>-6.6291735646830201</v>
      </c>
      <c r="AG2617">
        <v>-1.0302936700000001</v>
      </c>
      <c r="AH2617">
        <v>33.411200798481403</v>
      </c>
      <c r="AI2617">
        <v>91.732505742678796</v>
      </c>
      <c r="AJ2617">
        <v>101.222403716388</v>
      </c>
      <c r="AK2617">
        <v>34.078083660815999</v>
      </c>
      <c r="AL2617">
        <v>77.491038451054393</v>
      </c>
      <c r="AM2617">
        <v>94.763882946328096</v>
      </c>
      <c r="AN2617">
        <v>0.99999994312629903</v>
      </c>
    </row>
    <row r="2618" spans="1:40" x14ac:dyDescent="0.25">
      <c r="A2618" t="str">
        <f>"20190304155644779"</f>
        <v>20190304155644779</v>
      </c>
      <c r="B2618" t="str">
        <f>"1551686204776759"</f>
        <v>1551686204776759</v>
      </c>
      <c r="C2618" t="s">
        <v>40</v>
      </c>
      <c r="D2618">
        <v>4.4564450000000004</v>
      </c>
      <c r="E2618">
        <v>0.4547522</v>
      </c>
      <c r="F2618" t="s">
        <v>55</v>
      </c>
      <c r="G2618">
        <v>-466.81369999999998</v>
      </c>
      <c r="H2618">
        <v>8.000119E-2</v>
      </c>
      <c r="I2618">
        <v>278.6182</v>
      </c>
      <c r="J2618">
        <v>-433.14749999999998</v>
      </c>
      <c r="K2618">
        <v>1.1102959999999999</v>
      </c>
      <c r="L2618">
        <v>284.9221</v>
      </c>
      <c r="M2618">
        <v>-0.99981500000000001</v>
      </c>
      <c r="N2618">
        <v>-1.4634319999999999E-2</v>
      </c>
      <c r="O2618">
        <v>1.2478339999999999E-2</v>
      </c>
      <c r="P2618">
        <v>-0.97683500000000001</v>
      </c>
      <c r="Q2618">
        <v>0.20218459999999999</v>
      </c>
      <c r="R2618">
        <v>-7.0105440000000005E-2</v>
      </c>
      <c r="S2618">
        <v>-3.0502319999999998</v>
      </c>
      <c r="T2618">
        <v>-9.2415689999999995E-2</v>
      </c>
      <c r="U2618">
        <v>-0.56506350000000005</v>
      </c>
      <c r="V2618">
        <v>-8.2247379999999995E-2</v>
      </c>
      <c r="W2618">
        <v>0.21646109999999999</v>
      </c>
      <c r="X2618">
        <v>0.97282060000000004</v>
      </c>
      <c r="Y2618">
        <v>-0.19427949999999999</v>
      </c>
      <c r="Z2618">
        <v>-4.5456510000000004E-3</v>
      </c>
      <c r="AA2618">
        <v>0.98093569999999997</v>
      </c>
      <c r="AB2618">
        <v>35</v>
      </c>
      <c r="AC2618">
        <v>-33.666200000000003</v>
      </c>
      <c r="AD2618">
        <v>-1.03029481</v>
      </c>
      <c r="AE2618">
        <v>-6.3038999999999898</v>
      </c>
      <c r="AF2618">
        <v>-6.7174741949099603</v>
      </c>
      <c r="AG2618">
        <v>-1.03029481</v>
      </c>
      <c r="AH2618">
        <v>33.5545463579775</v>
      </c>
      <c r="AI2618">
        <v>91.724521375374707</v>
      </c>
      <c r="AJ2618">
        <v>101.32071079799999</v>
      </c>
      <c r="AK2618">
        <v>34.2358517966832</v>
      </c>
      <c r="AL2618">
        <v>77.498738787008904</v>
      </c>
      <c r="AM2618">
        <v>94.832594692070401</v>
      </c>
      <c r="AN2618">
        <v>0.99999997955721698</v>
      </c>
    </row>
    <row r="2619" spans="1:40" x14ac:dyDescent="0.25">
      <c r="A2619" t="str">
        <f>"20190304155644801"</f>
        <v>20190304155644801</v>
      </c>
      <c r="B2619" t="str">
        <f>"1551686204797258"</f>
        <v>1551686204797258</v>
      </c>
      <c r="C2619" t="s">
        <v>40</v>
      </c>
      <c r="D2619">
        <v>4.4920970000000002</v>
      </c>
      <c r="E2619">
        <v>0.45467879999999999</v>
      </c>
      <c r="F2619" t="s">
        <v>55</v>
      </c>
      <c r="G2619">
        <v>-467.09039999999999</v>
      </c>
      <c r="H2619">
        <v>8.000111E-2</v>
      </c>
      <c r="I2619">
        <v>278.58049999999997</v>
      </c>
      <c r="J2619">
        <v>-433.48419999999999</v>
      </c>
      <c r="K2619">
        <v>1.1102939999999999</v>
      </c>
      <c r="L2619">
        <v>284.92630000000003</v>
      </c>
      <c r="M2619">
        <v>-0.99981439999999999</v>
      </c>
      <c r="N2619">
        <v>-1.463067E-2</v>
      </c>
      <c r="O2619">
        <v>1.254398E-2</v>
      </c>
      <c r="P2619">
        <v>-0.97676280000000004</v>
      </c>
      <c r="Q2619">
        <v>0.20221749999999999</v>
      </c>
      <c r="R2619">
        <v>-7.1011359999999996E-2</v>
      </c>
      <c r="S2619">
        <v>-3.0494379999999999</v>
      </c>
      <c r="T2619">
        <v>-9.2561840000000006E-2</v>
      </c>
      <c r="U2619">
        <v>-0.56973269999999998</v>
      </c>
      <c r="V2619">
        <v>-8.3216769999999995E-2</v>
      </c>
      <c r="W2619">
        <v>0.21648899999999999</v>
      </c>
      <c r="X2619">
        <v>0.97273189999999998</v>
      </c>
      <c r="Y2619">
        <v>-0.19583970000000001</v>
      </c>
      <c r="Z2619">
        <v>-4.5871710000000001E-3</v>
      </c>
      <c r="AA2619">
        <v>0.98062519999999997</v>
      </c>
      <c r="AB2619">
        <v>35</v>
      </c>
      <c r="AC2619">
        <v>-33.606200000000001</v>
      </c>
      <c r="AD2619">
        <v>-1.0302928899999999</v>
      </c>
      <c r="AE2619">
        <v>-6.3458000000000503</v>
      </c>
      <c r="AF2619">
        <v>-6.7607655056832296</v>
      </c>
      <c r="AG2619">
        <v>-1.0302928899999999</v>
      </c>
      <c r="AH2619">
        <v>33.493548417036401</v>
      </c>
      <c r="AI2619">
        <v>91.727104186690099</v>
      </c>
      <c r="AJ2619">
        <v>101.411968960499</v>
      </c>
      <c r="AK2619">
        <v>34.184605295752398</v>
      </c>
      <c r="AL2619">
        <v>77.497100825630199</v>
      </c>
      <c r="AM2619">
        <v>94.8897221315721</v>
      </c>
      <c r="AN2619">
        <v>0.99999993360391903</v>
      </c>
    </row>
    <row r="2620" spans="1:40" x14ac:dyDescent="0.25">
      <c r="A2620" t="str">
        <f>"20190304155644819"</f>
        <v>20190304155644819</v>
      </c>
      <c r="B2620" t="str">
        <f>"1551686204807015"</f>
        <v>1551686204807015</v>
      </c>
      <c r="C2620" t="s">
        <v>40</v>
      </c>
      <c r="D2620">
        <v>4.4557279999999997</v>
      </c>
      <c r="E2620">
        <v>0.45462609999999998</v>
      </c>
      <c r="F2620" t="s">
        <v>55</v>
      </c>
      <c r="G2620">
        <v>-467.36950000000002</v>
      </c>
      <c r="H2620">
        <v>8.0001030000000001E-2</v>
      </c>
      <c r="I2620">
        <v>278.55810000000002</v>
      </c>
      <c r="J2620">
        <v>-433.75259999999997</v>
      </c>
      <c r="K2620">
        <v>1.1102939999999999</v>
      </c>
      <c r="L2620">
        <v>284.92970000000003</v>
      </c>
      <c r="M2620">
        <v>-0.99981370000000003</v>
      </c>
      <c r="N2620">
        <v>-1.462774E-2</v>
      </c>
      <c r="O2620">
        <v>1.2596629999999999E-2</v>
      </c>
      <c r="P2620">
        <v>-0.97670259999999998</v>
      </c>
      <c r="Q2620">
        <v>0.20228099999999999</v>
      </c>
      <c r="R2620">
        <v>-7.1655090000000005E-2</v>
      </c>
      <c r="S2620">
        <v>-3.0489199999999999</v>
      </c>
      <c r="T2620">
        <v>-9.2703339999999995E-2</v>
      </c>
      <c r="U2620">
        <v>-0.57299800000000001</v>
      </c>
      <c r="V2620">
        <v>-8.3911379999999994E-2</v>
      </c>
      <c r="W2620">
        <v>0.21654899999999999</v>
      </c>
      <c r="X2620">
        <v>0.97265889999999999</v>
      </c>
      <c r="Y2620">
        <v>-0.19693479999999999</v>
      </c>
      <c r="Z2620">
        <v>-4.6177980000000002E-3</v>
      </c>
      <c r="AA2620">
        <v>0.98040570000000005</v>
      </c>
      <c r="AB2620">
        <v>34</v>
      </c>
      <c r="AC2620">
        <v>-33.616900000000001</v>
      </c>
      <c r="AD2620">
        <v>-1.0302929700000001</v>
      </c>
      <c r="AE2620">
        <v>-6.3715999999999999</v>
      </c>
      <c r="AF2620">
        <v>-6.7884440188158202</v>
      </c>
      <c r="AG2620">
        <v>-1.0302929700000001</v>
      </c>
      <c r="AH2620">
        <v>33.503584237695499</v>
      </c>
      <c r="AI2620">
        <v>91.726330613162901</v>
      </c>
      <c r="AJ2620">
        <v>101.45411498986699</v>
      </c>
      <c r="AK2620">
        <v>34.1999215287548</v>
      </c>
      <c r="AL2620">
        <v>77.493579914546501</v>
      </c>
      <c r="AM2620">
        <v>94.930704472212</v>
      </c>
      <c r="AN2620">
        <v>0.99999996242185596</v>
      </c>
    </row>
    <row r="2621" spans="1:40" x14ac:dyDescent="0.25">
      <c r="A2621" t="str">
        <f>"20190304155644835"</f>
        <v>20190304155644835</v>
      </c>
      <c r="B2621" t="str">
        <f>"1551686204827512"</f>
        <v>1551686204827512</v>
      </c>
      <c r="C2621" t="s">
        <v>40</v>
      </c>
      <c r="D2621">
        <v>4.5002909999999998</v>
      </c>
      <c r="E2621">
        <v>0.45449240000000002</v>
      </c>
      <c r="F2621" t="s">
        <v>55</v>
      </c>
      <c r="G2621">
        <v>-467.72719999999998</v>
      </c>
      <c r="H2621">
        <v>8.0000929999999998E-2</v>
      </c>
      <c r="I2621">
        <v>278.5206</v>
      </c>
      <c r="J2621">
        <v>-434.00139999999999</v>
      </c>
      <c r="K2621">
        <v>1.11029</v>
      </c>
      <c r="L2621">
        <v>284.93290000000002</v>
      </c>
      <c r="M2621">
        <v>-0.99981310000000001</v>
      </c>
      <c r="N2621">
        <v>-1.4625010000000001E-2</v>
      </c>
      <c r="O2621">
        <v>1.2645399999999999E-2</v>
      </c>
      <c r="P2621">
        <v>-0.97675710000000004</v>
      </c>
      <c r="Q2621">
        <v>0.2018192</v>
      </c>
      <c r="R2621">
        <v>-7.2211499999999998E-2</v>
      </c>
      <c r="S2621">
        <v>-3.048584</v>
      </c>
      <c r="T2621">
        <v>-9.2449669999999998E-2</v>
      </c>
      <c r="U2621">
        <v>-0.57510380000000005</v>
      </c>
      <c r="V2621">
        <v>-8.4515320000000005E-2</v>
      </c>
      <c r="W2621">
        <v>0.2160849</v>
      </c>
      <c r="X2621">
        <v>0.97270979999999996</v>
      </c>
      <c r="Y2621">
        <v>-0.19765630000000001</v>
      </c>
      <c r="Z2621">
        <v>-4.6255849999999998E-3</v>
      </c>
      <c r="AA2621">
        <v>0.98026049999999998</v>
      </c>
      <c r="AB2621">
        <v>34</v>
      </c>
      <c r="AC2621">
        <v>-33.7257999999999</v>
      </c>
      <c r="AD2621">
        <v>-1.03028907</v>
      </c>
      <c r="AE2621">
        <v>-6.4123000000000099</v>
      </c>
      <c r="AF2621">
        <v>-6.8321554326753704</v>
      </c>
      <c r="AG2621">
        <v>-1.03028907</v>
      </c>
      <c r="AH2621">
        <v>33.611734598287597</v>
      </c>
      <c r="AI2621">
        <v>91.720555368435399</v>
      </c>
      <c r="AJ2621">
        <v>101.489803074969</v>
      </c>
      <c r="AK2621">
        <v>34.314552978724898</v>
      </c>
      <c r="AL2621">
        <v>77.520815449798206</v>
      </c>
      <c r="AM2621">
        <v>94.965757106309496</v>
      </c>
      <c r="AN2621">
        <v>0.99999993916937402</v>
      </c>
    </row>
    <row r="2622" spans="1:40" x14ac:dyDescent="0.25">
      <c r="A2622" t="str">
        <f>"20190304155644851"</f>
        <v>20190304155644851</v>
      </c>
      <c r="B2622" t="str">
        <f>"1551686204847031"</f>
        <v>1551686204847031</v>
      </c>
      <c r="C2622" t="s">
        <v>40</v>
      </c>
      <c r="D2622">
        <v>4.4691939999999999</v>
      </c>
      <c r="E2622">
        <v>0.45441500000000001</v>
      </c>
      <c r="F2622" t="s">
        <v>55</v>
      </c>
      <c r="G2622">
        <v>-467.51150000000001</v>
      </c>
      <c r="H2622">
        <v>8.0000979999999999E-2</v>
      </c>
      <c r="I2622">
        <v>278.58170000000001</v>
      </c>
      <c r="J2622">
        <v>-434.24799999999999</v>
      </c>
      <c r="K2622">
        <v>1.11029</v>
      </c>
      <c r="L2622">
        <v>284.93610000000001</v>
      </c>
      <c r="M2622">
        <v>-0.99981249999999999</v>
      </c>
      <c r="N2622">
        <v>-1.4622299999999901E-2</v>
      </c>
      <c r="O2622">
        <v>1.269382E-2</v>
      </c>
      <c r="P2622">
        <v>-0.97667360000000003</v>
      </c>
      <c r="Q2622">
        <v>0.2020942</v>
      </c>
      <c r="R2622">
        <v>-7.2571609999999995E-2</v>
      </c>
      <c r="S2622">
        <v>-3.048035</v>
      </c>
      <c r="T2622">
        <v>-9.3713879999999999E-2</v>
      </c>
      <c r="U2622">
        <v>-0.57769780000000004</v>
      </c>
      <c r="V2622">
        <v>-8.4921960000000005E-2</v>
      </c>
      <c r="W2622">
        <v>0.21635579999999999</v>
      </c>
      <c r="X2622">
        <v>0.97261419999999998</v>
      </c>
      <c r="Y2622">
        <v>-0.19853760000000001</v>
      </c>
      <c r="Z2622">
        <v>-4.6923240000000003E-3</v>
      </c>
      <c r="AA2622">
        <v>0.98008200000000001</v>
      </c>
      <c r="AB2622">
        <v>34</v>
      </c>
      <c r="AC2622">
        <v>-33.263499999999901</v>
      </c>
      <c r="AD2622">
        <v>-1.0302890200000001</v>
      </c>
      <c r="AE2622">
        <v>-6.3543999999999903</v>
      </c>
      <c r="AF2622">
        <v>-6.7699078338215202</v>
      </c>
      <c r="AG2622">
        <v>-1.0302890200000001</v>
      </c>
      <c r="AH2622">
        <v>33.149466548917701</v>
      </c>
      <c r="AI2622">
        <v>91.744207352582805</v>
      </c>
      <c r="AJ2622">
        <v>101.542436693212</v>
      </c>
      <c r="AK2622">
        <v>33.849376360887199</v>
      </c>
      <c r="AL2622">
        <v>77.504918437790906</v>
      </c>
      <c r="AM2622">
        <v>94.990017155670003</v>
      </c>
      <c r="AN2622">
        <v>0.99999997676275998</v>
      </c>
    </row>
    <row r="2623" spans="1:40" x14ac:dyDescent="0.25">
      <c r="A2623" t="str">
        <f>"20190304155644865"</f>
        <v>20190304155644865</v>
      </c>
      <c r="B2623" t="str">
        <f>"1551686204856791"</f>
        <v>1551686204856791</v>
      </c>
      <c r="C2623" t="s">
        <v>40</v>
      </c>
      <c r="D2623">
        <v>4.4783999999999997</v>
      </c>
      <c r="E2623">
        <v>0.45439869999999999</v>
      </c>
      <c r="F2623" t="s">
        <v>55</v>
      </c>
      <c r="G2623">
        <v>-468.10169999999999</v>
      </c>
      <c r="H2623">
        <v>8.000082E-2</v>
      </c>
      <c r="I2623">
        <v>278.50049999999999</v>
      </c>
      <c r="J2623">
        <v>-434.47379999999998</v>
      </c>
      <c r="K2623">
        <v>1.110287</v>
      </c>
      <c r="L2623">
        <v>284.93900000000002</v>
      </c>
      <c r="M2623">
        <v>-0.99981189999999998</v>
      </c>
      <c r="N2623">
        <v>-1.4619790000000001E-2</v>
      </c>
      <c r="O2623">
        <v>1.2738060000000001E-2</v>
      </c>
      <c r="P2623">
        <v>-0.97669079999999997</v>
      </c>
      <c r="Q2623">
        <v>0.20194680000000001</v>
      </c>
      <c r="R2623">
        <v>-7.2751419999999997E-2</v>
      </c>
      <c r="S2623">
        <v>-3.0477599999999998</v>
      </c>
      <c r="T2623">
        <v>-9.2754359999999994E-2</v>
      </c>
      <c r="U2623">
        <v>-0.57937620000000001</v>
      </c>
      <c r="V2623">
        <v>-8.5145139999999994E-2</v>
      </c>
      <c r="W2623">
        <v>0.21620690000000001</v>
      </c>
      <c r="X2623">
        <v>0.97262780000000004</v>
      </c>
      <c r="Y2623">
        <v>-0.19911999999999999</v>
      </c>
      <c r="Z2623">
        <v>-4.6711690000000002E-3</v>
      </c>
      <c r="AA2623">
        <v>0.97996399999999995</v>
      </c>
      <c r="AB2623">
        <v>34</v>
      </c>
      <c r="AC2623">
        <v>-33.627899999999997</v>
      </c>
      <c r="AD2623">
        <v>-1.0302861800000001</v>
      </c>
      <c r="AE2623">
        <v>-6.4385000000000296</v>
      </c>
      <c r="AF2623">
        <v>-6.8601657771663396</v>
      </c>
      <c r="AG2623">
        <v>-1.0302861800000001</v>
      </c>
      <c r="AH2623">
        <v>33.512803030367103</v>
      </c>
      <c r="AI2623">
        <v>91.725141760150194</v>
      </c>
      <c r="AJ2623">
        <v>101.568785622918</v>
      </c>
      <c r="AK2623">
        <v>34.223257166071797</v>
      </c>
      <c r="AL2623">
        <v>77.513656616967495</v>
      </c>
      <c r="AM2623">
        <v>95.002995145222997</v>
      </c>
      <c r="AN2623">
        <v>0.99999997790303397</v>
      </c>
    </row>
    <row r="2624" spans="1:40" x14ac:dyDescent="0.25">
      <c r="A2624" t="str">
        <f>"20190304155644880"</f>
        <v>20190304155644880</v>
      </c>
      <c r="B2624" t="str">
        <f>"1551686204867527"</f>
        <v>1551686204867527</v>
      </c>
      <c r="C2624" t="s">
        <v>40</v>
      </c>
      <c r="D2624">
        <v>4.472988</v>
      </c>
      <c r="E2624">
        <v>0.45434570000000002</v>
      </c>
      <c r="F2624" t="s">
        <v>55</v>
      </c>
      <c r="G2624">
        <v>-468.22030000000001</v>
      </c>
      <c r="H2624">
        <v>8.0000779999999994E-2</v>
      </c>
      <c r="I2624">
        <v>278.51549999999997</v>
      </c>
      <c r="J2624">
        <v>-434.68779999999998</v>
      </c>
      <c r="K2624">
        <v>1.1102860000000001</v>
      </c>
      <c r="L2624">
        <v>284.9418</v>
      </c>
      <c r="M2624">
        <v>-0.99981149999999996</v>
      </c>
      <c r="N2624">
        <v>-1.4617410000000001E-2</v>
      </c>
      <c r="O2624">
        <v>1.277961E-2</v>
      </c>
      <c r="P2624">
        <v>-0.97667409999999999</v>
      </c>
      <c r="Q2624">
        <v>0.2017688</v>
      </c>
      <c r="R2624">
        <v>-7.3467649999999995E-2</v>
      </c>
      <c r="S2624">
        <v>-3.0476380000000001</v>
      </c>
      <c r="T2624">
        <v>-9.3045119999999995E-2</v>
      </c>
      <c r="U2624">
        <v>-0.58010859999999997</v>
      </c>
      <c r="V2624">
        <v>-8.5901829999999998E-2</v>
      </c>
      <c r="W2624">
        <v>0.21602579999999999</v>
      </c>
      <c r="X2624">
        <v>0.97260150000000001</v>
      </c>
      <c r="Y2624">
        <v>-0.1993943</v>
      </c>
      <c r="Z2624">
        <v>-4.6884980000000001E-3</v>
      </c>
      <c r="AA2624">
        <v>0.97990809999999995</v>
      </c>
      <c r="AB2624">
        <v>34</v>
      </c>
      <c r="AC2624">
        <v>-33.532499999999999</v>
      </c>
      <c r="AD2624">
        <v>-1.0302852199999999</v>
      </c>
      <c r="AE2624">
        <v>-6.4263000000000199</v>
      </c>
      <c r="AF2624">
        <v>-6.8481173922296597</v>
      </c>
      <c r="AG2624">
        <v>-1.0302852199999999</v>
      </c>
      <c r="AH2624">
        <v>33.417197624088999</v>
      </c>
      <c r="AI2624">
        <v>91.729996217973905</v>
      </c>
      <c r="AJ2624">
        <v>101.58116381974</v>
      </c>
      <c r="AK2624">
        <v>34.1272222206808</v>
      </c>
      <c r="AL2624">
        <v>77.524283987559301</v>
      </c>
      <c r="AM2624">
        <v>95.047364185829807</v>
      </c>
      <c r="AN2624">
        <v>0.99999997423261899</v>
      </c>
    </row>
    <row r="2625" spans="1:40" x14ac:dyDescent="0.25">
      <c r="A2625" t="str">
        <f>"20190304155644902"</f>
        <v>20190304155644902</v>
      </c>
      <c r="B2625" t="str">
        <f>"1551686204896807"</f>
        <v>1551686204896807</v>
      </c>
      <c r="C2625" t="s">
        <v>40</v>
      </c>
      <c r="D2625">
        <v>4.4572419999999999</v>
      </c>
      <c r="E2625">
        <v>0.45426230000000001</v>
      </c>
      <c r="F2625" t="s">
        <v>55</v>
      </c>
      <c r="G2625">
        <v>-468.25819999999999</v>
      </c>
      <c r="H2625">
        <v>8.0000769999999999E-2</v>
      </c>
      <c r="I2625">
        <v>278.52249999999998</v>
      </c>
      <c r="J2625">
        <v>-435.03289999999998</v>
      </c>
      <c r="K2625">
        <v>1.1102890000000001</v>
      </c>
      <c r="L2625">
        <v>284.94630000000001</v>
      </c>
      <c r="M2625">
        <v>-0.9998108</v>
      </c>
      <c r="N2625">
        <v>-1.4613589999999999E-2</v>
      </c>
      <c r="O2625">
        <v>1.2845240000000001E-2</v>
      </c>
      <c r="P2625">
        <v>-0.97656449999999995</v>
      </c>
      <c r="Q2625">
        <v>0.20200580000000001</v>
      </c>
      <c r="R2625">
        <v>-7.4268020000000004E-2</v>
      </c>
      <c r="S2625">
        <v>-3.0471499999999998</v>
      </c>
      <c r="T2625">
        <v>-9.3517900000000001E-2</v>
      </c>
      <c r="U2625">
        <v>-0.58267209999999903</v>
      </c>
      <c r="V2625">
        <v>-8.6764930000000004E-2</v>
      </c>
      <c r="W2625">
        <v>0.21625710000000001</v>
      </c>
      <c r="X2625">
        <v>0.97247349999999999</v>
      </c>
      <c r="Y2625">
        <v>-0.20028099999999999</v>
      </c>
      <c r="Z2625">
        <v>-4.7269209999999898E-3</v>
      </c>
      <c r="AA2625">
        <v>0.97972709999999996</v>
      </c>
      <c r="AB2625">
        <v>34</v>
      </c>
      <c r="AC2625">
        <v>-33.225299999999997</v>
      </c>
      <c r="AD2625">
        <v>-1.03028822999999</v>
      </c>
      <c r="AE2625">
        <v>-6.4238000000000204</v>
      </c>
      <c r="AF2625">
        <v>-6.8437587848519401</v>
      </c>
      <c r="AG2625">
        <v>-1.03028822999999</v>
      </c>
      <c r="AH2625">
        <v>33.109344491576799</v>
      </c>
      <c r="AI2625">
        <v>91.745465982490202</v>
      </c>
      <c r="AJ2625">
        <v>101.67866450631099</v>
      </c>
      <c r="AK2625">
        <v>33.824949679253301</v>
      </c>
      <c r="AL2625">
        <v>77.510710919716701</v>
      </c>
      <c r="AM2625">
        <v>95.098479210571398</v>
      </c>
      <c r="AN2625">
        <v>0.99999999729028199</v>
      </c>
    </row>
    <row r="2626" spans="1:40" x14ac:dyDescent="0.25">
      <c r="A2626" t="str">
        <f>"20190304155644924"</f>
        <v>20190304155644924</v>
      </c>
      <c r="B2626" t="str">
        <f>"1551686204917307"</f>
        <v>1551686204917307</v>
      </c>
      <c r="C2626" t="s">
        <v>40</v>
      </c>
      <c r="D2626">
        <v>4.4820000000000002</v>
      </c>
      <c r="E2626">
        <v>0.45420969999999999</v>
      </c>
      <c r="F2626" t="s">
        <v>55</v>
      </c>
      <c r="G2626">
        <v>-468.95929999999998</v>
      </c>
      <c r="H2626">
        <v>8.0000569999999993E-2</v>
      </c>
      <c r="I2626">
        <v>278.42270000000002</v>
      </c>
      <c r="J2626">
        <v>-435.3682</v>
      </c>
      <c r="K2626">
        <v>1.1102909999999999</v>
      </c>
      <c r="L2626">
        <v>284.95060000000001</v>
      </c>
      <c r="M2626">
        <v>-0.99980999999999998</v>
      </c>
      <c r="N2626">
        <v>-1.460988E-2</v>
      </c>
      <c r="O2626">
        <v>1.290789E-2</v>
      </c>
      <c r="P2626">
        <v>-0.97660179999999996</v>
      </c>
      <c r="Q2626">
        <v>0.20185359999999999</v>
      </c>
      <c r="R2626">
        <v>-7.418951E-2</v>
      </c>
      <c r="S2626">
        <v>-3.04657</v>
      </c>
      <c r="T2626">
        <v>-9.2519279999999995E-2</v>
      </c>
      <c r="U2626">
        <v>-0.58581539999999999</v>
      </c>
      <c r="V2626">
        <v>-8.6749469999999995E-2</v>
      </c>
      <c r="W2626">
        <v>0.21610170000000001</v>
      </c>
      <c r="X2626">
        <v>0.97250939999999997</v>
      </c>
      <c r="Y2626">
        <v>-0.20135339999999999</v>
      </c>
      <c r="Z2626">
        <v>-4.715403E-3</v>
      </c>
      <c r="AA2626">
        <v>0.97950729999999997</v>
      </c>
      <c r="AB2626">
        <v>34</v>
      </c>
      <c r="AC2626">
        <v>-33.591099999999898</v>
      </c>
      <c r="AD2626">
        <v>-1.03029043</v>
      </c>
      <c r="AE2626">
        <v>-6.5278999999999803</v>
      </c>
      <c r="AF2626">
        <v>-6.9546880484663598</v>
      </c>
      <c r="AG2626">
        <v>-1.03029043</v>
      </c>
      <c r="AH2626">
        <v>33.473686356787098</v>
      </c>
      <c r="AI2626">
        <v>91.726118051425999</v>
      </c>
      <c r="AJ2626">
        <v>101.73712212149</v>
      </c>
      <c r="AK2626">
        <v>34.204047458366503</v>
      </c>
      <c r="AL2626">
        <v>77.519830031479898</v>
      </c>
      <c r="AM2626">
        <v>95.097388352516703</v>
      </c>
      <c r="AN2626">
        <v>0.99999997418826503</v>
      </c>
    </row>
    <row r="2627" spans="1:40" x14ac:dyDescent="0.25">
      <c r="A2627" t="str">
        <f>"20190304155644947"</f>
        <v>20190304155644947</v>
      </c>
      <c r="B2627" t="str">
        <f>"1551686204936823"</f>
        <v>1551686204936823</v>
      </c>
      <c r="C2627" t="s">
        <v>40</v>
      </c>
      <c r="D2627">
        <v>4.4994880000000004</v>
      </c>
      <c r="E2627">
        <v>0.45408340000000003</v>
      </c>
      <c r="F2627" t="s">
        <v>55</v>
      </c>
      <c r="G2627">
        <v>-469.17</v>
      </c>
      <c r="H2627">
        <v>8.0000500000000002E-2</v>
      </c>
      <c r="I2627">
        <v>278.44720000000001</v>
      </c>
      <c r="J2627">
        <v>-435.71949999999998</v>
      </c>
      <c r="K2627">
        <v>1.110298</v>
      </c>
      <c r="L2627">
        <v>284.95519999999999</v>
      </c>
      <c r="M2627">
        <v>-0.99980930000000001</v>
      </c>
      <c r="N2627">
        <v>-1.4606009999999999E-2</v>
      </c>
      <c r="O2627">
        <v>1.2972559999999999E-2</v>
      </c>
      <c r="P2627">
        <v>-0.97656509999999996</v>
      </c>
      <c r="Q2627">
        <v>0.20176340000000001</v>
      </c>
      <c r="R2627">
        <v>-7.4917059999999994E-2</v>
      </c>
      <c r="S2627">
        <v>-3.0465390000000001</v>
      </c>
      <c r="T2627">
        <v>-9.2859629999999999E-2</v>
      </c>
      <c r="U2627">
        <v>-0.58615109999999904</v>
      </c>
      <c r="V2627">
        <v>-8.7539640000000002E-2</v>
      </c>
      <c r="W2627">
        <v>0.21600720000000001</v>
      </c>
      <c r="X2627">
        <v>0.97245959999999998</v>
      </c>
      <c r="Y2627">
        <v>-0.2015217</v>
      </c>
      <c r="Z2627">
        <v>-4.7324439999999997E-3</v>
      </c>
      <c r="AA2627">
        <v>0.97947260000000003</v>
      </c>
      <c r="AB2627">
        <v>34</v>
      </c>
      <c r="AC2627">
        <v>-33.450499999999998</v>
      </c>
      <c r="AD2627">
        <v>-1.0302975000000001</v>
      </c>
      <c r="AE2627">
        <v>-6.5079999999999796</v>
      </c>
      <c r="AF2627">
        <v>-6.93509787000988</v>
      </c>
      <c r="AG2627">
        <v>-1.0302975000000001</v>
      </c>
      <c r="AH2627">
        <v>33.332781361424601</v>
      </c>
      <c r="AI2627">
        <v>91.733321864542702</v>
      </c>
      <c r="AJ2627">
        <v>101.753079984986</v>
      </c>
      <c r="AK2627">
        <v>34.062169759040003</v>
      </c>
      <c r="AL2627">
        <v>77.525375612353301</v>
      </c>
      <c r="AM2627">
        <v>95.143832697125205</v>
      </c>
      <c r="AN2627">
        <v>0.99999998632766396</v>
      </c>
    </row>
    <row r="2628" spans="1:40" x14ac:dyDescent="0.25">
      <c r="A2628" t="str">
        <f>"20190304155644970"</f>
        <v>20190304155644970</v>
      </c>
      <c r="B2628" t="str">
        <f>"1551686204967080"</f>
        <v>1551686204967080</v>
      </c>
      <c r="C2628" t="s">
        <v>40</v>
      </c>
      <c r="D2628">
        <v>4.5001069999999999</v>
      </c>
      <c r="E2628">
        <v>0.45392399999999999</v>
      </c>
      <c r="F2628" t="s">
        <v>55</v>
      </c>
      <c r="G2628">
        <v>-469.28859999999997</v>
      </c>
      <c r="H2628">
        <v>8.0000470000000004E-2</v>
      </c>
      <c r="I2628">
        <v>278.46100000000001</v>
      </c>
      <c r="J2628">
        <v>-436.06169999999997</v>
      </c>
      <c r="K2628">
        <v>1.110303</v>
      </c>
      <c r="L2628">
        <v>284.9597</v>
      </c>
      <c r="M2628">
        <v>-0.99980849999999999</v>
      </c>
      <c r="N2628">
        <v>-1.4602250000000001E-2</v>
      </c>
      <c r="O2628">
        <v>1.303468E-2</v>
      </c>
      <c r="P2628">
        <v>-0.97651109999999997</v>
      </c>
      <c r="Q2628">
        <v>0.20190900000000001</v>
      </c>
      <c r="R2628">
        <v>-7.5225159999999999E-2</v>
      </c>
      <c r="S2628">
        <v>-3.0461119999999999</v>
      </c>
      <c r="T2628">
        <v>-9.3490840000000006E-2</v>
      </c>
      <c r="U2628">
        <v>-0.5892944</v>
      </c>
      <c r="V2628">
        <v>-8.7908739999999999E-2</v>
      </c>
      <c r="W2628">
        <v>0.21614729999999999</v>
      </c>
      <c r="X2628">
        <v>0.97239520000000002</v>
      </c>
      <c r="Y2628">
        <v>-0.20258010000000001</v>
      </c>
      <c r="Z2628">
        <v>-4.7806380000000002E-3</v>
      </c>
      <c r="AA2628">
        <v>0.97925399999999996</v>
      </c>
      <c r="AB2628">
        <v>34</v>
      </c>
      <c r="AC2628">
        <v>-33.226900000000001</v>
      </c>
      <c r="AD2628">
        <v>-1.0303025299999999</v>
      </c>
      <c r="AE2628">
        <v>-6.4986999999999799</v>
      </c>
      <c r="AF2628">
        <v>-6.9248829751254899</v>
      </c>
      <c r="AG2628">
        <v>-1.0303025299999999</v>
      </c>
      <c r="AH2628">
        <v>33.108697950675598</v>
      </c>
      <c r="AI2628">
        <v>91.744671145489306</v>
      </c>
      <c r="AJ2628">
        <v>101.81345637029401</v>
      </c>
      <c r="AK2628">
        <v>33.840824569025798</v>
      </c>
      <c r="AL2628">
        <v>77.517154598084701</v>
      </c>
      <c r="AM2628">
        <v>95.165744191124404</v>
      </c>
      <c r="AN2628">
        <v>1.0000000134243501</v>
      </c>
    </row>
    <row r="2629" spans="1:40" x14ac:dyDescent="0.25">
      <c r="A2629" t="str">
        <f>"20190304155644991"</f>
        <v>20190304155644991</v>
      </c>
      <c r="B2629" t="str">
        <f>"1551686204987575"</f>
        <v>1551686204987575</v>
      </c>
      <c r="C2629" t="s">
        <v>40</v>
      </c>
      <c r="D2629">
        <v>4.5066899999999999</v>
      </c>
      <c r="E2629">
        <v>0.45380359999999997</v>
      </c>
      <c r="F2629" t="s">
        <v>55</v>
      </c>
      <c r="G2629">
        <v>-469.53879999999998</v>
      </c>
      <c r="H2629">
        <v>8.0000390000000005E-2</v>
      </c>
      <c r="I2629">
        <v>278.45890000000003</v>
      </c>
      <c r="J2629">
        <v>-436.3931</v>
      </c>
      <c r="K2629">
        <v>1.1103080000000001</v>
      </c>
      <c r="L2629">
        <v>284.96409999999997</v>
      </c>
      <c r="M2629">
        <v>-0.99980769999999997</v>
      </c>
      <c r="N2629">
        <v>-1.459859E-2</v>
      </c>
      <c r="O2629">
        <v>1.3094349999999999E-2</v>
      </c>
      <c r="P2629">
        <v>-0.97646560000000004</v>
      </c>
      <c r="Q2629">
        <v>0.2020574</v>
      </c>
      <c r="R2629">
        <v>-7.5416570000000002E-2</v>
      </c>
      <c r="S2629">
        <v>-3.0459900000000002</v>
      </c>
      <c r="T2629">
        <v>-9.3744519999999998E-2</v>
      </c>
      <c r="U2629">
        <v>-0.59149169999999995</v>
      </c>
      <c r="V2629">
        <v>-8.8158089999999995E-2</v>
      </c>
      <c r="W2629">
        <v>0.2162916</v>
      </c>
      <c r="X2629">
        <v>0.97234050000000005</v>
      </c>
      <c r="Y2629">
        <v>-0.20332549999999999</v>
      </c>
      <c r="Z2629">
        <v>-4.8075669999999996E-3</v>
      </c>
      <c r="AA2629">
        <v>0.97909939999999995</v>
      </c>
      <c r="AB2629">
        <v>34</v>
      </c>
      <c r="AC2629">
        <v>-33.145699999999898</v>
      </c>
      <c r="AD2629">
        <v>-1.0303076099999999</v>
      </c>
      <c r="AE2629">
        <v>-6.5051999999999399</v>
      </c>
      <c r="AF2629">
        <v>-6.9322601001889197</v>
      </c>
      <c r="AG2629">
        <v>-1.0303076099999999</v>
      </c>
      <c r="AH2629">
        <v>33.026939263917001</v>
      </c>
      <c r="AI2629">
        <v>91.7487360498058</v>
      </c>
      <c r="AJ2629">
        <v>101.854134493199</v>
      </c>
      <c r="AK2629">
        <v>33.762353013532</v>
      </c>
      <c r="AL2629">
        <v>77.508686033972396</v>
      </c>
      <c r="AM2629">
        <v>95.1806068683197</v>
      </c>
      <c r="AN2629">
        <v>0.99999997650162897</v>
      </c>
    </row>
    <row r="2630" spans="1:40" x14ac:dyDescent="0.25">
      <c r="A2630" t="str">
        <f>"20190304155645014"</f>
        <v>20190304155645014</v>
      </c>
      <c r="B2630" t="str">
        <f>"1551686205007099"</f>
        <v>1551686205007099</v>
      </c>
      <c r="C2630" t="s">
        <v>40</v>
      </c>
      <c r="D2630">
        <v>4.4984799999999998</v>
      </c>
      <c r="E2630">
        <v>0.45367669999999999</v>
      </c>
      <c r="F2630" t="s">
        <v>55</v>
      </c>
      <c r="G2630">
        <v>-469.95769999999999</v>
      </c>
      <c r="H2630">
        <v>8.0000269999999998E-2</v>
      </c>
      <c r="I2630">
        <v>278.42860000000002</v>
      </c>
      <c r="J2630">
        <v>-436.7364</v>
      </c>
      <c r="K2630">
        <v>1.1103080000000001</v>
      </c>
      <c r="L2630">
        <v>284.96870000000001</v>
      </c>
      <c r="M2630">
        <v>-0.999807</v>
      </c>
      <c r="N2630">
        <v>-1.459476E-2</v>
      </c>
      <c r="O2630">
        <v>1.3155470000000001E-2</v>
      </c>
      <c r="P2630">
        <v>-0.9763387</v>
      </c>
      <c r="Q2630">
        <v>0.20247950000000001</v>
      </c>
      <c r="R2630">
        <v>-7.5926259999999995E-2</v>
      </c>
      <c r="S2630">
        <v>-3.045868</v>
      </c>
      <c r="T2630">
        <v>-9.3496800000000005E-2</v>
      </c>
      <c r="U2630">
        <v>-0.59307860000000001</v>
      </c>
      <c r="V2630">
        <v>-8.8725540000000006E-2</v>
      </c>
      <c r="W2630">
        <v>0.21670780000000001</v>
      </c>
      <c r="X2630">
        <v>0.97219619999999995</v>
      </c>
      <c r="Y2630">
        <v>-0.20388439999999999</v>
      </c>
      <c r="Z2630">
        <v>-4.8116219999999998E-3</v>
      </c>
      <c r="AA2630">
        <v>0.97898320000000005</v>
      </c>
      <c r="AB2630">
        <v>34</v>
      </c>
      <c r="AC2630">
        <v>-33.2212999999999</v>
      </c>
      <c r="AD2630">
        <v>-1.0303077300000001</v>
      </c>
      <c r="AE2630">
        <v>-6.54009999999999</v>
      </c>
      <c r="AF2630">
        <v>-6.9701682414173796</v>
      </c>
      <c r="AG2630">
        <v>-1.0303077300000001</v>
      </c>
      <c r="AH2630">
        <v>33.101726744889497</v>
      </c>
      <c r="AI2630">
        <v>91.744552196444801</v>
      </c>
      <c r="AJ2630">
        <v>101.89095135971</v>
      </c>
      <c r="AK2630">
        <v>33.843302037855203</v>
      </c>
      <c r="AL2630">
        <v>77.484260153327895</v>
      </c>
      <c r="AM2630">
        <v>95.214539448187395</v>
      </c>
      <c r="AN2630">
        <v>0.999999971661785</v>
      </c>
    </row>
    <row r="2631" spans="1:40" x14ac:dyDescent="0.25">
      <c r="A2631" t="str">
        <f>"20190304155645036"</f>
        <v>20190304155645036</v>
      </c>
      <c r="B2631" t="str">
        <f>"1551686205027591"</f>
        <v>1551686205027591</v>
      </c>
      <c r="C2631" t="s">
        <v>40</v>
      </c>
      <c r="D2631">
        <v>4.5082529999999998</v>
      </c>
      <c r="E2631">
        <v>0.45355079999999998</v>
      </c>
      <c r="F2631" t="s">
        <v>53</v>
      </c>
      <c r="G2631">
        <v>-470.69139999999999</v>
      </c>
      <c r="H2631">
        <v>8.0000650000000006E-2</v>
      </c>
      <c r="I2631">
        <v>278.32780000000002</v>
      </c>
      <c r="J2631">
        <v>-437.07100000000003</v>
      </c>
      <c r="K2631">
        <v>1.1103069999999999</v>
      </c>
      <c r="L2631">
        <v>284.97309999999999</v>
      </c>
      <c r="M2631">
        <v>-0.99980630000000004</v>
      </c>
      <c r="N2631">
        <v>-1.459105E-2</v>
      </c>
      <c r="O2631">
        <v>1.321544E-2</v>
      </c>
      <c r="P2631">
        <v>-0.976302</v>
      </c>
      <c r="Q2631">
        <v>0.20241980000000001</v>
      </c>
      <c r="R2631">
        <v>-7.6557620000000007E-2</v>
      </c>
      <c r="S2631">
        <v>-3.0455320000000001</v>
      </c>
      <c r="T2631">
        <v>-9.2411519999999997E-2</v>
      </c>
      <c r="U2631">
        <v>-0.59564209999999995</v>
      </c>
      <c r="V2631">
        <v>-8.9415229999999998E-2</v>
      </c>
      <c r="W2631">
        <v>0.216644</v>
      </c>
      <c r="X2631">
        <v>0.97214730000000005</v>
      </c>
      <c r="Y2631">
        <v>-0.2047592</v>
      </c>
      <c r="Z2631">
        <v>-4.7914350000000001E-3</v>
      </c>
      <c r="AA2631">
        <v>0.97880069999999997</v>
      </c>
      <c r="AB2631">
        <v>34</v>
      </c>
      <c r="AC2631">
        <v>-33.620399999999997</v>
      </c>
      <c r="AD2631">
        <v>-1.03030635</v>
      </c>
      <c r="AE2631">
        <v>-6.6452999999999598</v>
      </c>
      <c r="AF2631">
        <v>-7.0826737225732304</v>
      </c>
      <c r="AG2631">
        <v>-1.03030635</v>
      </c>
      <c r="AH2631">
        <v>33.499356018901103</v>
      </c>
      <c r="AI2631">
        <v>91.723556109095398</v>
      </c>
      <c r="AJ2631">
        <v>101.938073114829</v>
      </c>
      <c r="AK2631">
        <v>34.2554032514049</v>
      </c>
      <c r="AL2631">
        <v>77.488005440727704</v>
      </c>
      <c r="AM2631">
        <v>95.255110404480206</v>
      </c>
      <c r="AN2631">
        <v>1.00000003949462</v>
      </c>
    </row>
    <row r="2632" spans="1:40" x14ac:dyDescent="0.25">
      <c r="A2632" t="str">
        <f>"20190304155645058"</f>
        <v>20190304155645058</v>
      </c>
      <c r="B2632" t="str">
        <f>"1551686205047111"</f>
        <v>1551686205047111</v>
      </c>
      <c r="C2632" t="s">
        <v>40</v>
      </c>
      <c r="D2632">
        <v>4.5105089999999999</v>
      </c>
      <c r="E2632">
        <v>0.45344790000000001</v>
      </c>
      <c r="F2632" t="s">
        <v>53</v>
      </c>
      <c r="G2632">
        <v>-470.89089999999999</v>
      </c>
      <c r="H2632">
        <v>8.0000619999999995E-2</v>
      </c>
      <c r="I2632">
        <v>278.32619999999997</v>
      </c>
      <c r="J2632">
        <v>-437.41219999999998</v>
      </c>
      <c r="K2632">
        <v>1.110311</v>
      </c>
      <c r="L2632">
        <v>284.97770000000003</v>
      </c>
      <c r="M2632">
        <v>-0.99980559999999996</v>
      </c>
      <c r="N2632">
        <v>-1.4587279999999999E-2</v>
      </c>
      <c r="O2632">
        <v>1.3276080000000001E-2</v>
      </c>
      <c r="P2632">
        <v>-0.97621270000000004</v>
      </c>
      <c r="Q2632">
        <v>0.2025112</v>
      </c>
      <c r="R2632">
        <v>-7.744972E-2</v>
      </c>
      <c r="S2632">
        <v>-3.045105</v>
      </c>
      <c r="T2632">
        <v>-9.2767719999999998E-2</v>
      </c>
      <c r="U2632">
        <v>-0.59848020000000002</v>
      </c>
      <c r="V2632">
        <v>-9.0365570000000006E-2</v>
      </c>
      <c r="W2632">
        <v>0.2167297</v>
      </c>
      <c r="X2632">
        <v>0.97204029999999997</v>
      </c>
      <c r="Y2632">
        <v>-0.2057213</v>
      </c>
      <c r="Z2632">
        <v>-4.8273609999999996E-3</v>
      </c>
      <c r="AA2632">
        <v>0.97859870000000004</v>
      </c>
      <c r="AB2632">
        <v>34</v>
      </c>
      <c r="AC2632">
        <v>-33.478700000000003</v>
      </c>
      <c r="AD2632">
        <v>-1.03031038</v>
      </c>
      <c r="AE2632">
        <v>-6.6515000000000502</v>
      </c>
      <c r="AF2632">
        <v>-7.0889677543844902</v>
      </c>
      <c r="AG2632">
        <v>-1.03031038</v>
      </c>
      <c r="AH2632">
        <v>33.357040655236403</v>
      </c>
      <c r="AI2632">
        <v>91.7305291275526</v>
      </c>
      <c r="AJ2632">
        <v>101.997879805651</v>
      </c>
      <c r="AK2632">
        <v>34.117549217036803</v>
      </c>
      <c r="AL2632">
        <v>77.482975468645506</v>
      </c>
      <c r="AM2632">
        <v>95.311227330229599</v>
      </c>
      <c r="AN2632">
        <v>1.0000000219637999</v>
      </c>
    </row>
    <row r="2633" spans="1:40" x14ac:dyDescent="0.25">
      <c r="A2633" t="str">
        <f>"20190304155645080"</f>
        <v>20190304155645080</v>
      </c>
      <c r="B2633" t="str">
        <f>"1551686205077367"</f>
        <v>1551686205077367</v>
      </c>
      <c r="C2633" t="s">
        <v>40</v>
      </c>
      <c r="D2633">
        <v>4.5333129999999997</v>
      </c>
      <c r="E2633">
        <v>0.45333099999999998</v>
      </c>
      <c r="F2633" t="s">
        <v>53</v>
      </c>
      <c r="G2633">
        <v>-471.20010000000002</v>
      </c>
      <c r="H2633">
        <v>8.0000580000000002E-2</v>
      </c>
      <c r="I2633">
        <v>278.29950000000002</v>
      </c>
      <c r="J2633">
        <v>-437.74349999999998</v>
      </c>
      <c r="K2633">
        <v>1.1103209999999999</v>
      </c>
      <c r="L2633">
        <v>284.98219999999998</v>
      </c>
      <c r="M2633">
        <v>-0.99980469999999999</v>
      </c>
      <c r="N2633">
        <v>-1.458362E-2</v>
      </c>
      <c r="O2633">
        <v>1.3334199999999999E-2</v>
      </c>
      <c r="P2633">
        <v>-0.97612120000000002</v>
      </c>
      <c r="Q2633">
        <v>0.2027388</v>
      </c>
      <c r="R2633">
        <v>-7.8004100000000007E-2</v>
      </c>
      <c r="S2633">
        <v>-3.0446170000000001</v>
      </c>
      <c r="T2633">
        <v>-9.2840909999999999E-2</v>
      </c>
      <c r="U2633">
        <v>-0.60177609999999904</v>
      </c>
      <c r="V2633">
        <v>-9.0975559999999997E-2</v>
      </c>
      <c r="W2633">
        <v>0.21695220000000001</v>
      </c>
      <c r="X2633">
        <v>0.97193370000000001</v>
      </c>
      <c r="Y2633">
        <v>-0.2068266</v>
      </c>
      <c r="Z2633">
        <v>-4.8559049999999998E-3</v>
      </c>
      <c r="AA2633">
        <v>0.9783655</v>
      </c>
      <c r="AB2633">
        <v>34</v>
      </c>
      <c r="AC2633">
        <v>-33.456600000000002</v>
      </c>
      <c r="AD2633">
        <v>-1.03032041999999</v>
      </c>
      <c r="AE2633">
        <v>-6.6826999999999499</v>
      </c>
      <c r="AF2633">
        <v>-7.1217752168077704</v>
      </c>
      <c r="AG2633">
        <v>-1.03032041999999</v>
      </c>
      <c r="AH2633">
        <v>33.334106574927503</v>
      </c>
      <c r="AI2633">
        <v>91.731337161353096</v>
      </c>
      <c r="AJ2633">
        <v>102.059834764616</v>
      </c>
      <c r="AK2633">
        <v>34.101963338717503</v>
      </c>
      <c r="AL2633">
        <v>77.469915698141804</v>
      </c>
      <c r="AM2633">
        <v>95.347455369538906</v>
      </c>
      <c r="AN2633">
        <v>0.99999996339892105</v>
      </c>
    </row>
    <row r="2634" spans="1:40" x14ac:dyDescent="0.25">
      <c r="A2634" t="str">
        <f>"20190304155645096"</f>
        <v>20190304155645096</v>
      </c>
      <c r="B2634" t="str">
        <f>"1551686205087128"</f>
        <v>1551686205087128</v>
      </c>
      <c r="C2634" t="s">
        <v>40</v>
      </c>
      <c r="D2634">
        <v>4.4904419999999998</v>
      </c>
      <c r="E2634">
        <v>0.45333099999999998</v>
      </c>
      <c r="F2634" t="s">
        <v>53</v>
      </c>
      <c r="G2634">
        <v>-471.71159999999998</v>
      </c>
      <c r="H2634">
        <v>8.0000500000000002E-2</v>
      </c>
      <c r="I2634">
        <v>278.23169999999999</v>
      </c>
      <c r="J2634">
        <v>-437.98219999999998</v>
      </c>
      <c r="K2634">
        <v>1.1103190000000001</v>
      </c>
      <c r="L2634">
        <v>284.98540000000003</v>
      </c>
      <c r="M2634">
        <v>-0.99980429999999998</v>
      </c>
      <c r="N2634">
        <v>-1.458103E-2</v>
      </c>
      <c r="O2634">
        <v>1.337437E-2</v>
      </c>
      <c r="P2634">
        <v>-0.97608539999999999</v>
      </c>
      <c r="Q2634">
        <v>0.20281360000000001</v>
      </c>
      <c r="R2634">
        <v>-7.8256329999999999E-2</v>
      </c>
      <c r="S2634">
        <v>-3.0442200000000001</v>
      </c>
      <c r="T2634">
        <v>-9.2337249999999996E-2</v>
      </c>
      <c r="U2634">
        <v>-0.60498050000000003</v>
      </c>
      <c r="V2634">
        <v>-9.1266949999999999E-2</v>
      </c>
      <c r="W2634">
        <v>0.2170243</v>
      </c>
      <c r="X2634">
        <v>0.97189029999999998</v>
      </c>
      <c r="Y2634">
        <v>-0.2078815</v>
      </c>
      <c r="Z2634">
        <v>-4.8610529999999997E-3</v>
      </c>
      <c r="AA2634">
        <v>0.97814199999999996</v>
      </c>
      <c r="AB2634">
        <v>34</v>
      </c>
      <c r="AC2634">
        <v>-33.729399999999998</v>
      </c>
      <c r="AD2634">
        <v>-1.0303184999999999</v>
      </c>
      <c r="AE2634">
        <v>-6.7537000000000296</v>
      </c>
      <c r="AF2634">
        <v>-7.1977958921520804</v>
      </c>
      <c r="AG2634">
        <v>-1.0303184999999999</v>
      </c>
      <c r="AH2634">
        <v>33.605897749634998</v>
      </c>
      <c r="AI2634">
        <v>91.717152469809804</v>
      </c>
      <c r="AJ2634">
        <v>102.089103979098</v>
      </c>
      <c r="AK2634">
        <v>34.383516188363302</v>
      </c>
      <c r="AL2634">
        <v>77.465684044979895</v>
      </c>
      <c r="AM2634">
        <v>95.3647213838927</v>
      </c>
      <c r="AN2634">
        <v>0.99999997909344096</v>
      </c>
    </row>
    <row r="2635" spans="1:40" x14ac:dyDescent="0.25">
      <c r="A2635" t="str">
        <f>"20190304155645114"</f>
        <v>20190304155645114</v>
      </c>
      <c r="B2635" t="str">
        <f>"1551686205107623"</f>
        <v>1551686205107623</v>
      </c>
      <c r="C2635" t="s">
        <v>40</v>
      </c>
      <c r="D2635">
        <v>4.5464729999999998</v>
      </c>
      <c r="E2635">
        <v>0.47508359999999999</v>
      </c>
      <c r="F2635" t="s">
        <v>53</v>
      </c>
      <c r="G2635">
        <v>-472.05079999999998</v>
      </c>
      <c r="H2635">
        <v>8.0000429999999997E-2</v>
      </c>
      <c r="I2635">
        <v>278.20429999999999</v>
      </c>
      <c r="J2635">
        <v>-438.26100000000002</v>
      </c>
      <c r="K2635">
        <v>1.1103259999999999</v>
      </c>
      <c r="L2635">
        <v>284.98919999999998</v>
      </c>
      <c r="M2635">
        <v>-0.99980369999999996</v>
      </c>
      <c r="N2635">
        <v>-1.457806E-2</v>
      </c>
      <c r="O2635">
        <v>1.341942E-2</v>
      </c>
      <c r="P2635">
        <v>-0.97614769999999895</v>
      </c>
      <c r="Q2635">
        <v>0.2023045</v>
      </c>
      <c r="R2635">
        <v>-7.8796610000000003E-2</v>
      </c>
      <c r="S2635">
        <v>-3.0440369999999999</v>
      </c>
      <c r="T2635">
        <v>-9.2059249999999995E-2</v>
      </c>
      <c r="U2635">
        <v>-0.60589599999999999</v>
      </c>
      <c r="V2635">
        <v>-9.1853219999999999E-2</v>
      </c>
      <c r="W2635">
        <v>0.21651219999999999</v>
      </c>
      <c r="X2635">
        <v>0.97194930000000002</v>
      </c>
      <c r="Y2635">
        <v>-0.2082203</v>
      </c>
      <c r="Z2635">
        <v>-4.8585959999999997E-3</v>
      </c>
      <c r="AA2635">
        <v>0.97806990000000005</v>
      </c>
      <c r="AB2635">
        <v>34</v>
      </c>
      <c r="AC2635">
        <v>-33.7898</v>
      </c>
      <c r="AD2635">
        <v>-1.03032557</v>
      </c>
      <c r="AE2635">
        <v>-6.7848999999999897</v>
      </c>
      <c r="AF2635">
        <v>-7.2313137158467802</v>
      </c>
      <c r="AG2635">
        <v>-1.03032557</v>
      </c>
      <c r="AH2635">
        <v>33.665609386253799</v>
      </c>
      <c r="AI2635">
        <v>91.7139041058511</v>
      </c>
      <c r="AJ2635">
        <v>102.122830583264</v>
      </c>
      <c r="AK2635">
        <v>34.448900188322497</v>
      </c>
      <c r="AL2635">
        <v>77.495740041639905</v>
      </c>
      <c r="AM2635">
        <v>95.398653870908802</v>
      </c>
      <c r="AN2635">
        <v>0.99999999427184905</v>
      </c>
    </row>
    <row r="2636" spans="1:40" x14ac:dyDescent="0.25">
      <c r="A2636" t="str">
        <f>"20190304155645136"</f>
        <v>20190304155645136</v>
      </c>
      <c r="B2636" t="str">
        <f>"1551686205127144"</f>
        <v>1551686205127144</v>
      </c>
      <c r="C2636" t="s">
        <v>40</v>
      </c>
      <c r="D2636">
        <v>4.5148809999999999</v>
      </c>
      <c r="E2636">
        <v>0.48451889999999997</v>
      </c>
      <c r="F2636" t="s">
        <v>53</v>
      </c>
      <c r="G2636">
        <v>-493.64370000000002</v>
      </c>
      <c r="H2636" s="1">
        <v>2.3195259999999999E-6</v>
      </c>
      <c r="I2636">
        <v>277.1028</v>
      </c>
      <c r="J2636">
        <v>-438.59289999999999</v>
      </c>
      <c r="K2636">
        <v>1.1103229999999999</v>
      </c>
      <c r="L2636">
        <v>284.99369999999999</v>
      </c>
      <c r="M2636">
        <v>-0.99980309999999994</v>
      </c>
      <c r="N2636">
        <v>-1.457438E-2</v>
      </c>
      <c r="O2636">
        <v>1.346777E-2</v>
      </c>
      <c r="P2636">
        <v>-0.9760238</v>
      </c>
      <c r="Q2636">
        <v>0.20230380000000001</v>
      </c>
      <c r="R2636">
        <v>-8.0316540000000006E-2</v>
      </c>
      <c r="S2636">
        <v>-3.0509339999999998</v>
      </c>
      <c r="T2636">
        <v>-6.1165810000000001E-2</v>
      </c>
      <c r="U2636">
        <v>-0.43444820000000001</v>
      </c>
      <c r="V2636">
        <v>-9.3420210000000004E-2</v>
      </c>
      <c r="W2636">
        <v>0.21650530000000001</v>
      </c>
      <c r="X2636">
        <v>0.97180149999999998</v>
      </c>
      <c r="Y2636">
        <v>-0.1542451</v>
      </c>
      <c r="Z2636">
        <v>-2.7415849999999999E-3</v>
      </c>
      <c r="AA2636">
        <v>0.98802880000000004</v>
      </c>
      <c r="AB2636">
        <v>34</v>
      </c>
      <c r="AC2636">
        <v>-55.050800000000002</v>
      </c>
      <c r="AD2636">
        <v>-1.110320680474</v>
      </c>
      <c r="AE2636">
        <v>-7.8908999999999798</v>
      </c>
      <c r="AF2636">
        <v>-8.6282352299229004</v>
      </c>
      <c r="AG2636">
        <v>-1.110320680474</v>
      </c>
      <c r="AH2636">
        <v>54.917631864937199</v>
      </c>
      <c r="AI2636">
        <v>91.144211965714604</v>
      </c>
      <c r="AJ2636">
        <v>98.928881262151606</v>
      </c>
      <c r="AK2636">
        <v>55.602387941968303</v>
      </c>
      <c r="AL2636">
        <v>77.496145288847799</v>
      </c>
      <c r="AM2636">
        <v>95.4910252210409</v>
      </c>
      <c r="AN2636">
        <v>1.0000000179833901</v>
      </c>
    </row>
    <row r="2637" spans="1:40" x14ac:dyDescent="0.25">
      <c r="A2637" t="str">
        <f>"20190304155645160"</f>
        <v>20190304155645160</v>
      </c>
      <c r="B2637" t="str">
        <f>"1551686205147639"</f>
        <v>1551686205147639</v>
      </c>
      <c r="C2637" t="s">
        <v>40</v>
      </c>
      <c r="D2637">
        <v>4.509703</v>
      </c>
      <c r="E2637">
        <v>0.48886590000000002</v>
      </c>
      <c r="F2637" t="s">
        <v>53</v>
      </c>
      <c r="G2637">
        <v>-498.22680000000003</v>
      </c>
      <c r="H2637" s="1">
        <v>1.7647879999999999E-6</v>
      </c>
      <c r="I2637">
        <v>277.89359999999999</v>
      </c>
      <c r="J2637">
        <v>-438.9375</v>
      </c>
      <c r="K2637">
        <v>1.11032999999999</v>
      </c>
      <c r="L2637">
        <v>284.9984</v>
      </c>
      <c r="M2637">
        <v>-0.99980270000000004</v>
      </c>
      <c r="N2637">
        <v>-1.4570359999999999E-2</v>
      </c>
      <c r="O2637">
        <v>1.351109E-2</v>
      </c>
      <c r="P2637">
        <v>-0.97598799999999997</v>
      </c>
      <c r="Q2637">
        <v>0.20214579999999999</v>
      </c>
      <c r="R2637">
        <v>-8.1149150000000003E-2</v>
      </c>
      <c r="S2637">
        <v>-3.0555729999999999</v>
      </c>
      <c r="T2637">
        <v>-5.6891560000000001E-2</v>
      </c>
      <c r="U2637">
        <v>-0.36380000000000001</v>
      </c>
      <c r="V2637">
        <v>-9.4297640000000002E-2</v>
      </c>
      <c r="W2637">
        <v>0.21634139999999999</v>
      </c>
      <c r="X2637">
        <v>0.97175319999999998</v>
      </c>
      <c r="Y2637">
        <v>-0.13159270000000001</v>
      </c>
      <c r="Z2637">
        <v>-2.2374510000000001E-3</v>
      </c>
      <c r="AA2637">
        <v>0.9913014</v>
      </c>
      <c r="AB2637">
        <v>34</v>
      </c>
      <c r="AC2637">
        <v>-59.289299999999997</v>
      </c>
      <c r="AD2637">
        <v>-1.1103282352120001</v>
      </c>
      <c r="AE2637">
        <v>-7.1048000000000098</v>
      </c>
      <c r="AF2637">
        <v>-7.9025670564311703</v>
      </c>
      <c r="AG2637">
        <v>-1.1103282352120001</v>
      </c>
      <c r="AH2637">
        <v>59.167426275097</v>
      </c>
      <c r="AI2637">
        <v>91.065618399531701</v>
      </c>
      <c r="AJ2637">
        <v>97.607560738968203</v>
      </c>
      <c r="AK2637">
        <v>59.703163457980502</v>
      </c>
      <c r="AL2637">
        <v>77.505763349408198</v>
      </c>
      <c r="AM2637">
        <v>95.542552667888899</v>
      </c>
      <c r="AN2637">
        <v>0.99999996398688396</v>
      </c>
    </row>
    <row r="2638" spans="1:40" x14ac:dyDescent="0.25">
      <c r="A2638" t="str">
        <f>"20190304155645181"</f>
        <v>20190304155645181</v>
      </c>
      <c r="B2638" t="str">
        <f>"1551686205176920"</f>
        <v>1551686205176920</v>
      </c>
      <c r="C2638" t="s">
        <v>40</v>
      </c>
      <c r="D2638">
        <v>4.5356180000000004</v>
      </c>
      <c r="E2638">
        <v>0.49227559999999898</v>
      </c>
      <c r="F2638" t="s">
        <v>53</v>
      </c>
      <c r="G2638">
        <v>-499.95780000000002</v>
      </c>
      <c r="H2638">
        <v>5.0026679999999997E-2</v>
      </c>
      <c r="I2638">
        <v>278.3784</v>
      </c>
      <c r="J2638">
        <v>-439.27659999999997</v>
      </c>
      <c r="K2638">
        <v>1.1103419999999999</v>
      </c>
      <c r="L2638">
        <v>285.00299999999999</v>
      </c>
      <c r="M2638">
        <v>-0.99980219999999997</v>
      </c>
      <c r="N2638">
        <v>-1.4566330000000001E-2</v>
      </c>
      <c r="O2638">
        <v>1.354412E-2</v>
      </c>
      <c r="P2638">
        <v>-0.97585770000000005</v>
      </c>
      <c r="Q2638">
        <v>0.20252110000000001</v>
      </c>
      <c r="R2638">
        <v>-8.1774879999999994E-2</v>
      </c>
      <c r="S2638">
        <v>-3.0571899999999999</v>
      </c>
      <c r="T2638">
        <v>-5.3122519999999999E-2</v>
      </c>
      <c r="U2638">
        <v>-0.33166499999999999</v>
      </c>
      <c r="V2638">
        <v>-9.4958329999999994E-2</v>
      </c>
      <c r="W2638">
        <v>0.21670919999999999</v>
      </c>
      <c r="X2638">
        <v>0.971607</v>
      </c>
      <c r="Y2638">
        <v>-0.1212772</v>
      </c>
      <c r="Z2638">
        <v>-1.9745359999999998E-3</v>
      </c>
      <c r="AA2638">
        <v>0.99261670000000002</v>
      </c>
      <c r="AB2638">
        <v>34</v>
      </c>
      <c r="AC2638">
        <v>-60.681199999999997</v>
      </c>
      <c r="AD2638">
        <v>-1.06031532</v>
      </c>
      <c r="AE2638">
        <v>-6.6245999999999796</v>
      </c>
      <c r="AF2638">
        <v>-7.4437068811538003</v>
      </c>
      <c r="AG2638">
        <v>-1.06031532</v>
      </c>
      <c r="AH2638">
        <v>60.567623913887999</v>
      </c>
      <c r="AI2638">
        <v>90.995446953184796</v>
      </c>
      <c r="AJ2638">
        <v>97.0064654333937</v>
      </c>
      <c r="AK2638">
        <v>61.032533187510303</v>
      </c>
      <c r="AL2638">
        <v>77.4841791372356</v>
      </c>
      <c r="AM2638">
        <v>95.581976350627002</v>
      </c>
      <c r="AN2638">
        <v>1.00000006212501</v>
      </c>
    </row>
    <row r="2639" spans="1:40" x14ac:dyDescent="0.25">
      <c r="A2639" t="str">
        <f>"20190304155645203"</f>
        <v>20190304155645203</v>
      </c>
      <c r="B2639" t="str">
        <f>"1551686205197420"</f>
        <v>1551686205197420</v>
      </c>
      <c r="C2639" t="s">
        <v>40</v>
      </c>
      <c r="D2639">
        <v>4.5506070000000003</v>
      </c>
      <c r="E2639">
        <v>0.49363059999999997</v>
      </c>
      <c r="F2639" t="s">
        <v>53</v>
      </c>
      <c r="G2639">
        <v>-503.49400000000003</v>
      </c>
      <c r="H2639">
        <v>8.0000080000000001E-2</v>
      </c>
      <c r="I2639">
        <v>278.56049999999999</v>
      </c>
      <c r="J2639">
        <v>-439.60300000000001</v>
      </c>
      <c r="K2639">
        <v>1.1103449999999999</v>
      </c>
      <c r="L2639">
        <v>285.00740000000002</v>
      </c>
      <c r="M2639">
        <v>-0.99980210000000003</v>
      </c>
      <c r="N2639">
        <v>-1.456287E-2</v>
      </c>
      <c r="O2639">
        <v>1.356539E-2</v>
      </c>
      <c r="P2639">
        <v>-0.97584789999999999</v>
      </c>
      <c r="Q2639">
        <v>0.20231879999999999</v>
      </c>
      <c r="R2639">
        <v>-8.2390930000000001E-2</v>
      </c>
      <c r="S2639">
        <v>-3.0586850000000001</v>
      </c>
      <c r="T2639">
        <v>-4.9075250000000001E-2</v>
      </c>
      <c r="U2639">
        <v>-0.30685420000000002</v>
      </c>
      <c r="V2639">
        <v>-9.5599390000000006E-2</v>
      </c>
      <c r="W2639">
        <v>0.2165011</v>
      </c>
      <c r="X2639">
        <v>0.97159050000000002</v>
      </c>
      <c r="Y2639">
        <v>-0.11328339999999899</v>
      </c>
      <c r="Z2639">
        <v>-1.75362E-3</v>
      </c>
      <c r="AA2639">
        <v>0.99356109999999997</v>
      </c>
      <c r="AB2639">
        <v>34</v>
      </c>
      <c r="AC2639">
        <v>-63.890999999999998</v>
      </c>
      <c r="AD2639">
        <v>-1.0303449200000001</v>
      </c>
      <c r="AE2639">
        <v>-6.4469000000000198</v>
      </c>
      <c r="AF2639">
        <v>-7.3112225281460601</v>
      </c>
      <c r="AG2639">
        <v>-1.0303449200000001</v>
      </c>
      <c r="AH2639">
        <v>63.781235673879202</v>
      </c>
      <c r="AI2639">
        <v>90.919475857200496</v>
      </c>
      <c r="AJ2639">
        <v>96.539254595708201</v>
      </c>
      <c r="AK2639">
        <v>64.207177243647394</v>
      </c>
      <c r="AL2639">
        <v>77.4963919894995</v>
      </c>
      <c r="AM2639">
        <v>95.619514484671498</v>
      </c>
      <c r="AN2639">
        <v>1.0000000346799101</v>
      </c>
    </row>
    <row r="2640" spans="1:40" x14ac:dyDescent="0.25">
      <c r="A2640" t="str">
        <f>"20190304155645225"</f>
        <v>20190304155645225</v>
      </c>
      <c r="B2640" t="str">
        <f>"1551686205216936"</f>
        <v>1551686205216936</v>
      </c>
      <c r="C2640" t="s">
        <v>40</v>
      </c>
      <c r="D2640">
        <v>4.5764129999999996</v>
      </c>
      <c r="E2640">
        <v>0.49463649999999998</v>
      </c>
      <c r="F2640" t="s">
        <v>66</v>
      </c>
      <c r="G2640">
        <v>-511.95859999999999</v>
      </c>
      <c r="H2640">
        <v>-2.845263E-2</v>
      </c>
      <c r="I2640">
        <v>277.94639999999998</v>
      </c>
      <c r="J2640">
        <v>-439.93689999999998</v>
      </c>
      <c r="K2640">
        <v>1.1103559999999999</v>
      </c>
      <c r="L2640">
        <v>285.012</v>
      </c>
      <c r="M2640">
        <v>-0.99980190000000002</v>
      </c>
      <c r="N2640">
        <v>-1.4559570000000001E-2</v>
      </c>
      <c r="O2640">
        <v>1.3578679999999999E-2</v>
      </c>
      <c r="P2640">
        <v>-0.97586039999999996</v>
      </c>
      <c r="Q2640">
        <v>0.20209050000000001</v>
      </c>
      <c r="R2640">
        <v>-8.2801330000000006E-2</v>
      </c>
      <c r="S2640">
        <v>-3.059021</v>
      </c>
      <c r="T2640">
        <v>-4.8142079999999997E-2</v>
      </c>
      <c r="U2640">
        <v>-0.29852289999999998</v>
      </c>
      <c r="V2640">
        <v>-9.6026990000000007E-2</v>
      </c>
      <c r="W2640">
        <v>0.21626790000000001</v>
      </c>
      <c r="X2640">
        <v>0.97160020000000002</v>
      </c>
      <c r="Y2640">
        <v>-0.1106071</v>
      </c>
      <c r="Z2640">
        <v>-1.691475E-3</v>
      </c>
      <c r="AA2640">
        <v>0.99386269999999999</v>
      </c>
      <c r="AB2640">
        <v>34</v>
      </c>
      <c r="AC2640">
        <v>-72.021699999999996</v>
      </c>
      <c r="AD2640">
        <v>-1.13880863</v>
      </c>
      <c r="AE2640">
        <v>-7.0656000000000097</v>
      </c>
      <c r="AF2640">
        <v>-8.0410203909491091</v>
      </c>
      <c r="AG2640">
        <v>-1.13880863</v>
      </c>
      <c r="AH2640">
        <v>71.901301506173695</v>
      </c>
      <c r="AI2640">
        <v>90.901782445349298</v>
      </c>
      <c r="AJ2640">
        <v>96.381109929826806</v>
      </c>
      <c r="AK2640">
        <v>72.358496752662802</v>
      </c>
      <c r="AL2640">
        <v>77.510076755127002</v>
      </c>
      <c r="AM2640">
        <v>95.644431685802104</v>
      </c>
      <c r="AN2640">
        <v>0.99999996800945401</v>
      </c>
    </row>
    <row r="2641" spans="1:40" x14ac:dyDescent="0.25">
      <c r="A2641" t="str">
        <f>"20190304155645249"</f>
        <v>20190304155645249</v>
      </c>
      <c r="B2641" t="str">
        <f>"1551686205237432"</f>
        <v>1551686205237432</v>
      </c>
      <c r="C2641" t="s">
        <v>40</v>
      </c>
      <c r="D2641">
        <v>4.5908629999999997</v>
      </c>
      <c r="E2641">
        <v>0.49542009999999997</v>
      </c>
      <c r="F2641" t="s">
        <v>66</v>
      </c>
      <c r="G2641">
        <v>-511.95859999999999</v>
      </c>
      <c r="H2641">
        <v>-1.194102E-2</v>
      </c>
      <c r="I2641">
        <v>278.14879999999999</v>
      </c>
      <c r="J2641">
        <v>-440.28370000000001</v>
      </c>
      <c r="K2641">
        <v>1.1103639999999999</v>
      </c>
      <c r="L2641">
        <v>285.01670000000001</v>
      </c>
      <c r="M2641">
        <v>-0.99980179999999996</v>
      </c>
      <c r="N2641">
        <v>-1.455618E-2</v>
      </c>
      <c r="O2641">
        <v>1.358562E-2</v>
      </c>
      <c r="P2641">
        <v>-0.97565749999999996</v>
      </c>
      <c r="Q2641">
        <v>0.20273910000000001</v>
      </c>
      <c r="R2641">
        <v>-8.3603570000000002E-2</v>
      </c>
      <c r="S2641">
        <v>-3.0593569999999999</v>
      </c>
      <c r="T2641">
        <v>-4.7669650000000001E-2</v>
      </c>
      <c r="U2641">
        <v>-0.29153440000000003</v>
      </c>
      <c r="V2641">
        <v>-9.6837049999999994E-2</v>
      </c>
      <c r="W2641">
        <v>0.21690889999999999</v>
      </c>
      <c r="X2641">
        <v>0.97137689999999999</v>
      </c>
      <c r="Y2641">
        <v>-0.1083547</v>
      </c>
      <c r="Z2641">
        <v>-1.6466759999999999E-3</v>
      </c>
      <c r="AA2641">
        <v>0.99411090000000002</v>
      </c>
      <c r="AB2641">
        <v>34</v>
      </c>
      <c r="AC2641">
        <v>-71.674899999999894</v>
      </c>
      <c r="AD2641">
        <v>-1.12230502</v>
      </c>
      <c r="AE2641">
        <v>-6.8679000000000103</v>
      </c>
      <c r="AF2641">
        <v>-7.8392125796902103</v>
      </c>
      <c r="AG2641">
        <v>-1.12230502</v>
      </c>
      <c r="AH2641">
        <v>71.557584274323204</v>
      </c>
      <c r="AI2641">
        <v>90.893206997531195</v>
      </c>
      <c r="AJ2641">
        <v>96.251885070986603</v>
      </c>
      <c r="AK2641">
        <v>71.994449019381804</v>
      </c>
      <c r="AL2641">
        <v>77.472457380315504</v>
      </c>
      <c r="AM2641">
        <v>95.693035198136997</v>
      </c>
      <c r="AN2641">
        <v>0.99999998350276098</v>
      </c>
    </row>
    <row r="2642" spans="1:40" x14ac:dyDescent="0.25">
      <c r="A2642" t="str">
        <f>"20190304155645271"</f>
        <v>20190304155645271</v>
      </c>
      <c r="B2642" t="str">
        <f>"1551686205267688"</f>
        <v>1551686205267688</v>
      </c>
      <c r="C2642" t="s">
        <v>40</v>
      </c>
      <c r="D2642">
        <v>4.6157190000000003</v>
      </c>
      <c r="E2642">
        <v>0.49627209999999999</v>
      </c>
      <c r="F2642" t="s">
        <v>66</v>
      </c>
      <c r="G2642">
        <v>-511.95859999999999</v>
      </c>
      <c r="H2642">
        <v>6.6007319999999994E-2</v>
      </c>
      <c r="I2642">
        <v>278.27690000000001</v>
      </c>
      <c r="J2642">
        <v>-440.6105</v>
      </c>
      <c r="K2642">
        <v>1.110374</v>
      </c>
      <c r="L2642">
        <v>285.02109999999999</v>
      </c>
      <c r="M2642">
        <v>-0.99980179999999996</v>
      </c>
      <c r="N2642">
        <v>-1.455292E-2</v>
      </c>
      <c r="O2642">
        <v>1.3587419999999999E-2</v>
      </c>
      <c r="P2642">
        <v>-0.97542759999999995</v>
      </c>
      <c r="Q2642">
        <v>0.2035534</v>
      </c>
      <c r="R2642">
        <v>-8.4304560000000001E-2</v>
      </c>
      <c r="S2642">
        <v>-3.0594790000000001</v>
      </c>
      <c r="T2642">
        <v>-4.4575330000000003E-2</v>
      </c>
      <c r="U2642">
        <v>-0.28768919999999998</v>
      </c>
      <c r="V2642">
        <v>-9.7537960000000007E-2</v>
      </c>
      <c r="W2642">
        <v>0.21771499999999999</v>
      </c>
      <c r="X2642">
        <v>0.97112639999999995</v>
      </c>
      <c r="Y2642">
        <v>-0.107117</v>
      </c>
      <c r="Z2642">
        <v>-1.56009799999999E-3</v>
      </c>
      <c r="AA2642">
        <v>0.99424520000000005</v>
      </c>
      <c r="AB2642">
        <v>34</v>
      </c>
      <c r="AC2642">
        <v>-71.348099999999903</v>
      </c>
      <c r="AD2642">
        <v>-1.04436668</v>
      </c>
      <c r="AE2642">
        <v>-6.74419999999997</v>
      </c>
      <c r="AF2642">
        <v>-7.7114789123457204</v>
      </c>
      <c r="AG2642">
        <v>-1.04436668</v>
      </c>
      <c r="AH2642">
        <v>71.234738655980607</v>
      </c>
      <c r="AI2642">
        <v>90.835070404211507</v>
      </c>
      <c r="AJ2642">
        <v>96.1784640336558</v>
      </c>
      <c r="AK2642">
        <v>71.658534733580098</v>
      </c>
      <c r="AL2642">
        <v>77.425140433567094</v>
      </c>
      <c r="AM2642">
        <v>95.735437190335603</v>
      </c>
      <c r="AN2642">
        <v>0.99999997982146005</v>
      </c>
    </row>
    <row r="2643" spans="1:40" x14ac:dyDescent="0.25">
      <c r="A2643" t="str">
        <f>"20190304155645293"</f>
        <v>20190304155645293</v>
      </c>
      <c r="B2643" t="str">
        <f>"1551686205287211"</f>
        <v>1551686205287211</v>
      </c>
      <c r="C2643" t="s">
        <v>40</v>
      </c>
      <c r="D2643">
        <v>4.6347550000000002</v>
      </c>
      <c r="E2643">
        <v>0.49677909999999997</v>
      </c>
      <c r="F2643" t="s">
        <v>66</v>
      </c>
      <c r="G2643">
        <v>-511.95870000000002</v>
      </c>
      <c r="H2643">
        <v>0.14754500000000001</v>
      </c>
      <c r="I2643">
        <v>278.41730000000001</v>
      </c>
      <c r="J2643">
        <v>-440.9443</v>
      </c>
      <c r="K2643">
        <v>1.110379</v>
      </c>
      <c r="L2643">
        <v>285.0256</v>
      </c>
      <c r="M2643">
        <v>-0.99980190000000002</v>
      </c>
      <c r="N2643">
        <v>-1.454957E-2</v>
      </c>
      <c r="O2643">
        <v>1.3586020000000001E-2</v>
      </c>
      <c r="P2643">
        <v>-0.97528680000000001</v>
      </c>
      <c r="Q2643">
        <v>0.20385780000000001</v>
      </c>
      <c r="R2643">
        <v>-8.5191349999999999E-2</v>
      </c>
      <c r="S2643">
        <v>-3.0597530000000002</v>
      </c>
      <c r="T2643">
        <v>-4.128718E-2</v>
      </c>
      <c r="U2643">
        <v>-0.28320309999999999</v>
      </c>
      <c r="V2643">
        <v>-9.8423529999999995E-2</v>
      </c>
      <c r="W2643">
        <v>0.21801329999999999</v>
      </c>
      <c r="X2643">
        <v>0.97097020000000001</v>
      </c>
      <c r="Y2643">
        <v>-0.1056648</v>
      </c>
      <c r="Z2643">
        <v>-1.467505E-3</v>
      </c>
      <c r="AA2643">
        <v>0.99440070000000003</v>
      </c>
      <c r="AB2643">
        <v>34</v>
      </c>
      <c r="AC2643">
        <v>-71.014399999999995</v>
      </c>
      <c r="AD2643">
        <v>-0.96283399999999997</v>
      </c>
      <c r="AE2643">
        <v>-6.6082999999999803</v>
      </c>
      <c r="AF2643">
        <v>-7.5712152573810103</v>
      </c>
      <c r="AG2643">
        <v>-0.96283399999999997</v>
      </c>
      <c r="AH2643">
        <v>70.905131999679199</v>
      </c>
      <c r="AI2643">
        <v>90.773585133124598</v>
      </c>
      <c r="AJ2643">
        <v>96.0949207947491</v>
      </c>
      <c r="AK2643">
        <v>71.314711621635894</v>
      </c>
      <c r="AL2643">
        <v>77.407629471693895</v>
      </c>
      <c r="AM2643">
        <v>95.788083355083998</v>
      </c>
      <c r="AN2643">
        <v>1.0000000597612899</v>
      </c>
    </row>
    <row r="2644" spans="1:40" x14ac:dyDescent="0.25">
      <c r="A2644" t="str">
        <f>"20190304155645315"</f>
        <v>20190304155645315</v>
      </c>
      <c r="B2644" t="str">
        <f>"1551686205307707"</f>
        <v>1551686205307707</v>
      </c>
      <c r="C2644" t="s">
        <v>40</v>
      </c>
      <c r="D2644">
        <v>4.6382750000000001</v>
      </c>
      <c r="E2644">
        <v>0.4968438</v>
      </c>
      <c r="F2644" t="s">
        <v>66</v>
      </c>
      <c r="G2644">
        <v>-511.95870000000002</v>
      </c>
      <c r="H2644">
        <v>0.13188039999999901</v>
      </c>
      <c r="I2644">
        <v>278.4821</v>
      </c>
      <c r="J2644">
        <v>-441.2758</v>
      </c>
      <c r="K2644">
        <v>1.1103909999999999</v>
      </c>
      <c r="L2644">
        <v>285.03019999999998</v>
      </c>
      <c r="M2644">
        <v>-0.99980190000000002</v>
      </c>
      <c r="N2644">
        <v>-1.4546180000000001E-2</v>
      </c>
      <c r="O2644">
        <v>1.358405E-2</v>
      </c>
      <c r="P2644">
        <v>-0.97499809999999998</v>
      </c>
      <c r="Q2644">
        <v>0.20480870000000001</v>
      </c>
      <c r="R2644">
        <v>-8.6210640000000005E-2</v>
      </c>
      <c r="S2644">
        <v>-3.0602420000000001</v>
      </c>
      <c r="T2644">
        <v>-4.216313E-2</v>
      </c>
      <c r="U2644">
        <v>-0.28198240000000002</v>
      </c>
      <c r="V2644">
        <v>-9.9437209999999998E-2</v>
      </c>
      <c r="W2644">
        <v>0.2189565</v>
      </c>
      <c r="X2644">
        <v>0.97065449999999998</v>
      </c>
      <c r="Y2644">
        <v>-0.105254399999999</v>
      </c>
      <c r="Z2644">
        <v>-1.48038799999999E-3</v>
      </c>
      <c r="AA2644">
        <v>0.99444429999999995</v>
      </c>
      <c r="AB2644">
        <v>33</v>
      </c>
      <c r="AC2644">
        <v>-70.682900000000004</v>
      </c>
      <c r="AD2644">
        <v>-0.97851060000000001</v>
      </c>
      <c r="AE2644">
        <v>-6.5480999999999696</v>
      </c>
      <c r="AF2644">
        <v>-7.5063310350221597</v>
      </c>
      <c r="AG2644">
        <v>-0.97851060000000001</v>
      </c>
      <c r="AH2644">
        <v>70.574007538881602</v>
      </c>
      <c r="AI2644">
        <v>90.789901872531104</v>
      </c>
      <c r="AJ2644">
        <v>96.071218448888203</v>
      </c>
      <c r="AK2644">
        <v>70.978820986965999</v>
      </c>
      <c r="AL2644">
        <v>77.352248517354496</v>
      </c>
      <c r="AM2644">
        <v>95.849173414434205</v>
      </c>
      <c r="AN2644">
        <v>0.99999993299753898</v>
      </c>
    </row>
    <row r="2645" spans="1:40" x14ac:dyDescent="0.25">
      <c r="A2645" t="str">
        <f>"20190304155645337"</f>
        <v>20190304155645337</v>
      </c>
      <c r="B2645" t="str">
        <f>"1551686205327223"</f>
        <v>1551686205327223</v>
      </c>
      <c r="C2645" t="s">
        <v>40</v>
      </c>
      <c r="D2645">
        <v>4.6437220000000003</v>
      </c>
      <c r="E2645">
        <v>0.49677979999999999</v>
      </c>
      <c r="F2645" t="s">
        <v>66</v>
      </c>
      <c r="G2645">
        <v>-511.95870000000002</v>
      </c>
      <c r="H2645">
        <v>0.2000247</v>
      </c>
      <c r="I2645">
        <v>278.46319999999997</v>
      </c>
      <c r="J2645">
        <v>-441.61070000000001</v>
      </c>
      <c r="K2645">
        <v>1.110401</v>
      </c>
      <c r="L2645">
        <v>285.03469999999999</v>
      </c>
      <c r="M2645">
        <v>-0.99980210000000003</v>
      </c>
      <c r="N2645">
        <v>-1.454249E-2</v>
      </c>
      <c r="O2645">
        <v>1.3582199999999999E-2</v>
      </c>
      <c r="P2645">
        <v>-0.97473160000000003</v>
      </c>
      <c r="Q2645">
        <v>0.205569</v>
      </c>
      <c r="R2645">
        <v>-8.7407449999999998E-2</v>
      </c>
      <c r="S2645">
        <v>-3.0600589999999999</v>
      </c>
      <c r="T2645">
        <v>-3.9408680000000001E-2</v>
      </c>
      <c r="U2645">
        <v>-0.28430179999999999</v>
      </c>
      <c r="V2645">
        <v>-0.1006296</v>
      </c>
      <c r="W2645">
        <v>0.2197083</v>
      </c>
      <c r="X2645">
        <v>0.97036180000000005</v>
      </c>
      <c r="Y2645">
        <v>-0.10600710000000001</v>
      </c>
      <c r="Z2645">
        <v>-1.4311529999999999E-3</v>
      </c>
      <c r="AA2645">
        <v>0.99436429999999998</v>
      </c>
      <c r="AB2645">
        <v>33</v>
      </c>
      <c r="AC2645">
        <v>-70.347999999999999</v>
      </c>
      <c r="AD2645">
        <v>-0.91037630000000003</v>
      </c>
      <c r="AE2645">
        <v>-6.5715000000000101</v>
      </c>
      <c r="AF2645">
        <v>-7.5252259107879897</v>
      </c>
      <c r="AG2645">
        <v>-0.91037630000000003</v>
      </c>
      <c r="AH2645">
        <v>70.2405832402047</v>
      </c>
      <c r="AI2645">
        <v>90.738334606221301</v>
      </c>
      <c r="AJ2645">
        <v>96.115059320927401</v>
      </c>
      <c r="AK2645">
        <v>70.648406520884294</v>
      </c>
      <c r="AL2645">
        <v>77.308099859073195</v>
      </c>
      <c r="AM2645">
        <v>95.920590769646097</v>
      </c>
      <c r="AN2645">
        <v>1.0000000381921399</v>
      </c>
    </row>
    <row r="2646" spans="1:40" x14ac:dyDescent="0.25">
      <c r="A2646" t="str">
        <f>"20190304155645360"</f>
        <v>20190304155645360</v>
      </c>
      <c r="B2646" t="str">
        <f>"1551686205357480"</f>
        <v>1551686205357480</v>
      </c>
      <c r="C2646" t="s">
        <v>40</v>
      </c>
      <c r="D2646">
        <v>4.8880080000000001</v>
      </c>
      <c r="E2646">
        <v>0.49649219999999999</v>
      </c>
      <c r="F2646" t="s">
        <v>66</v>
      </c>
      <c r="G2646">
        <v>-511.95870000000002</v>
      </c>
      <c r="H2646">
        <v>0.1706973</v>
      </c>
      <c r="I2646">
        <v>278.39879999999999</v>
      </c>
      <c r="J2646">
        <v>-441.94630000000001</v>
      </c>
      <c r="K2646">
        <v>1.1104019999999999</v>
      </c>
      <c r="L2646">
        <v>285.03919999999999</v>
      </c>
      <c r="M2646">
        <v>-0.99980210000000003</v>
      </c>
      <c r="N2646">
        <v>-1.4538860000000001E-2</v>
      </c>
      <c r="O2646">
        <v>1.358084E-2</v>
      </c>
      <c r="P2646">
        <v>-0.97457640000000001</v>
      </c>
      <c r="Q2646">
        <v>0.20612</v>
      </c>
      <c r="R2646">
        <v>-8.7837979999999996E-2</v>
      </c>
      <c r="S2646">
        <v>-3.0605159999999998</v>
      </c>
      <c r="T2646">
        <v>-4.0878530000000003E-2</v>
      </c>
      <c r="U2646">
        <v>-0.28869630000000002</v>
      </c>
      <c r="V2646">
        <v>-0.1010573</v>
      </c>
      <c r="W2646">
        <v>0.22025349999999999</v>
      </c>
      <c r="X2646">
        <v>0.97019370000000005</v>
      </c>
      <c r="Y2646">
        <v>-0.107406</v>
      </c>
      <c r="Z2646">
        <v>-1.4823150000000001E-3</v>
      </c>
      <c r="AA2646">
        <v>0.99421409999999999</v>
      </c>
      <c r="AB2646">
        <v>33</v>
      </c>
      <c r="AC2646">
        <v>-70.0124</v>
      </c>
      <c r="AD2646">
        <v>-0.93970469999999895</v>
      </c>
      <c r="AE2646">
        <v>-6.6403999999999996</v>
      </c>
      <c r="AF2646">
        <v>-7.5893601214622697</v>
      </c>
      <c r="AG2646">
        <v>-0.93970469999999895</v>
      </c>
      <c r="AH2646">
        <v>69.903269321920902</v>
      </c>
      <c r="AI2646">
        <v>90.765677828916395</v>
      </c>
      <c r="AJ2646">
        <v>96.196301886646296</v>
      </c>
      <c r="AK2646">
        <v>70.320327742904098</v>
      </c>
      <c r="AL2646">
        <v>77.276077284896502</v>
      </c>
      <c r="AM2646">
        <v>95.946597598425598</v>
      </c>
      <c r="AN2646">
        <v>0.99999999883261503</v>
      </c>
    </row>
    <row r="2647" spans="1:40" x14ac:dyDescent="0.25">
      <c r="A2647" t="str">
        <f>"20190304155645382"</f>
        <v>20190304155645382</v>
      </c>
      <c r="B2647" t="str">
        <f>"1551686205377000"</f>
        <v>1551686205377000</v>
      </c>
      <c r="C2647" t="s">
        <v>40</v>
      </c>
      <c r="D2647">
        <v>4.6879860000000004</v>
      </c>
      <c r="E2647">
        <v>0.49615930000000003</v>
      </c>
      <c r="F2647" t="s">
        <v>66</v>
      </c>
      <c r="G2647">
        <v>-511.95870000000002</v>
      </c>
      <c r="H2647">
        <v>0.19157370000000001</v>
      </c>
      <c r="I2647">
        <v>278.33969999999999</v>
      </c>
      <c r="J2647">
        <v>-442.28089999999997</v>
      </c>
      <c r="K2647">
        <v>1.1104050000000001</v>
      </c>
      <c r="L2647">
        <v>285.04379999999998</v>
      </c>
      <c r="M2647">
        <v>-0.99980219999999997</v>
      </c>
      <c r="N2647">
        <v>-1.4535309999999999E-2</v>
      </c>
      <c r="O2647">
        <v>1.358037E-2</v>
      </c>
      <c r="P2647">
        <v>-0.97442050000000002</v>
      </c>
      <c r="Q2647">
        <v>0.2062678</v>
      </c>
      <c r="R2647">
        <v>-8.9213239999999999E-2</v>
      </c>
      <c r="S2647">
        <v>-3.0603639999999999</v>
      </c>
      <c r="T2647">
        <v>-4.0159939999999998E-2</v>
      </c>
      <c r="U2647">
        <v>-0.29284670000000002</v>
      </c>
      <c r="V2647">
        <v>-0.1024302</v>
      </c>
      <c r="W2647">
        <v>0.22039539999999999</v>
      </c>
      <c r="X2647">
        <v>0.97001749999999998</v>
      </c>
      <c r="Y2647">
        <v>-0.1087467</v>
      </c>
      <c r="Z2647">
        <v>-1.4850029999999999E-3</v>
      </c>
      <c r="AA2647">
        <v>0.99406839999999996</v>
      </c>
      <c r="AB2647">
        <v>33</v>
      </c>
      <c r="AC2647">
        <v>-69.677800000000005</v>
      </c>
      <c r="AD2647">
        <v>-0.91883130000000002</v>
      </c>
      <c r="AE2647">
        <v>-6.70409999999998</v>
      </c>
      <c r="AF2647">
        <v>-7.6485140226919599</v>
      </c>
      <c r="AG2647">
        <v>-0.91883130000000002</v>
      </c>
      <c r="AH2647">
        <v>69.568332862499204</v>
      </c>
      <c r="AI2647">
        <v>90.752164566523007</v>
      </c>
      <c r="AJ2647">
        <v>96.274041385269499</v>
      </c>
      <c r="AK2647">
        <v>69.993549381215601</v>
      </c>
      <c r="AL2647">
        <v>77.267742392290003</v>
      </c>
      <c r="AM2647">
        <v>96.027880316372304</v>
      </c>
      <c r="AN2647">
        <v>1.0000000142597201</v>
      </c>
    </row>
    <row r="2648" spans="1:40" x14ac:dyDescent="0.25">
      <c r="A2648" t="str">
        <f>"20190304155645404"</f>
        <v>20190304155645404</v>
      </c>
      <c r="B2648" t="str">
        <f>"1551686205397495"</f>
        <v>1551686205397495</v>
      </c>
      <c r="C2648" t="s">
        <v>40</v>
      </c>
      <c r="D2648">
        <v>4.7108410000000003</v>
      </c>
      <c r="E2648">
        <v>0.4959269</v>
      </c>
      <c r="F2648" t="s">
        <v>66</v>
      </c>
      <c r="G2648">
        <v>-511.95870000000002</v>
      </c>
      <c r="H2648">
        <v>0.1306319</v>
      </c>
      <c r="I2648">
        <v>278.22430000000003</v>
      </c>
      <c r="J2648">
        <v>-442.60579999999999</v>
      </c>
      <c r="K2648">
        <v>1.1104000000000001</v>
      </c>
      <c r="L2648">
        <v>285.04820000000001</v>
      </c>
      <c r="M2648">
        <v>-0.99980219999999997</v>
      </c>
      <c r="N2648">
        <v>-1.4531870000000001E-2</v>
      </c>
      <c r="O2648">
        <v>1.358004E-2</v>
      </c>
      <c r="P2648">
        <v>-0.97421449999999998</v>
      </c>
      <c r="Q2648">
        <v>0.2067155</v>
      </c>
      <c r="R2648">
        <v>-9.0415110000000007E-2</v>
      </c>
      <c r="S2648">
        <v>-3.060425</v>
      </c>
      <c r="T2648">
        <v>-4.3030499999999999E-2</v>
      </c>
      <c r="U2648">
        <v>-0.29953000000000002</v>
      </c>
      <c r="V2648">
        <v>-0.1036286</v>
      </c>
      <c r="W2648">
        <v>0.22083630000000001</v>
      </c>
      <c r="X2648">
        <v>0.96978989999999998</v>
      </c>
      <c r="Y2648">
        <v>-0.1108923</v>
      </c>
      <c r="Z2648">
        <v>-1.579121E-3</v>
      </c>
      <c r="AA2648">
        <v>0.99383120000000003</v>
      </c>
      <c r="AB2648">
        <v>33</v>
      </c>
      <c r="AC2648">
        <v>-69.352900000000005</v>
      </c>
      <c r="AD2648">
        <v>-0.97976810000000003</v>
      </c>
      <c r="AE2648">
        <v>-6.8238999999999796</v>
      </c>
      <c r="AF2648">
        <v>-7.7636506023371501</v>
      </c>
      <c r="AG2648">
        <v>-0.97976810000000003</v>
      </c>
      <c r="AH2648">
        <v>69.240138337400893</v>
      </c>
      <c r="AI2648">
        <v>90.805649880344404</v>
      </c>
      <c r="AJ2648">
        <v>96.397650258984598</v>
      </c>
      <c r="AK2648">
        <v>69.680922591390498</v>
      </c>
      <c r="AL2648">
        <v>77.241842399487595</v>
      </c>
      <c r="AM2648">
        <v>96.099296571165496</v>
      </c>
      <c r="AN2648">
        <v>1.0000000041388299</v>
      </c>
    </row>
    <row r="2649" spans="1:40" x14ac:dyDescent="0.25">
      <c r="A2649" t="str">
        <f>"20190304155645427"</f>
        <v>20190304155645427</v>
      </c>
      <c r="B2649" t="str">
        <f>"1551686205417016"</f>
        <v>1551686205417016</v>
      </c>
      <c r="C2649" t="s">
        <v>40</v>
      </c>
      <c r="D2649">
        <v>4.5928959999999996</v>
      </c>
      <c r="E2649">
        <v>0.4959383</v>
      </c>
      <c r="F2649" t="s">
        <v>66</v>
      </c>
      <c r="G2649">
        <v>-511.95859999999999</v>
      </c>
      <c r="H2649">
        <v>7.1668270000000006E-2</v>
      </c>
      <c r="I2649">
        <v>278.14190000000002</v>
      </c>
      <c r="J2649">
        <v>-442.94569999999999</v>
      </c>
      <c r="K2649">
        <v>1.1104039999999999</v>
      </c>
      <c r="L2649">
        <v>285.05279999999999</v>
      </c>
      <c r="M2649">
        <v>-0.99980239999999998</v>
      </c>
      <c r="N2649">
        <v>-1.452819E-2</v>
      </c>
      <c r="O2649">
        <v>1.357976E-2</v>
      </c>
      <c r="P2649">
        <v>-0.97412650000000001</v>
      </c>
      <c r="Q2649">
        <v>0.20664950000000001</v>
      </c>
      <c r="R2649">
        <v>-9.1509519999999997E-2</v>
      </c>
      <c r="S2649">
        <v>-3.0609130000000002</v>
      </c>
      <c r="T2649">
        <v>-4.5841100000000003E-2</v>
      </c>
      <c r="U2649">
        <v>-0.30480960000000001</v>
      </c>
      <c r="V2649">
        <v>-0.104722</v>
      </c>
      <c r="W2649">
        <v>0.22076509999999999</v>
      </c>
      <c r="X2649">
        <v>0.96968869999999896</v>
      </c>
      <c r="Y2649">
        <v>-0.11257159999999999</v>
      </c>
      <c r="Z2649">
        <v>-1.666814E-3</v>
      </c>
      <c r="AA2649">
        <v>0.99364220000000003</v>
      </c>
      <c r="AB2649">
        <v>33</v>
      </c>
      <c r="AC2649">
        <v>-69.012900000000002</v>
      </c>
      <c r="AD2649">
        <v>-1.03873573</v>
      </c>
      <c r="AE2649">
        <v>-6.9108999999999696</v>
      </c>
      <c r="AF2649">
        <v>-7.8457802517209503</v>
      </c>
      <c r="AG2649">
        <v>-1.03873573</v>
      </c>
      <c r="AH2649">
        <v>68.897223597395296</v>
      </c>
      <c r="AI2649">
        <v>90.858214137050098</v>
      </c>
      <c r="AJ2649">
        <v>96.496661293188595</v>
      </c>
      <c r="AK2649">
        <v>69.350289538721896</v>
      </c>
      <c r="AL2649">
        <v>77.246025697175099</v>
      </c>
      <c r="AM2649">
        <v>96.163796649827106</v>
      </c>
      <c r="AN2649">
        <v>1.0000000507848399</v>
      </c>
    </row>
    <row r="2650" spans="1:40" x14ac:dyDescent="0.25">
      <c r="A2650" t="str">
        <f>"20190304155645449"</f>
        <v>20190304155645449</v>
      </c>
      <c r="B2650" t="str">
        <f>"1551686205437512"</f>
        <v>1551686205437512</v>
      </c>
      <c r="C2650" t="s">
        <v>40</v>
      </c>
      <c r="D2650">
        <v>4.7153140000000002</v>
      </c>
      <c r="E2650">
        <v>0.49589480000000002</v>
      </c>
      <c r="F2650" t="s">
        <v>66</v>
      </c>
      <c r="G2650">
        <v>-511.95859999999999</v>
      </c>
      <c r="H2650">
        <v>-1.5536339999999999E-2</v>
      </c>
      <c r="I2650">
        <v>278.10289999999998</v>
      </c>
      <c r="J2650">
        <v>-443.27</v>
      </c>
      <c r="K2650">
        <v>1.1104039999999999</v>
      </c>
      <c r="L2650">
        <v>285.0573</v>
      </c>
      <c r="M2650">
        <v>-0.99980239999999998</v>
      </c>
      <c r="N2650">
        <v>-1.452463E-2</v>
      </c>
      <c r="O2650">
        <v>1.3579610000000001E-2</v>
      </c>
      <c r="P2650">
        <v>-0.97400830000000005</v>
      </c>
      <c r="Q2650">
        <v>0.20670179999999999</v>
      </c>
      <c r="R2650">
        <v>-9.2641360000000006E-2</v>
      </c>
      <c r="S2650">
        <v>-3.0613100000000002</v>
      </c>
      <c r="T2650">
        <v>-4.9941300000000001E-2</v>
      </c>
      <c r="U2650">
        <v>-0.30828860000000002</v>
      </c>
      <c r="V2650">
        <v>-0.1058523</v>
      </c>
      <c r="W2650">
        <v>0.2208116</v>
      </c>
      <c r="X2650">
        <v>0.96955530000000001</v>
      </c>
      <c r="Y2650">
        <v>-0.113673</v>
      </c>
      <c r="Z2650">
        <v>-1.7768440000000001E-3</v>
      </c>
      <c r="AA2650">
        <v>0.99351659999999997</v>
      </c>
      <c r="AB2650">
        <v>33</v>
      </c>
      <c r="AC2650">
        <v>-68.688599999999994</v>
      </c>
      <c r="AD2650">
        <v>-1.1259403400000001</v>
      </c>
      <c r="AE2650">
        <v>-6.9544000000000201</v>
      </c>
      <c r="AF2650">
        <v>-7.8845242815755698</v>
      </c>
      <c r="AG2650">
        <v>-1.1259403400000001</v>
      </c>
      <c r="AH2650">
        <v>68.569579654968607</v>
      </c>
      <c r="AI2650">
        <v>90.934578443260605</v>
      </c>
      <c r="AJ2650">
        <v>96.559390374960202</v>
      </c>
      <c r="AK2650">
        <v>69.030578143711693</v>
      </c>
      <c r="AL2650">
        <v>77.243293059860306</v>
      </c>
      <c r="AM2650">
        <v>96.230654656833593</v>
      </c>
      <c r="AN2650">
        <v>0.99999997593396905</v>
      </c>
    </row>
    <row r="2651" spans="1:40" x14ac:dyDescent="0.25">
      <c r="A2651" t="str">
        <f>"20190304155645471"</f>
        <v>20190304155645471</v>
      </c>
      <c r="B2651" t="str">
        <f>"1551686205467767"</f>
        <v>1551686205467767</v>
      </c>
      <c r="C2651" t="s">
        <v>40</v>
      </c>
      <c r="D2651">
        <v>4.598433</v>
      </c>
      <c r="E2651">
        <v>0.49595280000000003</v>
      </c>
      <c r="F2651" t="s">
        <v>53</v>
      </c>
      <c r="G2651">
        <v>-502.17720000000003</v>
      </c>
      <c r="H2651">
        <v>8.0000269999999998E-2</v>
      </c>
      <c r="I2651">
        <v>279.03879999999998</v>
      </c>
      <c r="J2651">
        <v>-443.60239999999999</v>
      </c>
      <c r="K2651">
        <v>1.1104069999999999</v>
      </c>
      <c r="L2651">
        <v>285.06180000000001</v>
      </c>
      <c r="M2651">
        <v>-0.99980239999999998</v>
      </c>
      <c r="N2651">
        <v>-1.4520949999999999E-2</v>
      </c>
      <c r="O2651">
        <v>1.357879E-2</v>
      </c>
      <c r="P2651">
        <v>-0.97386980000000001</v>
      </c>
      <c r="Q2651">
        <v>0.20673520000000001</v>
      </c>
      <c r="R2651">
        <v>-9.4010960000000005E-2</v>
      </c>
      <c r="S2651">
        <v>-3.0616460000000001</v>
      </c>
      <c r="T2651">
        <v>-5.3554299999999999E-2</v>
      </c>
      <c r="U2651">
        <v>-0.31280520000000001</v>
      </c>
      <c r="V2651">
        <v>-0.10721899999999999</v>
      </c>
      <c r="W2651">
        <v>0.22083949999999999</v>
      </c>
      <c r="X2651">
        <v>0.9693988</v>
      </c>
      <c r="Y2651">
        <v>-0.1151083</v>
      </c>
      <c r="Z2651">
        <v>-1.8823959999999999E-3</v>
      </c>
      <c r="AA2651">
        <v>0.99335119999999999</v>
      </c>
      <c r="AB2651">
        <v>33</v>
      </c>
      <c r="AC2651">
        <v>-58.574800000000003</v>
      </c>
      <c r="AD2651">
        <v>-1.0304067299999999</v>
      </c>
      <c r="AE2651">
        <v>-6.0230000000000201</v>
      </c>
      <c r="AF2651">
        <v>-6.8158162190605003</v>
      </c>
      <c r="AG2651">
        <v>-1.0304067299999999</v>
      </c>
      <c r="AH2651">
        <v>58.4697004628485</v>
      </c>
      <c r="AI2651">
        <v>91.0028252154966</v>
      </c>
      <c r="AJ2651">
        <v>96.648963895903805</v>
      </c>
      <c r="AK2651">
        <v>58.874637671721302</v>
      </c>
      <c r="AL2651">
        <v>77.241654566609697</v>
      </c>
      <c r="AM2651">
        <v>96.311466684684802</v>
      </c>
      <c r="AN2651">
        <v>1.00000001608134</v>
      </c>
    </row>
    <row r="2652" spans="1:40" x14ac:dyDescent="0.25">
      <c r="A2652" t="str">
        <f>"20190304155645494"</f>
        <v>20190304155645494</v>
      </c>
      <c r="B2652" t="str">
        <f>"1551686205487288"</f>
        <v>1551686205487288</v>
      </c>
      <c r="C2652" t="s">
        <v>40</v>
      </c>
      <c r="D2652">
        <v>4.7371980000000002</v>
      </c>
      <c r="E2652">
        <v>0.4958554</v>
      </c>
      <c r="F2652" t="s">
        <v>53</v>
      </c>
      <c r="G2652">
        <v>-499.95769999999999</v>
      </c>
      <c r="H2652">
        <v>1.1667790000000001E-2</v>
      </c>
      <c r="I2652">
        <v>279.23099999999999</v>
      </c>
      <c r="J2652">
        <v>-443.92930000000001</v>
      </c>
      <c r="K2652">
        <v>1.110411</v>
      </c>
      <c r="L2652">
        <v>285.06619999999998</v>
      </c>
      <c r="M2652">
        <v>-0.99980250000000004</v>
      </c>
      <c r="N2652">
        <v>-1.4517260000000001E-2</v>
      </c>
      <c r="O2652">
        <v>1.357239E-2</v>
      </c>
      <c r="P2652">
        <v>-0.97366399999999997</v>
      </c>
      <c r="Q2652">
        <v>0.20742650000000001</v>
      </c>
      <c r="R2652">
        <v>-9.4618179999999996E-2</v>
      </c>
      <c r="S2652">
        <v>-3.0625610000000001</v>
      </c>
      <c r="T2652">
        <v>-5.970955E-2</v>
      </c>
      <c r="U2652">
        <v>-0.31686399999999998</v>
      </c>
      <c r="V2652">
        <v>-0.107818899999999</v>
      </c>
      <c r="W2652">
        <v>0.22152359999999999</v>
      </c>
      <c r="X2652">
        <v>0.96917609999999998</v>
      </c>
      <c r="Y2652">
        <v>-0.1163681</v>
      </c>
      <c r="Z2652">
        <v>-2.0458130000000001E-3</v>
      </c>
      <c r="AA2652">
        <v>0.99320410000000003</v>
      </c>
      <c r="AB2652">
        <v>33</v>
      </c>
      <c r="AC2652">
        <v>-56.028399999999898</v>
      </c>
      <c r="AD2652">
        <v>-1.0987432100000001</v>
      </c>
      <c r="AE2652">
        <v>-5.83519999999998</v>
      </c>
      <c r="AF2652">
        <v>-6.5926737089029697</v>
      </c>
      <c r="AG2652">
        <v>-1.0987432100000001</v>
      </c>
      <c r="AH2652">
        <v>55.922756752899502</v>
      </c>
      <c r="AI2652">
        <v>91.1178359349137</v>
      </c>
      <c r="AJ2652">
        <v>96.7235051811018</v>
      </c>
      <c r="AK2652">
        <v>56.320736022512598</v>
      </c>
      <c r="AL2652">
        <v>77.2014624441873</v>
      </c>
      <c r="AM2652">
        <v>96.347938974900899</v>
      </c>
      <c r="AN2652">
        <v>0.99999996668268898</v>
      </c>
    </row>
    <row r="2653" spans="1:40" x14ac:dyDescent="0.25">
      <c r="A2653" t="str">
        <f>"20190304155645516"</f>
        <v>20190304155645516</v>
      </c>
      <c r="B2653" t="str">
        <f>"1551686205507784"</f>
        <v>1551686205507784</v>
      </c>
      <c r="C2653" t="s">
        <v>40</v>
      </c>
      <c r="D2653">
        <v>4.7205320000000004</v>
      </c>
      <c r="E2653">
        <v>0.49573699999999998</v>
      </c>
      <c r="F2653" t="s">
        <v>53</v>
      </c>
      <c r="G2653">
        <v>-499.95769999999999</v>
      </c>
      <c r="H2653">
        <v>3.5097679999999999E-2</v>
      </c>
      <c r="I2653">
        <v>279.21230000000003</v>
      </c>
      <c r="J2653">
        <v>-444.26639999999998</v>
      </c>
      <c r="K2653">
        <v>1.1104210000000001</v>
      </c>
      <c r="L2653">
        <v>285.07069999999999</v>
      </c>
      <c r="M2653">
        <v>-0.99980279999999999</v>
      </c>
      <c r="N2653">
        <v>-1.4513460000000001E-2</v>
      </c>
      <c r="O2653">
        <v>1.3559460000000001E-2</v>
      </c>
      <c r="P2653">
        <v>-0.97341310000000003</v>
      </c>
      <c r="Q2653">
        <v>0.2081694</v>
      </c>
      <c r="R2653">
        <v>-9.5565170000000005E-2</v>
      </c>
      <c r="S2653">
        <v>-3.0625610000000001</v>
      </c>
      <c r="T2653">
        <v>-5.8777450000000002E-2</v>
      </c>
      <c r="U2653">
        <v>-0.31997680000000001</v>
      </c>
      <c r="V2653">
        <v>-0.1087523</v>
      </c>
      <c r="W2653">
        <v>0.22225729999999999</v>
      </c>
      <c r="X2653">
        <v>0.96890379999999998</v>
      </c>
      <c r="Y2653">
        <v>-0.1173546</v>
      </c>
      <c r="Z2653">
        <v>-2.040404E-3</v>
      </c>
      <c r="AA2653">
        <v>0.99308799999999997</v>
      </c>
      <c r="AB2653">
        <v>33</v>
      </c>
      <c r="AC2653">
        <v>-55.691299999999998</v>
      </c>
      <c r="AD2653">
        <v>-1.0753233200000001</v>
      </c>
      <c r="AE2653">
        <v>-5.8583999999999596</v>
      </c>
      <c r="AF2653">
        <v>-6.6106471181432802</v>
      </c>
      <c r="AG2653">
        <v>-1.0753233200000001</v>
      </c>
      <c r="AH2653">
        <v>55.586236866433801</v>
      </c>
      <c r="AI2653">
        <v>91.100503250559598</v>
      </c>
      <c r="AJ2653">
        <v>96.782101879611005</v>
      </c>
      <c r="AK2653">
        <v>55.988272919732402</v>
      </c>
      <c r="AL2653">
        <v>77.1583498671706</v>
      </c>
      <c r="AM2653">
        <v>96.404223772091001</v>
      </c>
      <c r="AN2653">
        <v>0.99999997190650902</v>
      </c>
    </row>
    <row r="2654" spans="1:40" x14ac:dyDescent="0.25">
      <c r="A2654" t="str">
        <f>"20190304155645538"</f>
        <v>20190304155645538</v>
      </c>
      <c r="B2654" t="str">
        <f>"1551686205527304"</f>
        <v>1551686205527304</v>
      </c>
      <c r="C2654" t="s">
        <v>40</v>
      </c>
      <c r="D2654">
        <v>4.7754070000000004</v>
      </c>
      <c r="E2654">
        <v>0.47345480000000001</v>
      </c>
      <c r="F2654" t="s">
        <v>53</v>
      </c>
      <c r="G2654">
        <v>-499.97370000000001</v>
      </c>
      <c r="H2654">
        <v>6.592547E-2</v>
      </c>
      <c r="I2654">
        <v>279.17290000000003</v>
      </c>
      <c r="J2654">
        <v>-444.59230000000002</v>
      </c>
      <c r="K2654">
        <v>1.1104320000000001</v>
      </c>
      <c r="L2654">
        <v>285.07510000000002</v>
      </c>
      <c r="M2654">
        <v>-0.9998032</v>
      </c>
      <c r="N2654">
        <v>-1.450978E-2</v>
      </c>
      <c r="O2654">
        <v>1.3536589999999999E-2</v>
      </c>
      <c r="P2654">
        <v>-0.97318039999999995</v>
      </c>
      <c r="Q2654">
        <v>0.2088023</v>
      </c>
      <c r="R2654">
        <v>-9.6548869999999995E-2</v>
      </c>
      <c r="S2654">
        <v>-3.0623779999999998</v>
      </c>
      <c r="T2654">
        <v>-5.7418700000000003E-2</v>
      </c>
      <c r="U2654">
        <v>-0.32421879999999997</v>
      </c>
      <c r="V2654">
        <v>-0.1097143</v>
      </c>
      <c r="W2654">
        <v>0.2228811</v>
      </c>
      <c r="X2654">
        <v>0.96865210000000002</v>
      </c>
      <c r="Y2654">
        <v>-0.1186994</v>
      </c>
      <c r="Z2654">
        <v>-2.0305980000000002E-3</v>
      </c>
      <c r="AA2654">
        <v>0.99292809999999998</v>
      </c>
      <c r="AB2654">
        <v>33</v>
      </c>
      <c r="AC2654">
        <v>-55.3813999999999</v>
      </c>
      <c r="AD2654">
        <v>-1.0445065299999901</v>
      </c>
      <c r="AE2654">
        <v>-5.9021999999999899</v>
      </c>
      <c r="AF2654">
        <v>-6.6490746863531998</v>
      </c>
      <c r="AG2654">
        <v>-1.0445065299999901</v>
      </c>
      <c r="AH2654">
        <v>55.276978928361302</v>
      </c>
      <c r="AI2654">
        <v>91.074779048595801</v>
      </c>
      <c r="AJ2654">
        <v>96.858955449002494</v>
      </c>
      <c r="AK2654">
        <v>55.685236710661698</v>
      </c>
      <c r="AL2654">
        <v>77.121690238564597</v>
      </c>
      <c r="AM2654">
        <v>96.462061830484103</v>
      </c>
      <c r="AN2654">
        <v>1.0000000515980501</v>
      </c>
    </row>
    <row r="2655" spans="1:40" x14ac:dyDescent="0.25">
      <c r="A2655" t="str">
        <f>"20190304155645561"</f>
        <v>20190304155645561</v>
      </c>
      <c r="B2655" t="str">
        <f>"1551686205557559"</f>
        <v>1551686205557559</v>
      </c>
      <c r="C2655" t="s">
        <v>40</v>
      </c>
      <c r="D2655">
        <v>4.7935949999999998</v>
      </c>
      <c r="E2655">
        <v>0.47094439999999999</v>
      </c>
      <c r="F2655" t="s">
        <v>53</v>
      </c>
      <c r="G2655">
        <v>-475.8664</v>
      </c>
      <c r="H2655" s="1">
        <v>3.6009070000000001E-6</v>
      </c>
      <c r="I2655">
        <v>279.90710000000001</v>
      </c>
      <c r="J2655">
        <v>-444.92930000000001</v>
      </c>
      <c r="K2655">
        <v>1.110449</v>
      </c>
      <c r="L2655">
        <v>285.0797</v>
      </c>
      <c r="M2655">
        <v>-0.99980369999999996</v>
      </c>
      <c r="N2655">
        <v>-1.450599E-2</v>
      </c>
      <c r="O2655">
        <v>1.3496899999999999E-2</v>
      </c>
      <c r="P2655">
        <v>-0.9729719</v>
      </c>
      <c r="Q2655">
        <v>0.20932980000000001</v>
      </c>
      <c r="R2655">
        <v>-9.7503759999999995E-2</v>
      </c>
      <c r="S2655">
        <v>-3.0558169999999998</v>
      </c>
      <c r="T2655">
        <v>-0.108501</v>
      </c>
      <c r="U2655">
        <v>-0.50497440000000005</v>
      </c>
      <c r="V2655">
        <v>-0.1106338</v>
      </c>
      <c r="W2655">
        <v>0.2233985</v>
      </c>
      <c r="X2655">
        <v>0.96842830000000002</v>
      </c>
      <c r="Y2655">
        <v>-0.1761858</v>
      </c>
      <c r="Z2655">
        <v>-4.6745190000000002E-3</v>
      </c>
      <c r="AA2655">
        <v>0.9843459</v>
      </c>
      <c r="AB2655">
        <v>33</v>
      </c>
      <c r="AC2655">
        <v>-30.937099999999901</v>
      </c>
      <c r="AD2655">
        <v>-1.1104453990929899</v>
      </c>
      <c r="AE2655">
        <v>-5.1725999999999797</v>
      </c>
      <c r="AF2655">
        <v>-5.5827306857465198</v>
      </c>
      <c r="AG2655">
        <v>-1.1104453990929899</v>
      </c>
      <c r="AH2655">
        <v>30.825825470089299</v>
      </c>
      <c r="AI2655">
        <v>92.030090396253897</v>
      </c>
      <c r="AJ2655">
        <v>100.265322003828</v>
      </c>
      <c r="AK2655">
        <v>31.3469533895456</v>
      </c>
      <c r="AL2655">
        <v>77.091278595999</v>
      </c>
      <c r="AM2655">
        <v>96.517248451733195</v>
      </c>
      <c r="AN2655">
        <v>1.0000000498727799</v>
      </c>
    </row>
    <row r="2656" spans="1:40" x14ac:dyDescent="0.25">
      <c r="A2656" t="str">
        <f>"20190304155645584"</f>
        <v>20190304155645584</v>
      </c>
      <c r="B2656" t="str">
        <f>"1551686205577079"</f>
        <v>1551686205577079</v>
      </c>
      <c r="C2656" t="s">
        <v>40</v>
      </c>
      <c r="D2656">
        <v>4.7253959999999999</v>
      </c>
      <c r="E2656">
        <v>0.47149419999999997</v>
      </c>
      <c r="F2656" t="s">
        <v>53</v>
      </c>
      <c r="G2656">
        <v>-476.0804</v>
      </c>
      <c r="H2656" s="1">
        <v>3.4872139999999998E-6</v>
      </c>
      <c r="I2656">
        <v>279.6918</v>
      </c>
      <c r="J2656">
        <v>-445.2679</v>
      </c>
      <c r="K2656">
        <v>1.1104639999999999</v>
      </c>
      <c r="L2656">
        <v>285.08420000000001</v>
      </c>
      <c r="M2656">
        <v>-0.99980469999999999</v>
      </c>
      <c r="N2656">
        <v>-1.450216E-2</v>
      </c>
      <c r="O2656">
        <v>1.3434659999999999E-2</v>
      </c>
      <c r="P2656">
        <v>-0.97276589999999996</v>
      </c>
      <c r="Q2656">
        <v>0.20984810000000001</v>
      </c>
      <c r="R2656">
        <v>-9.8439260000000001E-2</v>
      </c>
      <c r="S2656">
        <v>-3.0538639999999999</v>
      </c>
      <c r="T2656">
        <v>-0.10886129999999999</v>
      </c>
      <c r="U2656">
        <v>-0.52819819999999995</v>
      </c>
      <c r="V2656">
        <v>-0.1115149</v>
      </c>
      <c r="W2656">
        <v>0.22390599999999999</v>
      </c>
      <c r="X2656">
        <v>0.96821000000000002</v>
      </c>
      <c r="Y2656">
        <v>-0.18349090000000001</v>
      </c>
      <c r="Z2656">
        <v>-4.8683529999999997E-3</v>
      </c>
      <c r="AA2656">
        <v>0.98300929999999997</v>
      </c>
      <c r="AB2656">
        <v>33</v>
      </c>
      <c r="AC2656">
        <v>-30.8125</v>
      </c>
      <c r="AD2656">
        <v>-1.1104605127860001</v>
      </c>
      <c r="AE2656">
        <v>-5.3924000000000003</v>
      </c>
      <c r="AF2656">
        <v>-5.79860459669516</v>
      </c>
      <c r="AG2656">
        <v>-1.1104605127860001</v>
      </c>
      <c r="AH2656">
        <v>30.6985785970985</v>
      </c>
      <c r="AI2656">
        <v>92.035692331734396</v>
      </c>
      <c r="AJ2656">
        <v>100.696482253602</v>
      </c>
      <c r="AK2656">
        <v>31.261152661114501</v>
      </c>
      <c r="AL2656">
        <v>77.061445111149695</v>
      </c>
      <c r="AM2656">
        <v>96.570168789014502</v>
      </c>
      <c r="AN2656">
        <v>1.0000000369290001</v>
      </c>
    </row>
    <row r="2657" spans="1:40" x14ac:dyDescent="0.25">
      <c r="A2657" t="str">
        <f>"20190304155645605"</f>
        <v>20190304155645605</v>
      </c>
      <c r="B2657" t="str">
        <f>"1551686205597576"</f>
        <v>1551686205597576</v>
      </c>
      <c r="C2657" t="s">
        <v>40</v>
      </c>
      <c r="D2657">
        <v>4.7039160000000004</v>
      </c>
      <c r="E2657">
        <v>0.47143750000000001</v>
      </c>
      <c r="F2657" t="s">
        <v>53</v>
      </c>
      <c r="G2657">
        <v>-477.52530000000002</v>
      </c>
      <c r="H2657" s="1">
        <v>2.8271380000000002E-6</v>
      </c>
      <c r="I2657">
        <v>279.52019999999999</v>
      </c>
      <c r="J2657">
        <v>-445.57690000000002</v>
      </c>
      <c r="K2657">
        <v>1.110482</v>
      </c>
      <c r="L2657">
        <v>285.0883</v>
      </c>
      <c r="M2657">
        <v>-0.99980570000000002</v>
      </c>
      <c r="N2657">
        <v>-1.449866E-2</v>
      </c>
      <c r="O2657">
        <v>1.335504E-2</v>
      </c>
      <c r="P2657">
        <v>-0.97261880000000001</v>
      </c>
      <c r="Q2657">
        <v>0.210315</v>
      </c>
      <c r="R2657">
        <v>-9.8895769999999994E-2</v>
      </c>
      <c r="S2657">
        <v>-3.053375</v>
      </c>
      <c r="T2657">
        <v>-0.10511239999999999</v>
      </c>
      <c r="U2657">
        <v>-0.52667240000000004</v>
      </c>
      <c r="V2657">
        <v>-0.11190170000000001</v>
      </c>
      <c r="W2657">
        <v>0.2243619</v>
      </c>
      <c r="X2657">
        <v>0.96805980000000003</v>
      </c>
      <c r="Y2657">
        <v>-0.182972</v>
      </c>
      <c r="Z2657">
        <v>-4.726409E-3</v>
      </c>
      <c r="AA2657">
        <v>0.9831067</v>
      </c>
      <c r="AB2657">
        <v>33</v>
      </c>
      <c r="AC2657">
        <v>-31.9483999999999</v>
      </c>
      <c r="AD2657">
        <v>-1.110479172862</v>
      </c>
      <c r="AE2657">
        <v>-5.56810000000001</v>
      </c>
      <c r="AF2657">
        <v>-5.9872999867839498</v>
      </c>
      <c r="AG2657">
        <v>-1.110479172862</v>
      </c>
      <c r="AH2657">
        <v>31.833853710767801</v>
      </c>
      <c r="AI2657">
        <v>91.963474032879901</v>
      </c>
      <c r="AJ2657">
        <v>100.65173533115301</v>
      </c>
      <c r="AK2657">
        <v>32.411034651853797</v>
      </c>
      <c r="AL2657">
        <v>77.034641756088604</v>
      </c>
      <c r="AM2657">
        <v>96.593771659367604</v>
      </c>
      <c r="AN2657">
        <v>1.0000000145052701</v>
      </c>
    </row>
    <row r="2658" spans="1:40" x14ac:dyDescent="0.25">
      <c r="A2658" t="str">
        <f>"20190304155645628"</f>
        <v>20190304155645628</v>
      </c>
      <c r="B2658" t="str">
        <f>"1551686205617096"</f>
        <v>1551686205617096</v>
      </c>
      <c r="C2658" t="s">
        <v>40</v>
      </c>
      <c r="D2658">
        <v>4.7040360000000003</v>
      </c>
      <c r="E2658">
        <v>0.47119040000000001</v>
      </c>
      <c r="F2658" t="s">
        <v>53</v>
      </c>
      <c r="G2658">
        <v>-478.11130000000003</v>
      </c>
      <c r="H2658" s="1">
        <v>2.5590099999999998E-6</v>
      </c>
      <c r="I2658">
        <v>279.45769999999999</v>
      </c>
      <c r="J2658">
        <v>-445.90859999999998</v>
      </c>
      <c r="K2658">
        <v>1.1105100000000001</v>
      </c>
      <c r="L2658">
        <v>285.0926</v>
      </c>
      <c r="M2658">
        <v>-0.99980729999999995</v>
      </c>
      <c r="N2658">
        <v>-1.4495020000000001E-2</v>
      </c>
      <c r="O2658">
        <v>1.3244489999999999E-2</v>
      </c>
      <c r="P2658">
        <v>-0.97244109999999995</v>
      </c>
      <c r="Q2658">
        <v>0.21087210000000001</v>
      </c>
      <c r="R2658">
        <v>-9.9457149999999994E-2</v>
      </c>
      <c r="S2658">
        <v>-3.0532840000000001</v>
      </c>
      <c r="T2658">
        <v>-0.10421619999999999</v>
      </c>
      <c r="U2658">
        <v>-0.52841190000000005</v>
      </c>
      <c r="V2658">
        <v>-0.11236500000000001</v>
      </c>
      <c r="W2658">
        <v>0.22490740000000001</v>
      </c>
      <c r="X2658">
        <v>0.9678795</v>
      </c>
      <c r="Y2658">
        <v>-0.18341399999999999</v>
      </c>
      <c r="Z2658">
        <v>-4.7041569999999996E-3</v>
      </c>
      <c r="AA2658">
        <v>0.98302449999999997</v>
      </c>
      <c r="AB2658">
        <v>33</v>
      </c>
      <c r="AC2658">
        <v>-32.2027</v>
      </c>
      <c r="AD2658">
        <v>-1.11050744099</v>
      </c>
      <c r="AE2658">
        <v>-5.6349000000000098</v>
      </c>
      <c r="AF2658">
        <v>-6.0539732109744397</v>
      </c>
      <c r="AG2658">
        <v>-1.11050744099</v>
      </c>
      <c r="AH2658">
        <v>32.088209712188302</v>
      </c>
      <c r="AI2658">
        <v>91.947763777718095</v>
      </c>
      <c r="AJ2658">
        <v>100.684212411658</v>
      </c>
      <c r="AK2658">
        <v>32.673185044453</v>
      </c>
      <c r="AL2658">
        <v>77.002566712864095</v>
      </c>
      <c r="AM2658">
        <v>96.622051978721004</v>
      </c>
      <c r="AN2658">
        <v>0.99999997916000405</v>
      </c>
    </row>
    <row r="2659" spans="1:40" x14ac:dyDescent="0.25">
      <c r="A2659" t="str">
        <f>"20190304155645649"</f>
        <v>20190304155645649</v>
      </c>
      <c r="B2659" t="str">
        <f>"1551686205646988"</f>
        <v>1551686205646988</v>
      </c>
      <c r="C2659" t="s">
        <v>40</v>
      </c>
      <c r="D2659">
        <v>4.7080440000000001</v>
      </c>
      <c r="E2659">
        <v>0.47105049999999998</v>
      </c>
      <c r="F2659" t="s">
        <v>53</v>
      </c>
      <c r="G2659">
        <v>-478.67439999999999</v>
      </c>
      <c r="H2659" s="1">
        <v>2.2993939999999998E-6</v>
      </c>
      <c r="I2659">
        <v>279.38299999999998</v>
      </c>
      <c r="J2659">
        <v>-446.23009999999999</v>
      </c>
      <c r="K2659">
        <v>1.110535</v>
      </c>
      <c r="L2659">
        <v>285.0967</v>
      </c>
      <c r="M2659">
        <v>-0.99980910000000001</v>
      </c>
      <c r="N2659">
        <v>-1.449162E-2</v>
      </c>
      <c r="O2659">
        <v>1.3111360000000001E-2</v>
      </c>
      <c r="P2659">
        <v>-0.97230050000000001</v>
      </c>
      <c r="Q2659">
        <v>0.2113342</v>
      </c>
      <c r="R2659">
        <v>-9.9849950000000007E-2</v>
      </c>
      <c r="S2659">
        <v>-3.05307</v>
      </c>
      <c r="T2659">
        <v>-0.1034755</v>
      </c>
      <c r="U2659">
        <v>-0.53201290000000001</v>
      </c>
      <c r="V2659">
        <v>-0.11263769999999999</v>
      </c>
      <c r="W2659">
        <v>0.22535849999999999</v>
      </c>
      <c r="X2659">
        <v>0.96774289999999996</v>
      </c>
      <c r="Y2659">
        <v>-0.18442120000000001</v>
      </c>
      <c r="Z2659">
        <v>-4.7003949999999996E-3</v>
      </c>
      <c r="AA2659">
        <v>0.98283609999999999</v>
      </c>
      <c r="AB2659">
        <v>33</v>
      </c>
      <c r="AC2659">
        <v>-32.444299999999998</v>
      </c>
      <c r="AD2659">
        <v>-1.110532700606</v>
      </c>
      <c r="AE2659">
        <v>-5.71370000000001</v>
      </c>
      <c r="AF2659">
        <v>-6.1316744247334398</v>
      </c>
      <c r="AG2659">
        <v>-1.110532700606</v>
      </c>
      <c r="AH2659">
        <v>32.329849539110803</v>
      </c>
      <c r="AI2659">
        <v>91.932910435965098</v>
      </c>
      <c r="AJ2659">
        <v>100.739155819576</v>
      </c>
      <c r="AK2659">
        <v>32.924912837418198</v>
      </c>
      <c r="AL2659">
        <v>76.976040027875598</v>
      </c>
      <c r="AM2659">
        <v>96.638908475700703</v>
      </c>
      <c r="AN2659">
        <v>1.0000000127419699</v>
      </c>
    </row>
    <row r="2660" spans="1:40" x14ac:dyDescent="0.25">
      <c r="A2660" t="str">
        <f>"20190304155645673"</f>
        <v>20190304155645673</v>
      </c>
      <c r="B2660" t="str">
        <f>"1551686205667484"</f>
        <v>1551686205667484</v>
      </c>
      <c r="C2660" t="s">
        <v>40</v>
      </c>
      <c r="D2660">
        <v>4.7100479999999996</v>
      </c>
      <c r="E2660">
        <v>0.47102739999999998</v>
      </c>
      <c r="F2660" t="s">
        <v>53</v>
      </c>
      <c r="G2660">
        <v>-479.01350000000002</v>
      </c>
      <c r="H2660" s="1">
        <v>2.1458720000000001E-6</v>
      </c>
      <c r="I2660">
        <v>279.35910000000001</v>
      </c>
      <c r="J2660">
        <v>-446.56790000000001</v>
      </c>
      <c r="K2660">
        <v>1.1105560000000001</v>
      </c>
      <c r="L2660">
        <v>285.10090000000002</v>
      </c>
      <c r="M2660">
        <v>-0.99981129999999996</v>
      </c>
      <c r="N2660">
        <v>-1.44881E-2</v>
      </c>
      <c r="O2660">
        <v>1.294593E-2</v>
      </c>
      <c r="P2660">
        <v>-0.9721438</v>
      </c>
      <c r="Q2660">
        <v>0.21184049999999999</v>
      </c>
      <c r="R2660">
        <v>-0.10030219999999999</v>
      </c>
      <c r="S2660">
        <v>-3.05307</v>
      </c>
      <c r="T2660">
        <v>-0.1034224</v>
      </c>
      <c r="U2660">
        <v>-0.53433229999999998</v>
      </c>
      <c r="V2660">
        <v>-0.1129382</v>
      </c>
      <c r="W2660">
        <v>0.2258542</v>
      </c>
      <c r="X2660">
        <v>0.96759229999999996</v>
      </c>
      <c r="Y2660">
        <v>-0.18498290000000001</v>
      </c>
      <c r="Z2660">
        <v>-4.7085219999999997E-3</v>
      </c>
      <c r="AA2660">
        <v>0.9827304</v>
      </c>
      <c r="AB2660">
        <v>33</v>
      </c>
      <c r="AC2660">
        <v>-32.445599999999999</v>
      </c>
      <c r="AD2660">
        <v>-1.11055385412799</v>
      </c>
      <c r="AE2660">
        <v>-5.7418000000000102</v>
      </c>
      <c r="AF2660">
        <v>-6.1544098917146801</v>
      </c>
      <c r="AG2660">
        <v>-1.11055385412799</v>
      </c>
      <c r="AH2660">
        <v>32.331811000323398</v>
      </c>
      <c r="AI2660">
        <v>91.932585081778498</v>
      </c>
      <c r="AJ2660">
        <v>100.777405599077</v>
      </c>
      <c r="AK2660">
        <v>32.931080965233797</v>
      </c>
      <c r="AL2660">
        <v>76.946886834953304</v>
      </c>
      <c r="AM2660">
        <v>96.657488065918798</v>
      </c>
      <c r="AN2660">
        <v>1.00000000784808</v>
      </c>
    </row>
    <row r="2661" spans="1:40" x14ac:dyDescent="0.25">
      <c r="A2661" t="str">
        <f>"20190304155645694"</f>
        <v>20190304155645694</v>
      </c>
      <c r="B2661" t="str">
        <f>"1551686205687004"</f>
        <v>1551686205687004</v>
      </c>
      <c r="C2661" t="s">
        <v>40</v>
      </c>
      <c r="D2661">
        <v>4.7163820000000003</v>
      </c>
      <c r="E2661">
        <v>0.4712479</v>
      </c>
      <c r="F2661" t="s">
        <v>53</v>
      </c>
      <c r="G2661">
        <v>-479.66680000000002</v>
      </c>
      <c r="H2661" s="1">
        <v>1.8455299999999999E-6</v>
      </c>
      <c r="I2661">
        <v>279.29039999999998</v>
      </c>
      <c r="J2661">
        <v>-446.88740000000001</v>
      </c>
      <c r="K2661">
        <v>1.1105769999999999</v>
      </c>
      <c r="L2661">
        <v>285.10489999999999</v>
      </c>
      <c r="M2661">
        <v>-0.99981359999999997</v>
      </c>
      <c r="N2661">
        <v>-1.4484759999999999E-2</v>
      </c>
      <c r="O2661">
        <v>1.277266E-2</v>
      </c>
      <c r="P2661">
        <v>-0.97187760000000001</v>
      </c>
      <c r="Q2661">
        <v>0.21274899999999999</v>
      </c>
      <c r="R2661">
        <v>-0.10095469999999999</v>
      </c>
      <c r="S2661">
        <v>-3.0529790000000001</v>
      </c>
      <c r="T2661">
        <v>-0.1024352</v>
      </c>
      <c r="U2661">
        <v>-0.53594969999999997</v>
      </c>
      <c r="V2661">
        <v>-0.1134278</v>
      </c>
      <c r="W2661">
        <v>0.22675100000000001</v>
      </c>
      <c r="X2661">
        <v>0.9673252</v>
      </c>
      <c r="Y2661">
        <v>-0.18532489999999999</v>
      </c>
      <c r="Z2661">
        <v>-4.6793590000000001E-3</v>
      </c>
      <c r="AA2661">
        <v>0.98266620000000005</v>
      </c>
      <c r="AB2661">
        <v>33</v>
      </c>
      <c r="AC2661">
        <v>-32.779400000000003</v>
      </c>
      <c r="AD2661">
        <v>-1.11057515447</v>
      </c>
      <c r="AE2661">
        <v>-5.8144999999999998</v>
      </c>
      <c r="AF2661">
        <v>-6.22582115901238</v>
      </c>
      <c r="AG2661">
        <v>-1.11057515447</v>
      </c>
      <c r="AH2661">
        <v>32.6660983708842</v>
      </c>
      <c r="AI2661">
        <v>91.912775804794407</v>
      </c>
      <c r="AJ2661">
        <v>100.79057242055001</v>
      </c>
      <c r="AK2661">
        <v>33.272634537319398</v>
      </c>
      <c r="AL2661">
        <v>76.894134842486693</v>
      </c>
      <c r="AM2661">
        <v>96.687917751441503</v>
      </c>
      <c r="AN2661">
        <v>0.99999996218443898</v>
      </c>
    </row>
    <row r="2662" spans="1:40" x14ac:dyDescent="0.25">
      <c r="A2662" t="str">
        <f>"20190304155645718"</f>
        <v>20190304155645718</v>
      </c>
      <c r="B2662" t="str">
        <f>"1551686205707499"</f>
        <v>1551686205707499</v>
      </c>
      <c r="C2662" t="s">
        <v>40</v>
      </c>
      <c r="D2662">
        <v>4.7045260000000004</v>
      </c>
      <c r="E2662">
        <v>0.47148990000000002</v>
      </c>
      <c r="F2662" t="s">
        <v>53</v>
      </c>
      <c r="G2662">
        <v>-480.94189999999998</v>
      </c>
      <c r="H2662" s="1">
        <v>1.7617260000000001E-6</v>
      </c>
      <c r="I2662">
        <v>279.1241</v>
      </c>
      <c r="J2662">
        <v>-447.22340000000003</v>
      </c>
      <c r="K2662">
        <v>1.110592</v>
      </c>
      <c r="L2662">
        <v>285.10899999999998</v>
      </c>
      <c r="M2662">
        <v>-0.99981609999999999</v>
      </c>
      <c r="N2662">
        <v>-1.4481239999999999E-2</v>
      </c>
      <c r="O2662">
        <v>1.257781E-2</v>
      </c>
      <c r="P2662">
        <v>-0.97174079999999996</v>
      </c>
      <c r="Q2662">
        <v>0.21302309999999999</v>
      </c>
      <c r="R2662">
        <v>-0.10169209999999999</v>
      </c>
      <c r="S2662">
        <v>-3.0528870000000001</v>
      </c>
      <c r="T2662">
        <v>-9.9559900000000007E-2</v>
      </c>
      <c r="U2662">
        <v>-0.53616330000000001</v>
      </c>
      <c r="V2662">
        <v>-0.1139815</v>
      </c>
      <c r="W2662">
        <v>0.2270162</v>
      </c>
      <c r="X2662">
        <v>0.967198</v>
      </c>
      <c r="Y2662">
        <v>-0.1852123</v>
      </c>
      <c r="Z2662">
        <v>-4.574514E-3</v>
      </c>
      <c r="AA2662">
        <v>0.98268789999999995</v>
      </c>
      <c r="AB2662">
        <v>33</v>
      </c>
      <c r="AC2662">
        <v>-33.718499999999899</v>
      </c>
      <c r="AD2662">
        <v>-1.1105902382740001</v>
      </c>
      <c r="AE2662">
        <v>-5.9849000000000396</v>
      </c>
      <c r="AF2662">
        <v>-6.4018428615706702</v>
      </c>
      <c r="AG2662">
        <v>-1.1105902382740001</v>
      </c>
      <c r="AH2662">
        <v>33.605204106467703</v>
      </c>
      <c r="AI2662">
        <v>91.859416222424599</v>
      </c>
      <c r="AJ2662">
        <v>100.785698982437</v>
      </c>
      <c r="AK2662">
        <v>34.227572887059097</v>
      </c>
      <c r="AL2662">
        <v>76.878534368340397</v>
      </c>
      <c r="AM2662">
        <v>96.721142791235806</v>
      </c>
      <c r="AN2662">
        <v>1.0000000543043399</v>
      </c>
    </row>
    <row r="2663" spans="1:40" x14ac:dyDescent="0.25">
      <c r="A2663" t="str">
        <f>"20190304155645740"</f>
        <v>20190304155645740</v>
      </c>
      <c r="B2663" t="str">
        <f>"1551686205727366"</f>
        <v>1551686205727366</v>
      </c>
      <c r="C2663" t="s">
        <v>40</v>
      </c>
      <c r="D2663">
        <v>4.7067819999999996</v>
      </c>
      <c r="E2663">
        <v>0.47148420000000002</v>
      </c>
      <c r="F2663" t="s">
        <v>53</v>
      </c>
      <c r="G2663">
        <v>-481.4939</v>
      </c>
      <c r="H2663" s="1">
        <v>1.845501E-6</v>
      </c>
      <c r="I2663">
        <v>279.08420000000001</v>
      </c>
      <c r="J2663">
        <v>-447.53980000000001</v>
      </c>
      <c r="K2663">
        <v>1.1106039999999999</v>
      </c>
      <c r="L2663">
        <v>285.11270000000002</v>
      </c>
      <c r="M2663">
        <v>-0.9998186</v>
      </c>
      <c r="N2663">
        <v>-1.447787E-2</v>
      </c>
      <c r="O2663">
        <v>1.2386909999999999E-2</v>
      </c>
      <c r="P2663">
        <v>-0.97161660000000005</v>
      </c>
      <c r="Q2663">
        <v>0.21334239999999999</v>
      </c>
      <c r="R2663">
        <v>-0.1022072</v>
      </c>
      <c r="S2663">
        <v>-3.052765</v>
      </c>
      <c r="T2663">
        <v>-9.8929639999999999E-2</v>
      </c>
      <c r="U2663">
        <v>-0.53668209999999905</v>
      </c>
      <c r="V2663">
        <v>-0.11431379999999999</v>
      </c>
      <c r="W2663">
        <v>0.22732830000000001</v>
      </c>
      <c r="X2663">
        <v>0.96708539999999998</v>
      </c>
      <c r="Y2663">
        <v>-0.1851949</v>
      </c>
      <c r="Z2663">
        <v>-4.5490030000000002E-3</v>
      </c>
      <c r="AA2663">
        <v>0.98269130000000005</v>
      </c>
      <c r="AB2663">
        <v>33</v>
      </c>
      <c r="AC2663">
        <v>-33.954099999999897</v>
      </c>
      <c r="AD2663">
        <v>-1.1106021544989999</v>
      </c>
      <c r="AE2663">
        <v>-6.0285000000000002</v>
      </c>
      <c r="AF2663">
        <v>-6.4419863120758798</v>
      </c>
      <c r="AG2663">
        <v>-1.1106021544989999</v>
      </c>
      <c r="AH2663">
        <v>33.841712275036897</v>
      </c>
      <c r="AI2663">
        <v>91.846499435894998</v>
      </c>
      <c r="AJ2663">
        <v>100.777674192958</v>
      </c>
      <c r="AK2663">
        <v>34.467290501240903</v>
      </c>
      <c r="AL2663">
        <v>76.860171356723598</v>
      </c>
      <c r="AM2663">
        <v>96.741335068627095</v>
      </c>
      <c r="AN2663">
        <v>0.99999998587224403</v>
      </c>
    </row>
    <row r="2664" spans="1:40" x14ac:dyDescent="0.25">
      <c r="A2664" t="str">
        <f>"20190304155645762"</f>
        <v>20190304155645762</v>
      </c>
      <c r="B2664" t="str">
        <f>"1551686205757622"</f>
        <v>1551686205757622</v>
      </c>
      <c r="C2664" t="s">
        <v>40</v>
      </c>
      <c r="D2664">
        <v>4.7127910000000002</v>
      </c>
      <c r="E2664">
        <v>0.47175099999999998</v>
      </c>
      <c r="F2664" t="s">
        <v>53</v>
      </c>
      <c r="G2664">
        <v>-481.80309999999997</v>
      </c>
      <c r="H2664" s="1">
        <v>1.8961909999999999E-6</v>
      </c>
      <c r="I2664">
        <v>279.07240000000002</v>
      </c>
      <c r="J2664">
        <v>-447.87049999999999</v>
      </c>
      <c r="K2664">
        <v>1.110611</v>
      </c>
      <c r="L2664">
        <v>285.11660000000001</v>
      </c>
      <c r="M2664">
        <v>-0.99982110000000002</v>
      </c>
      <c r="N2664">
        <v>-1.447435E-2</v>
      </c>
      <c r="O2664">
        <v>1.218377E-2</v>
      </c>
      <c r="P2664">
        <v>-0.9714872</v>
      </c>
      <c r="Q2664">
        <v>0.2137289</v>
      </c>
      <c r="R2664">
        <v>-0.1026295</v>
      </c>
      <c r="S2664">
        <v>-3.052765</v>
      </c>
      <c r="T2664">
        <v>-9.8951460000000005E-2</v>
      </c>
      <c r="U2664">
        <v>-0.53817749999999998</v>
      </c>
      <c r="V2664">
        <v>-0.1145408</v>
      </c>
      <c r="W2664">
        <v>0.2277081</v>
      </c>
      <c r="X2664">
        <v>0.96696919999999997</v>
      </c>
      <c r="Y2664">
        <v>-0.18546199999999999</v>
      </c>
      <c r="Z2664">
        <v>-4.5520059999999999E-3</v>
      </c>
      <c r="AA2664">
        <v>0.98264090000000004</v>
      </c>
      <c r="AB2664">
        <v>33</v>
      </c>
      <c r="AC2664">
        <v>-33.932599999999901</v>
      </c>
      <c r="AD2664">
        <v>-1.110609103809</v>
      </c>
      <c r="AE2664">
        <v>-6.0441999999999796</v>
      </c>
      <c r="AF2664">
        <v>-6.4505239663473803</v>
      </c>
      <c r="AG2664">
        <v>-1.110609103809</v>
      </c>
      <c r="AH2664">
        <v>33.821315299183901</v>
      </c>
      <c r="AI2664">
        <v>91.847499141513694</v>
      </c>
      <c r="AJ2664">
        <v>100.79797803072201</v>
      </c>
      <c r="AK2664">
        <v>34.4488618184795</v>
      </c>
      <c r="AL2664">
        <v>76.837824581544297</v>
      </c>
      <c r="AM2664">
        <v>96.755402382299494</v>
      </c>
      <c r="AN2664">
        <v>1.0000000037094401</v>
      </c>
    </row>
    <row r="2665" spans="1:40" x14ac:dyDescent="0.25">
      <c r="A2665" t="str">
        <f>"20190304155645785"</f>
        <v>20190304155645785</v>
      </c>
      <c r="B2665" t="str">
        <f>"1551686205777142"</f>
        <v>1551686205777142</v>
      </c>
      <c r="C2665" t="s">
        <v>40</v>
      </c>
      <c r="D2665">
        <v>4.7220930000000001</v>
      </c>
      <c r="E2665">
        <v>0.47173700000000002</v>
      </c>
      <c r="F2665" t="s">
        <v>53</v>
      </c>
      <c r="G2665">
        <v>-481.97359999999998</v>
      </c>
      <c r="H2665" s="1">
        <v>1.9402309999999999E-6</v>
      </c>
      <c r="I2665">
        <v>279.1114</v>
      </c>
      <c r="J2665">
        <v>-448.2013</v>
      </c>
      <c r="K2665">
        <v>1.110614</v>
      </c>
      <c r="L2665">
        <v>285.12049999999999</v>
      </c>
      <c r="M2665">
        <v>-0.99982349999999998</v>
      </c>
      <c r="N2665">
        <v>-1.447084E-2</v>
      </c>
      <c r="O2665">
        <v>1.198012E-2</v>
      </c>
      <c r="P2665">
        <v>-0.97139039999999999</v>
      </c>
      <c r="Q2665">
        <v>0.2140474</v>
      </c>
      <c r="R2665">
        <v>-0.1028818</v>
      </c>
      <c r="S2665">
        <v>-3.053131</v>
      </c>
      <c r="T2665">
        <v>-9.9428890000000006E-2</v>
      </c>
      <c r="U2665">
        <v>-0.537628199999999</v>
      </c>
      <c r="V2665">
        <v>-0.114596699999999</v>
      </c>
      <c r="W2665">
        <v>0.22802149999999999</v>
      </c>
      <c r="X2665">
        <v>0.96688870000000005</v>
      </c>
      <c r="Y2665">
        <v>-0.1850694</v>
      </c>
      <c r="Z2665">
        <v>-4.5547560000000001E-3</v>
      </c>
      <c r="AA2665">
        <v>0.98271489999999995</v>
      </c>
      <c r="AB2665">
        <v>33</v>
      </c>
      <c r="AC2665">
        <v>-33.772299999999902</v>
      </c>
      <c r="AD2665">
        <v>-1.1106120597689999</v>
      </c>
      <c r="AE2665">
        <v>-6.0090999999999797</v>
      </c>
      <c r="AF2665">
        <v>-6.4065915078417799</v>
      </c>
      <c r="AG2665">
        <v>-1.1106120597689999</v>
      </c>
      <c r="AH2665">
        <v>33.662591560738001</v>
      </c>
      <c r="AI2665">
        <v>91.856347600087702</v>
      </c>
      <c r="AJ2665">
        <v>100.77554210689701</v>
      </c>
      <c r="AK2665">
        <v>34.2848063211785</v>
      </c>
      <c r="AL2665">
        <v>76.819382659958805</v>
      </c>
      <c r="AM2665">
        <v>96.759226267222303</v>
      </c>
      <c r="AN2665">
        <v>0.99999998315041405</v>
      </c>
    </row>
    <row r="2666" spans="1:40" x14ac:dyDescent="0.25">
      <c r="A2666" t="str">
        <f>"20190304155645806"</f>
        <v>20190304155645806</v>
      </c>
      <c r="B2666" t="str">
        <f>"1551686205797638"</f>
        <v>1551686205797638</v>
      </c>
      <c r="C2666" t="s">
        <v>40</v>
      </c>
      <c r="D2666">
        <v>4.7186940000000002</v>
      </c>
      <c r="E2666">
        <v>0.47169759999999999</v>
      </c>
      <c r="F2666" t="s">
        <v>53</v>
      </c>
      <c r="G2666">
        <v>-482.61869999999999</v>
      </c>
      <c r="H2666" s="1">
        <v>2.0326069999999998E-6</v>
      </c>
      <c r="I2666">
        <v>279.04899999999998</v>
      </c>
      <c r="J2666">
        <v>-448.51069999999999</v>
      </c>
      <c r="K2666">
        <v>1.110619</v>
      </c>
      <c r="L2666">
        <v>285.12400000000002</v>
      </c>
      <c r="M2666">
        <v>-0.99982599999999999</v>
      </c>
      <c r="N2666">
        <v>-1.4467549999999999E-2</v>
      </c>
      <c r="O2666">
        <v>1.178878E-2</v>
      </c>
      <c r="P2666">
        <v>-0.97142450000000002</v>
      </c>
      <c r="Q2666">
        <v>0.21377160000000001</v>
      </c>
      <c r="R2666">
        <v>-0.1031343</v>
      </c>
      <c r="S2666">
        <v>-3.0530400000000002</v>
      </c>
      <c r="T2666">
        <v>-9.8518250000000002E-2</v>
      </c>
      <c r="U2666">
        <v>-0.538574199999999</v>
      </c>
      <c r="V2666">
        <v>-0.1146653</v>
      </c>
      <c r="W2666">
        <v>0.22774240000000001</v>
      </c>
      <c r="X2666">
        <v>0.96694639999999998</v>
      </c>
      <c r="Y2666">
        <v>-0.18518390000000001</v>
      </c>
      <c r="Z2666">
        <v>-4.522903E-3</v>
      </c>
      <c r="AA2666">
        <v>0.9826935</v>
      </c>
      <c r="AB2666">
        <v>33</v>
      </c>
      <c r="AC2666">
        <v>-34.107999999999997</v>
      </c>
      <c r="AD2666">
        <v>-1.110616967393</v>
      </c>
      <c r="AE2666">
        <v>-6.0749999999999797</v>
      </c>
      <c r="AF2666">
        <v>-6.4700624160643097</v>
      </c>
      <c r="AG2666">
        <v>-1.110616967393</v>
      </c>
      <c r="AH2666">
        <v>33.999065263983198</v>
      </c>
      <c r="AI2666">
        <v>91.8380025455686</v>
      </c>
      <c r="AJ2666">
        <v>100.77462155064499</v>
      </c>
      <c r="AK2666">
        <v>34.627035919070799</v>
      </c>
      <c r="AL2666">
        <v>76.835806741444301</v>
      </c>
      <c r="AM2666">
        <v>96.762835172311796</v>
      </c>
      <c r="AN2666">
        <v>1.0000000361274</v>
      </c>
    </row>
    <row r="2667" spans="1:40" x14ac:dyDescent="0.25">
      <c r="A2667" t="str">
        <f>"20190304155645829"</f>
        <v>20190304155645829</v>
      </c>
      <c r="B2667" t="str">
        <f>"1551686205817158"</f>
        <v>1551686205817158</v>
      </c>
      <c r="C2667" t="s">
        <v>40</v>
      </c>
      <c r="D2667">
        <v>4.715992</v>
      </c>
      <c r="E2667">
        <v>0.4716012</v>
      </c>
      <c r="F2667" t="s">
        <v>53</v>
      </c>
      <c r="G2667">
        <v>-482.50700000000001</v>
      </c>
      <c r="H2667" s="1">
        <v>2.035637E-6</v>
      </c>
      <c r="I2667">
        <v>279.11360000000002</v>
      </c>
      <c r="J2667">
        <v>-448.84030000000001</v>
      </c>
      <c r="K2667">
        <v>1.1106259999999999</v>
      </c>
      <c r="L2667">
        <v>285.1277</v>
      </c>
      <c r="M2667">
        <v>-0.99982839999999995</v>
      </c>
      <c r="N2667">
        <v>-1.446394E-2</v>
      </c>
      <c r="O2667">
        <v>1.1584809999999999E-2</v>
      </c>
      <c r="P2667">
        <v>-0.97138869999999999</v>
      </c>
      <c r="Q2667">
        <v>0.2139114</v>
      </c>
      <c r="R2667">
        <v>-0.103179199999999</v>
      </c>
      <c r="S2667">
        <v>-3.0528870000000001</v>
      </c>
      <c r="T2667">
        <v>-9.9733950000000002E-2</v>
      </c>
      <c r="U2667">
        <v>-0.53973389999999999</v>
      </c>
      <c r="V2667">
        <v>-0.11451310000000001</v>
      </c>
      <c r="W2667">
        <v>0.22787760000000001</v>
      </c>
      <c r="X2667">
        <v>0.96693249999999997</v>
      </c>
      <c r="Y2667">
        <v>-0.18535080000000001</v>
      </c>
      <c r="Z2667">
        <v>-4.5641739999999998E-3</v>
      </c>
      <c r="AA2667">
        <v>0.98266180000000003</v>
      </c>
      <c r="AB2667">
        <v>33</v>
      </c>
      <c r="AC2667">
        <v>-33.666699999999899</v>
      </c>
      <c r="AD2667">
        <v>-1.110623964363</v>
      </c>
      <c r="AE2667">
        <v>-6.0140999999999796</v>
      </c>
      <c r="AF2667">
        <v>-6.3970130754677399</v>
      </c>
      <c r="AG2667">
        <v>-1.110623964363</v>
      </c>
      <c r="AH2667">
        <v>33.5593688450789</v>
      </c>
      <c r="AI2667">
        <v>91.861970742432206</v>
      </c>
      <c r="AJ2667">
        <v>100.792127253751</v>
      </c>
      <c r="AK2667">
        <v>34.1816690516712</v>
      </c>
      <c r="AL2667">
        <v>76.827850078824298</v>
      </c>
      <c r="AM2667">
        <v>96.754037753318499</v>
      </c>
      <c r="AN2667">
        <v>0.99999995510480899</v>
      </c>
    </row>
    <row r="2668" spans="1:40" x14ac:dyDescent="0.25">
      <c r="A2668" t="str">
        <f>"20190304155645851"</f>
        <v>20190304155645851</v>
      </c>
      <c r="B2668" t="str">
        <f>"1551686205846979"</f>
        <v>1551686205846979</v>
      </c>
      <c r="C2668" t="s">
        <v>40</v>
      </c>
      <c r="D2668">
        <v>4.7328169999999998</v>
      </c>
      <c r="E2668">
        <v>0.47144019999999998</v>
      </c>
      <c r="F2668" t="s">
        <v>53</v>
      </c>
      <c r="G2668">
        <v>-482.8698</v>
      </c>
      <c r="H2668" s="1">
        <v>2.0958170000000002E-6</v>
      </c>
      <c r="I2668">
        <v>279.10180000000003</v>
      </c>
      <c r="J2668">
        <v>-449.16399999999999</v>
      </c>
      <c r="K2668">
        <v>1.1106259999999999</v>
      </c>
      <c r="L2668">
        <v>285.13119999999998</v>
      </c>
      <c r="M2668">
        <v>-0.99983069999999996</v>
      </c>
      <c r="N2668">
        <v>-1.446032E-2</v>
      </c>
      <c r="O2668">
        <v>1.1383819999999999E-2</v>
      </c>
      <c r="P2668">
        <v>-0.97125899999999998</v>
      </c>
      <c r="Q2668">
        <v>0.21441879999999999</v>
      </c>
      <c r="R2668">
        <v>-0.103348</v>
      </c>
      <c r="S2668">
        <v>-3.0528559999999998</v>
      </c>
      <c r="T2668">
        <v>-9.9636550000000004E-2</v>
      </c>
      <c r="U2668">
        <v>-0.54058839999999997</v>
      </c>
      <c r="V2668">
        <v>-0.1144868</v>
      </c>
      <c r="W2668">
        <v>0.228379</v>
      </c>
      <c r="X2668">
        <v>0.96681740000000005</v>
      </c>
      <c r="Y2668">
        <v>-0.1854218</v>
      </c>
      <c r="Z2668">
        <v>-4.5586070000000001E-3</v>
      </c>
      <c r="AA2668">
        <v>0.98264839999999998</v>
      </c>
      <c r="AB2668">
        <v>32</v>
      </c>
      <c r="AC2668">
        <v>-33.705800000000004</v>
      </c>
      <c r="AD2668">
        <v>-1.1106239041829999</v>
      </c>
      <c r="AE2668">
        <v>-6.0293999999999501</v>
      </c>
      <c r="AF2668">
        <v>-6.4060105026237197</v>
      </c>
      <c r="AG2668">
        <v>-1.1106239041829999</v>
      </c>
      <c r="AH2668">
        <v>33.599621489224802</v>
      </c>
      <c r="AI2668">
        <v>91.859728074845705</v>
      </c>
      <c r="AJ2668">
        <v>100.79430674642499</v>
      </c>
      <c r="AK2668">
        <v>34.222872764211999</v>
      </c>
      <c r="AL2668">
        <v>76.798345068633395</v>
      </c>
      <c r="AM2668">
        <v>96.753297355414304</v>
      </c>
      <c r="AN2668">
        <v>1.0000000399789899</v>
      </c>
    </row>
    <row r="2669" spans="1:40" x14ac:dyDescent="0.25">
      <c r="A2669" t="str">
        <f>"20190304155645874"</f>
        <v>20190304155645874</v>
      </c>
      <c r="B2669" t="str">
        <f>"1551686205867475"</f>
        <v>1551686205867475</v>
      </c>
      <c r="C2669" t="s">
        <v>40</v>
      </c>
      <c r="D2669">
        <v>4.7312640000000004</v>
      </c>
      <c r="E2669">
        <v>0.47130820000000001</v>
      </c>
      <c r="F2669" t="s">
        <v>53</v>
      </c>
      <c r="G2669">
        <v>-483.5419</v>
      </c>
      <c r="H2669" s="1">
        <v>2.186664E-6</v>
      </c>
      <c r="I2669">
        <v>279.02159999999998</v>
      </c>
      <c r="J2669">
        <v>-449.48930000000001</v>
      </c>
      <c r="K2669">
        <v>1.110622</v>
      </c>
      <c r="L2669">
        <v>285.13459999999998</v>
      </c>
      <c r="M2669">
        <v>-0.99983299999999997</v>
      </c>
      <c r="N2669">
        <v>-1.445697E-2</v>
      </c>
      <c r="O2669">
        <v>1.1181E-2</v>
      </c>
      <c r="P2669">
        <v>-0.97114540000000005</v>
      </c>
      <c r="Q2669">
        <v>0.21492430000000001</v>
      </c>
      <c r="R2669">
        <v>-0.1033644</v>
      </c>
      <c r="S2669">
        <v>-3.0527950000000001</v>
      </c>
      <c r="T2669">
        <v>-9.8624710000000004E-2</v>
      </c>
      <c r="U2669">
        <v>-0.54254150000000001</v>
      </c>
      <c r="V2669">
        <v>-0.1143057</v>
      </c>
      <c r="W2669">
        <v>0.2288799</v>
      </c>
      <c r="X2669">
        <v>0.96672029999999998</v>
      </c>
      <c r="Y2669">
        <v>-0.18583749999999999</v>
      </c>
      <c r="Z2669">
        <v>-4.5301710000000004E-3</v>
      </c>
      <c r="AA2669">
        <v>0.9825701</v>
      </c>
      <c r="AB2669">
        <v>32</v>
      </c>
      <c r="AC2669">
        <v>-34.052599999999899</v>
      </c>
      <c r="AD2669">
        <v>-1.1106198133359999</v>
      </c>
      <c r="AE2669">
        <v>-6.1130000000000004</v>
      </c>
      <c r="AF2669">
        <v>-6.4867150325986902</v>
      </c>
      <c r="AG2669">
        <v>-1.1106198133359999</v>
      </c>
      <c r="AH2669">
        <v>33.947131237129</v>
      </c>
      <c r="AI2669">
        <v>91.840552632079707</v>
      </c>
      <c r="AJ2669">
        <v>100.817836934906</v>
      </c>
      <c r="AK2669">
        <v>34.579165222931302</v>
      </c>
      <c r="AL2669">
        <v>76.768863842589994</v>
      </c>
      <c r="AM2669">
        <v>96.743384162004602</v>
      </c>
      <c r="AN2669">
        <v>0.99999997005429397</v>
      </c>
    </row>
    <row r="2670" spans="1:40" x14ac:dyDescent="0.25">
      <c r="A2670" t="str">
        <f>"20190304155645896"</f>
        <v>20190304155645896</v>
      </c>
      <c r="B2670" t="str">
        <f>"1551686205886995"</f>
        <v>1551686205886995</v>
      </c>
      <c r="C2670" t="s">
        <v>40</v>
      </c>
      <c r="D2670">
        <v>4.7520810000000004</v>
      </c>
      <c r="E2670">
        <v>0.47116459999999999</v>
      </c>
      <c r="F2670" t="s">
        <v>53</v>
      </c>
      <c r="G2670">
        <v>-484.00060000000002</v>
      </c>
      <c r="H2670" s="1">
        <v>2.2586109999999999E-6</v>
      </c>
      <c r="I2670">
        <v>278.99489999999997</v>
      </c>
      <c r="J2670">
        <v>-449.81110000000001</v>
      </c>
      <c r="K2670">
        <v>1.110627</v>
      </c>
      <c r="L2670">
        <v>285.13799999999998</v>
      </c>
      <c r="M2670">
        <v>-0.99983540000000004</v>
      </c>
      <c r="N2670">
        <v>-1.4453779999999999E-2</v>
      </c>
      <c r="O2670">
        <v>1.0979859999999999E-2</v>
      </c>
      <c r="P2670">
        <v>-0.97095540000000002</v>
      </c>
      <c r="Q2670">
        <v>0.2156998</v>
      </c>
      <c r="R2670">
        <v>-0.103536</v>
      </c>
      <c r="S2670">
        <v>-3.0530400000000002</v>
      </c>
      <c r="T2670">
        <v>-9.8250870000000004E-2</v>
      </c>
      <c r="U2670">
        <v>-0.54315190000000002</v>
      </c>
      <c r="V2670">
        <v>-0.1142807</v>
      </c>
      <c r="W2670">
        <v>0.22964979999999999</v>
      </c>
      <c r="X2670">
        <v>0.96654070000000003</v>
      </c>
      <c r="Y2670">
        <v>-0.1858177</v>
      </c>
      <c r="Z2670">
        <v>-4.5129699999999998E-3</v>
      </c>
      <c r="AA2670">
        <v>0.9825739</v>
      </c>
      <c r="AB2670">
        <v>32</v>
      </c>
      <c r="AC2670">
        <v>-34.189500000000002</v>
      </c>
      <c r="AD2670">
        <v>-1.110624741389</v>
      </c>
      <c r="AE2670">
        <v>-6.1430999999999996</v>
      </c>
      <c r="AF2670">
        <v>-6.5115084208893901</v>
      </c>
      <c r="AG2670">
        <v>-1.110624741389</v>
      </c>
      <c r="AH2670">
        <v>34.085138240846703</v>
      </c>
      <c r="AI2670">
        <v>91.833129285026502</v>
      </c>
      <c r="AJ2670">
        <v>100.815278794341</v>
      </c>
      <c r="AK2670">
        <v>34.719301233307299</v>
      </c>
      <c r="AL2670">
        <v>76.723545335368101</v>
      </c>
      <c r="AM2670">
        <v>96.743164113315103</v>
      </c>
      <c r="AN2670">
        <v>1.0000000168945</v>
      </c>
    </row>
    <row r="2671" spans="1:40" x14ac:dyDescent="0.25">
      <c r="A2671" t="str">
        <f>"20190304155645918"</f>
        <v>20190304155645918</v>
      </c>
      <c r="B2671" t="str">
        <f>"1551686205907491"</f>
        <v>1551686205907491</v>
      </c>
      <c r="C2671" t="s">
        <v>40</v>
      </c>
      <c r="D2671">
        <v>4.7434900000000004</v>
      </c>
      <c r="E2671">
        <v>0.47099659999999899</v>
      </c>
      <c r="F2671" t="s">
        <v>53</v>
      </c>
      <c r="G2671">
        <v>-485.06709999999998</v>
      </c>
      <c r="H2671" s="1">
        <v>2.392341E-6</v>
      </c>
      <c r="I2671">
        <v>278.8381</v>
      </c>
      <c r="J2671">
        <v>-450.13350000000003</v>
      </c>
      <c r="K2671">
        <v>1.110635</v>
      </c>
      <c r="L2671">
        <v>285.14139999999998</v>
      </c>
      <c r="M2671">
        <v>-0.99983759999999999</v>
      </c>
      <c r="N2671">
        <v>-1.4450569999999999E-2</v>
      </c>
      <c r="O2671">
        <v>1.077819E-2</v>
      </c>
      <c r="P2671">
        <v>-0.97101000000000004</v>
      </c>
      <c r="Q2671">
        <v>0.21546580000000001</v>
      </c>
      <c r="R2671">
        <v>-0.1035103</v>
      </c>
      <c r="S2671">
        <v>-3.0529169999999999</v>
      </c>
      <c r="T2671">
        <v>-9.6172090000000002E-2</v>
      </c>
      <c r="U2671">
        <v>-0.54553219999999902</v>
      </c>
      <c r="V2671">
        <v>-0.1140605</v>
      </c>
      <c r="W2671">
        <v>0.2294136</v>
      </c>
      <c r="X2671">
        <v>0.9666228</v>
      </c>
      <c r="Y2671">
        <v>-0.18637339999999999</v>
      </c>
      <c r="Z2671">
        <v>-4.4518750000000001E-3</v>
      </c>
      <c r="AA2671">
        <v>0.98246889999999998</v>
      </c>
      <c r="AB2671">
        <v>32</v>
      </c>
      <c r="AC2671">
        <v>-34.933599999999899</v>
      </c>
      <c r="AD2671">
        <v>-1.1106326076590001</v>
      </c>
      <c r="AE2671">
        <v>-6.3032999999999699</v>
      </c>
      <c r="AF2671">
        <v>-6.6729618570457703</v>
      </c>
      <c r="AG2671">
        <v>-1.1106326076590001</v>
      </c>
      <c r="AH2671">
        <v>34.829530402388698</v>
      </c>
      <c r="AI2671">
        <v>91.793806572806901</v>
      </c>
      <c r="AJ2671">
        <v>100.84582331695999</v>
      </c>
      <c r="AK2671">
        <v>35.480390538799</v>
      </c>
      <c r="AL2671">
        <v>76.737449840062695</v>
      </c>
      <c r="AM2671">
        <v>96.729724062134494</v>
      </c>
      <c r="AN2671">
        <v>1.0000000175025201</v>
      </c>
    </row>
    <row r="2672" spans="1:40" x14ac:dyDescent="0.25">
      <c r="A2672" t="str">
        <f>"20190304155645940"</f>
        <v>20190304155645940</v>
      </c>
      <c r="B2672" t="str">
        <f>"1551686205937278"</f>
        <v>1551686205937278</v>
      </c>
      <c r="C2672" t="s">
        <v>40</v>
      </c>
      <c r="D2672">
        <v>5.2395269999999998</v>
      </c>
      <c r="E2672">
        <v>0.47080109999999997</v>
      </c>
      <c r="F2672" t="s">
        <v>53</v>
      </c>
      <c r="G2672">
        <v>-484.8193</v>
      </c>
      <c r="H2672" s="1">
        <v>2.3803290000000001E-6</v>
      </c>
      <c r="I2672">
        <v>278.92840000000001</v>
      </c>
      <c r="J2672">
        <v>-450.44909999999999</v>
      </c>
      <c r="K2672">
        <v>1.110638</v>
      </c>
      <c r="L2672">
        <v>285.14460000000003</v>
      </c>
      <c r="M2672">
        <v>-0.99983979999999995</v>
      </c>
      <c r="N2672">
        <v>-1.4447369999999999E-2</v>
      </c>
      <c r="O2672">
        <v>1.058069E-2</v>
      </c>
      <c r="P2672">
        <v>-0.97097180000000005</v>
      </c>
      <c r="Q2672">
        <v>0.21541540000000001</v>
      </c>
      <c r="R2672">
        <v>-0.10397149999999999</v>
      </c>
      <c r="S2672">
        <v>-3.0529480000000002</v>
      </c>
      <c r="T2672">
        <v>-9.7754720000000003E-2</v>
      </c>
      <c r="U2672">
        <v>-0.54684449999999996</v>
      </c>
      <c r="V2672">
        <v>-0.11432929999999999</v>
      </c>
      <c r="W2672">
        <v>0.22936029999999999</v>
      </c>
      <c r="X2672">
        <v>0.96660369999999995</v>
      </c>
      <c r="Y2672">
        <v>-0.1865829</v>
      </c>
      <c r="Z2672">
        <v>-4.5063639999999997E-3</v>
      </c>
      <c r="AA2672">
        <v>0.98242890000000005</v>
      </c>
      <c r="AB2672">
        <v>32</v>
      </c>
      <c r="AC2672">
        <v>-34.370199999999997</v>
      </c>
      <c r="AD2672">
        <v>-1.1106356196709899</v>
      </c>
      <c r="AE2672">
        <v>-6.2162000000000104</v>
      </c>
      <c r="AF2672">
        <v>-6.57290433607319</v>
      </c>
      <c r="AG2672">
        <v>-1.1106356196709899</v>
      </c>
      <c r="AH2672">
        <v>34.267848382078903</v>
      </c>
      <c r="AI2672">
        <v>91.823119725260696</v>
      </c>
      <c r="AJ2672">
        <v>100.858007006636</v>
      </c>
      <c r="AK2672">
        <v>34.910199306620903</v>
      </c>
      <c r="AL2672">
        <v>76.740587460070401</v>
      </c>
      <c r="AM2672">
        <v>96.745569715987699</v>
      </c>
      <c r="AN2672">
        <v>1.0000000244541301</v>
      </c>
    </row>
    <row r="2673" spans="1:40" x14ac:dyDescent="0.25">
      <c r="A2673" t="str">
        <f>"20190304155645963"</f>
        <v>20190304155645963</v>
      </c>
      <c r="B2673" t="str">
        <f>"1551686205957774"</f>
        <v>1551686205957774</v>
      </c>
      <c r="C2673" t="s">
        <v>40</v>
      </c>
      <c r="D2673">
        <v>4.7828839999999904</v>
      </c>
      <c r="E2673">
        <v>0.49578990000000001</v>
      </c>
      <c r="F2673" t="s">
        <v>53</v>
      </c>
      <c r="G2673">
        <v>-484.6173</v>
      </c>
      <c r="H2673" s="1">
        <v>2.3669830000000001E-6</v>
      </c>
      <c r="I2673">
        <v>278.99200000000002</v>
      </c>
      <c r="J2673">
        <v>-450.78289999999998</v>
      </c>
      <c r="K2673">
        <v>1.110641</v>
      </c>
      <c r="L2673">
        <v>285.14789999999999</v>
      </c>
      <c r="M2673">
        <v>-0.99984189999999995</v>
      </c>
      <c r="N2673">
        <v>-1.444396E-2</v>
      </c>
      <c r="O2673">
        <v>1.037164E-2</v>
      </c>
      <c r="P2673">
        <v>-0.97098770000000001</v>
      </c>
      <c r="Q2673">
        <v>0.21531359999999999</v>
      </c>
      <c r="R2673">
        <v>-0.1040336</v>
      </c>
      <c r="S2673">
        <v>-3.052826</v>
      </c>
      <c r="T2673">
        <v>-9.9231959999999994E-2</v>
      </c>
      <c r="U2673">
        <v>-0.54971309999999995</v>
      </c>
      <c r="V2673">
        <v>-0.11418879999999999</v>
      </c>
      <c r="W2673">
        <v>0.2292553</v>
      </c>
      <c r="X2673">
        <v>0.96664519999999998</v>
      </c>
      <c r="Y2673">
        <v>-0.18727460000000001</v>
      </c>
      <c r="Z2673">
        <v>-4.5683369999999996E-3</v>
      </c>
      <c r="AA2673">
        <v>0.98229699999999998</v>
      </c>
      <c r="AB2673">
        <v>32</v>
      </c>
      <c r="AC2673">
        <v>-33.834400000000002</v>
      </c>
      <c r="AD2673">
        <v>-1.1106386330169999</v>
      </c>
      <c r="AE2673">
        <v>-6.1558999999999697</v>
      </c>
      <c r="AF2673">
        <v>-6.4997444033845797</v>
      </c>
      <c r="AG2673">
        <v>-1.1106386330169999</v>
      </c>
      <c r="AH2673">
        <v>33.733542192281099</v>
      </c>
      <c r="AI2673">
        <v>91.851682978119797</v>
      </c>
      <c r="AJ2673">
        <v>100.906040024635</v>
      </c>
      <c r="AK2673">
        <v>34.371966256251397</v>
      </c>
      <c r="AL2673">
        <v>76.746767996023905</v>
      </c>
      <c r="AM2673">
        <v>96.737069703763694</v>
      </c>
      <c r="AN2673">
        <v>1.0000000086532801</v>
      </c>
    </row>
    <row r="2674" spans="1:40" x14ac:dyDescent="0.25">
      <c r="A2674" t="str">
        <f>"20190304155645986"</f>
        <v>20190304155645986</v>
      </c>
      <c r="B2674" t="str">
        <f>"1551686205977294"</f>
        <v>1551686205977294</v>
      </c>
      <c r="C2674" t="s">
        <v>40</v>
      </c>
      <c r="D2674">
        <v>4.7598919999999998</v>
      </c>
      <c r="E2674">
        <v>0.50193859999999901</v>
      </c>
      <c r="F2674" t="s">
        <v>53</v>
      </c>
      <c r="G2674">
        <v>-495.26940000000002</v>
      </c>
      <c r="H2674" s="1">
        <v>2.6314349999999998E-6</v>
      </c>
      <c r="I2674">
        <v>280.05849999999998</v>
      </c>
      <c r="J2674">
        <v>-451.0992</v>
      </c>
      <c r="K2674">
        <v>1.1106400000000001</v>
      </c>
      <c r="L2674">
        <v>285.15100000000001</v>
      </c>
      <c r="M2674">
        <v>-0.99984399999999996</v>
      </c>
      <c r="N2674">
        <v>-1.4440730000000001E-2</v>
      </c>
      <c r="O2674">
        <v>1.017325E-2</v>
      </c>
      <c r="P2674">
        <v>-0.97099069999999998</v>
      </c>
      <c r="Q2674">
        <v>0.2152538</v>
      </c>
      <c r="R2674">
        <v>-0.1041301</v>
      </c>
      <c r="S2674">
        <v>-3.0690309999999998</v>
      </c>
      <c r="T2674">
        <v>-7.6620579999999994E-2</v>
      </c>
      <c r="U2674">
        <v>-0.35110469999999999</v>
      </c>
      <c r="V2674">
        <v>-0.11409279999999999</v>
      </c>
      <c r="W2674">
        <v>0.22919320000000001</v>
      </c>
      <c r="X2674">
        <v>0.96667130000000001</v>
      </c>
      <c r="Y2674">
        <v>-0.1237027</v>
      </c>
      <c r="Z2674">
        <v>-2.541995E-3</v>
      </c>
      <c r="AA2674">
        <v>0.99231610000000003</v>
      </c>
      <c r="AB2674">
        <v>32</v>
      </c>
      <c r="AC2674">
        <v>-44.170200000000001</v>
      </c>
      <c r="AD2674">
        <v>-1.1106373685649999</v>
      </c>
      <c r="AE2674">
        <v>-5.0925000000000296</v>
      </c>
      <c r="AF2674">
        <v>-5.5381821905869897</v>
      </c>
      <c r="AG2674">
        <v>-1.1106373685649999</v>
      </c>
      <c r="AH2674">
        <v>44.088591932924899</v>
      </c>
      <c r="AI2674">
        <v>91.431787728447901</v>
      </c>
      <c r="AJ2674">
        <v>97.159700475966005</v>
      </c>
      <c r="AK2674">
        <v>44.448947298766903</v>
      </c>
      <c r="AL2674">
        <v>76.750423898905296</v>
      </c>
      <c r="AM2674">
        <v>96.731277678855903</v>
      </c>
      <c r="AN2674">
        <v>1.00000004609088</v>
      </c>
    </row>
    <row r="2675" spans="1:40" x14ac:dyDescent="0.25">
      <c r="A2675" t="str">
        <f>"20190304155646007"</f>
        <v>20190304155646007</v>
      </c>
      <c r="B2675" t="str">
        <f>"1551686205997791"</f>
        <v>1551686205997791</v>
      </c>
      <c r="C2675" t="s">
        <v>40</v>
      </c>
      <c r="D2675">
        <v>4.7859059999999998</v>
      </c>
      <c r="E2675">
        <v>0.50435050000000003</v>
      </c>
      <c r="F2675" t="s">
        <v>53</v>
      </c>
      <c r="G2675">
        <v>-489.76420000000002</v>
      </c>
      <c r="H2675" s="1">
        <v>3.6516060000000001E-6</v>
      </c>
      <c r="I2675">
        <v>281.34309999999999</v>
      </c>
      <c r="J2675">
        <v>-451.41739999999999</v>
      </c>
      <c r="K2675">
        <v>1.1106339999999999</v>
      </c>
      <c r="L2675">
        <v>285.154</v>
      </c>
      <c r="M2675">
        <v>-0.99984620000000002</v>
      </c>
      <c r="N2675">
        <v>-1.443731E-2</v>
      </c>
      <c r="O2675">
        <v>9.9740330000000002E-3</v>
      </c>
      <c r="P2675">
        <v>-0.97099999999999997</v>
      </c>
      <c r="Q2675">
        <v>0.214891</v>
      </c>
      <c r="R2675">
        <v>-0.1047918</v>
      </c>
      <c r="S2675">
        <v>-3.076721</v>
      </c>
      <c r="T2675">
        <v>-8.8377479999999994E-2</v>
      </c>
      <c r="U2675">
        <v>-0.30300899999999997</v>
      </c>
      <c r="V2675">
        <v>-0.1145611</v>
      </c>
      <c r="W2675">
        <v>0.228827</v>
      </c>
      <c r="X2675">
        <v>0.96670259999999997</v>
      </c>
      <c r="Y2675">
        <v>-0.107865</v>
      </c>
      <c r="Z2675">
        <v>-2.468086E-3</v>
      </c>
      <c r="AA2675">
        <v>0.99416249999999995</v>
      </c>
      <c r="AB2675">
        <v>32</v>
      </c>
      <c r="AC2675">
        <v>-38.346800000000002</v>
      </c>
      <c r="AD2675">
        <v>-1.1106303483939901</v>
      </c>
      <c r="AE2675">
        <v>-3.8109000000000002</v>
      </c>
      <c r="AF2675">
        <v>-4.1897422835737901</v>
      </c>
      <c r="AG2675">
        <v>-1.1106303483939901</v>
      </c>
      <c r="AH2675">
        <v>38.275085362230897</v>
      </c>
      <c r="AI2675">
        <v>91.652224761317299</v>
      </c>
      <c r="AJ2675">
        <v>96.246950885513598</v>
      </c>
      <c r="AK2675">
        <v>38.519730005019603</v>
      </c>
      <c r="AL2675">
        <v>76.771977544269006</v>
      </c>
      <c r="AM2675">
        <v>96.7584346880097</v>
      </c>
      <c r="AN2675">
        <v>0.99999997920448402</v>
      </c>
    </row>
    <row r="2676" spans="1:40" x14ac:dyDescent="0.25">
      <c r="A2676" t="str">
        <f>"20190304155646026"</f>
        <v>20190304155646026</v>
      </c>
      <c r="B2676" t="str">
        <f>"1551686206017312"</f>
        <v>1551686206017312</v>
      </c>
      <c r="C2676" t="s">
        <v>40</v>
      </c>
      <c r="D2676">
        <v>4.8015179999999997</v>
      </c>
      <c r="E2676">
        <v>0.50554960000000004</v>
      </c>
      <c r="F2676" t="s">
        <v>53</v>
      </c>
      <c r="G2676">
        <v>-486.89839999999998</v>
      </c>
      <c r="H2676" s="1">
        <v>3.18816E-6</v>
      </c>
      <c r="I2676">
        <v>281.85669999999999</v>
      </c>
      <c r="J2676">
        <v>-451.68610000000001</v>
      </c>
      <c r="K2676">
        <v>1.1106339999999999</v>
      </c>
      <c r="L2676">
        <v>285.15649999999999</v>
      </c>
      <c r="M2676">
        <v>-0.99984779999999995</v>
      </c>
      <c r="N2676">
        <v>-1.443441E-2</v>
      </c>
      <c r="O2676">
        <v>9.8058050000000008E-3</v>
      </c>
      <c r="P2676">
        <v>-0.97100960000000003</v>
      </c>
      <c r="Q2676">
        <v>0.21477689999999999</v>
      </c>
      <c r="R2676">
        <v>-0.1049363</v>
      </c>
      <c r="S2676">
        <v>-3.0800169999999998</v>
      </c>
      <c r="T2676">
        <v>-9.6410990000000002E-2</v>
      </c>
      <c r="U2676">
        <v>-0.28622439999999999</v>
      </c>
      <c r="V2676">
        <v>-0.1145422</v>
      </c>
      <c r="W2676">
        <v>0.22871089999999999</v>
      </c>
      <c r="X2676">
        <v>0.96673229999999999</v>
      </c>
      <c r="Y2676">
        <v>-0.102217</v>
      </c>
      <c r="Z2676">
        <v>-2.5006120000000001E-3</v>
      </c>
      <c r="AA2676">
        <v>0.99475899999999995</v>
      </c>
      <c r="AB2676">
        <v>32</v>
      </c>
      <c r="AC2676">
        <v>-35.2122999999999</v>
      </c>
      <c r="AD2676">
        <v>-1.1106308118399999</v>
      </c>
      <c r="AE2676">
        <v>-3.2997999999999998</v>
      </c>
      <c r="AF2676">
        <v>-3.6413711958746098</v>
      </c>
      <c r="AG2676">
        <v>-1.1106308118399999</v>
      </c>
      <c r="AH2676">
        <v>35.143588463455401</v>
      </c>
      <c r="AI2676">
        <v>91.800463908503502</v>
      </c>
      <c r="AJ2676">
        <v>95.915541227438197</v>
      </c>
      <c r="AK2676">
        <v>35.349185210907898</v>
      </c>
      <c r="AL2676">
        <v>76.778810614199003</v>
      </c>
      <c r="AM2676">
        <v>96.757124330392799</v>
      </c>
      <c r="AN2676">
        <v>0.99999996561146898</v>
      </c>
    </row>
    <row r="2677" spans="1:40" x14ac:dyDescent="0.25">
      <c r="A2677" t="str">
        <f>"20190304155646041"</f>
        <v>20190304155646041</v>
      </c>
      <c r="B2677" t="str">
        <f>"1551686206037341"</f>
        <v>1551686206037341</v>
      </c>
      <c r="C2677" t="s">
        <v>40</v>
      </c>
      <c r="D2677">
        <v>4.7999330000000002</v>
      </c>
      <c r="E2677">
        <v>0.50611159999999999</v>
      </c>
      <c r="F2677" t="s">
        <v>53</v>
      </c>
      <c r="G2677">
        <v>-485.43169999999998</v>
      </c>
      <c r="H2677" s="1">
        <v>2.9513250000000001E-6</v>
      </c>
      <c r="I2677">
        <v>282.12360000000001</v>
      </c>
      <c r="J2677">
        <v>-451.89780000000002</v>
      </c>
      <c r="K2677">
        <v>1.110638</v>
      </c>
      <c r="L2677">
        <v>285.15839999999997</v>
      </c>
      <c r="M2677">
        <v>-0.99984910000000005</v>
      </c>
      <c r="N2677">
        <v>-1.4432149999999999E-2</v>
      </c>
      <c r="O2677">
        <v>9.6733319999999998E-3</v>
      </c>
      <c r="P2677">
        <v>-0.97103819999999996</v>
      </c>
      <c r="Q2677">
        <v>0.21456030000000001</v>
      </c>
      <c r="R2677">
        <v>-0.1051141</v>
      </c>
      <c r="S2677">
        <v>-3.0820919999999998</v>
      </c>
      <c r="T2677">
        <v>-0.1014374</v>
      </c>
      <c r="U2677">
        <v>-0.27700809999999998</v>
      </c>
      <c r="V2677">
        <v>-0.1145911</v>
      </c>
      <c r="W2677">
        <v>0.22849269999999999</v>
      </c>
      <c r="X2677">
        <v>0.96677820000000003</v>
      </c>
      <c r="Y2677">
        <v>-9.906877E-2</v>
      </c>
      <c r="Z2677">
        <v>-2.5215670000000002E-3</v>
      </c>
      <c r="AA2677">
        <v>0.9950774</v>
      </c>
      <c r="AB2677">
        <v>32</v>
      </c>
      <c r="AC2677">
        <v>-33.533899999999903</v>
      </c>
      <c r="AD2677">
        <v>-1.1106350486750001</v>
      </c>
      <c r="AE2677">
        <v>-3.0347999999999602</v>
      </c>
      <c r="AF2677">
        <v>-3.3554255706636198</v>
      </c>
      <c r="AG2677">
        <v>-1.1106350486750001</v>
      </c>
      <c r="AH2677">
        <v>33.466559121635299</v>
      </c>
      <c r="AI2677">
        <v>91.891268554312404</v>
      </c>
      <c r="AJ2677">
        <v>95.725458024107198</v>
      </c>
      <c r="AK2677">
        <v>33.652681474342003</v>
      </c>
      <c r="AL2677">
        <v>76.791653893358401</v>
      </c>
      <c r="AM2677">
        <v>96.759664394595106</v>
      </c>
      <c r="AN2677">
        <v>1.00000006107386</v>
      </c>
    </row>
    <row r="2678" spans="1:40" x14ac:dyDescent="0.25">
      <c r="A2678" t="str">
        <f>"20190304155646064"</f>
        <v>20190304155646064</v>
      </c>
      <c r="B2678" t="str">
        <f>"1551686206057836"</f>
        <v>1551686206057836</v>
      </c>
      <c r="C2678" t="s">
        <v>40</v>
      </c>
      <c r="D2678">
        <v>4.8014859999999997</v>
      </c>
      <c r="E2678">
        <v>0.50617400000000001</v>
      </c>
      <c r="F2678" t="s">
        <v>53</v>
      </c>
      <c r="G2678">
        <v>-484.35050000000001</v>
      </c>
      <c r="H2678" s="1">
        <v>2.773575E-6</v>
      </c>
      <c r="I2678">
        <v>282.2842</v>
      </c>
      <c r="J2678">
        <v>-452.22489999999999</v>
      </c>
      <c r="K2678">
        <v>1.110638</v>
      </c>
      <c r="L2678">
        <v>285.16140000000001</v>
      </c>
      <c r="M2678">
        <v>-0.99985119999999905</v>
      </c>
      <c r="N2678">
        <v>-1.4428679999999999E-2</v>
      </c>
      <c r="O2678">
        <v>9.467975E-3</v>
      </c>
      <c r="P2678">
        <v>-0.97093260000000003</v>
      </c>
      <c r="Q2678">
        <v>0.2148253</v>
      </c>
      <c r="R2678">
        <v>-0.1055479</v>
      </c>
      <c r="S2678">
        <v>-3.083221</v>
      </c>
      <c r="T2678">
        <v>-0.1055175</v>
      </c>
      <c r="U2678">
        <v>-0.27307130000000002</v>
      </c>
      <c r="V2678">
        <v>-0.114825</v>
      </c>
      <c r="W2678">
        <v>0.22875309999999999</v>
      </c>
      <c r="X2678">
        <v>0.96668880000000001</v>
      </c>
      <c r="Y2678">
        <v>-9.7567029999999999E-2</v>
      </c>
      <c r="Z2678">
        <v>-2.5583749999999999E-3</v>
      </c>
      <c r="AA2678">
        <v>0.99522569999999999</v>
      </c>
      <c r="AB2678">
        <v>32</v>
      </c>
      <c r="AC2678">
        <v>-32.125599999999999</v>
      </c>
      <c r="AD2678">
        <v>-1.1106352264249999</v>
      </c>
      <c r="AE2678">
        <v>-2.87720000000001</v>
      </c>
      <c r="AF2678">
        <v>-3.1774994906048701</v>
      </c>
      <c r="AG2678">
        <v>-1.1106352264249999</v>
      </c>
      <c r="AH2678">
        <v>32.058903782380298</v>
      </c>
      <c r="AI2678">
        <v>91.974470598320806</v>
      </c>
      <c r="AJ2678">
        <v>95.660350835297393</v>
      </c>
      <c r="AK2678">
        <v>32.235125644968299</v>
      </c>
      <c r="AL2678">
        <v>76.776327332891896</v>
      </c>
      <c r="AM2678">
        <v>96.773954542628104</v>
      </c>
      <c r="AN2678">
        <v>0.99999999871502498</v>
      </c>
    </row>
    <row r="2679" spans="1:40" x14ac:dyDescent="0.25">
      <c r="A2679" t="str">
        <f>"20190304155646086"</f>
        <v>20190304155646086</v>
      </c>
      <c r="B2679" t="str">
        <f>"1551686206077353"</f>
        <v>1551686206077353</v>
      </c>
      <c r="C2679" t="s">
        <v>40</v>
      </c>
      <c r="D2679">
        <v>4.8224999999999998</v>
      </c>
      <c r="E2679">
        <v>0.50638969999999905</v>
      </c>
      <c r="F2679" t="s">
        <v>53</v>
      </c>
      <c r="G2679">
        <v>-483.96129999999999</v>
      </c>
      <c r="H2679" s="1">
        <v>2.7097359999999998E-6</v>
      </c>
      <c r="I2679">
        <v>282.34370000000001</v>
      </c>
      <c r="J2679">
        <v>-452.53469999999999</v>
      </c>
      <c r="K2679">
        <v>1.1106389999999999</v>
      </c>
      <c r="L2679">
        <v>285.16410000000002</v>
      </c>
      <c r="M2679">
        <v>-0.99985310000000005</v>
      </c>
      <c r="N2679">
        <v>-1.442533E-2</v>
      </c>
      <c r="O2679">
        <v>9.2720219999999996E-3</v>
      </c>
      <c r="P2679">
        <v>-0.97086110000000003</v>
      </c>
      <c r="Q2679">
        <v>0.21507299999999999</v>
      </c>
      <c r="R2679">
        <v>-0.10569919999999999</v>
      </c>
      <c r="S2679">
        <v>-3.0839539999999999</v>
      </c>
      <c r="T2679">
        <v>-0.1079248</v>
      </c>
      <c r="U2679">
        <v>-0.27380369999999998</v>
      </c>
      <c r="V2679">
        <v>-0.114786</v>
      </c>
      <c r="W2679">
        <v>0.2289968</v>
      </c>
      <c r="X2679">
        <v>0.96663580000000004</v>
      </c>
      <c r="Y2679">
        <v>-9.7582479999999999E-2</v>
      </c>
      <c r="Z2679">
        <v>-2.5994730000000001E-3</v>
      </c>
      <c r="AA2679">
        <v>0.99522409999999994</v>
      </c>
      <c r="AB2679">
        <v>32</v>
      </c>
      <c r="AC2679">
        <v>-31.426600000000001</v>
      </c>
      <c r="AD2679">
        <v>-1.1106362902639999</v>
      </c>
      <c r="AE2679">
        <v>-2.8203999999999998</v>
      </c>
      <c r="AF2679">
        <v>-3.1078465783870302</v>
      </c>
      <c r="AG2679">
        <v>-1.1106362902639999</v>
      </c>
      <c r="AH2679">
        <v>31.360240508731302</v>
      </c>
      <c r="AI2679">
        <v>92.018427604317296</v>
      </c>
      <c r="AJ2679">
        <v>95.659617527574298</v>
      </c>
      <c r="AK2679">
        <v>31.533425251461601</v>
      </c>
      <c r="AL2679">
        <v>76.761984502912597</v>
      </c>
      <c r="AM2679">
        <v>96.772042994695397</v>
      </c>
      <c r="AN2679">
        <v>1.00000006502393</v>
      </c>
    </row>
    <row r="2680" spans="1:40" x14ac:dyDescent="0.25">
      <c r="A2680" t="str">
        <f>"20190304155646103"</f>
        <v>20190304155646103</v>
      </c>
      <c r="B2680" t="str">
        <f>"1551686206096873"</f>
        <v>1551686206096873</v>
      </c>
      <c r="C2680" t="s">
        <v>40</v>
      </c>
      <c r="D2680">
        <v>4.789974</v>
      </c>
      <c r="E2680">
        <v>0.50641069999999999</v>
      </c>
      <c r="F2680" t="s">
        <v>53</v>
      </c>
      <c r="G2680">
        <v>-482.89440000000002</v>
      </c>
      <c r="H2680" s="1">
        <v>2.5323849999999999E-6</v>
      </c>
      <c r="I2680">
        <v>282.47980000000001</v>
      </c>
      <c r="J2680">
        <v>-452.78570000000002</v>
      </c>
      <c r="K2680">
        <v>1.110643</v>
      </c>
      <c r="L2680">
        <v>285.16629999999998</v>
      </c>
      <c r="M2680">
        <v>-0.99985460000000004</v>
      </c>
      <c r="N2680">
        <v>-1.4422590000000001E-2</v>
      </c>
      <c r="O2680">
        <v>9.1100769999999994E-3</v>
      </c>
      <c r="P2680">
        <v>-0.97085030000000005</v>
      </c>
      <c r="Q2680">
        <v>0.2151438</v>
      </c>
      <c r="R2680">
        <v>-0.105655</v>
      </c>
      <c r="S2680">
        <v>-3.085388</v>
      </c>
      <c r="T2680">
        <v>-0.1128716</v>
      </c>
      <c r="U2680">
        <v>-0.2727966</v>
      </c>
      <c r="V2680">
        <v>-0.1145854</v>
      </c>
      <c r="W2680">
        <v>0.22906460000000001</v>
      </c>
      <c r="X2680">
        <v>0.96664349999999999</v>
      </c>
      <c r="Y2680">
        <v>-9.7051810000000002E-2</v>
      </c>
      <c r="Z2680">
        <v>-2.6741909999999998E-3</v>
      </c>
      <c r="AA2680">
        <v>0.99527569999999999</v>
      </c>
      <c r="AB2680">
        <v>32</v>
      </c>
      <c r="AC2680">
        <v>-30.108699999999999</v>
      </c>
      <c r="AD2680">
        <v>-1.1106404676149999</v>
      </c>
      <c r="AE2680">
        <v>-2.6864999999999601</v>
      </c>
      <c r="AF2680">
        <v>-2.9567181358551999</v>
      </c>
      <c r="AG2680">
        <v>-1.1106404676149999</v>
      </c>
      <c r="AH2680">
        <v>30.042417644523301</v>
      </c>
      <c r="AI2680">
        <v>92.107037249048503</v>
      </c>
      <c r="AJ2680">
        <v>95.620841239234693</v>
      </c>
      <c r="AK2680">
        <v>30.207988385709498</v>
      </c>
      <c r="AL2680">
        <v>76.757993306756802</v>
      </c>
      <c r="AM2680">
        <v>96.760264449593393</v>
      </c>
      <c r="AN2680">
        <v>1.00000003047928</v>
      </c>
    </row>
    <row r="2681" spans="1:40" x14ac:dyDescent="0.25">
      <c r="A2681" t="str">
        <f>"20190304155646118"</f>
        <v>20190304155646118</v>
      </c>
      <c r="B2681" t="str">
        <f>"1551686206107609"</f>
        <v>1551686206107609</v>
      </c>
      <c r="C2681" t="s">
        <v>40</v>
      </c>
      <c r="D2681">
        <v>4.7898699999999996</v>
      </c>
      <c r="E2681">
        <v>0.50636099999999995</v>
      </c>
      <c r="F2681" t="s">
        <v>53</v>
      </c>
      <c r="G2681">
        <v>-482.93419999999998</v>
      </c>
      <c r="H2681" s="1">
        <v>2.5414139999999999E-6</v>
      </c>
      <c r="I2681">
        <v>282.50229999999999</v>
      </c>
      <c r="J2681">
        <v>-453.00740000000002</v>
      </c>
      <c r="K2681">
        <v>1.1106499999999999</v>
      </c>
      <c r="L2681">
        <v>285.16809999999998</v>
      </c>
      <c r="M2681">
        <v>-0.99985590000000002</v>
      </c>
      <c r="N2681">
        <v>-1.442017E-2</v>
      </c>
      <c r="O2681">
        <v>8.9632469999999902E-3</v>
      </c>
      <c r="P2681">
        <v>-0.97081079999999997</v>
      </c>
      <c r="Q2681">
        <v>0.21518780000000001</v>
      </c>
      <c r="R2681">
        <v>-0.1059282</v>
      </c>
      <c r="S2681">
        <v>-3.0855709999999998</v>
      </c>
      <c r="T2681">
        <v>-0.1136694</v>
      </c>
      <c r="U2681">
        <v>-0.272644</v>
      </c>
      <c r="V2681">
        <v>-0.1147175</v>
      </c>
      <c r="W2681">
        <v>0.229105</v>
      </c>
      <c r="X2681">
        <v>0.96661819999999998</v>
      </c>
      <c r="Y2681">
        <v>-9.6850749999999999E-2</v>
      </c>
      <c r="Z2681">
        <v>-2.6804020000000001E-3</v>
      </c>
      <c r="AA2681">
        <v>0.99529529999999999</v>
      </c>
      <c r="AB2681">
        <v>32</v>
      </c>
      <c r="AC2681">
        <v>-29.926799999999901</v>
      </c>
      <c r="AD2681">
        <v>-1.110647458586</v>
      </c>
      <c r="AE2681">
        <v>-2.6657999999999902</v>
      </c>
      <c r="AF2681">
        <v>-2.92995837656068</v>
      </c>
      <c r="AG2681">
        <v>-1.110647458586</v>
      </c>
      <c r="AH2681">
        <v>29.8608969022909</v>
      </c>
      <c r="AI2681">
        <v>92.119908755433798</v>
      </c>
      <c r="AJ2681">
        <v>95.603937466714001</v>
      </c>
      <c r="AK2681">
        <v>30.024845672790601</v>
      </c>
      <c r="AL2681">
        <v>76.755614572778995</v>
      </c>
      <c r="AM2681">
        <v>96.768161279793304</v>
      </c>
      <c r="AN2681">
        <v>0.99999997520124395</v>
      </c>
    </row>
    <row r="2682" spans="1:40" x14ac:dyDescent="0.25">
      <c r="A2682" t="str">
        <f>"20190304155646141"</f>
        <v>20190304155646141</v>
      </c>
      <c r="B2682" t="str">
        <f>"1551686206136889"</f>
        <v>1551686206136889</v>
      </c>
      <c r="C2682" t="s">
        <v>40</v>
      </c>
      <c r="D2682">
        <v>4.7802699999999998</v>
      </c>
      <c r="E2682">
        <v>0.50618580000000002</v>
      </c>
      <c r="F2682" t="s">
        <v>53</v>
      </c>
      <c r="G2682">
        <v>-483.02850000000001</v>
      </c>
      <c r="H2682" s="1">
        <v>2.558641E-6</v>
      </c>
      <c r="I2682">
        <v>282.50810000000001</v>
      </c>
      <c r="J2682">
        <v>-453.33510000000001</v>
      </c>
      <c r="K2682">
        <v>1.1106609999999999</v>
      </c>
      <c r="L2682">
        <v>285.17079999999999</v>
      </c>
      <c r="M2682">
        <v>-0.99985800000000002</v>
      </c>
      <c r="N2682">
        <v>-1.441652E-2</v>
      </c>
      <c r="O2682">
        <v>8.7360659999999903E-3</v>
      </c>
      <c r="P2682">
        <v>-0.97068180000000004</v>
      </c>
      <c r="Q2682">
        <v>0.21570059999999999</v>
      </c>
      <c r="R2682">
        <v>-0.1060673</v>
      </c>
      <c r="S2682">
        <v>-3.0856319999999999</v>
      </c>
      <c r="T2682">
        <v>-0.1141547</v>
      </c>
      <c r="U2682">
        <v>-0.27340700000000001</v>
      </c>
      <c r="V2682">
        <v>-0.1146389</v>
      </c>
      <c r="W2682">
        <v>0.2296108</v>
      </c>
      <c r="X2682">
        <v>0.96650749999999996</v>
      </c>
      <c r="Y2682">
        <v>-9.6866389999999997E-2</v>
      </c>
      <c r="Z2682">
        <v>-2.6844870000000002E-3</v>
      </c>
      <c r="AA2682">
        <v>0.99529380000000001</v>
      </c>
      <c r="AB2682">
        <v>32</v>
      </c>
      <c r="AC2682">
        <v>-29.6934</v>
      </c>
      <c r="AD2682">
        <v>-1.1106584413589999</v>
      </c>
      <c r="AE2682">
        <v>-2.6626999999999699</v>
      </c>
      <c r="AF2682">
        <v>-2.9179789034832599</v>
      </c>
      <c r="AG2682">
        <v>-1.1106584413589999</v>
      </c>
      <c r="AH2682">
        <v>29.6278817395381</v>
      </c>
      <c r="AI2682">
        <v>92.136510625661003</v>
      </c>
      <c r="AJ2682">
        <v>95.624784058215695</v>
      </c>
      <c r="AK2682">
        <v>29.7919374903109</v>
      </c>
      <c r="AL2682">
        <v>76.725840617612207</v>
      </c>
      <c r="AM2682">
        <v>96.764334466701797</v>
      </c>
      <c r="AN2682">
        <v>0.99999997221304904</v>
      </c>
    </row>
    <row r="2683" spans="1:40" x14ac:dyDescent="0.25">
      <c r="A2683" t="str">
        <f>"20190304155646176"</f>
        <v>20190304155646176</v>
      </c>
      <c r="B2683" t="str">
        <f>"1551686206167145"</f>
        <v>1551686206167145</v>
      </c>
      <c r="C2683" t="s">
        <v>40</v>
      </c>
      <c r="D2683">
        <v>4.790654</v>
      </c>
      <c r="E2683">
        <v>0.50608549999999997</v>
      </c>
      <c r="F2683" t="s">
        <v>53</v>
      </c>
      <c r="G2683">
        <v>-482.97680000000003</v>
      </c>
      <c r="H2683" s="1">
        <v>2.5511290000000002E-6</v>
      </c>
      <c r="I2683">
        <v>282.52699999999999</v>
      </c>
      <c r="J2683">
        <v>-453.81180000000001</v>
      </c>
      <c r="K2683">
        <v>1.1106689999999999</v>
      </c>
      <c r="L2683">
        <v>285.1746</v>
      </c>
      <c r="M2683">
        <v>-0.99986120000000001</v>
      </c>
      <c r="N2683">
        <v>-1.441129E-2</v>
      </c>
      <c r="O2683">
        <v>8.3794560000000004E-3</v>
      </c>
      <c r="P2683">
        <v>-0.97061960000000003</v>
      </c>
      <c r="Q2683">
        <v>0.2163398</v>
      </c>
      <c r="R2683">
        <v>-0.1053316</v>
      </c>
      <c r="S2683">
        <v>-3.0862120000000002</v>
      </c>
      <c r="T2683">
        <v>-0.11563850000000001</v>
      </c>
      <c r="U2683">
        <v>-0.27526859999999997</v>
      </c>
      <c r="V2683">
        <v>-0.1135661</v>
      </c>
      <c r="W2683">
        <v>0.2302411</v>
      </c>
      <c r="X2683">
        <v>0.96648420000000002</v>
      </c>
      <c r="Y2683">
        <v>-9.708841E-2</v>
      </c>
      <c r="Z2683">
        <v>-2.708809E-3</v>
      </c>
      <c r="AA2683">
        <v>0.99527209999999999</v>
      </c>
      <c r="AB2683">
        <v>32</v>
      </c>
      <c r="AC2683">
        <v>-29.164999999999999</v>
      </c>
      <c r="AD2683">
        <v>-1.1106664488709901</v>
      </c>
      <c r="AE2683">
        <v>-2.6476000000000099</v>
      </c>
      <c r="AF2683">
        <v>-2.8877654497610199</v>
      </c>
      <c r="AG2683">
        <v>-1.1106664488709901</v>
      </c>
      <c r="AH2683">
        <v>29.099930833095101</v>
      </c>
      <c r="AI2683">
        <v>92.175092169249396</v>
      </c>
      <c r="AJ2683">
        <v>95.667258487504</v>
      </c>
      <c r="AK2683">
        <v>29.2639495581919</v>
      </c>
      <c r="AL2683">
        <v>76.688732816834204</v>
      </c>
      <c r="AM2683">
        <v>96.701771821210201</v>
      </c>
      <c r="AN2683">
        <v>0.99999996602402896</v>
      </c>
    </row>
    <row r="2684" spans="1:40" x14ac:dyDescent="0.25">
      <c r="A2684" t="str">
        <f>"20190304155646197"</f>
        <v>20190304155646197</v>
      </c>
      <c r="B2684" t="str">
        <f>"1551686206187641"</f>
        <v>1551686206187641</v>
      </c>
      <c r="C2684" t="s">
        <v>40</v>
      </c>
      <c r="D2684">
        <v>4.7600949999999997</v>
      </c>
      <c r="E2684">
        <v>0.50618949999999996</v>
      </c>
      <c r="F2684" t="s">
        <v>53</v>
      </c>
      <c r="G2684">
        <v>-483.94009999999997</v>
      </c>
      <c r="H2684" s="1">
        <v>2.71927E-6</v>
      </c>
      <c r="I2684">
        <v>282.49579999999997</v>
      </c>
      <c r="J2684">
        <v>-454.12709999999998</v>
      </c>
      <c r="K2684">
        <v>1.110684</v>
      </c>
      <c r="L2684">
        <v>285.17689999999999</v>
      </c>
      <c r="M2684">
        <v>-0.99986339999999996</v>
      </c>
      <c r="N2684">
        <v>-1.440788E-2</v>
      </c>
      <c r="O2684">
        <v>8.1215880000000008E-3</v>
      </c>
      <c r="P2684">
        <v>-0.97068770000000004</v>
      </c>
      <c r="Q2684">
        <v>0.2158774</v>
      </c>
      <c r="R2684">
        <v>-0.105653</v>
      </c>
      <c r="S2684">
        <v>-3.0863649999999998</v>
      </c>
      <c r="T2684">
        <v>-0.1137775</v>
      </c>
      <c r="U2684">
        <v>-0.27441409999999899</v>
      </c>
      <c r="V2684">
        <v>-0.11364489999999899</v>
      </c>
      <c r="W2684">
        <v>0.2297728</v>
      </c>
      <c r="X2684">
        <v>0.96658639999999996</v>
      </c>
      <c r="Y2684">
        <v>-9.6557240000000003E-2</v>
      </c>
      <c r="Z2684">
        <v>-2.6549680000000002E-3</v>
      </c>
      <c r="AA2684">
        <v>0.99532390000000004</v>
      </c>
      <c r="AB2684">
        <v>32</v>
      </c>
      <c r="AC2684">
        <v>-29.812999999999899</v>
      </c>
      <c r="AD2684">
        <v>-1.1106812807299999</v>
      </c>
      <c r="AE2684">
        <v>-2.68110000000001</v>
      </c>
      <c r="AF2684">
        <v>-2.91914648475858</v>
      </c>
      <c r="AG2684">
        <v>-1.1106812807299999</v>
      </c>
      <c r="AH2684">
        <v>29.749280834247202</v>
      </c>
      <c r="AI2684">
        <v>92.127918892559904</v>
      </c>
      <c r="AJ2684">
        <v>95.604204345257699</v>
      </c>
      <c r="AK2684">
        <v>29.912785548353</v>
      </c>
      <c r="AL2684">
        <v>76.716303900559694</v>
      </c>
      <c r="AM2684">
        <v>96.705677004078794</v>
      </c>
      <c r="AN2684">
        <v>0.99999998579040394</v>
      </c>
    </row>
    <row r="2685" spans="1:40" x14ac:dyDescent="0.25">
      <c r="A2685" t="str">
        <f>"20190304155646219"</f>
        <v>20190304155646219</v>
      </c>
      <c r="B2685" t="str">
        <f>"1551686206216922"</f>
        <v>1551686206216922</v>
      </c>
      <c r="C2685" t="s">
        <v>40</v>
      </c>
      <c r="D2685">
        <v>4.7444800000000003</v>
      </c>
      <c r="E2685">
        <v>0.50653110000000001</v>
      </c>
      <c r="F2685" t="s">
        <v>53</v>
      </c>
      <c r="G2685">
        <v>-484.06150000000002</v>
      </c>
      <c r="H2685" s="1">
        <v>2.7430089999999999E-6</v>
      </c>
      <c r="I2685">
        <v>282.52089999999998</v>
      </c>
      <c r="J2685">
        <v>-454.44420000000002</v>
      </c>
      <c r="K2685">
        <v>1.1107039999999999</v>
      </c>
      <c r="L2685">
        <v>285.17919999999998</v>
      </c>
      <c r="M2685">
        <v>-0.99986560000000002</v>
      </c>
      <c r="N2685">
        <v>-1.4404429999999999E-2</v>
      </c>
      <c r="O2685">
        <v>7.8441650000000002E-3</v>
      </c>
      <c r="P2685">
        <v>-0.97068189999999999</v>
      </c>
      <c r="Q2685">
        <v>0.2157201</v>
      </c>
      <c r="R2685">
        <v>-0.1060277</v>
      </c>
      <c r="S2685">
        <v>-3.0862430000000001</v>
      </c>
      <c r="T2685">
        <v>-0.1145115</v>
      </c>
      <c r="U2685">
        <v>-0.27383420000000003</v>
      </c>
      <c r="V2685">
        <v>-0.1137582</v>
      </c>
      <c r="W2685">
        <v>0.22960849999999999</v>
      </c>
      <c r="X2685">
        <v>0.96661209999999997</v>
      </c>
      <c r="Y2685">
        <v>-9.6098439999999993E-2</v>
      </c>
      <c r="Z2685">
        <v>-2.650211E-3</v>
      </c>
      <c r="AA2685">
        <v>0.99536829999999998</v>
      </c>
      <c r="AB2685">
        <v>32</v>
      </c>
      <c r="AC2685">
        <v>-29.6173</v>
      </c>
      <c r="AD2685">
        <v>-1.110701256991</v>
      </c>
      <c r="AE2685">
        <v>-2.6582999999999899</v>
      </c>
      <c r="AF2685">
        <v>-2.88653812871204</v>
      </c>
      <c r="AG2685">
        <v>-1.110701256991</v>
      </c>
      <c r="AH2685">
        <v>29.554301802724101</v>
      </c>
      <c r="AI2685">
        <v>92.142077519581505</v>
      </c>
      <c r="AJ2685">
        <v>95.578326855448196</v>
      </c>
      <c r="AK2685">
        <v>29.715694753737299</v>
      </c>
      <c r="AL2685">
        <v>76.725976007111001</v>
      </c>
      <c r="AM2685">
        <v>96.712124522686395</v>
      </c>
      <c r="AN2685">
        <v>0.99999997160294896</v>
      </c>
    </row>
    <row r="2686" spans="1:40" x14ac:dyDescent="0.25">
      <c r="A2686" t="str">
        <f>"20190304155646242"</f>
        <v>20190304155646242</v>
      </c>
      <c r="B2686" t="str">
        <f>"1551686206237417"</f>
        <v>1551686206237417</v>
      </c>
      <c r="C2686" t="s">
        <v>40</v>
      </c>
      <c r="D2686">
        <v>4.7752350000000003</v>
      </c>
      <c r="E2686">
        <v>0.50650699999999904</v>
      </c>
      <c r="F2686" t="s">
        <v>53</v>
      </c>
      <c r="G2686">
        <v>-484.75209999999998</v>
      </c>
      <c r="H2686" s="1">
        <v>2.8645310000000001E-6</v>
      </c>
      <c r="I2686">
        <v>282.50970000000001</v>
      </c>
      <c r="J2686">
        <v>-454.76179999999999</v>
      </c>
      <c r="K2686">
        <v>1.1107119999999999</v>
      </c>
      <c r="L2686">
        <v>285.18130000000002</v>
      </c>
      <c r="M2686">
        <v>-0.99986779999999997</v>
      </c>
      <c r="N2686">
        <v>-1.4400990000000001E-2</v>
      </c>
      <c r="O2686">
        <v>7.5446719999999997E-3</v>
      </c>
      <c r="P2686">
        <v>-0.97068730000000003</v>
      </c>
      <c r="Q2686">
        <v>0.21549670000000001</v>
      </c>
      <c r="R2686">
        <v>-0.10642890000000001</v>
      </c>
      <c r="S2686">
        <v>-3.08609</v>
      </c>
      <c r="T2686">
        <v>-0.1130965</v>
      </c>
      <c r="U2686">
        <v>-0.27182009999999901</v>
      </c>
      <c r="V2686">
        <v>-0.11387700000000001</v>
      </c>
      <c r="W2686">
        <v>0.22937879999999999</v>
      </c>
      <c r="X2686">
        <v>0.96665270000000003</v>
      </c>
      <c r="Y2686">
        <v>-9.5162960000000005E-2</v>
      </c>
      <c r="Z2686">
        <v>-2.594145E-3</v>
      </c>
      <c r="AA2686">
        <v>0.99545830000000002</v>
      </c>
      <c r="AB2686">
        <v>32</v>
      </c>
      <c r="AC2686">
        <v>-29.990299999999898</v>
      </c>
      <c r="AD2686">
        <v>-1.110709135469</v>
      </c>
      <c r="AE2686">
        <v>-2.67160000000001</v>
      </c>
      <c r="AF2686">
        <v>-2.89387630227113</v>
      </c>
      <c r="AG2686">
        <v>-1.110709135469</v>
      </c>
      <c r="AH2686">
        <v>29.9285599118924</v>
      </c>
      <c r="AI2686">
        <v>92.115528835239502</v>
      </c>
      <c r="AJ2686">
        <v>95.522919962714894</v>
      </c>
      <c r="AK2686">
        <v>30.0886505718717</v>
      </c>
      <c r="AL2686">
        <v>76.739498444709696</v>
      </c>
      <c r="AM2686">
        <v>96.718790450051301</v>
      </c>
      <c r="AN2686">
        <v>1.0000000237178599</v>
      </c>
    </row>
    <row r="2687" spans="1:40" x14ac:dyDescent="0.25">
      <c r="A2687" t="str">
        <f>"20190304155646264"</f>
        <v>20190304155646264</v>
      </c>
      <c r="B2687" t="str">
        <f>"1551686206256937"</f>
        <v>1551686206256937</v>
      </c>
      <c r="C2687" t="s">
        <v>40</v>
      </c>
      <c r="D2687">
        <v>4.7772350000000001</v>
      </c>
      <c r="E2687">
        <v>0.50635470000000005</v>
      </c>
      <c r="F2687" t="s">
        <v>53</v>
      </c>
      <c r="G2687">
        <v>-484.87119999999999</v>
      </c>
      <c r="H2687" s="1">
        <v>2.8860060000000001E-6</v>
      </c>
      <c r="I2687">
        <v>282.5136</v>
      </c>
      <c r="J2687">
        <v>-455.07409999999999</v>
      </c>
      <c r="K2687">
        <v>1.1107209999999901</v>
      </c>
      <c r="L2687">
        <v>285.18340000000001</v>
      </c>
      <c r="M2687">
        <v>-0.99987029999999999</v>
      </c>
      <c r="N2687">
        <v>-1.439758E-2</v>
      </c>
      <c r="O2687">
        <v>7.22864199999999E-3</v>
      </c>
      <c r="P2687">
        <v>-0.97069079999999996</v>
      </c>
      <c r="Q2687">
        <v>0.21533939999999999</v>
      </c>
      <c r="R2687">
        <v>-0.10671609999999999</v>
      </c>
      <c r="S2687">
        <v>-3.0858460000000001</v>
      </c>
      <c r="T2687">
        <v>-0.1138339</v>
      </c>
      <c r="U2687">
        <v>-0.27340700000000001</v>
      </c>
      <c r="V2687">
        <v>-0.11386640000000001</v>
      </c>
      <c r="W2687">
        <v>0.229214</v>
      </c>
      <c r="X2687">
        <v>0.96669300000000002</v>
      </c>
      <c r="Y2687">
        <v>-9.5362009999999997E-2</v>
      </c>
      <c r="Z2687">
        <v>-2.6052850000000002E-3</v>
      </c>
      <c r="AA2687">
        <v>0.99543919999999997</v>
      </c>
      <c r="AB2687">
        <v>32</v>
      </c>
      <c r="AC2687">
        <v>-29.7971</v>
      </c>
      <c r="AD2687">
        <v>-1.1107181139939999</v>
      </c>
      <c r="AE2687">
        <v>-2.6698</v>
      </c>
      <c r="AF2687">
        <v>-2.8811735929692501</v>
      </c>
      <c r="AG2687">
        <v>-1.1107181139939999</v>
      </c>
      <c r="AH2687">
        <v>29.736031041023999</v>
      </c>
      <c r="AI2687">
        <v>92.129190098540704</v>
      </c>
      <c r="AJ2687">
        <v>95.534208312523901</v>
      </c>
      <c r="AK2687">
        <v>29.8959261116681</v>
      </c>
      <c r="AL2687">
        <v>76.749198735952504</v>
      </c>
      <c r="AM2687">
        <v>96.717893251665302</v>
      </c>
      <c r="AN2687">
        <v>0.999999985546979</v>
      </c>
    </row>
    <row r="2688" spans="1:40" x14ac:dyDescent="0.25">
      <c r="A2688" t="str">
        <f>"20190304155646287"</f>
        <v>20190304155646287</v>
      </c>
      <c r="B2688" t="str">
        <f>"1551686206277433"</f>
        <v>1551686206277433</v>
      </c>
      <c r="C2688" t="s">
        <v>40</v>
      </c>
      <c r="D2688">
        <v>4.7610979999999996</v>
      </c>
      <c r="E2688">
        <v>0.50620929999999997</v>
      </c>
      <c r="F2688" t="s">
        <v>53</v>
      </c>
      <c r="G2688">
        <v>-484.85199999999998</v>
      </c>
      <c r="H2688" s="1">
        <v>2.8833859999999998E-6</v>
      </c>
      <c r="I2688">
        <v>282.52269999999999</v>
      </c>
      <c r="J2688">
        <v>-455.38900000000001</v>
      </c>
      <c r="K2688">
        <v>1.1107370000000001</v>
      </c>
      <c r="L2688">
        <v>285.18529999999998</v>
      </c>
      <c r="M2688">
        <v>-0.99987269999999995</v>
      </c>
      <c r="N2688">
        <v>-1.4394179999999999E-2</v>
      </c>
      <c r="O2688">
        <v>6.8880259999999898E-3</v>
      </c>
      <c r="P2688">
        <v>-0.97062530000000002</v>
      </c>
      <c r="Q2688">
        <v>0.2151643</v>
      </c>
      <c r="R2688">
        <v>-0.1076627</v>
      </c>
      <c r="S2688">
        <v>-3.0858460000000001</v>
      </c>
      <c r="T2688">
        <v>-0.1151022</v>
      </c>
      <c r="U2688">
        <v>-0.27572629999999998</v>
      </c>
      <c r="V2688">
        <v>-0.114491</v>
      </c>
      <c r="W2688">
        <v>0.22902980000000001</v>
      </c>
      <c r="X2688">
        <v>0.96666289999999999</v>
      </c>
      <c r="Y2688">
        <v>-9.5763119999999993E-2</v>
      </c>
      <c r="Z2688">
        <v>-2.6301839999999998E-3</v>
      </c>
      <c r="AA2688">
        <v>0.99540070000000003</v>
      </c>
      <c r="AB2688">
        <v>32</v>
      </c>
      <c r="AC2688">
        <v>-29.462999999999901</v>
      </c>
      <c r="AD2688">
        <v>-1.1107341166139999</v>
      </c>
      <c r="AE2688">
        <v>-2.6625999999999901</v>
      </c>
      <c r="AF2688">
        <v>-2.8614658797732702</v>
      </c>
      <c r="AG2688">
        <v>-1.1107341166139999</v>
      </c>
      <c r="AH2688">
        <v>29.402509554252202</v>
      </c>
      <c r="AI2688">
        <v>92.153261786588502</v>
      </c>
      <c r="AJ2688">
        <v>95.558547126873606</v>
      </c>
      <c r="AK2688">
        <v>29.5622949945841</v>
      </c>
      <c r="AL2688">
        <v>76.760041247691106</v>
      </c>
      <c r="AM2688">
        <v>96.754612248895498</v>
      </c>
      <c r="AN2688">
        <v>1.0000000003027201</v>
      </c>
    </row>
    <row r="2689" spans="1:40" x14ac:dyDescent="0.25">
      <c r="A2689" t="str">
        <f>"20190304155646308"</f>
        <v>20190304155646308</v>
      </c>
      <c r="B2689" t="str">
        <f>"1551686206296953"</f>
        <v>1551686206296953</v>
      </c>
      <c r="C2689" t="s">
        <v>40</v>
      </c>
      <c r="D2689">
        <v>4.7843260000000001</v>
      </c>
      <c r="E2689">
        <v>0.50603869999999995</v>
      </c>
      <c r="F2689" t="s">
        <v>53</v>
      </c>
      <c r="G2689">
        <v>-484.86509999999998</v>
      </c>
      <c r="H2689" s="1">
        <v>2.8847760000000001E-6</v>
      </c>
      <c r="I2689">
        <v>282.51190000000003</v>
      </c>
      <c r="J2689">
        <v>-455.7011</v>
      </c>
      <c r="K2689">
        <v>1.1107549999999999</v>
      </c>
      <c r="L2689">
        <v>285.18709999999999</v>
      </c>
      <c r="M2689">
        <v>-0.99987510000000002</v>
      </c>
      <c r="N2689">
        <v>-1.439083E-2</v>
      </c>
      <c r="O2689">
        <v>6.5292170000000004E-3</v>
      </c>
      <c r="P2689">
        <v>-0.97053990000000001</v>
      </c>
      <c r="Q2689">
        <v>0.21509039999999999</v>
      </c>
      <c r="R2689">
        <v>-0.1085747</v>
      </c>
      <c r="S2689">
        <v>-3.0855410000000001</v>
      </c>
      <c r="T2689">
        <v>-0.116270899999999</v>
      </c>
      <c r="U2689">
        <v>-0.27984619999999999</v>
      </c>
      <c r="V2689">
        <v>-0.11506479999999999</v>
      </c>
      <c r="W2689">
        <v>0.2289467</v>
      </c>
      <c r="X2689">
        <v>0.96661450000000004</v>
      </c>
      <c r="Y2689">
        <v>-9.6730469999999999E-2</v>
      </c>
      <c r="Z2689">
        <v>-2.667684E-3</v>
      </c>
      <c r="AA2689">
        <v>0.99530700000000005</v>
      </c>
      <c r="AB2689">
        <v>32</v>
      </c>
      <c r="AC2689">
        <v>-29.163999999999898</v>
      </c>
      <c r="AD2689">
        <v>-1.1107521152240001</v>
      </c>
      <c r="AE2689">
        <v>-2.6751999999999598</v>
      </c>
      <c r="AF2689">
        <v>-2.8614646413532498</v>
      </c>
      <c r="AG2689">
        <v>-1.1107521152240001</v>
      </c>
      <c r="AH2689">
        <v>29.1040441289237</v>
      </c>
      <c r="AI2689">
        <v>92.175147711108195</v>
      </c>
      <c r="AJ2689">
        <v>95.615185802219997</v>
      </c>
      <c r="AK2689">
        <v>29.2654597574262</v>
      </c>
      <c r="AL2689">
        <v>76.764933102035897</v>
      </c>
      <c r="AM2689">
        <v>96.788486268410907</v>
      </c>
      <c r="AN2689">
        <v>1.0000000456250799</v>
      </c>
    </row>
    <row r="2690" spans="1:40" x14ac:dyDescent="0.25">
      <c r="A2690" t="str">
        <f>"20190304155646332"</f>
        <v>20190304155646332</v>
      </c>
      <c r="B2690" t="str">
        <f>"1551686206327212"</f>
        <v>1551686206327212</v>
      </c>
      <c r="C2690" t="s">
        <v>40</v>
      </c>
      <c r="D2690">
        <v>4.7756420000000004</v>
      </c>
      <c r="E2690">
        <v>0.50576469999999996</v>
      </c>
      <c r="F2690" t="s">
        <v>53</v>
      </c>
      <c r="G2690">
        <v>-484.87569999999999</v>
      </c>
      <c r="H2690" s="1">
        <v>2.8859030000000001E-6</v>
      </c>
      <c r="I2690">
        <v>282.5034</v>
      </c>
      <c r="J2690">
        <v>-456.01670000000001</v>
      </c>
      <c r="K2690">
        <v>1.1107769999999999</v>
      </c>
      <c r="L2690">
        <v>285.18880000000001</v>
      </c>
      <c r="M2690">
        <v>-0.99987769999999998</v>
      </c>
      <c r="N2690">
        <v>-1.4387469999999999E-2</v>
      </c>
      <c r="O2690">
        <v>6.1457999999999999E-3</v>
      </c>
      <c r="P2690">
        <v>-0.97042209999999995</v>
      </c>
      <c r="Q2690">
        <v>0.21512149999999999</v>
      </c>
      <c r="R2690">
        <v>-0.1095626</v>
      </c>
      <c r="S2690">
        <v>-3.0853269999999999</v>
      </c>
      <c r="T2690">
        <v>-0.1174664</v>
      </c>
      <c r="U2690">
        <v>-0.2838135</v>
      </c>
      <c r="V2690">
        <v>-0.1156901</v>
      </c>
      <c r="W2690">
        <v>0.228968</v>
      </c>
      <c r="X2690">
        <v>0.96653469999999997</v>
      </c>
      <c r="Y2690">
        <v>-9.7621689999999997E-2</v>
      </c>
      <c r="Z2690">
        <v>-2.703113E-3</v>
      </c>
      <c r="AA2690">
        <v>0.99521990000000005</v>
      </c>
      <c r="AB2690">
        <v>32</v>
      </c>
      <c r="AC2690">
        <v>-28.858999999999899</v>
      </c>
      <c r="AD2690">
        <v>-1.110774114097</v>
      </c>
      <c r="AE2690">
        <v>-2.6854000000000098</v>
      </c>
      <c r="AF2690">
        <v>-2.8585308233625599</v>
      </c>
      <c r="AG2690">
        <v>-1.110774114097</v>
      </c>
      <c r="AH2690">
        <v>28.799650054739701</v>
      </c>
      <c r="AI2690">
        <v>92.197957344833299</v>
      </c>
      <c r="AJ2690">
        <v>95.668369767864405</v>
      </c>
      <c r="AK2690">
        <v>28.9624733211121</v>
      </c>
      <c r="AL2690">
        <v>76.763677912127406</v>
      </c>
      <c r="AM2690">
        <v>96.825588258963904</v>
      </c>
      <c r="AN2690">
        <v>0.99999993528304798</v>
      </c>
    </row>
    <row r="2691" spans="1:40" x14ac:dyDescent="0.25">
      <c r="A2691" t="str">
        <f>"20190304155646353"</f>
        <v>20190304155646353</v>
      </c>
      <c r="B2691" t="str">
        <f>"1551686206347708"</f>
        <v>1551686206347708</v>
      </c>
      <c r="C2691" t="s">
        <v>40</v>
      </c>
      <c r="D2691">
        <v>4.7797830000000001</v>
      </c>
      <c r="E2691">
        <v>0.50563959999999997</v>
      </c>
      <c r="F2691" t="s">
        <v>53</v>
      </c>
      <c r="G2691">
        <v>-484.97739999999999</v>
      </c>
      <c r="H2691" s="1">
        <v>2.9012529999999998E-6</v>
      </c>
      <c r="I2691">
        <v>282.4726</v>
      </c>
      <c r="J2691">
        <v>-456.33109999999999</v>
      </c>
      <c r="K2691">
        <v>1.110803</v>
      </c>
      <c r="L2691">
        <v>285.19029999999998</v>
      </c>
      <c r="M2691">
        <v>-0.99988010000000005</v>
      </c>
      <c r="N2691">
        <v>-1.43842E-2</v>
      </c>
      <c r="O2691">
        <v>5.7431619999999996E-3</v>
      </c>
      <c r="P2691">
        <v>-0.97023870000000001</v>
      </c>
      <c r="Q2691">
        <v>0.2155233</v>
      </c>
      <c r="R2691">
        <v>-0.1103944</v>
      </c>
      <c r="S2691">
        <v>-3.0850520000000001</v>
      </c>
      <c r="T2691">
        <v>-0.1183256</v>
      </c>
      <c r="U2691">
        <v>-0.28933720000000002</v>
      </c>
      <c r="V2691">
        <v>-0.11613950000000001</v>
      </c>
      <c r="W2691">
        <v>0.2293598</v>
      </c>
      <c r="X2691">
        <v>0.96638800000000002</v>
      </c>
      <c r="Y2691">
        <v>-9.8993059999999994E-2</v>
      </c>
      <c r="Z2691">
        <v>-2.7448049999999999E-3</v>
      </c>
      <c r="AA2691">
        <v>0.99508430000000003</v>
      </c>
      <c r="AB2691">
        <v>32</v>
      </c>
      <c r="AC2691">
        <v>-28.6463</v>
      </c>
      <c r="AD2691">
        <v>-1.1108000987469999</v>
      </c>
      <c r="AE2691">
        <v>-2.7176999999999798</v>
      </c>
      <c r="AF2691">
        <v>-2.8779038853058001</v>
      </c>
      <c r="AG2691">
        <v>-1.1108000987469999</v>
      </c>
      <c r="AH2691">
        <v>28.587616509656399</v>
      </c>
      <c r="AI2691">
        <v>92.213985587328295</v>
      </c>
      <c r="AJ2691">
        <v>95.748575946931297</v>
      </c>
      <c r="AK2691">
        <v>28.7535741314991</v>
      </c>
      <c r="AL2691">
        <v>76.740617020519693</v>
      </c>
      <c r="AM2691">
        <v>96.852881014328503</v>
      </c>
      <c r="AN2691">
        <v>1.00000003393014</v>
      </c>
    </row>
    <row r="2692" spans="1:40" x14ac:dyDescent="0.25">
      <c r="A2692" t="str">
        <f>"20190304155646376"</f>
        <v>20190304155646376</v>
      </c>
      <c r="B2692" t="str">
        <f>"1551686206367225"</f>
        <v>1551686206367225</v>
      </c>
      <c r="C2692" t="s">
        <v>40</v>
      </c>
      <c r="D2692">
        <v>4.7833930000000002</v>
      </c>
      <c r="E2692">
        <v>0.5054708</v>
      </c>
      <c r="F2692" t="s">
        <v>53</v>
      </c>
      <c r="G2692">
        <v>-485.45069999999998</v>
      </c>
      <c r="H2692" s="1">
        <v>2.981089E-6</v>
      </c>
      <c r="I2692">
        <v>282.42559999999997</v>
      </c>
      <c r="J2692">
        <v>-456.65719999999999</v>
      </c>
      <c r="K2692">
        <v>1.1108209999999901</v>
      </c>
      <c r="L2692">
        <v>285.19170000000003</v>
      </c>
      <c r="M2692">
        <v>-0.99988259999999995</v>
      </c>
      <c r="N2692">
        <v>-1.438065E-2</v>
      </c>
      <c r="O2692">
        <v>5.3092119999999998E-3</v>
      </c>
      <c r="P2692">
        <v>-0.97001090000000001</v>
      </c>
      <c r="Q2692">
        <v>0.21599109999999999</v>
      </c>
      <c r="R2692">
        <v>-0.11147600000000001</v>
      </c>
      <c r="S2692">
        <v>-3.0848390000000001</v>
      </c>
      <c r="T2692">
        <v>-0.1176748</v>
      </c>
      <c r="U2692">
        <v>-0.2928772</v>
      </c>
      <c r="V2692">
        <v>-0.1168067</v>
      </c>
      <c r="W2692">
        <v>0.22981689999999999</v>
      </c>
      <c r="X2692">
        <v>0.96619889999999997</v>
      </c>
      <c r="Y2692">
        <v>-9.969981E-2</v>
      </c>
      <c r="Z2692">
        <v>-2.7413590000000001E-3</v>
      </c>
      <c r="AA2692">
        <v>0.99501379999999995</v>
      </c>
      <c r="AB2692">
        <v>31</v>
      </c>
      <c r="AC2692">
        <v>-28.793499999999899</v>
      </c>
      <c r="AD2692">
        <v>-1.11081801891099</v>
      </c>
      <c r="AE2692">
        <v>-2.76610000000005</v>
      </c>
      <c r="AF2692">
        <v>-2.9146493273988598</v>
      </c>
      <c r="AG2692">
        <v>-1.11081801891099</v>
      </c>
      <c r="AH2692">
        <v>28.7360294006948</v>
      </c>
      <c r="AI2692">
        <v>92.2024308040573</v>
      </c>
      <c r="AJ2692">
        <v>95.791612296911794</v>
      </c>
      <c r="AK2692">
        <v>28.904817644995401</v>
      </c>
      <c r="AL2692">
        <v>76.713707378172998</v>
      </c>
      <c r="AM2692">
        <v>96.893207841561903</v>
      </c>
      <c r="AN2692">
        <v>0.99999996352585396</v>
      </c>
    </row>
    <row r="2693" spans="1:40" x14ac:dyDescent="0.25">
      <c r="A2693" t="str">
        <f>"20190304155646399"</f>
        <v>20190304155646399</v>
      </c>
      <c r="B2693" t="str">
        <f>"1551686206387721"</f>
        <v>1551686206387721</v>
      </c>
      <c r="C2693" t="s">
        <v>40</v>
      </c>
      <c r="D2693">
        <v>4.7699559999999996</v>
      </c>
      <c r="E2693">
        <v>0.50532659999999996</v>
      </c>
      <c r="F2693" t="s">
        <v>53</v>
      </c>
      <c r="G2693">
        <v>-485.99549999999999</v>
      </c>
      <c r="H2693" s="1">
        <v>3.0721650000000001E-6</v>
      </c>
      <c r="I2693">
        <v>282.36189999999999</v>
      </c>
      <c r="J2693">
        <v>-456.96969999999999</v>
      </c>
      <c r="K2693">
        <v>1.1108359999999999</v>
      </c>
      <c r="L2693">
        <v>285.19290000000001</v>
      </c>
      <c r="M2693">
        <v>-0.99988480000000002</v>
      </c>
      <c r="N2693">
        <v>-1.4377289999999999E-2</v>
      </c>
      <c r="O2693">
        <v>4.8784020000000004E-3</v>
      </c>
      <c r="P2693">
        <v>-0.96975639999999996</v>
      </c>
      <c r="Q2693">
        <v>0.21637629999999999</v>
      </c>
      <c r="R2693">
        <v>-0.1129357</v>
      </c>
      <c r="S2693">
        <v>-3.0845639999999999</v>
      </c>
      <c r="T2693">
        <v>-0.1167889</v>
      </c>
      <c r="U2693">
        <v>-0.2975159</v>
      </c>
      <c r="V2693">
        <v>-0.11785420000000001</v>
      </c>
      <c r="W2693">
        <v>0.23019139999999999</v>
      </c>
      <c r="X2693">
        <v>0.96598260000000002</v>
      </c>
      <c r="Y2693">
        <v>-0.1007625</v>
      </c>
      <c r="Z2693">
        <v>-2.7431420000000001E-3</v>
      </c>
      <c r="AA2693">
        <v>0.99490670000000003</v>
      </c>
      <c r="AB2693">
        <v>31</v>
      </c>
      <c r="AC2693">
        <v>-29.0258</v>
      </c>
      <c r="AD2693">
        <v>-1.110832927835</v>
      </c>
      <c r="AE2693">
        <v>-2.8310000000000102</v>
      </c>
      <c r="AF2693">
        <v>-2.9682739870778101</v>
      </c>
      <c r="AG2693">
        <v>-1.110832927835</v>
      </c>
      <c r="AH2693">
        <v>28.969612302942</v>
      </c>
      <c r="AI2693">
        <v>92.184491579475903</v>
      </c>
      <c r="AJ2693">
        <v>95.850203966294501</v>
      </c>
      <c r="AK2693">
        <v>29.142461070381401</v>
      </c>
      <c r="AL2693">
        <v>76.691659995888301</v>
      </c>
      <c r="AM2693">
        <v>96.955964050787401</v>
      </c>
      <c r="AN2693">
        <v>1.0000000382971701</v>
      </c>
    </row>
    <row r="2694" spans="1:40" x14ac:dyDescent="0.25">
      <c r="A2694" t="str">
        <f>"20190304155646420"</f>
        <v>20190304155646420</v>
      </c>
      <c r="B2694" t="str">
        <f>"1551686206417017"</f>
        <v>1551686206417017</v>
      </c>
      <c r="C2694" t="s">
        <v>40</v>
      </c>
      <c r="D2694">
        <v>4.7653809999999996</v>
      </c>
      <c r="E2694">
        <v>0.50512079999999904</v>
      </c>
      <c r="F2694" t="s">
        <v>53</v>
      </c>
      <c r="G2694">
        <v>-486.50830000000002</v>
      </c>
      <c r="H2694" s="1">
        <v>3.1568020000000001E-6</v>
      </c>
      <c r="I2694">
        <v>282.28960000000001</v>
      </c>
      <c r="J2694">
        <v>-457.26929999999999</v>
      </c>
      <c r="K2694">
        <v>1.1108549999999999</v>
      </c>
      <c r="L2694">
        <v>285.19389999999999</v>
      </c>
      <c r="M2694">
        <v>-0.99988679999999996</v>
      </c>
      <c r="N2694">
        <v>-1.4374079999999999E-2</v>
      </c>
      <c r="O2694">
        <v>4.4517139999999998E-3</v>
      </c>
      <c r="P2694">
        <v>-0.96968410000000005</v>
      </c>
      <c r="Q2694">
        <v>0.21621760000000001</v>
      </c>
      <c r="R2694">
        <v>-0.11385339999999999</v>
      </c>
      <c r="S2694">
        <v>-3.0841059999999998</v>
      </c>
      <c r="T2694">
        <v>-0.1159815</v>
      </c>
      <c r="U2694">
        <v>-0.30313109999999999</v>
      </c>
      <c r="V2694">
        <v>-0.1183642</v>
      </c>
      <c r="W2694">
        <v>0.23002619999999999</v>
      </c>
      <c r="X2694">
        <v>0.96595949999999997</v>
      </c>
      <c r="Y2694">
        <v>-0.1021464</v>
      </c>
      <c r="Z2694">
        <v>-2.7548059999999998E-3</v>
      </c>
      <c r="AA2694">
        <v>0.99476560000000003</v>
      </c>
      <c r="AB2694">
        <v>31</v>
      </c>
      <c r="AC2694">
        <v>-29.239000000000001</v>
      </c>
      <c r="AD2694">
        <v>-1.1108518431979999</v>
      </c>
      <c r="AE2694">
        <v>-2.9042999999999699</v>
      </c>
      <c r="AF2694">
        <v>-3.0301173810188602</v>
      </c>
      <c r="AG2694">
        <v>-1.1108518431979999</v>
      </c>
      <c r="AH2694">
        <v>29.184066983189201</v>
      </c>
      <c r="AI2694">
        <v>92.168189405673104</v>
      </c>
      <c r="AJ2694">
        <v>95.927654993128201</v>
      </c>
      <c r="AK2694">
        <v>29.3619714739927</v>
      </c>
      <c r="AL2694">
        <v>76.701385014760703</v>
      </c>
      <c r="AM2694">
        <v>96.9859337651001</v>
      </c>
      <c r="AN2694">
        <v>0.99999994608416298</v>
      </c>
    </row>
    <row r="2695" spans="1:40" x14ac:dyDescent="0.25">
      <c r="A2695" t="str">
        <f>"20190304155646443"</f>
        <v>20190304155646443</v>
      </c>
      <c r="B2695" t="str">
        <f>"1551686206437497"</f>
        <v>1551686206437497</v>
      </c>
      <c r="C2695" t="s">
        <v>40</v>
      </c>
      <c r="D2695">
        <v>4.7439289999999996</v>
      </c>
      <c r="E2695">
        <v>0.50496859999999999</v>
      </c>
      <c r="F2695" t="s">
        <v>53</v>
      </c>
      <c r="G2695">
        <v>-486.56670000000003</v>
      </c>
      <c r="H2695" s="1">
        <v>3.1656459999999998E-6</v>
      </c>
      <c r="I2695">
        <v>282.2722</v>
      </c>
      <c r="J2695">
        <v>-457.58760000000001</v>
      </c>
      <c r="K2695">
        <v>1.110865</v>
      </c>
      <c r="L2695">
        <v>285.19479999999999</v>
      </c>
      <c r="M2695">
        <v>-0.99988880000000002</v>
      </c>
      <c r="N2695">
        <v>-1.437071E-2</v>
      </c>
      <c r="O2695">
        <v>3.9813499999999998E-3</v>
      </c>
      <c r="P2695">
        <v>-0.9695937</v>
      </c>
      <c r="Q2695">
        <v>0.21601200000000001</v>
      </c>
      <c r="R2695">
        <v>-0.11500879999999999</v>
      </c>
      <c r="S2695">
        <v>-3.083771</v>
      </c>
      <c r="T2695">
        <v>-0.1169256</v>
      </c>
      <c r="U2695">
        <v>-0.30752560000000001</v>
      </c>
      <c r="V2695">
        <v>-0.1190705</v>
      </c>
      <c r="W2695">
        <v>0.2298123</v>
      </c>
      <c r="X2695">
        <v>0.96592370000000005</v>
      </c>
      <c r="Y2695">
        <v>-0.1030905</v>
      </c>
      <c r="Z2695">
        <v>-2.785338E-3</v>
      </c>
      <c r="AA2695">
        <v>0.99466810000000005</v>
      </c>
      <c r="AB2695">
        <v>31</v>
      </c>
      <c r="AC2695">
        <v>-28.979099999999999</v>
      </c>
      <c r="AD2695">
        <v>-1.110861834354</v>
      </c>
      <c r="AE2695">
        <v>-2.9225999999999801</v>
      </c>
      <c r="AF2695">
        <v>-3.0335519638492299</v>
      </c>
      <c r="AG2695">
        <v>-1.110861834354</v>
      </c>
      <c r="AH2695">
        <v>28.9251575057644</v>
      </c>
      <c r="AI2695">
        <v>92.187361341911796</v>
      </c>
      <c r="AJ2695">
        <v>95.9870600636837</v>
      </c>
      <c r="AK2695">
        <v>29.105002804770098</v>
      </c>
      <c r="AL2695">
        <v>76.713979163754999</v>
      </c>
      <c r="AM2695">
        <v>97.027462333954006</v>
      </c>
      <c r="AN2695">
        <v>1.0000000357116099</v>
      </c>
    </row>
    <row r="2696" spans="1:40" x14ac:dyDescent="0.25">
      <c r="A2696" t="str">
        <f>"20190304155646465"</f>
        <v>20190304155646465</v>
      </c>
      <c r="B2696" t="str">
        <f>"1551686206457018"</f>
        <v>1551686206457018</v>
      </c>
      <c r="C2696" t="s">
        <v>40</v>
      </c>
      <c r="D2696">
        <v>4.7585459999999999</v>
      </c>
      <c r="E2696">
        <v>0.52039880000000005</v>
      </c>
      <c r="F2696" t="s">
        <v>53</v>
      </c>
      <c r="G2696">
        <v>-486.53590000000003</v>
      </c>
      <c r="H2696" s="1">
        <v>3.1595110000000001E-6</v>
      </c>
      <c r="I2696">
        <v>282.26459999999997</v>
      </c>
      <c r="J2696">
        <v>-457.90339999999998</v>
      </c>
      <c r="K2696">
        <v>1.110881</v>
      </c>
      <c r="L2696">
        <v>285.19560000000001</v>
      </c>
      <c r="M2696">
        <v>-0.99989079999999997</v>
      </c>
      <c r="N2696">
        <v>-1.4367420000000001E-2</v>
      </c>
      <c r="O2696">
        <v>3.492275E-3</v>
      </c>
      <c r="P2696">
        <v>-0.96953350000000005</v>
      </c>
      <c r="Q2696">
        <v>0.21555299999999999</v>
      </c>
      <c r="R2696">
        <v>-0.1163698</v>
      </c>
      <c r="S2696">
        <v>-3.0833740000000001</v>
      </c>
      <c r="T2696">
        <v>-0.1183213</v>
      </c>
      <c r="U2696">
        <v>-0.31210329999999997</v>
      </c>
      <c r="V2696">
        <v>-0.11996660000000001</v>
      </c>
      <c r="W2696">
        <v>0.22934399999999999</v>
      </c>
      <c r="X2696">
        <v>0.96592409999999995</v>
      </c>
      <c r="Y2696">
        <v>-0.1040755</v>
      </c>
      <c r="Z2696">
        <v>-2.8246389999999999E-3</v>
      </c>
      <c r="AA2696">
        <v>0.99456540000000004</v>
      </c>
      <c r="AB2696">
        <v>31</v>
      </c>
      <c r="AC2696">
        <v>-28.6325</v>
      </c>
      <c r="AD2696">
        <v>-1.1108778404889901</v>
      </c>
      <c r="AE2696">
        <v>-2.93100000000004</v>
      </c>
      <c r="AF2696">
        <v>-3.0264765795328699</v>
      </c>
      <c r="AG2696">
        <v>-1.1108778404889901</v>
      </c>
      <c r="AH2696">
        <v>28.579514719743202</v>
      </c>
      <c r="AI2696">
        <v>92.213585857500107</v>
      </c>
      <c r="AJ2696">
        <v>96.044905634601605</v>
      </c>
      <c r="AK2696">
        <v>28.7607766181473</v>
      </c>
      <c r="AL2696">
        <v>76.741546779249504</v>
      </c>
      <c r="AM2696">
        <v>97.079811934523093</v>
      </c>
      <c r="AN2696">
        <v>1.00000001120618</v>
      </c>
    </row>
    <row r="2697" spans="1:40" x14ac:dyDescent="0.25">
      <c r="A2697" t="str">
        <f>"20190304155646488"</f>
        <v>20190304155646488</v>
      </c>
      <c r="B2697" t="str">
        <f>"1551686206477514"</f>
        <v>1551686206477514</v>
      </c>
      <c r="C2697" t="s">
        <v>40</v>
      </c>
      <c r="D2697">
        <v>4.6556819999999997</v>
      </c>
      <c r="E2697">
        <v>0.52734429999999999</v>
      </c>
      <c r="F2697" t="s">
        <v>53</v>
      </c>
      <c r="G2697">
        <v>-499.96370000000002</v>
      </c>
      <c r="H2697">
        <v>5.5859939999999997E-2</v>
      </c>
      <c r="I2697">
        <v>282.56259999999997</v>
      </c>
      <c r="J2697">
        <v>-458.21050000000002</v>
      </c>
      <c r="K2697">
        <v>1.1109</v>
      </c>
      <c r="L2697">
        <v>285.1961</v>
      </c>
      <c r="M2697">
        <v>-0.99989249999999996</v>
      </c>
      <c r="N2697">
        <v>-1.436424E-2</v>
      </c>
      <c r="O2697">
        <v>2.99103E-3</v>
      </c>
      <c r="P2697">
        <v>-0.96962360000000003</v>
      </c>
      <c r="Q2697">
        <v>0.21494869999999999</v>
      </c>
      <c r="R2697">
        <v>-0.1167353</v>
      </c>
      <c r="S2697">
        <v>-3.0883479999999999</v>
      </c>
      <c r="T2697">
        <v>-7.7466850000000004E-2</v>
      </c>
      <c r="U2697">
        <v>-0.1933289</v>
      </c>
      <c r="V2697">
        <v>-0.11985709999999999</v>
      </c>
      <c r="W2697">
        <v>0.2287332</v>
      </c>
      <c r="X2697">
        <v>0.96608249999999996</v>
      </c>
      <c r="Y2697">
        <v>-6.5429899999999999E-2</v>
      </c>
      <c r="Z2697">
        <v>-1.3222240000000001E-3</v>
      </c>
      <c r="AA2697">
        <v>0.99785630000000003</v>
      </c>
      <c r="AB2697">
        <v>31</v>
      </c>
      <c r="AC2697">
        <v>-41.7531999999999</v>
      </c>
      <c r="AD2697">
        <v>-1.0550400600000001</v>
      </c>
      <c r="AE2697">
        <v>-2.6335000000000202</v>
      </c>
      <c r="AF2697">
        <v>-2.7566330335043299</v>
      </c>
      <c r="AG2697">
        <v>-1.0550400600000001</v>
      </c>
      <c r="AH2697">
        <v>41.718603879482401</v>
      </c>
      <c r="AI2697">
        <v>91.445518406020696</v>
      </c>
      <c r="AJ2697">
        <v>93.780427819419998</v>
      </c>
      <c r="AK2697">
        <v>41.822889006652503</v>
      </c>
      <c r="AL2697">
        <v>76.777498576091105</v>
      </c>
      <c r="AM2697">
        <v>97.072267276461105</v>
      </c>
      <c r="AN2697">
        <v>0.99999999900444903</v>
      </c>
    </row>
    <row r="2698" spans="1:40" x14ac:dyDescent="0.25">
      <c r="A2698" t="str">
        <f>"20190304155646509"</f>
        <v>20190304155646509</v>
      </c>
      <c r="B2698" t="str">
        <f>"1551686206507770"</f>
        <v>1551686206507770</v>
      </c>
      <c r="C2698" t="s">
        <v>40</v>
      </c>
      <c r="D2698">
        <v>4.8184459999999998</v>
      </c>
      <c r="E2698">
        <v>0.52898919999999905</v>
      </c>
      <c r="F2698" t="s">
        <v>53</v>
      </c>
      <c r="G2698">
        <v>-496.6558</v>
      </c>
      <c r="H2698" s="1">
        <v>2.6836780000000001E-6</v>
      </c>
      <c r="I2698">
        <v>283.46899999999999</v>
      </c>
      <c r="J2698">
        <v>-458.51859999999999</v>
      </c>
      <c r="K2698">
        <v>1.1109209999999901</v>
      </c>
      <c r="L2698">
        <v>285.19639999999998</v>
      </c>
      <c r="M2698">
        <v>-0.99989399999999995</v>
      </c>
      <c r="N2698">
        <v>-1.436112E-2</v>
      </c>
      <c r="O2698">
        <v>2.4564389999999999E-3</v>
      </c>
      <c r="P2698">
        <v>-0.9697325</v>
      </c>
      <c r="Q2698">
        <v>0.2141448</v>
      </c>
      <c r="R2698">
        <v>-0.1173085</v>
      </c>
      <c r="S2698">
        <v>-3.0970460000000002</v>
      </c>
      <c r="T2698">
        <v>-8.9491009999999996E-2</v>
      </c>
      <c r="U2698">
        <v>-0.13912959999999999</v>
      </c>
      <c r="V2698">
        <v>-0.1199253</v>
      </c>
      <c r="W2698">
        <v>0.2279217</v>
      </c>
      <c r="X2698">
        <v>0.96626590000000001</v>
      </c>
      <c r="Y2698">
        <v>-4.7302379999999998E-2</v>
      </c>
      <c r="Z2698">
        <v>-1.058554E-3</v>
      </c>
      <c r="AA2698">
        <v>0.99887999999999999</v>
      </c>
      <c r="AB2698">
        <v>31</v>
      </c>
      <c r="AC2698">
        <v>-38.1372</v>
      </c>
      <c r="AD2698">
        <v>-1.11091831632199</v>
      </c>
      <c r="AE2698">
        <v>-1.7273999999999801</v>
      </c>
      <c r="AF2698">
        <v>-1.8195453654561</v>
      </c>
      <c r="AG2698">
        <v>-1.11091831632199</v>
      </c>
      <c r="AH2698">
        <v>38.100577973214797</v>
      </c>
      <c r="AI2698">
        <v>91.668229397624401</v>
      </c>
      <c r="AJ2698">
        <v>92.734161234467805</v>
      </c>
      <c r="AK2698">
        <v>38.160174616155899</v>
      </c>
      <c r="AL2698">
        <v>76.825256777067096</v>
      </c>
      <c r="AM2698">
        <v>97.074921208457496</v>
      </c>
      <c r="AN2698">
        <v>1.0000000842068899</v>
      </c>
    </row>
    <row r="2699" spans="1:40" x14ac:dyDescent="0.25">
      <c r="A2699" t="str">
        <f>"20190304155646534"</f>
        <v>20190304155646534</v>
      </c>
      <c r="B2699" t="str">
        <f>"1551686206527289"</f>
        <v>1551686206527289</v>
      </c>
      <c r="C2699" t="s">
        <v>40</v>
      </c>
      <c r="D2699">
        <v>4.7701630000000002</v>
      </c>
      <c r="E2699">
        <v>0.52959809999999996</v>
      </c>
      <c r="F2699" t="s">
        <v>53</v>
      </c>
      <c r="G2699">
        <v>-497.49239999999998</v>
      </c>
      <c r="H2699" s="1">
        <v>2.545682E-6</v>
      </c>
      <c r="I2699">
        <v>283.58800000000002</v>
      </c>
      <c r="J2699">
        <v>-458.84379999999999</v>
      </c>
      <c r="K2699">
        <v>1.1109530000000001</v>
      </c>
      <c r="L2699">
        <v>285.19659999999999</v>
      </c>
      <c r="M2699">
        <v>-0.99989530000000004</v>
      </c>
      <c r="N2699">
        <v>-1.43578E-2</v>
      </c>
      <c r="O2699">
        <v>1.8422480000000001E-3</v>
      </c>
      <c r="P2699">
        <v>-0.96968160000000003</v>
      </c>
      <c r="Q2699">
        <v>0.2138043</v>
      </c>
      <c r="R2699">
        <v>-0.1183454</v>
      </c>
      <c r="S2699">
        <v>-3.0976560000000002</v>
      </c>
      <c r="T2699">
        <v>-8.8296529999999998E-2</v>
      </c>
      <c r="U2699">
        <v>-0.12783810000000001</v>
      </c>
      <c r="V2699">
        <v>-0.1203843</v>
      </c>
      <c r="W2699">
        <v>0.22756789999999999</v>
      </c>
      <c r="X2699">
        <v>0.96629209999999999</v>
      </c>
      <c r="Y2699">
        <v>-4.3048570000000001E-2</v>
      </c>
      <c r="Z2699">
        <v>-9.484742E-4</v>
      </c>
      <c r="AA2699">
        <v>0.99907259999999998</v>
      </c>
      <c r="AB2699">
        <v>31</v>
      </c>
      <c r="AC2699">
        <v>-38.648599999999902</v>
      </c>
      <c r="AD2699">
        <v>-1.110950454318</v>
      </c>
      <c r="AE2699">
        <v>-1.60860000000002</v>
      </c>
      <c r="AF2699">
        <v>-1.6784204806079299</v>
      </c>
      <c r="AG2699">
        <v>-1.110950454318</v>
      </c>
      <c r="AH2699">
        <v>38.6137204826694</v>
      </c>
      <c r="AI2699">
        <v>91.646441207074304</v>
      </c>
      <c r="AJ2699">
        <v>92.488905817325801</v>
      </c>
      <c r="AK2699">
        <v>38.666144309142098</v>
      </c>
      <c r="AL2699">
        <v>76.846073656706295</v>
      </c>
      <c r="AM2699">
        <v>97.101533076847204</v>
      </c>
      <c r="AN2699">
        <v>0.99999997565965404</v>
      </c>
    </row>
    <row r="2700" spans="1:40" x14ac:dyDescent="0.25">
      <c r="A2700" t="str">
        <f>"20190304155646554"</f>
        <v>20190304155646554</v>
      </c>
      <c r="B2700" t="str">
        <f>"1551686206547789"</f>
        <v>1551686206547789</v>
      </c>
      <c r="C2700" t="s">
        <v>40</v>
      </c>
      <c r="D2700">
        <v>4.7613269999999996</v>
      </c>
      <c r="E2700">
        <v>0.52982099999999999</v>
      </c>
      <c r="F2700" t="s">
        <v>53</v>
      </c>
      <c r="G2700">
        <v>-496.8109</v>
      </c>
      <c r="H2700" s="1">
        <v>2.6717219999999999E-6</v>
      </c>
      <c r="I2700">
        <v>283.64690000000002</v>
      </c>
      <c r="J2700">
        <v>-459.13909999999998</v>
      </c>
      <c r="K2700">
        <v>1.1109899999999999</v>
      </c>
      <c r="L2700">
        <v>285.19650000000001</v>
      </c>
      <c r="M2700">
        <v>-0.99989629999999996</v>
      </c>
      <c r="N2700">
        <v>-1.435465E-2</v>
      </c>
      <c r="O2700">
        <v>1.239226E-3</v>
      </c>
      <c r="P2700">
        <v>-0.96950910000000001</v>
      </c>
      <c r="Q2700">
        <v>0.21415239999999999</v>
      </c>
      <c r="R2700">
        <v>-0.119127</v>
      </c>
      <c r="S2700">
        <v>-3.0983580000000002</v>
      </c>
      <c r="T2700">
        <v>-9.0660930000000001E-2</v>
      </c>
      <c r="U2700">
        <v>-0.12646479999999999</v>
      </c>
      <c r="V2700">
        <v>-0.12060129999999999</v>
      </c>
      <c r="W2700">
        <v>0.22790170000000001</v>
      </c>
      <c r="X2700">
        <v>0.9661864</v>
      </c>
      <c r="Y2700">
        <v>-4.1994160000000003E-2</v>
      </c>
      <c r="Z2700">
        <v>-9.341086E-4</v>
      </c>
      <c r="AA2700">
        <v>0.99911740000000004</v>
      </c>
      <c r="AB2700">
        <v>31</v>
      </c>
      <c r="AC2700">
        <v>-37.671799999999998</v>
      </c>
      <c r="AD2700">
        <v>-1.1109873282779901</v>
      </c>
      <c r="AE2700">
        <v>-1.5495999999999901</v>
      </c>
      <c r="AF2700">
        <v>-1.59490269483609</v>
      </c>
      <c r="AG2700">
        <v>-1.1109873282779901</v>
      </c>
      <c r="AH2700">
        <v>37.637171605487602</v>
      </c>
      <c r="AI2700">
        <v>91.689270942099498</v>
      </c>
      <c r="AJ2700">
        <v>92.426498865149497</v>
      </c>
      <c r="AK2700">
        <v>37.687328028271097</v>
      </c>
      <c r="AL2700">
        <v>76.826432657369494</v>
      </c>
      <c r="AM2700">
        <v>97.1149732835745</v>
      </c>
      <c r="AN2700">
        <v>1.00000000898477</v>
      </c>
    </row>
    <row r="2701" spans="1:40" x14ac:dyDescent="0.25">
      <c r="A2701" t="str">
        <f>"20190304155646578"</f>
        <v>20190304155646578</v>
      </c>
      <c r="B2701" t="str">
        <f>"1551686206567306"</f>
        <v>1551686206567306</v>
      </c>
      <c r="C2701" t="s">
        <v>40</v>
      </c>
      <c r="D2701">
        <v>4.7651399999999997</v>
      </c>
      <c r="E2701">
        <v>0.53003069999999997</v>
      </c>
      <c r="F2701" t="s">
        <v>53</v>
      </c>
      <c r="G2701">
        <v>-496.79939999999999</v>
      </c>
      <c r="H2701" s="1">
        <v>2.6742530000000001E-6</v>
      </c>
      <c r="I2701">
        <v>283.65260000000001</v>
      </c>
      <c r="J2701">
        <v>-459.46390000000002</v>
      </c>
      <c r="K2701">
        <v>1.11102099999999</v>
      </c>
      <c r="L2701">
        <v>285.1961</v>
      </c>
      <c r="M2701">
        <v>-0.99989689999999998</v>
      </c>
      <c r="N2701">
        <v>-1.4351549999999999E-2</v>
      </c>
      <c r="O2701">
        <v>5.2662610000000002E-4</v>
      </c>
      <c r="P2701">
        <v>-0.96928449999999999</v>
      </c>
      <c r="Q2701">
        <v>0.21448780000000001</v>
      </c>
      <c r="R2701">
        <v>-0.1203427</v>
      </c>
      <c r="S2701">
        <v>-3.0989689999999999</v>
      </c>
      <c r="T2701">
        <v>-9.1420409999999994E-2</v>
      </c>
      <c r="U2701">
        <v>-0.12704469999999901</v>
      </c>
      <c r="V2701">
        <v>-0.12114809999999999</v>
      </c>
      <c r="W2701">
        <v>0.22821930000000001</v>
      </c>
      <c r="X2701">
        <v>0.96604299999999999</v>
      </c>
      <c r="Y2701">
        <v>-4.1460780000000003E-2</v>
      </c>
      <c r="Z2701">
        <v>-9.1688369999999998E-4</v>
      </c>
      <c r="AA2701">
        <v>0.99913969999999996</v>
      </c>
      <c r="AB2701">
        <v>31</v>
      </c>
      <c r="AC2701">
        <v>-37.335499999999897</v>
      </c>
      <c r="AD2701">
        <v>-1.1110183257470001</v>
      </c>
      <c r="AE2701">
        <v>-1.5434999999999901</v>
      </c>
      <c r="AF2701">
        <v>-1.5617830284321801</v>
      </c>
      <c r="AG2701">
        <v>-1.1110183257470001</v>
      </c>
      <c r="AH2701">
        <v>37.301706831452698</v>
      </c>
      <c r="AI2701">
        <v>91.704537939210496</v>
      </c>
      <c r="AJ2701">
        <v>92.397513413824697</v>
      </c>
      <c r="AK2701">
        <v>37.350915122493198</v>
      </c>
      <c r="AL2701">
        <v>76.807742792957399</v>
      </c>
      <c r="AM2701">
        <v>97.147949281143497</v>
      </c>
      <c r="AN2701">
        <v>0.99999999443754894</v>
      </c>
    </row>
    <row r="2702" spans="1:40" x14ac:dyDescent="0.25">
      <c r="A2702" t="str">
        <f>"20190304155646600"</f>
        <v>20190304155646600</v>
      </c>
      <c r="B2702" t="str">
        <f>"1551686206597562"</f>
        <v>1551686206597562</v>
      </c>
      <c r="C2702" t="s">
        <v>40</v>
      </c>
      <c r="D2702">
        <v>4.7616719999999999</v>
      </c>
      <c r="E2702">
        <v>0.53013909999999997</v>
      </c>
      <c r="F2702" t="s">
        <v>53</v>
      </c>
      <c r="G2702">
        <v>-497.2321</v>
      </c>
      <c r="H2702" s="1">
        <v>2.5950600000000001E-6</v>
      </c>
      <c r="I2702">
        <v>283.62479999999999</v>
      </c>
      <c r="J2702">
        <v>-459.76499999999999</v>
      </c>
      <c r="K2702">
        <v>1.111059</v>
      </c>
      <c r="L2702">
        <v>285.19549999999998</v>
      </c>
      <c r="M2702">
        <v>-0.99989709999999998</v>
      </c>
      <c r="N2702">
        <v>-1.4348919999999999E-2</v>
      </c>
      <c r="O2702">
        <v>-1.9377230000000001E-4</v>
      </c>
      <c r="P2702">
        <v>-0.96906769999999998</v>
      </c>
      <c r="Q2702">
        <v>0.21483820000000001</v>
      </c>
      <c r="R2702">
        <v>-0.1214607</v>
      </c>
      <c r="S2702">
        <v>-3.0992130000000002</v>
      </c>
      <c r="T2702">
        <v>-9.1168639999999995E-2</v>
      </c>
      <c r="U2702">
        <v>-0.12893679999999999</v>
      </c>
      <c r="V2702">
        <v>-0.12159109999999999</v>
      </c>
      <c r="W2702">
        <v>0.22855300000000001</v>
      </c>
      <c r="X2702">
        <v>0.96590849999999995</v>
      </c>
      <c r="Y2702">
        <v>-4.1346939999999999E-2</v>
      </c>
      <c r="Z2702">
        <v>-9.0171469999999999E-4</v>
      </c>
      <c r="AA2702">
        <v>0.99914440000000004</v>
      </c>
      <c r="AB2702">
        <v>31</v>
      </c>
      <c r="AC2702">
        <v>-37.467100000000002</v>
      </c>
      <c r="AD2702">
        <v>-1.11105640494</v>
      </c>
      <c r="AE2702">
        <v>-1.57069999999998</v>
      </c>
      <c r="AF2702">
        <v>-1.56206791028686</v>
      </c>
      <c r="AG2702">
        <v>-1.11105640494</v>
      </c>
      <c r="AH2702">
        <v>37.434542593277399</v>
      </c>
      <c r="AI2702">
        <v>91.698561132806603</v>
      </c>
      <c r="AJ2702">
        <v>92.389451028588297</v>
      </c>
      <c r="AK2702">
        <v>37.483589498061797</v>
      </c>
      <c r="AL2702">
        <v>76.788104900113893</v>
      </c>
      <c r="AM2702">
        <v>97.174803751335503</v>
      </c>
      <c r="AN2702">
        <v>1.00000004989022</v>
      </c>
    </row>
    <row r="2703" spans="1:40" x14ac:dyDescent="0.25">
      <c r="A2703" t="str">
        <f>"20190304155646622"</f>
        <v>20190304155646622</v>
      </c>
      <c r="B2703" t="str">
        <f>"1551686206617082"</f>
        <v>1551686206617082</v>
      </c>
      <c r="C2703" t="s">
        <v>40</v>
      </c>
      <c r="D2703">
        <v>4.7823510000000002</v>
      </c>
      <c r="E2703">
        <v>0.53054480000000004</v>
      </c>
      <c r="F2703" t="s">
        <v>53</v>
      </c>
      <c r="G2703">
        <v>-498.02429999999998</v>
      </c>
      <c r="H2703" s="1">
        <v>2.4498050000000002E-6</v>
      </c>
      <c r="I2703">
        <v>283.57060000000001</v>
      </c>
      <c r="J2703">
        <v>-460.07740000000001</v>
      </c>
      <c r="K2703">
        <v>1.1111120000000001</v>
      </c>
      <c r="L2703">
        <v>285.19459999999998</v>
      </c>
      <c r="M2703">
        <v>-0.99989649999999997</v>
      </c>
      <c r="N2703">
        <v>-1.4346340000000001E-2</v>
      </c>
      <c r="O2703">
        <v>-1.015118E-3</v>
      </c>
      <c r="P2703">
        <v>-0.96901559999999998</v>
      </c>
      <c r="Q2703">
        <v>0.21441099999999999</v>
      </c>
      <c r="R2703">
        <v>-0.12262290000000001</v>
      </c>
      <c r="S2703">
        <v>-3.0991819999999999</v>
      </c>
      <c r="T2703">
        <v>-9.0000869999999997E-2</v>
      </c>
      <c r="U2703">
        <v>-0.1316223</v>
      </c>
      <c r="V2703">
        <v>-0.121985999999999</v>
      </c>
      <c r="W2703">
        <v>0.22810739999999999</v>
      </c>
      <c r="X2703">
        <v>0.96596400000000004</v>
      </c>
      <c r="Y2703">
        <v>-4.1391499999999998E-2</v>
      </c>
      <c r="Z2703">
        <v>-8.8285869999999995E-4</v>
      </c>
      <c r="AA2703">
        <v>0.99914259999999999</v>
      </c>
      <c r="AB2703">
        <v>31</v>
      </c>
      <c r="AC2703">
        <v>-37.9468999999999</v>
      </c>
      <c r="AD2703">
        <v>-1.1111095501949999</v>
      </c>
      <c r="AE2703">
        <v>-1.6239999999999599</v>
      </c>
      <c r="AF2703">
        <v>-1.58411894363122</v>
      </c>
      <c r="AG2703">
        <v>-1.1111095501949999</v>
      </c>
      <c r="AH2703">
        <v>37.916081019571699</v>
      </c>
      <c r="AI2703">
        <v>91.677078179380999</v>
      </c>
      <c r="AJ2703">
        <v>92.392403758847195</v>
      </c>
      <c r="AK2703">
        <v>37.965421071586</v>
      </c>
      <c r="AL2703">
        <v>76.814328091677893</v>
      </c>
      <c r="AM2703">
        <v>97.197452640457001</v>
      </c>
      <c r="AN2703">
        <v>1.0000000097133801</v>
      </c>
    </row>
    <row r="2704" spans="1:40" x14ac:dyDescent="0.25">
      <c r="A2704" t="str">
        <f>"20190304155646644"</f>
        <v>20190304155646644</v>
      </c>
      <c r="B2704" t="str">
        <f>"1551686206637578"</f>
        <v>1551686206637578</v>
      </c>
      <c r="C2704" t="s">
        <v>40</v>
      </c>
      <c r="D2704">
        <v>4.6746869999999996</v>
      </c>
      <c r="E2704">
        <v>0.53071469999999998</v>
      </c>
      <c r="F2704" t="s">
        <v>53</v>
      </c>
      <c r="G2704">
        <v>-497.9708</v>
      </c>
      <c r="H2704" s="1">
        <v>2.4609520000000002E-6</v>
      </c>
      <c r="I2704">
        <v>283.58949999999999</v>
      </c>
      <c r="J2704">
        <v>-460.37990000000002</v>
      </c>
      <c r="K2704">
        <v>1.1111789999999999</v>
      </c>
      <c r="L2704">
        <v>285.1934</v>
      </c>
      <c r="M2704">
        <v>-0.99989530000000004</v>
      </c>
      <c r="N2704">
        <v>-1.434408E-2</v>
      </c>
      <c r="O2704">
        <v>-1.8924440000000001E-3</v>
      </c>
      <c r="P2704">
        <v>-0.96895730000000002</v>
      </c>
      <c r="Q2704">
        <v>0.2140397</v>
      </c>
      <c r="R2704">
        <v>-0.12372900000000001</v>
      </c>
      <c r="S2704">
        <v>-3.0994259999999998</v>
      </c>
      <c r="T2704">
        <v>-9.088135E-2</v>
      </c>
      <c r="U2704">
        <v>-0.1312866</v>
      </c>
      <c r="V2704">
        <v>-0.1222748</v>
      </c>
      <c r="W2704">
        <v>0.22771640000000001</v>
      </c>
      <c r="X2704">
        <v>0.96601970000000004</v>
      </c>
      <c r="Y2704">
        <v>-4.0403769999999999E-2</v>
      </c>
      <c r="Z2704">
        <v>-8.5366089999999999E-4</v>
      </c>
      <c r="AA2704">
        <v>0.99918309999999999</v>
      </c>
      <c r="AB2704">
        <v>31</v>
      </c>
      <c r="AC2704">
        <v>-37.590899999999898</v>
      </c>
      <c r="AD2704">
        <v>-1.111176539048</v>
      </c>
      <c r="AE2704">
        <v>-1.6039000000000101</v>
      </c>
      <c r="AF2704">
        <v>-1.53141544840553</v>
      </c>
      <c r="AG2704">
        <v>-1.111176539048</v>
      </c>
      <c r="AH2704">
        <v>37.561107879039497</v>
      </c>
      <c r="AI2704">
        <v>91.693090618883105</v>
      </c>
      <c r="AJ2704">
        <v>92.334730696847302</v>
      </c>
      <c r="AK2704">
        <v>37.608732651837499</v>
      </c>
      <c r="AL2704">
        <v>76.837335786680796</v>
      </c>
      <c r="AM2704">
        <v>97.213901586634293</v>
      </c>
      <c r="AN2704">
        <v>0.99999997316604405</v>
      </c>
    </row>
    <row r="2705" spans="1:40" x14ac:dyDescent="0.25">
      <c r="A2705" t="str">
        <f>"20190304155646666"</f>
        <v>20190304155646666</v>
      </c>
      <c r="B2705" t="str">
        <f>"1551686206657098"</f>
        <v>1551686206657098</v>
      </c>
      <c r="C2705" t="s">
        <v>40</v>
      </c>
      <c r="D2705">
        <v>4.7519090000000004</v>
      </c>
      <c r="E2705">
        <v>0.53123169999999897</v>
      </c>
      <c r="F2705" t="s">
        <v>53</v>
      </c>
      <c r="G2705">
        <v>-497.88600000000002</v>
      </c>
      <c r="H2705" s="1">
        <v>2.4754320000000001E-6</v>
      </c>
      <c r="I2705">
        <v>283.58330000000001</v>
      </c>
      <c r="J2705">
        <v>-460.69420000000002</v>
      </c>
      <c r="K2705">
        <v>1.1112569999999999</v>
      </c>
      <c r="L2705">
        <v>285.19170000000003</v>
      </c>
      <c r="M2705">
        <v>-0.99989309999999998</v>
      </c>
      <c r="N2705">
        <v>-1.4341960000000001E-2</v>
      </c>
      <c r="O2705">
        <v>-2.900695E-3</v>
      </c>
      <c r="P2705">
        <v>-0.96889590000000003</v>
      </c>
      <c r="Q2705">
        <v>0.2138813</v>
      </c>
      <c r="R2705">
        <v>-0.12448389999999999</v>
      </c>
      <c r="S2705">
        <v>-3.099396</v>
      </c>
      <c r="T2705">
        <v>-9.1824290000000003E-2</v>
      </c>
      <c r="U2705">
        <v>-0.1330566</v>
      </c>
      <c r="V2705">
        <v>-0.12209449999999999</v>
      </c>
      <c r="W2705">
        <v>0.2275344</v>
      </c>
      <c r="X2705">
        <v>0.96608539999999998</v>
      </c>
      <c r="Y2705">
        <v>-3.99662E-2</v>
      </c>
      <c r="Z2705">
        <v>-8.3416700000000002E-4</v>
      </c>
      <c r="AA2705">
        <v>0.99920070000000005</v>
      </c>
      <c r="AB2705">
        <v>31</v>
      </c>
      <c r="AC2705">
        <v>-37.191799999999901</v>
      </c>
      <c r="AD2705">
        <v>-1.1112545245679999</v>
      </c>
      <c r="AE2705">
        <v>-1.60840000000001</v>
      </c>
      <c r="AF2705">
        <v>-1.49916419476484</v>
      </c>
      <c r="AG2705">
        <v>-1.1112545245679999</v>
      </c>
      <c r="AH2705">
        <v>37.163193734463</v>
      </c>
      <c r="AI2705">
        <v>91.711358067622498</v>
      </c>
      <c r="AJ2705">
        <v>92.310060700642595</v>
      </c>
      <c r="AK2705">
        <v>37.210016775681098</v>
      </c>
      <c r="AL2705">
        <v>76.848044901875895</v>
      </c>
      <c r="AM2705">
        <v>97.202891432333601</v>
      </c>
      <c r="AN2705">
        <v>0.99999998510338495</v>
      </c>
    </row>
    <row r="2706" spans="1:40" x14ac:dyDescent="0.25">
      <c r="A2706" t="str">
        <f>"20190304155646689"</f>
        <v>20190304155646689</v>
      </c>
      <c r="B2706" t="str">
        <f>"1551686206677594"</f>
        <v>1551686206677594</v>
      </c>
      <c r="C2706" t="s">
        <v>40</v>
      </c>
      <c r="D2706">
        <v>4.7365560000000002</v>
      </c>
      <c r="E2706">
        <v>0.53155090000000005</v>
      </c>
      <c r="F2706" t="s">
        <v>53</v>
      </c>
      <c r="G2706">
        <v>-497.40050000000002</v>
      </c>
      <c r="H2706" s="1">
        <v>2.5662889999999998E-6</v>
      </c>
      <c r="I2706">
        <v>283.63729999999998</v>
      </c>
      <c r="J2706">
        <v>-461.00529999999998</v>
      </c>
      <c r="K2706">
        <v>1.1113470000000001</v>
      </c>
      <c r="L2706">
        <v>285.18970000000002</v>
      </c>
      <c r="M2706">
        <v>-0.99988929999999998</v>
      </c>
      <c r="N2706">
        <v>-1.434009E-2</v>
      </c>
      <c r="O2706">
        <v>-4.0078379999999997E-3</v>
      </c>
      <c r="P2706">
        <v>-0.96874510000000003</v>
      </c>
      <c r="Q2706">
        <v>0.21426870000000001</v>
      </c>
      <c r="R2706">
        <v>-0.1249876</v>
      </c>
      <c r="S2706">
        <v>-3.1001889999999999</v>
      </c>
      <c r="T2706">
        <v>-9.3855859999999999E-2</v>
      </c>
      <c r="U2706">
        <v>-0.1312866</v>
      </c>
      <c r="V2706">
        <v>-0.121573</v>
      </c>
      <c r="W2706">
        <v>0.22789609999999999</v>
      </c>
      <c r="X2706">
        <v>0.96606590000000003</v>
      </c>
      <c r="Y2706">
        <v>-3.82797E-2</v>
      </c>
      <c r="Z2706">
        <v>-7.8994419999999996E-4</v>
      </c>
      <c r="AA2706">
        <v>0.99926669999999995</v>
      </c>
      <c r="AB2706">
        <v>31</v>
      </c>
      <c r="AC2706">
        <v>-36.395200000000003</v>
      </c>
      <c r="AD2706">
        <v>-1.1113444337109999</v>
      </c>
      <c r="AE2706">
        <v>-1.55240000000003</v>
      </c>
      <c r="AF2706">
        <v>-1.40519863812095</v>
      </c>
      <c r="AG2706">
        <v>-1.1113444337109999</v>
      </c>
      <c r="AH2706">
        <v>36.3672822324748</v>
      </c>
      <c r="AI2706">
        <v>91.7490473927148</v>
      </c>
      <c r="AJ2706">
        <v>92.212755936118299</v>
      </c>
      <c r="AK2706">
        <v>36.411384025320899</v>
      </c>
      <c r="AL2706">
        <v>76.826761728685398</v>
      </c>
      <c r="AM2706">
        <v>97.1725902046621</v>
      </c>
      <c r="AN2706">
        <v>0.99999997493350901</v>
      </c>
    </row>
    <row r="2707" spans="1:40" x14ac:dyDescent="0.25">
      <c r="A2707" t="str">
        <f>"20190304155646711"</f>
        <v>20190304155646711</v>
      </c>
      <c r="B2707" t="str">
        <f>"1551686206706874"</f>
        <v>1551686206706874</v>
      </c>
      <c r="C2707" t="s">
        <v>40</v>
      </c>
      <c r="D2707">
        <v>4.7093030000000002</v>
      </c>
      <c r="E2707">
        <v>0.53177019999999997</v>
      </c>
      <c r="F2707" t="s">
        <v>53</v>
      </c>
      <c r="G2707">
        <v>-499.85149999999999</v>
      </c>
      <c r="H2707" s="1">
        <v>2.1238910000000001E-6</v>
      </c>
      <c r="I2707">
        <v>283.55</v>
      </c>
      <c r="J2707">
        <v>-461.30169999999998</v>
      </c>
      <c r="K2707">
        <v>1.111437</v>
      </c>
      <c r="L2707">
        <v>285.18729999999999</v>
      </c>
      <c r="M2707">
        <v>-0.99988379999999999</v>
      </c>
      <c r="N2707">
        <v>-1.433855E-2</v>
      </c>
      <c r="O2707">
        <v>-5.1861420000000004E-3</v>
      </c>
      <c r="P2707">
        <v>-0.96872130000000001</v>
      </c>
      <c r="Q2707">
        <v>0.2140841</v>
      </c>
      <c r="R2707">
        <v>-0.1254875</v>
      </c>
      <c r="S2707">
        <v>-3.0995180000000002</v>
      </c>
      <c r="T2707">
        <v>-8.8673589999999997E-2</v>
      </c>
      <c r="U2707">
        <v>-0.1308289</v>
      </c>
      <c r="V2707">
        <v>-0.1209793</v>
      </c>
      <c r="W2707">
        <v>0.22768669999999999</v>
      </c>
      <c r="X2707">
        <v>0.96618979999999999</v>
      </c>
      <c r="Y2707">
        <v>-3.6967090000000001E-2</v>
      </c>
      <c r="Z2707">
        <v>-7.1974810000000001E-4</v>
      </c>
      <c r="AA2707">
        <v>0.99931619999999999</v>
      </c>
      <c r="AB2707">
        <v>31</v>
      </c>
      <c r="AC2707">
        <v>-38.549799999999998</v>
      </c>
      <c r="AD2707">
        <v>-1.111434876109</v>
      </c>
      <c r="AE2707">
        <v>-1.63729999999998</v>
      </c>
      <c r="AF2707">
        <v>-1.4361410744564</v>
      </c>
      <c r="AG2707">
        <v>-1.111434876109</v>
      </c>
      <c r="AH2707">
        <v>38.525807281273202</v>
      </c>
      <c r="AI2707">
        <v>91.651327042840407</v>
      </c>
      <c r="AJ2707">
        <v>92.134847923857293</v>
      </c>
      <c r="AK2707">
        <v>38.568583268553901</v>
      </c>
      <c r="AL2707">
        <v>76.839083430360006</v>
      </c>
      <c r="AM2707">
        <v>97.137019236006495</v>
      </c>
      <c r="AN2707">
        <v>0.999999977004709</v>
      </c>
    </row>
    <row r="2708" spans="1:40" x14ac:dyDescent="0.25">
      <c r="A2708" t="str">
        <f>"20190304155646734"</f>
        <v>20190304155646734</v>
      </c>
      <c r="B2708" t="str">
        <f>"1551686206727371"</f>
        <v>1551686206727371</v>
      </c>
      <c r="C2708" t="s">
        <v>40</v>
      </c>
      <c r="D2708">
        <v>4.6662520000000001</v>
      </c>
      <c r="E2708">
        <v>0.53183279999999999</v>
      </c>
      <c r="F2708" t="s">
        <v>53</v>
      </c>
      <c r="G2708">
        <v>-499.88909999999998</v>
      </c>
      <c r="H2708" s="1">
        <v>2.117774E-6</v>
      </c>
      <c r="I2708">
        <v>283.55630000000002</v>
      </c>
      <c r="J2708">
        <v>-461.61439999999999</v>
      </c>
      <c r="K2708">
        <v>1.11154</v>
      </c>
      <c r="L2708">
        <v>285.18419999999998</v>
      </c>
      <c r="M2708">
        <v>-0.99987570000000003</v>
      </c>
      <c r="N2708">
        <v>-1.433706E-2</v>
      </c>
      <c r="O2708">
        <v>-6.5619709999999998E-3</v>
      </c>
      <c r="P2708">
        <v>-0.96849479999999999</v>
      </c>
      <c r="Q2708">
        <v>0.21429329999999999</v>
      </c>
      <c r="R2708">
        <v>-0.1268706</v>
      </c>
      <c r="S2708">
        <v>-3.0996090000000001</v>
      </c>
      <c r="T2708">
        <v>-8.9278339999999998E-2</v>
      </c>
      <c r="U2708">
        <v>-0.13101199999999999</v>
      </c>
      <c r="V2708">
        <v>-0.1210856</v>
      </c>
      <c r="W2708">
        <v>0.2278646</v>
      </c>
      <c r="X2708">
        <v>0.96613450000000001</v>
      </c>
      <c r="Y2708">
        <v>-3.565041E-2</v>
      </c>
      <c r="Z2708">
        <v>-6.7401530000000002E-4</v>
      </c>
      <c r="AA2708">
        <v>0.99936409999999998</v>
      </c>
      <c r="AB2708">
        <v>31</v>
      </c>
      <c r="AC2708">
        <v>-38.274700000000003</v>
      </c>
      <c r="AD2708">
        <v>-1.111537882226</v>
      </c>
      <c r="AE2708">
        <v>-1.6278999999999499</v>
      </c>
      <c r="AF2708">
        <v>-1.37552366041401</v>
      </c>
      <c r="AG2708">
        <v>-1.111537882226</v>
      </c>
      <c r="AH2708">
        <v>38.252355968361897</v>
      </c>
      <c r="AI2708">
        <v>91.663359320563004</v>
      </c>
      <c r="AJ2708">
        <v>92.059422359619901</v>
      </c>
      <c r="AK2708">
        <v>38.293215050897103</v>
      </c>
      <c r="AL2708">
        <v>76.828614783486998</v>
      </c>
      <c r="AM2708">
        <v>97.143630159520796</v>
      </c>
      <c r="AN2708">
        <v>0.999999935275382</v>
      </c>
    </row>
    <row r="2709" spans="1:40" x14ac:dyDescent="0.25">
      <c r="A2709" t="str">
        <f>"20190304155646755"</f>
        <v>20190304155646755</v>
      </c>
      <c r="B2709" t="str">
        <f>"1551686206746890"</f>
        <v>1551686206746890</v>
      </c>
      <c r="C2709" t="s">
        <v>40</v>
      </c>
      <c r="D2709">
        <v>4.6925299999999996</v>
      </c>
      <c r="E2709">
        <v>0.53192680000000003</v>
      </c>
      <c r="F2709" t="s">
        <v>53</v>
      </c>
      <c r="G2709">
        <v>-499.95780000000002</v>
      </c>
      <c r="H2709">
        <v>1.7014620000000001E-2</v>
      </c>
      <c r="I2709">
        <v>283.52229999999997</v>
      </c>
      <c r="J2709">
        <v>-461.91559999999998</v>
      </c>
      <c r="K2709">
        <v>1.111632</v>
      </c>
      <c r="L2709">
        <v>285.1807</v>
      </c>
      <c r="M2709">
        <v>-0.99986529999999996</v>
      </c>
      <c r="N2709">
        <v>-1.4335870000000001E-2</v>
      </c>
      <c r="O2709">
        <v>-7.9918490000000005E-3</v>
      </c>
      <c r="P2709">
        <v>-0.96822649999999999</v>
      </c>
      <c r="Q2709">
        <v>0.21440909999999999</v>
      </c>
      <c r="R2709">
        <v>-0.128708399999999</v>
      </c>
      <c r="S2709">
        <v>-3.0995789999999999</v>
      </c>
      <c r="T2709">
        <v>-8.847845E-2</v>
      </c>
      <c r="U2709">
        <v>-0.1343384</v>
      </c>
      <c r="V2709">
        <v>-0.1215889</v>
      </c>
      <c r="W2709">
        <v>0.22795090000000001</v>
      </c>
      <c r="X2709">
        <v>0.96605099999999999</v>
      </c>
      <c r="Y2709">
        <v>-3.5292879999999999E-2</v>
      </c>
      <c r="Z2709">
        <v>-6.4312219999999995E-4</v>
      </c>
      <c r="AA2709">
        <v>0.99937679999999995</v>
      </c>
      <c r="AB2709">
        <v>31</v>
      </c>
      <c r="AC2709">
        <v>-38.042200000000001</v>
      </c>
      <c r="AD2709">
        <v>-1.0946173800000001</v>
      </c>
      <c r="AE2709">
        <v>-1.6584000000000201</v>
      </c>
      <c r="AF2709">
        <v>-1.3531700594756</v>
      </c>
      <c r="AG2709">
        <v>-1.0946173800000001</v>
      </c>
      <c r="AH2709">
        <v>38.022819397075601</v>
      </c>
      <c r="AI2709">
        <v>91.647957558469898</v>
      </c>
      <c r="AJ2709">
        <v>92.038203048898097</v>
      </c>
      <c r="AK2709">
        <v>38.0626332683524</v>
      </c>
      <c r="AL2709">
        <v>76.823537433064303</v>
      </c>
      <c r="AM2709">
        <v>97.173627993468003</v>
      </c>
      <c r="AN2709">
        <v>1.0000000040075001</v>
      </c>
    </row>
    <row r="2710" spans="1:40" x14ac:dyDescent="0.25">
      <c r="A2710" t="str">
        <f>"20190304155646779"</f>
        <v>20190304155646779</v>
      </c>
      <c r="B2710" t="str">
        <f>"1551686206767386"</f>
        <v>1551686206767386</v>
      </c>
      <c r="C2710" t="s">
        <v>40</v>
      </c>
      <c r="D2710">
        <v>4.6731179999999997</v>
      </c>
      <c r="E2710">
        <v>0.53201279999999995</v>
      </c>
      <c r="F2710" t="s">
        <v>53</v>
      </c>
      <c r="G2710">
        <v>-499.95780000000002</v>
      </c>
      <c r="H2710">
        <v>3.893083E-2</v>
      </c>
      <c r="I2710">
        <v>283.47829999999999</v>
      </c>
      <c r="J2710">
        <v>-462.22890000000001</v>
      </c>
      <c r="K2710">
        <v>1.1117090000000001</v>
      </c>
      <c r="L2710">
        <v>285.17649999999998</v>
      </c>
      <c r="M2710">
        <v>-0.9998513</v>
      </c>
      <c r="N2710">
        <v>-1.4334639999999999E-2</v>
      </c>
      <c r="O2710">
        <v>-9.5928760000000002E-3</v>
      </c>
      <c r="P2710">
        <v>-0.96788099999999999</v>
      </c>
      <c r="Q2710">
        <v>0.21430199999999999</v>
      </c>
      <c r="R2710">
        <v>-0.131458299999999</v>
      </c>
      <c r="S2710">
        <v>-3.0993650000000001</v>
      </c>
      <c r="T2710">
        <v>-8.7394830000000007E-2</v>
      </c>
      <c r="U2710">
        <v>-0.138702399999999</v>
      </c>
      <c r="V2710">
        <v>-0.1228371</v>
      </c>
      <c r="W2710">
        <v>0.2278116</v>
      </c>
      <c r="X2710">
        <v>0.9659259</v>
      </c>
      <c r="Y2710">
        <v>-3.510071E-2</v>
      </c>
      <c r="Z2710">
        <v>-6.1347929999999999E-4</v>
      </c>
      <c r="AA2710">
        <v>0.99938360000000004</v>
      </c>
      <c r="AB2710">
        <v>31</v>
      </c>
      <c r="AC2710">
        <v>-37.728900000000003</v>
      </c>
      <c r="AD2710">
        <v>-1.0727781700000001</v>
      </c>
      <c r="AE2710">
        <v>-1.6981999999999799</v>
      </c>
      <c r="AF2710">
        <v>-1.33507881046328</v>
      </c>
      <c r="AG2710">
        <v>-1.0727781700000001</v>
      </c>
      <c r="AH2710">
        <v>37.7130271884647</v>
      </c>
      <c r="AI2710">
        <v>91.628366838361501</v>
      </c>
      <c r="AJ2710">
        <v>92.0274811074284</v>
      </c>
      <c r="AK2710">
        <v>37.751896749038401</v>
      </c>
      <c r="AL2710">
        <v>76.831733833221193</v>
      </c>
      <c r="AM2710">
        <v>97.247420224509199</v>
      </c>
      <c r="AN2710">
        <v>0.99999996126088897</v>
      </c>
    </row>
    <row r="2711" spans="1:40" x14ac:dyDescent="0.25">
      <c r="A2711" t="str">
        <f>"20190304155646801"</f>
        <v>20190304155646801</v>
      </c>
      <c r="B2711" t="str">
        <f>"1551686206797642"</f>
        <v>1551686206797642</v>
      </c>
      <c r="C2711" t="s">
        <v>40</v>
      </c>
      <c r="D2711">
        <v>4.8909370000000001</v>
      </c>
      <c r="E2711">
        <v>0.50309280000000001</v>
      </c>
      <c r="F2711" t="s">
        <v>53</v>
      </c>
      <c r="G2711">
        <v>-499.95780000000002</v>
      </c>
      <c r="H2711">
        <v>4.6611100000000003E-2</v>
      </c>
      <c r="I2711">
        <v>283.39210000000003</v>
      </c>
      <c r="J2711">
        <v>-462.52949999999998</v>
      </c>
      <c r="K2711">
        <v>1.1117919999999999</v>
      </c>
      <c r="L2711">
        <v>285.17189999999999</v>
      </c>
      <c r="M2711">
        <v>-0.99983409999999995</v>
      </c>
      <c r="N2711">
        <v>-1.433331E-2</v>
      </c>
      <c r="O2711">
        <v>-1.124092E-2</v>
      </c>
      <c r="P2711">
        <v>-0.96748460000000003</v>
      </c>
      <c r="Q2711">
        <v>0.21404719999999999</v>
      </c>
      <c r="R2711">
        <v>-0.13475000000000001</v>
      </c>
      <c r="S2711">
        <v>-3.09903</v>
      </c>
      <c r="T2711">
        <v>-8.7486510000000003E-2</v>
      </c>
      <c r="U2711">
        <v>-0.14657590000000001</v>
      </c>
      <c r="V2711">
        <v>-0.1245797</v>
      </c>
      <c r="W2711">
        <v>0.22752330000000001</v>
      </c>
      <c r="X2711">
        <v>0.96577069999999998</v>
      </c>
      <c r="Y2711">
        <v>-3.5991530000000001E-2</v>
      </c>
      <c r="Z2711">
        <v>-6.0978189999999998E-4</v>
      </c>
      <c r="AA2711">
        <v>0.99935189999999996</v>
      </c>
      <c r="AB2711">
        <v>31</v>
      </c>
      <c r="AC2711">
        <v>-37.4283</v>
      </c>
      <c r="AD2711">
        <v>-1.0651808999999901</v>
      </c>
      <c r="AE2711">
        <v>-1.7797999999999601</v>
      </c>
      <c r="AF2711">
        <v>-1.35781852817913</v>
      </c>
      <c r="AG2711">
        <v>-1.0651808999999901</v>
      </c>
      <c r="AH2711">
        <v>37.415707727549602</v>
      </c>
      <c r="AI2711">
        <v>91.629630400256104</v>
      </c>
      <c r="AJ2711">
        <v>92.078355602415698</v>
      </c>
      <c r="AK2711">
        <v>37.455486464049699</v>
      </c>
      <c r="AL2711">
        <v>76.848698205874499</v>
      </c>
      <c r="AM2711">
        <v>97.350285914556096</v>
      </c>
      <c r="AN2711">
        <v>0.999999999336735</v>
      </c>
    </row>
    <row r="2712" spans="1:40" x14ac:dyDescent="0.25">
      <c r="A2712" t="str">
        <f>"20190304155646823"</f>
        <v>20190304155646823</v>
      </c>
      <c r="B2712" t="str">
        <f>"1551686206817161"</f>
        <v>1551686206817161</v>
      </c>
      <c r="C2712" t="s">
        <v>40</v>
      </c>
      <c r="D2712">
        <v>4.7053659999999997</v>
      </c>
      <c r="E2712">
        <v>0.48328939999999998</v>
      </c>
      <c r="F2712" t="s">
        <v>66</v>
      </c>
      <c r="G2712">
        <v>-511.95859999999999</v>
      </c>
      <c r="H2712">
        <v>4.7420499999999997E-2</v>
      </c>
      <c r="I2712">
        <v>278.95890000000003</v>
      </c>
      <c r="J2712">
        <v>-462.8417</v>
      </c>
      <c r="K2712">
        <v>1.111877</v>
      </c>
      <c r="L2712">
        <v>285.16649999999998</v>
      </c>
      <c r="M2712">
        <v>-0.99981180000000003</v>
      </c>
      <c r="N2712">
        <v>-1.433211E-2</v>
      </c>
      <c r="O2712">
        <v>-1.306937E-2</v>
      </c>
      <c r="P2712">
        <v>-0.96712019999999999</v>
      </c>
      <c r="Q2712">
        <v>0.21375540000000001</v>
      </c>
      <c r="R2712">
        <v>-0.13779459999999999</v>
      </c>
      <c r="S2712">
        <v>-3.0618289999999999</v>
      </c>
      <c r="T2712">
        <v>-6.5925960000000006E-2</v>
      </c>
      <c r="U2712">
        <v>-0.38485720000000001</v>
      </c>
      <c r="V2712">
        <v>-0.12590509999999999</v>
      </c>
      <c r="W2712">
        <v>0.22719780000000001</v>
      </c>
      <c r="X2712">
        <v>0.96567550000000002</v>
      </c>
      <c r="Y2712">
        <v>-0.11169220000000001</v>
      </c>
      <c r="Z2712">
        <v>-1.907745E-3</v>
      </c>
      <c r="AA2712">
        <v>0.99374099999999999</v>
      </c>
      <c r="AB2712">
        <v>31</v>
      </c>
      <c r="AC2712">
        <v>-49.116900000000001</v>
      </c>
      <c r="AD2712">
        <v>-1.0644564999999999</v>
      </c>
      <c r="AE2712">
        <v>-6.2075999999999496</v>
      </c>
      <c r="AF2712">
        <v>-5.5625053130720996</v>
      </c>
      <c r="AG2712">
        <v>-1.0644564999999999</v>
      </c>
      <c r="AH2712">
        <v>49.1711107579535</v>
      </c>
      <c r="AI2712">
        <v>91.232288164129301</v>
      </c>
      <c r="AJ2712">
        <v>96.454173510351794</v>
      </c>
      <c r="AK2712">
        <v>49.496188400413999</v>
      </c>
      <c r="AL2712">
        <v>76.867850259506696</v>
      </c>
      <c r="AM2712">
        <v>97.428340799036505</v>
      </c>
      <c r="AN2712">
        <v>1.0000000529155399</v>
      </c>
    </row>
    <row r="2713" spans="1:40" x14ac:dyDescent="0.25">
      <c r="A2713" t="str">
        <f>"20190304155646845"</f>
        <v>20190304155646845</v>
      </c>
      <c r="B2713" t="str">
        <f>"1551686206837658"</f>
        <v>1551686206837658</v>
      </c>
      <c r="C2713" t="s">
        <v>40</v>
      </c>
      <c r="D2713">
        <v>4.6753299999999998</v>
      </c>
      <c r="E2713">
        <v>0.47576679999999999</v>
      </c>
      <c r="F2713" t="s">
        <v>53</v>
      </c>
      <c r="G2713">
        <v>-500.79880000000003</v>
      </c>
      <c r="H2713">
        <v>8.0000650000000006E-2</v>
      </c>
      <c r="I2713">
        <v>278.29989999999998</v>
      </c>
      <c r="J2713">
        <v>-463.13799999999998</v>
      </c>
      <c r="K2713">
        <v>1.1119669999999999</v>
      </c>
      <c r="L2713">
        <v>285.16079999999999</v>
      </c>
      <c r="M2713">
        <v>-0.99978610000000001</v>
      </c>
      <c r="N2713">
        <v>-1.4331409999999999E-2</v>
      </c>
      <c r="O2713">
        <v>-1.4912140000000001E-2</v>
      </c>
      <c r="P2713">
        <v>-0.96672999999999998</v>
      </c>
      <c r="Q2713">
        <v>0.21340239999999999</v>
      </c>
      <c r="R2713">
        <v>-0.14104040000000001</v>
      </c>
      <c r="S2713">
        <v>-3.0418699999999999</v>
      </c>
      <c r="T2713">
        <v>-8.2694409999999996E-2</v>
      </c>
      <c r="U2713">
        <v>-0.55029300000000003</v>
      </c>
      <c r="V2713">
        <v>-0.12741839999999999</v>
      </c>
      <c r="W2713">
        <v>0.22681000000000001</v>
      </c>
      <c r="X2713">
        <v>0.96556810000000004</v>
      </c>
      <c r="Y2713">
        <v>-0.1632325</v>
      </c>
      <c r="Z2713">
        <v>-3.1901379999999999E-3</v>
      </c>
      <c r="AA2713">
        <v>0.98658250000000003</v>
      </c>
      <c r="AB2713">
        <v>31</v>
      </c>
      <c r="AC2713">
        <v>-37.660800000000002</v>
      </c>
      <c r="AD2713">
        <v>-1.03196634999999</v>
      </c>
      <c r="AE2713">
        <v>-6.8609000000000098</v>
      </c>
      <c r="AF2713">
        <v>-6.2939022003336804</v>
      </c>
      <c r="AG2713">
        <v>-1.03196634999999</v>
      </c>
      <c r="AH2713">
        <v>37.731512174843203</v>
      </c>
      <c r="AI2713">
        <v>91.545322377687896</v>
      </c>
      <c r="AJ2713">
        <v>99.470177506441502</v>
      </c>
      <c r="AK2713">
        <v>38.266763260762502</v>
      </c>
      <c r="AL2713">
        <v>76.890664335089994</v>
      </c>
      <c r="AM2713">
        <v>97.517436333154606</v>
      </c>
      <c r="AN2713">
        <v>0.99999999024808495</v>
      </c>
    </row>
    <row r="2714" spans="1:40" x14ac:dyDescent="0.25">
      <c r="A2714" t="str">
        <f>"20190304155646867"</f>
        <v>20190304155646867</v>
      </c>
      <c r="B2714" t="str">
        <f>"1551686206857178"</f>
        <v>1551686206857178</v>
      </c>
      <c r="C2714" t="s">
        <v>40</v>
      </c>
      <c r="D2714">
        <v>4.6499449999999998</v>
      </c>
      <c r="E2714">
        <v>0.47184890000000002</v>
      </c>
      <c r="F2714" t="s">
        <v>53</v>
      </c>
      <c r="G2714">
        <v>-498.79480000000001</v>
      </c>
      <c r="H2714" s="1">
        <v>1.661404E-6</v>
      </c>
      <c r="I2714">
        <v>277.87869999999998</v>
      </c>
      <c r="J2714">
        <v>-463.44069999999999</v>
      </c>
      <c r="K2714">
        <v>1.1120559999999999</v>
      </c>
      <c r="L2714">
        <v>285.1542</v>
      </c>
      <c r="M2714">
        <v>-0.99975449999999999</v>
      </c>
      <c r="N2714">
        <v>-1.433078E-2</v>
      </c>
      <c r="O2714">
        <v>-1.6899569999999999E-2</v>
      </c>
      <c r="P2714">
        <v>-0.96626809999999996</v>
      </c>
      <c r="Q2714">
        <v>0.2132686</v>
      </c>
      <c r="R2714">
        <v>-0.14436949999999901</v>
      </c>
      <c r="S2714">
        <v>-3.033722</v>
      </c>
      <c r="T2714">
        <v>-9.460723E-2</v>
      </c>
      <c r="U2714">
        <v>-0.61956789999999995</v>
      </c>
      <c r="V2714">
        <v>-0.12887789999999999</v>
      </c>
      <c r="W2714">
        <v>0.22664000000000001</v>
      </c>
      <c r="X2714">
        <v>0.96541429999999995</v>
      </c>
      <c r="Y2714">
        <v>-0.18338470000000001</v>
      </c>
      <c r="Z2714">
        <v>-3.876071E-3</v>
      </c>
      <c r="AA2714">
        <v>0.98303359999999995</v>
      </c>
      <c r="AB2714">
        <v>31</v>
      </c>
      <c r="AC2714">
        <v>-35.354100000000003</v>
      </c>
      <c r="AD2714">
        <v>-1.112054338596</v>
      </c>
      <c r="AE2714">
        <v>-7.2755000000000196</v>
      </c>
      <c r="AF2714">
        <v>-6.6705985936763197</v>
      </c>
      <c r="AG2714">
        <v>-1.112054338596</v>
      </c>
      <c r="AH2714">
        <v>35.438377344977198</v>
      </c>
      <c r="AI2714">
        <v>91.766349504054403</v>
      </c>
      <c r="AJ2714">
        <v>100.660106599805</v>
      </c>
      <c r="AK2714">
        <v>36.077862177448097</v>
      </c>
      <c r="AL2714">
        <v>76.900665000516199</v>
      </c>
      <c r="AM2714">
        <v>97.603739417408093</v>
      </c>
      <c r="AN2714">
        <v>0.99999998667644896</v>
      </c>
    </row>
    <row r="2715" spans="1:40" x14ac:dyDescent="0.25">
      <c r="A2715" t="str">
        <f>"20190304155646886"</f>
        <v>20190304155646886</v>
      </c>
      <c r="B2715" t="str">
        <f>"1551686206877674"</f>
        <v>1551686206877674</v>
      </c>
      <c r="C2715" t="s">
        <v>40</v>
      </c>
      <c r="D2715">
        <v>4.6461940000000004</v>
      </c>
      <c r="E2715">
        <v>0.4695742</v>
      </c>
      <c r="F2715" t="s">
        <v>53</v>
      </c>
      <c r="G2715">
        <v>-496.75150000000002</v>
      </c>
      <c r="H2715" s="1">
        <v>2.0261259999999998E-6</v>
      </c>
      <c r="I2715">
        <v>277.89159999999998</v>
      </c>
      <c r="J2715">
        <v>-463.6934</v>
      </c>
      <c r="K2715">
        <v>1.1121299999999901</v>
      </c>
      <c r="L2715">
        <v>285.1481</v>
      </c>
      <c r="M2715">
        <v>-0.99972360000000005</v>
      </c>
      <c r="N2715">
        <v>-1.4330290000000001E-2</v>
      </c>
      <c r="O2715">
        <v>-1.8640830000000001E-2</v>
      </c>
      <c r="P2715">
        <v>-0.96591629999999995</v>
      </c>
      <c r="Q2715">
        <v>0.21337590000000001</v>
      </c>
      <c r="R2715">
        <v>-0.14654800000000001</v>
      </c>
      <c r="S2715">
        <v>-3.0284420000000001</v>
      </c>
      <c r="T2715">
        <v>-0.1011021</v>
      </c>
      <c r="U2715">
        <v>-0.66027829999999998</v>
      </c>
      <c r="V2715">
        <v>-0.1294158</v>
      </c>
      <c r="W2715">
        <v>0.2267208</v>
      </c>
      <c r="X2715">
        <v>0.96532340000000005</v>
      </c>
      <c r="Y2715">
        <v>-0.19462309999999999</v>
      </c>
      <c r="Z2715">
        <v>-4.270958E-3</v>
      </c>
      <c r="AA2715">
        <v>0.98086879999999999</v>
      </c>
      <c r="AB2715">
        <v>31</v>
      </c>
      <c r="AC2715">
        <v>-33.058100000000003</v>
      </c>
      <c r="AD2715">
        <v>-1.11212797387399</v>
      </c>
      <c r="AE2715">
        <v>-7.2565000000000097</v>
      </c>
      <c r="AF2715">
        <v>-6.6317846573689199</v>
      </c>
      <c r="AG2715">
        <v>-1.11212797387399</v>
      </c>
      <c r="AH2715">
        <v>33.151840724646</v>
      </c>
      <c r="AI2715">
        <v>91.8840522370934</v>
      </c>
      <c r="AJ2715">
        <v>101.31228643071999</v>
      </c>
      <c r="AK2715">
        <v>33.826941035279603</v>
      </c>
      <c r="AL2715">
        <v>76.895912195729096</v>
      </c>
      <c r="AM2715">
        <v>97.635812153905803</v>
      </c>
      <c r="AN2715">
        <v>1.00000001851491</v>
      </c>
    </row>
    <row r="2716" spans="1:40" x14ac:dyDescent="0.25">
      <c r="A2716" t="str">
        <f>"20190304155646901"</f>
        <v>20190304155646901</v>
      </c>
      <c r="B2716" t="str">
        <f>"1551686206897194"</f>
        <v>1551686206897194</v>
      </c>
      <c r="C2716" t="s">
        <v>40</v>
      </c>
      <c r="D2716">
        <v>4.7236419999999999</v>
      </c>
      <c r="E2716">
        <v>0.46827049999999998</v>
      </c>
      <c r="F2716" t="s">
        <v>53</v>
      </c>
      <c r="G2716">
        <v>-495.80739999999997</v>
      </c>
      <c r="H2716" s="1">
        <v>2.1905929999999998E-6</v>
      </c>
      <c r="I2716">
        <v>277.87450000000001</v>
      </c>
      <c r="J2716">
        <v>-463.892</v>
      </c>
      <c r="K2716">
        <v>1.1121840000000001</v>
      </c>
      <c r="L2716">
        <v>285.1429</v>
      </c>
      <c r="M2716">
        <v>-0.99969609999999998</v>
      </c>
      <c r="N2716">
        <v>-1.433006E-2</v>
      </c>
      <c r="O2716">
        <v>-2.0060430000000001E-2</v>
      </c>
      <c r="P2716">
        <v>-0.96550780000000003</v>
      </c>
      <c r="Q2716">
        <v>0.21330589999999999</v>
      </c>
      <c r="R2716">
        <v>-0.14931639999999999</v>
      </c>
      <c r="S2716">
        <v>-3.0250240000000002</v>
      </c>
      <c r="T2716">
        <v>-0.10475859999999999</v>
      </c>
      <c r="U2716">
        <v>-0.68515009999999998</v>
      </c>
      <c r="V2716">
        <v>-0.13084509999999999</v>
      </c>
      <c r="W2716">
        <v>0.2266261</v>
      </c>
      <c r="X2716">
        <v>0.96515289999999998</v>
      </c>
      <c r="Y2716">
        <v>-0.20112740000000001</v>
      </c>
      <c r="Z2716">
        <v>-4.49643E-3</v>
      </c>
      <c r="AA2716">
        <v>0.97955479999999995</v>
      </c>
      <c r="AB2716">
        <v>31</v>
      </c>
      <c r="AC2716">
        <v>-31.915399999999899</v>
      </c>
      <c r="AD2716">
        <v>-1.112181809407</v>
      </c>
      <c r="AE2716">
        <v>-7.2683999999999802</v>
      </c>
      <c r="AF2716">
        <v>-6.6189931274895804</v>
      </c>
      <c r="AG2716">
        <v>-1.112181809407</v>
      </c>
      <c r="AH2716">
        <v>32.017834194383298</v>
      </c>
      <c r="AI2716">
        <v>91.948281596370407</v>
      </c>
      <c r="AJ2716">
        <v>101.680125662937</v>
      </c>
      <c r="AK2716">
        <v>32.713754368735302</v>
      </c>
      <c r="AL2716">
        <v>76.901482530737795</v>
      </c>
      <c r="AM2716">
        <v>97.720479826894206</v>
      </c>
      <c r="AN2716">
        <v>0.99999997488681402</v>
      </c>
    </row>
    <row r="2717" spans="1:40" x14ac:dyDescent="0.25">
      <c r="A2717" t="str">
        <f>"20190304155646923"</f>
        <v>20190304155646923</v>
      </c>
      <c r="B2717" t="str">
        <f>"1551686206917693"</f>
        <v>1551686206917693</v>
      </c>
      <c r="C2717" t="s">
        <v>40</v>
      </c>
      <c r="D2717">
        <v>4.6223640000000001</v>
      </c>
      <c r="E2717">
        <v>0.46712019999999999</v>
      </c>
      <c r="F2717" t="s">
        <v>53</v>
      </c>
      <c r="G2717">
        <v>-495.26749999999998</v>
      </c>
      <c r="H2717" s="1">
        <v>2.2802409999999999E-6</v>
      </c>
      <c r="I2717">
        <v>277.83980000000003</v>
      </c>
      <c r="J2717">
        <v>-464.20249999999999</v>
      </c>
      <c r="K2717">
        <v>1.1122669999999999</v>
      </c>
      <c r="L2717">
        <v>285.1343</v>
      </c>
      <c r="M2717">
        <v>-0.99964730000000002</v>
      </c>
      <c r="N2717">
        <v>-1.4329629999999999E-2</v>
      </c>
      <c r="O2717">
        <v>-2.235639E-2</v>
      </c>
      <c r="P2717">
        <v>-0.96489849999999999</v>
      </c>
      <c r="Q2717">
        <v>0.2131757</v>
      </c>
      <c r="R2717">
        <v>-0.1533852</v>
      </c>
      <c r="S2717">
        <v>-3.0220639999999999</v>
      </c>
      <c r="T2717">
        <v>-0.10712430000000001</v>
      </c>
      <c r="U2717">
        <v>-0.70343020000000001</v>
      </c>
      <c r="V2717">
        <v>-0.13274540000000001</v>
      </c>
      <c r="W2717">
        <v>0.22645889999999999</v>
      </c>
      <c r="X2717">
        <v>0.96493269999999998</v>
      </c>
      <c r="Y2717">
        <v>-0.20470250000000001</v>
      </c>
      <c r="Z2717">
        <v>-4.6009370000000003E-3</v>
      </c>
      <c r="AA2717">
        <v>0.97881339999999994</v>
      </c>
      <c r="AB2717">
        <v>30</v>
      </c>
      <c r="AC2717">
        <v>-31.065000000000001</v>
      </c>
      <c r="AD2717">
        <v>-1.1122647197589901</v>
      </c>
      <c r="AE2717">
        <v>-7.29449999999997</v>
      </c>
      <c r="AF2717">
        <v>-6.5900971065077503</v>
      </c>
      <c r="AG2717">
        <v>-1.1122647197589901</v>
      </c>
      <c r="AH2717">
        <v>31.182443966053999</v>
      </c>
      <c r="AI2717">
        <v>91.998738546377595</v>
      </c>
      <c r="AJ2717">
        <v>101.933291726501</v>
      </c>
      <c r="AK2717">
        <v>31.890614988991999</v>
      </c>
      <c r="AL2717">
        <v>76.911319032396904</v>
      </c>
      <c r="AM2717">
        <v>97.8329899400795</v>
      </c>
      <c r="AN2717">
        <v>1.0000000450698201</v>
      </c>
    </row>
    <row r="2718" spans="1:40" x14ac:dyDescent="0.25">
      <c r="A2718" t="str">
        <f>"20190304155646941"</f>
        <v>20190304155646941</v>
      </c>
      <c r="B2718" t="str">
        <f>"1551686206937210"</f>
        <v>1551686206937210</v>
      </c>
      <c r="C2718" t="s">
        <v>40</v>
      </c>
      <c r="D2718">
        <v>4.6496130000000004</v>
      </c>
      <c r="E2718">
        <v>0.46641529999999998</v>
      </c>
      <c r="F2718" t="s">
        <v>53</v>
      </c>
      <c r="G2718">
        <v>-495.18599999999998</v>
      </c>
      <c r="H2718" s="1">
        <v>2.2685680000000001E-6</v>
      </c>
      <c r="I2718">
        <v>277.69139999999999</v>
      </c>
      <c r="J2718">
        <v>-464.43369999999999</v>
      </c>
      <c r="K2718">
        <v>1.112325</v>
      </c>
      <c r="L2718">
        <v>285.12729999999999</v>
      </c>
      <c r="M2718">
        <v>-0.99960629999999995</v>
      </c>
      <c r="N2718">
        <v>-1.432927E-2</v>
      </c>
      <c r="O2718">
        <v>-2.4130780000000001E-2</v>
      </c>
      <c r="P2718">
        <v>-0.96440239999999999</v>
      </c>
      <c r="Q2718">
        <v>0.21350649999999999</v>
      </c>
      <c r="R2718">
        <v>-0.15602389999999999</v>
      </c>
      <c r="S2718">
        <v>-3.0178219999999998</v>
      </c>
      <c r="T2718">
        <v>-0.1083355</v>
      </c>
      <c r="U2718">
        <v>-0.72494510000000001</v>
      </c>
      <c r="V2718">
        <v>-0.133707299999999</v>
      </c>
      <c r="W2718">
        <v>0.22676499999999999</v>
      </c>
      <c r="X2718">
        <v>0.96472789999999997</v>
      </c>
      <c r="Y2718">
        <v>-0.20986679999999999</v>
      </c>
      <c r="Z2718">
        <v>-4.7264009999999999E-3</v>
      </c>
      <c r="AA2718">
        <v>0.97771859999999999</v>
      </c>
      <c r="AB2718">
        <v>30</v>
      </c>
      <c r="AC2718">
        <v>-30.752299999999899</v>
      </c>
      <c r="AD2718">
        <v>-1.1123227314319999</v>
      </c>
      <c r="AE2718">
        <v>-7.4359000000000002</v>
      </c>
      <c r="AF2718">
        <v>-6.6833204717239898</v>
      </c>
      <c r="AG2718">
        <v>-1.1123227314319999</v>
      </c>
      <c r="AH2718">
        <v>30.8846215483333</v>
      </c>
      <c r="AI2718">
        <v>92.016017701552599</v>
      </c>
      <c r="AJ2718">
        <v>102.210330263366</v>
      </c>
      <c r="AK2718">
        <v>31.619043036916899</v>
      </c>
      <c r="AL2718">
        <v>76.893311274299705</v>
      </c>
      <c r="AM2718">
        <v>97.890690875755496</v>
      </c>
      <c r="AN2718">
        <v>0.99999996416834902</v>
      </c>
    </row>
    <row r="2719" spans="1:40" x14ac:dyDescent="0.25">
      <c r="A2719" t="str">
        <f>"20190304155646956"</f>
        <v>20190304155646956</v>
      </c>
      <c r="B2719" t="str">
        <f>"1551686206946970"</f>
        <v>1551686206946970</v>
      </c>
      <c r="C2719" t="s">
        <v>40</v>
      </c>
      <c r="D2719">
        <v>4.6365540000000003</v>
      </c>
      <c r="E2719">
        <v>0.4661381</v>
      </c>
      <c r="F2719" t="s">
        <v>53</v>
      </c>
      <c r="G2719">
        <v>-495.3492</v>
      </c>
      <c r="H2719" s="1">
        <v>2.2151749999999999E-6</v>
      </c>
      <c r="I2719">
        <v>277.55259999999998</v>
      </c>
      <c r="J2719">
        <v>-464.65309999999999</v>
      </c>
      <c r="K2719">
        <v>1.1123799999999999</v>
      </c>
      <c r="L2719">
        <v>285.12029999999999</v>
      </c>
      <c r="M2719">
        <v>-0.99956299999999998</v>
      </c>
      <c r="N2719">
        <v>-1.432896E-2</v>
      </c>
      <c r="O2719">
        <v>-2.585964E-2</v>
      </c>
      <c r="P2719">
        <v>-0.96381059999999996</v>
      </c>
      <c r="Q2719">
        <v>0.21362210000000001</v>
      </c>
      <c r="R2719">
        <v>-0.15948409999999999</v>
      </c>
      <c r="S2719">
        <v>-3.0151979999999998</v>
      </c>
      <c r="T2719">
        <v>-0.1084855</v>
      </c>
      <c r="U2719">
        <v>-0.73876949999999997</v>
      </c>
      <c r="V2719">
        <v>-0.13553509999999999</v>
      </c>
      <c r="W2719">
        <v>0.22685230000000001</v>
      </c>
      <c r="X2719">
        <v>0.96445230000000004</v>
      </c>
      <c r="Y2719">
        <v>-0.21259910000000001</v>
      </c>
      <c r="Z2719">
        <v>-4.7634390000000004E-3</v>
      </c>
      <c r="AA2719">
        <v>0.97712790000000005</v>
      </c>
      <c r="AB2719">
        <v>30</v>
      </c>
      <c r="AC2719">
        <v>-30.696100000000001</v>
      </c>
      <c r="AD2719">
        <v>-1.1123777848249901</v>
      </c>
      <c r="AE2719">
        <v>-7.5677000000000003</v>
      </c>
      <c r="AF2719">
        <v>-6.7629248606995302</v>
      </c>
      <c r="AG2719">
        <v>-1.1123777848249901</v>
      </c>
      <c r="AH2719">
        <v>30.843367279614899</v>
      </c>
      <c r="AI2719">
        <v>92.0176080765129</v>
      </c>
      <c r="AJ2719">
        <v>102.367339677364</v>
      </c>
      <c r="AK2719">
        <v>31.595693411489801</v>
      </c>
      <c r="AL2719">
        <v>76.888175777994306</v>
      </c>
      <c r="AM2719">
        <v>97.999427259650204</v>
      </c>
      <c r="AN2719">
        <v>0.99999998416129499</v>
      </c>
    </row>
    <row r="2720" spans="1:40" x14ac:dyDescent="0.25">
      <c r="A2720" t="str">
        <f>"20190304155646979"</f>
        <v>20190304155646979</v>
      </c>
      <c r="B2720" t="str">
        <f>"1551686206967466"</f>
        <v>1551686206967466</v>
      </c>
      <c r="C2720" t="s">
        <v>40</v>
      </c>
      <c r="D2720">
        <v>4.6412180000000003</v>
      </c>
      <c r="E2720">
        <v>0.46562750000000003</v>
      </c>
      <c r="F2720" t="s">
        <v>53</v>
      </c>
      <c r="G2720">
        <v>-495.58100000000002</v>
      </c>
      <c r="H2720" s="1">
        <v>2.146827E-6</v>
      </c>
      <c r="I2720">
        <v>277.39789999999999</v>
      </c>
      <c r="J2720">
        <v>-464.95100000000002</v>
      </c>
      <c r="K2720">
        <v>1.1124449999999999</v>
      </c>
      <c r="L2720">
        <v>285.11</v>
      </c>
      <c r="M2720">
        <v>-0.99949719999999997</v>
      </c>
      <c r="N2720">
        <v>-1.432865E-2</v>
      </c>
      <c r="O2720">
        <v>-2.8283519999999999E-2</v>
      </c>
      <c r="P2720">
        <v>-0.96309469999999997</v>
      </c>
      <c r="Q2720">
        <v>0.21355569999999999</v>
      </c>
      <c r="R2720">
        <v>-0.16383699999999901</v>
      </c>
      <c r="S2720">
        <v>-3.0121769999999999</v>
      </c>
      <c r="T2720">
        <v>-0.10833859999999999</v>
      </c>
      <c r="U2720">
        <v>-0.75210569999999999</v>
      </c>
      <c r="V2720">
        <v>-0.13759660000000001</v>
      </c>
      <c r="W2720">
        <v>0.2267506</v>
      </c>
      <c r="X2720">
        <v>0.96418429999999999</v>
      </c>
      <c r="Y2720">
        <v>-0.21453130000000001</v>
      </c>
      <c r="Z2720">
        <v>-4.7583390000000003E-3</v>
      </c>
      <c r="AA2720">
        <v>0.9767055</v>
      </c>
      <c r="AB2720">
        <v>30</v>
      </c>
      <c r="AC2720">
        <v>-30.6299999999999</v>
      </c>
      <c r="AD2720">
        <v>-1.112442853173</v>
      </c>
      <c r="AE2720">
        <v>-7.7121000000000199</v>
      </c>
      <c r="AF2720">
        <v>-6.8341237243916497</v>
      </c>
      <c r="AG2720">
        <v>-1.112442853173</v>
      </c>
      <c r="AH2720">
        <v>30.797689502155599</v>
      </c>
      <c r="AI2720">
        <v>92.019596471809393</v>
      </c>
      <c r="AJ2720">
        <v>102.51141976386199</v>
      </c>
      <c r="AK2720">
        <v>31.566445077852102</v>
      </c>
      <c r="AL2720">
        <v>76.894159033547496</v>
      </c>
      <c r="AM2720">
        <v>98.121715418602804</v>
      </c>
      <c r="AN2720">
        <v>1.0000000116492</v>
      </c>
    </row>
    <row r="2721" spans="1:40" x14ac:dyDescent="0.25">
      <c r="A2721" t="str">
        <f>"20190304155647002"</f>
        <v>20190304155647002</v>
      </c>
      <c r="B2721" t="str">
        <f>"1551686206997723"</f>
        <v>1551686206997723</v>
      </c>
      <c r="C2721" t="s">
        <v>40</v>
      </c>
      <c r="D2721">
        <v>4.6120070000000002</v>
      </c>
      <c r="E2721">
        <v>0.4650957</v>
      </c>
      <c r="F2721" t="s">
        <v>53</v>
      </c>
      <c r="G2721">
        <v>-495.34210000000002</v>
      </c>
      <c r="H2721" s="1">
        <v>2.1801620000000001E-6</v>
      </c>
      <c r="I2721">
        <v>277.34660000000002</v>
      </c>
      <c r="J2721">
        <v>-465.26190000000003</v>
      </c>
      <c r="K2721">
        <v>1.1125130000000001</v>
      </c>
      <c r="L2721">
        <v>285.09840000000003</v>
      </c>
      <c r="M2721">
        <v>-0.99941970000000002</v>
      </c>
      <c r="N2721">
        <v>-1.4328550000000001E-2</v>
      </c>
      <c r="O2721">
        <v>-3.0905419999999999E-2</v>
      </c>
      <c r="P2721">
        <v>-0.96241900000000002</v>
      </c>
      <c r="Q2721">
        <v>0.2134375</v>
      </c>
      <c r="R2721">
        <v>-0.16791139999999999</v>
      </c>
      <c r="S2721">
        <v>-3.0086360000000001</v>
      </c>
      <c r="T2721">
        <v>-0.1101289</v>
      </c>
      <c r="U2721">
        <v>-0.76855469999999904</v>
      </c>
      <c r="V2721">
        <v>-0.13919039999999999</v>
      </c>
      <c r="W2721">
        <v>0.2265973</v>
      </c>
      <c r="X2721">
        <v>0.9639915</v>
      </c>
      <c r="Y2721">
        <v>-0.217251</v>
      </c>
      <c r="Z2721">
        <v>-4.8183260000000004E-3</v>
      </c>
      <c r="AA2721">
        <v>0.97610390000000002</v>
      </c>
      <c r="AB2721">
        <v>30</v>
      </c>
      <c r="AC2721">
        <v>-30.080199999999898</v>
      </c>
      <c r="AD2721">
        <v>-1.1125108198379901</v>
      </c>
      <c r="AE2721">
        <v>-7.7518000000000002</v>
      </c>
      <c r="AF2721">
        <v>-6.8096250887454302</v>
      </c>
      <c r="AG2721">
        <v>-1.1125108198379901</v>
      </c>
      <c r="AH2721">
        <v>30.2666026394737</v>
      </c>
      <c r="AI2721">
        <v>92.053782181204298</v>
      </c>
      <c r="AJ2721">
        <v>102.679733925062</v>
      </c>
      <c r="AK2721">
        <v>31.0431298278592</v>
      </c>
      <c r="AL2721">
        <v>76.903176497521798</v>
      </c>
      <c r="AM2721">
        <v>98.2161341732088</v>
      </c>
      <c r="AN2721">
        <v>0.99999995794584895</v>
      </c>
    </row>
    <row r="2722" spans="1:40" x14ac:dyDescent="0.25">
      <c r="A2722" t="str">
        <f>"20190304155647025"</f>
        <v>20190304155647025</v>
      </c>
      <c r="B2722" t="str">
        <f>"1551686207017241"</f>
        <v>1551686207017241</v>
      </c>
      <c r="C2722" t="s">
        <v>40</v>
      </c>
      <c r="D2722">
        <v>4.6029080000000002</v>
      </c>
      <c r="E2722">
        <v>0.46486499999999997</v>
      </c>
      <c r="F2722" t="s">
        <v>53</v>
      </c>
      <c r="G2722">
        <v>-495.10700000000003</v>
      </c>
      <c r="H2722" s="1">
        <v>2.2137239999999999E-6</v>
      </c>
      <c r="I2722">
        <v>277.30040000000002</v>
      </c>
      <c r="J2722">
        <v>-465.5729</v>
      </c>
      <c r="K2722">
        <v>1.1125890000000001</v>
      </c>
      <c r="L2722">
        <v>285.08600000000001</v>
      </c>
      <c r="M2722">
        <v>-0.99933179999999999</v>
      </c>
      <c r="N2722">
        <v>-1.432871E-2</v>
      </c>
      <c r="O2722">
        <v>-3.362735E-2</v>
      </c>
      <c r="P2722">
        <v>-0.96179669999999895</v>
      </c>
      <c r="Q2722">
        <v>0.21296190000000001</v>
      </c>
      <c r="R2722">
        <v>-0.17203099999999999</v>
      </c>
      <c r="S2722">
        <v>-3.0050050000000001</v>
      </c>
      <c r="T2722">
        <v>-0.112015</v>
      </c>
      <c r="U2722">
        <v>-0.78515630000000003</v>
      </c>
      <c r="V2722">
        <v>-0.1407339</v>
      </c>
      <c r="W2722">
        <v>0.22608690000000001</v>
      </c>
      <c r="X2722">
        <v>0.9638873</v>
      </c>
      <c r="Y2722">
        <v>-0.21992220000000001</v>
      </c>
      <c r="Z2722">
        <v>-4.8758610000000004E-3</v>
      </c>
      <c r="AA2722">
        <v>0.97550519999999996</v>
      </c>
      <c r="AB2722">
        <v>30</v>
      </c>
      <c r="AC2722">
        <v>-29.534099999999899</v>
      </c>
      <c r="AD2722">
        <v>-1.1125867862759999</v>
      </c>
      <c r="AE2722">
        <v>-7.7855999999999801</v>
      </c>
      <c r="AF2722">
        <v>-6.7789453946331797</v>
      </c>
      <c r="AG2722">
        <v>-1.1125867862759999</v>
      </c>
      <c r="AH2722">
        <v>29.739767141768301</v>
      </c>
      <c r="AI2722">
        <v>92.088946692744898</v>
      </c>
      <c r="AJ2722">
        <v>102.84073007997701</v>
      </c>
      <c r="AK2722">
        <v>30.5228717467248</v>
      </c>
      <c r="AL2722">
        <v>76.933200276163703</v>
      </c>
      <c r="AM2722">
        <v>98.306865010057706</v>
      </c>
      <c r="AN2722">
        <v>1.0000000220310501</v>
      </c>
    </row>
    <row r="2723" spans="1:40" x14ac:dyDescent="0.25">
      <c r="A2723" t="str">
        <f>"20190304155647045"</f>
        <v>20190304155647045</v>
      </c>
      <c r="B2723" t="str">
        <f>"1551686207037738"</f>
        <v>1551686207037738</v>
      </c>
      <c r="C2723" t="s">
        <v>40</v>
      </c>
      <c r="D2723">
        <v>4.6004759999999996</v>
      </c>
      <c r="E2723">
        <v>0.46475270000000002</v>
      </c>
      <c r="F2723" t="s">
        <v>53</v>
      </c>
      <c r="G2723">
        <v>-494.67469999999997</v>
      </c>
      <c r="H2723" s="1">
        <v>2.2971079999999998E-6</v>
      </c>
      <c r="I2723">
        <v>277.33850000000001</v>
      </c>
      <c r="J2723">
        <v>-465.8528</v>
      </c>
      <c r="K2723">
        <v>1.1126529999999999</v>
      </c>
      <c r="L2723">
        <v>285.07389999999998</v>
      </c>
      <c r="M2723">
        <v>-0.99924279999999999</v>
      </c>
      <c r="N2723">
        <v>-1.432918E-2</v>
      </c>
      <c r="O2723">
        <v>-3.617629E-2</v>
      </c>
      <c r="P2723">
        <v>-0.96131219999999995</v>
      </c>
      <c r="Q2723">
        <v>0.2121258</v>
      </c>
      <c r="R2723">
        <v>-0.17573220000000001</v>
      </c>
      <c r="S2723">
        <v>-3.0016780000000001</v>
      </c>
      <c r="T2723">
        <v>-0.1147565</v>
      </c>
      <c r="U2723">
        <v>-0.7991028</v>
      </c>
      <c r="V2723">
        <v>-0.1420197</v>
      </c>
      <c r="W2723">
        <v>0.22521959999999999</v>
      </c>
      <c r="X2723">
        <v>0.96390180000000003</v>
      </c>
      <c r="Y2723">
        <v>-0.22192609999999999</v>
      </c>
      <c r="Z2723">
        <v>-4.9392669999999998E-3</v>
      </c>
      <c r="AA2723">
        <v>0.975051</v>
      </c>
      <c r="AB2723">
        <v>30</v>
      </c>
      <c r="AC2723">
        <v>-28.8218999999999</v>
      </c>
      <c r="AD2723">
        <v>-1.1126507028919901</v>
      </c>
      <c r="AE2723">
        <v>-7.7353999999999701</v>
      </c>
      <c r="AF2723">
        <v>-6.6782753183780201</v>
      </c>
      <c r="AG2723">
        <v>-1.1126507028919901</v>
      </c>
      <c r="AH2723">
        <v>29.0425229936709</v>
      </c>
      <c r="AI2723">
        <v>92.138241751531396</v>
      </c>
      <c r="AJ2723">
        <v>102.949944611662</v>
      </c>
      <c r="AK2723">
        <v>29.821225572612001</v>
      </c>
      <c r="AL2723">
        <v>76.984209185646705</v>
      </c>
      <c r="AM2723">
        <v>98.381562106794107</v>
      </c>
      <c r="AN2723">
        <v>1.00000007172774</v>
      </c>
    </row>
    <row r="2724" spans="1:40" x14ac:dyDescent="0.25">
      <c r="A2724" t="str">
        <f>"20190304155647068"</f>
        <v>20190304155647068</v>
      </c>
      <c r="B2724" t="str">
        <f>"1551686207057258"</f>
        <v>1551686207057258</v>
      </c>
      <c r="C2724" t="s">
        <v>40</v>
      </c>
      <c r="D2724">
        <v>4.6276120000000001</v>
      </c>
      <c r="E2724">
        <v>0.46469680000000002</v>
      </c>
      <c r="F2724" t="s">
        <v>53</v>
      </c>
      <c r="G2724">
        <v>-493.89729999999997</v>
      </c>
      <c r="H2724" s="1">
        <v>2.4348200000000001E-6</v>
      </c>
      <c r="I2724">
        <v>277.49259999999998</v>
      </c>
      <c r="J2724">
        <v>-466.1583</v>
      </c>
      <c r="K2724">
        <v>1.112743</v>
      </c>
      <c r="L2724">
        <v>285.0598</v>
      </c>
      <c r="M2724">
        <v>-0.99913359999999996</v>
      </c>
      <c r="N2724">
        <v>-1.432991E-2</v>
      </c>
      <c r="O2724">
        <v>-3.9071679999999998E-2</v>
      </c>
      <c r="P2724">
        <v>-0.96066220000000002</v>
      </c>
      <c r="Q2724">
        <v>0.21148639999999999</v>
      </c>
      <c r="R2724">
        <v>-0.18000479999999899</v>
      </c>
      <c r="S2724">
        <v>-2.9987789999999999</v>
      </c>
      <c r="T2724">
        <v>-0.1189752</v>
      </c>
      <c r="U2724">
        <v>-0.81066890000000003</v>
      </c>
      <c r="V2724">
        <v>-0.1435575</v>
      </c>
      <c r="W2724">
        <v>0.22453980000000001</v>
      </c>
      <c r="X2724">
        <v>0.96383249999999998</v>
      </c>
      <c r="Y2724">
        <v>-0.22283049999999999</v>
      </c>
      <c r="Z2724">
        <v>-4.9971850000000003E-3</v>
      </c>
      <c r="AA2724">
        <v>0.97484440000000006</v>
      </c>
      <c r="AB2724">
        <v>30</v>
      </c>
      <c r="AC2724">
        <v>-27.738999999999901</v>
      </c>
      <c r="AD2724">
        <v>-1.11274056518</v>
      </c>
      <c r="AE2724">
        <v>-7.5672000000000104</v>
      </c>
      <c r="AF2724">
        <v>-6.4678128839632496</v>
      </c>
      <c r="AG2724">
        <v>-1.11274056518</v>
      </c>
      <c r="AH2724">
        <v>27.9716142281987</v>
      </c>
      <c r="AI2724">
        <v>92.219582951883595</v>
      </c>
      <c r="AJ2724">
        <v>103.019556135705</v>
      </c>
      <c r="AK2724">
        <v>28.731202508745199</v>
      </c>
      <c r="AL2724">
        <v>77.024181541368094</v>
      </c>
      <c r="AM2724">
        <v>98.471608641294594</v>
      </c>
      <c r="AN2724">
        <v>0.99999998282326996</v>
      </c>
    </row>
    <row r="2725" spans="1:40" x14ac:dyDescent="0.25">
      <c r="A2725" t="str">
        <f>"20190304155647091"</f>
        <v>20190304155647091</v>
      </c>
      <c r="B2725" t="str">
        <f>"1551686207087514"</f>
        <v>1551686207087514</v>
      </c>
      <c r="C2725" t="s">
        <v>40</v>
      </c>
      <c r="D2725">
        <v>4.5954540000000001</v>
      </c>
      <c r="E2725">
        <v>0.4646092</v>
      </c>
      <c r="F2725" t="s">
        <v>53</v>
      </c>
      <c r="G2725">
        <v>-493.44940000000003</v>
      </c>
      <c r="H2725" s="1">
        <v>2.4971499999999999E-6</v>
      </c>
      <c r="I2725">
        <v>277.55650000000003</v>
      </c>
      <c r="J2725">
        <v>-466.46120000000002</v>
      </c>
      <c r="K2725">
        <v>1.1128400000000001</v>
      </c>
      <c r="L2725">
        <v>285.04469999999998</v>
      </c>
      <c r="M2725">
        <v>-0.99901150000000005</v>
      </c>
      <c r="N2725">
        <v>-1.433158E-2</v>
      </c>
      <c r="O2725">
        <v>-4.2080390000000002E-2</v>
      </c>
      <c r="P2725">
        <v>-0.95995319999999995</v>
      </c>
      <c r="Q2725">
        <v>0.21098649999999999</v>
      </c>
      <c r="R2725">
        <v>-0.18432270000000001</v>
      </c>
      <c r="S2725">
        <v>-2.995422</v>
      </c>
      <c r="T2725">
        <v>-0.1221323</v>
      </c>
      <c r="U2725">
        <v>-0.82354740000000004</v>
      </c>
      <c r="V2725">
        <v>-0.14503920000000001</v>
      </c>
      <c r="W2725">
        <v>0.22399839999999999</v>
      </c>
      <c r="X2725">
        <v>0.9637367</v>
      </c>
      <c r="Y2725">
        <v>-0.22406090000000001</v>
      </c>
      <c r="Z2725">
        <v>-5.0305180000000003E-3</v>
      </c>
      <c r="AA2725">
        <v>0.97456220000000005</v>
      </c>
      <c r="AB2725">
        <v>30</v>
      </c>
      <c r="AC2725">
        <v>-26.988199999999999</v>
      </c>
      <c r="AD2725">
        <v>-1.1128375028499999</v>
      </c>
      <c r="AE2725">
        <v>-7.4881999999999396</v>
      </c>
      <c r="AF2725">
        <v>-6.3357728143095899</v>
      </c>
      <c r="AG2725">
        <v>-1.1128375028499999</v>
      </c>
      <c r="AH2725">
        <v>27.236429642933199</v>
      </c>
      <c r="AI2725">
        <v>92.278933156177999</v>
      </c>
      <c r="AJ2725">
        <v>103.095324458986</v>
      </c>
      <c r="AK2725">
        <v>27.985773602970902</v>
      </c>
      <c r="AL2725">
        <v>77.056013044815202</v>
      </c>
      <c r="AM2725">
        <v>98.558596566338394</v>
      </c>
      <c r="AN2725">
        <v>1.00000003983304</v>
      </c>
    </row>
    <row r="2726" spans="1:40" x14ac:dyDescent="0.25">
      <c r="A2726" t="str">
        <f>"20190304155647113"</f>
        <v>20190304155647113</v>
      </c>
      <c r="B2726" t="str">
        <f>"1551686207107034"</f>
        <v>1551686207107034</v>
      </c>
      <c r="C2726" t="s">
        <v>40</v>
      </c>
      <c r="D2726">
        <v>4.5877339999999904</v>
      </c>
      <c r="E2726">
        <v>0.46452169999999998</v>
      </c>
      <c r="F2726" t="s">
        <v>53</v>
      </c>
      <c r="G2726">
        <v>-493.01960000000003</v>
      </c>
      <c r="H2726" s="1">
        <v>2.5572569999999999E-6</v>
      </c>
      <c r="I2726">
        <v>277.61869999999999</v>
      </c>
      <c r="J2726">
        <v>-466.75760000000002</v>
      </c>
      <c r="K2726">
        <v>1.1129420000000001</v>
      </c>
      <c r="L2726">
        <v>285.029</v>
      </c>
      <c r="M2726">
        <v>-0.99887709999999996</v>
      </c>
      <c r="N2726">
        <v>-1.433358E-2</v>
      </c>
      <c r="O2726">
        <v>-4.5160110000000003E-2</v>
      </c>
      <c r="P2726">
        <v>-0.9591054</v>
      </c>
      <c r="Q2726">
        <v>0.21093480000000001</v>
      </c>
      <c r="R2726">
        <v>-0.18874250000000001</v>
      </c>
      <c r="S2726">
        <v>-2.992035</v>
      </c>
      <c r="T2726">
        <v>-0.12537089999999901</v>
      </c>
      <c r="U2726">
        <v>-0.83660889999999999</v>
      </c>
      <c r="V2726">
        <v>-0.1465649</v>
      </c>
      <c r="W2726">
        <v>0.2239023</v>
      </c>
      <c r="X2726">
        <v>0.96352819999999995</v>
      </c>
      <c r="Y2726">
        <v>-0.22527839999999999</v>
      </c>
      <c r="Z2726">
        <v>-5.058524E-3</v>
      </c>
      <c r="AA2726">
        <v>0.97428130000000002</v>
      </c>
      <c r="AB2726">
        <v>30</v>
      </c>
      <c r="AC2726">
        <v>-26.261999999999901</v>
      </c>
      <c r="AD2726">
        <v>-1.1129394427429999</v>
      </c>
      <c r="AE2726">
        <v>-7.4103000000000003</v>
      </c>
      <c r="AF2726">
        <v>-6.2062976852102496</v>
      </c>
      <c r="AG2726">
        <v>-1.1129394427429999</v>
      </c>
      <c r="AH2726">
        <v>26.525760278757001</v>
      </c>
      <c r="AI2726">
        <v>92.339437977017695</v>
      </c>
      <c r="AJ2726">
        <v>103.16874649175899</v>
      </c>
      <c r="AK2726">
        <v>27.264862433666199</v>
      </c>
      <c r="AL2726">
        <v>77.061662813584803</v>
      </c>
      <c r="AM2726">
        <v>98.649115282953602</v>
      </c>
      <c r="AN2726">
        <v>1.0000000510262601</v>
      </c>
    </row>
    <row r="2727" spans="1:40" x14ac:dyDescent="0.25">
      <c r="A2727" t="str">
        <f>"20190304155647129"</f>
        <v>20190304155647129</v>
      </c>
      <c r="B2727" t="str">
        <f>"1551686207127530"</f>
        <v>1551686207127530</v>
      </c>
      <c r="C2727" t="s">
        <v>40</v>
      </c>
      <c r="D2727">
        <v>4.5583330000000002</v>
      </c>
      <c r="E2727">
        <v>0.46438839999999998</v>
      </c>
      <c r="F2727" t="s">
        <v>53</v>
      </c>
      <c r="G2727">
        <v>-493.0582</v>
      </c>
      <c r="H2727" s="1">
        <v>2.5266239999999999E-6</v>
      </c>
      <c r="I2727">
        <v>277.54169999999999</v>
      </c>
      <c r="J2727">
        <v>-466.97949999999997</v>
      </c>
      <c r="K2727">
        <v>1.113013</v>
      </c>
      <c r="L2727">
        <v>285.01650000000001</v>
      </c>
      <c r="M2727">
        <v>-0.99876699999999996</v>
      </c>
      <c r="N2727">
        <v>-1.433503E-2</v>
      </c>
      <c r="O2727">
        <v>-4.7529849999999998E-2</v>
      </c>
      <c r="P2727">
        <v>-0.95862170000000002</v>
      </c>
      <c r="Q2727">
        <v>0.21068229999999999</v>
      </c>
      <c r="R2727">
        <v>-0.19146199999999999</v>
      </c>
      <c r="S2727">
        <v>-2.9882810000000002</v>
      </c>
      <c r="T2727">
        <v>-0.1264526</v>
      </c>
      <c r="U2727">
        <v>-0.85070800000000002</v>
      </c>
      <c r="V2727">
        <v>-0.14704679999999901</v>
      </c>
      <c r="W2727">
        <v>0.2236234</v>
      </c>
      <c r="X2727">
        <v>0.96351949999999997</v>
      </c>
      <c r="Y2727">
        <v>-0.22753599999999999</v>
      </c>
      <c r="Z2727">
        <v>-5.0839099999999996E-3</v>
      </c>
      <c r="AA2727">
        <v>0.97375639999999997</v>
      </c>
      <c r="AB2727">
        <v>30</v>
      </c>
      <c r="AC2727">
        <v>-26.078700000000001</v>
      </c>
      <c r="AD2727">
        <v>-1.113010473376</v>
      </c>
      <c r="AE2727">
        <v>-7.4748000000000099</v>
      </c>
      <c r="AF2727">
        <v>-6.21624313915353</v>
      </c>
      <c r="AG2727">
        <v>-1.113010473376</v>
      </c>
      <c r="AH2727">
        <v>26.3601632536948</v>
      </c>
      <c r="AI2727">
        <v>92.3533013652861</v>
      </c>
      <c r="AJ2727">
        <v>103.26904502859</v>
      </c>
      <c r="AK2727">
        <v>27.106063488458801</v>
      </c>
      <c r="AL2727">
        <v>77.078057753440206</v>
      </c>
      <c r="AM2727">
        <v>98.677198270902096</v>
      </c>
      <c r="AN2727">
        <v>1.00000000664902</v>
      </c>
    </row>
    <row r="2728" spans="1:40" x14ac:dyDescent="0.25">
      <c r="A2728" t="str">
        <f>"20190304155647147"</f>
        <v>20190304155647147</v>
      </c>
      <c r="B2728" t="str">
        <f>"1551686207137290"</f>
        <v>1551686207137290</v>
      </c>
      <c r="C2728" t="s">
        <v>40</v>
      </c>
      <c r="D2728">
        <v>4.5730180000000002</v>
      </c>
      <c r="E2728">
        <v>0.46433950000000002</v>
      </c>
      <c r="F2728" t="s">
        <v>53</v>
      </c>
      <c r="G2728">
        <v>-492.94420000000002</v>
      </c>
      <c r="H2728" s="1">
        <v>2.5356980000000001E-6</v>
      </c>
      <c r="I2728">
        <v>277.53879999999998</v>
      </c>
      <c r="J2728">
        <v>-467.20650000000001</v>
      </c>
      <c r="K2728">
        <v>1.1130739999999999</v>
      </c>
      <c r="L2728">
        <v>285.00310000000002</v>
      </c>
      <c r="M2728">
        <v>-0.9986448</v>
      </c>
      <c r="N2728">
        <v>-1.433647E-2</v>
      </c>
      <c r="O2728">
        <v>-5.0032899999999998E-2</v>
      </c>
      <c r="P2728">
        <v>-0.95806340000000001</v>
      </c>
      <c r="Q2728">
        <v>0.21029329999999999</v>
      </c>
      <c r="R2728">
        <v>-0.194657</v>
      </c>
      <c r="S2728">
        <v>-2.9858699999999998</v>
      </c>
      <c r="T2728">
        <v>-0.1279933</v>
      </c>
      <c r="U2728">
        <v>-0.85992429999999997</v>
      </c>
      <c r="V2728">
        <v>-0.14787539999999999</v>
      </c>
      <c r="W2728">
        <v>0.22320699999999999</v>
      </c>
      <c r="X2728">
        <v>0.96348920000000005</v>
      </c>
      <c r="Y2728">
        <v>-0.22807569999999999</v>
      </c>
      <c r="Z2728">
        <v>-5.0650590000000002E-3</v>
      </c>
      <c r="AA2728">
        <v>0.9736302</v>
      </c>
      <c r="AB2728">
        <v>30</v>
      </c>
      <c r="AC2728">
        <v>-25.7377</v>
      </c>
      <c r="AD2728">
        <v>-1.1130714643020001</v>
      </c>
      <c r="AE2728">
        <v>-7.4643000000000299</v>
      </c>
      <c r="AF2728">
        <v>-6.1564646101011098</v>
      </c>
      <c r="AG2728">
        <v>-1.1130714643020001</v>
      </c>
      <c r="AH2728">
        <v>26.034044259641099</v>
      </c>
      <c r="AI2728">
        <v>92.382526765172898</v>
      </c>
      <c r="AJ2728">
        <v>103.30474661322199</v>
      </c>
      <c r="AK2728">
        <v>26.775220729118601</v>
      </c>
      <c r="AL2728">
        <v>77.102533904688897</v>
      </c>
      <c r="AM2728">
        <v>98.725613539874999</v>
      </c>
      <c r="AN2728">
        <v>0.99999996864539897</v>
      </c>
    </row>
    <row r="2729" spans="1:40" x14ac:dyDescent="0.25">
      <c r="A2729" t="str">
        <f>"20190304155647169"</f>
        <v>20190304155647169</v>
      </c>
      <c r="B2729" t="str">
        <f>"1551686207157786"</f>
        <v>1551686207157786</v>
      </c>
      <c r="C2729" t="s">
        <v>40</v>
      </c>
      <c r="D2729">
        <v>4.5845640000000003</v>
      </c>
      <c r="E2729">
        <v>0.46430270000000001</v>
      </c>
      <c r="F2729" t="s">
        <v>53</v>
      </c>
      <c r="G2729">
        <v>-492.8109</v>
      </c>
      <c r="H2729" s="1">
        <v>2.5464080000000001E-6</v>
      </c>
      <c r="I2729">
        <v>277.53559999999999</v>
      </c>
      <c r="J2729">
        <v>-467.50200000000001</v>
      </c>
      <c r="K2729">
        <v>1.1131580000000001</v>
      </c>
      <c r="L2729">
        <v>284.98480000000001</v>
      </c>
      <c r="M2729">
        <v>-0.99847109999999994</v>
      </c>
      <c r="N2729">
        <v>-1.433829E-2</v>
      </c>
      <c r="O2729">
        <v>-5.3385889999999998E-2</v>
      </c>
      <c r="P2729">
        <v>-0.95725020000000005</v>
      </c>
      <c r="Q2729">
        <v>0.2089559</v>
      </c>
      <c r="R2729">
        <v>-0.20002339999999999</v>
      </c>
      <c r="S2729">
        <v>-2.9830019999999999</v>
      </c>
      <c r="T2729">
        <v>-0.12967719999999999</v>
      </c>
      <c r="U2729">
        <v>-0.86999509999999902</v>
      </c>
      <c r="V2729">
        <v>-0.15006810000000001</v>
      </c>
      <c r="W2729">
        <v>0.22182669999999999</v>
      </c>
      <c r="X2729">
        <v>0.96346900000000002</v>
      </c>
      <c r="Y2729">
        <v>-0.22808349999999999</v>
      </c>
      <c r="Z2729">
        <v>-5.0080150000000002E-3</v>
      </c>
      <c r="AA2729">
        <v>0.97362870000000001</v>
      </c>
      <c r="AB2729">
        <v>30</v>
      </c>
      <c r="AC2729">
        <v>-25.308900000000001</v>
      </c>
      <c r="AD2729">
        <v>-1.1131554535920001</v>
      </c>
      <c r="AE2729">
        <v>-7.44920000000001</v>
      </c>
      <c r="AF2729">
        <v>-6.0764802870216599</v>
      </c>
      <c r="AG2729">
        <v>-1.1131554535920001</v>
      </c>
      <c r="AH2729">
        <v>25.624905057485599</v>
      </c>
      <c r="AI2729">
        <v>92.420350103734293</v>
      </c>
      <c r="AJ2729">
        <v>103.340247814002</v>
      </c>
      <c r="AK2729">
        <v>26.3590304629661</v>
      </c>
      <c r="AL2729">
        <v>77.183653656179104</v>
      </c>
      <c r="AM2729">
        <v>98.853144927492494</v>
      </c>
      <c r="AN2729">
        <v>1.0000000167157499</v>
      </c>
    </row>
    <row r="2730" spans="1:40" x14ac:dyDescent="0.25">
      <c r="A2730" t="str">
        <f>"20190304155647205"</f>
        <v>20190304155647205</v>
      </c>
      <c r="B2730" t="str">
        <f>"1551686207197803"</f>
        <v>1551686207197803</v>
      </c>
      <c r="C2730" t="s">
        <v>40</v>
      </c>
      <c r="D2730">
        <v>4.576956</v>
      </c>
      <c r="E2730">
        <v>0.46436680000000002</v>
      </c>
      <c r="F2730" t="s">
        <v>53</v>
      </c>
      <c r="G2730">
        <v>-492.05399999999997</v>
      </c>
      <c r="H2730" s="1">
        <v>2.6650529999999999E-6</v>
      </c>
      <c r="I2730">
        <v>277.6814</v>
      </c>
      <c r="J2730">
        <v>-467.9649</v>
      </c>
      <c r="K2730">
        <v>1.1133200000000001</v>
      </c>
      <c r="L2730">
        <v>284.95359999999999</v>
      </c>
      <c r="M2730">
        <v>-0.99815770000000004</v>
      </c>
      <c r="N2730">
        <v>-1.4342819999999999E-2</v>
      </c>
      <c r="O2730">
        <v>-5.8954859999999998E-2</v>
      </c>
      <c r="P2730">
        <v>-0.95555420000000002</v>
      </c>
      <c r="Q2730">
        <v>0.20948720000000001</v>
      </c>
      <c r="R2730">
        <v>-0.20744070000000001</v>
      </c>
      <c r="S2730">
        <v>-2.9783330000000001</v>
      </c>
      <c r="T2730">
        <v>-0.135033399999999</v>
      </c>
      <c r="U2730">
        <v>-0.88595579999999996</v>
      </c>
      <c r="V2730">
        <v>-0.15226679999999901</v>
      </c>
      <c r="W2730">
        <v>0.2222838</v>
      </c>
      <c r="X2730">
        <v>0.96301859999999995</v>
      </c>
      <c r="Y2730">
        <v>-0.22784879999999999</v>
      </c>
      <c r="Z2730">
        <v>-4.9443730000000002E-3</v>
      </c>
      <c r="AA2730">
        <v>0.97368399999999999</v>
      </c>
      <c r="AB2730">
        <v>30</v>
      </c>
      <c r="AC2730">
        <v>-24.089099999999998</v>
      </c>
      <c r="AD2730">
        <v>-1.113317334947</v>
      </c>
      <c r="AE2730">
        <v>-7.27219999999999</v>
      </c>
      <c r="AF2730">
        <v>-5.8278246192551499</v>
      </c>
      <c r="AG2730">
        <v>-1.113317334947</v>
      </c>
      <c r="AH2730">
        <v>24.428147719739901</v>
      </c>
      <c r="AI2730">
        <v>92.538321573752199</v>
      </c>
      <c r="AJ2730">
        <v>103.418240671295</v>
      </c>
      <c r="AK2730">
        <v>25.138365426147399</v>
      </c>
      <c r="AL2730">
        <v>77.156793528565998</v>
      </c>
      <c r="AM2730">
        <v>98.984887945396196</v>
      </c>
      <c r="AN2730">
        <v>1.0000000450353099</v>
      </c>
    </row>
    <row r="2731" spans="1:40" x14ac:dyDescent="0.25">
      <c r="A2731" t="str">
        <f>"20190304155647226"</f>
        <v>20190304155647226</v>
      </c>
      <c r="B2731" t="str">
        <f>"1551686207217322"</f>
        <v>1551686207217322</v>
      </c>
      <c r="C2731" t="s">
        <v>40</v>
      </c>
      <c r="D2731">
        <v>4.5896689999999998</v>
      </c>
      <c r="E2731">
        <v>0.46441850000000001</v>
      </c>
      <c r="F2731" t="s">
        <v>53</v>
      </c>
      <c r="G2731">
        <v>-492.48239999999998</v>
      </c>
      <c r="H2731" s="1">
        <v>2.5525180000000002E-6</v>
      </c>
      <c r="I2731">
        <v>277.47050000000002</v>
      </c>
      <c r="J2731">
        <v>-468.24900000000002</v>
      </c>
      <c r="K2731">
        <v>1.113426</v>
      </c>
      <c r="L2731">
        <v>284.93310000000002</v>
      </c>
      <c r="M2731">
        <v>-0.99793960000000004</v>
      </c>
      <c r="N2731">
        <v>-1.4346970000000001E-2</v>
      </c>
      <c r="O2731">
        <v>-6.2534679999999995E-2</v>
      </c>
      <c r="P2731">
        <v>-0.95455809999999996</v>
      </c>
      <c r="Q2731">
        <v>0.20912349999999999</v>
      </c>
      <c r="R2731">
        <v>-0.2123351</v>
      </c>
      <c r="S2731">
        <v>-2.9721980000000001</v>
      </c>
      <c r="T2731">
        <v>-0.1349649</v>
      </c>
      <c r="U2731">
        <v>-0.90716549999999996</v>
      </c>
      <c r="V2731">
        <v>-0.15380269999999999</v>
      </c>
      <c r="W2731">
        <v>0.22187180000000001</v>
      </c>
      <c r="X2731">
        <v>0.96286950000000004</v>
      </c>
      <c r="Y2731">
        <v>-0.23127</v>
      </c>
      <c r="Z2731">
        <v>-4.9408589999999997E-3</v>
      </c>
      <c r="AA2731">
        <v>0.97287699999999999</v>
      </c>
      <c r="AB2731">
        <v>30</v>
      </c>
      <c r="AC2731">
        <v>-24.2333999999999</v>
      </c>
      <c r="AD2731">
        <v>-1.113423447482</v>
      </c>
      <c r="AE2731">
        <v>-7.4626000000000001</v>
      </c>
      <c r="AF2731">
        <v>-5.9209904576146704</v>
      </c>
      <c r="AG2731">
        <v>-1.113423447482</v>
      </c>
      <c r="AH2731">
        <v>24.605236749504499</v>
      </c>
      <c r="AI2731">
        <v>92.519136253889201</v>
      </c>
      <c r="AJ2731">
        <v>103.530370237003</v>
      </c>
      <c r="AK2731">
        <v>25.3321044382762</v>
      </c>
      <c r="AL2731">
        <v>77.181003623312293</v>
      </c>
      <c r="AM2731">
        <v>99.075398832941602</v>
      </c>
      <c r="AN2731">
        <v>1.0000000200963799</v>
      </c>
    </row>
    <row r="2732" spans="1:40" x14ac:dyDescent="0.25">
      <c r="A2732" t="str">
        <f>"20190304155647246"</f>
        <v>20190304155647246</v>
      </c>
      <c r="B2732" t="str">
        <f>"1551686207237818"</f>
        <v>1551686207237818</v>
      </c>
      <c r="C2732" t="s">
        <v>40</v>
      </c>
      <c r="D2732">
        <v>4.560886</v>
      </c>
      <c r="E2732">
        <v>0.46450570000000002</v>
      </c>
      <c r="F2732" t="s">
        <v>53</v>
      </c>
      <c r="G2732">
        <v>-492.3476</v>
      </c>
      <c r="H2732" s="1">
        <v>2.5596910000000002E-6</v>
      </c>
      <c r="I2732">
        <v>277.45699999999999</v>
      </c>
      <c r="J2732">
        <v>-468.53469999999999</v>
      </c>
      <c r="K2732">
        <v>1.1135360000000001</v>
      </c>
      <c r="L2732">
        <v>284.91129999999998</v>
      </c>
      <c r="M2732">
        <v>-0.99769830000000004</v>
      </c>
      <c r="N2732">
        <v>-1.4351269999999999E-2</v>
      </c>
      <c r="O2732">
        <v>-6.6273230000000002E-2</v>
      </c>
      <c r="P2732">
        <v>-0.95382350000000005</v>
      </c>
      <c r="Q2732">
        <v>0.20765790000000001</v>
      </c>
      <c r="R2732">
        <v>-0.21702299999999999</v>
      </c>
      <c r="S2732">
        <v>-2.9680179999999998</v>
      </c>
      <c r="T2732">
        <v>-0.1371309</v>
      </c>
      <c r="U2732">
        <v>-0.92077640000000005</v>
      </c>
      <c r="V2732">
        <v>-0.15495889999999901</v>
      </c>
      <c r="W2732">
        <v>0.22036240000000001</v>
      </c>
      <c r="X2732">
        <v>0.96303070000000002</v>
      </c>
      <c r="Y2732">
        <v>-0.23207620000000001</v>
      </c>
      <c r="Z2732">
        <v>-4.891144E-3</v>
      </c>
      <c r="AA2732">
        <v>0.97268529999999997</v>
      </c>
      <c r="AB2732">
        <v>30</v>
      </c>
      <c r="AC2732">
        <v>-23.812899999999999</v>
      </c>
      <c r="AD2732">
        <v>-1.113533440309</v>
      </c>
      <c r="AE2732">
        <v>-7.4542999999999804</v>
      </c>
      <c r="AF2732">
        <v>-5.8479418480990999</v>
      </c>
      <c r="AG2732">
        <v>-1.113533440309</v>
      </c>
      <c r="AH2732">
        <v>24.2064009332071</v>
      </c>
      <c r="AI2732">
        <v>92.560288633132899</v>
      </c>
      <c r="AJ2732">
        <v>103.581656221656</v>
      </c>
      <c r="AK2732">
        <v>24.927659872531301</v>
      </c>
      <c r="AL2732">
        <v>77.269680477901602</v>
      </c>
      <c r="AM2732">
        <v>99.140969963705103</v>
      </c>
      <c r="AN2732">
        <v>0.99999998858272998</v>
      </c>
    </row>
    <row r="2733" spans="1:40" x14ac:dyDescent="0.25">
      <c r="A2733" t="str">
        <f>"20190304155647270"</f>
        <v>20190304155647270</v>
      </c>
      <c r="B2733" t="str">
        <f>"1551686207257338"</f>
        <v>1551686207257338</v>
      </c>
      <c r="C2733" t="s">
        <v>40</v>
      </c>
      <c r="D2733">
        <v>4.599704</v>
      </c>
      <c r="E2733">
        <v>0.46457280000000001</v>
      </c>
      <c r="F2733" t="s">
        <v>53</v>
      </c>
      <c r="G2733">
        <v>-491.73970000000003</v>
      </c>
      <c r="H2733" s="1">
        <v>2.6617700000000001E-6</v>
      </c>
      <c r="I2733">
        <v>277.59320000000002</v>
      </c>
      <c r="J2733">
        <v>-468.8295</v>
      </c>
      <c r="K2733">
        <v>1.113656</v>
      </c>
      <c r="L2733">
        <v>284.88749999999999</v>
      </c>
      <c r="M2733">
        <v>-0.99742249999999999</v>
      </c>
      <c r="N2733">
        <v>-1.4355980000000001E-2</v>
      </c>
      <c r="O2733">
        <v>-7.0301269999999999E-2</v>
      </c>
      <c r="P2733">
        <v>-0.95289020000000002</v>
      </c>
      <c r="Q2733">
        <v>0.20680200000000001</v>
      </c>
      <c r="R2733">
        <v>-0.221886</v>
      </c>
      <c r="S2733">
        <v>-2.963562</v>
      </c>
      <c r="T2733">
        <v>-0.14221120000000001</v>
      </c>
      <c r="U2733">
        <v>-0.93460080000000001</v>
      </c>
      <c r="V2733">
        <v>-0.1560339</v>
      </c>
      <c r="W2733">
        <v>0.2194566</v>
      </c>
      <c r="X2733">
        <v>0.96306400000000003</v>
      </c>
      <c r="Y2733">
        <v>-0.23267959999999999</v>
      </c>
      <c r="Z2733">
        <v>-4.8660509999999997E-3</v>
      </c>
      <c r="AA2733">
        <v>0.97254130000000005</v>
      </c>
      <c r="AB2733">
        <v>30</v>
      </c>
      <c r="AC2733">
        <v>-22.9102</v>
      </c>
      <c r="AD2733">
        <v>-1.11365333823</v>
      </c>
      <c r="AE2733">
        <v>-7.2942999999999598</v>
      </c>
      <c r="AF2733">
        <v>-5.6533379155376302</v>
      </c>
      <c r="AG2733">
        <v>-1.11365333823</v>
      </c>
      <c r="AH2733">
        <v>23.3163324516679</v>
      </c>
      <c r="AI2733">
        <v>92.657640717659902</v>
      </c>
      <c r="AJ2733">
        <v>103.62906901648</v>
      </c>
      <c r="AK2733">
        <v>24.017739534388099</v>
      </c>
      <c r="AL2733">
        <v>77.322881779347696</v>
      </c>
      <c r="AM2733">
        <v>99.202989526791299</v>
      </c>
      <c r="AN2733">
        <v>1.0000000226643799</v>
      </c>
    </row>
    <row r="2734" spans="1:40" x14ac:dyDescent="0.25">
      <c r="A2734" t="str">
        <f>"20190304155647292"</f>
        <v>20190304155647292</v>
      </c>
      <c r="B2734" t="str">
        <f>"1551686207287594"</f>
        <v>1551686207287594</v>
      </c>
      <c r="C2734" t="s">
        <v>40</v>
      </c>
      <c r="D2734">
        <v>4.5591089999999896</v>
      </c>
      <c r="E2734">
        <v>0.46461730000000001</v>
      </c>
      <c r="F2734" t="s">
        <v>53</v>
      </c>
      <c r="G2734">
        <v>-491.47719999999998</v>
      </c>
      <c r="H2734" s="1">
        <v>2.6944829999999999E-6</v>
      </c>
      <c r="I2734">
        <v>277.61989999999997</v>
      </c>
      <c r="J2734">
        <v>-469.12490000000003</v>
      </c>
      <c r="K2734">
        <v>1.113796</v>
      </c>
      <c r="L2734">
        <v>284.86219999999997</v>
      </c>
      <c r="M2734">
        <v>-0.99711430000000001</v>
      </c>
      <c r="N2734">
        <v>-1.436247E-2</v>
      </c>
      <c r="O2734">
        <v>-7.4544050000000001E-2</v>
      </c>
      <c r="P2734">
        <v>-0.95178059999999998</v>
      </c>
      <c r="Q2734">
        <v>0.2060399</v>
      </c>
      <c r="R2734">
        <v>-0.2272914</v>
      </c>
      <c r="S2734">
        <v>-2.958771</v>
      </c>
      <c r="T2734">
        <v>-0.14549110000000001</v>
      </c>
      <c r="U2734">
        <v>-0.9494629</v>
      </c>
      <c r="V2734">
        <v>-0.1574622</v>
      </c>
      <c r="W2734">
        <v>0.21863730000000001</v>
      </c>
      <c r="X2734">
        <v>0.96301780000000003</v>
      </c>
      <c r="Y2734">
        <v>-0.2334195</v>
      </c>
      <c r="Z2734">
        <v>-4.8009369999999999E-3</v>
      </c>
      <c r="AA2734">
        <v>0.97236420000000001</v>
      </c>
      <c r="AB2734">
        <v>30</v>
      </c>
      <c r="AC2734">
        <v>-22.3522999999999</v>
      </c>
      <c r="AD2734">
        <v>-1.113793305517</v>
      </c>
      <c r="AE2734">
        <v>-7.2423000000000002</v>
      </c>
      <c r="AF2734">
        <v>-5.54328694291892</v>
      </c>
      <c r="AG2734">
        <v>-1.113793305517</v>
      </c>
      <c r="AH2734">
        <v>22.778838008019701</v>
      </c>
      <c r="AI2734">
        <v>92.720044805988806</v>
      </c>
      <c r="AJ2734">
        <v>103.677216686794</v>
      </c>
      <c r="AK2734">
        <v>23.470066609503899</v>
      </c>
      <c r="AL2734">
        <v>77.370991661058895</v>
      </c>
      <c r="AM2734">
        <v>99.286208462776798</v>
      </c>
      <c r="AN2734">
        <v>0.99999994824848304</v>
      </c>
    </row>
    <row r="2735" spans="1:40" x14ac:dyDescent="0.25">
      <c r="A2735" t="str">
        <f>"20190304155647313"</f>
        <v>20190304155647313</v>
      </c>
      <c r="B2735" t="str">
        <f>"1551686207307117"</f>
        <v>1551686207307117</v>
      </c>
      <c r="C2735" t="s">
        <v>40</v>
      </c>
      <c r="D2735">
        <v>4.56311</v>
      </c>
      <c r="E2735">
        <v>0.46470610000000001</v>
      </c>
      <c r="F2735" t="s">
        <v>53</v>
      </c>
      <c r="G2735">
        <v>-491.24709999999999</v>
      </c>
      <c r="H2735" s="1">
        <v>2.7190390000000002E-6</v>
      </c>
      <c r="I2735">
        <v>277.63159999999999</v>
      </c>
      <c r="J2735">
        <v>-469.41930000000002</v>
      </c>
      <c r="K2735">
        <v>1.1139410000000001</v>
      </c>
      <c r="L2735">
        <v>284.83539999999999</v>
      </c>
      <c r="M2735">
        <v>-0.99677340000000003</v>
      </c>
      <c r="N2735">
        <v>-1.437045E-2</v>
      </c>
      <c r="O2735">
        <v>-7.8970219999999994E-2</v>
      </c>
      <c r="P2735">
        <v>-0.95048840000000001</v>
      </c>
      <c r="Q2735">
        <v>0.20522119999999999</v>
      </c>
      <c r="R2735">
        <v>-0.2333587</v>
      </c>
      <c r="S2735">
        <v>-2.9536440000000002</v>
      </c>
      <c r="T2735">
        <v>-0.14870820000000001</v>
      </c>
      <c r="U2735">
        <v>-0.9653931</v>
      </c>
      <c r="V2735">
        <v>-0.15939200000000001</v>
      </c>
      <c r="W2735">
        <v>0.21775369999999999</v>
      </c>
      <c r="X2735">
        <v>0.9629006</v>
      </c>
      <c r="Y2735">
        <v>-0.2343296</v>
      </c>
      <c r="Z2735">
        <v>-4.7262190000000003E-3</v>
      </c>
      <c r="AA2735">
        <v>0.9721457</v>
      </c>
      <c r="AB2735">
        <v>30</v>
      </c>
      <c r="AC2735">
        <v>-21.8277999999999</v>
      </c>
      <c r="AD2735">
        <v>-1.1139382809609999</v>
      </c>
      <c r="AE2735">
        <v>-7.2038000000000002</v>
      </c>
      <c r="AF2735">
        <v>-5.4445865718791202</v>
      </c>
      <c r="AG2735">
        <v>-1.1139382809609999</v>
      </c>
      <c r="AH2735">
        <v>22.276244359545</v>
      </c>
      <c r="AI2735">
        <v>92.781002826353898</v>
      </c>
      <c r="AJ2735">
        <v>103.73452664075801</v>
      </c>
      <c r="AK2735">
        <v>22.958994842950698</v>
      </c>
      <c r="AL2735">
        <v>77.422869151900798</v>
      </c>
      <c r="AM2735">
        <v>99.399121954079703</v>
      </c>
      <c r="AN2735">
        <v>1.0000000245040199</v>
      </c>
    </row>
    <row r="2736" spans="1:40" x14ac:dyDescent="0.25">
      <c r="A2736" t="str">
        <f>"20190304155647336"</f>
        <v>20190304155647336</v>
      </c>
      <c r="B2736" t="str">
        <f>"1551686207327610"</f>
        <v>1551686207327610</v>
      </c>
      <c r="C2736" t="s">
        <v>40</v>
      </c>
      <c r="D2736">
        <v>4.5916810000000003</v>
      </c>
      <c r="E2736">
        <v>0.46467310000000001</v>
      </c>
      <c r="F2736" t="s">
        <v>53</v>
      </c>
      <c r="G2736">
        <v>-491.07350000000002</v>
      </c>
      <c r="H2736" s="1">
        <v>2.7271370000000001E-6</v>
      </c>
      <c r="I2736">
        <v>277.61099999999999</v>
      </c>
      <c r="J2736">
        <v>-469.71910000000003</v>
      </c>
      <c r="K2736">
        <v>1.114069</v>
      </c>
      <c r="L2736">
        <v>284.8066</v>
      </c>
      <c r="M2736">
        <v>-0.99639140000000004</v>
      </c>
      <c r="N2736">
        <v>-1.437867E-2</v>
      </c>
      <c r="O2736">
        <v>-8.3651710000000004E-2</v>
      </c>
      <c r="P2736">
        <v>-0.9490615</v>
      </c>
      <c r="Q2736">
        <v>0.20420569999999999</v>
      </c>
      <c r="R2736">
        <v>-0.23996290000000001</v>
      </c>
      <c r="S2736">
        <v>-2.9476010000000001</v>
      </c>
      <c r="T2736">
        <v>-0.1516303</v>
      </c>
      <c r="U2736">
        <v>-0.98339840000000001</v>
      </c>
      <c r="V2736">
        <v>-0.16161700000000001</v>
      </c>
      <c r="W2736">
        <v>0.2166719</v>
      </c>
      <c r="X2736">
        <v>0.96277369999999995</v>
      </c>
      <c r="Y2736">
        <v>-0.2356953</v>
      </c>
      <c r="Z2736">
        <v>-4.6459320000000002E-3</v>
      </c>
      <c r="AA2736">
        <v>0.97181589999999995</v>
      </c>
      <c r="AB2736">
        <v>30</v>
      </c>
      <c r="AC2736">
        <v>-21.354399999999998</v>
      </c>
      <c r="AD2736">
        <v>-1.114066272863</v>
      </c>
      <c r="AE2736">
        <v>-7.1956000000000104</v>
      </c>
      <c r="AF2736">
        <v>-5.3707307293097699</v>
      </c>
      <c r="AG2736">
        <v>-1.114066272863</v>
      </c>
      <c r="AH2736">
        <v>21.828172029529298</v>
      </c>
      <c r="AI2736">
        <v>92.837251734039597</v>
      </c>
      <c r="AJ2736">
        <v>103.822815588731</v>
      </c>
      <c r="AK2736">
        <v>22.506776454610499</v>
      </c>
      <c r="AL2736">
        <v>77.486367266347301</v>
      </c>
      <c r="AM2736">
        <v>99.529170446829298</v>
      </c>
      <c r="AN2736">
        <v>0.99999998217514896</v>
      </c>
    </row>
    <row r="2737" spans="1:40" x14ac:dyDescent="0.25">
      <c r="A2737" t="str">
        <f>"20190304155647359"</f>
        <v>20190304155647359</v>
      </c>
      <c r="B2737" t="str">
        <f>"1551686207347368"</f>
        <v>1551686207347368</v>
      </c>
      <c r="C2737" t="s">
        <v>40</v>
      </c>
      <c r="D2737">
        <v>4.6494169999999997</v>
      </c>
      <c r="E2737">
        <v>0.4447335</v>
      </c>
      <c r="F2737" t="s">
        <v>53</v>
      </c>
      <c r="G2737">
        <v>-490.84730000000002</v>
      </c>
      <c r="H2737" s="1">
        <v>2.7399779999999998E-6</v>
      </c>
      <c r="I2737">
        <v>277.59050000000002</v>
      </c>
      <c r="J2737">
        <v>-470.00459999999998</v>
      </c>
      <c r="K2737">
        <v>1.114193</v>
      </c>
      <c r="L2737">
        <v>284.77780000000001</v>
      </c>
      <c r="M2737">
        <v>-0.99599190000000004</v>
      </c>
      <c r="N2737">
        <v>-1.4386039999999999E-2</v>
      </c>
      <c r="O2737">
        <v>-8.8278410000000002E-2</v>
      </c>
      <c r="P2737">
        <v>-0.94772650000000003</v>
      </c>
      <c r="Q2737">
        <v>0.2034571</v>
      </c>
      <c r="R2737">
        <v>-0.24580450000000001</v>
      </c>
      <c r="S2737">
        <v>-2.9404300000000001</v>
      </c>
      <c r="T2737">
        <v>-0.15504599999999999</v>
      </c>
      <c r="U2737">
        <v>-1.0042719999999901</v>
      </c>
      <c r="V2737">
        <v>-0.16312479999999999</v>
      </c>
      <c r="W2737">
        <v>0.21586749999999999</v>
      </c>
      <c r="X2737">
        <v>0.96270009999999995</v>
      </c>
      <c r="Y2737">
        <v>-0.2380718</v>
      </c>
      <c r="Z2737">
        <v>-4.5985979999999997E-3</v>
      </c>
      <c r="AA2737">
        <v>0.97123660000000001</v>
      </c>
      <c r="AB2737">
        <v>30</v>
      </c>
      <c r="AC2737">
        <v>-20.842700000000001</v>
      </c>
      <c r="AD2737">
        <v>-1.1141902600219999</v>
      </c>
      <c r="AE2737">
        <v>-7.1872999999999898</v>
      </c>
      <c r="AF2737">
        <v>-5.3055327248613802</v>
      </c>
      <c r="AG2737">
        <v>-1.1141902600219999</v>
      </c>
      <c r="AH2737">
        <v>21.3413539064235</v>
      </c>
      <c r="AI2737">
        <v>92.900458891506801</v>
      </c>
      <c r="AJ2737">
        <v>103.960905431784</v>
      </c>
      <c r="AK2737">
        <v>22.019161745836701</v>
      </c>
      <c r="AL2737">
        <v>77.5335731604697</v>
      </c>
      <c r="AM2737">
        <v>99.617141228170595</v>
      </c>
      <c r="AN2737">
        <v>0.99999998023564896</v>
      </c>
    </row>
    <row r="2738" spans="1:40" x14ac:dyDescent="0.25">
      <c r="A2738" t="str">
        <f>"20190304155647381"</f>
        <v>20190304155647381</v>
      </c>
      <c r="B2738" t="str">
        <f>"1551686207377624"</f>
        <v>1551686207377624</v>
      </c>
      <c r="C2738" t="s">
        <v>40</v>
      </c>
      <c r="D2738">
        <v>4.4326589999999904</v>
      </c>
      <c r="E2738">
        <v>0.43832529999999997</v>
      </c>
      <c r="F2738" t="s">
        <v>53</v>
      </c>
      <c r="G2738">
        <v>-491.62959999999998</v>
      </c>
      <c r="H2738" s="1">
        <v>2.100254E-6</v>
      </c>
      <c r="I2738">
        <v>275.97710000000001</v>
      </c>
      <c r="J2738">
        <v>-470.29649999999998</v>
      </c>
      <c r="K2738">
        <v>1.1143289999999999</v>
      </c>
      <c r="L2738">
        <v>284.74669999999998</v>
      </c>
      <c r="M2738">
        <v>-0.99554359999999997</v>
      </c>
      <c r="N2738">
        <v>-1.4394000000000001E-2</v>
      </c>
      <c r="O2738">
        <v>-9.3197520000000006E-2</v>
      </c>
      <c r="P2738">
        <v>-0.94624059999999999</v>
      </c>
      <c r="Q2738">
        <v>0.2030836</v>
      </c>
      <c r="R2738">
        <v>-0.25176579999999998</v>
      </c>
      <c r="S2738">
        <v>-2.8922119999999998</v>
      </c>
      <c r="T2738">
        <v>-0.14901600000000001</v>
      </c>
      <c r="U2738">
        <v>-1.1770320000000001</v>
      </c>
      <c r="V2738">
        <v>-0.16449079999999999</v>
      </c>
      <c r="W2738">
        <v>0.21543580000000001</v>
      </c>
      <c r="X2738">
        <v>0.96256430000000004</v>
      </c>
      <c r="Y2738">
        <v>-0.28859829999999997</v>
      </c>
      <c r="Z2738">
        <v>-6.0121920000000004E-3</v>
      </c>
      <c r="AA2738">
        <v>0.95743140000000004</v>
      </c>
      <c r="AB2738">
        <v>30</v>
      </c>
      <c r="AC2738">
        <v>-21.333100000000002</v>
      </c>
      <c r="AD2738">
        <v>-1.1143268997460001</v>
      </c>
      <c r="AE2738">
        <v>-8.7695999999999596</v>
      </c>
      <c r="AF2738">
        <v>-6.7273238019744399</v>
      </c>
      <c r="AG2738">
        <v>-1.1143268997460001</v>
      </c>
      <c r="AH2738">
        <v>22.006257588909001</v>
      </c>
      <c r="AI2738">
        <v>92.772361854258193</v>
      </c>
      <c r="AJ2738">
        <v>106.99841818873</v>
      </c>
      <c r="AK2738">
        <v>23.0385325714449</v>
      </c>
      <c r="AL2738">
        <v>77.5589030005832</v>
      </c>
      <c r="AM2738">
        <v>99.697494081433504</v>
      </c>
      <c r="AN2738">
        <v>0.99999991942038102</v>
      </c>
    </row>
    <row r="2739" spans="1:40" x14ac:dyDescent="0.25">
      <c r="A2739" t="str">
        <f>"20190304155647403"</f>
        <v>20190304155647403</v>
      </c>
      <c r="B2739" t="str">
        <f>"1551686207397144"</f>
        <v>1551686207397144</v>
      </c>
      <c r="C2739" t="s">
        <v>40</v>
      </c>
      <c r="D2739">
        <v>4.4802780000000002</v>
      </c>
      <c r="E2739">
        <v>0.436143</v>
      </c>
      <c r="F2739" t="s">
        <v>53</v>
      </c>
      <c r="G2739">
        <v>-495.53919999999999</v>
      </c>
      <c r="H2739" s="1">
        <v>1.126173E-6</v>
      </c>
      <c r="I2739">
        <v>273.78570000000002</v>
      </c>
      <c r="J2739">
        <v>-470.59500000000003</v>
      </c>
      <c r="K2739">
        <v>1.1144769999999999</v>
      </c>
      <c r="L2739">
        <v>284.71319999999997</v>
      </c>
      <c r="M2739">
        <v>-0.9950388</v>
      </c>
      <c r="N2739">
        <v>-1.440372E-2</v>
      </c>
      <c r="O2739">
        <v>-9.843942E-2</v>
      </c>
      <c r="P2739">
        <v>-0.94460849999999996</v>
      </c>
      <c r="Q2739">
        <v>0.2029203</v>
      </c>
      <c r="R2739">
        <v>-0.25795030000000002</v>
      </c>
      <c r="S2739">
        <v>-2.8664550000000002</v>
      </c>
      <c r="T2739">
        <v>-0.1265384</v>
      </c>
      <c r="U2739">
        <v>-1.2446900000000001</v>
      </c>
      <c r="V2739">
        <v>-0.165793</v>
      </c>
      <c r="W2739">
        <v>0.21520909999999999</v>
      </c>
      <c r="X2739">
        <v>0.96239169999999996</v>
      </c>
      <c r="Y2739">
        <v>-0.30575180000000002</v>
      </c>
      <c r="Z2739">
        <v>-5.988541E-3</v>
      </c>
      <c r="AA2739">
        <v>0.95209239999999995</v>
      </c>
      <c r="AB2739">
        <v>30</v>
      </c>
      <c r="AC2739">
        <v>-24.944199999999899</v>
      </c>
      <c r="AD2739">
        <v>-1.114475873827</v>
      </c>
      <c r="AE2739">
        <v>-10.927499999999901</v>
      </c>
      <c r="AF2739">
        <v>-8.4045914030144999</v>
      </c>
      <c r="AG2739">
        <v>-1.114475873827</v>
      </c>
      <c r="AH2739">
        <v>25.855527975694699</v>
      </c>
      <c r="AI2739">
        <v>92.347390025155306</v>
      </c>
      <c r="AJ2739">
        <v>108.00725780638599</v>
      </c>
      <c r="AK2739">
        <v>27.210063212475301</v>
      </c>
      <c r="AL2739">
        <v>77.572205350314405</v>
      </c>
      <c r="AM2739">
        <v>99.774508964169996</v>
      </c>
      <c r="AN2739">
        <v>1.00000002990034</v>
      </c>
    </row>
    <row r="2740" spans="1:40" x14ac:dyDescent="0.25">
      <c r="A2740" t="str">
        <f>"20190304155647426"</f>
        <v>20190304155647426</v>
      </c>
      <c r="B2740" t="str">
        <f>"1551686207417640"</f>
        <v>1551686207417640</v>
      </c>
      <c r="C2740" t="s">
        <v>40</v>
      </c>
      <c r="D2740">
        <v>4.4905460000000001</v>
      </c>
      <c r="E2740">
        <v>0.43516199999999999</v>
      </c>
      <c r="F2740" t="s">
        <v>53</v>
      </c>
      <c r="G2740">
        <v>-497.85879999999997</v>
      </c>
      <c r="H2740" s="1">
        <v>6.8941589999999999E-7</v>
      </c>
      <c r="I2740">
        <v>272.47390000000001</v>
      </c>
      <c r="J2740">
        <v>-470.88630000000001</v>
      </c>
      <c r="K2740">
        <v>1.1146370000000001</v>
      </c>
      <c r="L2740">
        <v>284.67880000000002</v>
      </c>
      <c r="M2740">
        <v>-0.99449670000000001</v>
      </c>
      <c r="N2740">
        <v>-1.44152E-2</v>
      </c>
      <c r="O2740">
        <v>-0.103772</v>
      </c>
      <c r="P2740">
        <v>-0.94276300000000002</v>
      </c>
      <c r="Q2740">
        <v>0.20333809999999999</v>
      </c>
      <c r="R2740">
        <v>-0.26429360000000002</v>
      </c>
      <c r="S2740">
        <v>-2.85141</v>
      </c>
      <c r="T2740">
        <v>-0.1165583</v>
      </c>
      <c r="U2740">
        <v>-1.28006</v>
      </c>
      <c r="V2740">
        <v>-0.1672032</v>
      </c>
      <c r="W2740">
        <v>0.21555640000000001</v>
      </c>
      <c r="X2740">
        <v>0.96206990000000003</v>
      </c>
      <c r="Y2740">
        <v>-0.3123804</v>
      </c>
      <c r="Z2740">
        <v>-5.8651750000000002E-3</v>
      </c>
      <c r="AA2740">
        <v>0.94993899999999998</v>
      </c>
      <c r="AB2740">
        <v>30</v>
      </c>
      <c r="AC2740">
        <v>-26.972499999999901</v>
      </c>
      <c r="AD2740">
        <v>-1.1146363105841</v>
      </c>
      <c r="AE2740">
        <v>-12.2049</v>
      </c>
      <c r="AF2740">
        <v>-9.3264920044466297</v>
      </c>
      <c r="AG2740">
        <v>-1.1146363105841</v>
      </c>
      <c r="AH2740">
        <v>28.053740078339001</v>
      </c>
      <c r="AI2740">
        <v>92.1592130105183</v>
      </c>
      <c r="AJ2740">
        <v>108.389434642534</v>
      </c>
      <c r="AK2740">
        <v>29.584424949572401</v>
      </c>
      <c r="AL2740">
        <v>77.551827665746004</v>
      </c>
      <c r="AM2740">
        <v>99.859257107738003</v>
      </c>
      <c r="AN2740">
        <v>0.99999998207860497</v>
      </c>
    </row>
    <row r="2741" spans="1:40" x14ac:dyDescent="0.25">
      <c r="A2741" t="str">
        <f>"20190304155647448"</f>
        <v>20190304155647448</v>
      </c>
      <c r="B2741" t="str">
        <f>"1551686207437160"</f>
        <v>1551686207437160</v>
      </c>
      <c r="C2741" t="s">
        <v>40</v>
      </c>
      <c r="D2741">
        <v>4.478777</v>
      </c>
      <c r="E2741">
        <v>0.43460969999999999</v>
      </c>
      <c r="F2741" t="s">
        <v>53</v>
      </c>
      <c r="G2741">
        <v>-499.53019999999998</v>
      </c>
      <c r="H2741" s="1">
        <v>3.695814E-7</v>
      </c>
      <c r="I2741">
        <v>271.49950000000001</v>
      </c>
      <c r="J2741">
        <v>-471.1728</v>
      </c>
      <c r="K2741">
        <v>1.114808</v>
      </c>
      <c r="L2741">
        <v>284.64319999999998</v>
      </c>
      <c r="M2741">
        <v>-0.99391070000000004</v>
      </c>
      <c r="N2741">
        <v>-1.442823E-2</v>
      </c>
      <c r="O2741">
        <v>-0.1092397</v>
      </c>
      <c r="P2741">
        <v>-0.94066320000000003</v>
      </c>
      <c r="Q2741">
        <v>0.20427999999999999</v>
      </c>
      <c r="R2741">
        <v>-0.27096559999999997</v>
      </c>
      <c r="S2741">
        <v>-2.8397220000000001</v>
      </c>
      <c r="T2741">
        <v>-0.1105037</v>
      </c>
      <c r="U2741">
        <v>-1.3065800000000001</v>
      </c>
      <c r="V2741">
        <v>-0.16885269999999999</v>
      </c>
      <c r="W2741">
        <v>0.21641920000000001</v>
      </c>
      <c r="X2741">
        <v>0.961588</v>
      </c>
      <c r="Y2741">
        <v>-0.315980599999999</v>
      </c>
      <c r="Z2741">
        <v>-5.738033E-3</v>
      </c>
      <c r="AA2741">
        <v>0.94874829999999999</v>
      </c>
      <c r="AB2741">
        <v>30</v>
      </c>
      <c r="AC2741">
        <v>-28.357399999999899</v>
      </c>
      <c r="AD2741">
        <v>-1.1148076304186001</v>
      </c>
      <c r="AE2741">
        <v>-13.1436999999999</v>
      </c>
      <c r="AF2741">
        <v>-9.9542841646566398</v>
      </c>
      <c r="AG2741">
        <v>-1.1148076304186001</v>
      </c>
      <c r="AH2741">
        <v>29.5859823950384</v>
      </c>
      <c r="AI2741">
        <v>92.045339252840705</v>
      </c>
      <c r="AJ2741">
        <v>108.59565278357501</v>
      </c>
      <c r="AK2741">
        <v>31.235571446078801</v>
      </c>
      <c r="AL2741">
        <v>77.501197940001504</v>
      </c>
      <c r="AM2741">
        <v>99.959473610313097</v>
      </c>
      <c r="AN2741">
        <v>0.99999999308496501</v>
      </c>
    </row>
    <row r="2742" spans="1:40" x14ac:dyDescent="0.25">
      <c r="A2742" t="str">
        <f>"20190304155647471"</f>
        <v>20190304155647471</v>
      </c>
      <c r="B2742" t="str">
        <f>"1551686207467416"</f>
        <v>1551686207467416</v>
      </c>
      <c r="C2742" t="s">
        <v>40</v>
      </c>
      <c r="D2742">
        <v>4.4944329999999999</v>
      </c>
      <c r="E2742">
        <v>0.43415989999999999</v>
      </c>
      <c r="F2742" t="s">
        <v>53</v>
      </c>
      <c r="G2742">
        <v>-499.95780000000002</v>
      </c>
      <c r="H2742">
        <v>4.7842009999999997E-2</v>
      </c>
      <c r="I2742">
        <v>271.09010000000001</v>
      </c>
      <c r="J2742">
        <v>-471.45769999999999</v>
      </c>
      <c r="K2742">
        <v>1.114986</v>
      </c>
      <c r="L2742">
        <v>284.60590000000002</v>
      </c>
      <c r="M2742">
        <v>-0.99326950000000003</v>
      </c>
      <c r="N2742">
        <v>-1.4442669999999999E-2</v>
      </c>
      <c r="O2742">
        <v>-0.1149218</v>
      </c>
      <c r="P2742">
        <v>-0.93853940000000002</v>
      </c>
      <c r="Q2742">
        <v>0.20491670000000001</v>
      </c>
      <c r="R2742">
        <v>-0.27776410000000001</v>
      </c>
      <c r="S2742">
        <v>-2.8283999999999998</v>
      </c>
      <c r="T2742">
        <v>-0.10483969999999999</v>
      </c>
      <c r="U2742">
        <v>-1.331726</v>
      </c>
      <c r="V2742">
        <v>-0.17043249999999999</v>
      </c>
      <c r="W2742">
        <v>0.216974</v>
      </c>
      <c r="X2742">
        <v>0.96118419999999904</v>
      </c>
      <c r="Y2742">
        <v>-0.31894070000000002</v>
      </c>
      <c r="Z2742">
        <v>-5.6105919999999898E-3</v>
      </c>
      <c r="AA2742">
        <v>0.94775810000000005</v>
      </c>
      <c r="AB2742">
        <v>30</v>
      </c>
      <c r="AC2742">
        <v>-28.5001</v>
      </c>
      <c r="AD2742">
        <v>-1.0671439899999999</v>
      </c>
      <c r="AE2742">
        <v>-13.5158</v>
      </c>
      <c r="AF2742">
        <v>-10.139003219532</v>
      </c>
      <c r="AG2742">
        <v>-1.0671439899999999</v>
      </c>
      <c r="AH2742">
        <v>29.830512486395602</v>
      </c>
      <c r="AI2742">
        <v>91.939901366490204</v>
      </c>
      <c r="AJ2742">
        <v>108.77222918173101</v>
      </c>
      <c r="AK2742">
        <v>31.524556424826599</v>
      </c>
      <c r="AL2742">
        <v>77.4686367653904</v>
      </c>
      <c r="AM2742">
        <v>100.054900205381</v>
      </c>
      <c r="AN2742">
        <v>1.0000000100309401</v>
      </c>
    </row>
    <row r="2743" spans="1:40" x14ac:dyDescent="0.25">
      <c r="A2743" t="str">
        <f>"20190304155647493"</f>
        <v>20190304155647493</v>
      </c>
      <c r="B2743" t="str">
        <f>"1551686207486936"</f>
        <v>1551686207486936</v>
      </c>
      <c r="C2743" t="s">
        <v>40</v>
      </c>
      <c r="D2743">
        <v>4.4844650000000001</v>
      </c>
      <c r="E2743">
        <v>0.43400620000000001</v>
      </c>
      <c r="F2743" t="s">
        <v>53</v>
      </c>
      <c r="G2743">
        <v>-500.52289999999999</v>
      </c>
      <c r="H2743">
        <v>7.999995E-2</v>
      </c>
      <c r="I2743">
        <v>270.61110000000002</v>
      </c>
      <c r="J2743">
        <v>-471.75209999999998</v>
      </c>
      <c r="K2743">
        <v>1.115178</v>
      </c>
      <c r="L2743">
        <v>284.56509999999997</v>
      </c>
      <c r="M2743">
        <v>-0.99253800000000003</v>
      </c>
      <c r="N2743">
        <v>-1.4459720000000001E-2</v>
      </c>
      <c r="O2743">
        <v>-0.12107519999999999</v>
      </c>
      <c r="P2743">
        <v>-0.93656220000000001</v>
      </c>
      <c r="Q2743">
        <v>0.20491519999999999</v>
      </c>
      <c r="R2743">
        <v>-0.28436040000000001</v>
      </c>
      <c r="S2743">
        <v>-2.8169559999999998</v>
      </c>
      <c r="T2743">
        <v>-0.1003095</v>
      </c>
      <c r="U2743">
        <v>-1.3563540000000001</v>
      </c>
      <c r="V2743">
        <v>-0.17134199999999999</v>
      </c>
      <c r="W2743">
        <v>0.2168977</v>
      </c>
      <c r="X2743">
        <v>0.96103970000000005</v>
      </c>
      <c r="Y2743">
        <v>-0.3213125</v>
      </c>
      <c r="Z2743">
        <v>-5.4914459999999997E-3</v>
      </c>
      <c r="AA2743">
        <v>0.9469573</v>
      </c>
      <c r="AB2743">
        <v>29</v>
      </c>
      <c r="AC2743">
        <v>-28.770800000000001</v>
      </c>
      <c r="AD2743">
        <v>-1.0351780500000001</v>
      </c>
      <c r="AE2743">
        <v>-13.953999999999899</v>
      </c>
      <c r="AF2743">
        <v>-10.3566747259223</v>
      </c>
      <c r="AG2743">
        <v>-1.0351780500000001</v>
      </c>
      <c r="AH2743">
        <v>30.217089776993699</v>
      </c>
      <c r="AI2743">
        <v>91.856156984633003</v>
      </c>
      <c r="AJ2743">
        <v>108.91875611475101</v>
      </c>
      <c r="AK2743">
        <v>31.959424581250801</v>
      </c>
      <c r="AL2743">
        <v>77.473114941417094</v>
      </c>
      <c r="AM2743">
        <v>100.108942350691</v>
      </c>
      <c r="AN2743">
        <v>0.99999999910269</v>
      </c>
    </row>
    <row r="2744" spans="1:40" x14ac:dyDescent="0.25">
      <c r="A2744" t="str">
        <f>"20190304155647515"</f>
        <v>20190304155647515</v>
      </c>
      <c r="B2744" t="str">
        <f>"1551686207507432"</f>
        <v>1551686207507432</v>
      </c>
      <c r="C2744" t="s">
        <v>40</v>
      </c>
      <c r="D2744">
        <v>4.4885580000000003</v>
      </c>
      <c r="E2744">
        <v>0.43394490000000002</v>
      </c>
      <c r="F2744" t="s">
        <v>53</v>
      </c>
      <c r="G2744">
        <v>-501.1832</v>
      </c>
      <c r="H2744">
        <v>7.9999979999999998E-2</v>
      </c>
      <c r="I2744">
        <v>270.1112</v>
      </c>
      <c r="J2744">
        <v>-472.03699999999998</v>
      </c>
      <c r="K2744">
        <v>1.115351</v>
      </c>
      <c r="L2744">
        <v>284.52379999999999</v>
      </c>
      <c r="M2744">
        <v>-0.99176589999999998</v>
      </c>
      <c r="N2744">
        <v>-1.447701E-2</v>
      </c>
      <c r="O2744">
        <v>-0.12724349999999901</v>
      </c>
      <c r="P2744">
        <v>-0.93455080000000001</v>
      </c>
      <c r="Q2744">
        <v>0.2041501</v>
      </c>
      <c r="R2744">
        <v>-0.29144130000000001</v>
      </c>
      <c r="S2744">
        <v>-2.806305</v>
      </c>
      <c r="T2744">
        <v>-9.8706009999999997E-2</v>
      </c>
      <c r="U2744">
        <v>-1.378204</v>
      </c>
      <c r="V2744">
        <v>-0.17270539999999901</v>
      </c>
      <c r="W2744">
        <v>0.21606210000000001</v>
      </c>
      <c r="X2744">
        <v>0.9609839</v>
      </c>
      <c r="Y2744">
        <v>-0.32279239999999998</v>
      </c>
      <c r="Z2744">
        <v>-5.3998650000000002E-3</v>
      </c>
      <c r="AA2744">
        <v>0.94645440000000003</v>
      </c>
      <c r="AB2744">
        <v>29</v>
      </c>
      <c r="AC2744">
        <v>-29.1462</v>
      </c>
      <c r="AD2744">
        <v>-1.03535102</v>
      </c>
      <c r="AE2744">
        <v>-14.4125999999999</v>
      </c>
      <c r="AF2744">
        <v>-10.575646673573999</v>
      </c>
      <c r="AG2744">
        <v>-1.03535102</v>
      </c>
      <c r="AH2744">
        <v>30.712197306897998</v>
      </c>
      <c r="AI2744">
        <v>91.825659769280506</v>
      </c>
      <c r="AJ2744">
        <v>109.000982473047</v>
      </c>
      <c r="AK2744">
        <v>32.498543316843097</v>
      </c>
      <c r="AL2744">
        <v>77.522154439372301</v>
      </c>
      <c r="AM2744">
        <v>100.188281921946</v>
      </c>
      <c r="AN2744">
        <v>1.0000000211523801</v>
      </c>
    </row>
    <row r="2745" spans="1:40" x14ac:dyDescent="0.25">
      <c r="A2745" t="str">
        <f>"20190304155647537"</f>
        <v>20190304155647537</v>
      </c>
      <c r="B2745" t="str">
        <f>"1551686207526953"</f>
        <v>1551686207526953</v>
      </c>
      <c r="C2745" t="s">
        <v>40</v>
      </c>
      <c r="D2745">
        <v>4.5199230000000004</v>
      </c>
      <c r="E2745">
        <v>0.43396659999999998</v>
      </c>
      <c r="F2745" t="s">
        <v>53</v>
      </c>
      <c r="G2745">
        <v>-500.79919999999998</v>
      </c>
      <c r="H2745">
        <v>7.9999979999999998E-2</v>
      </c>
      <c r="I2745">
        <v>270.11869999999999</v>
      </c>
      <c r="J2745">
        <v>-472.32190000000003</v>
      </c>
      <c r="K2745">
        <v>1.1155139999999999</v>
      </c>
      <c r="L2745">
        <v>284.4803</v>
      </c>
      <c r="M2745">
        <v>-0.99092429999999998</v>
      </c>
      <c r="N2745">
        <v>-1.4493239999999999E-2</v>
      </c>
      <c r="O2745">
        <v>-0.1336376</v>
      </c>
      <c r="P2745">
        <v>-0.93211330000000003</v>
      </c>
      <c r="Q2745">
        <v>0.20388970000000001</v>
      </c>
      <c r="R2745">
        <v>-0.2993228</v>
      </c>
      <c r="S2745">
        <v>-2.7954409999999998</v>
      </c>
      <c r="T2745">
        <v>-0.1006273</v>
      </c>
      <c r="U2745">
        <v>-1.4000549999999901</v>
      </c>
      <c r="V2745">
        <v>-0.17470169999999999</v>
      </c>
      <c r="W2745">
        <v>0.21572269999999999</v>
      </c>
      <c r="X2745">
        <v>0.96069930000000003</v>
      </c>
      <c r="Y2745">
        <v>-0.32406839999999998</v>
      </c>
      <c r="Z2745">
        <v>-5.3399459999999999E-3</v>
      </c>
      <c r="AA2745">
        <v>0.94601860000000004</v>
      </c>
      <c r="AB2745">
        <v>29</v>
      </c>
      <c r="AC2745">
        <v>-28.4772999999999</v>
      </c>
      <c r="AD2745">
        <v>-1.0355140199999999</v>
      </c>
      <c r="AE2745">
        <v>-14.361599999999999</v>
      </c>
      <c r="AF2745">
        <v>-10.4157356883474</v>
      </c>
      <c r="AG2745">
        <v>-1.0355140199999999</v>
      </c>
      <c r="AH2745">
        <v>30.1095238692842</v>
      </c>
      <c r="AI2745">
        <v>91.861562214510798</v>
      </c>
      <c r="AJ2745">
        <v>109.081949895029</v>
      </c>
      <c r="AK2745">
        <v>31.877002162219199</v>
      </c>
      <c r="AL2745">
        <v>77.542070742133802</v>
      </c>
      <c r="AM2745">
        <v>100.306526437461</v>
      </c>
      <c r="AN2745">
        <v>1.0000000561493301</v>
      </c>
    </row>
    <row r="2746" spans="1:40" x14ac:dyDescent="0.25">
      <c r="A2746" t="str">
        <f>"20190304155647560"</f>
        <v>20190304155647560</v>
      </c>
      <c r="B2746" t="str">
        <f>"1551686207557209"</f>
        <v>1551686207557209</v>
      </c>
      <c r="C2746" t="s">
        <v>40</v>
      </c>
      <c r="D2746">
        <v>4.5008290000000004</v>
      </c>
      <c r="E2746">
        <v>0.43413249999999998</v>
      </c>
      <c r="F2746" t="s">
        <v>53</v>
      </c>
      <c r="G2746">
        <v>-500.64389999999997</v>
      </c>
      <c r="H2746">
        <v>7.9999979999999998E-2</v>
      </c>
      <c r="I2746">
        <v>269.99950000000001</v>
      </c>
      <c r="J2746">
        <v>-472.60570000000001</v>
      </c>
      <c r="K2746">
        <v>1.1156699999999999</v>
      </c>
      <c r="L2746">
        <v>284.435</v>
      </c>
      <c r="M2746">
        <v>-0.99001150000000004</v>
      </c>
      <c r="N2746">
        <v>-1.4509569999999999E-2</v>
      </c>
      <c r="O2746">
        <v>-0.14023859999999999</v>
      </c>
      <c r="P2746">
        <v>-0.92968850000000003</v>
      </c>
      <c r="Q2746">
        <v>0.20369100000000001</v>
      </c>
      <c r="R2746">
        <v>-0.30690289999999998</v>
      </c>
      <c r="S2746">
        <v>-2.7836910000000001</v>
      </c>
      <c r="T2746">
        <v>-0.1017779</v>
      </c>
      <c r="U2746">
        <v>-1.423279</v>
      </c>
      <c r="V2746">
        <v>-0.1762011</v>
      </c>
      <c r="W2746">
        <v>0.2154517</v>
      </c>
      <c r="X2746">
        <v>0.96048619999999996</v>
      </c>
      <c r="Y2746">
        <v>-0.325634599999999</v>
      </c>
      <c r="Z2746">
        <v>-5.2698129999999999E-3</v>
      </c>
      <c r="AA2746">
        <v>0.94548100000000002</v>
      </c>
      <c r="AB2746">
        <v>29</v>
      </c>
      <c r="AC2746">
        <v>-28.0381999999999</v>
      </c>
      <c r="AD2746">
        <v>-1.03567002</v>
      </c>
      <c r="AE2746">
        <v>-14.4354999999999</v>
      </c>
      <c r="AF2746">
        <v>-10.3492010798349</v>
      </c>
      <c r="AG2746">
        <v>-1.03567002</v>
      </c>
      <c r="AH2746">
        <v>29.7535980551914</v>
      </c>
      <c r="AI2746">
        <v>91.882990288515202</v>
      </c>
      <c r="AJ2746">
        <v>109.179220171598</v>
      </c>
      <c r="AK2746">
        <v>31.519123918838101</v>
      </c>
      <c r="AL2746">
        <v>77.557971127366201</v>
      </c>
      <c r="AM2746">
        <v>100.395319431869</v>
      </c>
      <c r="AN2746">
        <v>1.0000000015322601</v>
      </c>
    </row>
    <row r="2747" spans="1:40" x14ac:dyDescent="0.25">
      <c r="A2747" t="str">
        <f>"20190304155647582"</f>
        <v>20190304155647582</v>
      </c>
      <c r="B2747" t="str">
        <f>"1551686207577708"</f>
        <v>1551686207577708</v>
      </c>
      <c r="C2747" t="s">
        <v>40</v>
      </c>
      <c r="D2747">
        <v>4.5146410000000001</v>
      </c>
      <c r="E2747">
        <v>0.43424800000000002</v>
      </c>
      <c r="F2747" t="s">
        <v>53</v>
      </c>
      <c r="G2747">
        <v>-500.49810000000002</v>
      </c>
      <c r="H2747">
        <v>7.9999990000000007E-2</v>
      </c>
      <c r="I2747">
        <v>269.90179999999998</v>
      </c>
      <c r="J2747">
        <v>-472.89830000000001</v>
      </c>
      <c r="K2747">
        <v>1.115842</v>
      </c>
      <c r="L2747">
        <v>284.38600000000002</v>
      </c>
      <c r="M2747">
        <v>-0.98898589999999997</v>
      </c>
      <c r="N2747">
        <v>-1.452842E-2</v>
      </c>
      <c r="O2747">
        <v>-0.14729579999999901</v>
      </c>
      <c r="P2747">
        <v>-0.92691210000000002</v>
      </c>
      <c r="Q2747">
        <v>0.20339299999999999</v>
      </c>
      <c r="R2747">
        <v>-0.31538179999999999</v>
      </c>
      <c r="S2747">
        <v>-2.7725219999999999</v>
      </c>
      <c r="T2747">
        <v>-0.10294589999999899</v>
      </c>
      <c r="U2747">
        <v>-1.4446110000000001</v>
      </c>
      <c r="V2747">
        <v>-0.17820520000000001</v>
      </c>
      <c r="W2747">
        <v>0.21506939999999999</v>
      </c>
      <c r="X2747">
        <v>0.96020209999999995</v>
      </c>
      <c r="Y2747">
        <v>-0.32617010000000002</v>
      </c>
      <c r="Z2747">
        <v>-5.1608540000000003E-3</v>
      </c>
      <c r="AA2747">
        <v>0.94529700000000005</v>
      </c>
      <c r="AB2747">
        <v>29</v>
      </c>
      <c r="AC2747">
        <v>-27.599799999999998</v>
      </c>
      <c r="AD2747">
        <v>-1.0358420100000001</v>
      </c>
      <c r="AE2747">
        <v>-14.4841999999999</v>
      </c>
      <c r="AF2747">
        <v>-10.2490975557401</v>
      </c>
      <c r="AG2747">
        <v>-1.0358420100000001</v>
      </c>
      <c r="AH2747">
        <v>29.399908526417899</v>
      </c>
      <c r="AI2747">
        <v>91.905481774492202</v>
      </c>
      <c r="AJ2747">
        <v>109.21905779091399</v>
      </c>
      <c r="AK2747">
        <v>31.1523930178485</v>
      </c>
      <c r="AL2747">
        <v>77.580401201023705</v>
      </c>
      <c r="AM2747">
        <v>100.513975070874</v>
      </c>
      <c r="AN2747">
        <v>1.0000000064839001</v>
      </c>
    </row>
    <row r="2748" spans="1:40" x14ac:dyDescent="0.25">
      <c r="A2748" t="str">
        <f>"20190304155647605"</f>
        <v>20190304155647605</v>
      </c>
      <c r="B2748" t="str">
        <f>"1551686207597234"</f>
        <v>1551686207597234</v>
      </c>
      <c r="C2748" t="s">
        <v>40</v>
      </c>
      <c r="D2748">
        <v>4.5042309999999999</v>
      </c>
      <c r="E2748">
        <v>0.43442900000000001</v>
      </c>
      <c r="F2748" t="s">
        <v>53</v>
      </c>
      <c r="G2748">
        <v>-500.32889999999998</v>
      </c>
      <c r="H2748">
        <v>7.9999990000000007E-2</v>
      </c>
      <c r="I2748">
        <v>269.78500000000003</v>
      </c>
      <c r="J2748">
        <v>-473.17790000000002</v>
      </c>
      <c r="K2748">
        <v>1.116007</v>
      </c>
      <c r="L2748">
        <v>284.33699999999999</v>
      </c>
      <c r="M2748">
        <v>-0.98792060000000004</v>
      </c>
      <c r="N2748">
        <v>-1.454863E-2</v>
      </c>
      <c r="O2748">
        <v>-0.154277</v>
      </c>
      <c r="P2748">
        <v>-0.92410639999999999</v>
      </c>
      <c r="Q2748">
        <v>0.2030497</v>
      </c>
      <c r="R2748">
        <v>-0.32372620000000002</v>
      </c>
      <c r="S2748">
        <v>-2.7595830000000001</v>
      </c>
      <c r="T2748">
        <v>-0.1042081</v>
      </c>
      <c r="U2748">
        <v>-1.4689030000000001</v>
      </c>
      <c r="V2748">
        <v>-0.18016170000000001</v>
      </c>
      <c r="W2748">
        <v>0.21464050000000001</v>
      </c>
      <c r="X2748">
        <v>0.95993289999999998</v>
      </c>
      <c r="Y2748">
        <v>-0.32781120000000002</v>
      </c>
      <c r="Z2748">
        <v>-5.0772899999999999E-3</v>
      </c>
      <c r="AA2748">
        <v>0.94472959999999995</v>
      </c>
      <c r="AB2748">
        <v>29</v>
      </c>
      <c r="AC2748">
        <v>-27.1509999999999</v>
      </c>
      <c r="AD2748">
        <v>-1.0360070100000001</v>
      </c>
      <c r="AE2748">
        <v>-14.5519999999999</v>
      </c>
      <c r="AF2748">
        <v>-10.177012345792599</v>
      </c>
      <c r="AG2748">
        <v>-1.0360070100000001</v>
      </c>
      <c r="AH2748">
        <v>29.038301261146401</v>
      </c>
      <c r="AI2748">
        <v>91.928383602753001</v>
      </c>
      <c r="AJ2748">
        <v>109.313960698835</v>
      </c>
      <c r="AK2748">
        <v>30.787462236181199</v>
      </c>
      <c r="AL2748">
        <v>77.605562624450997</v>
      </c>
      <c r="AM2748">
        <v>100.62970403044601</v>
      </c>
      <c r="AN2748">
        <v>0.99999997744477398</v>
      </c>
    </row>
    <row r="2749" spans="1:40" x14ac:dyDescent="0.25">
      <c r="A2749" t="str">
        <f>"20190304155647628"</f>
        <v>20190304155647628</v>
      </c>
      <c r="B2749" t="str">
        <f>"1551686207617720"</f>
        <v>1551686207617720</v>
      </c>
      <c r="C2749" t="s">
        <v>40</v>
      </c>
      <c r="D2749">
        <v>4.4857620000000002</v>
      </c>
      <c r="E2749">
        <v>0.43466870000000002</v>
      </c>
      <c r="F2749" t="s">
        <v>53</v>
      </c>
      <c r="G2749">
        <v>-499.99040000000002</v>
      </c>
      <c r="H2749">
        <v>7.9999990000000007E-2</v>
      </c>
      <c r="I2749">
        <v>269.76900000000001</v>
      </c>
      <c r="J2749">
        <v>-473.46719999999999</v>
      </c>
      <c r="K2749">
        <v>1.116198</v>
      </c>
      <c r="L2749">
        <v>284.28379999999999</v>
      </c>
      <c r="M2749">
        <v>-0.98672249999999995</v>
      </c>
      <c r="N2749">
        <v>-1.4571239999999999E-2</v>
      </c>
      <c r="O2749">
        <v>-0.16176009999999999</v>
      </c>
      <c r="P2749">
        <v>-0.9210197</v>
      </c>
      <c r="Q2749">
        <v>0.20291339999999999</v>
      </c>
      <c r="R2749">
        <v>-0.33248929999999999</v>
      </c>
      <c r="S2749">
        <v>-2.7468870000000001</v>
      </c>
      <c r="T2749">
        <v>-0.1061368</v>
      </c>
      <c r="U2749">
        <v>-1.492462</v>
      </c>
      <c r="V2749">
        <v>-0.18210319999999999</v>
      </c>
      <c r="W2749">
        <v>0.2144122</v>
      </c>
      <c r="X2749">
        <v>0.95961759999999996</v>
      </c>
      <c r="Y2749">
        <v>-0.32873269999999999</v>
      </c>
      <c r="Z2749">
        <v>-4.9613779999999998E-3</v>
      </c>
      <c r="AA2749">
        <v>0.94440999999999997</v>
      </c>
      <c r="AB2749">
        <v>29</v>
      </c>
      <c r="AC2749">
        <v>-26.523199999999999</v>
      </c>
      <c r="AD2749">
        <v>-1.0361980099999999</v>
      </c>
      <c r="AE2749">
        <v>-14.5147999999999</v>
      </c>
      <c r="AF2749">
        <v>-10.020979758301401</v>
      </c>
      <c r="AG2749">
        <v>-1.0361980099999999</v>
      </c>
      <c r="AH2749">
        <v>28.488522016968101</v>
      </c>
      <c r="AI2749">
        <v>91.965141526133493</v>
      </c>
      <c r="AJ2749">
        <v>109.379577093349</v>
      </c>
      <c r="AK2749">
        <v>30.217372955693801</v>
      </c>
      <c r="AL2749">
        <v>77.618955996223093</v>
      </c>
      <c r="AM2749">
        <v>100.745049885909</v>
      </c>
      <c r="AN2749">
        <v>1.0000000525944099</v>
      </c>
    </row>
    <row r="2750" spans="1:40" x14ac:dyDescent="0.25">
      <c r="A2750" t="str">
        <f>"20190304155647650"</f>
        <v>20190304155647650</v>
      </c>
      <c r="B2750" t="str">
        <f>"1551686207647620"</f>
        <v>1551686207647620</v>
      </c>
      <c r="C2750" t="s">
        <v>40</v>
      </c>
      <c r="D2750">
        <v>4.5142340000000001</v>
      </c>
      <c r="E2750">
        <v>0.43504359999999997</v>
      </c>
      <c r="F2750" t="s">
        <v>41</v>
      </c>
      <c r="G2750">
        <v>-499.9753</v>
      </c>
      <c r="H2750">
        <v>6.7524310000000004E-2</v>
      </c>
      <c r="I2750">
        <v>269.58150000000001</v>
      </c>
      <c r="J2750">
        <v>-473.75069999999999</v>
      </c>
      <c r="K2750">
        <v>1.11639</v>
      </c>
      <c r="L2750">
        <v>284.22930000000002</v>
      </c>
      <c r="M2750">
        <v>-0.98544600000000004</v>
      </c>
      <c r="N2750">
        <v>-1.4595210000000001E-2</v>
      </c>
      <c r="O2750">
        <v>-0.16936099999999901</v>
      </c>
      <c r="P2750">
        <v>-0.91770750000000001</v>
      </c>
      <c r="Q2750">
        <v>0.20302600000000001</v>
      </c>
      <c r="R2750">
        <v>-0.34145799999999998</v>
      </c>
      <c r="S2750">
        <v>-2.7337039999999999</v>
      </c>
      <c r="T2750">
        <v>-0.10814650000000001</v>
      </c>
      <c r="U2750">
        <v>-1.516205</v>
      </c>
      <c r="V2750">
        <v>-0.1841815</v>
      </c>
      <c r="W2750">
        <v>0.2144267</v>
      </c>
      <c r="X2750">
        <v>0.9592176</v>
      </c>
      <c r="Y2750">
        <v>-0.32965119999999998</v>
      </c>
      <c r="Z2750">
        <v>-4.8342130000000004E-3</v>
      </c>
      <c r="AA2750">
        <v>0.9440904</v>
      </c>
      <c r="AB2750">
        <v>29</v>
      </c>
      <c r="AC2750">
        <v>-26.224599999999999</v>
      </c>
      <c r="AD2750">
        <v>-1.04886569</v>
      </c>
      <c r="AE2750">
        <v>-14.6478</v>
      </c>
      <c r="AF2750">
        <v>-9.9820853343687403</v>
      </c>
      <c r="AG2750">
        <v>-1.04886569</v>
      </c>
      <c r="AH2750">
        <v>28.292215207608798</v>
      </c>
      <c r="AI2750">
        <v>92.002268645212297</v>
      </c>
      <c r="AJ2750">
        <v>109.433907514279</v>
      </c>
      <c r="AK2750">
        <v>30.019853234350201</v>
      </c>
      <c r="AL2750">
        <v>77.618105006843905</v>
      </c>
      <c r="AM2750">
        <v>100.869200551886</v>
      </c>
      <c r="AN2750">
        <v>1.0000000193824401</v>
      </c>
    </row>
    <row r="2751" spans="1:40" x14ac:dyDescent="0.25">
      <c r="A2751" t="str">
        <f>"20190304155647672"</f>
        <v>20190304155647672</v>
      </c>
      <c r="B2751" t="str">
        <f>"1551686207667140"</f>
        <v>1551686207667140</v>
      </c>
      <c r="C2751" t="s">
        <v>40</v>
      </c>
      <c r="D2751">
        <v>4.5084819999999999</v>
      </c>
      <c r="E2751">
        <v>0.43530540000000001</v>
      </c>
      <c r="F2751" t="s">
        <v>41</v>
      </c>
      <c r="G2751">
        <v>-499.96690000000001</v>
      </c>
      <c r="H2751">
        <v>5.9090539999999997E-2</v>
      </c>
      <c r="I2751">
        <v>269.39210000000003</v>
      </c>
      <c r="J2751">
        <v>-474.02710000000002</v>
      </c>
      <c r="K2751">
        <v>1.116582</v>
      </c>
      <c r="L2751">
        <v>284.17340000000002</v>
      </c>
      <c r="M2751">
        <v>-0.98409190000000002</v>
      </c>
      <c r="N2751">
        <v>-1.46208E-2</v>
      </c>
      <c r="O2751">
        <v>-0.17705850000000001</v>
      </c>
      <c r="P2751">
        <v>-0.91436539999999999</v>
      </c>
      <c r="Q2751">
        <v>0.2028015</v>
      </c>
      <c r="R2751">
        <v>-0.35043999999999997</v>
      </c>
      <c r="S2751">
        <v>-2.7204280000000001</v>
      </c>
      <c r="T2751">
        <v>-0.10971499999999999</v>
      </c>
      <c r="U2751">
        <v>-1.539642</v>
      </c>
      <c r="V2751">
        <v>-0.18618460000000001</v>
      </c>
      <c r="W2751">
        <v>0.21410670000000001</v>
      </c>
      <c r="X2751">
        <v>0.95890229999999999</v>
      </c>
      <c r="Y2751">
        <v>-0.33040259999999999</v>
      </c>
      <c r="Z2751">
        <v>-4.6927540000000004E-3</v>
      </c>
      <c r="AA2751">
        <v>0.94382849999999996</v>
      </c>
      <c r="AB2751">
        <v>29</v>
      </c>
      <c r="AC2751">
        <v>-25.939799999999899</v>
      </c>
      <c r="AD2751">
        <v>-1.05749146</v>
      </c>
      <c r="AE2751">
        <v>-14.7812999999999</v>
      </c>
      <c r="AF2751">
        <v>-9.94188485564937</v>
      </c>
      <c r="AG2751">
        <v>-1.05749146</v>
      </c>
      <c r="AH2751">
        <v>28.112036653519201</v>
      </c>
      <c r="AI2751">
        <v>92.031119422955996</v>
      </c>
      <c r="AJ2751">
        <v>109.47625505835001</v>
      </c>
      <c r="AK2751">
        <v>29.836989919892599</v>
      </c>
      <c r="AL2751">
        <v>77.636875388644597</v>
      </c>
      <c r="AM2751">
        <v>100.988074061264</v>
      </c>
      <c r="AN2751">
        <v>1.0000000026036699</v>
      </c>
    </row>
    <row r="2752" spans="1:40" x14ac:dyDescent="0.25">
      <c r="A2752" t="str">
        <f>"20190304155647695"</f>
        <v>20190304155647695</v>
      </c>
      <c r="B2752" t="str">
        <f>"1551686207687636"</f>
        <v>1551686207687636</v>
      </c>
      <c r="C2752" t="s">
        <v>40</v>
      </c>
      <c r="D2752">
        <v>4.473541</v>
      </c>
      <c r="E2752">
        <v>0.4402877</v>
      </c>
      <c r="F2752" t="s">
        <v>41</v>
      </c>
      <c r="G2752">
        <v>-499.95780000000002</v>
      </c>
      <c r="H2752">
        <v>4.3936759999999998E-2</v>
      </c>
      <c r="I2752">
        <v>269.18270000000001</v>
      </c>
      <c r="J2752">
        <v>-474.31200000000001</v>
      </c>
      <c r="K2752">
        <v>1.1167800000000001</v>
      </c>
      <c r="L2752">
        <v>284.11320000000001</v>
      </c>
      <c r="M2752">
        <v>-0.98257850000000002</v>
      </c>
      <c r="N2752">
        <v>-1.464848E-2</v>
      </c>
      <c r="O2752">
        <v>-0.18526999999999999</v>
      </c>
      <c r="P2752">
        <v>-0.91096829999999995</v>
      </c>
      <c r="Q2752">
        <v>0.20288690000000001</v>
      </c>
      <c r="R2752">
        <v>-0.35912909999999998</v>
      </c>
      <c r="S2752">
        <v>-2.7061769999999998</v>
      </c>
      <c r="T2752">
        <v>-0.1119434</v>
      </c>
      <c r="U2752">
        <v>-1.5644530000000001</v>
      </c>
      <c r="V2752">
        <v>-0.187417</v>
      </c>
      <c r="W2752">
        <v>0.21410899999999999</v>
      </c>
      <c r="X2752">
        <v>0.95866169999999995</v>
      </c>
      <c r="Y2752">
        <v>-0.3311539</v>
      </c>
      <c r="Z2752">
        <v>-4.5289509999999998E-3</v>
      </c>
      <c r="AA2752">
        <v>0.94356589999999996</v>
      </c>
      <c r="AB2752">
        <v>29</v>
      </c>
      <c r="AC2752">
        <v>-25.645800000000001</v>
      </c>
      <c r="AD2752">
        <v>-1.0728432400000001</v>
      </c>
      <c r="AE2752">
        <v>-14.930499999999901</v>
      </c>
      <c r="AF2752">
        <v>-9.9071062654346491</v>
      </c>
      <c r="AG2752">
        <v>-1.0728432400000001</v>
      </c>
      <c r="AH2752">
        <v>27.931678312306701</v>
      </c>
      <c r="AI2752">
        <v>92.073197098805693</v>
      </c>
      <c r="AJ2752">
        <v>109.529122124694</v>
      </c>
      <c r="AK2752">
        <v>29.656034807681401</v>
      </c>
      <c r="AL2752">
        <v>77.636740766220299</v>
      </c>
      <c r="AM2752">
        <v>101.061726442089</v>
      </c>
      <c r="AN2752">
        <v>1.00000002540844</v>
      </c>
    </row>
    <row r="2753" spans="1:40" x14ac:dyDescent="0.25">
      <c r="A2753" t="str">
        <f>"20190304155647716"</f>
        <v>20190304155647716</v>
      </c>
      <c r="B2753" t="str">
        <f>"1551686207707157"</f>
        <v>1551686207707157</v>
      </c>
      <c r="C2753" t="s">
        <v>40</v>
      </c>
      <c r="D2753">
        <v>4.4882030000000004</v>
      </c>
      <c r="E2753">
        <v>0.44043900000000002</v>
      </c>
      <c r="F2753" t="s">
        <v>53</v>
      </c>
      <c r="G2753">
        <v>-496.43540000000002</v>
      </c>
      <c r="H2753" s="1">
        <v>6.3273299999999995E-7</v>
      </c>
      <c r="I2753">
        <v>271.43520000000001</v>
      </c>
      <c r="J2753">
        <v>-474.58539999999999</v>
      </c>
      <c r="K2753">
        <v>1.1169610000000001</v>
      </c>
      <c r="L2753">
        <v>284.05279999999999</v>
      </c>
      <c r="M2753">
        <v>-0.98101649999999996</v>
      </c>
      <c r="N2753">
        <v>-1.4674980000000001E-2</v>
      </c>
      <c r="O2753">
        <v>-0.1933684</v>
      </c>
      <c r="P2753">
        <v>-0.90707729999999998</v>
      </c>
      <c r="Q2753">
        <v>0.20316329999999999</v>
      </c>
      <c r="R2753">
        <v>-0.36869410000000002</v>
      </c>
      <c r="S2753">
        <v>-2.7111510000000001</v>
      </c>
      <c r="T2753">
        <v>-0.13685810000000001</v>
      </c>
      <c r="U2753">
        <v>-1.55365</v>
      </c>
      <c r="V2753">
        <v>-0.1897076</v>
      </c>
      <c r="W2753">
        <v>0.21429210000000001</v>
      </c>
      <c r="X2753">
        <v>0.95817010000000002</v>
      </c>
      <c r="Y2753">
        <v>-0.31970530000000003</v>
      </c>
      <c r="Z2753">
        <v>-3.7878679999999998E-3</v>
      </c>
      <c r="AA2753">
        <v>0.9475095</v>
      </c>
      <c r="AB2753">
        <v>29</v>
      </c>
      <c r="AC2753">
        <v>-21.85</v>
      </c>
      <c r="AD2753">
        <v>-1.1169603672669901</v>
      </c>
      <c r="AE2753">
        <v>-12.6175999999999</v>
      </c>
      <c r="AF2753">
        <v>-8.1379041135516506</v>
      </c>
      <c r="AG2753">
        <v>-1.1169603672669901</v>
      </c>
      <c r="AH2753">
        <v>23.830924471083399</v>
      </c>
      <c r="AI2753">
        <v>92.539708002283803</v>
      </c>
      <c r="AJ2753">
        <v>108.854268238019</v>
      </c>
      <c r="AK2753">
        <v>25.206865036530999</v>
      </c>
      <c r="AL2753">
        <v>77.626000422159393</v>
      </c>
      <c r="AM2753">
        <v>101.19912601845</v>
      </c>
      <c r="AN2753">
        <v>1.00000000907709</v>
      </c>
    </row>
    <row r="2754" spans="1:40" x14ac:dyDescent="0.25">
      <c r="A2754" t="str">
        <f>"20190304155647738"</f>
        <v>20190304155647738</v>
      </c>
      <c r="B2754" t="str">
        <f>"1551686207727652"</f>
        <v>1551686207727652</v>
      </c>
      <c r="C2754" t="s">
        <v>40</v>
      </c>
      <c r="D2754">
        <v>4.4582490000000004</v>
      </c>
      <c r="E2754">
        <v>0.44071840000000001</v>
      </c>
      <c r="F2754" t="s">
        <v>53</v>
      </c>
      <c r="G2754">
        <v>-496.63529999999997</v>
      </c>
      <c r="H2754" s="1">
        <v>5.3374819999999895E-7</v>
      </c>
      <c r="I2754">
        <v>271.12630000000001</v>
      </c>
      <c r="J2754">
        <v>-474.86279999999999</v>
      </c>
      <c r="K2754">
        <v>1.1171199999999999</v>
      </c>
      <c r="L2754">
        <v>283.9889</v>
      </c>
      <c r="M2754">
        <v>-0.97931400000000002</v>
      </c>
      <c r="N2754">
        <v>-1.4700059999999999E-2</v>
      </c>
      <c r="O2754">
        <v>-0.2018123</v>
      </c>
      <c r="P2754">
        <v>-0.90278159999999996</v>
      </c>
      <c r="Q2754">
        <v>0.2040505</v>
      </c>
      <c r="R2754">
        <v>-0.37861450000000002</v>
      </c>
      <c r="S2754">
        <v>-2.6955870000000002</v>
      </c>
      <c r="T2754">
        <v>-0.13654759999999999</v>
      </c>
      <c r="U2754">
        <v>-1.5802609999999999</v>
      </c>
      <c r="V2754">
        <v>-0.19209970000000001</v>
      </c>
      <c r="W2754">
        <v>0.21508379999999999</v>
      </c>
      <c r="X2754">
        <v>0.95751589999999998</v>
      </c>
      <c r="Y2754">
        <v>-0.320893599999999</v>
      </c>
      <c r="Z2754">
        <v>-3.575684E-3</v>
      </c>
      <c r="AA2754">
        <v>0.94710850000000002</v>
      </c>
      <c r="AB2754">
        <v>29</v>
      </c>
      <c r="AC2754">
        <v>-21.772499999999901</v>
      </c>
      <c r="AD2754">
        <v>-1.1171194662518</v>
      </c>
      <c r="AE2754">
        <v>-12.862599999999899</v>
      </c>
      <c r="AF2754">
        <v>-8.1874737174321002</v>
      </c>
      <c r="AG2754">
        <v>-1.1171194662518</v>
      </c>
      <c r="AH2754">
        <v>23.873937347967601</v>
      </c>
      <c r="AI2754">
        <v>92.534365792875093</v>
      </c>
      <c r="AJ2754">
        <v>108.929205066227</v>
      </c>
      <c r="AK2754">
        <v>25.263562026567101</v>
      </c>
      <c r="AL2754">
        <v>77.579556506337994</v>
      </c>
      <c r="AM2754">
        <v>101.344250020327</v>
      </c>
      <c r="AN2754">
        <v>1.00000001725766</v>
      </c>
    </row>
    <row r="2755" spans="1:40" x14ac:dyDescent="0.25">
      <c r="A2755" t="str">
        <f>"20190304155647753"</f>
        <v>20190304155647753</v>
      </c>
      <c r="B2755" t="str">
        <f>"1551686207747777"</f>
        <v>1551686207747777</v>
      </c>
      <c r="C2755" t="s">
        <v>40</v>
      </c>
      <c r="D2755">
        <v>4.5502529999999997</v>
      </c>
      <c r="E2755">
        <v>0.44085770000000002</v>
      </c>
      <c r="F2755" t="s">
        <v>53</v>
      </c>
      <c r="G2755">
        <v>-497.15069999999997</v>
      </c>
      <c r="H2755" s="1">
        <v>3.531785E-7</v>
      </c>
      <c r="I2755">
        <v>270.61540000000002</v>
      </c>
      <c r="J2755">
        <v>-475.048</v>
      </c>
      <c r="K2755">
        <v>1.117224</v>
      </c>
      <c r="L2755">
        <v>283.94479999999999</v>
      </c>
      <c r="M2755">
        <v>-0.97810839999999999</v>
      </c>
      <c r="N2755">
        <v>-1.471651E-2</v>
      </c>
      <c r="O2755">
        <v>-0.20757500000000001</v>
      </c>
      <c r="P2755">
        <v>-0.90003319999999998</v>
      </c>
      <c r="Q2755">
        <v>0.20432890000000001</v>
      </c>
      <c r="R2755">
        <v>-0.38495449999999998</v>
      </c>
      <c r="S2755">
        <v>-2.6791990000000001</v>
      </c>
      <c r="T2755">
        <v>-0.1342874</v>
      </c>
      <c r="U2755">
        <v>-1.607605</v>
      </c>
      <c r="V2755">
        <v>-0.19327150000000001</v>
      </c>
      <c r="W2755">
        <v>0.21530679999999999</v>
      </c>
      <c r="X2755">
        <v>0.95722989999999997</v>
      </c>
      <c r="Y2755">
        <v>-0.32498110000000002</v>
      </c>
      <c r="Z2755">
        <v>-3.561725E-3</v>
      </c>
      <c r="AA2755">
        <v>0.94571380000000005</v>
      </c>
      <c r="AB2755">
        <v>29</v>
      </c>
      <c r="AC2755">
        <v>-22.102699999999899</v>
      </c>
      <c r="AD2755">
        <v>-1.1172236468215</v>
      </c>
      <c r="AE2755">
        <v>-13.3293999999999</v>
      </c>
      <c r="AF2755">
        <v>-8.4347420686322501</v>
      </c>
      <c r="AG2755">
        <v>-1.1172236468215</v>
      </c>
      <c r="AH2755">
        <v>24.342719626636999</v>
      </c>
      <c r="AI2755">
        <v>92.483136569773805</v>
      </c>
      <c r="AJ2755">
        <v>109.11117947902299</v>
      </c>
      <c r="AK2755">
        <v>25.7868389156645</v>
      </c>
      <c r="AL2755">
        <v>77.566472622008803</v>
      </c>
      <c r="AM2755">
        <v>101.41495921735699</v>
      </c>
      <c r="AN2755">
        <v>0.99999998614624896</v>
      </c>
    </row>
    <row r="2756" spans="1:40" x14ac:dyDescent="0.25">
      <c r="A2756" t="str">
        <f>"20190304155647768"</f>
        <v>20190304155647768</v>
      </c>
      <c r="B2756" t="str">
        <f>"1551686207757536"</f>
        <v>1551686207757536</v>
      </c>
      <c r="C2756" t="s">
        <v>40</v>
      </c>
      <c r="D2756">
        <v>4.4655649999999998</v>
      </c>
      <c r="E2756">
        <v>0.4408958</v>
      </c>
      <c r="F2756" t="s">
        <v>53</v>
      </c>
      <c r="G2756">
        <v>-497.3657</v>
      </c>
      <c r="H2756" s="1">
        <v>2.5861239999999998E-7</v>
      </c>
      <c r="I2756">
        <v>270.34789999999998</v>
      </c>
      <c r="J2756">
        <v>-475.23079999999999</v>
      </c>
      <c r="K2756">
        <v>1.117326</v>
      </c>
      <c r="L2756">
        <v>283.89999999999998</v>
      </c>
      <c r="M2756">
        <v>-0.97686090000000003</v>
      </c>
      <c r="N2756">
        <v>-1.47335E-2</v>
      </c>
      <c r="O2756">
        <v>-0.2133678</v>
      </c>
      <c r="P2756">
        <v>-0.89744179999999996</v>
      </c>
      <c r="Q2756">
        <v>0.2045083</v>
      </c>
      <c r="R2756">
        <v>-0.3908643</v>
      </c>
      <c r="S2756">
        <v>-2.6682429999999999</v>
      </c>
      <c r="T2756">
        <v>-0.13357260000000001</v>
      </c>
      <c r="U2756">
        <v>-1.62561</v>
      </c>
      <c r="V2756">
        <v>-0.19396070000000001</v>
      </c>
      <c r="W2756">
        <v>0.21544099999999999</v>
      </c>
      <c r="X2756">
        <v>0.95706029999999997</v>
      </c>
      <c r="Y2756">
        <v>-0.32575959999999998</v>
      </c>
      <c r="Z2756">
        <v>-3.4276520000000002E-3</v>
      </c>
      <c r="AA2756">
        <v>0.94544640000000002</v>
      </c>
      <c r="AB2756">
        <v>29</v>
      </c>
      <c r="AC2756">
        <v>-22.134899999999998</v>
      </c>
      <c r="AD2756">
        <v>-1.1173257413876001</v>
      </c>
      <c r="AE2756">
        <v>-13.5520999999999</v>
      </c>
      <c r="AF2756">
        <v>-8.5008109585990894</v>
      </c>
      <c r="AG2756">
        <v>-1.1173257413876001</v>
      </c>
      <c r="AH2756">
        <v>24.4716063194493</v>
      </c>
      <c r="AI2756">
        <v>92.469631774257607</v>
      </c>
      <c r="AJ2756">
        <v>109.155921045371</v>
      </c>
      <c r="AK2756">
        <v>25.9301315002512</v>
      </c>
      <c r="AL2756">
        <v>77.558598887809197</v>
      </c>
      <c r="AM2756">
        <v>101.456566644727</v>
      </c>
      <c r="AN2756">
        <v>0.99999999773078996</v>
      </c>
    </row>
    <row r="2757" spans="1:40" x14ac:dyDescent="0.25">
      <c r="A2757" t="str">
        <f>"20190304155647783"</f>
        <v>20190304155647783</v>
      </c>
      <c r="B2757" t="str">
        <f>"1551686207777056"</f>
        <v>1551686207777056</v>
      </c>
      <c r="C2757" t="s">
        <v>40</v>
      </c>
      <c r="D2757">
        <v>4.7161099999999996</v>
      </c>
      <c r="E2757">
        <v>0.442189</v>
      </c>
      <c r="F2757" t="s">
        <v>53</v>
      </c>
      <c r="G2757">
        <v>-497.63589999999999</v>
      </c>
      <c r="H2757" s="1">
        <v>1.5183670000000001E-7</v>
      </c>
      <c r="I2757">
        <v>270.04590000000002</v>
      </c>
      <c r="J2757">
        <v>-475.41699999999997</v>
      </c>
      <c r="K2757">
        <v>1.117437</v>
      </c>
      <c r="L2757">
        <v>283.85289999999998</v>
      </c>
      <c r="M2757">
        <v>-0.97552329999999998</v>
      </c>
      <c r="N2757">
        <v>-1.475248E-2</v>
      </c>
      <c r="O2757">
        <v>-0.2194007</v>
      </c>
      <c r="P2757">
        <v>-0.89429559999999997</v>
      </c>
      <c r="Q2757">
        <v>0.20431250000000001</v>
      </c>
      <c r="R2757">
        <v>-0.39811069999999998</v>
      </c>
      <c r="S2757">
        <v>-2.6573790000000002</v>
      </c>
      <c r="T2757">
        <v>-0.13252159999999999</v>
      </c>
      <c r="U2757">
        <v>-1.6431880000000001</v>
      </c>
      <c r="V2757">
        <v>-0.19583719999999999</v>
      </c>
      <c r="W2757">
        <v>0.21517600000000001</v>
      </c>
      <c r="X2757">
        <v>0.95673770000000002</v>
      </c>
      <c r="Y2757">
        <v>-0.32617479999999999</v>
      </c>
      <c r="Z2757">
        <v>-3.284473E-3</v>
      </c>
      <c r="AA2757">
        <v>0.94530369999999997</v>
      </c>
      <c r="AB2757">
        <v>29</v>
      </c>
      <c r="AC2757">
        <v>-22.218900000000001</v>
      </c>
      <c r="AD2757">
        <v>-1.1174368481632999</v>
      </c>
      <c r="AE2757">
        <v>-13.806999999999899</v>
      </c>
      <c r="AF2757">
        <v>-8.5794883081115305</v>
      </c>
      <c r="AG2757">
        <v>-1.1174368481632999</v>
      </c>
      <c r="AH2757">
        <v>24.662007928901701</v>
      </c>
      <c r="AI2757">
        <v>92.450445949388197</v>
      </c>
      <c r="AJ2757">
        <v>109.18190656453299</v>
      </c>
      <c r="AK2757">
        <v>26.135625491345401</v>
      </c>
      <c r="AL2757">
        <v>77.574146622852894</v>
      </c>
      <c r="AM2757">
        <v>101.568226980701</v>
      </c>
      <c r="AN2757">
        <v>0.999999973240564</v>
      </c>
    </row>
    <row r="2758" spans="1:40" x14ac:dyDescent="0.25">
      <c r="A2758" t="str">
        <f>"20190304155647798"</f>
        <v>20190304155647798</v>
      </c>
      <c r="B2758" t="str">
        <f>"1551686207787792"</f>
        <v>1551686207787792</v>
      </c>
      <c r="C2758" t="s">
        <v>40</v>
      </c>
      <c r="D2758">
        <v>4.4577210000000003</v>
      </c>
      <c r="E2758">
        <v>0.4422876</v>
      </c>
      <c r="F2758" t="s">
        <v>53</v>
      </c>
      <c r="G2758">
        <v>-496.39139999999998</v>
      </c>
      <c r="H2758" s="1">
        <v>4.0009030000000001E-7</v>
      </c>
      <c r="I2758">
        <v>270.74810000000002</v>
      </c>
      <c r="J2758">
        <v>-475.60309999999998</v>
      </c>
      <c r="K2758">
        <v>1.117551</v>
      </c>
      <c r="L2758">
        <v>283.80459999999999</v>
      </c>
      <c r="M2758">
        <v>-0.97412330000000003</v>
      </c>
      <c r="N2758">
        <v>-1.477231E-2</v>
      </c>
      <c r="O2758">
        <v>-0.22553429999999999</v>
      </c>
      <c r="P2758">
        <v>-0.89132080000000002</v>
      </c>
      <c r="Q2758">
        <v>0.20414089999999999</v>
      </c>
      <c r="R2758">
        <v>-0.40481299999999998</v>
      </c>
      <c r="S2758">
        <v>-2.6498719999999998</v>
      </c>
      <c r="T2758">
        <v>-0.1411752</v>
      </c>
      <c r="U2758">
        <v>-1.65564</v>
      </c>
      <c r="V2758">
        <v>-0.19705259999999999</v>
      </c>
      <c r="W2758">
        <v>0.21494550000000001</v>
      </c>
      <c r="X2758">
        <v>0.95653999999999995</v>
      </c>
      <c r="Y2758">
        <v>-0.32460250000000002</v>
      </c>
      <c r="Z2758">
        <v>-2.887452E-3</v>
      </c>
      <c r="AA2758">
        <v>0.94584610000000002</v>
      </c>
      <c r="AB2758">
        <v>29</v>
      </c>
      <c r="AC2758">
        <v>-20.7882999999999</v>
      </c>
      <c r="AD2758">
        <v>-1.1175505999097</v>
      </c>
      <c r="AE2758">
        <v>-13.0564999999999</v>
      </c>
      <c r="AF2758">
        <v>-8.0144322986593597</v>
      </c>
      <c r="AG2758">
        <v>-1.1175505999097</v>
      </c>
      <c r="AH2758">
        <v>23.149608830383698</v>
      </c>
      <c r="AI2758">
        <v>92.611945863675302</v>
      </c>
      <c r="AJ2758">
        <v>109.095936800364</v>
      </c>
      <c r="AK2758">
        <v>24.523140773826899</v>
      </c>
      <c r="AL2758">
        <v>77.587670490323006</v>
      </c>
      <c r="AM2758">
        <v>101.640408414692</v>
      </c>
      <c r="AN2758">
        <v>1.0000000333685</v>
      </c>
    </row>
    <row r="2759" spans="1:40" x14ac:dyDescent="0.25">
      <c r="A2759" t="str">
        <f>"20190304155647816"</f>
        <v>20190304155647816</v>
      </c>
      <c r="B2759" t="str">
        <f>"1551686207807313"</f>
        <v>1551686207807313</v>
      </c>
      <c r="C2759" t="s">
        <v>40</v>
      </c>
      <c r="D2759">
        <v>4.4628759999999996</v>
      </c>
      <c r="E2759">
        <v>0.44236130000000001</v>
      </c>
      <c r="F2759" t="s">
        <v>53</v>
      </c>
      <c r="G2759">
        <v>-496.44380000000001</v>
      </c>
      <c r="H2759" s="1">
        <v>3.3971270000000002E-7</v>
      </c>
      <c r="I2759">
        <v>270.57729999999998</v>
      </c>
      <c r="J2759">
        <v>-475.80619999999999</v>
      </c>
      <c r="K2759">
        <v>1.117677</v>
      </c>
      <c r="L2759">
        <v>283.75040000000001</v>
      </c>
      <c r="M2759">
        <v>-0.97251829999999995</v>
      </c>
      <c r="N2759">
        <v>-1.479507E-2</v>
      </c>
      <c r="O2759">
        <v>-0.23235549999999999</v>
      </c>
      <c r="P2759">
        <v>-0.88804889999999903</v>
      </c>
      <c r="Q2759">
        <v>0.2039299</v>
      </c>
      <c r="R2759">
        <v>-0.41204560000000001</v>
      </c>
      <c r="S2759">
        <v>-2.637848</v>
      </c>
      <c r="T2759">
        <v>-0.1414504</v>
      </c>
      <c r="U2759">
        <v>-1.674194</v>
      </c>
      <c r="V2759">
        <v>-0.1981831</v>
      </c>
      <c r="W2759">
        <v>0.21467169999999999</v>
      </c>
      <c r="X2759">
        <v>0.95636790000000005</v>
      </c>
      <c r="Y2759">
        <v>-0.32466869999999998</v>
      </c>
      <c r="Z2759">
        <v>-2.6687099999999999E-3</v>
      </c>
      <c r="AA2759">
        <v>0.945824</v>
      </c>
      <c r="AB2759">
        <v>29</v>
      </c>
      <c r="AC2759">
        <v>-20.637599999999999</v>
      </c>
      <c r="AD2759">
        <v>-1.1176766602873001</v>
      </c>
      <c r="AE2759">
        <v>-13.1731</v>
      </c>
      <c r="AF2759">
        <v>-8.0000275374792196</v>
      </c>
      <c r="AG2759">
        <v>-1.1176766602873001</v>
      </c>
      <c r="AH2759">
        <v>23.0857107900937</v>
      </c>
      <c r="AI2759">
        <v>92.619189941793195</v>
      </c>
      <c r="AJ2759">
        <v>109.113037434924</v>
      </c>
      <c r="AK2759">
        <v>24.458121031698798</v>
      </c>
      <c r="AL2759">
        <v>77.603732867669507</v>
      </c>
      <c r="AM2759">
        <v>101.707400533636</v>
      </c>
      <c r="AN2759">
        <v>1.00000002002845</v>
      </c>
    </row>
    <row r="2760" spans="1:40" x14ac:dyDescent="0.25">
      <c r="A2760" t="str">
        <f>"20190304155647833"</f>
        <v>20190304155647833</v>
      </c>
      <c r="B2760" t="str">
        <f>"1551686207827808"</f>
        <v>1551686207827808</v>
      </c>
      <c r="C2760" t="s">
        <v>40</v>
      </c>
      <c r="D2760">
        <v>4.4408669999999999</v>
      </c>
      <c r="E2760">
        <v>0.4426947</v>
      </c>
      <c r="F2760" t="s">
        <v>53</v>
      </c>
      <c r="G2760">
        <v>-496.54849999999999</v>
      </c>
      <c r="H2760" s="1">
        <v>2.6081880000000002E-7</v>
      </c>
      <c r="I2760">
        <v>270.35419999999999</v>
      </c>
      <c r="J2760">
        <v>-476.01249999999999</v>
      </c>
      <c r="K2760">
        <v>1.117812</v>
      </c>
      <c r="L2760">
        <v>283.69369999999998</v>
      </c>
      <c r="M2760">
        <v>-0.97080370000000005</v>
      </c>
      <c r="N2760">
        <v>-1.481944E-2</v>
      </c>
      <c r="O2760">
        <v>-0.2394173</v>
      </c>
      <c r="P2760">
        <v>-0.88430450000000005</v>
      </c>
      <c r="Q2760">
        <v>0.20281569999999999</v>
      </c>
      <c r="R2760">
        <v>-0.42056100000000002</v>
      </c>
      <c r="S2760">
        <v>-2.624298</v>
      </c>
      <c r="T2760">
        <v>-0.14140820000000001</v>
      </c>
      <c r="U2760">
        <v>-1.69488499999999</v>
      </c>
      <c r="V2760">
        <v>-0.2004213</v>
      </c>
      <c r="W2760">
        <v>0.21347269999999999</v>
      </c>
      <c r="X2760">
        <v>0.95616979999999996</v>
      </c>
      <c r="Y2760">
        <v>-0.32528469999999998</v>
      </c>
      <c r="Z2760">
        <v>-2.4664750000000001E-3</v>
      </c>
      <c r="AA2760">
        <v>0.94561289999999998</v>
      </c>
      <c r="AB2760">
        <v>29</v>
      </c>
      <c r="AC2760">
        <v>-20.535999999999898</v>
      </c>
      <c r="AD2760">
        <v>-1.1178117391811999</v>
      </c>
      <c r="AE2760">
        <v>-13.3394999999999</v>
      </c>
      <c r="AF2760">
        <v>-8.0175384551516409</v>
      </c>
      <c r="AG2760">
        <v>-1.1178117391811999</v>
      </c>
      <c r="AH2760">
        <v>23.0845709544278</v>
      </c>
      <c r="AI2760">
        <v>92.619006954836706</v>
      </c>
      <c r="AJ2760">
        <v>109.152705514677</v>
      </c>
      <c r="AK2760">
        <v>24.462784839713098</v>
      </c>
      <c r="AL2760">
        <v>77.674060474525305</v>
      </c>
      <c r="AM2760">
        <v>101.838292564811</v>
      </c>
      <c r="AN2760">
        <v>0.999999988785509</v>
      </c>
    </row>
    <row r="2761" spans="1:40" x14ac:dyDescent="0.25">
      <c r="A2761" t="str">
        <f>"20190304155647851"</f>
        <v>20190304155647851</v>
      </c>
      <c r="B2761" t="str">
        <f>"1551686207847328"</f>
        <v>1551686207847328</v>
      </c>
      <c r="C2761" t="s">
        <v>40</v>
      </c>
      <c r="D2761">
        <v>4.4968370000000002</v>
      </c>
      <c r="E2761">
        <v>0.44292409999999999</v>
      </c>
      <c r="F2761" t="s">
        <v>53</v>
      </c>
      <c r="G2761">
        <v>-496.02429999999998</v>
      </c>
      <c r="H2761" s="1">
        <v>3.2303380000000002E-7</v>
      </c>
      <c r="I2761">
        <v>270.53019999999998</v>
      </c>
      <c r="J2761">
        <v>-476.24329999999998</v>
      </c>
      <c r="K2761">
        <v>1.1179600000000001</v>
      </c>
      <c r="L2761">
        <v>283.62799999999999</v>
      </c>
      <c r="M2761">
        <v>-0.96877659999999999</v>
      </c>
      <c r="N2761">
        <v>-1.484746E-2</v>
      </c>
      <c r="O2761">
        <v>-0.24749019999999999</v>
      </c>
      <c r="P2761">
        <v>-0.88005059999999902</v>
      </c>
      <c r="Q2761">
        <v>0.20169599999999999</v>
      </c>
      <c r="R2761">
        <v>-0.42991829999999998</v>
      </c>
      <c r="S2761">
        <v>-2.6095890000000002</v>
      </c>
      <c r="T2761">
        <v>-0.14576520000000001</v>
      </c>
      <c r="U2761">
        <v>-1.71655299999999</v>
      </c>
      <c r="V2761">
        <v>-0.20260600000000001</v>
      </c>
      <c r="W2761">
        <v>0.2122646</v>
      </c>
      <c r="X2761">
        <v>0.95597829999999995</v>
      </c>
      <c r="Y2761">
        <v>-0.32532990000000001</v>
      </c>
      <c r="Z2761">
        <v>-2.093705E-3</v>
      </c>
      <c r="AA2761">
        <v>0.9455983</v>
      </c>
      <c r="AB2761">
        <v>29</v>
      </c>
      <c r="AC2761">
        <v>-19.780999999999999</v>
      </c>
      <c r="AD2761">
        <v>-1.1179596769661999</v>
      </c>
      <c r="AE2761">
        <v>-13.097799999999999</v>
      </c>
      <c r="AF2761">
        <v>-7.7768287564895102</v>
      </c>
      <c r="AG2761">
        <v>-1.1179596769661999</v>
      </c>
      <c r="AH2761">
        <v>22.357770330484399</v>
      </c>
      <c r="AI2761">
        <v>92.7039391068231</v>
      </c>
      <c r="AJ2761">
        <v>109.179494939241</v>
      </c>
      <c r="AK2761">
        <v>23.6980757340712</v>
      </c>
      <c r="AL2761">
        <v>77.744903069078106</v>
      </c>
      <c r="AM2761">
        <v>101.965964669624</v>
      </c>
      <c r="AN2761">
        <v>0.99999998086002495</v>
      </c>
    </row>
    <row r="2762" spans="1:40" x14ac:dyDescent="0.25">
      <c r="A2762" t="str">
        <f>"20190304155647872"</f>
        <v>20190304155647872</v>
      </c>
      <c r="B2762" t="str">
        <f>"1551686207867824"</f>
        <v>1551686207867824</v>
      </c>
      <c r="C2762" t="s">
        <v>40</v>
      </c>
      <c r="D2762">
        <v>4.4854810000000001</v>
      </c>
      <c r="E2762">
        <v>0.44321519999999998</v>
      </c>
      <c r="F2762" t="s">
        <v>53</v>
      </c>
      <c r="G2762">
        <v>-495.57420000000002</v>
      </c>
      <c r="H2762" s="1">
        <v>3.6114000000000002E-7</v>
      </c>
      <c r="I2762">
        <v>270.6379</v>
      </c>
      <c r="J2762">
        <v>-476.50650000000002</v>
      </c>
      <c r="K2762">
        <v>1.1181099999999999</v>
      </c>
      <c r="L2762">
        <v>283.55020000000002</v>
      </c>
      <c r="M2762">
        <v>-0.96631940000000005</v>
      </c>
      <c r="N2762">
        <v>-1.487906E-2</v>
      </c>
      <c r="O2762">
        <v>-0.25691510000000001</v>
      </c>
      <c r="P2762">
        <v>-0.87514159999999996</v>
      </c>
      <c r="Q2762">
        <v>0.2005084</v>
      </c>
      <c r="R2762">
        <v>-0.44036760000000003</v>
      </c>
      <c r="S2762">
        <v>-2.592285</v>
      </c>
      <c r="T2762">
        <v>-0.14991930000000001</v>
      </c>
      <c r="U2762">
        <v>-1.7419739999999999</v>
      </c>
      <c r="V2762">
        <v>-0.20467650000000001</v>
      </c>
      <c r="W2762">
        <v>0.21098720000000001</v>
      </c>
      <c r="X2762">
        <v>0.95582</v>
      </c>
      <c r="Y2762">
        <v>-0.32542080000000001</v>
      </c>
      <c r="Z2762">
        <v>-1.657883E-3</v>
      </c>
      <c r="AA2762">
        <v>0.94556779999999996</v>
      </c>
      <c r="AB2762">
        <v>29</v>
      </c>
      <c r="AC2762">
        <v>-19.067699999999999</v>
      </c>
      <c r="AD2762">
        <v>-1.11810963886</v>
      </c>
      <c r="AE2762">
        <v>-12.9123</v>
      </c>
      <c r="AF2762">
        <v>-7.5616389935032799</v>
      </c>
      <c r="AG2762">
        <v>-1.11810963886</v>
      </c>
      <c r="AH2762">
        <v>21.694118233377999</v>
      </c>
      <c r="AI2762">
        <v>92.786277607279104</v>
      </c>
      <c r="AJ2762">
        <v>109.21636327905701</v>
      </c>
      <c r="AK2762">
        <v>23.001376466558799</v>
      </c>
      <c r="AL2762">
        <v>77.819788681027802</v>
      </c>
      <c r="AM2762">
        <v>102.08661437204699</v>
      </c>
      <c r="AN2762">
        <v>0.999999970308044</v>
      </c>
    </row>
    <row r="2763" spans="1:40" x14ac:dyDescent="0.25">
      <c r="A2763" t="str">
        <f>"20190304155647886"</f>
        <v>20190304155647886</v>
      </c>
      <c r="B2763" t="str">
        <f>"1551686207877584"</f>
        <v>1551686207877584</v>
      </c>
      <c r="C2763" t="s">
        <v>40</v>
      </c>
      <c r="D2763">
        <v>4.4513590000000001</v>
      </c>
      <c r="E2763">
        <v>0.44348870000000001</v>
      </c>
      <c r="F2763" t="s">
        <v>53</v>
      </c>
      <c r="G2763">
        <v>-495.14580000000001</v>
      </c>
      <c r="H2763" s="1">
        <v>3.9188920000000001E-7</v>
      </c>
      <c r="I2763">
        <v>270.72489999999999</v>
      </c>
      <c r="J2763">
        <v>-476.67399999999998</v>
      </c>
      <c r="K2763">
        <v>1.1182049999999999</v>
      </c>
      <c r="L2763">
        <v>283.4991</v>
      </c>
      <c r="M2763">
        <v>-0.96467389999999997</v>
      </c>
      <c r="N2763">
        <v>-1.489859E-2</v>
      </c>
      <c r="O2763">
        <v>-0.26302530000000002</v>
      </c>
      <c r="P2763">
        <v>-0.87199680000000002</v>
      </c>
      <c r="Q2763">
        <v>0.19989609999999999</v>
      </c>
      <c r="R2763">
        <v>-0.44683709999999999</v>
      </c>
      <c r="S2763">
        <v>-2.572632</v>
      </c>
      <c r="T2763">
        <v>-0.1543244</v>
      </c>
      <c r="U2763">
        <v>-1.7701720000000001</v>
      </c>
      <c r="V2763">
        <v>-0.20571130000000001</v>
      </c>
      <c r="W2763">
        <v>0.21032529999999999</v>
      </c>
      <c r="X2763">
        <v>0.95574369999999997</v>
      </c>
      <c r="Y2763">
        <v>-0.32982250000000002</v>
      </c>
      <c r="Z2763">
        <v>-1.451424E-3</v>
      </c>
      <c r="AA2763">
        <v>0.94404180000000004</v>
      </c>
      <c r="AB2763">
        <v>29</v>
      </c>
      <c r="AC2763">
        <v>-18.471799999999899</v>
      </c>
      <c r="AD2763">
        <v>-1.1182046081107999</v>
      </c>
      <c r="AE2763">
        <v>-12.7742</v>
      </c>
      <c r="AF2763">
        <v>-7.4467545513383904</v>
      </c>
      <c r="AG2763">
        <v>-1.1182046081107999</v>
      </c>
      <c r="AH2763">
        <v>21.129172556487301</v>
      </c>
      <c r="AI2763">
        <v>92.857437496248295</v>
      </c>
      <c r="AJ2763">
        <v>109.41446969573001</v>
      </c>
      <c r="AK2763">
        <v>22.430926592882798</v>
      </c>
      <c r="AL2763">
        <v>77.858582996382097</v>
      </c>
      <c r="AM2763">
        <v>102.146852560757</v>
      </c>
      <c r="AN2763">
        <v>0.99999994542873305</v>
      </c>
    </row>
    <row r="2764" spans="1:40" x14ac:dyDescent="0.25">
      <c r="A2764" t="str">
        <f>"20190304155647901"</f>
        <v>20190304155647901</v>
      </c>
      <c r="B2764" t="str">
        <f>"1551686207897104"</f>
        <v>1551686207897104</v>
      </c>
      <c r="C2764" t="s">
        <v>40</v>
      </c>
      <c r="D2764">
        <v>4.4516730000000004</v>
      </c>
      <c r="E2764">
        <v>0.44399420000000001</v>
      </c>
      <c r="F2764" t="s">
        <v>53</v>
      </c>
      <c r="G2764">
        <v>-494.92559999999997</v>
      </c>
      <c r="H2764" s="1">
        <v>4.0478600000000001E-7</v>
      </c>
      <c r="I2764">
        <v>270.76139999999998</v>
      </c>
      <c r="J2764">
        <v>-476.85660000000001</v>
      </c>
      <c r="K2764">
        <v>1.118303</v>
      </c>
      <c r="L2764">
        <v>283.44189999999998</v>
      </c>
      <c r="M2764">
        <v>-0.96280140000000003</v>
      </c>
      <c r="N2764">
        <v>-1.4920040000000001E-2</v>
      </c>
      <c r="O2764">
        <v>-0.26979760000000003</v>
      </c>
      <c r="P2764">
        <v>-0.86867490000000003</v>
      </c>
      <c r="Q2764">
        <v>0.1994988</v>
      </c>
      <c r="R2764">
        <v>-0.4534358</v>
      </c>
      <c r="S2764">
        <v>-2.560638</v>
      </c>
      <c r="T2764">
        <v>-0.15688009999999999</v>
      </c>
      <c r="U2764">
        <v>-1.787048</v>
      </c>
      <c r="V2764">
        <v>-0.2062648</v>
      </c>
      <c r="W2764">
        <v>0.2098875</v>
      </c>
      <c r="X2764">
        <v>0.95572069999999998</v>
      </c>
      <c r="Y2764">
        <v>-0.32944459999999998</v>
      </c>
      <c r="Z2764">
        <v>-1.1063659999999999E-3</v>
      </c>
      <c r="AA2764">
        <v>0.94417430000000002</v>
      </c>
      <c r="AB2764">
        <v>29</v>
      </c>
      <c r="AC2764">
        <v>-18.0689999999999</v>
      </c>
      <c r="AD2764">
        <v>-1.118302595214</v>
      </c>
      <c r="AE2764">
        <v>-12.680499999999901</v>
      </c>
      <c r="AF2764">
        <v>-7.3158711632289899</v>
      </c>
      <c r="AG2764">
        <v>-1.118302595214</v>
      </c>
      <c r="AH2764">
        <v>20.767047576329102</v>
      </c>
      <c r="AI2764">
        <v>92.907576228478405</v>
      </c>
      <c r="AJ2764">
        <v>109.406478017221</v>
      </c>
      <c r="AK2764">
        <v>22.046379217661698</v>
      </c>
      <c r="AL2764">
        <v>77.884240377647401</v>
      </c>
      <c r="AM2764">
        <v>102.17884568419601</v>
      </c>
      <c r="AN2764">
        <v>0.99999999339188905</v>
      </c>
    </row>
    <row r="2765" spans="1:40" x14ac:dyDescent="0.25">
      <c r="A2765" t="str">
        <f>"20190304155647915"</f>
        <v>20190304155647915</v>
      </c>
      <c r="B2765" t="str">
        <f>"1551686207907840"</f>
        <v>1551686207907840</v>
      </c>
      <c r="C2765" t="s">
        <v>40</v>
      </c>
      <c r="D2765">
        <v>4.4442709999999996</v>
      </c>
      <c r="E2765">
        <v>0.44426330000000003</v>
      </c>
      <c r="F2765" t="s">
        <v>53</v>
      </c>
      <c r="G2765">
        <v>-494.72149999999999</v>
      </c>
      <c r="H2765" s="1">
        <v>4.2088860000000001E-7</v>
      </c>
      <c r="I2765">
        <v>270.80700000000002</v>
      </c>
      <c r="J2765">
        <v>-477.0215</v>
      </c>
      <c r="K2765">
        <v>1.1183959999999999</v>
      </c>
      <c r="L2765">
        <v>283.38909999999998</v>
      </c>
      <c r="M2765">
        <v>-0.9610419</v>
      </c>
      <c r="N2765">
        <v>-1.4939549999999999E-2</v>
      </c>
      <c r="O2765">
        <v>-0.2759991</v>
      </c>
      <c r="P2765">
        <v>-0.86538549999999903</v>
      </c>
      <c r="Q2765">
        <v>0.19885900000000001</v>
      </c>
      <c r="R2765">
        <v>-0.45996009999999998</v>
      </c>
      <c r="S2765">
        <v>-2.5490719999999998</v>
      </c>
      <c r="T2765">
        <v>-0.15956600000000001</v>
      </c>
      <c r="U2765">
        <v>-1.802826</v>
      </c>
      <c r="V2765">
        <v>-0.20729310000000001</v>
      </c>
      <c r="W2765">
        <v>0.20919889999999999</v>
      </c>
      <c r="X2765">
        <v>0.95564919999999998</v>
      </c>
      <c r="Y2765">
        <v>-0.32926850000000002</v>
      </c>
      <c r="Z2765">
        <v>-7.7264899999999895E-4</v>
      </c>
      <c r="AA2765">
        <v>0.94423599999999996</v>
      </c>
      <c r="AB2765">
        <v>29</v>
      </c>
      <c r="AC2765">
        <v>-17.6999999999999</v>
      </c>
      <c r="AD2765">
        <v>-1.1183955791114</v>
      </c>
      <c r="AE2765">
        <v>-12.582099999999899</v>
      </c>
      <c r="AF2765">
        <v>-7.1884789840610201</v>
      </c>
      <c r="AG2765">
        <v>-1.1183955791114</v>
      </c>
      <c r="AH2765">
        <v>20.431184751061298</v>
      </c>
      <c r="AI2765">
        <v>92.955944785597296</v>
      </c>
      <c r="AJ2765">
        <v>109.383838908792</v>
      </c>
      <c r="AK2765">
        <v>21.687746519813</v>
      </c>
      <c r="AL2765">
        <v>77.924590136227593</v>
      </c>
      <c r="AM2765">
        <v>102.23862389520301</v>
      </c>
      <c r="AN2765">
        <v>1.0000000012647201</v>
      </c>
    </row>
    <row r="2766" spans="1:40" x14ac:dyDescent="0.25">
      <c r="A2766" t="str">
        <f>"20190304155647928"</f>
        <v>20190304155647928</v>
      </c>
      <c r="B2766" t="str">
        <f>"1551686207917601"</f>
        <v>1551686207917601</v>
      </c>
      <c r="C2766" t="s">
        <v>40</v>
      </c>
      <c r="D2766">
        <v>4.4850120000000002</v>
      </c>
      <c r="E2766">
        <v>0.44452540000000001</v>
      </c>
      <c r="F2766" t="s">
        <v>53</v>
      </c>
      <c r="G2766">
        <v>-494.51330000000002</v>
      </c>
      <c r="H2766" s="1">
        <v>4.3369769999999999E-7</v>
      </c>
      <c r="I2766">
        <v>270.84320000000002</v>
      </c>
      <c r="J2766">
        <v>-477.17700000000002</v>
      </c>
      <c r="K2766">
        <v>1.118482</v>
      </c>
      <c r="L2766">
        <v>283.3383</v>
      </c>
      <c r="M2766">
        <v>-0.95932139999999999</v>
      </c>
      <c r="N2766">
        <v>-1.495815E-2</v>
      </c>
      <c r="O2766">
        <v>-0.28192030000000001</v>
      </c>
      <c r="P2766">
        <v>-0.86212809999999995</v>
      </c>
      <c r="Q2766">
        <v>0.19816900000000001</v>
      </c>
      <c r="R2766">
        <v>-0.4663312</v>
      </c>
      <c r="S2766">
        <v>-2.536835</v>
      </c>
      <c r="T2766">
        <v>-0.16220019999999999</v>
      </c>
      <c r="U2766">
        <v>-1.8195190000000001</v>
      </c>
      <c r="V2766">
        <v>-0.20843990000000001</v>
      </c>
      <c r="W2766">
        <v>0.2084588</v>
      </c>
      <c r="X2766">
        <v>0.95556149999999995</v>
      </c>
      <c r="Y2766">
        <v>-0.32970070000000001</v>
      </c>
      <c r="Z2766">
        <v>-4.6162170000000003E-4</v>
      </c>
      <c r="AA2766">
        <v>0.94408539999999996</v>
      </c>
      <c r="AB2766">
        <v>29</v>
      </c>
      <c r="AC2766">
        <v>-17.336300000000001</v>
      </c>
      <c r="AD2766">
        <v>-1.1184815663023</v>
      </c>
      <c r="AE2766">
        <v>-12.4950999999999</v>
      </c>
      <c r="AF2766">
        <v>-7.0807582333361596</v>
      </c>
      <c r="AG2766">
        <v>-1.1184815663023</v>
      </c>
      <c r="AH2766">
        <v>20.100893660523202</v>
      </c>
      <c r="AI2766">
        <v>93.004261490825101</v>
      </c>
      <c r="AJ2766">
        <v>109.405366239987</v>
      </c>
      <c r="AK2766">
        <v>21.340901202263598</v>
      </c>
      <c r="AL2766">
        <v>77.967950999860193</v>
      </c>
      <c r="AM2766">
        <v>102.305368898995</v>
      </c>
      <c r="AN2766">
        <v>1.00000002174584</v>
      </c>
    </row>
    <row r="2767" spans="1:40" x14ac:dyDescent="0.25">
      <c r="A2767" t="str">
        <f>"20190304155647942"</f>
        <v>20190304155647942</v>
      </c>
      <c r="B2767" t="str">
        <f>"1551686207937626"</f>
        <v>1551686207937626</v>
      </c>
      <c r="C2767" t="s">
        <v>40</v>
      </c>
      <c r="D2767">
        <v>4.4480779999999998</v>
      </c>
      <c r="E2767">
        <v>0.4450807</v>
      </c>
      <c r="F2767" t="s">
        <v>53</v>
      </c>
      <c r="G2767">
        <v>-494.27179999999998</v>
      </c>
      <c r="H2767" s="1">
        <v>4.5588280000000002E-7</v>
      </c>
      <c r="I2767">
        <v>270.90600000000001</v>
      </c>
      <c r="J2767">
        <v>-477.33420000000001</v>
      </c>
      <c r="K2767">
        <v>1.1185639999999999</v>
      </c>
      <c r="L2767">
        <v>283.28530000000001</v>
      </c>
      <c r="M2767">
        <v>-0.95750550000000001</v>
      </c>
      <c r="N2767">
        <v>-1.497895E-2</v>
      </c>
      <c r="O2767">
        <v>-0.288026</v>
      </c>
      <c r="P2767">
        <v>-0.85890679999999997</v>
      </c>
      <c r="Q2767">
        <v>0.1978444</v>
      </c>
      <c r="R2767">
        <v>-0.47237390000000001</v>
      </c>
      <c r="S2767">
        <v>-2.524597</v>
      </c>
      <c r="T2767">
        <v>-0.16517979999999999</v>
      </c>
      <c r="U2767">
        <v>-1.8360289999999999</v>
      </c>
      <c r="V2767">
        <v>-0.2090843</v>
      </c>
      <c r="W2767">
        <v>0.2080941</v>
      </c>
      <c r="X2767">
        <v>0.95550020000000002</v>
      </c>
      <c r="Y2767">
        <v>-0.32989629999999998</v>
      </c>
      <c r="Z2767">
        <v>-1.113638E-4</v>
      </c>
      <c r="AA2767">
        <v>0.9440172</v>
      </c>
      <c r="AB2767">
        <v>29</v>
      </c>
      <c r="AC2767">
        <v>-16.9375999999999</v>
      </c>
      <c r="AD2767">
        <v>-1.1185635441171999</v>
      </c>
      <c r="AE2767">
        <v>-12.379300000000001</v>
      </c>
      <c r="AF2767">
        <v>-6.9557871359470198</v>
      </c>
      <c r="AG2767">
        <v>-1.1185635441171999</v>
      </c>
      <c r="AH2767">
        <v>19.729537473885902</v>
      </c>
      <c r="AI2767">
        <v>93.060642496117296</v>
      </c>
      <c r="AJ2767">
        <v>109.42046052740599</v>
      </c>
      <c r="AK2767">
        <v>20.949673219797599</v>
      </c>
      <c r="AL2767">
        <v>77.989315214074296</v>
      </c>
      <c r="AM2767">
        <v>102.343014699533</v>
      </c>
      <c r="AN2767">
        <v>1.0000000155806601</v>
      </c>
    </row>
    <row r="2768" spans="1:40" x14ac:dyDescent="0.25">
      <c r="A2768" t="str">
        <f>"20190304155647955"</f>
        <v>20190304155647955</v>
      </c>
      <c r="B2768" t="str">
        <f>"1551686207947386"</f>
        <v>1551686207947386</v>
      </c>
      <c r="C2768" t="s">
        <v>40</v>
      </c>
      <c r="D2768">
        <v>4.4375609999999996</v>
      </c>
      <c r="E2768">
        <v>0.44535029999999998</v>
      </c>
      <c r="F2768" t="s">
        <v>53</v>
      </c>
      <c r="G2768">
        <v>-494.1189</v>
      </c>
      <c r="H2768" s="1">
        <v>4.6692190000000001E-7</v>
      </c>
      <c r="I2768">
        <v>270.93720000000002</v>
      </c>
      <c r="J2768">
        <v>-477.49329999999998</v>
      </c>
      <c r="K2768">
        <v>1.1186579999999999</v>
      </c>
      <c r="L2768">
        <v>283.23079999999999</v>
      </c>
      <c r="M2768">
        <v>-0.95560659999999997</v>
      </c>
      <c r="N2768">
        <v>-1.500017E-2</v>
      </c>
      <c r="O2768">
        <v>-0.29426330000000001</v>
      </c>
      <c r="P2768">
        <v>-0.85551379999999999</v>
      </c>
      <c r="Q2768">
        <v>0.1975838</v>
      </c>
      <c r="R2768">
        <v>-0.478599</v>
      </c>
      <c r="S2768">
        <v>-2.51416</v>
      </c>
      <c r="T2768">
        <v>-0.167548799999999</v>
      </c>
      <c r="U2768">
        <v>-1.8496090000000001</v>
      </c>
      <c r="V2768">
        <v>-0.2098207</v>
      </c>
      <c r="W2768">
        <v>0.20779</v>
      </c>
      <c r="X2768">
        <v>0.9554049</v>
      </c>
      <c r="Y2768">
        <v>-0.32891890000000001</v>
      </c>
      <c r="Z2768">
        <v>2.731597E-4</v>
      </c>
      <c r="AA2768">
        <v>0.94435820000000004</v>
      </c>
      <c r="AB2768">
        <v>29</v>
      </c>
      <c r="AC2768">
        <v>-16.625599999999999</v>
      </c>
      <c r="AD2768">
        <v>-1.1186575330780999</v>
      </c>
      <c r="AE2768">
        <v>-12.2935999999999</v>
      </c>
      <c r="AF2768">
        <v>-6.8363037491435001</v>
      </c>
      <c r="AG2768">
        <v>-1.1186575330780999</v>
      </c>
      <c r="AH2768">
        <v>19.450354330308102</v>
      </c>
      <c r="AI2768">
        <v>93.105799625203701</v>
      </c>
      <c r="AJ2768">
        <v>109.36527499650001</v>
      </c>
      <c r="AK2768">
        <v>20.647099728567198</v>
      </c>
      <c r="AL2768">
        <v>78.007127636372999</v>
      </c>
      <c r="AM2768">
        <v>102.386345013303</v>
      </c>
      <c r="AN2768">
        <v>0.99999996659624901</v>
      </c>
    </row>
    <row r="2769" spans="1:40" x14ac:dyDescent="0.25">
      <c r="A2769" t="str">
        <f>"20190304155647968"</f>
        <v>20190304155647968</v>
      </c>
      <c r="B2769" t="str">
        <f>"1551686207957146"</f>
        <v>1551686207957146</v>
      </c>
      <c r="C2769" t="s">
        <v>40</v>
      </c>
      <c r="D2769">
        <v>4.4366620000000001</v>
      </c>
      <c r="E2769">
        <v>0.44563069999999999</v>
      </c>
      <c r="F2769" t="s">
        <v>53</v>
      </c>
      <c r="G2769">
        <v>-494.06330000000003</v>
      </c>
      <c r="H2769" s="1">
        <v>4.4447680000000001E-7</v>
      </c>
      <c r="I2769">
        <v>270.87369999999999</v>
      </c>
      <c r="J2769">
        <v>-477.65910000000002</v>
      </c>
      <c r="K2769">
        <v>1.1187560000000001</v>
      </c>
      <c r="L2769">
        <v>283.1728</v>
      </c>
      <c r="M2769">
        <v>-0.95355310000000004</v>
      </c>
      <c r="N2769">
        <v>-1.502267E-2</v>
      </c>
      <c r="O2769">
        <v>-0.3008499</v>
      </c>
      <c r="P2769">
        <v>-0.85180560000000005</v>
      </c>
      <c r="Q2769">
        <v>0.19721259999999999</v>
      </c>
      <c r="R2769">
        <v>-0.48531869999999999</v>
      </c>
      <c r="S2769">
        <v>-2.5018919999999998</v>
      </c>
      <c r="T2769">
        <v>-0.1689051</v>
      </c>
      <c r="U2769">
        <v>-1.8657840000000001</v>
      </c>
      <c r="V2769">
        <v>-0.2107706</v>
      </c>
      <c r="W2769">
        <v>0.20736879999999999</v>
      </c>
      <c r="X2769">
        <v>0.95528729999999995</v>
      </c>
      <c r="Y2769">
        <v>-0.32854670000000002</v>
      </c>
      <c r="Z2769">
        <v>6.1560839999999896E-4</v>
      </c>
      <c r="AA2769">
        <v>0.94448750000000004</v>
      </c>
      <c r="AB2769">
        <v>28</v>
      </c>
      <c r="AC2769">
        <v>-16.404199999999999</v>
      </c>
      <c r="AD2769">
        <v>-1.1187555555231901</v>
      </c>
      <c r="AE2769">
        <v>-12.299099999999999</v>
      </c>
      <c r="AF2769">
        <v>-6.7732431669570703</v>
      </c>
      <c r="AG2769">
        <v>-1.1187555555231901</v>
      </c>
      <c r="AH2769">
        <v>19.287216571299901</v>
      </c>
      <c r="AI2769">
        <v>93.1325813681607</v>
      </c>
      <c r="AJ2769">
        <v>109.35014492116299</v>
      </c>
      <c r="AK2769">
        <v>20.4725464967104</v>
      </c>
      <c r="AL2769">
        <v>78.031797726263207</v>
      </c>
      <c r="AM2769">
        <v>102.44216207162</v>
      </c>
      <c r="AN2769">
        <v>0.99999994528954295</v>
      </c>
    </row>
    <row r="2770" spans="1:40" x14ac:dyDescent="0.25">
      <c r="A2770" t="str">
        <f>"20190304155647984"</f>
        <v>20190304155647984</v>
      </c>
      <c r="B2770" t="str">
        <f>"1551686207977642"</f>
        <v>1551686207977642</v>
      </c>
      <c r="C2770" t="s">
        <v>40</v>
      </c>
      <c r="D2770">
        <v>4.4634049999999998</v>
      </c>
      <c r="E2770">
        <v>0.44618190000000002</v>
      </c>
      <c r="F2770" t="s">
        <v>53</v>
      </c>
      <c r="G2770">
        <v>-493.9828</v>
      </c>
      <c r="H2770" s="1">
        <v>4.2532060000000001E-7</v>
      </c>
      <c r="I2770">
        <v>270.81950000000001</v>
      </c>
      <c r="J2770">
        <v>-477.83499999999998</v>
      </c>
      <c r="K2770">
        <v>1.1188579999999999</v>
      </c>
      <c r="L2770">
        <v>283.10919999999999</v>
      </c>
      <c r="M2770">
        <v>-0.95128040000000003</v>
      </c>
      <c r="N2770">
        <v>-1.5047380000000001E-2</v>
      </c>
      <c r="O2770">
        <v>-0.30795990000000001</v>
      </c>
      <c r="P2770">
        <v>-0.84769399999999995</v>
      </c>
      <c r="Q2770">
        <v>0.1962255</v>
      </c>
      <c r="R2770">
        <v>-0.49285980000000001</v>
      </c>
      <c r="S2770">
        <v>-2.4884339999999998</v>
      </c>
      <c r="T2770">
        <v>-0.17054759999999999</v>
      </c>
      <c r="U2770">
        <v>-1.8831789999999999</v>
      </c>
      <c r="V2770">
        <v>-0.21208369999999999</v>
      </c>
      <c r="W2770">
        <v>0.2063247</v>
      </c>
      <c r="X2770">
        <v>0.95522280000000004</v>
      </c>
      <c r="Y2770">
        <v>-0.32815299999999997</v>
      </c>
      <c r="Z2770">
        <v>1.0006469999999999E-3</v>
      </c>
      <c r="AA2770">
        <v>0.94462409999999997</v>
      </c>
      <c r="AB2770">
        <v>28</v>
      </c>
      <c r="AC2770">
        <v>-16.1478</v>
      </c>
      <c r="AD2770">
        <v>-1.1188575746793901</v>
      </c>
      <c r="AE2770">
        <v>-12.2896999999999</v>
      </c>
      <c r="AF2770">
        <v>-6.6984726815527997</v>
      </c>
      <c r="AG2770">
        <v>-1.1188575746793901</v>
      </c>
      <c r="AH2770">
        <v>19.089953401637</v>
      </c>
      <c r="AI2770">
        <v>93.165458200361897</v>
      </c>
      <c r="AJ2770">
        <v>109.335459033259</v>
      </c>
      <c r="AK2770">
        <v>20.2619766907032</v>
      </c>
      <c r="AL2770">
        <v>78.092943126718097</v>
      </c>
      <c r="AM2770">
        <v>102.51805947820201</v>
      </c>
      <c r="AN2770">
        <v>0.99999998763780995</v>
      </c>
    </row>
    <row r="2771" spans="1:40" x14ac:dyDescent="0.25">
      <c r="A2771" t="str">
        <f>"20190304155647998"</f>
        <v>20190304155647998</v>
      </c>
      <c r="B2771" t="str">
        <f>"1551686207987402"</f>
        <v>1551686207987402</v>
      </c>
      <c r="C2771" t="s">
        <v>40</v>
      </c>
      <c r="D2771">
        <v>4.4700470000000001</v>
      </c>
      <c r="E2771">
        <v>0.44648599999999999</v>
      </c>
      <c r="F2771" t="s">
        <v>53</v>
      </c>
      <c r="G2771">
        <v>-493.68869999999998</v>
      </c>
      <c r="H2771" s="1">
        <v>4.6431120000000002E-7</v>
      </c>
      <c r="I2771">
        <v>270.9298</v>
      </c>
      <c r="J2771">
        <v>-477.9948</v>
      </c>
      <c r="K2771">
        <v>1.1189469999999999</v>
      </c>
      <c r="L2771">
        <v>283.05020000000002</v>
      </c>
      <c r="M2771">
        <v>-0.94913829999999999</v>
      </c>
      <c r="N2771">
        <v>-1.506939E-2</v>
      </c>
      <c r="O2771">
        <v>-0.31449929999999998</v>
      </c>
      <c r="P2771">
        <v>-0.84411849999999999</v>
      </c>
      <c r="Q2771">
        <v>0.19565270000000001</v>
      </c>
      <c r="R2771">
        <v>-0.4991835</v>
      </c>
      <c r="S2771">
        <v>-2.4743040000000001</v>
      </c>
      <c r="T2771">
        <v>-0.17462069999999999</v>
      </c>
      <c r="U2771">
        <v>-1.9008480000000001</v>
      </c>
      <c r="V2771">
        <v>-0.21264640000000001</v>
      </c>
      <c r="W2771">
        <v>0.20571439999999999</v>
      </c>
      <c r="X2771">
        <v>0.95522929999999995</v>
      </c>
      <c r="Y2771">
        <v>-0.3284936</v>
      </c>
      <c r="Z2771">
        <v>1.4641089999999999E-3</v>
      </c>
      <c r="AA2771">
        <v>0.94450509999999999</v>
      </c>
      <c r="AB2771">
        <v>28</v>
      </c>
      <c r="AC2771">
        <v>-15.6938999999999</v>
      </c>
      <c r="AD2771">
        <v>-1.1189465356888</v>
      </c>
      <c r="AE2771">
        <v>-12.1204</v>
      </c>
      <c r="AF2771">
        <v>-6.5481092641975902</v>
      </c>
      <c r="AG2771">
        <v>-1.1189465356888</v>
      </c>
      <c r="AH2771">
        <v>18.6502730666686</v>
      </c>
      <c r="AI2771">
        <v>93.239971662206003</v>
      </c>
      <c r="AJ2771">
        <v>109.346169859993</v>
      </c>
      <c r="AK2771">
        <v>19.798041866480201</v>
      </c>
      <c r="AL2771">
        <v>78.128676991754901</v>
      </c>
      <c r="AM2771">
        <v>102.550138778755</v>
      </c>
      <c r="AN2771">
        <v>0.999999960689404</v>
      </c>
    </row>
    <row r="2772" spans="1:40" x14ac:dyDescent="0.25">
      <c r="A2772" t="str">
        <f>"20190304155648012"</f>
        <v>20190304155648012</v>
      </c>
      <c r="B2772" t="str">
        <f>"1551686208007900"</f>
        <v>1551686208007900</v>
      </c>
      <c r="C2772" t="s">
        <v>40</v>
      </c>
      <c r="D2772">
        <v>4.4578129999999998</v>
      </c>
      <c r="E2772">
        <v>0.45748369999999999</v>
      </c>
      <c r="F2772" t="s">
        <v>53</v>
      </c>
      <c r="G2772">
        <v>-493.56009999999998</v>
      </c>
      <c r="H2772" s="1">
        <v>4.6275290000000002E-7</v>
      </c>
      <c r="I2772">
        <v>270.92540000000002</v>
      </c>
      <c r="J2772">
        <v>-478.15940000000001</v>
      </c>
      <c r="K2772">
        <v>1.119038</v>
      </c>
      <c r="L2772">
        <v>282.98840000000001</v>
      </c>
      <c r="M2772">
        <v>-0.94685940000000002</v>
      </c>
      <c r="N2772">
        <v>-1.5091459999999999E-2</v>
      </c>
      <c r="O2772">
        <v>-0.32129380000000002</v>
      </c>
      <c r="P2772">
        <v>-0.84012619999999905</v>
      </c>
      <c r="Q2772">
        <v>0.19585420000000001</v>
      </c>
      <c r="R2772">
        <v>-0.50579569999999996</v>
      </c>
      <c r="S2772">
        <v>-2.4612120000000002</v>
      </c>
      <c r="T2772">
        <v>-0.17693029999999901</v>
      </c>
      <c r="U2772">
        <v>-1.917206</v>
      </c>
      <c r="V2772">
        <v>-0.2133678</v>
      </c>
      <c r="W2772">
        <v>0.2058721</v>
      </c>
      <c r="X2772">
        <v>0.95503450000000001</v>
      </c>
      <c r="Y2772">
        <v>-0.32806649999999998</v>
      </c>
      <c r="Z2772">
        <v>1.894422E-3</v>
      </c>
      <c r="AA2772">
        <v>0.94465270000000001</v>
      </c>
      <c r="AB2772">
        <v>28</v>
      </c>
      <c r="AC2772">
        <v>-15.400699999999899</v>
      </c>
      <c r="AD2772">
        <v>-1.1190375372471</v>
      </c>
      <c r="AE2772">
        <v>-12.062999999999899</v>
      </c>
      <c r="AF2772">
        <v>-6.45343563654811</v>
      </c>
      <c r="AG2772">
        <v>-1.1190375372471</v>
      </c>
      <c r="AH2772">
        <v>18.399957803103302</v>
      </c>
      <c r="AI2772">
        <v>93.2845970424939</v>
      </c>
      <c r="AJ2772">
        <v>109.327350252776</v>
      </c>
      <c r="AK2772">
        <v>19.530937603730699</v>
      </c>
      <c r="AL2772">
        <v>78.119444505110906</v>
      </c>
      <c r="AM2772">
        <v>102.59384586996499</v>
      </c>
      <c r="AN2772">
        <v>1.00000001791274</v>
      </c>
    </row>
    <row r="2773" spans="1:40" x14ac:dyDescent="0.25">
      <c r="A2773" t="str">
        <f>"20190304155648029"</f>
        <v>20190304155648029</v>
      </c>
      <c r="B2773" t="str">
        <f>"1551686208017658"</f>
        <v>1551686208017658</v>
      </c>
      <c r="C2773" t="s">
        <v>40</v>
      </c>
      <c r="D2773">
        <v>4.4580250000000001</v>
      </c>
      <c r="E2773">
        <v>0.45791569999999998</v>
      </c>
      <c r="F2773" t="s">
        <v>53</v>
      </c>
      <c r="G2773">
        <v>-492.83879999999999</v>
      </c>
      <c r="H2773" s="1">
        <v>8.5212100000000001E-7</v>
      </c>
      <c r="I2773">
        <v>272.02690000000001</v>
      </c>
      <c r="J2773">
        <v>-478.36180000000002</v>
      </c>
      <c r="K2773">
        <v>1.1191420000000001</v>
      </c>
      <c r="L2773">
        <v>282.91019999999997</v>
      </c>
      <c r="M2773">
        <v>-0.94393930000000004</v>
      </c>
      <c r="N2773">
        <v>-1.5118110000000001E-2</v>
      </c>
      <c r="O2773">
        <v>-0.32977269999999997</v>
      </c>
      <c r="P2773">
        <v>-0.83462109999999901</v>
      </c>
      <c r="Q2773">
        <v>0.19630300000000001</v>
      </c>
      <c r="R2773">
        <v>-0.51465779999999905</v>
      </c>
      <c r="S2773">
        <v>-2.4939879999999999</v>
      </c>
      <c r="T2773">
        <v>-0.1901214</v>
      </c>
      <c r="U2773">
        <v>-1.8623350000000001</v>
      </c>
      <c r="V2773">
        <v>-0.21501129999999999</v>
      </c>
      <c r="W2773">
        <v>0.20625099999999999</v>
      </c>
      <c r="X2773">
        <v>0.95458399999999999</v>
      </c>
      <c r="Y2773">
        <v>-0.30024580000000001</v>
      </c>
      <c r="Z2773">
        <v>4.0934259999999998E-3</v>
      </c>
      <c r="AA2773">
        <v>0.95385310000000001</v>
      </c>
      <c r="AB2773">
        <v>28</v>
      </c>
      <c r="AC2773">
        <v>-14.476999999999901</v>
      </c>
      <c r="AD2773">
        <v>-1.1191411478790001</v>
      </c>
      <c r="AE2773">
        <v>-10.883299999999901</v>
      </c>
      <c r="AF2773">
        <v>-5.4787648421323203</v>
      </c>
      <c r="AG2773">
        <v>-1.1191411478790001</v>
      </c>
      <c r="AH2773">
        <v>17.190759254233601</v>
      </c>
      <c r="AI2773">
        <v>93.549358749078294</v>
      </c>
      <c r="AJ2773">
        <v>107.677291766319</v>
      </c>
      <c r="AK2773">
        <v>18.0773766028503</v>
      </c>
      <c r="AL2773">
        <v>78.097258477104603</v>
      </c>
      <c r="AM2773">
        <v>102.693516896164</v>
      </c>
      <c r="AN2773">
        <v>0.99999997359234405</v>
      </c>
    </row>
    <row r="2774" spans="1:40" x14ac:dyDescent="0.25">
      <c r="A2774" t="str">
        <f>"20190304155648051"</f>
        <v>20190304155648051</v>
      </c>
      <c r="B2774" t="str">
        <f>"1551686208047914"</f>
        <v>1551686208047914</v>
      </c>
      <c r="C2774" t="s">
        <v>40</v>
      </c>
      <c r="D2774">
        <v>4.4746079999999999</v>
      </c>
      <c r="E2774">
        <v>0.45889170000000001</v>
      </c>
      <c r="F2774" t="s">
        <v>53</v>
      </c>
      <c r="G2774">
        <v>-493.03769999999997</v>
      </c>
      <c r="H2774" s="1">
        <v>7.4851530000000003E-7</v>
      </c>
      <c r="I2774">
        <v>271.73379999999997</v>
      </c>
      <c r="J2774">
        <v>-478.61709999999999</v>
      </c>
      <c r="K2774">
        <v>1.119259</v>
      </c>
      <c r="L2774">
        <v>282.8082</v>
      </c>
      <c r="M2774">
        <v>-0.94007209999999997</v>
      </c>
      <c r="N2774">
        <v>-1.5150490000000001E-2</v>
      </c>
      <c r="O2774">
        <v>-0.34063909999999997</v>
      </c>
      <c r="P2774">
        <v>-0.82773629999999998</v>
      </c>
      <c r="Q2774">
        <v>0.1967826</v>
      </c>
      <c r="R2774">
        <v>-0.52548059999999996</v>
      </c>
      <c r="S2774">
        <v>-2.476105</v>
      </c>
      <c r="T2774">
        <v>-0.18882099999999999</v>
      </c>
      <c r="U2774">
        <v>-1.8856809999999999</v>
      </c>
      <c r="V2774">
        <v>-0.21654029999999999</v>
      </c>
      <c r="W2774">
        <v>0.20666209999999999</v>
      </c>
      <c r="X2774">
        <v>0.95414940000000004</v>
      </c>
      <c r="Y2774">
        <v>-0.29827140000000002</v>
      </c>
      <c r="Z2774">
        <v>4.6163910000000001E-3</v>
      </c>
      <c r="AA2774">
        <v>0.95446989999999998</v>
      </c>
      <c r="AB2774">
        <v>28</v>
      </c>
      <c r="AC2774">
        <v>-14.420599999999901</v>
      </c>
      <c r="AD2774">
        <v>-1.1192582514847</v>
      </c>
      <c r="AE2774">
        <v>-11.074400000000001</v>
      </c>
      <c r="AF2774">
        <v>-5.4783857483490497</v>
      </c>
      <c r="AG2774">
        <v>-1.1192582514847</v>
      </c>
      <c r="AH2774">
        <v>17.265341606069001</v>
      </c>
      <c r="AI2774">
        <v>93.535858489287094</v>
      </c>
      <c r="AJ2774">
        <v>107.60451287726499</v>
      </c>
      <c r="AK2774">
        <v>18.148208457461799</v>
      </c>
      <c r="AL2774">
        <v>78.073185884028604</v>
      </c>
      <c r="AM2774">
        <v>102.78645904519701</v>
      </c>
      <c r="AN2774">
        <v>1.00000000131043</v>
      </c>
    </row>
    <row r="2775" spans="1:40" x14ac:dyDescent="0.25">
      <c r="A2775" t="str">
        <f>"20190304155648064"</f>
        <v>20190304155648064</v>
      </c>
      <c r="B2775" t="str">
        <f>"1551686208057674"</f>
        <v>1551686208057674</v>
      </c>
      <c r="C2775" t="s">
        <v>40</v>
      </c>
      <c r="D2775">
        <v>4.5175269999999896</v>
      </c>
      <c r="E2775">
        <v>0.45925339999999998</v>
      </c>
      <c r="F2775" t="s">
        <v>53</v>
      </c>
      <c r="G2775">
        <v>-493.274</v>
      </c>
      <c r="H2775" s="1">
        <v>6.3228949999999999E-7</v>
      </c>
      <c r="I2775">
        <v>271.40499999999997</v>
      </c>
      <c r="J2775">
        <v>-478.7704</v>
      </c>
      <c r="K2775">
        <v>1.1193219999999999</v>
      </c>
      <c r="L2775">
        <v>282.74509999999998</v>
      </c>
      <c r="M2775">
        <v>-0.93765010000000004</v>
      </c>
      <c r="N2775">
        <v>-1.5169E-2</v>
      </c>
      <c r="O2775">
        <v>-0.34724939999999999</v>
      </c>
      <c r="P2775">
        <v>-0.82356609999999997</v>
      </c>
      <c r="Q2775">
        <v>0.19688069999999999</v>
      </c>
      <c r="R2775">
        <v>-0.53195579999999998</v>
      </c>
      <c r="S2775">
        <v>-2.4559329999999999</v>
      </c>
      <c r="T2775">
        <v>-0.18754509999999999</v>
      </c>
      <c r="U2775">
        <v>-1.910736</v>
      </c>
      <c r="V2775">
        <v>-0.2173503</v>
      </c>
      <c r="W2775">
        <v>0.20672460000000001</v>
      </c>
      <c r="X2775">
        <v>0.95395169999999996</v>
      </c>
      <c r="Y2775">
        <v>-0.30141380000000001</v>
      </c>
      <c r="Z2775">
        <v>4.735988E-3</v>
      </c>
      <c r="AA2775">
        <v>0.95348169999999999</v>
      </c>
      <c r="AB2775">
        <v>28</v>
      </c>
      <c r="AC2775">
        <v>-14.5036</v>
      </c>
      <c r="AD2775">
        <v>-1.1193213677104901</v>
      </c>
      <c r="AE2775">
        <v>-11.3401</v>
      </c>
      <c r="AF2775">
        <v>-5.5767102586903796</v>
      </c>
      <c r="AG2775">
        <v>-1.1193213677104901</v>
      </c>
      <c r="AH2775">
        <v>17.474571469483099</v>
      </c>
      <c r="AI2775">
        <v>93.491984356734605</v>
      </c>
      <c r="AJ2775">
        <v>107.699592692728</v>
      </c>
      <c r="AK2775">
        <v>18.376975422404801</v>
      </c>
      <c r="AL2775">
        <v>78.069526204276599</v>
      </c>
      <c r="AM2775">
        <v>102.835279261107</v>
      </c>
      <c r="AN2775">
        <v>1.0000000295440601</v>
      </c>
    </row>
    <row r="2776" spans="1:40" x14ac:dyDescent="0.25">
      <c r="A2776" t="str">
        <f>"20190304155648078"</f>
        <v>20190304155648078</v>
      </c>
      <c r="B2776" t="str">
        <f>"1551686208067434"</f>
        <v>1551686208067434</v>
      </c>
      <c r="C2776" t="s">
        <v>40</v>
      </c>
      <c r="D2776">
        <v>4.5159039999999999</v>
      </c>
      <c r="E2776">
        <v>0.45964640000000001</v>
      </c>
      <c r="F2776" t="s">
        <v>53</v>
      </c>
      <c r="G2776">
        <v>-493.33789999999999</v>
      </c>
      <c r="H2776" s="1">
        <v>5.7731680000000002E-7</v>
      </c>
      <c r="I2776">
        <v>271.24950000000001</v>
      </c>
      <c r="J2776">
        <v>-478.923</v>
      </c>
      <c r="K2776">
        <v>1.119378</v>
      </c>
      <c r="L2776">
        <v>282.68090000000001</v>
      </c>
      <c r="M2776">
        <v>-0.935168</v>
      </c>
      <c r="N2776">
        <v>-1.518656E-2</v>
      </c>
      <c r="O2776">
        <v>-0.353879</v>
      </c>
      <c r="P2776">
        <v>-0.81938559999999905</v>
      </c>
      <c r="Q2776">
        <v>0.19744909999999999</v>
      </c>
      <c r="R2776">
        <v>-0.538165</v>
      </c>
      <c r="S2776">
        <v>-2.4425349999999999</v>
      </c>
      <c r="T2776">
        <v>-0.18767629999999999</v>
      </c>
      <c r="U2776">
        <v>-1.92746</v>
      </c>
      <c r="V2776">
        <v>-0.2178966</v>
      </c>
      <c r="W2776">
        <v>0.2072657</v>
      </c>
      <c r="X2776">
        <v>0.95370960000000005</v>
      </c>
      <c r="Y2776">
        <v>-0.30123559999999999</v>
      </c>
      <c r="Z2776">
        <v>5.0713059999999898E-3</v>
      </c>
      <c r="AA2776">
        <v>0.95353619999999994</v>
      </c>
      <c r="AB2776">
        <v>28</v>
      </c>
      <c r="AC2776">
        <v>-14.4148999999999</v>
      </c>
      <c r="AD2776">
        <v>-1.1193774226831901</v>
      </c>
      <c r="AE2776">
        <v>-11.431399999999901</v>
      </c>
      <c r="AF2776">
        <v>-5.56917608961919</v>
      </c>
      <c r="AG2776">
        <v>-1.1193774226831901</v>
      </c>
      <c r="AH2776">
        <v>17.463057051261501</v>
      </c>
      <c r="AI2776">
        <v>93.494678761095102</v>
      </c>
      <c r="AJ2776">
        <v>107.688099390009</v>
      </c>
      <c r="AK2776">
        <v>18.363743891353199</v>
      </c>
      <c r="AL2776">
        <v>78.037836775924902</v>
      </c>
      <c r="AM2776">
        <v>102.86962515719</v>
      </c>
      <c r="AN2776">
        <v>0.99999999991010502</v>
      </c>
    </row>
    <row r="2777" spans="1:40" x14ac:dyDescent="0.25">
      <c r="A2777" t="str">
        <f>"20190304155648091"</f>
        <v>20190304155648091</v>
      </c>
      <c r="B2777" t="str">
        <f>"1551686208087931"</f>
        <v>1551686208087931</v>
      </c>
      <c r="C2777" t="s">
        <v>40</v>
      </c>
      <c r="D2777">
        <v>4.4990759999999996</v>
      </c>
      <c r="E2777">
        <v>0.46372540000000001</v>
      </c>
      <c r="F2777" t="s">
        <v>53</v>
      </c>
      <c r="G2777">
        <v>-493.49110000000002</v>
      </c>
      <c r="H2777" s="1">
        <v>5.0026060000000001E-7</v>
      </c>
      <c r="I2777">
        <v>271.03149999999999</v>
      </c>
      <c r="J2777">
        <v>-479.07580000000002</v>
      </c>
      <c r="K2777">
        <v>1.1194280000000001</v>
      </c>
      <c r="L2777">
        <v>282.61579999999998</v>
      </c>
      <c r="M2777">
        <v>-0.93261760000000005</v>
      </c>
      <c r="N2777">
        <v>-1.520328E-2</v>
      </c>
      <c r="O2777">
        <v>-0.36054599999999998</v>
      </c>
      <c r="P2777">
        <v>-0.81518119999999905</v>
      </c>
      <c r="Q2777">
        <v>0.197718</v>
      </c>
      <c r="R2777">
        <v>-0.54441479999999998</v>
      </c>
      <c r="S2777">
        <v>-2.4300229999999998</v>
      </c>
      <c r="T2777">
        <v>-0.18671699999999999</v>
      </c>
      <c r="U2777">
        <v>-1.943176</v>
      </c>
      <c r="V2777">
        <v>-0.21843799999999999</v>
      </c>
      <c r="W2777">
        <v>0.20751020000000001</v>
      </c>
      <c r="X2777">
        <v>0.95353259999999995</v>
      </c>
      <c r="Y2777">
        <v>-0.30059370000000002</v>
      </c>
      <c r="Z2777">
        <v>5.3507030000000001E-3</v>
      </c>
      <c r="AA2777">
        <v>0.95373730000000001</v>
      </c>
      <c r="AB2777">
        <v>28</v>
      </c>
      <c r="AC2777">
        <v>-14.4153</v>
      </c>
      <c r="AD2777">
        <v>-1.11942749973939</v>
      </c>
      <c r="AE2777">
        <v>-11.584299999999899</v>
      </c>
      <c r="AF2777">
        <v>-5.5865212486486797</v>
      </c>
      <c r="AG2777">
        <v>-1.11942749973939</v>
      </c>
      <c r="AH2777">
        <v>17.558335137519101</v>
      </c>
      <c r="AI2777">
        <v>93.476661860735206</v>
      </c>
      <c r="AJ2777">
        <v>107.649467134278</v>
      </c>
      <c r="AK2777">
        <v>18.459617287208701</v>
      </c>
      <c r="AL2777">
        <v>78.023516999263606</v>
      </c>
      <c r="AM2777">
        <v>102.902847834062</v>
      </c>
      <c r="AN2777">
        <v>1.00000003110539</v>
      </c>
    </row>
    <row r="2778" spans="1:40" x14ac:dyDescent="0.25">
      <c r="A2778" t="str">
        <f>"20190304155648104"</f>
        <v>20190304155648104</v>
      </c>
      <c r="B2778" t="str">
        <f>"1551686208097691"</f>
        <v>1551686208097691</v>
      </c>
      <c r="C2778" t="s">
        <v>40</v>
      </c>
      <c r="D2778">
        <v>4.4791129999999999</v>
      </c>
      <c r="E2778">
        <v>0.46413450000000001</v>
      </c>
      <c r="F2778" t="s">
        <v>53</v>
      </c>
      <c r="G2778">
        <v>-492.88670000000002</v>
      </c>
      <c r="H2778" s="1">
        <v>7.159223E-7</v>
      </c>
      <c r="I2778">
        <v>271.64159999999998</v>
      </c>
      <c r="J2778">
        <v>-479.21969999999999</v>
      </c>
      <c r="K2778">
        <v>1.119467</v>
      </c>
      <c r="L2778">
        <v>282.55279999999999</v>
      </c>
      <c r="M2778">
        <v>-0.93014149999999995</v>
      </c>
      <c r="N2778">
        <v>-1.521805E-2</v>
      </c>
      <c r="O2778">
        <v>-0.3668862</v>
      </c>
      <c r="P2778">
        <v>-0.81128359999999899</v>
      </c>
      <c r="Q2778">
        <v>0.1979129</v>
      </c>
      <c r="R2778">
        <v>-0.55013630000000002</v>
      </c>
      <c r="S2778">
        <v>-2.4355769999999999</v>
      </c>
      <c r="T2778">
        <v>-0.1974138</v>
      </c>
      <c r="U2778">
        <v>-1.935333</v>
      </c>
      <c r="V2778">
        <v>-0.21869769999999999</v>
      </c>
      <c r="W2778">
        <v>0.20769019999999999</v>
      </c>
      <c r="X2778">
        <v>0.95343389999999995</v>
      </c>
      <c r="Y2778">
        <v>-0.2911608</v>
      </c>
      <c r="Z2778">
        <v>6.7946880000000001E-3</v>
      </c>
      <c r="AA2778">
        <v>0.95665</v>
      </c>
      <c r="AB2778">
        <v>28</v>
      </c>
      <c r="AC2778">
        <v>-13.667</v>
      </c>
      <c r="AD2778">
        <v>-1.1194662840777001</v>
      </c>
      <c r="AE2778">
        <v>-10.911199999999999</v>
      </c>
      <c r="AF2778">
        <v>-5.1143637404661302</v>
      </c>
      <c r="AG2778">
        <v>-1.1194662840777001</v>
      </c>
      <c r="AH2778">
        <v>16.649125201746401</v>
      </c>
      <c r="AI2778">
        <v>93.677600943169296</v>
      </c>
      <c r="AJ2778">
        <v>107.07617942818899</v>
      </c>
      <c r="AK2778">
        <v>17.452887761468201</v>
      </c>
      <c r="AL2778">
        <v>78.012974327666001</v>
      </c>
      <c r="AM2778">
        <v>102.918966074059</v>
      </c>
      <c r="AN2778">
        <v>1.0000000524152599</v>
      </c>
    </row>
    <row r="2779" spans="1:40" x14ac:dyDescent="0.25">
      <c r="A2779" t="str">
        <f>"20190304155648117"</f>
        <v>20190304155648117</v>
      </c>
      <c r="B2779" t="str">
        <f>"1551686208107450"</f>
        <v>1551686208107450</v>
      </c>
      <c r="C2779" t="s">
        <v>40</v>
      </c>
      <c r="D2779">
        <v>4.5230499999999996</v>
      </c>
      <c r="E2779">
        <v>0.46461770000000002</v>
      </c>
      <c r="F2779" t="s">
        <v>53</v>
      </c>
      <c r="G2779">
        <v>-493.16399999999999</v>
      </c>
      <c r="H2779" s="1">
        <v>6.0586759999999999E-7</v>
      </c>
      <c r="I2779">
        <v>271.33030000000002</v>
      </c>
      <c r="J2779">
        <v>-479.3596</v>
      </c>
      <c r="K2779">
        <v>1.119502</v>
      </c>
      <c r="L2779">
        <v>282.4905</v>
      </c>
      <c r="M2779">
        <v>-0.92767710000000003</v>
      </c>
      <c r="N2779">
        <v>-1.523149E-2</v>
      </c>
      <c r="O2779">
        <v>-0.37307289999999999</v>
      </c>
      <c r="P2779">
        <v>-0.8074289</v>
      </c>
      <c r="Q2779">
        <v>0.1977419</v>
      </c>
      <c r="R2779">
        <v>-0.55583899999999997</v>
      </c>
      <c r="S2779">
        <v>-2.422974</v>
      </c>
      <c r="T2779">
        <v>-0.1945199</v>
      </c>
      <c r="U2779">
        <v>-1.950043</v>
      </c>
      <c r="V2779">
        <v>-0.21906610000000001</v>
      </c>
      <c r="W2779">
        <v>0.207505</v>
      </c>
      <c r="X2779">
        <v>0.95338959999999995</v>
      </c>
      <c r="Y2779">
        <v>-0.2907535</v>
      </c>
      <c r="Z2779">
        <v>6.9154890000000004E-3</v>
      </c>
      <c r="AA2779">
        <v>0.95677299999999998</v>
      </c>
      <c r="AB2779">
        <v>28</v>
      </c>
      <c r="AC2779">
        <v>-13.8043999999999</v>
      </c>
      <c r="AD2779">
        <v>-1.1195013941323999</v>
      </c>
      <c r="AE2779">
        <v>-11.1601999999999</v>
      </c>
      <c r="AF2779">
        <v>-5.1830033894182099</v>
      </c>
      <c r="AG2779">
        <v>-1.1195013941323999</v>
      </c>
      <c r="AH2779">
        <v>16.904328071528099</v>
      </c>
      <c r="AI2779">
        <v>93.622927611732905</v>
      </c>
      <c r="AJ2779">
        <v>107.045962131069</v>
      </c>
      <c r="AK2779">
        <v>17.716464519086198</v>
      </c>
      <c r="AL2779">
        <v>78.023821252965107</v>
      </c>
      <c r="AM2779">
        <v>102.94057741018101</v>
      </c>
      <c r="AN2779">
        <v>1.0000000052911799</v>
      </c>
    </row>
    <row r="2780" spans="1:40" x14ac:dyDescent="0.25">
      <c r="A2780" t="str">
        <f>"20190304155648128"</f>
        <v>20190304155648128</v>
      </c>
      <c r="B2780" t="str">
        <f>"1551686208117211"</f>
        <v>1551686208117211</v>
      </c>
      <c r="C2780" t="s">
        <v>40</v>
      </c>
      <c r="D2780">
        <v>4.4823469999999999</v>
      </c>
      <c r="E2780">
        <v>0.46497329999999998</v>
      </c>
      <c r="F2780" t="s">
        <v>53</v>
      </c>
      <c r="G2780">
        <v>-493.01819999999998</v>
      </c>
      <c r="H2780" s="1">
        <v>6.1890260000000002E-7</v>
      </c>
      <c r="I2780">
        <v>271.36709999999999</v>
      </c>
      <c r="J2780">
        <v>-479.50479999999999</v>
      </c>
      <c r="K2780">
        <v>1.1195379999999999</v>
      </c>
      <c r="L2780">
        <v>282.42500000000001</v>
      </c>
      <c r="M2780">
        <v>-0.92505859999999995</v>
      </c>
      <c r="N2780">
        <v>-1.524463E-2</v>
      </c>
      <c r="O2780">
        <v>-0.37951889999999999</v>
      </c>
      <c r="P2780">
        <v>-0.80355650000000001</v>
      </c>
      <c r="Q2780">
        <v>0.19753580000000001</v>
      </c>
      <c r="R2780">
        <v>-0.56149510000000002</v>
      </c>
      <c r="S2780">
        <v>-2.4118040000000001</v>
      </c>
      <c r="T2780">
        <v>-0.19767860000000001</v>
      </c>
      <c r="U2780">
        <v>-1.9641420000000001</v>
      </c>
      <c r="V2780">
        <v>-0.21912119999999999</v>
      </c>
      <c r="W2780">
        <v>0.2072928</v>
      </c>
      <c r="X2780">
        <v>0.95342309999999997</v>
      </c>
      <c r="Y2780">
        <v>-0.28963509999999998</v>
      </c>
      <c r="Z2780">
        <v>7.5312259999999898E-3</v>
      </c>
      <c r="AA2780">
        <v>0.9571075</v>
      </c>
      <c r="AB2780">
        <v>28</v>
      </c>
      <c r="AC2780">
        <v>-13.513399999999899</v>
      </c>
      <c r="AD2780">
        <v>-1.1195373810974001</v>
      </c>
      <c r="AE2780">
        <v>-11.0579</v>
      </c>
      <c r="AF2780">
        <v>-5.0803219256099901</v>
      </c>
      <c r="AG2780">
        <v>-1.1195373810974001</v>
      </c>
      <c r="AH2780">
        <v>16.630938224235798</v>
      </c>
      <c r="AI2780">
        <v>93.683604500715006</v>
      </c>
      <c r="AJ2780">
        <v>106.986557938554</v>
      </c>
      <c r="AK2780">
        <v>17.425588685432</v>
      </c>
      <c r="AL2780">
        <v>78.036249668497504</v>
      </c>
      <c r="AM2780">
        <v>102.94328316763399</v>
      </c>
      <c r="AN2780">
        <v>1.0000000064174399</v>
      </c>
    </row>
    <row r="2781" spans="1:40" x14ac:dyDescent="0.25">
      <c r="A2781" t="str">
        <f>"20190304155648142"</f>
        <v>20190304155648142</v>
      </c>
      <c r="B2781" t="str">
        <f>"1551686208137237"</f>
        <v>1551686208137237</v>
      </c>
      <c r="C2781" t="s">
        <v>40</v>
      </c>
      <c r="D2781">
        <v>4.4817960000000001</v>
      </c>
      <c r="E2781">
        <v>0.4660763</v>
      </c>
      <c r="F2781" t="s">
        <v>53</v>
      </c>
      <c r="G2781">
        <v>-493.08280000000002</v>
      </c>
      <c r="H2781" s="1">
        <v>5.6965680000000002E-7</v>
      </c>
      <c r="I2781">
        <v>271.2278</v>
      </c>
      <c r="J2781">
        <v>-479.63850000000002</v>
      </c>
      <c r="K2781">
        <v>1.1195630000000001</v>
      </c>
      <c r="L2781">
        <v>282.36290000000002</v>
      </c>
      <c r="M2781">
        <v>-0.92257960000000006</v>
      </c>
      <c r="N2781">
        <v>-1.5255940000000001E-2</v>
      </c>
      <c r="O2781">
        <v>-0.38550519999999999</v>
      </c>
      <c r="P2781">
        <v>-0.80003139999999995</v>
      </c>
      <c r="Q2781">
        <v>0.19747709999999999</v>
      </c>
      <c r="R2781">
        <v>-0.566527</v>
      </c>
      <c r="S2781">
        <v>-2.399384</v>
      </c>
      <c r="T2781">
        <v>-0.1978346</v>
      </c>
      <c r="U2781">
        <v>-1.9786680000000001</v>
      </c>
      <c r="V2781">
        <v>-0.2189316</v>
      </c>
      <c r="W2781">
        <v>0.20723639999999999</v>
      </c>
      <c r="X2781">
        <v>0.95347890000000002</v>
      </c>
      <c r="Y2781">
        <v>-0.28932010000000002</v>
      </c>
      <c r="Z2781">
        <v>7.8697419999999903E-3</v>
      </c>
      <c r="AA2781">
        <v>0.9572001</v>
      </c>
      <c r="AB2781">
        <v>28</v>
      </c>
      <c r="AC2781">
        <v>-13.444299999999901</v>
      </c>
      <c r="AD2781">
        <v>-1.1195624303431999</v>
      </c>
      <c r="AE2781">
        <v>-11.1351</v>
      </c>
      <c r="AF2781">
        <v>-5.0699077302849602</v>
      </c>
      <c r="AG2781">
        <v>-1.1195624303431999</v>
      </c>
      <c r="AH2781">
        <v>16.629619115280999</v>
      </c>
      <c r="AI2781">
        <v>93.684595586911797</v>
      </c>
      <c r="AJ2781">
        <v>106.955003809907</v>
      </c>
      <c r="AK2781">
        <v>17.4212977802562</v>
      </c>
      <c r="AL2781">
        <v>78.039552703184199</v>
      </c>
      <c r="AM2781">
        <v>102.931728959484</v>
      </c>
      <c r="AN2781">
        <v>0.99999999185436494</v>
      </c>
    </row>
    <row r="2782" spans="1:40" x14ac:dyDescent="0.25">
      <c r="A2782" t="str">
        <f>"20190304155648154"</f>
        <v>20190304155648154</v>
      </c>
      <c r="B2782" t="str">
        <f>"1551686208147974"</f>
        <v>1551686208147974</v>
      </c>
      <c r="C2782" t="s">
        <v>40</v>
      </c>
      <c r="D2782">
        <v>4.5148020000000004</v>
      </c>
      <c r="E2782">
        <v>0.46553119999999998</v>
      </c>
      <c r="F2782" t="s">
        <v>53</v>
      </c>
      <c r="G2782">
        <v>-493.15129999999999</v>
      </c>
      <c r="H2782" s="1">
        <v>5.3810659999999999E-7</v>
      </c>
      <c r="I2782">
        <v>271.1386</v>
      </c>
      <c r="J2782">
        <v>-479.78359999999998</v>
      </c>
      <c r="K2782">
        <v>1.1195889999999999</v>
      </c>
      <c r="L2782">
        <v>282.29489999999998</v>
      </c>
      <c r="M2782">
        <v>-0.91983700000000002</v>
      </c>
      <c r="N2782">
        <v>-1.526751E-2</v>
      </c>
      <c r="O2782">
        <v>-0.39200360000000001</v>
      </c>
      <c r="P2782">
        <v>-0.79610119999999995</v>
      </c>
      <c r="Q2782">
        <v>0.1972429</v>
      </c>
      <c r="R2782">
        <v>-0.57211719999999999</v>
      </c>
      <c r="S2782">
        <v>-2.3918460000000001</v>
      </c>
      <c r="T2782">
        <v>-0.1981696</v>
      </c>
      <c r="U2782">
        <v>-1.9867859999999999</v>
      </c>
      <c r="V2782">
        <v>-0.21886990000000001</v>
      </c>
      <c r="W2782">
        <v>0.20700260000000001</v>
      </c>
      <c r="X2782">
        <v>0.95354380000000005</v>
      </c>
      <c r="Y2782">
        <v>-0.28598459999999998</v>
      </c>
      <c r="Z2782">
        <v>8.3693929999999993E-3</v>
      </c>
      <c r="AA2782">
        <v>0.95819770000000004</v>
      </c>
      <c r="AB2782">
        <v>28</v>
      </c>
      <c r="AC2782">
        <v>-13.367699999999999</v>
      </c>
      <c r="AD2782">
        <v>-1.1195884618934</v>
      </c>
      <c r="AE2782">
        <v>-11.1562999999999</v>
      </c>
      <c r="AF2782">
        <v>-5.0016956566548796</v>
      </c>
      <c r="AG2782">
        <v>-1.1195884618934</v>
      </c>
      <c r="AH2782">
        <v>16.602710019668098</v>
      </c>
      <c r="AI2782">
        <v>93.6943307269229</v>
      </c>
      <c r="AJ2782">
        <v>106.76533674722501</v>
      </c>
      <c r="AK2782">
        <v>17.375857324546399</v>
      </c>
      <c r="AL2782">
        <v>78.053244793396402</v>
      </c>
      <c r="AM2782">
        <v>102.927356604889</v>
      </c>
      <c r="AN2782">
        <v>0.99999994402560299</v>
      </c>
    </row>
    <row r="2783" spans="1:40" x14ac:dyDescent="0.25">
      <c r="A2783" t="str">
        <f>"20190304155648167"</f>
        <v>20190304155648167</v>
      </c>
      <c r="B2783" t="str">
        <f>"1551686208157733"</f>
        <v>1551686208157733</v>
      </c>
      <c r="C2783" t="s">
        <v>40</v>
      </c>
      <c r="D2783">
        <v>4.4556620000000002</v>
      </c>
      <c r="E2783">
        <v>0.46553119999999998</v>
      </c>
      <c r="F2783" t="s">
        <v>53</v>
      </c>
      <c r="G2783">
        <v>-493.14609999999999</v>
      </c>
      <c r="H2783" s="1">
        <v>4.9084169999999999E-7</v>
      </c>
      <c r="I2783">
        <v>271.00490000000002</v>
      </c>
      <c r="J2783">
        <v>-479.92360000000002</v>
      </c>
      <c r="K2783">
        <v>1.1196090000000001</v>
      </c>
      <c r="L2783">
        <v>282.22789999999998</v>
      </c>
      <c r="M2783">
        <v>-0.91712590000000005</v>
      </c>
      <c r="N2783">
        <v>-1.527791E-2</v>
      </c>
      <c r="O2783">
        <v>-0.39830500000000002</v>
      </c>
      <c r="P2783">
        <v>-0.79237480000000005</v>
      </c>
      <c r="Q2783">
        <v>0.19698099999999999</v>
      </c>
      <c r="R2783">
        <v>-0.5773568</v>
      </c>
      <c r="S2783">
        <v>-2.3753660000000001</v>
      </c>
      <c r="T2783">
        <v>-0.19902220000000001</v>
      </c>
      <c r="U2783">
        <v>-2.006958</v>
      </c>
      <c r="V2783">
        <v>-0.21859729999999999</v>
      </c>
      <c r="W2783">
        <v>0.2067465</v>
      </c>
      <c r="X2783">
        <v>0.95366189999999995</v>
      </c>
      <c r="Y2783">
        <v>-0.28743920000000001</v>
      </c>
      <c r="Z2783">
        <v>8.7143020000000002E-3</v>
      </c>
      <c r="AA2783">
        <v>0.95775929999999998</v>
      </c>
      <c r="AB2783">
        <v>28</v>
      </c>
      <c r="AC2783">
        <v>-13.222499999999901</v>
      </c>
      <c r="AD2783">
        <v>-1.1196085091582999</v>
      </c>
      <c r="AE2783">
        <v>-11.2229999999999</v>
      </c>
      <c r="AF2783">
        <v>-5.0060399734351</v>
      </c>
      <c r="AG2783">
        <v>-1.1196085091582999</v>
      </c>
      <c r="AH2783">
        <v>16.529922501291999</v>
      </c>
      <c r="AI2783">
        <v>93.708991660989298</v>
      </c>
      <c r="AJ2783">
        <v>106.848787137302</v>
      </c>
      <c r="AK2783">
        <v>17.307579187400201</v>
      </c>
      <c r="AL2783">
        <v>78.068242844831104</v>
      </c>
      <c r="AM2783">
        <v>102.91025025064801</v>
      </c>
      <c r="AN2783">
        <v>0.99999995717057399</v>
      </c>
    </row>
    <row r="2784" spans="1:40" x14ac:dyDescent="0.25">
      <c r="A2784" t="str">
        <f>"20190304155648180"</f>
        <v>20190304155648180</v>
      </c>
      <c r="B2784" t="str">
        <f>"1551686208177254"</f>
        <v>1551686208177254</v>
      </c>
      <c r="C2784" t="s">
        <v>40</v>
      </c>
      <c r="D2784">
        <v>4.4194309999999897</v>
      </c>
      <c r="E2784">
        <v>0.45110339999999999</v>
      </c>
      <c r="F2784" t="s">
        <v>53</v>
      </c>
      <c r="G2784">
        <v>-493.1585</v>
      </c>
      <c r="H2784" s="1">
        <v>4.5173339999999998E-7</v>
      </c>
      <c r="I2784">
        <v>270.89420000000001</v>
      </c>
      <c r="J2784">
        <v>-480.06420000000003</v>
      </c>
      <c r="K2784">
        <v>1.119618</v>
      </c>
      <c r="L2784">
        <v>282.1592</v>
      </c>
      <c r="M2784">
        <v>-0.91433969999999998</v>
      </c>
      <c r="N2784">
        <v>-1.5287729999999999E-2</v>
      </c>
      <c r="O2784">
        <v>-0.40465950000000001</v>
      </c>
      <c r="P2784">
        <v>-0.78859729999999995</v>
      </c>
      <c r="Q2784">
        <v>0.1966348</v>
      </c>
      <c r="R2784">
        <v>-0.5826228</v>
      </c>
      <c r="S2784">
        <v>-2.3619379999999999</v>
      </c>
      <c r="T2784">
        <v>-0.19980880000000001</v>
      </c>
      <c r="U2784">
        <v>-2.0226440000000001</v>
      </c>
      <c r="V2784">
        <v>-0.2182994</v>
      </c>
      <c r="W2784">
        <v>0.2064087</v>
      </c>
      <c r="X2784">
        <v>0.95380339999999997</v>
      </c>
      <c r="Y2784">
        <v>-0.28715950000000001</v>
      </c>
      <c r="Z2784">
        <v>9.1300099999999992E-3</v>
      </c>
      <c r="AA2784">
        <v>0.95783929999999995</v>
      </c>
      <c r="AB2784">
        <v>28</v>
      </c>
      <c r="AC2784">
        <v>-13.094299999999899</v>
      </c>
      <c r="AD2784">
        <v>-1.1196175482666</v>
      </c>
      <c r="AE2784">
        <v>-11.264999999999899</v>
      </c>
      <c r="AF2784">
        <v>-4.9809609150724299</v>
      </c>
      <c r="AG2784">
        <v>-1.1196175482666</v>
      </c>
      <c r="AH2784">
        <v>16.4638868719688</v>
      </c>
      <c r="AI2784">
        <v>93.724174146598003</v>
      </c>
      <c r="AJ2784">
        <v>106.832590989259</v>
      </c>
      <c r="AK2784">
        <v>17.237258657479501</v>
      </c>
      <c r="AL2784">
        <v>78.088025190261604</v>
      </c>
      <c r="AM2784">
        <v>102.891395913872</v>
      </c>
      <c r="AN2784">
        <v>1.0000000526638</v>
      </c>
    </row>
    <row r="2785" spans="1:40" x14ac:dyDescent="0.25">
      <c r="A2785" t="str">
        <f>"20190304155648193"</f>
        <v>20190304155648193</v>
      </c>
      <c r="B2785" t="str">
        <f>"1551686208187990"</f>
        <v>1551686208187990</v>
      </c>
      <c r="C2785" t="s">
        <v>40</v>
      </c>
      <c r="D2785">
        <v>4.4511909999999997</v>
      </c>
      <c r="E2785">
        <v>0.45052239999999999</v>
      </c>
      <c r="F2785" t="s">
        <v>41</v>
      </c>
      <c r="G2785">
        <v>-493.91340000000002</v>
      </c>
      <c r="H2785" s="1">
        <v>-4.8511229999999996E-6</v>
      </c>
      <c r="I2785">
        <v>269.2022</v>
      </c>
      <c r="J2785">
        <v>-480.21519999999998</v>
      </c>
      <c r="K2785">
        <v>1.1196360000000001</v>
      </c>
      <c r="L2785">
        <v>282.08429999999998</v>
      </c>
      <c r="M2785">
        <v>-0.91128089999999995</v>
      </c>
      <c r="N2785">
        <v>-1.529764E-2</v>
      </c>
      <c r="O2785">
        <v>-0.41150110000000001</v>
      </c>
      <c r="P2785">
        <v>-0.7845472</v>
      </c>
      <c r="Q2785">
        <v>0.19645860000000001</v>
      </c>
      <c r="R2785">
        <v>-0.58812369999999903</v>
      </c>
      <c r="S2785">
        <v>-2.2765499999999999</v>
      </c>
      <c r="T2785">
        <v>-0.1840445</v>
      </c>
      <c r="U2785">
        <v>-2.129883</v>
      </c>
      <c r="V2785">
        <v>-0.21780720000000001</v>
      </c>
      <c r="W2785">
        <v>0.20624590000000001</v>
      </c>
      <c r="X2785">
        <v>0.95395110000000005</v>
      </c>
      <c r="Y2785">
        <v>-0.32182880000000003</v>
      </c>
      <c r="Z2785">
        <v>6.7864279999999997E-3</v>
      </c>
      <c r="AA2785">
        <v>0.94677350000000005</v>
      </c>
      <c r="AB2785">
        <v>28</v>
      </c>
      <c r="AC2785">
        <v>-13.6982</v>
      </c>
      <c r="AD2785">
        <v>-1.119640851123</v>
      </c>
      <c r="AE2785">
        <v>-12.8820999999999</v>
      </c>
      <c r="AF2785">
        <v>-6.0815401568820402</v>
      </c>
      <c r="AG2785">
        <v>-1.119640851123</v>
      </c>
      <c r="AH2785">
        <v>17.723152435054701</v>
      </c>
      <c r="AI2785">
        <v>93.419580203742797</v>
      </c>
      <c r="AJ2785">
        <v>108.93919596612599</v>
      </c>
      <c r="AK2785">
        <v>18.770957848534501</v>
      </c>
      <c r="AL2785">
        <v>78.097557719984195</v>
      </c>
      <c r="AM2785">
        <v>102.86137220600099</v>
      </c>
      <c r="AN2785">
        <v>1.0000000244149201</v>
      </c>
    </row>
    <row r="2786" spans="1:40" x14ac:dyDescent="0.25">
      <c r="A2786" t="str">
        <f>"20190304155648205"</f>
        <v>20190304155648205</v>
      </c>
      <c r="B2786" t="str">
        <f>"1551686208197750"</f>
        <v>1551686208197750</v>
      </c>
      <c r="C2786" t="s">
        <v>40</v>
      </c>
      <c r="D2786">
        <v>4.4588340000000004</v>
      </c>
      <c r="E2786">
        <v>0.45001439999999998</v>
      </c>
      <c r="F2786" t="s">
        <v>41</v>
      </c>
      <c r="G2786">
        <v>-494.22980000000001</v>
      </c>
      <c r="H2786" s="1">
        <v>-4.7510360000000001E-6</v>
      </c>
      <c r="I2786">
        <v>268.7432</v>
      </c>
      <c r="J2786">
        <v>-480.35070000000002</v>
      </c>
      <c r="K2786">
        <v>1.1196489999999999</v>
      </c>
      <c r="L2786">
        <v>282.01569999999998</v>
      </c>
      <c r="M2786">
        <v>-0.90847279999999997</v>
      </c>
      <c r="N2786">
        <v>-1.530572E-2</v>
      </c>
      <c r="O2786">
        <v>-0.41766399999999998</v>
      </c>
      <c r="P2786">
        <v>-0.78068419999999905</v>
      </c>
      <c r="Q2786">
        <v>0.1963703</v>
      </c>
      <c r="R2786">
        <v>-0.5932714</v>
      </c>
      <c r="S2786">
        <v>-2.2577820000000002</v>
      </c>
      <c r="T2786">
        <v>-0.1803766</v>
      </c>
      <c r="U2786">
        <v>-2.149292</v>
      </c>
      <c r="V2786">
        <v>-0.217616</v>
      </c>
      <c r="W2786">
        <v>0.20616280000000001</v>
      </c>
      <c r="X2786">
        <v>0.95401270000000005</v>
      </c>
      <c r="Y2786">
        <v>-0.32362059999999998</v>
      </c>
      <c r="Z2786">
        <v>6.7086480000000002E-3</v>
      </c>
      <c r="AA2786">
        <v>0.94616319999999998</v>
      </c>
      <c r="AB2786">
        <v>28</v>
      </c>
      <c r="AC2786">
        <v>-13.8790999999999</v>
      </c>
      <c r="AD2786">
        <v>-1.1196537510359901</v>
      </c>
      <c r="AE2786">
        <v>-13.2724999999999</v>
      </c>
      <c r="AF2786">
        <v>-6.2404242342223197</v>
      </c>
      <c r="AG2786">
        <v>-1.1196537510359901</v>
      </c>
      <c r="AH2786">
        <v>18.092850965049401</v>
      </c>
      <c r="AI2786">
        <v>93.3480864440413</v>
      </c>
      <c r="AJ2786">
        <v>109.029879884209</v>
      </c>
      <c r="AK2786">
        <v>19.1715355459276</v>
      </c>
      <c r="AL2786">
        <v>78.102423610575897</v>
      </c>
      <c r="AM2786">
        <v>102.849654755163</v>
      </c>
      <c r="AN2786">
        <v>1.0000000276605601</v>
      </c>
    </row>
    <row r="2787" spans="1:40" x14ac:dyDescent="0.25">
      <c r="A2787" t="str">
        <f>"20190304155648220"</f>
        <v>20190304155648220</v>
      </c>
      <c r="B2787" t="str">
        <f>"1551686208207510"</f>
        <v>1551686208207510</v>
      </c>
      <c r="C2787" t="s">
        <v>40</v>
      </c>
      <c r="D2787">
        <v>4.490799</v>
      </c>
      <c r="E2787">
        <v>0.44979950000000002</v>
      </c>
      <c r="F2787" t="s">
        <v>41</v>
      </c>
      <c r="G2787">
        <v>-494.51429999999999</v>
      </c>
      <c r="H2787" s="1">
        <v>-4.6574240000000003E-6</v>
      </c>
      <c r="I2787">
        <v>268.31979999999999</v>
      </c>
      <c r="J2787">
        <v>-480.49950000000001</v>
      </c>
      <c r="K2787">
        <v>1.1196630000000001</v>
      </c>
      <c r="L2787">
        <v>281.93900000000002</v>
      </c>
      <c r="M2787">
        <v>-0.90532060000000003</v>
      </c>
      <c r="N2787">
        <v>-1.5314039999999999E-2</v>
      </c>
      <c r="O2787">
        <v>-0.42445310000000003</v>
      </c>
      <c r="P2787">
        <v>-0.77701319999999996</v>
      </c>
      <c r="Q2787">
        <v>0.1955027</v>
      </c>
      <c r="R2787">
        <v>-0.59835539999999998</v>
      </c>
      <c r="S2787">
        <v>-2.2407530000000002</v>
      </c>
      <c r="T2787">
        <v>-0.1771355</v>
      </c>
      <c r="U2787">
        <v>-2.166779</v>
      </c>
      <c r="V2787">
        <v>-0.21659400000000001</v>
      </c>
      <c r="W2787">
        <v>0.20532520000000001</v>
      </c>
      <c r="X2787">
        <v>0.95442579999999999</v>
      </c>
      <c r="Y2787">
        <v>-0.32395439999999998</v>
      </c>
      <c r="Z2787">
        <v>6.7357600000000004E-3</v>
      </c>
      <c r="AA2787">
        <v>0.94604869999999996</v>
      </c>
      <c r="AB2787">
        <v>28</v>
      </c>
      <c r="AC2787">
        <v>-14.0147999999999</v>
      </c>
      <c r="AD2787">
        <v>-1.1196676574240001</v>
      </c>
      <c r="AE2787">
        <v>-13.619199999999999</v>
      </c>
      <c r="AF2787">
        <v>-6.3609830703423</v>
      </c>
      <c r="AG2787">
        <v>-1.1196676574240001</v>
      </c>
      <c r="AH2787">
        <v>18.410325989988198</v>
      </c>
      <c r="AI2787">
        <v>93.289911206919101</v>
      </c>
      <c r="AJ2787">
        <v>109.06063014871501</v>
      </c>
      <c r="AK2787">
        <v>19.510404002529</v>
      </c>
      <c r="AL2787">
        <v>78.151463432819597</v>
      </c>
      <c r="AM2787">
        <v>102.78594363323499</v>
      </c>
      <c r="AN2787">
        <v>1.00000000314833</v>
      </c>
    </row>
    <row r="2788" spans="1:40" x14ac:dyDescent="0.25">
      <c r="A2788" t="str">
        <f>"20190304155648242"</f>
        <v>20190304155648242</v>
      </c>
      <c r="B2788" t="str">
        <f>"1551686208237094"</f>
        <v>1551686208237094</v>
      </c>
      <c r="C2788" t="s">
        <v>40</v>
      </c>
      <c r="D2788">
        <v>4.4239750000000004</v>
      </c>
      <c r="E2788">
        <v>0.45031549999999998</v>
      </c>
      <c r="F2788" t="s">
        <v>41</v>
      </c>
      <c r="G2788">
        <v>-494.58580000000001</v>
      </c>
      <c r="H2788" s="1">
        <v>-4.5994959999999996E-6</v>
      </c>
      <c r="I2788">
        <v>268.1123</v>
      </c>
      <c r="J2788">
        <v>-480.74</v>
      </c>
      <c r="K2788">
        <v>1.1196809999999999</v>
      </c>
      <c r="L2788">
        <v>281.81220000000002</v>
      </c>
      <c r="M2788">
        <v>-0.90007769999999998</v>
      </c>
      <c r="N2788">
        <v>-1.5326350000000001E-2</v>
      </c>
      <c r="O2788">
        <v>-0.43546030000000002</v>
      </c>
      <c r="P2788">
        <v>-0.77047889999999997</v>
      </c>
      <c r="Q2788">
        <v>0.19485259999999999</v>
      </c>
      <c r="R2788">
        <v>-0.6069561</v>
      </c>
      <c r="S2788">
        <v>-2.2241819999999999</v>
      </c>
      <c r="T2788">
        <v>-0.17679239999999999</v>
      </c>
      <c r="U2788">
        <v>-2.1831969999999998</v>
      </c>
      <c r="V2788">
        <v>-0.21548680000000001</v>
      </c>
      <c r="W2788">
        <v>0.2047078</v>
      </c>
      <c r="X2788">
        <v>0.95480900000000002</v>
      </c>
      <c r="Y2788">
        <v>-0.31951210000000002</v>
      </c>
      <c r="Z2788">
        <v>7.3749230000000002E-3</v>
      </c>
      <c r="AA2788">
        <v>0.94755350000000005</v>
      </c>
      <c r="AB2788">
        <v>28</v>
      </c>
      <c r="AC2788">
        <v>-13.845799999999899</v>
      </c>
      <c r="AD2788">
        <v>-1.119685599496</v>
      </c>
      <c r="AE2788">
        <v>-13.6999</v>
      </c>
      <c r="AF2788">
        <v>-6.2816595573927696</v>
      </c>
      <c r="AG2788">
        <v>-1.119685599496</v>
      </c>
      <c r="AH2788">
        <v>18.3695174965086</v>
      </c>
      <c r="AI2788">
        <v>93.300849482041599</v>
      </c>
      <c r="AJ2788">
        <v>108.87869014765199</v>
      </c>
      <c r="AK2788">
        <v>19.446133695190898</v>
      </c>
      <c r="AL2788">
        <v>78.187605946692898</v>
      </c>
      <c r="AM2788">
        <v>102.717776176595</v>
      </c>
      <c r="AN2788">
        <v>1.0000000354180301</v>
      </c>
    </row>
    <row r="2789" spans="1:40" x14ac:dyDescent="0.25">
      <c r="A2789" t="str">
        <f>"20190304155648256"</f>
        <v>20190304155648256</v>
      </c>
      <c r="B2789" t="str">
        <f>"1551686208247830"</f>
        <v>1551686208247830</v>
      </c>
      <c r="C2789" t="s">
        <v>40</v>
      </c>
      <c r="D2789">
        <v>4.4089939999999999</v>
      </c>
      <c r="E2789">
        <v>0.45060840000000002</v>
      </c>
      <c r="F2789" t="s">
        <v>41</v>
      </c>
      <c r="G2789">
        <v>-494.74380000000002</v>
      </c>
      <c r="H2789" s="1">
        <v>-4.5176879999999996E-6</v>
      </c>
      <c r="I2789">
        <v>267.78949999999998</v>
      </c>
      <c r="J2789">
        <v>-480.8965</v>
      </c>
      <c r="K2789">
        <v>1.1196889999999999</v>
      </c>
      <c r="L2789">
        <v>281.72750000000002</v>
      </c>
      <c r="M2789">
        <v>-0.89656219999999998</v>
      </c>
      <c r="N2789">
        <v>-1.533382E-2</v>
      </c>
      <c r="O2789">
        <v>-0.44265260000000001</v>
      </c>
      <c r="P2789">
        <v>-0.76585490000000001</v>
      </c>
      <c r="Q2789">
        <v>0.1947692</v>
      </c>
      <c r="R2789">
        <v>-0.61280610000000002</v>
      </c>
      <c r="S2789">
        <v>-2.2015690000000001</v>
      </c>
      <c r="T2789">
        <v>-0.17602809999999999</v>
      </c>
      <c r="U2789">
        <v>-2.204529</v>
      </c>
      <c r="V2789">
        <v>-0.2151072</v>
      </c>
      <c r="W2789">
        <v>0.2046354</v>
      </c>
      <c r="X2789">
        <v>0.95491000000000004</v>
      </c>
      <c r="Y2789">
        <v>-0.32137549999999998</v>
      </c>
      <c r="Z2789">
        <v>7.577716E-3</v>
      </c>
      <c r="AA2789">
        <v>0.94692149999999997</v>
      </c>
      <c r="AB2789">
        <v>28</v>
      </c>
      <c r="AC2789">
        <v>-13.847300000000001</v>
      </c>
      <c r="AD2789">
        <v>-1.1196935176880001</v>
      </c>
      <c r="AE2789">
        <v>-13.938000000000001</v>
      </c>
      <c r="AF2789">
        <v>-6.3468749108122902</v>
      </c>
      <c r="AG2789">
        <v>-1.1196935176880001</v>
      </c>
      <c r="AH2789">
        <v>18.52666931417</v>
      </c>
      <c r="AI2789">
        <v>93.272314660093699</v>
      </c>
      <c r="AJ2789">
        <v>108.91045798603</v>
      </c>
      <c r="AK2789">
        <v>19.6156572814591</v>
      </c>
      <c r="AL2789">
        <v>78.191842627360401</v>
      </c>
      <c r="AM2789">
        <v>102.69480010475</v>
      </c>
      <c r="AN2789">
        <v>0.99999993126249698</v>
      </c>
    </row>
    <row r="2790" spans="1:40" x14ac:dyDescent="0.25">
      <c r="A2790" t="str">
        <f>"20190304155648269"</f>
        <v>20190304155648269</v>
      </c>
      <c r="B2790" t="str">
        <f>"1551686208257591"</f>
        <v>1551686208257591</v>
      </c>
      <c r="C2790" t="s">
        <v>40</v>
      </c>
      <c r="D2790">
        <v>4.3991749999999996</v>
      </c>
      <c r="E2790">
        <v>0.4510014</v>
      </c>
      <c r="F2790" t="s">
        <v>41</v>
      </c>
      <c r="G2790">
        <v>-494.81990000000002</v>
      </c>
      <c r="H2790" s="1">
        <v>-4.4625199999999998E-6</v>
      </c>
      <c r="I2790">
        <v>267.58780000000002</v>
      </c>
      <c r="J2790">
        <v>-481.03480000000002</v>
      </c>
      <c r="K2790">
        <v>1.1196950000000001</v>
      </c>
      <c r="L2790">
        <v>281.65170000000001</v>
      </c>
      <c r="M2790">
        <v>-0.89339009999999996</v>
      </c>
      <c r="N2790">
        <v>-1.534023E-2</v>
      </c>
      <c r="O2790">
        <v>-0.44902019999999998</v>
      </c>
      <c r="P2790">
        <v>-0.7617642</v>
      </c>
      <c r="Q2790">
        <v>0.1949774</v>
      </c>
      <c r="R2790">
        <v>-0.61781799999999998</v>
      </c>
      <c r="S2790">
        <v>-2.1857600000000001</v>
      </c>
      <c r="T2790">
        <v>-0.1757746</v>
      </c>
      <c r="U2790">
        <v>-2.2197269999999998</v>
      </c>
      <c r="V2790">
        <v>-0.21461069999999999</v>
      </c>
      <c r="W2790">
        <v>0.20485709999999999</v>
      </c>
      <c r="X2790">
        <v>0.9549742</v>
      </c>
      <c r="Y2790">
        <v>-0.32130769999999997</v>
      </c>
      <c r="Z2790">
        <v>7.8530430000000005E-3</v>
      </c>
      <c r="AA2790">
        <v>0.94694230000000001</v>
      </c>
      <c r="AB2790">
        <v>28</v>
      </c>
      <c r="AC2790">
        <v>-13.7851</v>
      </c>
      <c r="AD2790">
        <v>-1.1196994625200001</v>
      </c>
      <c r="AE2790">
        <v>-14.063899999999901</v>
      </c>
      <c r="AF2790">
        <v>-6.3549658752719997</v>
      </c>
      <c r="AG2790">
        <v>-1.1196994625200001</v>
      </c>
      <c r="AH2790">
        <v>18.5725961264625</v>
      </c>
      <c r="AI2790">
        <v>93.264668383522405</v>
      </c>
      <c r="AJ2790">
        <v>108.88935441691</v>
      </c>
      <c r="AK2790">
        <v>19.6616541786018</v>
      </c>
      <c r="AL2790">
        <v>78.178865491504794</v>
      </c>
      <c r="AM2790">
        <v>102.665620969176</v>
      </c>
      <c r="AN2790">
        <v>0.99999995332026803</v>
      </c>
    </row>
    <row r="2791" spans="1:40" x14ac:dyDescent="0.25">
      <c r="A2791" t="str">
        <f>"20190304155648281"</f>
        <v>20190304155648281</v>
      </c>
      <c r="B2791" t="str">
        <f>"1551686208278087"</f>
        <v>1551686208278087</v>
      </c>
      <c r="C2791" t="s">
        <v>40</v>
      </c>
      <c r="D2791">
        <v>4.4113239999999996</v>
      </c>
      <c r="E2791">
        <v>0.4516443</v>
      </c>
      <c r="F2791" t="s">
        <v>41</v>
      </c>
      <c r="G2791">
        <v>-494.94299999999998</v>
      </c>
      <c r="H2791" s="1">
        <v>-4.4102020000000002E-6</v>
      </c>
      <c r="I2791">
        <v>267.3698</v>
      </c>
      <c r="J2791">
        <v>-481.16340000000002</v>
      </c>
      <c r="K2791">
        <v>1.1197010000000001</v>
      </c>
      <c r="L2791">
        <v>281.57929999999999</v>
      </c>
      <c r="M2791">
        <v>-0.89037230000000001</v>
      </c>
      <c r="N2791">
        <v>-1.534577E-2</v>
      </c>
      <c r="O2791">
        <v>-0.45497470000000001</v>
      </c>
      <c r="P2791">
        <v>-0.7578705</v>
      </c>
      <c r="Q2791">
        <v>0.195163</v>
      </c>
      <c r="R2791">
        <v>-0.62253029999999998</v>
      </c>
      <c r="S2791">
        <v>-2.1731569999999998</v>
      </c>
      <c r="T2791">
        <v>-0.17495329999999901</v>
      </c>
      <c r="U2791">
        <v>-2.2315369999999999</v>
      </c>
      <c r="V2791">
        <v>-0.21418590000000001</v>
      </c>
      <c r="W2791">
        <v>0.20505499999999999</v>
      </c>
      <c r="X2791">
        <v>0.95502719999999997</v>
      </c>
      <c r="Y2791">
        <v>-0.32024180000000002</v>
      </c>
      <c r="Z2791">
        <v>8.08766E-3</v>
      </c>
      <c r="AA2791">
        <v>0.94730130000000001</v>
      </c>
      <c r="AB2791">
        <v>28</v>
      </c>
      <c r="AC2791">
        <v>-13.7796</v>
      </c>
      <c r="AD2791">
        <v>-1.1197054102020001</v>
      </c>
      <c r="AE2791">
        <v>-14.209499999999901</v>
      </c>
      <c r="AF2791">
        <v>-6.3627652985979504</v>
      </c>
      <c r="AG2791">
        <v>-1.1197054102020001</v>
      </c>
      <c r="AH2791">
        <v>18.676375149116399</v>
      </c>
      <c r="AI2791">
        <v>93.248053857479206</v>
      </c>
      <c r="AJ2791">
        <v>108.813218772599</v>
      </c>
      <c r="AK2791">
        <v>19.762224347507299</v>
      </c>
      <c r="AL2791">
        <v>78.167281918898396</v>
      </c>
      <c r="AM2791">
        <v>102.640678138985</v>
      </c>
      <c r="AN2791">
        <v>1.00000005276182</v>
      </c>
    </row>
    <row r="2792" spans="1:40" x14ac:dyDescent="0.25">
      <c r="A2792" t="str">
        <f>"20190304155648293"</f>
        <v>20190304155648293</v>
      </c>
      <c r="B2792" t="str">
        <f>"1551686208287846"</f>
        <v>1551686208287846</v>
      </c>
      <c r="C2792" t="s">
        <v>40</v>
      </c>
      <c r="D2792">
        <v>4.4223759999999999</v>
      </c>
      <c r="E2792">
        <v>0.45194020000000001</v>
      </c>
      <c r="F2792" t="s">
        <v>41</v>
      </c>
      <c r="G2792">
        <v>-495.03989999999999</v>
      </c>
      <c r="H2792" s="1">
        <v>-4.3689130000000004E-6</v>
      </c>
      <c r="I2792">
        <v>267.19799999999998</v>
      </c>
      <c r="J2792">
        <v>-481.29239999999999</v>
      </c>
      <c r="K2792">
        <v>1.1197079999999999</v>
      </c>
      <c r="L2792">
        <v>281.50599999999997</v>
      </c>
      <c r="M2792">
        <v>-0.88729329999999995</v>
      </c>
      <c r="N2792">
        <v>-1.5351119999999999E-2</v>
      </c>
      <c r="O2792">
        <v>-0.46095029999999998</v>
      </c>
      <c r="P2792">
        <v>-0.75396359999999996</v>
      </c>
      <c r="Q2792">
        <v>0.19523589999999999</v>
      </c>
      <c r="R2792">
        <v>-0.6272335</v>
      </c>
      <c r="S2792">
        <v>-2.162445</v>
      </c>
      <c r="T2792">
        <v>-0.17449020000000001</v>
      </c>
      <c r="U2792">
        <v>-2.2411189999999999</v>
      </c>
      <c r="V2792">
        <v>-0.21371970000000001</v>
      </c>
      <c r="W2792">
        <v>0.20514089999999999</v>
      </c>
      <c r="X2792">
        <v>0.95511310000000005</v>
      </c>
      <c r="Y2792">
        <v>-0.3182487</v>
      </c>
      <c r="Z2792">
        <v>8.3891480000000008E-3</v>
      </c>
      <c r="AA2792">
        <v>0.94797019999999999</v>
      </c>
      <c r="AB2792">
        <v>28</v>
      </c>
      <c r="AC2792">
        <v>-13.7475</v>
      </c>
      <c r="AD2792">
        <v>-1.119712368913</v>
      </c>
      <c r="AE2792">
        <v>-14.3079999999999</v>
      </c>
      <c r="AF2792">
        <v>-6.33904055841169</v>
      </c>
      <c r="AG2792">
        <v>-1.119712368913</v>
      </c>
      <c r="AH2792">
        <v>18.735890701052799</v>
      </c>
      <c r="AI2792">
        <v>93.240088971842496</v>
      </c>
      <c r="AJ2792">
        <v>108.69256810644001</v>
      </c>
      <c r="AK2792">
        <v>19.810875582671301</v>
      </c>
      <c r="AL2792">
        <v>78.1622522737499</v>
      </c>
      <c r="AM2792">
        <v>102.612947472093</v>
      </c>
      <c r="AN2792">
        <v>0.99999996640625399</v>
      </c>
    </row>
    <row r="2793" spans="1:40" x14ac:dyDescent="0.25">
      <c r="A2793" t="str">
        <f>"20190304155648305"</f>
        <v>20190304155648305</v>
      </c>
      <c r="B2793" t="str">
        <f>"1551686208297606"</f>
        <v>1551686208297606</v>
      </c>
      <c r="C2793" t="s">
        <v>40</v>
      </c>
      <c r="D2793">
        <v>4.3775529999999998</v>
      </c>
      <c r="E2793">
        <v>0.45194020000000001</v>
      </c>
      <c r="F2793" t="s">
        <v>41</v>
      </c>
      <c r="G2793">
        <v>-495.10930000000002</v>
      </c>
      <c r="H2793" s="1">
        <v>-4.324391E-6</v>
      </c>
      <c r="I2793">
        <v>267.03100000000001</v>
      </c>
      <c r="J2793">
        <v>-481.42</v>
      </c>
      <c r="K2793">
        <v>1.1197140000000001</v>
      </c>
      <c r="L2793">
        <v>281.4323</v>
      </c>
      <c r="M2793">
        <v>-0.88418839999999999</v>
      </c>
      <c r="N2793">
        <v>-1.5356079999999999E-2</v>
      </c>
      <c r="O2793">
        <v>-0.46687810000000002</v>
      </c>
      <c r="P2793">
        <v>-0.74996870000000004</v>
      </c>
      <c r="Q2793">
        <v>0.195358</v>
      </c>
      <c r="R2793">
        <v>-0.63196699999999995</v>
      </c>
      <c r="S2793">
        <v>-2.1501459999999999</v>
      </c>
      <c r="T2793">
        <v>-0.17424609999999999</v>
      </c>
      <c r="U2793">
        <v>-2.2525629999999999</v>
      </c>
      <c r="V2793">
        <v>-0.2133602</v>
      </c>
      <c r="W2793">
        <v>0.20527339999999999</v>
      </c>
      <c r="X2793">
        <v>0.95516500000000004</v>
      </c>
      <c r="Y2793">
        <v>-0.31702399999999997</v>
      </c>
      <c r="Z2793">
        <v>8.6812209999999994E-3</v>
      </c>
      <c r="AA2793">
        <v>0.94837780000000005</v>
      </c>
      <c r="AB2793">
        <v>28</v>
      </c>
      <c r="AC2793">
        <v>-13.689299999999999</v>
      </c>
      <c r="AD2793">
        <v>-1.1197183243909901</v>
      </c>
      <c r="AE2793">
        <v>-14.4012999999999</v>
      </c>
      <c r="AF2793">
        <v>-6.3228956855406002</v>
      </c>
      <c r="AG2793">
        <v>-1.1197183243909901</v>
      </c>
      <c r="AH2793">
        <v>18.770181743369399</v>
      </c>
      <c r="AI2793">
        <v>93.235645568692902</v>
      </c>
      <c r="AJ2793">
        <v>108.61653677998601</v>
      </c>
      <c r="AK2793">
        <v>19.838157718279199</v>
      </c>
      <c r="AL2793">
        <v>78.154495436082897</v>
      </c>
      <c r="AM2793">
        <v>102.591745883977</v>
      </c>
      <c r="AN2793">
        <v>0.99999996045829898</v>
      </c>
    </row>
    <row r="2794" spans="1:40" x14ac:dyDescent="0.25">
      <c r="A2794" t="str">
        <f>"20190304155648317"</f>
        <v>20190304155648317</v>
      </c>
      <c r="B2794" t="str">
        <f>"1551686208307366"</f>
        <v>1551686208307366</v>
      </c>
      <c r="C2794" t="s">
        <v>40</v>
      </c>
      <c r="D2794">
        <v>4.398784</v>
      </c>
      <c r="E2794">
        <v>0.45636640000000001</v>
      </c>
      <c r="F2794" t="s">
        <v>41</v>
      </c>
      <c r="G2794">
        <v>-495.20400000000001</v>
      </c>
      <c r="H2794" s="1">
        <v>-4.2624960000000002E-6</v>
      </c>
      <c r="I2794">
        <v>266.79969999999997</v>
      </c>
      <c r="J2794">
        <v>-481.5444</v>
      </c>
      <c r="K2794">
        <v>1.1197239999999999</v>
      </c>
      <c r="L2794">
        <v>281.35910000000001</v>
      </c>
      <c r="M2794">
        <v>-0.881104199999999</v>
      </c>
      <c r="N2794">
        <v>-1.5360759999999999E-2</v>
      </c>
      <c r="O2794">
        <v>-0.4726727</v>
      </c>
      <c r="P2794">
        <v>-0.74604459999999995</v>
      </c>
      <c r="Q2794">
        <v>0.19490199999999999</v>
      </c>
      <c r="R2794">
        <v>-0.63673459999999904</v>
      </c>
      <c r="S2794">
        <v>-2.135284</v>
      </c>
      <c r="T2794">
        <v>-0.17345559999999999</v>
      </c>
      <c r="U2794">
        <v>-2.266724</v>
      </c>
      <c r="V2794">
        <v>-0.21311369999999999</v>
      </c>
      <c r="W2794">
        <v>0.20482590000000001</v>
      </c>
      <c r="X2794">
        <v>0.9553161</v>
      </c>
      <c r="Y2794">
        <v>-0.31705409999999901</v>
      </c>
      <c r="Z2794">
        <v>8.8643929999999999E-3</v>
      </c>
      <c r="AA2794">
        <v>0.94836600000000004</v>
      </c>
      <c r="AB2794">
        <v>28</v>
      </c>
      <c r="AC2794">
        <v>-13.659599999999999</v>
      </c>
      <c r="AD2794">
        <v>-1.1197282624960001</v>
      </c>
      <c r="AE2794">
        <v>-14.5594</v>
      </c>
      <c r="AF2794">
        <v>-6.3525962120774402</v>
      </c>
      <c r="AG2794">
        <v>-1.1197282624960001</v>
      </c>
      <c r="AH2794">
        <v>18.860263047115598</v>
      </c>
      <c r="AI2794">
        <v>93.220285645583303</v>
      </c>
      <c r="AJ2794">
        <v>108.614779375116</v>
      </c>
      <c r="AK2794">
        <v>19.932857101327102</v>
      </c>
      <c r="AL2794">
        <v>78.180692103591099</v>
      </c>
      <c r="AM2794">
        <v>102.57573538517001</v>
      </c>
      <c r="AN2794">
        <v>0.99999997467885404</v>
      </c>
    </row>
    <row r="2795" spans="1:40" x14ac:dyDescent="0.25">
      <c r="A2795" t="str">
        <f>"20190304155648330"</f>
        <v>20190304155648330</v>
      </c>
      <c r="B2795" t="str">
        <f>"1551686208327863"</f>
        <v>1551686208327863</v>
      </c>
      <c r="C2795" t="s">
        <v>40</v>
      </c>
      <c r="D2795">
        <v>4.3807850000000004</v>
      </c>
      <c r="E2795">
        <v>0.4570632</v>
      </c>
      <c r="F2795" t="s">
        <v>41</v>
      </c>
      <c r="G2795">
        <v>-495.6044</v>
      </c>
      <c r="H2795" s="1">
        <v>-4.2580300000000001E-6</v>
      </c>
      <c r="I2795">
        <v>266.5779</v>
      </c>
      <c r="J2795">
        <v>-481.68279999999999</v>
      </c>
      <c r="K2795">
        <v>1.1197299999999999</v>
      </c>
      <c r="L2795">
        <v>281.27690000000001</v>
      </c>
      <c r="M2795">
        <v>-0.87761209999999901</v>
      </c>
      <c r="N2795">
        <v>-1.5365820000000001E-2</v>
      </c>
      <c r="O2795">
        <v>-0.47912529999999998</v>
      </c>
      <c r="P2795">
        <v>-0.74235759999999995</v>
      </c>
      <c r="Q2795">
        <v>0.1941398</v>
      </c>
      <c r="R2795">
        <v>-0.64126070000000002</v>
      </c>
      <c r="S2795">
        <v>-2.143005</v>
      </c>
      <c r="T2795">
        <v>-0.17066719999999999</v>
      </c>
      <c r="U2795">
        <v>-2.2529300000000001</v>
      </c>
      <c r="V2795">
        <v>-0.2118015</v>
      </c>
      <c r="W2795">
        <v>0.2041019</v>
      </c>
      <c r="X2795">
        <v>0.95576280000000002</v>
      </c>
      <c r="Y2795">
        <v>-0.30549850000000001</v>
      </c>
      <c r="Z2795">
        <v>9.2731940000000002E-3</v>
      </c>
      <c r="AA2795">
        <v>0.95214739999999998</v>
      </c>
      <c r="AB2795">
        <v>28</v>
      </c>
      <c r="AC2795">
        <v>-13.9216</v>
      </c>
      <c r="AD2795">
        <v>-1.11973425802999</v>
      </c>
      <c r="AE2795">
        <v>-14.699</v>
      </c>
      <c r="AF2795">
        <v>-6.2115632825546099</v>
      </c>
      <c r="AG2795">
        <v>-1.11973425802999</v>
      </c>
      <c r="AH2795">
        <v>19.203954775405101</v>
      </c>
      <c r="AI2795">
        <v>93.175376604799794</v>
      </c>
      <c r="AJ2795">
        <v>107.923919971749</v>
      </c>
      <c r="AK2795">
        <v>20.2145789527655</v>
      </c>
      <c r="AL2795">
        <v>78.223069758599394</v>
      </c>
      <c r="AM2795">
        <v>102.495085261909</v>
      </c>
      <c r="AN2795">
        <v>0.99999999542484996</v>
      </c>
    </row>
    <row r="2796" spans="1:40" x14ac:dyDescent="0.25">
      <c r="A2796" t="str">
        <f>"20190304155648342"</f>
        <v>20190304155648342</v>
      </c>
      <c r="B2796" t="str">
        <f>"1551686208337623"</f>
        <v>1551686208337623</v>
      </c>
      <c r="C2796" t="s">
        <v>40</v>
      </c>
      <c r="D2796">
        <v>4.3932529999999996</v>
      </c>
      <c r="E2796">
        <v>0.45732790000000001</v>
      </c>
      <c r="F2796" t="s">
        <v>41</v>
      </c>
      <c r="G2796">
        <v>-495.40350000000001</v>
      </c>
      <c r="H2796" s="1">
        <v>-4.2700090000000002E-6</v>
      </c>
      <c r="I2796">
        <v>266.71789999999999</v>
      </c>
      <c r="J2796">
        <v>-481.80669999999998</v>
      </c>
      <c r="K2796">
        <v>1.119734</v>
      </c>
      <c r="L2796">
        <v>281.20139999999998</v>
      </c>
      <c r="M2796">
        <v>-0.87441270000000004</v>
      </c>
      <c r="N2796">
        <v>-1.5370170000000001E-2</v>
      </c>
      <c r="O2796">
        <v>-0.48493930000000002</v>
      </c>
      <c r="P2796">
        <v>-0.73861290000000002</v>
      </c>
      <c r="Q2796">
        <v>0.19384019999999999</v>
      </c>
      <c r="R2796">
        <v>-0.64565989999999995</v>
      </c>
      <c r="S2796">
        <v>-2.132263</v>
      </c>
      <c r="T2796">
        <v>-0.17401240000000001</v>
      </c>
      <c r="U2796">
        <v>-2.262543</v>
      </c>
      <c r="V2796">
        <v>-0.21109249999999999</v>
      </c>
      <c r="W2796">
        <v>0.2038227</v>
      </c>
      <c r="X2796">
        <v>0.95597920000000003</v>
      </c>
      <c r="Y2796">
        <v>-0.30359799999999998</v>
      </c>
      <c r="Z2796">
        <v>9.9750710000000003E-3</v>
      </c>
      <c r="AA2796">
        <v>0.95274800000000004</v>
      </c>
      <c r="AB2796">
        <v>28</v>
      </c>
      <c r="AC2796">
        <v>-13.5968</v>
      </c>
      <c r="AD2796">
        <v>-1.1197382700089999</v>
      </c>
      <c r="AE2796">
        <v>-14.4834999999999</v>
      </c>
      <c r="AF2796">
        <v>-6.05242212452898</v>
      </c>
      <c r="AG2796">
        <v>-1.1197382700089999</v>
      </c>
      <c r="AH2796">
        <v>18.855163782586601</v>
      </c>
      <c r="AI2796">
        <v>93.236319387240002</v>
      </c>
      <c r="AJ2796">
        <v>107.79639480083399</v>
      </c>
      <c r="AK2796">
        <v>19.834385007732902</v>
      </c>
      <c r="AL2796">
        <v>78.239410098064994</v>
      </c>
      <c r="AM2796">
        <v>102.451834227635</v>
      </c>
      <c r="AN2796">
        <v>0.99999998371208898</v>
      </c>
    </row>
    <row r="2797" spans="1:40" x14ac:dyDescent="0.25">
      <c r="A2797" t="str">
        <f>"20190304155648354"</f>
        <v>20190304155648354</v>
      </c>
      <c r="B2797" t="str">
        <f>"1551686208347382"</f>
        <v>1551686208347382</v>
      </c>
      <c r="C2797" t="s">
        <v>40</v>
      </c>
      <c r="D2797">
        <v>4.3981539999999999</v>
      </c>
      <c r="E2797">
        <v>0.4576192</v>
      </c>
      <c r="F2797" t="s">
        <v>41</v>
      </c>
      <c r="G2797">
        <v>-495.3485</v>
      </c>
      <c r="H2797" s="1">
        <v>-4.2470740000000001E-6</v>
      </c>
      <c r="I2797">
        <v>266.67910000000001</v>
      </c>
      <c r="J2797">
        <v>-481.92090000000002</v>
      </c>
      <c r="K2797">
        <v>1.1197379999999999</v>
      </c>
      <c r="L2797">
        <v>281.13130000000001</v>
      </c>
      <c r="M2797">
        <v>-0.87142120000000001</v>
      </c>
      <c r="N2797">
        <v>-1.5374000000000001E-2</v>
      </c>
      <c r="O2797">
        <v>-0.49029460000000002</v>
      </c>
      <c r="P2797">
        <v>-0.73513669999999998</v>
      </c>
      <c r="Q2797">
        <v>0.1935702</v>
      </c>
      <c r="R2797">
        <v>-0.64969619999999995</v>
      </c>
      <c r="S2797">
        <v>-2.120209</v>
      </c>
      <c r="T2797">
        <v>-0.17531469999999999</v>
      </c>
      <c r="U2797">
        <v>-2.2737120000000002</v>
      </c>
      <c r="V2797">
        <v>-0.21042359999999999</v>
      </c>
      <c r="W2797">
        <v>0.20357249999999999</v>
      </c>
      <c r="X2797">
        <v>0.95618000000000003</v>
      </c>
      <c r="Y2797">
        <v>-0.30279409999999901</v>
      </c>
      <c r="Z2797">
        <v>1.0398900000000001E-2</v>
      </c>
      <c r="AA2797">
        <v>0.95299929999999999</v>
      </c>
      <c r="AB2797">
        <v>28</v>
      </c>
      <c r="AC2797">
        <v>-13.427599999999901</v>
      </c>
      <c r="AD2797">
        <v>-1.1197422470739999</v>
      </c>
      <c r="AE2797">
        <v>-14.452199999999999</v>
      </c>
      <c r="AF2797">
        <v>-5.9918792225932602</v>
      </c>
      <c r="AG2797">
        <v>-1.1197422470739999</v>
      </c>
      <c r="AH2797">
        <v>18.728810199463101</v>
      </c>
      <c r="AI2797">
        <v>93.259126124171004</v>
      </c>
      <c r="AJ2797">
        <v>107.740952845617</v>
      </c>
      <c r="AK2797">
        <v>19.695805919168102</v>
      </c>
      <c r="AL2797">
        <v>78.254052968641005</v>
      </c>
      <c r="AM2797">
        <v>102.41107641063699</v>
      </c>
      <c r="AN2797">
        <v>1.0000000232966</v>
      </c>
    </row>
    <row r="2798" spans="1:40" x14ac:dyDescent="0.25">
      <c r="A2798" t="str">
        <f>"20190304155648364"</f>
        <v>20190304155648364</v>
      </c>
      <c r="B2798" t="str">
        <f>"1551686208357143"</f>
        <v>1551686208357143</v>
      </c>
      <c r="C2798" t="s">
        <v>40</v>
      </c>
      <c r="D2798">
        <v>4.4060750000000004</v>
      </c>
      <c r="E2798">
        <v>0.4576192</v>
      </c>
      <c r="F2798" t="s">
        <v>41</v>
      </c>
      <c r="G2798">
        <v>-495.27109999999999</v>
      </c>
      <c r="H2798" s="1">
        <v>-4.2315250000000001E-6</v>
      </c>
      <c r="I2798">
        <v>266.67380000000003</v>
      </c>
      <c r="J2798">
        <v>-482.04520000000002</v>
      </c>
      <c r="K2798">
        <v>1.1197410000000001</v>
      </c>
      <c r="L2798">
        <v>281.05360000000002</v>
      </c>
      <c r="M2798">
        <v>-0.86810609999999999</v>
      </c>
      <c r="N2798">
        <v>-1.537785E-2</v>
      </c>
      <c r="O2798">
        <v>-0.49614059999999999</v>
      </c>
      <c r="P2798">
        <v>-0.73117880000000002</v>
      </c>
      <c r="Q2798">
        <v>0.1938309</v>
      </c>
      <c r="R2798">
        <v>-0.65406969999999998</v>
      </c>
      <c r="S2798">
        <v>-2.1090089999999999</v>
      </c>
      <c r="T2798">
        <v>-0.17689189999999999</v>
      </c>
      <c r="U2798">
        <v>-2.2839360000000002</v>
      </c>
      <c r="V2798">
        <v>-0.20974080000000001</v>
      </c>
      <c r="W2798">
        <v>0.20385220000000001</v>
      </c>
      <c r="X2798">
        <v>0.95627039999999996</v>
      </c>
      <c r="Y2798">
        <v>-0.30104409999999998</v>
      </c>
      <c r="Z2798">
        <v>1.0915579999999999E-2</v>
      </c>
      <c r="AA2798">
        <v>0.95354779999999995</v>
      </c>
      <c r="AB2798">
        <v>28</v>
      </c>
      <c r="AC2798">
        <v>-13.2258999999999</v>
      </c>
      <c r="AD2798">
        <v>-1.1197452315249901</v>
      </c>
      <c r="AE2798">
        <v>-14.3797999999999</v>
      </c>
      <c r="AF2798">
        <v>-5.9025968496344996</v>
      </c>
      <c r="AG2798">
        <v>-1.1197452315249901</v>
      </c>
      <c r="AH2798">
        <v>18.5571299630341</v>
      </c>
      <c r="AI2798">
        <v>93.290980396459204</v>
      </c>
      <c r="AJ2798">
        <v>107.644672273613</v>
      </c>
      <c r="AK2798">
        <v>19.505423641074199</v>
      </c>
      <c r="AL2798">
        <v>78.237683822372901</v>
      </c>
      <c r="AM2798">
        <v>102.370912508277</v>
      </c>
      <c r="AN2798">
        <v>1.00000000027282</v>
      </c>
    </row>
    <row r="2799" spans="1:40" x14ac:dyDescent="0.25">
      <c r="A2799" t="str">
        <f>"20190304155648377"</f>
        <v>20190304155648377</v>
      </c>
      <c r="B2799" t="str">
        <f>"1551686208367879"</f>
        <v>1551686208367879</v>
      </c>
      <c r="C2799" t="s">
        <v>40</v>
      </c>
      <c r="D2799">
        <v>4.4142210000000004</v>
      </c>
      <c r="E2799">
        <v>0.46160109999999899</v>
      </c>
      <c r="F2799" t="s">
        <v>41</v>
      </c>
      <c r="G2799">
        <v>-495.38099999999997</v>
      </c>
      <c r="H2799" s="1">
        <v>-4.1694890000000004E-6</v>
      </c>
      <c r="I2799">
        <v>266.43419999999998</v>
      </c>
      <c r="J2799">
        <v>-482.16180000000003</v>
      </c>
      <c r="K2799">
        <v>1.119742</v>
      </c>
      <c r="L2799">
        <v>280.9796</v>
      </c>
      <c r="M2799">
        <v>-0.86493699999999996</v>
      </c>
      <c r="N2799">
        <v>-1.538134E-2</v>
      </c>
      <c r="O2799">
        <v>-0.50164470000000005</v>
      </c>
      <c r="P2799">
        <v>-0.72759370000000001</v>
      </c>
      <c r="Q2799">
        <v>0.1933453</v>
      </c>
      <c r="R2799">
        <v>-0.65819830000000001</v>
      </c>
      <c r="S2799">
        <v>-2.095062</v>
      </c>
      <c r="T2799">
        <v>-0.1759125</v>
      </c>
      <c r="U2799">
        <v>-2.2967219999999999</v>
      </c>
      <c r="V2799">
        <v>-0.20900389999999999</v>
      </c>
      <c r="W2799">
        <v>0.2033886</v>
      </c>
      <c r="X2799">
        <v>0.95653049999999995</v>
      </c>
      <c r="Y2799">
        <v>-0.30079499999999998</v>
      </c>
      <c r="Z2799">
        <v>1.1069519999999999E-2</v>
      </c>
      <c r="AA2799">
        <v>0.95362460000000004</v>
      </c>
      <c r="AB2799">
        <v>28</v>
      </c>
      <c r="AC2799">
        <v>-13.219199999999899</v>
      </c>
      <c r="AD2799">
        <v>-1.1197461694890001</v>
      </c>
      <c r="AE2799">
        <v>-14.545400000000001</v>
      </c>
      <c r="AF2799">
        <v>-5.9309672997206402</v>
      </c>
      <c r="AG2799">
        <v>-1.1197461694890001</v>
      </c>
      <c r="AH2799">
        <v>18.672011928402899</v>
      </c>
      <c r="AI2799">
        <v>93.271191374268597</v>
      </c>
      <c r="AJ2799">
        <v>107.621900395222</v>
      </c>
      <c r="AK2799">
        <v>19.623308437897499</v>
      </c>
      <c r="AL2799">
        <v>78.264815427778004</v>
      </c>
      <c r="AM2799">
        <v>102.325530268188</v>
      </c>
      <c r="AN2799">
        <v>1.0000000751277001</v>
      </c>
    </row>
    <row r="2800" spans="1:40" x14ac:dyDescent="0.25">
      <c r="A2800" t="str">
        <f>"20190304155648390"</f>
        <v>20190304155648390</v>
      </c>
      <c r="B2800" t="str">
        <f>"1551686208387398"</f>
        <v>1551686208387398</v>
      </c>
      <c r="C2800" t="s">
        <v>40</v>
      </c>
      <c r="D2800">
        <v>4.3827699999999998</v>
      </c>
      <c r="E2800">
        <v>0.46233010000000002</v>
      </c>
      <c r="F2800" t="s">
        <v>41</v>
      </c>
      <c r="G2800">
        <v>-495.18729999999999</v>
      </c>
      <c r="H2800" s="1">
        <v>-4.2703310000000002E-6</v>
      </c>
      <c r="I2800">
        <v>266.83150000000001</v>
      </c>
      <c r="J2800">
        <v>-482.2953</v>
      </c>
      <c r="K2800">
        <v>1.119745</v>
      </c>
      <c r="L2800">
        <v>280.89420000000001</v>
      </c>
      <c r="M2800">
        <v>-0.86125309999999899</v>
      </c>
      <c r="N2800">
        <v>-1.538522E-2</v>
      </c>
      <c r="O2800">
        <v>-0.50794329999999999</v>
      </c>
      <c r="P2800">
        <v>-0.72318019999999905</v>
      </c>
      <c r="Q2800">
        <v>0.19331300000000001</v>
      </c>
      <c r="R2800">
        <v>-0.66305419999999904</v>
      </c>
      <c r="S2800">
        <v>-2.1039430000000001</v>
      </c>
      <c r="T2800">
        <v>-0.18086659999999999</v>
      </c>
      <c r="U2800">
        <v>-2.2852779999999999</v>
      </c>
      <c r="V2800">
        <v>-0.20842169999999999</v>
      </c>
      <c r="W2800">
        <v>0.2033732</v>
      </c>
      <c r="X2800">
        <v>0.95666070000000003</v>
      </c>
      <c r="Y2800">
        <v>-0.28945939999999998</v>
      </c>
      <c r="Z2800">
        <v>1.236516E-2</v>
      </c>
      <c r="AA2800">
        <v>0.95711040000000003</v>
      </c>
      <c r="AB2800">
        <v>28</v>
      </c>
      <c r="AC2800">
        <v>-12.8919999999999</v>
      </c>
      <c r="AD2800">
        <v>-1.1197492703309999</v>
      </c>
      <c r="AE2800">
        <v>-14.0627</v>
      </c>
      <c r="AF2800">
        <v>-5.5446962116735596</v>
      </c>
      <c r="AG2800">
        <v>-1.1197492703309999</v>
      </c>
      <c r="AH2800">
        <v>18.185839583455198</v>
      </c>
      <c r="AI2800">
        <v>93.370597108882507</v>
      </c>
      <c r="AJ2800">
        <v>106.955984483176</v>
      </c>
      <c r="AK2800">
        <v>19.045268595200199</v>
      </c>
      <c r="AL2800">
        <v>78.265715476413007</v>
      </c>
      <c r="AM2800">
        <v>102.290619511901</v>
      </c>
      <c r="AN2800">
        <v>0.99999997921680905</v>
      </c>
    </row>
    <row r="2801" spans="1:40" x14ac:dyDescent="0.25">
      <c r="A2801" t="str">
        <f>"20190304155648402"</f>
        <v>20190304155648402</v>
      </c>
      <c r="B2801" t="str">
        <f>"1551686208397159"</f>
        <v>1551686208397159</v>
      </c>
      <c r="C2801" t="s">
        <v>40</v>
      </c>
      <c r="D2801">
        <v>4.4035900000000003</v>
      </c>
      <c r="E2801">
        <v>0.46262189999999997</v>
      </c>
      <c r="F2801" t="s">
        <v>41</v>
      </c>
      <c r="G2801">
        <v>-495.19319999999999</v>
      </c>
      <c r="H2801" s="1">
        <v>-4.2397579999999997E-6</v>
      </c>
      <c r="I2801">
        <v>266.73860000000002</v>
      </c>
      <c r="J2801">
        <v>-482.4171</v>
      </c>
      <c r="K2801">
        <v>1.1197469999999901</v>
      </c>
      <c r="L2801">
        <v>280.81420000000003</v>
      </c>
      <c r="M2801">
        <v>-0.85781600000000002</v>
      </c>
      <c r="N2801">
        <v>-1.5388600000000001E-2</v>
      </c>
      <c r="O2801">
        <v>-0.51372640000000003</v>
      </c>
      <c r="P2801">
        <v>-0.71931730000000005</v>
      </c>
      <c r="Q2801">
        <v>0.19279199999999999</v>
      </c>
      <c r="R2801">
        <v>-0.66739340000000003</v>
      </c>
      <c r="S2801">
        <v>-2.091888</v>
      </c>
      <c r="T2801">
        <v>-0.18160989999999999</v>
      </c>
      <c r="U2801">
        <v>-2.295868</v>
      </c>
      <c r="V2801">
        <v>-0.20765749999999999</v>
      </c>
      <c r="W2801">
        <v>0.202875</v>
      </c>
      <c r="X2801">
        <v>0.95693269999999997</v>
      </c>
      <c r="Y2801">
        <v>-0.2879697</v>
      </c>
      <c r="Z2801">
        <v>1.279288E-2</v>
      </c>
      <c r="AA2801">
        <v>0.95755400000000002</v>
      </c>
      <c r="AB2801">
        <v>28</v>
      </c>
      <c r="AC2801">
        <v>-12.7760999999999</v>
      </c>
      <c r="AD2801">
        <v>-1.1197512397579901</v>
      </c>
      <c r="AE2801">
        <v>-14.0756</v>
      </c>
      <c r="AF2801">
        <v>-5.4924497947529103</v>
      </c>
      <c r="AG2801">
        <v>-1.1197512397579901</v>
      </c>
      <c r="AH2801">
        <v>18.129797242251701</v>
      </c>
      <c r="AI2801">
        <v>93.382818527755205</v>
      </c>
      <c r="AJ2801">
        <v>106.854264855114</v>
      </c>
      <c r="AK2801">
        <v>18.976574918356</v>
      </c>
      <c r="AL2801">
        <v>78.294868788989604</v>
      </c>
      <c r="AM2801">
        <v>102.243541136804</v>
      </c>
      <c r="AN2801">
        <v>1.00000004763026</v>
      </c>
    </row>
    <row r="2802" spans="1:40" x14ac:dyDescent="0.25">
      <c r="A2802" t="str">
        <f>"20190304155648415"</f>
        <v>20190304155648415</v>
      </c>
      <c r="B2802" t="str">
        <f>"1551686208407895"</f>
        <v>1551686208407895</v>
      </c>
      <c r="C2802" t="s">
        <v>40</v>
      </c>
      <c r="D2802">
        <v>4.3777910000000002</v>
      </c>
      <c r="E2802">
        <v>0.46300190000000002</v>
      </c>
      <c r="F2802" t="s">
        <v>41</v>
      </c>
      <c r="G2802">
        <v>-495.1096</v>
      </c>
      <c r="H2802" s="1">
        <v>-4.2241629999999998E-6</v>
      </c>
      <c r="I2802">
        <v>266.73630000000003</v>
      </c>
      <c r="J2802">
        <v>-482.55180000000001</v>
      </c>
      <c r="K2802">
        <v>1.1197440000000001</v>
      </c>
      <c r="L2802">
        <v>280.72480000000002</v>
      </c>
      <c r="M2802">
        <v>-0.85394939999999997</v>
      </c>
      <c r="N2802">
        <v>-1.5392090000000001E-2</v>
      </c>
      <c r="O2802">
        <v>-0.52012840000000005</v>
      </c>
      <c r="P2802">
        <v>-0.71456399999999998</v>
      </c>
      <c r="Q2802">
        <v>0.19242190000000001</v>
      </c>
      <c r="R2802">
        <v>-0.67258629999999997</v>
      </c>
      <c r="S2802">
        <v>-2.0796809999999999</v>
      </c>
      <c r="T2802">
        <v>-0.1834723</v>
      </c>
      <c r="U2802">
        <v>-2.3066710000000001</v>
      </c>
      <c r="V2802">
        <v>-0.20737069999999999</v>
      </c>
      <c r="W2802">
        <v>0.2025159</v>
      </c>
      <c r="X2802">
        <v>0.95707089999999995</v>
      </c>
      <c r="Y2802">
        <v>-0.28584159999999997</v>
      </c>
      <c r="Z2802">
        <v>1.341752E-2</v>
      </c>
      <c r="AA2802">
        <v>0.95818289999999995</v>
      </c>
      <c r="AB2802">
        <v>28</v>
      </c>
      <c r="AC2802">
        <v>-12.557799999999901</v>
      </c>
      <c r="AD2802">
        <v>-1.1197482241629999</v>
      </c>
      <c r="AE2802">
        <v>-13.988499999999901</v>
      </c>
      <c r="AF2802">
        <v>-5.3953006701132002</v>
      </c>
      <c r="AG2802">
        <v>-1.1197482241629999</v>
      </c>
      <c r="AH2802">
        <v>17.938027070102901</v>
      </c>
      <c r="AI2802">
        <v>93.420943619795395</v>
      </c>
      <c r="AJ2802">
        <v>106.73994576658301</v>
      </c>
      <c r="AK2802">
        <v>18.765284985157699</v>
      </c>
      <c r="AL2802">
        <v>78.315879316731397</v>
      </c>
      <c r="AM2802">
        <v>102.225427928827</v>
      </c>
      <c r="AN2802">
        <v>1.0000000022990501</v>
      </c>
    </row>
    <row r="2803" spans="1:40" x14ac:dyDescent="0.25">
      <c r="A2803" t="str">
        <f>"20190304155648429"</f>
        <v>20190304155648429</v>
      </c>
      <c r="B2803" t="str">
        <f>"1551686208417655"</f>
        <v>1551686208417655</v>
      </c>
      <c r="C2803" t="s">
        <v>40</v>
      </c>
      <c r="D2803">
        <v>4.3884819999999998</v>
      </c>
      <c r="E2803">
        <v>0.46300190000000002</v>
      </c>
      <c r="F2803" t="s">
        <v>41</v>
      </c>
      <c r="G2803">
        <v>-495.07589999999999</v>
      </c>
      <c r="H2803" s="1">
        <v>-4.189867E-6</v>
      </c>
      <c r="I2803">
        <v>266.65309999999999</v>
      </c>
      <c r="J2803">
        <v>-482.68959999999998</v>
      </c>
      <c r="K2803">
        <v>1.1197410000000001</v>
      </c>
      <c r="L2803">
        <v>280.63200000000001</v>
      </c>
      <c r="M2803">
        <v>-0.84992259999999997</v>
      </c>
      <c r="N2803">
        <v>-1.539534E-2</v>
      </c>
      <c r="O2803">
        <v>-0.52668269999999995</v>
      </c>
      <c r="P2803">
        <v>-0.70977819999999903</v>
      </c>
      <c r="Q2803">
        <v>0.1919188</v>
      </c>
      <c r="R2803">
        <v>-0.67777749999999903</v>
      </c>
      <c r="S2803">
        <v>-2.0646360000000001</v>
      </c>
      <c r="T2803">
        <v>-0.1845948</v>
      </c>
      <c r="U2803">
        <v>-2.319763</v>
      </c>
      <c r="V2803">
        <v>-0.2069018</v>
      </c>
      <c r="W2803">
        <v>0.2020284</v>
      </c>
      <c r="X2803">
        <v>0.9572754</v>
      </c>
      <c r="Y2803">
        <v>-0.2846302</v>
      </c>
      <c r="Z2803">
        <v>1.393339E-2</v>
      </c>
      <c r="AA2803">
        <v>0.9585361</v>
      </c>
      <c r="AB2803">
        <v>28</v>
      </c>
      <c r="AC2803">
        <v>-12.3863</v>
      </c>
      <c r="AD2803">
        <v>-1.1197451898669999</v>
      </c>
      <c r="AE2803">
        <v>-13.978899999999999</v>
      </c>
      <c r="AF2803">
        <v>-5.3387781953796596</v>
      </c>
      <c r="AG2803">
        <v>-1.1197451898669999</v>
      </c>
      <c r="AH2803">
        <v>17.827880340256701</v>
      </c>
      <c r="AI2803">
        <v>93.4432601283618</v>
      </c>
      <c r="AJ2803">
        <v>106.670976313463</v>
      </c>
      <c r="AK2803">
        <v>18.643757650650901</v>
      </c>
      <c r="AL2803">
        <v>78.344400657286499</v>
      </c>
      <c r="AM2803">
        <v>102.19608496959999</v>
      </c>
      <c r="AN2803">
        <v>1.00000001034748</v>
      </c>
    </row>
    <row r="2804" spans="1:40" x14ac:dyDescent="0.25">
      <c r="A2804" t="str">
        <f>"20190304155648444"</f>
        <v>20190304155648444</v>
      </c>
      <c r="B2804" t="str">
        <f>"1551686208437176"</f>
        <v>1551686208437176</v>
      </c>
      <c r="C2804" t="s">
        <v>40</v>
      </c>
      <c r="D2804">
        <v>4.4065640000000004</v>
      </c>
      <c r="E2804">
        <v>0.46635919999999997</v>
      </c>
      <c r="F2804" t="s">
        <v>41</v>
      </c>
      <c r="G2804">
        <v>-495.01710000000003</v>
      </c>
      <c r="H2804" s="1">
        <v>-4.1510679999999999E-6</v>
      </c>
      <c r="I2804">
        <v>266.56979999999999</v>
      </c>
      <c r="J2804">
        <v>-482.83120000000002</v>
      </c>
      <c r="K2804">
        <v>1.1197360000000001</v>
      </c>
      <c r="L2804">
        <v>280.53449999999998</v>
      </c>
      <c r="M2804">
        <v>-0.84568880000000002</v>
      </c>
      <c r="N2804">
        <v>-1.53984E-2</v>
      </c>
      <c r="O2804">
        <v>-0.5334544</v>
      </c>
      <c r="P2804">
        <v>-0.7051328</v>
      </c>
      <c r="Q2804">
        <v>0.19033040000000001</v>
      </c>
      <c r="R2804">
        <v>-0.68305369999999999</v>
      </c>
      <c r="S2804">
        <v>-2.0470890000000002</v>
      </c>
      <c r="T2804">
        <v>-0.18594459999999999</v>
      </c>
      <c r="U2804">
        <v>-2.335175</v>
      </c>
      <c r="V2804">
        <v>-0.20613029999999999</v>
      </c>
      <c r="W2804">
        <v>0.20046739999999999</v>
      </c>
      <c r="X2804">
        <v>0.95776989999999995</v>
      </c>
      <c r="Y2804">
        <v>-0.28418969999999999</v>
      </c>
      <c r="Z2804">
        <v>1.446863E-2</v>
      </c>
      <c r="AA2804">
        <v>0.95865889999999998</v>
      </c>
      <c r="AB2804">
        <v>28</v>
      </c>
      <c r="AC2804">
        <v>-12.1859</v>
      </c>
      <c r="AD2804">
        <v>-1.1197401510680001</v>
      </c>
      <c r="AE2804">
        <v>-13.964699999999899</v>
      </c>
      <c r="AF2804">
        <v>-5.2904868469746198</v>
      </c>
      <c r="AG2804">
        <v>-1.1197401510680001</v>
      </c>
      <c r="AH2804">
        <v>17.692534604030602</v>
      </c>
      <c r="AI2804">
        <v>93.469937944177204</v>
      </c>
      <c r="AJ2804">
        <v>106.647910378332</v>
      </c>
      <c r="AK2804">
        <v>18.500509447005602</v>
      </c>
      <c r="AL2804">
        <v>78.435707717896406</v>
      </c>
      <c r="AM2804">
        <v>102.14587414966699</v>
      </c>
      <c r="AN2804">
        <v>1.00000003019342</v>
      </c>
    </row>
    <row r="2805" spans="1:40" x14ac:dyDescent="0.25">
      <c r="A2805" t="str">
        <f>"20190304155648458"</f>
        <v>20190304155648458</v>
      </c>
      <c r="B2805" t="str">
        <f>"1551686208447911"</f>
        <v>1551686208447911</v>
      </c>
      <c r="C2805" t="s">
        <v>40</v>
      </c>
      <c r="D2805">
        <v>4.3798380000000003</v>
      </c>
      <c r="E2805">
        <v>0.46635919999999997</v>
      </c>
      <c r="F2805" t="s">
        <v>41</v>
      </c>
      <c r="G2805">
        <v>-494.39319999999998</v>
      </c>
      <c r="H2805" s="1">
        <v>-4.3144959999999998E-6</v>
      </c>
      <c r="I2805">
        <v>267.37520000000001</v>
      </c>
      <c r="J2805">
        <v>-482.98160000000001</v>
      </c>
      <c r="K2805">
        <v>1.1197379999999999</v>
      </c>
      <c r="L2805">
        <v>280.42930000000001</v>
      </c>
      <c r="M2805">
        <v>-0.84110390000000002</v>
      </c>
      <c r="N2805">
        <v>-1.54015E-2</v>
      </c>
      <c r="O2805">
        <v>-0.54065419999999997</v>
      </c>
      <c r="P2805">
        <v>-0.69964919999999997</v>
      </c>
      <c r="Q2805">
        <v>0.1897964</v>
      </c>
      <c r="R2805">
        <v>-0.68881709999999996</v>
      </c>
      <c r="S2805">
        <v>-2.0490110000000001</v>
      </c>
      <c r="T2805">
        <v>-0.1984408</v>
      </c>
      <c r="U2805">
        <v>-2.3320919999999998</v>
      </c>
      <c r="V2805">
        <v>-0.20572280000000001</v>
      </c>
      <c r="W2805">
        <v>0.19994790000000001</v>
      </c>
      <c r="X2805">
        <v>0.95796610000000004</v>
      </c>
      <c r="Y2805">
        <v>-0.2749569</v>
      </c>
      <c r="Z2805">
        <v>1.6851789999999998E-2</v>
      </c>
      <c r="AA2805">
        <v>0.96130890000000002</v>
      </c>
      <c r="AB2805">
        <v>28</v>
      </c>
      <c r="AC2805">
        <v>-11.4115999999999</v>
      </c>
      <c r="AD2805">
        <v>-1.1197423144959999</v>
      </c>
      <c r="AE2805">
        <v>-13.0541</v>
      </c>
      <c r="AF2805">
        <v>-4.79071556394263</v>
      </c>
      <c r="AG2805">
        <v>-1.1197423144959999</v>
      </c>
      <c r="AH2805">
        <v>16.588886063503899</v>
      </c>
      <c r="AI2805">
        <v>93.710405516686393</v>
      </c>
      <c r="AJ2805">
        <v>106.108224185374</v>
      </c>
      <c r="AK2805">
        <v>17.303060980456301</v>
      </c>
      <c r="AL2805">
        <v>78.4660880947214</v>
      </c>
      <c r="AM2805">
        <v>102.120164381248</v>
      </c>
      <c r="AN2805">
        <v>1.00000004095172</v>
      </c>
    </row>
    <row r="2806" spans="1:40" x14ac:dyDescent="0.25">
      <c r="A2806" t="str">
        <f>"20190304155648472"</f>
        <v>20190304155648472</v>
      </c>
      <c r="B2806" t="str">
        <f>"1551686208467430"</f>
        <v>1551686208467430</v>
      </c>
      <c r="C2806" t="s">
        <v>40</v>
      </c>
      <c r="D2806">
        <v>4.3854709999999999</v>
      </c>
      <c r="E2806">
        <v>0.46688730000000001</v>
      </c>
      <c r="F2806" t="s">
        <v>41</v>
      </c>
      <c r="G2806">
        <v>-494.35169999999999</v>
      </c>
      <c r="H2806" s="1">
        <v>-4.2713339999999998E-6</v>
      </c>
      <c r="I2806">
        <v>267.27</v>
      </c>
      <c r="J2806">
        <v>-483.10840000000002</v>
      </c>
      <c r="K2806">
        <v>1.119737</v>
      </c>
      <c r="L2806">
        <v>280.33940000000001</v>
      </c>
      <c r="M2806">
        <v>-0.83716159999999995</v>
      </c>
      <c r="N2806">
        <v>-1.5404030000000001E-2</v>
      </c>
      <c r="O2806">
        <v>-0.54673859999999996</v>
      </c>
      <c r="P2806">
        <v>-0.69500209999999996</v>
      </c>
      <c r="Q2806">
        <v>0.18954950000000001</v>
      </c>
      <c r="R2806">
        <v>-0.69357290000000005</v>
      </c>
      <c r="S2806">
        <v>-2.029541</v>
      </c>
      <c r="T2806">
        <v>-0.1998711</v>
      </c>
      <c r="U2806">
        <v>-2.3489070000000001</v>
      </c>
      <c r="V2806">
        <v>-0.20526759999999999</v>
      </c>
      <c r="W2806">
        <v>0.1997157</v>
      </c>
      <c r="X2806">
        <v>0.95811210000000002</v>
      </c>
      <c r="Y2806">
        <v>-0.27595799999999998</v>
      </c>
      <c r="Z2806">
        <v>1.7351370000000001E-2</v>
      </c>
      <c r="AA2806">
        <v>0.96101309999999995</v>
      </c>
      <c r="AB2806">
        <v>27</v>
      </c>
      <c r="AC2806">
        <v>-11.2432999999999</v>
      </c>
      <c r="AD2806">
        <v>-1.119741271334</v>
      </c>
      <c r="AE2806">
        <v>-13.0694</v>
      </c>
      <c r="AF2806">
        <v>-4.77448172068046</v>
      </c>
      <c r="AG2806">
        <v>-1.119741271334</v>
      </c>
      <c r="AH2806">
        <v>16.490405494815501</v>
      </c>
      <c r="AI2806">
        <v>93.731763003151499</v>
      </c>
      <c r="AJ2806">
        <v>106.147362780439</v>
      </c>
      <c r="AK2806">
        <v>17.204155590998401</v>
      </c>
      <c r="AL2806">
        <v>78.479665236677405</v>
      </c>
      <c r="AM2806">
        <v>102.092347932837</v>
      </c>
      <c r="AN2806">
        <v>0.99999997230132898</v>
      </c>
    </row>
    <row r="2807" spans="1:40" x14ac:dyDescent="0.25">
      <c r="A2807" t="str">
        <f>"20190304155648484"</f>
        <v>20190304155648484</v>
      </c>
      <c r="B2807" t="str">
        <f>"1551686208477191"</f>
        <v>1551686208477191</v>
      </c>
      <c r="C2807" t="s">
        <v>40</v>
      </c>
      <c r="D2807">
        <v>4.409186</v>
      </c>
      <c r="E2807">
        <v>0.46744049999999998</v>
      </c>
      <c r="F2807" t="s">
        <v>41</v>
      </c>
      <c r="G2807">
        <v>-495.00139999999999</v>
      </c>
      <c r="H2807" s="1">
        <v>-4.0949630000000002E-6</v>
      </c>
      <c r="I2807">
        <v>266.41300000000001</v>
      </c>
      <c r="J2807">
        <v>-483.22989999999999</v>
      </c>
      <c r="K2807">
        <v>1.119742</v>
      </c>
      <c r="L2807">
        <v>280.25139999999999</v>
      </c>
      <c r="M2807">
        <v>-0.83330859999999995</v>
      </c>
      <c r="N2807">
        <v>-1.5406380000000001E-2</v>
      </c>
      <c r="O2807">
        <v>-0.55259349999999996</v>
      </c>
      <c r="P2807">
        <v>-0.69028639999999997</v>
      </c>
      <c r="Q2807">
        <v>0.18935250000000001</v>
      </c>
      <c r="R2807">
        <v>-0.69831969999999899</v>
      </c>
      <c r="S2807">
        <v>-2.0143430000000002</v>
      </c>
      <c r="T2807">
        <v>-0.18965280000000001</v>
      </c>
      <c r="U2807">
        <v>-2.3587340000000001</v>
      </c>
      <c r="V2807">
        <v>-0.2050834</v>
      </c>
      <c r="W2807">
        <v>0.19952549999999999</v>
      </c>
      <c r="X2807">
        <v>0.95819120000000002</v>
      </c>
      <c r="Y2807">
        <v>-0.2747676</v>
      </c>
      <c r="Z2807">
        <v>1.631202E-2</v>
      </c>
      <c r="AA2807">
        <v>0.96137229999999996</v>
      </c>
      <c r="AB2807">
        <v>27</v>
      </c>
      <c r="AC2807">
        <v>-11.7715</v>
      </c>
      <c r="AD2807">
        <v>-1.119746094963</v>
      </c>
      <c r="AE2807">
        <v>-13.838399999999901</v>
      </c>
      <c r="AF2807">
        <v>-5.0083743780941701</v>
      </c>
      <c r="AG2807">
        <v>-1.119746094963</v>
      </c>
      <c r="AH2807">
        <v>17.3923048207844</v>
      </c>
      <c r="AI2807">
        <v>93.540241690916105</v>
      </c>
      <c r="AJ2807">
        <v>106.06454669059799</v>
      </c>
      <c r="AK2807">
        <v>18.1336679192991</v>
      </c>
      <c r="AL2807">
        <v>78.490787067711096</v>
      </c>
      <c r="AM2807">
        <v>102.080847566207</v>
      </c>
      <c r="AN2807">
        <v>1.0000000009316199</v>
      </c>
    </row>
    <row r="2808" spans="1:40" x14ac:dyDescent="0.25">
      <c r="A2808" t="str">
        <f>"20190304155648495"</f>
        <v>20190304155648495</v>
      </c>
      <c r="B2808" t="str">
        <f>"1551686208487940"</f>
        <v>1551686208487940</v>
      </c>
      <c r="C2808" t="s">
        <v>40</v>
      </c>
      <c r="D2808">
        <v>4.4048350000000003</v>
      </c>
      <c r="E2808">
        <v>0.46801979999999999</v>
      </c>
      <c r="F2808" t="s">
        <v>41</v>
      </c>
      <c r="G2808">
        <v>-495.05029999999999</v>
      </c>
      <c r="H2808" s="1">
        <v>-4.0495139999999999E-6</v>
      </c>
      <c r="I2808">
        <v>266.25400000000002</v>
      </c>
      <c r="J2808">
        <v>-483.33969999999999</v>
      </c>
      <c r="K2808">
        <v>1.1197410000000001</v>
      </c>
      <c r="L2808">
        <v>280.17110000000002</v>
      </c>
      <c r="M2808">
        <v>-0.82977429999999996</v>
      </c>
      <c r="N2808">
        <v>-1.5408460000000001E-2</v>
      </c>
      <c r="O2808">
        <v>-0.55788660000000001</v>
      </c>
      <c r="P2808">
        <v>-0.68589869999999997</v>
      </c>
      <c r="Q2808">
        <v>0.1890878</v>
      </c>
      <c r="R2808">
        <v>-0.70270149999999998</v>
      </c>
      <c r="S2808">
        <v>-2.0009459999999999</v>
      </c>
      <c r="T2808">
        <v>-0.1895503</v>
      </c>
      <c r="U2808">
        <v>-2.3694760000000001</v>
      </c>
      <c r="V2808">
        <v>-0.20503959999999999</v>
      </c>
      <c r="W2808">
        <v>0.19926479999999999</v>
      </c>
      <c r="X2808">
        <v>0.95825479999999996</v>
      </c>
      <c r="Y2808">
        <v>-0.27397369999999999</v>
      </c>
      <c r="Z2808">
        <v>1.6606539999999999E-2</v>
      </c>
      <c r="AA2808">
        <v>0.96159380000000005</v>
      </c>
      <c r="AB2808">
        <v>27</v>
      </c>
      <c r="AC2808">
        <v>-11.710599999999999</v>
      </c>
      <c r="AD2808">
        <v>-1.11974504951399</v>
      </c>
      <c r="AE2808">
        <v>-13.9171</v>
      </c>
      <c r="AF2808">
        <v>-4.9965229197483003</v>
      </c>
      <c r="AG2808">
        <v>-1.11974504951399</v>
      </c>
      <c r="AH2808">
        <v>17.4173795371319</v>
      </c>
      <c r="AI2808">
        <v>93.536179907474704</v>
      </c>
      <c r="AJ2808">
        <v>106.00659492009299</v>
      </c>
      <c r="AK2808">
        <v>18.154453453739102</v>
      </c>
      <c r="AL2808">
        <v>78.5060299267152</v>
      </c>
      <c r="AM2808">
        <v>102.077565100475</v>
      </c>
      <c r="AN2808">
        <v>0.99999997990511902</v>
      </c>
    </row>
    <row r="2809" spans="1:40" x14ac:dyDescent="0.25">
      <c r="A2809" t="str">
        <f>"20190304155648507"</f>
        <v>20190304155648507</v>
      </c>
      <c r="B2809" t="str">
        <f>"1551686208497699"</f>
        <v>1551686208497699</v>
      </c>
      <c r="C2809" t="s">
        <v>40</v>
      </c>
      <c r="D2809">
        <v>4.3892620000000004</v>
      </c>
      <c r="E2809">
        <v>0.46853679999999998</v>
      </c>
      <c r="F2809" t="s">
        <v>41</v>
      </c>
      <c r="G2809">
        <v>-495.12090000000001</v>
      </c>
      <c r="H2809" s="1">
        <v>-4.0038709999999997E-6</v>
      </c>
      <c r="I2809">
        <v>266.0831</v>
      </c>
      <c r="J2809">
        <v>-483.45839999999998</v>
      </c>
      <c r="K2809">
        <v>1.11974</v>
      </c>
      <c r="L2809">
        <v>280.08300000000003</v>
      </c>
      <c r="M2809">
        <v>-0.82588729999999999</v>
      </c>
      <c r="N2809">
        <v>-1.541064E-2</v>
      </c>
      <c r="O2809">
        <v>-0.56362460000000003</v>
      </c>
      <c r="P2809">
        <v>-0.68115899999999996</v>
      </c>
      <c r="Q2809">
        <v>0.1888068</v>
      </c>
      <c r="R2809">
        <v>-0.70737159999999999</v>
      </c>
      <c r="S2809">
        <v>-1.9891049999999999</v>
      </c>
      <c r="T2809">
        <v>-0.18905340000000001</v>
      </c>
      <c r="U2809">
        <v>-2.378571</v>
      </c>
      <c r="V2809">
        <v>-0.20489460000000001</v>
      </c>
      <c r="W2809">
        <v>0.19899</v>
      </c>
      <c r="X2809">
        <v>0.9583429</v>
      </c>
      <c r="Y2809">
        <v>-0.27194030000000002</v>
      </c>
      <c r="Z2809">
        <v>1.6910479999999999E-2</v>
      </c>
      <c r="AA2809">
        <v>0.96216550000000001</v>
      </c>
      <c r="AB2809">
        <v>27</v>
      </c>
      <c r="AC2809">
        <v>-11.6625</v>
      </c>
      <c r="AD2809">
        <v>-1.119744003871</v>
      </c>
      <c r="AE2809">
        <v>-13.999899999999901</v>
      </c>
      <c r="AF2809">
        <v>-4.9708878574103696</v>
      </c>
      <c r="AG2809">
        <v>-1.119744003871</v>
      </c>
      <c r="AH2809">
        <v>17.458747400323201</v>
      </c>
      <c r="AI2809">
        <v>93.529816665666004</v>
      </c>
      <c r="AJ2809">
        <v>105.89281428519</v>
      </c>
      <c r="AK2809">
        <v>18.187122188885301</v>
      </c>
      <c r="AL2809">
        <v>78.522096397553497</v>
      </c>
      <c r="AM2809">
        <v>102.068197598244</v>
      </c>
      <c r="AN2809">
        <v>0.99999996559478399</v>
      </c>
    </row>
    <row r="2810" spans="1:40" x14ac:dyDescent="0.25">
      <c r="A2810" t="str">
        <f>"20190304155648521"</f>
        <v>20190304155648521</v>
      </c>
      <c r="B2810" t="str">
        <f>"1551686208517219"</f>
        <v>1551686208517219</v>
      </c>
      <c r="C2810" t="s">
        <v>40</v>
      </c>
      <c r="D2810">
        <v>4.3799700000000001</v>
      </c>
      <c r="E2810">
        <v>0.46947119999999998</v>
      </c>
      <c r="F2810" t="s">
        <v>41</v>
      </c>
      <c r="G2810">
        <v>-495.21370000000002</v>
      </c>
      <c r="H2810" s="1">
        <v>-3.9476610000000003E-6</v>
      </c>
      <c r="I2810">
        <v>265.86959999999999</v>
      </c>
      <c r="J2810">
        <v>-483.58269999999999</v>
      </c>
      <c r="K2810">
        <v>1.11974</v>
      </c>
      <c r="L2810">
        <v>279.98899999999998</v>
      </c>
      <c r="M2810">
        <v>-0.82173960000000001</v>
      </c>
      <c r="N2810">
        <v>-1.541268E-2</v>
      </c>
      <c r="O2810">
        <v>-0.56965509999999997</v>
      </c>
      <c r="P2810">
        <v>-0.67620719999999901</v>
      </c>
      <c r="Q2810">
        <v>0.18804770000000001</v>
      </c>
      <c r="R2810">
        <v>-0.71230760000000004</v>
      </c>
      <c r="S2810">
        <v>-1.9756469999999999</v>
      </c>
      <c r="T2810">
        <v>-0.1881902</v>
      </c>
      <c r="U2810">
        <v>-2.3887939999999999</v>
      </c>
      <c r="V2810">
        <v>-0.20471339999999999</v>
      </c>
      <c r="W2810">
        <v>0.19823950000000001</v>
      </c>
      <c r="X2810">
        <v>0.95853719999999998</v>
      </c>
      <c r="Y2810">
        <v>-0.27014290000000002</v>
      </c>
      <c r="Z2810">
        <v>1.7166850000000001E-2</v>
      </c>
      <c r="AA2810">
        <v>0.96266719999999895</v>
      </c>
      <c r="AB2810">
        <v>27</v>
      </c>
      <c r="AC2810">
        <v>-11.631</v>
      </c>
      <c r="AD2810">
        <v>-1.119743947661</v>
      </c>
      <c r="AE2810">
        <v>-14.119400000000001</v>
      </c>
      <c r="AF2810">
        <v>-4.9588219310962396</v>
      </c>
      <c r="AG2810">
        <v>-1.119743947661</v>
      </c>
      <c r="AH2810">
        <v>17.537219645693501</v>
      </c>
      <c r="AI2810">
        <v>93.515868071627196</v>
      </c>
      <c r="AJ2810">
        <v>105.78877397449099</v>
      </c>
      <c r="AK2810">
        <v>18.2591843835901</v>
      </c>
      <c r="AL2810">
        <v>78.565971594078107</v>
      </c>
      <c r="AM2810">
        <v>102.055464799993</v>
      </c>
      <c r="AN2810">
        <v>1.0000000196418199</v>
      </c>
    </row>
    <row r="2811" spans="1:40" x14ac:dyDescent="0.25">
      <c r="A2811" t="str">
        <f>"20190304155648532"</f>
        <v>20190304155648532</v>
      </c>
      <c r="B2811" t="str">
        <f>"1551686208527955"</f>
        <v>1551686208527955</v>
      </c>
      <c r="C2811" t="s">
        <v>40</v>
      </c>
      <c r="D2811">
        <v>4.3847940000000003</v>
      </c>
      <c r="E2811">
        <v>0.46997709999999998</v>
      </c>
      <c r="F2811" t="s">
        <v>41</v>
      </c>
      <c r="G2811">
        <v>-495.19049999999999</v>
      </c>
      <c r="H2811" s="1">
        <v>-3.9258580000000001E-6</v>
      </c>
      <c r="I2811">
        <v>265.81760000000003</v>
      </c>
      <c r="J2811">
        <v>-483.69499999999999</v>
      </c>
      <c r="K2811">
        <v>1.11974</v>
      </c>
      <c r="L2811">
        <v>279.90339999999998</v>
      </c>
      <c r="M2811">
        <v>-0.81793899999999997</v>
      </c>
      <c r="N2811">
        <v>-1.541443E-2</v>
      </c>
      <c r="O2811">
        <v>-0.57509849999999996</v>
      </c>
      <c r="P2811">
        <v>-0.67158989999999996</v>
      </c>
      <c r="Q2811">
        <v>0.18795680000000001</v>
      </c>
      <c r="R2811">
        <v>-0.7166865</v>
      </c>
      <c r="S2811">
        <v>-1.9637450000000001</v>
      </c>
      <c r="T2811">
        <v>-0.18943309999999999</v>
      </c>
      <c r="U2811">
        <v>-2.3974609999999998</v>
      </c>
      <c r="V2811">
        <v>-0.20456070000000001</v>
      </c>
      <c r="W2811">
        <v>0.19815440000000001</v>
      </c>
      <c r="X2811">
        <v>0.95858730000000003</v>
      </c>
      <c r="Y2811">
        <v>-0.26832450000000002</v>
      </c>
      <c r="Z2811">
        <v>1.7704560000000001E-2</v>
      </c>
      <c r="AA2811">
        <v>0.96316590000000002</v>
      </c>
      <c r="AB2811">
        <v>27</v>
      </c>
      <c r="AC2811">
        <v>-11.4954999999999</v>
      </c>
      <c r="AD2811">
        <v>-1.119743925858</v>
      </c>
      <c r="AE2811">
        <v>-14.0857999999999</v>
      </c>
      <c r="AF2811">
        <v>-4.8923066666055703</v>
      </c>
      <c r="AG2811">
        <v>-1.119743925858</v>
      </c>
      <c r="AH2811">
        <v>17.4392706334468</v>
      </c>
      <c r="AI2811">
        <v>93.537614242790994</v>
      </c>
      <c r="AJ2811">
        <v>105.670609012856</v>
      </c>
      <c r="AK2811">
        <v>18.147083820994801</v>
      </c>
      <c r="AL2811">
        <v>78.570945098733105</v>
      </c>
      <c r="AM2811">
        <v>102.046123932832</v>
      </c>
      <c r="AN2811">
        <v>0.99999992897256695</v>
      </c>
    </row>
    <row r="2812" spans="1:40" x14ac:dyDescent="0.25">
      <c r="A2812" t="str">
        <f>"20190304155648543"</f>
        <v>20190304155648543</v>
      </c>
      <c r="B2812" t="str">
        <f>"1551686208537715"</f>
        <v>1551686208537715</v>
      </c>
      <c r="C2812" t="s">
        <v>40</v>
      </c>
      <c r="D2812">
        <v>4.3865369999999997</v>
      </c>
      <c r="E2812">
        <v>0.4704989</v>
      </c>
      <c r="F2812" t="s">
        <v>41</v>
      </c>
      <c r="G2812">
        <v>-495.26029999999997</v>
      </c>
      <c r="H2812" s="1">
        <v>-3.8756870000000003E-6</v>
      </c>
      <c r="I2812">
        <v>265.63380000000001</v>
      </c>
      <c r="J2812">
        <v>-483.80189999999999</v>
      </c>
      <c r="K2812">
        <v>1.119739</v>
      </c>
      <c r="L2812">
        <v>279.82029999999997</v>
      </c>
      <c r="M2812">
        <v>-0.81424980000000002</v>
      </c>
      <c r="N2812">
        <v>-1.541591E-2</v>
      </c>
      <c r="O2812">
        <v>-0.5803102</v>
      </c>
      <c r="P2812">
        <v>-0.66693100000000005</v>
      </c>
      <c r="Q2812">
        <v>0.1877095</v>
      </c>
      <c r="R2812">
        <v>-0.72108870000000003</v>
      </c>
      <c r="S2812">
        <v>-1.9509890000000001</v>
      </c>
      <c r="T2812">
        <v>-0.1888937</v>
      </c>
      <c r="U2812">
        <v>-2.4071959999999999</v>
      </c>
      <c r="V2812">
        <v>-0.20469870000000001</v>
      </c>
      <c r="W2812">
        <v>0.19790530000000001</v>
      </c>
      <c r="X2812">
        <v>0.9586093</v>
      </c>
      <c r="Y2812">
        <v>-0.26716319999999999</v>
      </c>
      <c r="Z2812">
        <v>1.794138E-2</v>
      </c>
      <c r="AA2812">
        <v>0.96348429999999996</v>
      </c>
      <c r="AB2812">
        <v>27</v>
      </c>
      <c r="AC2812">
        <v>-11.4583999999999</v>
      </c>
      <c r="AD2812">
        <v>-1.119742875687</v>
      </c>
      <c r="AE2812">
        <v>-14.186499999999899</v>
      </c>
      <c r="AF2812">
        <v>-4.8840956249782703</v>
      </c>
      <c r="AG2812">
        <v>-1.119742875687</v>
      </c>
      <c r="AH2812">
        <v>17.498679535616201</v>
      </c>
      <c r="AI2812">
        <v>93.526928568572899</v>
      </c>
      <c r="AJ2812">
        <v>105.595068533092</v>
      </c>
      <c r="AK2812">
        <v>18.2019779054854</v>
      </c>
      <c r="AL2812">
        <v>78.585505825981599</v>
      </c>
      <c r="AM2812">
        <v>102.053744297622</v>
      </c>
      <c r="AN2812">
        <v>0.99999992779813196</v>
      </c>
    </row>
    <row r="2813" spans="1:40" x14ac:dyDescent="0.25">
      <c r="A2813" t="str">
        <f>"20190304155648555"</f>
        <v>20190304155648555</v>
      </c>
      <c r="B2813" t="str">
        <f>"1551686208547476"</f>
        <v>1551686208547476</v>
      </c>
      <c r="C2813" t="s">
        <v>40</v>
      </c>
      <c r="D2813">
        <v>4.3737360000000001</v>
      </c>
      <c r="E2813">
        <v>0.47096480000000002</v>
      </c>
      <c r="F2813" t="s">
        <v>41</v>
      </c>
      <c r="G2813">
        <v>-495.28550000000001</v>
      </c>
      <c r="H2813" s="1">
        <v>-3.8343160000000003E-6</v>
      </c>
      <c r="I2813">
        <v>265.4991</v>
      </c>
      <c r="J2813">
        <v>-483.90539999999999</v>
      </c>
      <c r="K2813">
        <v>1.119742</v>
      </c>
      <c r="L2813">
        <v>279.7389</v>
      </c>
      <c r="M2813">
        <v>-0.81062970000000001</v>
      </c>
      <c r="N2813">
        <v>-1.541732E-2</v>
      </c>
      <c r="O2813">
        <v>-0.58535630000000005</v>
      </c>
      <c r="P2813">
        <v>-0.66261150000000002</v>
      </c>
      <c r="Q2813">
        <v>0.18793599999999999</v>
      </c>
      <c r="R2813">
        <v>-0.7250008</v>
      </c>
      <c r="S2813">
        <v>-1.93808</v>
      </c>
      <c r="T2813">
        <v>-0.18897939999999999</v>
      </c>
      <c r="U2813">
        <v>-2.416992</v>
      </c>
      <c r="V2813">
        <v>-0.20442779999999999</v>
      </c>
      <c r="W2813">
        <v>0.19813990000000001</v>
      </c>
      <c r="X2813">
        <v>0.95861870000000005</v>
      </c>
      <c r="Y2813">
        <v>-0.26622109999999999</v>
      </c>
      <c r="Z2813">
        <v>1.8255770000000001E-2</v>
      </c>
      <c r="AA2813">
        <v>0.96373909999999996</v>
      </c>
      <c r="AB2813">
        <v>27</v>
      </c>
      <c r="AC2813">
        <v>-11.380100000000001</v>
      </c>
      <c r="AD2813">
        <v>-1.1197458343160001</v>
      </c>
      <c r="AE2813">
        <v>-14.239800000000001</v>
      </c>
      <c r="AF2813">
        <v>-4.8640173275820899</v>
      </c>
      <c r="AG2813">
        <v>-1.1197458343160001</v>
      </c>
      <c r="AH2813">
        <v>17.496467548607299</v>
      </c>
      <c r="AI2813">
        <v>93.528394412416702</v>
      </c>
      <c r="AJ2813">
        <v>105.53592867329201</v>
      </c>
      <c r="AK2813">
        <v>18.194473665812801</v>
      </c>
      <c r="AL2813">
        <v>78.571793269271097</v>
      </c>
      <c r="AM2813">
        <v>102.03814330411799</v>
      </c>
      <c r="AN2813">
        <v>0.99999997868726898</v>
      </c>
    </row>
    <row r="2814" spans="1:40" x14ac:dyDescent="0.25">
      <c r="A2814" t="str">
        <f>"20190304155648566"</f>
        <v>20190304155648566</v>
      </c>
      <c r="B2814" t="str">
        <f>"1551686208557235"</f>
        <v>1551686208557235</v>
      </c>
      <c r="C2814" t="s">
        <v>40</v>
      </c>
      <c r="D2814">
        <v>4.372363</v>
      </c>
      <c r="E2814">
        <v>0.47156779999999998</v>
      </c>
      <c r="F2814" t="s">
        <v>41</v>
      </c>
      <c r="G2814">
        <v>-495.36790000000002</v>
      </c>
      <c r="H2814" s="1">
        <v>-3.7813230000000001E-6</v>
      </c>
      <c r="I2814">
        <v>265.30040000000002</v>
      </c>
      <c r="J2814">
        <v>-484.01369999999997</v>
      </c>
      <c r="K2814">
        <v>1.1197459999999999</v>
      </c>
      <c r="L2814">
        <v>279.65269999999998</v>
      </c>
      <c r="M2814">
        <v>-0.80678030000000001</v>
      </c>
      <c r="N2814">
        <v>-1.541876E-2</v>
      </c>
      <c r="O2814">
        <v>-0.59065069999999997</v>
      </c>
      <c r="P2814">
        <v>-0.658053</v>
      </c>
      <c r="Q2814">
        <v>0.18787619999999999</v>
      </c>
      <c r="R2814">
        <v>-0.72915640000000004</v>
      </c>
      <c r="S2814">
        <v>-1.9261470000000001</v>
      </c>
      <c r="T2814">
        <v>-0.18816089999999999</v>
      </c>
      <c r="U2814">
        <v>-2.4262389999999998</v>
      </c>
      <c r="V2814">
        <v>-0.2041731</v>
      </c>
      <c r="W2814">
        <v>0.19808799999999999</v>
      </c>
      <c r="X2814">
        <v>0.95868370000000003</v>
      </c>
      <c r="Y2814">
        <v>-0.26461180000000001</v>
      </c>
      <c r="Z2814">
        <v>1.8462940000000001E-2</v>
      </c>
      <c r="AA2814">
        <v>0.96417830000000004</v>
      </c>
      <c r="AB2814">
        <v>27</v>
      </c>
      <c r="AC2814">
        <v>-11.354200000000001</v>
      </c>
      <c r="AD2814">
        <v>-1.119749781323</v>
      </c>
      <c r="AE2814">
        <v>-14.3522999999999</v>
      </c>
      <c r="AF2814">
        <v>-4.8551878760518603</v>
      </c>
      <c r="AG2814">
        <v>-1.119749781323</v>
      </c>
      <c r="AH2814">
        <v>17.5738401343757</v>
      </c>
      <c r="AI2814">
        <v>93.514468518075802</v>
      </c>
      <c r="AJ2814">
        <v>105.444069916117</v>
      </c>
      <c r="AK2814">
        <v>18.266541707535399</v>
      </c>
      <c r="AL2814">
        <v>78.574826993758293</v>
      </c>
      <c r="AM2814">
        <v>102.022790016646</v>
      </c>
      <c r="AN2814">
        <v>0.99999997357664905</v>
      </c>
    </row>
    <row r="2815" spans="1:40" x14ac:dyDescent="0.25">
      <c r="A2815" t="str">
        <f>"20190304155648577"</f>
        <v>20190304155648577</v>
      </c>
      <c r="B2815" t="str">
        <f>"1551686208567972"</f>
        <v>1551686208567972</v>
      </c>
      <c r="C2815" t="s">
        <v>40</v>
      </c>
      <c r="D2815">
        <v>4.3758220000000003</v>
      </c>
      <c r="E2815">
        <v>0.47207900000000003</v>
      </c>
      <c r="F2815" t="s">
        <v>41</v>
      </c>
      <c r="G2815">
        <v>-495.41419999999999</v>
      </c>
      <c r="H2815" s="1">
        <v>-3.7378480000000001E-6</v>
      </c>
      <c r="I2815">
        <v>265.14850000000001</v>
      </c>
      <c r="J2815">
        <v>-484.11759999999998</v>
      </c>
      <c r="K2815">
        <v>1.1197469999999901</v>
      </c>
      <c r="L2815">
        <v>279.56869999999998</v>
      </c>
      <c r="M2815">
        <v>-0.80302779999999996</v>
      </c>
      <c r="N2815">
        <v>-1.542019E-2</v>
      </c>
      <c r="O2815">
        <v>-0.59574229999999995</v>
      </c>
      <c r="P2815">
        <v>-0.65356230000000004</v>
      </c>
      <c r="Q2815">
        <v>0.1881458</v>
      </c>
      <c r="R2815">
        <v>-0.73311530000000003</v>
      </c>
      <c r="S2815">
        <v>-1.9141239999999999</v>
      </c>
      <c r="T2815">
        <v>-0.18800529999999999</v>
      </c>
      <c r="U2815">
        <v>-2.4352420000000001</v>
      </c>
      <c r="V2815">
        <v>-0.20394709999999999</v>
      </c>
      <c r="W2815">
        <v>0.19836380000000001</v>
      </c>
      <c r="X2815">
        <v>0.95867480000000005</v>
      </c>
      <c r="Y2815">
        <v>-0.26319160000000003</v>
      </c>
      <c r="Z2815">
        <v>1.8755810000000001E-2</v>
      </c>
      <c r="AA2815">
        <v>0.96456129999999995</v>
      </c>
      <c r="AB2815">
        <v>27</v>
      </c>
      <c r="AC2815">
        <v>-11.2966</v>
      </c>
      <c r="AD2815">
        <v>-1.1197507378479901</v>
      </c>
      <c r="AE2815">
        <v>-14.4201999999999</v>
      </c>
      <c r="AF2815">
        <v>-4.8324778464608498</v>
      </c>
      <c r="AG2815">
        <v>-1.1197507378479901</v>
      </c>
      <c r="AH2815">
        <v>17.5985453862294</v>
      </c>
      <c r="AI2815">
        <v>93.511054628088999</v>
      </c>
      <c r="AJ2815">
        <v>105.354691679761</v>
      </c>
      <c r="AK2815">
        <v>18.284296091526802</v>
      </c>
      <c r="AL2815">
        <v>78.558705138262596</v>
      </c>
      <c r="AM2815">
        <v>102.009976806637</v>
      </c>
      <c r="AN2815">
        <v>0.99999999445194498</v>
      </c>
    </row>
    <row r="2816" spans="1:40" x14ac:dyDescent="0.25">
      <c r="A2816" t="str">
        <f>"20190304155648588"</f>
        <v>20190304155648588</v>
      </c>
      <c r="B2816" t="str">
        <f>"1551686208577732"</f>
        <v>1551686208577732</v>
      </c>
      <c r="C2816" t="s">
        <v>40</v>
      </c>
      <c r="D2816">
        <v>4.3715190000000002</v>
      </c>
      <c r="E2816">
        <v>0.47261910000000001</v>
      </c>
      <c r="F2816" t="s">
        <v>41</v>
      </c>
      <c r="G2816">
        <v>-495.53410000000002</v>
      </c>
      <c r="H2816" s="1">
        <v>-3.6751420000000001E-6</v>
      </c>
      <c r="I2816">
        <v>264.90179999999998</v>
      </c>
      <c r="J2816">
        <v>-484.22579999999999</v>
      </c>
      <c r="K2816">
        <v>1.1197490000000001</v>
      </c>
      <c r="L2816">
        <v>279.48050000000001</v>
      </c>
      <c r="M2816">
        <v>-0.79906540000000004</v>
      </c>
      <c r="N2816">
        <v>-1.54217E-2</v>
      </c>
      <c r="O2816">
        <v>-0.60104659999999999</v>
      </c>
      <c r="P2816">
        <v>-0.64889160000000001</v>
      </c>
      <c r="Q2816">
        <v>0.18812480000000001</v>
      </c>
      <c r="R2816">
        <v>-0.73725810000000003</v>
      </c>
      <c r="S2816">
        <v>-1.9024350000000001</v>
      </c>
      <c r="T2816">
        <v>-0.18659419999999999</v>
      </c>
      <c r="U2816">
        <v>-2.4440919999999999</v>
      </c>
      <c r="V2816">
        <v>-0.2036935</v>
      </c>
      <c r="W2816">
        <v>0.19835030000000001</v>
      </c>
      <c r="X2816">
        <v>0.95873149999999996</v>
      </c>
      <c r="Y2816">
        <v>-0.26137270000000001</v>
      </c>
      <c r="Z2816">
        <v>1.8870649999999999E-2</v>
      </c>
      <c r="AA2816">
        <v>0.96505350000000001</v>
      </c>
      <c r="AB2816">
        <v>27</v>
      </c>
      <c r="AC2816">
        <v>-11.308299999999999</v>
      </c>
      <c r="AD2816">
        <v>-1.1197526751419999</v>
      </c>
      <c r="AE2816">
        <v>-14.5787</v>
      </c>
      <c r="AF2816">
        <v>-4.8352860642935704</v>
      </c>
      <c r="AG2816">
        <v>-1.1197526751419999</v>
      </c>
      <c r="AH2816">
        <v>17.735338908439399</v>
      </c>
      <c r="AI2816">
        <v>93.485780796237194</v>
      </c>
      <c r="AJ2816">
        <v>105.25023366937199</v>
      </c>
      <c r="AK2816">
        <v>18.416733792240201</v>
      </c>
      <c r="AL2816">
        <v>78.559494217471098</v>
      </c>
      <c r="AM2816">
        <v>101.994786846471</v>
      </c>
      <c r="AN2816">
        <v>0.99999998627229403</v>
      </c>
    </row>
    <row r="2817" spans="1:40" x14ac:dyDescent="0.25">
      <c r="A2817" t="str">
        <f>"20190304155648601"</f>
        <v>20190304155648601</v>
      </c>
      <c r="B2817" t="str">
        <f>"1551686208597252"</f>
        <v>1551686208597252</v>
      </c>
      <c r="C2817" t="s">
        <v>40</v>
      </c>
      <c r="D2817">
        <v>4.3937989999999996</v>
      </c>
      <c r="E2817">
        <v>0.47326570000000001</v>
      </c>
      <c r="F2817" t="s">
        <v>41</v>
      </c>
      <c r="G2817">
        <v>-495.60300000000001</v>
      </c>
      <c r="H2817" s="1">
        <v>-3.619959E-6</v>
      </c>
      <c r="I2817">
        <v>264.70359999999999</v>
      </c>
      <c r="J2817">
        <v>-484.33159999999998</v>
      </c>
      <c r="K2817">
        <v>1.11975</v>
      </c>
      <c r="L2817">
        <v>279.39229999999998</v>
      </c>
      <c r="M2817">
        <v>-0.79511089999999995</v>
      </c>
      <c r="N2817">
        <v>-1.542316E-2</v>
      </c>
      <c r="O2817">
        <v>-0.60626800000000003</v>
      </c>
      <c r="P2817">
        <v>-0.64400089999999999</v>
      </c>
      <c r="Q2817">
        <v>0.18806120000000001</v>
      </c>
      <c r="R2817">
        <v>-0.74154969999999998</v>
      </c>
      <c r="S2817">
        <v>-1.889221</v>
      </c>
      <c r="T2817">
        <v>-0.18593789999999999</v>
      </c>
      <c r="U2817">
        <v>-2.453735</v>
      </c>
      <c r="V2817">
        <v>-0.20376659999999999</v>
      </c>
      <c r="W2817">
        <v>0.19828580000000001</v>
      </c>
      <c r="X2817">
        <v>0.95872930000000001</v>
      </c>
      <c r="Y2817">
        <v>-0.260150299999999</v>
      </c>
      <c r="Z2817">
        <v>1.9080380000000001E-2</v>
      </c>
      <c r="AA2817">
        <v>0.9653796</v>
      </c>
      <c r="AB2817">
        <v>27</v>
      </c>
      <c r="AC2817">
        <v>-11.2714</v>
      </c>
      <c r="AD2817">
        <v>-1.1197536199589999</v>
      </c>
      <c r="AE2817">
        <v>-14.6886999999999</v>
      </c>
      <c r="AF2817">
        <v>-4.8285713344666004</v>
      </c>
      <c r="AG2817">
        <v>-1.1197536199589999</v>
      </c>
      <c r="AH2817">
        <v>17.804304529196099</v>
      </c>
      <c r="AI2817">
        <v>93.473571711155799</v>
      </c>
      <c r="AJ2817">
        <v>105.173770748118</v>
      </c>
      <c r="AK2817">
        <v>18.481401707386699</v>
      </c>
      <c r="AL2817">
        <v>78.563264592031302</v>
      </c>
      <c r="AM2817">
        <v>101.998993443754</v>
      </c>
      <c r="AN2817">
        <v>0.99999997821784403</v>
      </c>
    </row>
    <row r="2818" spans="1:40" x14ac:dyDescent="0.25">
      <c r="A2818" t="str">
        <f>"20190304155648611"</f>
        <v>20190304155648611</v>
      </c>
      <c r="B2818" t="str">
        <f>"1551686208607988"</f>
        <v>1551686208607988</v>
      </c>
      <c r="C2818" t="s">
        <v>40</v>
      </c>
      <c r="D2818">
        <v>4.3899369999999998</v>
      </c>
      <c r="E2818">
        <v>0.48539700000000002</v>
      </c>
      <c r="F2818" t="s">
        <v>41</v>
      </c>
      <c r="G2818">
        <v>-495.63650000000001</v>
      </c>
      <c r="H2818" s="1">
        <v>-3.5755599999999999E-6</v>
      </c>
      <c r="I2818">
        <v>264.5557</v>
      </c>
      <c r="J2818">
        <v>-484.43619999999999</v>
      </c>
      <c r="K2818">
        <v>1.1197520000000001</v>
      </c>
      <c r="L2818">
        <v>279.30470000000003</v>
      </c>
      <c r="M2818">
        <v>-0.79115570000000002</v>
      </c>
      <c r="N2818">
        <v>-1.542461E-2</v>
      </c>
      <c r="O2818">
        <v>-0.61142050000000003</v>
      </c>
      <c r="P2818">
        <v>-0.63911470000000004</v>
      </c>
      <c r="Q2818">
        <v>0.1879567</v>
      </c>
      <c r="R2818">
        <v>-0.74579169999999995</v>
      </c>
      <c r="S2818">
        <v>-1.8766480000000001</v>
      </c>
      <c r="T2818">
        <v>-0.1858823</v>
      </c>
      <c r="U2818">
        <v>-2.4629210000000001</v>
      </c>
      <c r="V2818">
        <v>-0.2038575</v>
      </c>
      <c r="W2818">
        <v>0.1981802</v>
      </c>
      <c r="X2818">
        <v>0.95873180000000002</v>
      </c>
      <c r="Y2818">
        <v>-0.25873689999999999</v>
      </c>
      <c r="Z2818">
        <v>1.9387109999999999E-2</v>
      </c>
      <c r="AA2818">
        <v>0.96575330000000004</v>
      </c>
      <c r="AB2818">
        <v>27</v>
      </c>
      <c r="AC2818">
        <v>-11.2003</v>
      </c>
      <c r="AD2818">
        <v>-1.1197555755599999</v>
      </c>
      <c r="AE2818">
        <v>-14.749000000000001</v>
      </c>
      <c r="AF2818">
        <v>-4.8036741696062899</v>
      </c>
      <c r="AG2818">
        <v>-1.1197555755599999</v>
      </c>
      <c r="AH2818">
        <v>17.816015691036402</v>
      </c>
      <c r="AI2818">
        <v>93.472675264213294</v>
      </c>
      <c r="AJ2818">
        <v>105.08963996815901</v>
      </c>
      <c r="AK2818">
        <v>18.486198992221102</v>
      </c>
      <c r="AL2818">
        <v>78.569437412303401</v>
      </c>
      <c r="AM2818">
        <v>102.00416054559901</v>
      </c>
      <c r="AN2818">
        <v>0.999999968154764</v>
      </c>
    </row>
    <row r="2819" spans="1:40" x14ac:dyDescent="0.25">
      <c r="A2819" t="str">
        <f>"20190304155648624"</f>
        <v>20190304155648624</v>
      </c>
      <c r="B2819" t="str">
        <f>"1551686208617748"</f>
        <v>1551686208617748</v>
      </c>
      <c r="C2819" t="s">
        <v>40</v>
      </c>
      <c r="D2819">
        <v>4.3758059999999999</v>
      </c>
      <c r="E2819">
        <v>0.48593009999999898</v>
      </c>
      <c r="F2819" t="s">
        <v>41</v>
      </c>
      <c r="G2819">
        <v>-496.55130000000003</v>
      </c>
      <c r="H2819" s="1">
        <v>-3.614258E-6</v>
      </c>
      <c r="I2819">
        <v>264.19260000000003</v>
      </c>
      <c r="J2819">
        <v>-484.55399999999997</v>
      </c>
      <c r="K2819">
        <v>1.119753</v>
      </c>
      <c r="L2819">
        <v>279.20400000000001</v>
      </c>
      <c r="M2819">
        <v>-0.78661359999999902</v>
      </c>
      <c r="N2819">
        <v>-1.542633E-2</v>
      </c>
      <c r="O2819">
        <v>-0.61725289999999999</v>
      </c>
      <c r="P2819">
        <v>-0.63369640000000005</v>
      </c>
      <c r="Q2819">
        <v>0.1877529</v>
      </c>
      <c r="R2819">
        <v>-0.75045169999999894</v>
      </c>
      <c r="S2819">
        <v>-1.9329829999999999</v>
      </c>
      <c r="T2819">
        <v>-0.17865929999999999</v>
      </c>
      <c r="U2819">
        <v>-2.4111630000000002</v>
      </c>
      <c r="V2819">
        <v>-0.20374880000000001</v>
      </c>
      <c r="W2819">
        <v>0.19798009999999999</v>
      </c>
      <c r="X2819">
        <v>0.95879630000000005</v>
      </c>
      <c r="Y2819">
        <v>-0.22769890000000001</v>
      </c>
      <c r="Z2819">
        <v>1.9489099999999999E-2</v>
      </c>
      <c r="AA2819">
        <v>0.97353659999999997</v>
      </c>
      <c r="AB2819">
        <v>27</v>
      </c>
      <c r="AC2819">
        <v>-11.9972999999999</v>
      </c>
      <c r="AD2819">
        <v>-1.119756614258</v>
      </c>
      <c r="AE2819">
        <v>-15.011399999999901</v>
      </c>
      <c r="AF2819">
        <v>-4.3884263995780097</v>
      </c>
      <c r="AG2819">
        <v>-1.119756614258</v>
      </c>
      <c r="AH2819">
        <v>18.6419970974585</v>
      </c>
      <c r="AI2819">
        <v>93.346169285283196</v>
      </c>
      <c r="AJ2819">
        <v>103.24656017716801</v>
      </c>
      <c r="AK2819">
        <v>19.184269517532801</v>
      </c>
      <c r="AL2819">
        <v>78.581134648215496</v>
      </c>
      <c r="AM2819">
        <v>101.99716153187801</v>
      </c>
      <c r="AN2819">
        <v>1.00000001919556</v>
      </c>
    </row>
    <row r="2820" spans="1:40" x14ac:dyDescent="0.25">
      <c r="A2820" t="str">
        <f>"20190304155648640"</f>
        <v>20190304155648640</v>
      </c>
      <c r="B2820" t="str">
        <f>"1551686208627508"</f>
        <v>1551686208627508</v>
      </c>
      <c r="C2820" t="s">
        <v>40</v>
      </c>
      <c r="D2820">
        <v>4.3629610000000003</v>
      </c>
      <c r="E2820">
        <v>0.48679660000000002</v>
      </c>
      <c r="F2820" t="s">
        <v>41</v>
      </c>
      <c r="G2820">
        <v>-496.30079999999998</v>
      </c>
      <c r="H2820" s="1">
        <v>-3.6313919999999999E-6</v>
      </c>
      <c r="I2820">
        <v>264.37349999999998</v>
      </c>
      <c r="J2820">
        <v>-484.6823</v>
      </c>
      <c r="K2820">
        <v>1.1197549999999901</v>
      </c>
      <c r="L2820">
        <v>279.09269999999998</v>
      </c>
      <c r="M2820">
        <v>-0.78156749999999997</v>
      </c>
      <c r="N2820">
        <v>-1.5428300000000001E-2</v>
      </c>
      <c r="O2820">
        <v>-0.62363000000000002</v>
      </c>
      <c r="P2820">
        <v>-0.62771189999999999</v>
      </c>
      <c r="Q2820">
        <v>0.1880029</v>
      </c>
      <c r="R2820">
        <v>-0.75540240000000003</v>
      </c>
      <c r="S2820">
        <v>-1.919098</v>
      </c>
      <c r="T2820">
        <v>-0.18293609999999999</v>
      </c>
      <c r="U2820">
        <v>-2.422882</v>
      </c>
      <c r="V2820">
        <v>-0.2035296</v>
      </c>
      <c r="W2820">
        <v>0.1982353</v>
      </c>
      <c r="X2820">
        <v>0.95879009999999998</v>
      </c>
      <c r="Y2820">
        <v>-0.22551860000000001</v>
      </c>
      <c r="Z2820">
        <v>2.059712E-2</v>
      </c>
      <c r="AA2820">
        <v>0.97402109999999997</v>
      </c>
      <c r="AB2820">
        <v>27</v>
      </c>
      <c r="AC2820">
        <v>-11.6184999999999</v>
      </c>
      <c r="AD2820">
        <v>-1.1197586313919901</v>
      </c>
      <c r="AE2820">
        <v>-14.719200000000001</v>
      </c>
      <c r="AF2820">
        <v>-4.2437776960766396</v>
      </c>
      <c r="AG2820">
        <v>-1.1197586313919901</v>
      </c>
      <c r="AH2820">
        <v>18.1972627654972</v>
      </c>
      <c r="AI2820">
        <v>93.429430025940903</v>
      </c>
      <c r="AJ2820">
        <v>103.127302731547</v>
      </c>
      <c r="AK2820">
        <v>18.719077986985599</v>
      </c>
      <c r="AL2820">
        <v>78.566216812267101</v>
      </c>
      <c r="AM2820">
        <v>101.984703214934</v>
      </c>
      <c r="AN2820">
        <v>0.99999999405012996</v>
      </c>
    </row>
    <row r="2821" spans="1:40" x14ac:dyDescent="0.25">
      <c r="A2821" t="str">
        <f>"20190304155648652"</f>
        <v>20190304155648652</v>
      </c>
      <c r="B2821" t="str">
        <f>"1551686208648004"</f>
        <v>1551686208648004</v>
      </c>
      <c r="C2821" t="s">
        <v>40</v>
      </c>
      <c r="D2821">
        <v>4.3496180000000004</v>
      </c>
      <c r="E2821">
        <v>0.4882456</v>
      </c>
      <c r="F2821" t="s">
        <v>41</v>
      </c>
      <c r="G2821">
        <v>-496.35700000000003</v>
      </c>
      <c r="H2821" s="1">
        <v>-3.5744940000000001E-6</v>
      </c>
      <c r="I2821">
        <v>264.17700000000002</v>
      </c>
      <c r="J2821">
        <v>-484.80180000000001</v>
      </c>
      <c r="K2821">
        <v>1.119758</v>
      </c>
      <c r="L2821">
        <v>278.98770000000002</v>
      </c>
      <c r="M2821">
        <v>-0.7767946</v>
      </c>
      <c r="N2821">
        <v>-1.543018E-2</v>
      </c>
      <c r="O2821">
        <v>-0.62956519999999905</v>
      </c>
      <c r="P2821">
        <v>-0.62194259999999901</v>
      </c>
      <c r="Q2821">
        <v>0.18789159999999999</v>
      </c>
      <c r="R2821">
        <v>-0.7601871</v>
      </c>
      <c r="S2821">
        <v>-1.9049990000000001</v>
      </c>
      <c r="T2821">
        <v>-0.18271509999999999</v>
      </c>
      <c r="U2821">
        <v>-2.4338380000000002</v>
      </c>
      <c r="V2821">
        <v>-0.2035467</v>
      </c>
      <c r="W2821">
        <v>0.19812360000000001</v>
      </c>
      <c r="X2821">
        <v>0.95880960000000004</v>
      </c>
      <c r="Y2821">
        <v>-0.2237307</v>
      </c>
      <c r="Z2821">
        <v>2.0912070000000001E-2</v>
      </c>
      <c r="AA2821">
        <v>0.97442660000000003</v>
      </c>
      <c r="AB2821">
        <v>27</v>
      </c>
      <c r="AC2821">
        <v>-11.5551999999999</v>
      </c>
      <c r="AD2821">
        <v>-1.1197615744939999</v>
      </c>
      <c r="AE2821">
        <v>-14.810699999999899</v>
      </c>
      <c r="AF2821">
        <v>-4.2156438515849004</v>
      </c>
      <c r="AG2821">
        <v>-1.1197615744939999</v>
      </c>
      <c r="AH2821">
        <v>18.237691720772599</v>
      </c>
      <c r="AI2821">
        <v>93.423404069398899</v>
      </c>
      <c r="AJ2821">
        <v>103.01533265903601</v>
      </c>
      <c r="AK2821">
        <v>18.752037712447599</v>
      </c>
      <c r="AL2821">
        <v>78.572746726021194</v>
      </c>
      <c r="AM2821">
        <v>101.98544430641201</v>
      </c>
      <c r="AN2821">
        <v>1.000000034505</v>
      </c>
    </row>
    <row r="2822" spans="1:40" x14ac:dyDescent="0.25">
      <c r="A2822" t="str">
        <f>"20190304155648667"</f>
        <v>20190304155648667</v>
      </c>
      <c r="B2822" t="str">
        <f>"1551686208657764"</f>
        <v>1551686208657764</v>
      </c>
      <c r="C2822" t="s">
        <v>40</v>
      </c>
      <c r="D2822">
        <v>4.4383010000000001</v>
      </c>
      <c r="E2822">
        <v>0.4882185</v>
      </c>
      <c r="F2822" t="s">
        <v>41</v>
      </c>
      <c r="G2822">
        <v>-496.38060000000002</v>
      </c>
      <c r="H2822" s="1">
        <v>-3.5443629999999999E-6</v>
      </c>
      <c r="I2822">
        <v>264.07619999999997</v>
      </c>
      <c r="J2822">
        <v>-484.93169999999998</v>
      </c>
      <c r="K2822">
        <v>1.1197649999999999</v>
      </c>
      <c r="L2822">
        <v>278.87139999999999</v>
      </c>
      <c r="M2822">
        <v>-0.77149160000000006</v>
      </c>
      <c r="N2822">
        <v>-1.543228E-2</v>
      </c>
      <c r="O2822">
        <v>-0.63605239999999996</v>
      </c>
      <c r="P2822">
        <v>-0.61564640000000004</v>
      </c>
      <c r="Q2822">
        <v>0.18809480000000001</v>
      </c>
      <c r="R2822">
        <v>-0.76524499999999995</v>
      </c>
      <c r="S2822">
        <v>-1.8954470000000001</v>
      </c>
      <c r="T2822">
        <v>-0.1833043</v>
      </c>
      <c r="U2822">
        <v>-2.4410099999999999</v>
      </c>
      <c r="V2822">
        <v>-0.20339450000000001</v>
      </c>
      <c r="W2822">
        <v>0.19833020000000001</v>
      </c>
      <c r="X2822">
        <v>0.95879919999999996</v>
      </c>
      <c r="Y2822">
        <v>-0.2193398</v>
      </c>
      <c r="Z2822">
        <v>2.147611E-2</v>
      </c>
      <c r="AA2822">
        <v>0.9754121</v>
      </c>
      <c r="AB2822">
        <v>27</v>
      </c>
      <c r="AC2822">
        <v>-11.4489</v>
      </c>
      <c r="AD2822">
        <v>-1.1197685443630001</v>
      </c>
      <c r="AE2822">
        <v>-14.795199999999999</v>
      </c>
      <c r="AF2822">
        <v>-4.1180102486107302</v>
      </c>
      <c r="AG2822">
        <v>-1.1197685443630001</v>
      </c>
      <c r="AH2822">
        <v>18.1802886577495</v>
      </c>
      <c r="AI2822">
        <v>93.437667410469601</v>
      </c>
      <c r="AJ2822">
        <v>102.76268379537601</v>
      </c>
      <c r="AK2822">
        <v>18.6744420446691</v>
      </c>
      <c r="AL2822">
        <v>78.560669926078901</v>
      </c>
      <c r="AM2822">
        <v>101.976867353494</v>
      </c>
      <c r="AN2822">
        <v>1.00000004839146</v>
      </c>
    </row>
    <row r="2823" spans="1:40" x14ac:dyDescent="0.25">
      <c r="A2823" t="str">
        <f>"20190304155648680"</f>
        <v>20190304155648680</v>
      </c>
      <c r="B2823" t="str">
        <f>"1551686208677284"</f>
        <v>1551686208677284</v>
      </c>
      <c r="C2823" t="s">
        <v>40</v>
      </c>
      <c r="D2823">
        <v>4.4168430000000001</v>
      </c>
      <c r="E2823">
        <v>0.46255819999999997</v>
      </c>
      <c r="F2823" t="s">
        <v>41</v>
      </c>
      <c r="G2823">
        <v>-496.3904</v>
      </c>
      <c r="H2823" s="1">
        <v>-3.4722570000000001E-6</v>
      </c>
      <c r="I2823">
        <v>263.85919999999999</v>
      </c>
      <c r="J2823">
        <v>-485.04469999999998</v>
      </c>
      <c r="K2823">
        <v>1.119769</v>
      </c>
      <c r="L2823">
        <v>278.76830000000001</v>
      </c>
      <c r="M2823">
        <v>-0.76678329999999995</v>
      </c>
      <c r="N2823">
        <v>-1.54342E-2</v>
      </c>
      <c r="O2823">
        <v>-0.64172069999999903</v>
      </c>
      <c r="P2823">
        <v>-0.61016819999999905</v>
      </c>
      <c r="Q2823">
        <v>0.1877954</v>
      </c>
      <c r="R2823">
        <v>-0.76969359999999998</v>
      </c>
      <c r="S2823">
        <v>-1.8752139999999999</v>
      </c>
      <c r="T2823">
        <v>-0.18325079999999999</v>
      </c>
      <c r="U2823">
        <v>-2.4567570000000001</v>
      </c>
      <c r="V2823">
        <v>-0.20322299999999999</v>
      </c>
      <c r="W2823">
        <v>0.1980362</v>
      </c>
      <c r="X2823">
        <v>0.95889630000000003</v>
      </c>
      <c r="Y2823">
        <v>-0.22024379999999999</v>
      </c>
      <c r="Z2823">
        <v>2.172412E-2</v>
      </c>
      <c r="AA2823">
        <v>0.97520289999999998</v>
      </c>
      <c r="AB2823">
        <v>27</v>
      </c>
      <c r="AC2823">
        <v>-11.345700000000001</v>
      </c>
      <c r="AD2823">
        <v>-1.1197724722569999</v>
      </c>
      <c r="AE2823">
        <v>-14.9091</v>
      </c>
      <c r="AF2823">
        <v>-4.1369937865138402</v>
      </c>
      <c r="AG2823">
        <v>-1.1197724722569999</v>
      </c>
      <c r="AH2823">
        <v>18.204313964917901</v>
      </c>
      <c r="AI2823">
        <v>93.432603706048496</v>
      </c>
      <c r="AJ2823">
        <v>102.803217698141</v>
      </c>
      <c r="AK2823">
        <v>18.702022749226401</v>
      </c>
      <c r="AL2823">
        <v>78.577855427719399</v>
      </c>
      <c r="AM2823">
        <v>101.965882978343</v>
      </c>
      <c r="AN2823">
        <v>1.0000000191965599</v>
      </c>
    </row>
    <row r="2824" spans="1:40" x14ac:dyDescent="0.25">
      <c r="A2824" t="str">
        <f>"20190304155648693"</f>
        <v>20190304155648693</v>
      </c>
      <c r="B2824" t="str">
        <f>"1551686208688020"</f>
        <v>1551686208688020</v>
      </c>
      <c r="C2824" t="s">
        <v>40</v>
      </c>
      <c r="D2824">
        <v>4.4114230000000001</v>
      </c>
      <c r="E2824">
        <v>0.45837939999999999</v>
      </c>
      <c r="F2824" t="s">
        <v>41</v>
      </c>
      <c r="G2824">
        <v>-494.6961</v>
      </c>
      <c r="H2824" s="1">
        <v>-3.1422230000000002E-6</v>
      </c>
      <c r="I2824">
        <v>264.00110000000001</v>
      </c>
      <c r="J2824">
        <v>-485.16120000000001</v>
      </c>
      <c r="K2824">
        <v>1.1197709999999901</v>
      </c>
      <c r="L2824">
        <v>278.66090000000003</v>
      </c>
      <c r="M2824">
        <v>-0.76184960000000002</v>
      </c>
      <c r="N2824">
        <v>-1.5436210000000001E-2</v>
      </c>
      <c r="O2824">
        <v>-0.64757030000000004</v>
      </c>
      <c r="P2824">
        <v>-0.60442689999999999</v>
      </c>
      <c r="Q2824">
        <v>0.18772340000000001</v>
      </c>
      <c r="R2824">
        <v>-0.77422740000000001</v>
      </c>
      <c r="S2824">
        <v>-1.6987000000000001</v>
      </c>
      <c r="T2824">
        <v>-0.19708629999999999</v>
      </c>
      <c r="U2824">
        <v>-2.5991209999999998</v>
      </c>
      <c r="V2824">
        <v>-0.20302919999999999</v>
      </c>
      <c r="W2824">
        <v>0.1979698</v>
      </c>
      <c r="X2824">
        <v>0.95895109999999995</v>
      </c>
      <c r="Y2824">
        <v>-0.28345290000000001</v>
      </c>
      <c r="Z2824">
        <v>2.2370899999999999E-2</v>
      </c>
      <c r="AA2824">
        <v>0.95872520000000006</v>
      </c>
      <c r="AB2824">
        <v>27</v>
      </c>
      <c r="AC2824">
        <v>-9.5348999999999897</v>
      </c>
      <c r="AD2824">
        <v>-1.1197741422230001</v>
      </c>
      <c r="AE2824">
        <v>-14.659800000000001</v>
      </c>
      <c r="AF2824">
        <v>-4.9742441906793404</v>
      </c>
      <c r="AG2824">
        <v>-1.1197741422230001</v>
      </c>
      <c r="AH2824">
        <v>16.690970604699</v>
      </c>
      <c r="AI2824">
        <v>93.678721279109794</v>
      </c>
      <c r="AJ2824">
        <v>106.595112593671</v>
      </c>
      <c r="AK2824">
        <v>17.452378036388701</v>
      </c>
      <c r="AL2824">
        <v>78.581737125388401</v>
      </c>
      <c r="AM2824">
        <v>101.95413687999201</v>
      </c>
      <c r="AN2824">
        <v>1.00000005497794</v>
      </c>
    </row>
    <row r="2825" spans="1:40" x14ac:dyDescent="0.25">
      <c r="A2825" t="str">
        <f>"20190304155648707"</f>
        <v>20190304155648707</v>
      </c>
      <c r="B2825" t="str">
        <f>"1551686208697780"</f>
        <v>1551686208697780</v>
      </c>
      <c r="C2825" t="s">
        <v>40</v>
      </c>
      <c r="D2825">
        <v>4.4068189999999996</v>
      </c>
      <c r="E2825">
        <v>0.45625460000000001</v>
      </c>
      <c r="F2825" t="s">
        <v>41</v>
      </c>
      <c r="G2825">
        <v>-494.80709999999999</v>
      </c>
      <c r="H2825" s="1">
        <v>-2.8693179999999999E-6</v>
      </c>
      <c r="I2825">
        <v>263.29610000000002</v>
      </c>
      <c r="J2825">
        <v>-485.27890000000002</v>
      </c>
      <c r="K2825">
        <v>1.119775</v>
      </c>
      <c r="L2825">
        <v>278.5505</v>
      </c>
      <c r="M2825">
        <v>-0.75676969999999899</v>
      </c>
      <c r="N2825">
        <v>-1.5438260000000001E-2</v>
      </c>
      <c r="O2825">
        <v>-0.65349939999999995</v>
      </c>
      <c r="P2825">
        <v>-0.59837269999999998</v>
      </c>
      <c r="Q2825">
        <v>0.18764400000000001</v>
      </c>
      <c r="R2825">
        <v>-0.77893539999999994</v>
      </c>
      <c r="S2825">
        <v>-1.65206899999999</v>
      </c>
      <c r="T2825">
        <v>-0.1917865</v>
      </c>
      <c r="U2825">
        <v>-2.631561</v>
      </c>
      <c r="V2825">
        <v>-0.20303199999999999</v>
      </c>
      <c r="W2825">
        <v>0.19789080000000001</v>
      </c>
      <c r="X2825">
        <v>0.95896669999999995</v>
      </c>
      <c r="Y2825">
        <v>-0.29344779999999998</v>
      </c>
      <c r="Z2825">
        <v>2.1451830000000002E-2</v>
      </c>
      <c r="AA2825">
        <v>0.95573439999999998</v>
      </c>
      <c r="AB2825">
        <v>27</v>
      </c>
      <c r="AC2825">
        <v>-9.5281999999999698</v>
      </c>
      <c r="AD2825">
        <v>-1.1197778693179901</v>
      </c>
      <c r="AE2825">
        <v>-15.254399999999899</v>
      </c>
      <c r="AF2825">
        <v>-5.29749361058429</v>
      </c>
      <c r="AG2825">
        <v>-1.1197778693179901</v>
      </c>
      <c r="AH2825">
        <v>17.115097937685299</v>
      </c>
      <c r="AI2825">
        <v>93.576384481855996</v>
      </c>
      <c r="AJ2825">
        <v>107.198429091245</v>
      </c>
      <c r="AK2825">
        <v>17.951153680121902</v>
      </c>
      <c r="AL2825">
        <v>78.586353596171094</v>
      </c>
      <c r="AM2825">
        <v>101.95410812591901</v>
      </c>
      <c r="AN2825">
        <v>0.99999994672876302</v>
      </c>
    </row>
    <row r="2826" spans="1:40" x14ac:dyDescent="0.25">
      <c r="A2826" t="str">
        <f>"20190304155648719"</f>
        <v>20190304155648719</v>
      </c>
      <c r="B2826" t="str">
        <f>"1551686208707541"</f>
        <v>1551686208707541</v>
      </c>
      <c r="C2826" t="s">
        <v>40</v>
      </c>
      <c r="D2826">
        <v>4.3909729999999998</v>
      </c>
      <c r="E2826">
        <v>0.45517429999999898</v>
      </c>
      <c r="F2826" t="s">
        <v>41</v>
      </c>
      <c r="G2826">
        <v>-494.7371</v>
      </c>
      <c r="H2826" s="1">
        <v>-2.7347330000000001E-6</v>
      </c>
      <c r="I2826">
        <v>263.0258</v>
      </c>
      <c r="J2826">
        <v>-485.37709999999998</v>
      </c>
      <c r="K2826">
        <v>1.1197779999999999</v>
      </c>
      <c r="L2826">
        <v>278.45659999999998</v>
      </c>
      <c r="M2826">
        <v>-0.75244529999999998</v>
      </c>
      <c r="N2826">
        <v>-1.544009E-2</v>
      </c>
      <c r="O2826">
        <v>-0.65847359999999999</v>
      </c>
      <c r="P2826">
        <v>-0.59333469999999999</v>
      </c>
      <c r="Q2826">
        <v>0.1871381</v>
      </c>
      <c r="R2826">
        <v>-0.7829007</v>
      </c>
      <c r="S2826">
        <v>-1.617523</v>
      </c>
      <c r="T2826">
        <v>-0.1915019</v>
      </c>
      <c r="U2826">
        <v>-2.6549990000000001</v>
      </c>
      <c r="V2826">
        <v>-0.2029784</v>
      </c>
      <c r="W2826">
        <v>0.19738739999999999</v>
      </c>
      <c r="X2826">
        <v>0.95908179999999998</v>
      </c>
      <c r="Y2826">
        <v>-0.29995729999999998</v>
      </c>
      <c r="Z2826">
        <v>2.1459499999999999E-2</v>
      </c>
      <c r="AA2826">
        <v>0.95371119999999998</v>
      </c>
      <c r="AB2826">
        <v>27</v>
      </c>
      <c r="AC2826">
        <v>-9.3600000000000101</v>
      </c>
      <c r="AD2826">
        <v>-1.119780734733</v>
      </c>
      <c r="AE2826">
        <v>-15.4307999999999</v>
      </c>
      <c r="AF2826">
        <v>-5.4272768304471004</v>
      </c>
      <c r="AG2826">
        <v>-1.119780734733</v>
      </c>
      <c r="AH2826">
        <v>17.139732916830901</v>
      </c>
      <c r="AI2826">
        <v>93.564035128652193</v>
      </c>
      <c r="AJ2826">
        <v>107.570331333246</v>
      </c>
      <c r="AK2826">
        <v>18.013319714824402</v>
      </c>
      <c r="AL2826">
        <v>78.615776795901496</v>
      </c>
      <c r="AM2826">
        <v>101.949650003074</v>
      </c>
      <c r="AN2826">
        <v>0.99999995781827899</v>
      </c>
    </row>
    <row r="2827" spans="1:40" x14ac:dyDescent="0.25">
      <c r="A2827" t="str">
        <f>"20190304155648734"</f>
        <v>20190304155648734</v>
      </c>
      <c r="B2827" t="str">
        <f>"1551686208727060"</f>
        <v>1551686208727060</v>
      </c>
      <c r="C2827" t="s">
        <v>40</v>
      </c>
      <c r="D2827">
        <v>4.3875549999999999</v>
      </c>
      <c r="E2827">
        <v>0.45426109999999997</v>
      </c>
      <c r="F2827" t="s">
        <v>41</v>
      </c>
      <c r="G2827">
        <v>-494.70490000000001</v>
      </c>
      <c r="H2827" s="1">
        <v>-2.6385140000000002E-6</v>
      </c>
      <c r="I2827">
        <v>262.82150000000001</v>
      </c>
      <c r="J2827">
        <v>-485.51369999999997</v>
      </c>
      <c r="K2827">
        <v>1.1197809999999999</v>
      </c>
      <c r="L2827">
        <v>278.32459999999998</v>
      </c>
      <c r="M2827">
        <v>-0.74633079999999996</v>
      </c>
      <c r="N2827">
        <v>-1.544269E-2</v>
      </c>
      <c r="O2827">
        <v>-0.66539609999999905</v>
      </c>
      <c r="P2827">
        <v>-0.58654319999999904</v>
      </c>
      <c r="Q2827">
        <v>0.18630060000000001</v>
      </c>
      <c r="R2827">
        <v>-0.78820019999999902</v>
      </c>
      <c r="S2827">
        <v>-1.593048</v>
      </c>
      <c r="T2827">
        <v>-0.1912421</v>
      </c>
      <c r="U2827">
        <v>-2.670258</v>
      </c>
      <c r="V2827">
        <v>-0.20254159999999999</v>
      </c>
      <c r="W2827">
        <v>0.19656370000000001</v>
      </c>
      <c r="X2827">
        <v>0.95934330000000001</v>
      </c>
      <c r="Y2827">
        <v>-0.2999964</v>
      </c>
      <c r="Z2827">
        <v>2.1796880000000001E-2</v>
      </c>
      <c r="AA2827">
        <v>0.95369119999999996</v>
      </c>
      <c r="AB2827">
        <v>27</v>
      </c>
      <c r="AC2827">
        <v>-9.1912000000000305</v>
      </c>
      <c r="AD2827">
        <v>-1.1197836385140001</v>
      </c>
      <c r="AE2827">
        <v>-15.5030999999999</v>
      </c>
      <c r="AF2827">
        <v>-5.43432455136369</v>
      </c>
      <c r="AG2827">
        <v>-1.1197836385140001</v>
      </c>
      <c r="AH2827">
        <v>17.111370487733499</v>
      </c>
      <c r="AI2827">
        <v>93.568975618507196</v>
      </c>
      <c r="AJ2827">
        <v>107.61909762939599</v>
      </c>
      <c r="AK2827">
        <v>17.988462933089</v>
      </c>
      <c r="AL2827">
        <v>78.663914653159196</v>
      </c>
      <c r="AM2827">
        <v>101.921514412701</v>
      </c>
      <c r="AN2827">
        <v>0.999999977571569</v>
      </c>
    </row>
    <row r="2828" spans="1:40" x14ac:dyDescent="0.25">
      <c r="A2828" t="str">
        <f>"20190304155648746"</f>
        <v>20190304155648746</v>
      </c>
      <c r="B2828" t="str">
        <f>"1551686208737796"</f>
        <v>1551686208737796</v>
      </c>
      <c r="C2828" t="s">
        <v>40</v>
      </c>
      <c r="D2828">
        <v>4.3917000000000002</v>
      </c>
      <c r="E2828">
        <v>0.4540032</v>
      </c>
      <c r="F2828" t="s">
        <v>41</v>
      </c>
      <c r="G2828">
        <v>-494.62689999999998</v>
      </c>
      <c r="H2828" s="1">
        <v>-2.543681E-6</v>
      </c>
      <c r="I2828">
        <v>262.64879999999999</v>
      </c>
      <c r="J2828">
        <v>-485.61540000000002</v>
      </c>
      <c r="K2828">
        <v>1.1197839999999999</v>
      </c>
      <c r="L2828">
        <v>278.22460000000001</v>
      </c>
      <c r="M2828">
        <v>-0.74168500000000004</v>
      </c>
      <c r="N2828">
        <v>-1.5444670000000001E-2</v>
      </c>
      <c r="O2828">
        <v>-0.67057069999999996</v>
      </c>
      <c r="P2828">
        <v>-0.58142459999999996</v>
      </c>
      <c r="Q2828">
        <v>0.18585170000000001</v>
      </c>
      <c r="R2828">
        <v>-0.79208889999999998</v>
      </c>
      <c r="S2828">
        <v>-1.5629580000000001</v>
      </c>
      <c r="T2828">
        <v>-0.192048</v>
      </c>
      <c r="U2828">
        <v>-2.6884769999999998</v>
      </c>
      <c r="V2828">
        <v>-0.20215340000000001</v>
      </c>
      <c r="W2828">
        <v>0.19612599999999999</v>
      </c>
      <c r="X2828">
        <v>0.95951470000000005</v>
      </c>
      <c r="Y2828">
        <v>-0.304145099999999</v>
      </c>
      <c r="Z2828">
        <v>2.209968E-2</v>
      </c>
      <c r="AA2828">
        <v>0.95236929999999997</v>
      </c>
      <c r="AB2828">
        <v>27</v>
      </c>
      <c r="AC2828">
        <v>-9.0114999999999501</v>
      </c>
      <c r="AD2828">
        <v>-1.1197865436809999</v>
      </c>
      <c r="AE2828">
        <v>-15.575799999999999</v>
      </c>
      <c r="AF2828">
        <v>-5.4888909184771899</v>
      </c>
      <c r="AG2828">
        <v>-1.1197865436809999</v>
      </c>
      <c r="AH2828">
        <v>17.064331298382498</v>
      </c>
      <c r="AI2828">
        <v>93.574583722005698</v>
      </c>
      <c r="AJ2828">
        <v>107.83083970997799</v>
      </c>
      <c r="AK2828">
        <v>17.9603242754497</v>
      </c>
      <c r="AL2828">
        <v>78.689490340727502</v>
      </c>
      <c r="AM2828">
        <v>101.897252078669</v>
      </c>
      <c r="AN2828">
        <v>0.99999993226182204</v>
      </c>
    </row>
    <row r="2829" spans="1:40" x14ac:dyDescent="0.25">
      <c r="A2829" t="str">
        <f>"20190304155648757"</f>
        <v>20190304155648757</v>
      </c>
      <c r="B2829" t="str">
        <f>"1551686208747558"</f>
        <v>1551686208747558</v>
      </c>
      <c r="C2829" t="s">
        <v>40</v>
      </c>
      <c r="D2829">
        <v>4.3709030000000002</v>
      </c>
      <c r="E2829">
        <v>0.45400980000000002</v>
      </c>
      <c r="F2829" t="s">
        <v>41</v>
      </c>
      <c r="G2829">
        <v>-494.59249999999997</v>
      </c>
      <c r="H2829" s="1">
        <v>-2.4793769999999999E-6</v>
      </c>
      <c r="I2829">
        <v>262.52019999999999</v>
      </c>
      <c r="J2829">
        <v>-485.70330000000001</v>
      </c>
      <c r="K2829">
        <v>1.1197900000000001</v>
      </c>
      <c r="L2829">
        <v>278.13670000000002</v>
      </c>
      <c r="M2829">
        <v>-0.73759619999999904</v>
      </c>
      <c r="N2829">
        <v>-1.5446329999999999E-2</v>
      </c>
      <c r="O2829">
        <v>-0.67506529999999998</v>
      </c>
      <c r="P2829">
        <v>-0.57700220000000002</v>
      </c>
      <c r="Q2829">
        <v>0.18542700000000001</v>
      </c>
      <c r="R2829">
        <v>-0.79541509999999904</v>
      </c>
      <c r="S2829">
        <v>-1.543274</v>
      </c>
      <c r="T2829">
        <v>-0.1925045</v>
      </c>
      <c r="U2829">
        <v>-2.6997680000000002</v>
      </c>
      <c r="V2829">
        <v>-0.20173199999999999</v>
      </c>
      <c r="W2829">
        <v>0.19571359999999999</v>
      </c>
      <c r="X2829">
        <v>0.95968770000000003</v>
      </c>
      <c r="Y2829">
        <v>-0.30530770000000002</v>
      </c>
      <c r="Z2829">
        <v>2.2402100000000001E-2</v>
      </c>
      <c r="AA2829">
        <v>0.95199020000000001</v>
      </c>
      <c r="AB2829">
        <v>27</v>
      </c>
      <c r="AC2829">
        <v>-8.8891999999999598</v>
      </c>
      <c r="AD2829">
        <v>-1.119792479377</v>
      </c>
      <c r="AE2829">
        <v>-15.6165</v>
      </c>
      <c r="AF2829">
        <v>-5.49719122326304</v>
      </c>
      <c r="AG2829">
        <v>-1.119792479377</v>
      </c>
      <c r="AH2829">
        <v>17.034685222150301</v>
      </c>
      <c r="AI2829">
        <v>93.5797161107741</v>
      </c>
      <c r="AJ2829">
        <v>107.88518982486301</v>
      </c>
      <c r="AK2829">
        <v>17.9347023158941</v>
      </c>
      <c r="AL2829">
        <v>78.713587415054505</v>
      </c>
      <c r="AM2829">
        <v>101.871076616895</v>
      </c>
      <c r="AN2829">
        <v>1.00000004729012</v>
      </c>
    </row>
    <row r="2830" spans="1:40" x14ac:dyDescent="0.25">
      <c r="A2830" t="str">
        <f>"20190304155648769"</f>
        <v>20190304155648769</v>
      </c>
      <c r="B2830" t="str">
        <f>"1551686208757317"</f>
        <v>1551686208757317</v>
      </c>
      <c r="C2830" t="s">
        <v>40</v>
      </c>
      <c r="D2830">
        <v>4.3548669999999996</v>
      </c>
      <c r="E2830">
        <v>0.45418310000000001</v>
      </c>
      <c r="F2830" t="s">
        <v>41</v>
      </c>
      <c r="G2830">
        <v>-494.54050000000001</v>
      </c>
      <c r="H2830" s="1">
        <v>-2.4457749999999999E-6</v>
      </c>
      <c r="I2830">
        <v>262.4742</v>
      </c>
      <c r="J2830">
        <v>-485.79939999999999</v>
      </c>
      <c r="K2830">
        <v>1.119799</v>
      </c>
      <c r="L2830">
        <v>278.04000000000002</v>
      </c>
      <c r="M2830">
        <v>-0.73307500000000003</v>
      </c>
      <c r="N2830">
        <v>-1.5448079999999999E-2</v>
      </c>
      <c r="O2830">
        <v>-0.67997249999999998</v>
      </c>
      <c r="P2830">
        <v>-0.57166209999999995</v>
      </c>
      <c r="Q2830">
        <v>0.18543750000000001</v>
      </c>
      <c r="R2830">
        <v>-0.79925939999999995</v>
      </c>
      <c r="S2830">
        <v>-1.528076</v>
      </c>
      <c r="T2830">
        <v>-0.1936281</v>
      </c>
      <c r="U2830">
        <v>-2.7082820000000001</v>
      </c>
      <c r="V2830">
        <v>-0.2017554</v>
      </c>
      <c r="W2830">
        <v>0.19572339999999999</v>
      </c>
      <c r="X2830">
        <v>0.95968070000000005</v>
      </c>
      <c r="Y2830">
        <v>-0.30429319999999999</v>
      </c>
      <c r="Z2830">
        <v>2.2918600000000001E-2</v>
      </c>
      <c r="AA2830">
        <v>0.95230269999999995</v>
      </c>
      <c r="AB2830">
        <v>27</v>
      </c>
      <c r="AC2830">
        <v>-8.7411000000000101</v>
      </c>
      <c r="AD2830">
        <v>-1.1198014457750001</v>
      </c>
      <c r="AE2830">
        <v>-15.565799999999999</v>
      </c>
      <c r="AF2830">
        <v>-5.4464137748716599</v>
      </c>
      <c r="AG2830">
        <v>-1.1198014457750001</v>
      </c>
      <c r="AH2830">
        <v>16.927620901640498</v>
      </c>
      <c r="AI2830">
        <v>93.603332094044305</v>
      </c>
      <c r="AJ2830">
        <v>107.83543130645199</v>
      </c>
      <c r="AK2830">
        <v>17.817455701494801</v>
      </c>
      <c r="AL2830">
        <v>78.713013940201606</v>
      </c>
      <c r="AM2830">
        <v>101.872498672169</v>
      </c>
      <c r="AN2830">
        <v>0.99999996834460403</v>
      </c>
    </row>
    <row r="2831" spans="1:40" x14ac:dyDescent="0.25">
      <c r="A2831" t="str">
        <f>"20190304155648779"</f>
        <v>20190304155648779</v>
      </c>
      <c r="B2831" t="str">
        <f>"1551686208767076"</f>
        <v>1551686208767076</v>
      </c>
      <c r="C2831" t="s">
        <v>40</v>
      </c>
      <c r="D2831">
        <v>4.3597479999999997</v>
      </c>
      <c r="E2831">
        <v>0.45439040000000003</v>
      </c>
      <c r="F2831" t="s">
        <v>41</v>
      </c>
      <c r="G2831">
        <v>-494.52659999999997</v>
      </c>
      <c r="H2831" s="1">
        <v>-2.38681E-6</v>
      </c>
      <c r="I2831">
        <v>262.34530000000001</v>
      </c>
      <c r="J2831">
        <v>-485.88580000000002</v>
      </c>
      <c r="K2831">
        <v>1.119804</v>
      </c>
      <c r="L2831">
        <v>277.95119999999997</v>
      </c>
      <c r="M2831">
        <v>-0.72892889999999999</v>
      </c>
      <c r="N2831">
        <v>-1.544968E-2</v>
      </c>
      <c r="O2831">
        <v>-0.68441509999999905</v>
      </c>
      <c r="P2831">
        <v>-0.5667835</v>
      </c>
      <c r="Q2831">
        <v>0.18562219999999999</v>
      </c>
      <c r="R2831">
        <v>-0.80268359999999905</v>
      </c>
      <c r="S2831">
        <v>-1.511169</v>
      </c>
      <c r="T2831">
        <v>-0.19390250000000001</v>
      </c>
      <c r="U2831">
        <v>-2.717651</v>
      </c>
      <c r="V2831">
        <v>-0.2017428</v>
      </c>
      <c r="W2831">
        <v>0.19590859999999999</v>
      </c>
      <c r="X2831">
        <v>0.95964559999999999</v>
      </c>
      <c r="Y2831">
        <v>-0.30442720000000001</v>
      </c>
      <c r="Z2831">
        <v>2.3222179999999999E-2</v>
      </c>
      <c r="AA2831">
        <v>0.95225249999999995</v>
      </c>
      <c r="AB2831">
        <v>27</v>
      </c>
      <c r="AC2831">
        <v>-8.6407999999999507</v>
      </c>
      <c r="AD2831">
        <v>-1.1198063868100001</v>
      </c>
      <c r="AE2831">
        <v>-15.605899999999901</v>
      </c>
      <c r="AF2831">
        <v>-5.4409082147627403</v>
      </c>
      <c r="AG2831">
        <v>-1.1198063868100001</v>
      </c>
      <c r="AH2831">
        <v>16.914812196268201</v>
      </c>
      <c r="AI2831">
        <v>93.606155198945302</v>
      </c>
      <c r="AJ2831">
        <v>107.83118173286699</v>
      </c>
      <c r="AK2831">
        <v>17.803604134568801</v>
      </c>
      <c r="AL2831">
        <v>78.702193725947595</v>
      </c>
      <c r="AM2831">
        <v>101.872200153162</v>
      </c>
      <c r="AN2831">
        <v>1.0000000072525701</v>
      </c>
    </row>
    <row r="2832" spans="1:40" x14ac:dyDescent="0.25">
      <c r="A2832" t="str">
        <f>"20190304155648791"</f>
        <v>20190304155648791</v>
      </c>
      <c r="B2832" t="str">
        <f>"1551686208787573"</f>
        <v>1551686208787573</v>
      </c>
      <c r="C2832" t="s">
        <v>40</v>
      </c>
      <c r="D2832">
        <v>4.3725459999999998</v>
      </c>
      <c r="E2832">
        <v>0.4548546</v>
      </c>
      <c r="F2832" t="s">
        <v>41</v>
      </c>
      <c r="G2832">
        <v>-494.56849999999997</v>
      </c>
      <c r="H2832" s="1">
        <v>-2.309935E-6</v>
      </c>
      <c r="I2832">
        <v>262.14019999999999</v>
      </c>
      <c r="J2832">
        <v>-485.98430000000002</v>
      </c>
      <c r="K2832">
        <v>1.1198090000000001</v>
      </c>
      <c r="L2832">
        <v>277.84930000000003</v>
      </c>
      <c r="M2832">
        <v>-0.72414429999999996</v>
      </c>
      <c r="N2832">
        <v>-1.545144E-2</v>
      </c>
      <c r="O2832">
        <v>-0.68947550000000002</v>
      </c>
      <c r="P2832">
        <v>-0.56117899999999998</v>
      </c>
      <c r="Q2832">
        <v>0.1860397</v>
      </c>
      <c r="R2832">
        <v>-0.8065158</v>
      </c>
      <c r="S2832">
        <v>-1.4966429999999999</v>
      </c>
      <c r="T2832">
        <v>-0.19302230000000001</v>
      </c>
      <c r="U2832">
        <v>-2.7253720000000001</v>
      </c>
      <c r="V2832">
        <v>-0.2016839</v>
      </c>
      <c r="W2832">
        <v>0.19632620000000001</v>
      </c>
      <c r="X2832">
        <v>0.9595726</v>
      </c>
      <c r="Y2832">
        <v>-0.30283470000000001</v>
      </c>
      <c r="Z2832">
        <v>2.3404049999999999E-2</v>
      </c>
      <c r="AA2832">
        <v>0.95275569999999998</v>
      </c>
      <c r="AB2832">
        <v>27</v>
      </c>
      <c r="AC2832">
        <v>-8.5841999999999494</v>
      </c>
      <c r="AD2832">
        <v>-1.119811309935</v>
      </c>
      <c r="AE2832">
        <v>-15.709099999999999</v>
      </c>
      <c r="AF2832">
        <v>-5.4364379012955304</v>
      </c>
      <c r="AG2832">
        <v>-1.119811309935</v>
      </c>
      <c r="AH2832">
        <v>16.9828191026821</v>
      </c>
      <c r="AI2832">
        <v>93.593385332982905</v>
      </c>
      <c r="AJ2832">
        <v>107.75059565390499</v>
      </c>
      <c r="AK2832">
        <v>17.8668681950398</v>
      </c>
      <c r="AL2832">
        <v>78.677792772491699</v>
      </c>
      <c r="AM2832">
        <v>101.86970963380099</v>
      </c>
      <c r="AN2832">
        <v>0.99999997349820402</v>
      </c>
    </row>
    <row r="2833" spans="1:40" x14ac:dyDescent="0.25">
      <c r="A2833" t="str">
        <f>"20190304155648802"</f>
        <v>20190304155648802</v>
      </c>
      <c r="B2833" t="str">
        <f>"1551686208797574"</f>
        <v>1551686208797574</v>
      </c>
      <c r="C2833" t="s">
        <v>40</v>
      </c>
      <c r="D2833">
        <v>4.358689</v>
      </c>
      <c r="E2833">
        <v>0.45507959999999897</v>
      </c>
      <c r="F2833" t="s">
        <v>41</v>
      </c>
      <c r="G2833">
        <v>-494.62329999999997</v>
      </c>
      <c r="H2833" s="1">
        <v>-2.222304E-6</v>
      </c>
      <c r="I2833">
        <v>261.90190000000001</v>
      </c>
      <c r="J2833">
        <v>-486.07600000000002</v>
      </c>
      <c r="K2833">
        <v>1.1198109999999999</v>
      </c>
      <c r="L2833">
        <v>277.75259999999997</v>
      </c>
      <c r="M2833">
        <v>-0.71960809999999997</v>
      </c>
      <c r="N2833">
        <v>-1.545294E-2</v>
      </c>
      <c r="O2833">
        <v>-0.69420839999999995</v>
      </c>
      <c r="P2833">
        <v>-0.55596630000000002</v>
      </c>
      <c r="Q2833">
        <v>0.1862695</v>
      </c>
      <c r="R2833">
        <v>-0.81006509999999998</v>
      </c>
      <c r="S2833">
        <v>-1.4808349999999999</v>
      </c>
      <c r="T2833">
        <v>-0.19195139999999999</v>
      </c>
      <c r="U2833">
        <v>-2.7336119999999999</v>
      </c>
      <c r="V2833">
        <v>-0.20154849999999999</v>
      </c>
      <c r="W2833">
        <v>0.1965595</v>
      </c>
      <c r="X2833">
        <v>0.95955330000000005</v>
      </c>
      <c r="Y2833">
        <v>-0.30205080000000001</v>
      </c>
      <c r="Z2833">
        <v>2.3504819999999999E-2</v>
      </c>
      <c r="AA2833">
        <v>0.95300200000000002</v>
      </c>
      <c r="AB2833">
        <v>27</v>
      </c>
      <c r="AC2833">
        <v>-8.5472999999999999</v>
      </c>
      <c r="AD2833">
        <v>-1.119813222304</v>
      </c>
      <c r="AE2833">
        <v>-15.8506999999999</v>
      </c>
      <c r="AF2833">
        <v>-5.4522560733078</v>
      </c>
      <c r="AG2833">
        <v>-1.119813222304</v>
      </c>
      <c r="AH2833">
        <v>17.090361024350901</v>
      </c>
      <c r="AI2833">
        <v>93.571963119320003</v>
      </c>
      <c r="AJ2833">
        <v>107.693994057898</v>
      </c>
      <c r="AK2833">
        <v>17.973912147454701</v>
      </c>
      <c r="AL2833">
        <v>78.664160171233206</v>
      </c>
      <c r="AM2833">
        <v>101.862198588556</v>
      </c>
      <c r="AN2833">
        <v>0.99999998521669498</v>
      </c>
    </row>
    <row r="2834" spans="1:40" x14ac:dyDescent="0.25">
      <c r="A2834" t="str">
        <f>"20190304155648814"</f>
        <v>20190304155648814</v>
      </c>
      <c r="B2834" t="str">
        <f>"1551686208808068"</f>
        <v>1551686208808068</v>
      </c>
      <c r="C2834" t="s">
        <v>40</v>
      </c>
      <c r="D2834">
        <v>4.3992899999999997</v>
      </c>
      <c r="E2834">
        <v>0.4553584</v>
      </c>
      <c r="F2834" t="s">
        <v>41</v>
      </c>
      <c r="G2834">
        <v>-494.65159999999997</v>
      </c>
      <c r="H2834" s="1">
        <v>-2.1439919999999999E-6</v>
      </c>
      <c r="I2834">
        <v>261.70179999999999</v>
      </c>
      <c r="J2834">
        <v>-486.1626</v>
      </c>
      <c r="K2834">
        <v>1.1198129999999999</v>
      </c>
      <c r="L2834">
        <v>277.66050000000001</v>
      </c>
      <c r="M2834">
        <v>-0.71526529999999999</v>
      </c>
      <c r="N2834">
        <v>-1.5454310000000001E-2</v>
      </c>
      <c r="O2834">
        <v>-0.69868249999999998</v>
      </c>
      <c r="P2834">
        <v>-0.5509984</v>
      </c>
      <c r="Q2834">
        <v>0.18620030000000001</v>
      </c>
      <c r="R2834">
        <v>-0.81346830000000003</v>
      </c>
      <c r="S2834">
        <v>-1.464966</v>
      </c>
      <c r="T2834">
        <v>-0.19129599999999999</v>
      </c>
      <c r="U2834">
        <v>-2.741943</v>
      </c>
      <c r="V2834">
        <v>-0.20144690000000001</v>
      </c>
      <c r="W2834">
        <v>0.19649449999999999</v>
      </c>
      <c r="X2834">
        <v>0.959588</v>
      </c>
      <c r="Y2834">
        <v>-0.30160320000000002</v>
      </c>
      <c r="Z2834">
        <v>2.365395E-2</v>
      </c>
      <c r="AA2834">
        <v>0.95314010000000005</v>
      </c>
      <c r="AB2834">
        <v>27</v>
      </c>
      <c r="AC2834">
        <v>-8.4889999999999706</v>
      </c>
      <c r="AD2834">
        <v>-1.1198151439920001</v>
      </c>
      <c r="AE2834">
        <v>-15.9587</v>
      </c>
      <c r="AF2834">
        <v>-5.4632749902480899</v>
      </c>
      <c r="AG2834">
        <v>-1.1198151439920001</v>
      </c>
      <c r="AH2834">
        <v>17.1581539041041</v>
      </c>
      <c r="AI2834">
        <v>93.558527380165202</v>
      </c>
      <c r="AJ2834">
        <v>107.66183531397201</v>
      </c>
      <c r="AK2834">
        <v>18.041718459523398</v>
      </c>
      <c r="AL2834">
        <v>78.667959051727095</v>
      </c>
      <c r="AM2834">
        <v>101.855971571262</v>
      </c>
      <c r="AN2834">
        <v>1.0000000358969201</v>
      </c>
    </row>
    <row r="2835" spans="1:40" x14ac:dyDescent="0.25">
      <c r="A2835" t="str">
        <f>"20190304155648828"</f>
        <v>20190304155648828</v>
      </c>
      <c r="B2835" t="str">
        <f>"1551686208817828"</f>
        <v>1551686208817828</v>
      </c>
      <c r="C2835" t="s">
        <v>40</v>
      </c>
      <c r="D2835">
        <v>4.37425</v>
      </c>
      <c r="E2835">
        <v>0.45565040000000001</v>
      </c>
      <c r="F2835" t="s">
        <v>41</v>
      </c>
      <c r="G2835">
        <v>-494.6592</v>
      </c>
      <c r="H2835" s="1">
        <v>-2.0794860000000002E-6</v>
      </c>
      <c r="I2835">
        <v>261.54669999999999</v>
      </c>
      <c r="J2835">
        <v>-486.27659999999997</v>
      </c>
      <c r="K2835">
        <v>1.1198109999999999</v>
      </c>
      <c r="L2835">
        <v>277.53739999999999</v>
      </c>
      <c r="M2835">
        <v>-0.70945309999999995</v>
      </c>
      <c r="N2835">
        <v>-1.5456050000000001E-2</v>
      </c>
      <c r="O2835">
        <v>-0.70458299999999996</v>
      </c>
      <c r="P2835">
        <v>-0.54436960000000001</v>
      </c>
      <c r="Q2835">
        <v>0.1858311</v>
      </c>
      <c r="R2835">
        <v>-0.81800289999999998</v>
      </c>
      <c r="S2835">
        <v>-1.449829</v>
      </c>
      <c r="T2835">
        <v>-0.19108120000000001</v>
      </c>
      <c r="U2835">
        <v>-2.749603</v>
      </c>
      <c r="V2835">
        <v>-0.20134650000000001</v>
      </c>
      <c r="W2835">
        <v>0.19613069999999999</v>
      </c>
      <c r="X2835">
        <v>0.95968350000000002</v>
      </c>
      <c r="Y2835">
        <v>-0.29891299999999998</v>
      </c>
      <c r="Z2835">
        <v>2.403448E-2</v>
      </c>
      <c r="AA2835">
        <v>0.95397759999999998</v>
      </c>
      <c r="AB2835">
        <v>27</v>
      </c>
      <c r="AC2835">
        <v>-8.3826000000000196</v>
      </c>
      <c r="AD2835">
        <v>-1.119813079486</v>
      </c>
      <c r="AE2835">
        <v>-15.9907</v>
      </c>
      <c r="AF2835">
        <v>-5.4182210492814997</v>
      </c>
      <c r="AG2835">
        <v>-1.119813079486</v>
      </c>
      <c r="AH2835">
        <v>17.149920852796001</v>
      </c>
      <c r="AI2835">
        <v>93.562757624415795</v>
      </c>
      <c r="AJ2835">
        <v>107.53303094322099</v>
      </c>
      <c r="AK2835">
        <v>18.020290950177099</v>
      </c>
      <c r="AL2835">
        <v>78.689216978576397</v>
      </c>
      <c r="AM2835">
        <v>101.849083834718</v>
      </c>
      <c r="AN2835">
        <v>1.00000004235849</v>
      </c>
    </row>
    <row r="2836" spans="1:40" x14ac:dyDescent="0.25">
      <c r="A2836" t="str">
        <f>"20190304155648842"</f>
        <v>20190304155648842</v>
      </c>
      <c r="B2836" t="str">
        <f>"1551686208837348"</f>
        <v>1551686208837348</v>
      </c>
      <c r="C2836" t="s">
        <v>40</v>
      </c>
      <c r="D2836">
        <v>4.3751740000000003</v>
      </c>
      <c r="E2836">
        <v>0.4563199</v>
      </c>
      <c r="F2836" t="s">
        <v>41</v>
      </c>
      <c r="G2836">
        <v>-494.6157</v>
      </c>
      <c r="H2836" s="1">
        <v>-2.015774E-6</v>
      </c>
      <c r="I2836">
        <v>261.42520000000002</v>
      </c>
      <c r="J2836">
        <v>-486.38409999999999</v>
      </c>
      <c r="K2836">
        <v>1.1198109999999999</v>
      </c>
      <c r="L2836">
        <v>277.41890000000001</v>
      </c>
      <c r="M2836">
        <v>-0.70385690000000001</v>
      </c>
      <c r="N2836">
        <v>-1.545704E-2</v>
      </c>
      <c r="O2836">
        <v>-0.71017369999999902</v>
      </c>
      <c r="P2836">
        <v>-0.53812349999999998</v>
      </c>
      <c r="Q2836">
        <v>0.18509639999999999</v>
      </c>
      <c r="R2836">
        <v>-0.8222912</v>
      </c>
      <c r="S2836">
        <v>-1.42865</v>
      </c>
      <c r="T2836">
        <v>-0.1918464</v>
      </c>
      <c r="U2836">
        <v>-2.760345</v>
      </c>
      <c r="V2836">
        <v>-0.2011616</v>
      </c>
      <c r="W2836">
        <v>0.19540550000000001</v>
      </c>
      <c r="X2836">
        <v>0.95987020000000001</v>
      </c>
      <c r="Y2836">
        <v>-0.29865740000000002</v>
      </c>
      <c r="Z2836">
        <v>2.45148E-2</v>
      </c>
      <c r="AA2836">
        <v>0.95404549999999999</v>
      </c>
      <c r="AB2836">
        <v>27</v>
      </c>
      <c r="AC2836">
        <v>-8.2316000000000091</v>
      </c>
      <c r="AD2836">
        <v>-1.1198130157740001</v>
      </c>
      <c r="AE2836">
        <v>-15.993699999999899</v>
      </c>
      <c r="AF2836">
        <v>-5.3911624502857398</v>
      </c>
      <c r="AG2836">
        <v>-1.1198130157740001</v>
      </c>
      <c r="AH2836">
        <v>17.087995439119702</v>
      </c>
      <c r="AI2836">
        <v>93.576084189275406</v>
      </c>
      <c r="AJ2836">
        <v>107.51018020321</v>
      </c>
      <c r="AK2836">
        <v>17.9532226043973</v>
      </c>
      <c r="AL2836">
        <v>78.731587827037501</v>
      </c>
      <c r="AM2836">
        <v>101.83627211789</v>
      </c>
      <c r="AN2836">
        <v>1.0000000497964201</v>
      </c>
    </row>
    <row r="2837" spans="1:40" x14ac:dyDescent="0.25">
      <c r="A2837" t="str">
        <f>"20190304155648856"</f>
        <v>20190304155648856</v>
      </c>
      <c r="B2837" t="str">
        <f>"1551686208847108"</f>
        <v>1551686208847108</v>
      </c>
      <c r="C2837" t="s">
        <v>40</v>
      </c>
      <c r="D2837">
        <v>4.3800210000000002</v>
      </c>
      <c r="E2837">
        <v>0.4566752</v>
      </c>
      <c r="F2837" t="s">
        <v>41</v>
      </c>
      <c r="G2837">
        <v>-494.52710000000002</v>
      </c>
      <c r="H2837" s="1">
        <v>-1.9968710000000001E-6</v>
      </c>
      <c r="I2837">
        <v>261.43599999999998</v>
      </c>
      <c r="J2837">
        <v>-486.5027</v>
      </c>
      <c r="K2837">
        <v>1.1198049999999999</v>
      </c>
      <c r="L2837">
        <v>277.28629999999998</v>
      </c>
      <c r="M2837">
        <v>-0.697569199999999</v>
      </c>
      <c r="N2837">
        <v>-1.5457790000000001E-2</v>
      </c>
      <c r="O2837">
        <v>-0.71635070000000001</v>
      </c>
      <c r="P2837">
        <v>-0.53057379999999998</v>
      </c>
      <c r="Q2837">
        <v>0.1845657</v>
      </c>
      <c r="R2837">
        <v>-0.82730099999999995</v>
      </c>
      <c r="S2837">
        <v>-1.4106749999999999</v>
      </c>
      <c r="T2837">
        <v>-0.193993</v>
      </c>
      <c r="U2837">
        <v>-2.7688290000000002</v>
      </c>
      <c r="V2837">
        <v>-0.20155509999999999</v>
      </c>
      <c r="W2837">
        <v>0.1948695</v>
      </c>
      <c r="X2837">
        <v>0.95989659999999999</v>
      </c>
      <c r="Y2837">
        <v>-0.29635409999999901</v>
      </c>
      <c r="Z2837">
        <v>2.5368129999999999E-2</v>
      </c>
      <c r="AA2837">
        <v>0.95474119999999996</v>
      </c>
      <c r="AB2837">
        <v>27</v>
      </c>
      <c r="AC2837">
        <v>-8.0244000000000106</v>
      </c>
      <c r="AD2837">
        <v>-1.1198069968709901</v>
      </c>
      <c r="AE2837">
        <v>-15.850300000000001</v>
      </c>
      <c r="AF2837">
        <v>-5.2880214302162498</v>
      </c>
      <c r="AG2837">
        <v>-1.1198069968709901</v>
      </c>
      <c r="AH2837">
        <v>16.8868814945812</v>
      </c>
      <c r="AI2837">
        <v>93.620968848159606</v>
      </c>
      <c r="AJ2837">
        <v>107.387621226961</v>
      </c>
      <c r="AK2837">
        <v>17.7308743430406</v>
      </c>
      <c r="AL2837">
        <v>78.762900110369401</v>
      </c>
      <c r="AM2837">
        <v>101.858453607846</v>
      </c>
      <c r="AN2837">
        <v>1.0000000315288999</v>
      </c>
    </row>
    <row r="2838" spans="1:40" x14ac:dyDescent="0.25">
      <c r="A2838" t="str">
        <f>"20190304155648867"</f>
        <v>20190304155648867</v>
      </c>
      <c r="B2838" t="str">
        <f>"1551686208857844"</f>
        <v>1551686208857844</v>
      </c>
      <c r="C2838" t="s">
        <v>40</v>
      </c>
      <c r="D2838">
        <v>4.3659140000000001</v>
      </c>
      <c r="E2838">
        <v>0.4566752</v>
      </c>
      <c r="F2838" t="s">
        <v>41</v>
      </c>
      <c r="G2838">
        <v>-494.46820000000002</v>
      </c>
      <c r="H2838" s="1">
        <v>-1.9273449999999999E-6</v>
      </c>
      <c r="I2838">
        <v>261.31049999999999</v>
      </c>
      <c r="J2838">
        <v>-486.59140000000002</v>
      </c>
      <c r="K2838">
        <v>1.119793</v>
      </c>
      <c r="L2838">
        <v>277.1859</v>
      </c>
      <c r="M2838">
        <v>-0.69280140000000001</v>
      </c>
      <c r="N2838">
        <v>-1.545815E-2</v>
      </c>
      <c r="O2838">
        <v>-0.72096280000000001</v>
      </c>
      <c r="P2838">
        <v>-0.52443189999999995</v>
      </c>
      <c r="Q2838">
        <v>0.18481729999999999</v>
      </c>
      <c r="R2838">
        <v>-0.83115229999999996</v>
      </c>
      <c r="S2838">
        <v>-1.3863829999999999</v>
      </c>
      <c r="T2838">
        <v>-0.19490270000000001</v>
      </c>
      <c r="U2838">
        <v>-2.7805789999999999</v>
      </c>
      <c r="V2838">
        <v>-0.20226269999999999</v>
      </c>
      <c r="W2838">
        <v>0.19510520000000001</v>
      </c>
      <c r="X2838">
        <v>0.95969990000000005</v>
      </c>
      <c r="Y2838">
        <v>-0.29830950000000001</v>
      </c>
      <c r="Z2838">
        <v>2.5768650000000001E-2</v>
      </c>
      <c r="AA2838">
        <v>0.95412129999999995</v>
      </c>
      <c r="AB2838">
        <v>27</v>
      </c>
      <c r="AC2838">
        <v>-7.8768000000000002</v>
      </c>
      <c r="AD2838">
        <v>-1.1197949273450001</v>
      </c>
      <c r="AE2838">
        <v>-15.875400000000001</v>
      </c>
      <c r="AF2838">
        <v>-5.2990982337077304</v>
      </c>
      <c r="AG2838">
        <v>-1.1197949273450001</v>
      </c>
      <c r="AH2838">
        <v>16.8374261558589</v>
      </c>
      <c r="AI2838">
        <v>93.629904497670296</v>
      </c>
      <c r="AJ2838">
        <v>107.46990416968499</v>
      </c>
      <c r="AK2838">
        <v>17.687094230647201</v>
      </c>
      <c r="AL2838">
        <v>78.7491316330008</v>
      </c>
      <c r="AM2838">
        <v>101.90126961946901</v>
      </c>
      <c r="AN2838">
        <v>1.0000000684691599</v>
      </c>
    </row>
    <row r="2839" spans="1:40" x14ac:dyDescent="0.25">
      <c r="A2839" t="str">
        <f>"20190304155648879"</f>
        <v>20190304155648879</v>
      </c>
      <c r="B2839" t="str">
        <f>"1551686208867605"</f>
        <v>1551686208867605</v>
      </c>
      <c r="C2839" t="s">
        <v>40</v>
      </c>
      <c r="D2839">
        <v>4.3657309999999896</v>
      </c>
      <c r="E2839">
        <v>0.46498810000000002</v>
      </c>
      <c r="F2839" t="s">
        <v>41</v>
      </c>
      <c r="G2839">
        <v>-494.47320000000002</v>
      </c>
      <c r="H2839" s="1">
        <v>-1.828801E-6</v>
      </c>
      <c r="I2839">
        <v>261.07769999999999</v>
      </c>
      <c r="J2839">
        <v>-486.6755</v>
      </c>
      <c r="K2839">
        <v>1.1197870000000001</v>
      </c>
      <c r="L2839">
        <v>277.08879999999999</v>
      </c>
      <c r="M2839">
        <v>-0.68819200000000003</v>
      </c>
      <c r="N2839">
        <v>-1.545786E-2</v>
      </c>
      <c r="O2839">
        <v>-0.72536389999999995</v>
      </c>
      <c r="P2839">
        <v>-0.51806149999999995</v>
      </c>
      <c r="Q2839">
        <v>0.1854769</v>
      </c>
      <c r="R2839">
        <v>-0.83499129999999999</v>
      </c>
      <c r="S2839">
        <v>-1.365631</v>
      </c>
      <c r="T2839">
        <v>-0.1940181</v>
      </c>
      <c r="U2839">
        <v>-2.7909549999999999</v>
      </c>
      <c r="V2839">
        <v>-0.20339789999999999</v>
      </c>
      <c r="W2839">
        <v>0.19573650000000001</v>
      </c>
      <c r="X2839">
        <v>0.9593313</v>
      </c>
      <c r="Y2839">
        <v>-0.29935030000000001</v>
      </c>
      <c r="Z2839">
        <v>2.5824179999999999E-2</v>
      </c>
      <c r="AA2839">
        <v>0.95379380000000002</v>
      </c>
      <c r="AB2839">
        <v>27</v>
      </c>
      <c r="AC2839">
        <v>-7.7977000000000096</v>
      </c>
      <c r="AD2839">
        <v>-1.1197888288010001</v>
      </c>
      <c r="AE2839">
        <v>-16.011099999999999</v>
      </c>
      <c r="AF2839">
        <v>-5.3420612781520003</v>
      </c>
      <c r="AG2839">
        <v>-1.1197888288010001</v>
      </c>
      <c r="AH2839">
        <v>16.915341273083101</v>
      </c>
      <c r="AI2839">
        <v>93.612082817243802</v>
      </c>
      <c r="AJ2839">
        <v>107.526722033067</v>
      </c>
      <c r="AK2839">
        <v>17.774147408680602</v>
      </c>
      <c r="AL2839">
        <v>78.712249073872798</v>
      </c>
      <c r="AM2839">
        <v>101.97061030470201</v>
      </c>
      <c r="AN2839">
        <v>1.0000000131581701</v>
      </c>
    </row>
    <row r="2840" spans="1:40" x14ac:dyDescent="0.25">
      <c r="A2840" t="str">
        <f>"20190304155648891"</f>
        <v>20190304155648891</v>
      </c>
      <c r="B2840" t="str">
        <f>"1551686208887124"</f>
        <v>1551686208887124</v>
      </c>
      <c r="C2840" t="s">
        <v>40</v>
      </c>
      <c r="D2840">
        <v>4.3949499999999997</v>
      </c>
      <c r="E2840">
        <v>0.4665012</v>
      </c>
      <c r="F2840" t="s">
        <v>41</v>
      </c>
      <c r="G2840">
        <v>-494.88940000000002</v>
      </c>
      <c r="H2840" s="1">
        <v>-1.851493E-6</v>
      </c>
      <c r="I2840">
        <v>260.8725</v>
      </c>
      <c r="J2840">
        <v>-486.76139999999998</v>
      </c>
      <c r="K2840">
        <v>1.1197820000000001</v>
      </c>
      <c r="L2840">
        <v>276.98910000000001</v>
      </c>
      <c r="M2840">
        <v>-0.68344009999999999</v>
      </c>
      <c r="N2840">
        <v>-1.5457510000000001E-2</v>
      </c>
      <c r="O2840">
        <v>-0.72984300000000002</v>
      </c>
      <c r="P2840">
        <v>-0.51166290000000003</v>
      </c>
      <c r="Q2840">
        <v>0.1860784</v>
      </c>
      <c r="R2840">
        <v>-0.83879459999999995</v>
      </c>
      <c r="S2840">
        <v>-1.4010309999999999</v>
      </c>
      <c r="T2840">
        <v>-0.19100030000000001</v>
      </c>
      <c r="U2840">
        <v>-2.7659910000000001</v>
      </c>
      <c r="V2840">
        <v>-0.20438829999999999</v>
      </c>
      <c r="W2840">
        <v>0.19631399999999999</v>
      </c>
      <c r="X2840">
        <v>0.95900269999999999</v>
      </c>
      <c r="Y2840">
        <v>-0.27992830000000002</v>
      </c>
      <c r="Z2840">
        <v>2.6112639999999999E-2</v>
      </c>
      <c r="AA2840">
        <v>0.95966569999999995</v>
      </c>
      <c r="AB2840">
        <v>27</v>
      </c>
      <c r="AC2840">
        <v>-8.1280000000000392</v>
      </c>
      <c r="AD2840">
        <v>-1.1197838514929901</v>
      </c>
      <c r="AE2840">
        <v>-16.116599999999998</v>
      </c>
      <c r="AF2840">
        <v>-5.0636856384181597</v>
      </c>
      <c r="AG2840">
        <v>-1.1197838514929901</v>
      </c>
      <c r="AH2840">
        <v>17.253255900564401</v>
      </c>
      <c r="AI2840">
        <v>93.563550360730403</v>
      </c>
      <c r="AJ2840">
        <v>106.356520642183</v>
      </c>
      <c r="AK2840">
        <v>18.015817141865799</v>
      </c>
      <c r="AL2840">
        <v>78.678505627313598</v>
      </c>
      <c r="AM2840">
        <v>102.03120619009999</v>
      </c>
      <c r="AN2840">
        <v>0.99999997119008899</v>
      </c>
    </row>
    <row r="2841" spans="1:40" x14ac:dyDescent="0.25">
      <c r="A2841" t="str">
        <f>"20190304155648902"</f>
        <v>20190304155648902</v>
      </c>
      <c r="B2841" t="str">
        <f>"1551686208897860"</f>
        <v>1551686208897860</v>
      </c>
      <c r="C2841" t="s">
        <v>40</v>
      </c>
      <c r="D2841">
        <v>4.3289780000000002</v>
      </c>
      <c r="E2841">
        <v>0.46718349999999997</v>
      </c>
      <c r="F2841" t="s">
        <v>41</v>
      </c>
      <c r="G2841">
        <v>-495.00380000000001</v>
      </c>
      <c r="H2841" s="1">
        <v>-1.753171E-6</v>
      </c>
      <c r="I2841">
        <v>260.57229999999998</v>
      </c>
      <c r="J2841">
        <v>-486.85570000000001</v>
      </c>
      <c r="K2841">
        <v>1.119772</v>
      </c>
      <c r="L2841">
        <v>276.87709999999998</v>
      </c>
      <c r="M2841">
        <v>-0.67811480000000002</v>
      </c>
      <c r="N2841">
        <v>-1.5456640000000001E-2</v>
      </c>
      <c r="O2841">
        <v>-0.73479340000000004</v>
      </c>
      <c r="P2841">
        <v>-0.50470729999999997</v>
      </c>
      <c r="Q2841">
        <v>0.18617439999999999</v>
      </c>
      <c r="R2841">
        <v>-0.84297679999999997</v>
      </c>
      <c r="S2841">
        <v>-1.390808</v>
      </c>
      <c r="T2841">
        <v>-0.18895029999999999</v>
      </c>
      <c r="U2841">
        <v>-2.7701419999999999</v>
      </c>
      <c r="V2841">
        <v>-0.2053325</v>
      </c>
      <c r="W2841">
        <v>0.1963897</v>
      </c>
      <c r="X2841">
        <v>0.95878549999999996</v>
      </c>
      <c r="Y2841">
        <v>-0.27635399999999999</v>
      </c>
      <c r="Z2841">
        <v>2.6088989999999999E-2</v>
      </c>
      <c r="AA2841">
        <v>0.96070180000000005</v>
      </c>
      <c r="AB2841">
        <v>27</v>
      </c>
      <c r="AC2841">
        <v>-8.1480999999999995</v>
      </c>
      <c r="AD2841">
        <v>-1.1197737531709999</v>
      </c>
      <c r="AE2841">
        <v>-16.3048</v>
      </c>
      <c r="AF2841">
        <v>-5.05089942419922</v>
      </c>
      <c r="AG2841">
        <v>-1.1197737531709999</v>
      </c>
      <c r="AH2841">
        <v>17.4422702341015</v>
      </c>
      <c r="AI2841">
        <v>93.528699180835005</v>
      </c>
      <c r="AJ2841">
        <v>106.14985850798</v>
      </c>
      <c r="AK2841">
        <v>18.193357831117599</v>
      </c>
      <c r="AL2841">
        <v>78.674082472183898</v>
      </c>
      <c r="AM2841">
        <v>102.08781293522399</v>
      </c>
      <c r="AN2841">
        <v>0.999999992416294</v>
      </c>
    </row>
    <row r="2842" spans="1:40" x14ac:dyDescent="0.25">
      <c r="A2842" t="str">
        <f>"20190304155648916"</f>
        <v>20190304155648916</v>
      </c>
      <c r="B2842" t="str">
        <f>"1551686208907620"</f>
        <v>1551686208907620</v>
      </c>
      <c r="C2842" t="s">
        <v>40</v>
      </c>
      <c r="D2842">
        <v>4.3553989999999896</v>
      </c>
      <c r="E2842">
        <v>0.46780470000000002</v>
      </c>
      <c r="F2842" t="s">
        <v>41</v>
      </c>
      <c r="G2842">
        <v>-495.03489999999999</v>
      </c>
      <c r="H2842" s="1">
        <v>-1.656557E-6</v>
      </c>
      <c r="I2842">
        <v>260.32780000000002</v>
      </c>
      <c r="J2842">
        <v>-486.9479</v>
      </c>
      <c r="K2842">
        <v>1.1197589999999999</v>
      </c>
      <c r="L2842">
        <v>276.76650000000001</v>
      </c>
      <c r="M2842">
        <v>-0.67284309999999903</v>
      </c>
      <c r="N2842">
        <v>-1.545565E-2</v>
      </c>
      <c r="O2842">
        <v>-0.73962380000000005</v>
      </c>
      <c r="P2842">
        <v>-0.49792750000000002</v>
      </c>
      <c r="Q2842">
        <v>0.1859731</v>
      </c>
      <c r="R2842">
        <v>-0.84704349999999995</v>
      </c>
      <c r="S2842">
        <v>-1.3730770000000001</v>
      </c>
      <c r="T2842">
        <v>-0.18798039999999999</v>
      </c>
      <c r="U2842">
        <v>-2.7781980000000002</v>
      </c>
      <c r="V2842">
        <v>-0.2061906</v>
      </c>
      <c r="W2842">
        <v>0.19617180000000001</v>
      </c>
      <c r="X2842">
        <v>0.95864590000000005</v>
      </c>
      <c r="Y2842">
        <v>-0.27551679999999901</v>
      </c>
      <c r="Z2842">
        <v>2.6196239999999999E-2</v>
      </c>
      <c r="AA2842">
        <v>0.96093919999999999</v>
      </c>
      <c r="AB2842">
        <v>27</v>
      </c>
      <c r="AC2842">
        <v>-8.0869999999999802</v>
      </c>
      <c r="AD2842">
        <v>-1.119760656557</v>
      </c>
      <c r="AE2842">
        <v>-16.438699999999901</v>
      </c>
      <c r="AF2842">
        <v>-5.0610275461705996</v>
      </c>
      <c r="AG2842">
        <v>-1.119760656557</v>
      </c>
      <c r="AH2842">
        <v>17.5363246454137</v>
      </c>
      <c r="AI2842">
        <v>93.510691176604496</v>
      </c>
      <c r="AJ2842">
        <v>106.098273393974</v>
      </c>
      <c r="AK2842">
        <v>18.286348619131498</v>
      </c>
      <c r="AL2842">
        <v>78.686814412250598</v>
      </c>
      <c r="AM2842">
        <v>102.138549141664</v>
      </c>
      <c r="AN2842">
        <v>0.99999995011520304</v>
      </c>
    </row>
    <row r="2843" spans="1:40" x14ac:dyDescent="0.25">
      <c r="A2843" t="str">
        <f>"20190304155648927"</f>
        <v>20190304155648927</v>
      </c>
      <c r="B2843" t="str">
        <f>"1551686208917381"</f>
        <v>1551686208917381</v>
      </c>
      <c r="C2843" t="s">
        <v>40</v>
      </c>
      <c r="D2843">
        <v>4.328506</v>
      </c>
      <c r="E2843">
        <v>0.46780470000000002</v>
      </c>
      <c r="F2843" t="s">
        <v>41</v>
      </c>
      <c r="G2843">
        <v>-495.05489999999998</v>
      </c>
      <c r="H2843" s="1">
        <v>-1.5564250000000001E-6</v>
      </c>
      <c r="I2843">
        <v>260.08199999999999</v>
      </c>
      <c r="J2843">
        <v>-487.04140000000001</v>
      </c>
      <c r="K2843">
        <v>1.119742</v>
      </c>
      <c r="L2843">
        <v>276.65289999999999</v>
      </c>
      <c r="M2843">
        <v>-0.66741419999999996</v>
      </c>
      <c r="N2843">
        <v>-1.545446E-2</v>
      </c>
      <c r="O2843">
        <v>-0.74452629999999997</v>
      </c>
      <c r="P2843">
        <v>-0.49103570000000002</v>
      </c>
      <c r="Q2843">
        <v>0.18547659999999999</v>
      </c>
      <c r="R2843">
        <v>-0.85116550000000002</v>
      </c>
      <c r="S2843">
        <v>-1.354095</v>
      </c>
      <c r="T2843">
        <v>-0.18703040000000001</v>
      </c>
      <c r="U2843">
        <v>-2.7867739999999999</v>
      </c>
      <c r="V2843">
        <v>-0.2070157</v>
      </c>
      <c r="W2843">
        <v>0.19566030000000001</v>
      </c>
      <c r="X2843">
        <v>0.95857270000000006</v>
      </c>
      <c r="Y2843">
        <v>-0.27494249999999998</v>
      </c>
      <c r="Z2843">
        <v>2.630118E-2</v>
      </c>
      <c r="AA2843">
        <v>0.96110090000000004</v>
      </c>
      <c r="AB2843">
        <v>27</v>
      </c>
      <c r="AC2843">
        <v>-8.0134999999999597</v>
      </c>
      <c r="AD2843">
        <v>-1.119743556425</v>
      </c>
      <c r="AE2843">
        <v>-16.570899999999899</v>
      </c>
      <c r="AF2843">
        <v>-5.0752192253369097</v>
      </c>
      <c r="AG2843">
        <v>-1.119743556425</v>
      </c>
      <c r="AH2843">
        <v>17.622691599413901</v>
      </c>
      <c r="AI2843">
        <v>93.494040180339198</v>
      </c>
      <c r="AJ2843">
        <v>106.066052409778</v>
      </c>
      <c r="AK2843">
        <v>18.373103576299702</v>
      </c>
      <c r="AL2843">
        <v>78.716701369781404</v>
      </c>
      <c r="AM2843">
        <v>102.186577131072</v>
      </c>
      <c r="AN2843">
        <v>1.0000000371139299</v>
      </c>
    </row>
    <row r="2844" spans="1:40" x14ac:dyDescent="0.25">
      <c r="A2844" t="str">
        <f>"20190304155648938"</f>
        <v>20190304155648938</v>
      </c>
      <c r="B2844" t="str">
        <f>"1551686208927140"</f>
        <v>1551686208927140</v>
      </c>
      <c r="C2844" t="s">
        <v>40</v>
      </c>
      <c r="D2844">
        <v>4.336411</v>
      </c>
      <c r="E2844">
        <v>0.4690028</v>
      </c>
      <c r="F2844" t="s">
        <v>41</v>
      </c>
      <c r="G2844">
        <v>-494.95269999999999</v>
      </c>
      <c r="H2844" s="1">
        <v>-1.5044569999999901E-6</v>
      </c>
      <c r="I2844">
        <v>260.02420000000001</v>
      </c>
      <c r="J2844">
        <v>-487.12299999999999</v>
      </c>
      <c r="K2844">
        <v>1.1197319999999999</v>
      </c>
      <c r="L2844">
        <v>276.55169999999998</v>
      </c>
      <c r="M2844">
        <v>-0.66259089999999998</v>
      </c>
      <c r="N2844">
        <v>-1.5453079999999999E-2</v>
      </c>
      <c r="O2844">
        <v>-0.74882219999999999</v>
      </c>
      <c r="P2844">
        <v>-0.48498400000000003</v>
      </c>
      <c r="Q2844">
        <v>0.18485560000000001</v>
      </c>
      <c r="R2844">
        <v>-0.85476260000000004</v>
      </c>
      <c r="S2844">
        <v>-1.3310550000000001</v>
      </c>
      <c r="T2844">
        <v>-0.18839439999999999</v>
      </c>
      <c r="U2844">
        <v>-2.7977289999999999</v>
      </c>
      <c r="V2844">
        <v>-0.20769589999999999</v>
      </c>
      <c r="W2844">
        <v>0.1950276</v>
      </c>
      <c r="X2844">
        <v>0.95855440000000003</v>
      </c>
      <c r="Y2844">
        <v>-0.27664879999999997</v>
      </c>
      <c r="Z2844">
        <v>2.6789549999999999E-2</v>
      </c>
      <c r="AA2844">
        <v>0.96059760000000005</v>
      </c>
      <c r="AB2844">
        <v>27</v>
      </c>
      <c r="AC2844">
        <v>-7.8296999999999404</v>
      </c>
      <c r="AD2844">
        <v>-1.119733504457</v>
      </c>
      <c r="AE2844">
        <v>-16.5274999999999</v>
      </c>
      <c r="AF2844">
        <v>-5.0695208792070403</v>
      </c>
      <c r="AG2844">
        <v>-1.119733504457</v>
      </c>
      <c r="AH2844">
        <v>17.5005382900362</v>
      </c>
      <c r="AI2844">
        <v>93.516760173187294</v>
      </c>
      <c r="AJ2844">
        <v>106.15513936942099</v>
      </c>
      <c r="AK2844">
        <v>18.254388116470601</v>
      </c>
      <c r="AL2844">
        <v>78.753663458336803</v>
      </c>
      <c r="AM2844">
        <v>102.225642981493</v>
      </c>
      <c r="AN2844">
        <v>0.99999994469896303</v>
      </c>
    </row>
    <row r="2845" spans="1:40" x14ac:dyDescent="0.25">
      <c r="A2845" t="str">
        <f>"20190304155648949"</f>
        <v>20190304155648949</v>
      </c>
      <c r="B2845" t="str">
        <f>"1551686208937876"</f>
        <v>1551686208937876</v>
      </c>
      <c r="C2845" t="s">
        <v>40</v>
      </c>
      <c r="D2845">
        <v>4.3332990000000002</v>
      </c>
      <c r="E2845">
        <v>0.4690028</v>
      </c>
      <c r="F2845" t="s">
        <v>41</v>
      </c>
      <c r="G2845">
        <v>-494.91759999999999</v>
      </c>
      <c r="H2845" s="1">
        <v>-1.479101E-6</v>
      </c>
      <c r="I2845">
        <v>259.98689999999999</v>
      </c>
      <c r="J2845">
        <v>-487.1995</v>
      </c>
      <c r="K2845">
        <v>1.11972</v>
      </c>
      <c r="L2845">
        <v>276.45650000000001</v>
      </c>
      <c r="M2845">
        <v>-0.65803129999999999</v>
      </c>
      <c r="N2845">
        <v>-1.545184E-2</v>
      </c>
      <c r="O2845">
        <v>-0.75283219999999995</v>
      </c>
      <c r="P2845">
        <v>-0.4795046</v>
      </c>
      <c r="Q2845">
        <v>0.1844161</v>
      </c>
      <c r="R2845">
        <v>-0.85794319999999902</v>
      </c>
      <c r="S2845">
        <v>-1.318695</v>
      </c>
      <c r="T2845">
        <v>-0.18943579999999999</v>
      </c>
      <c r="U2845">
        <v>-2.8024290000000001</v>
      </c>
      <c r="V2845">
        <v>-0.20805699999999999</v>
      </c>
      <c r="W2845">
        <v>0.19458420000000001</v>
      </c>
      <c r="X2845">
        <v>0.95856620000000003</v>
      </c>
      <c r="Y2845">
        <v>-0.27490789999999998</v>
      </c>
      <c r="Z2845">
        <v>2.7302079999999999E-2</v>
      </c>
      <c r="AA2845">
        <v>0.96108289999999996</v>
      </c>
      <c r="AB2845">
        <v>27</v>
      </c>
      <c r="AC2845">
        <v>-7.71809999999999</v>
      </c>
      <c r="AD2845">
        <v>-1.119721479101</v>
      </c>
      <c r="AE2845">
        <v>-16.4696</v>
      </c>
      <c r="AF2845">
        <v>-5.0086949894164698</v>
      </c>
      <c r="AG2845">
        <v>-1.119721479101</v>
      </c>
      <c r="AH2845">
        <v>17.413684199792499</v>
      </c>
      <c r="AI2845">
        <v>93.536142875256999</v>
      </c>
      <c r="AJ2845">
        <v>106.04681375454901</v>
      </c>
      <c r="AK2845">
        <v>18.1542611829253</v>
      </c>
      <c r="AL2845">
        <v>78.779564608381193</v>
      </c>
      <c r="AM2845">
        <v>102.24611134186701</v>
      </c>
      <c r="AN2845">
        <v>0.99999994296053796</v>
      </c>
    </row>
    <row r="2846" spans="1:40" x14ac:dyDescent="0.25">
      <c r="A2846" t="str">
        <f>"20190304155648960"</f>
        <v>20190304155648960</v>
      </c>
      <c r="B2846" t="str">
        <f>"1551686208957397"</f>
        <v>1551686208957397</v>
      </c>
      <c r="C2846" t="s">
        <v>40</v>
      </c>
      <c r="D2846">
        <v>4.2943629999999997</v>
      </c>
      <c r="E2846">
        <v>0.47680859999999903</v>
      </c>
      <c r="F2846" t="s">
        <v>41</v>
      </c>
      <c r="G2846">
        <v>-494.83859999999999</v>
      </c>
      <c r="H2846" s="1">
        <v>-1.4387770000000001E-6</v>
      </c>
      <c r="I2846">
        <v>259.94189999999998</v>
      </c>
      <c r="J2846">
        <v>-487.27379999999999</v>
      </c>
      <c r="K2846">
        <v>1.1197090000000001</v>
      </c>
      <c r="L2846">
        <v>276.36180000000002</v>
      </c>
      <c r="M2846">
        <v>-0.6535128</v>
      </c>
      <c r="N2846">
        <v>-1.5450190000000001E-2</v>
      </c>
      <c r="O2846">
        <v>-0.75675800000000004</v>
      </c>
      <c r="P2846">
        <v>-0.47369230000000001</v>
      </c>
      <c r="Q2846">
        <v>0.18425820000000001</v>
      </c>
      <c r="R2846">
        <v>-0.86119959999999995</v>
      </c>
      <c r="S2846">
        <v>-1.300262</v>
      </c>
      <c r="T2846">
        <v>-0.19059000000000001</v>
      </c>
      <c r="U2846">
        <v>-2.8109739999999999</v>
      </c>
      <c r="V2846">
        <v>-0.20881520000000001</v>
      </c>
      <c r="W2846">
        <v>0.1944111</v>
      </c>
      <c r="X2846">
        <v>0.95843650000000002</v>
      </c>
      <c r="Y2846">
        <v>-0.27546110000000001</v>
      </c>
      <c r="Z2846">
        <v>2.776387E-2</v>
      </c>
      <c r="AA2846">
        <v>0.96091119999999997</v>
      </c>
      <c r="AB2846">
        <v>27</v>
      </c>
      <c r="AC2846">
        <v>-7.5647999999999902</v>
      </c>
      <c r="AD2846">
        <v>-1.119710438777</v>
      </c>
      <c r="AE2846">
        <v>-16.419899999999998</v>
      </c>
      <c r="AF2846">
        <v>-4.9873571505669698</v>
      </c>
      <c r="AG2846">
        <v>-1.119710438777</v>
      </c>
      <c r="AH2846">
        <v>17.305271897628899</v>
      </c>
      <c r="AI2846">
        <v>93.557667243583197</v>
      </c>
      <c r="AJ2846">
        <v>106.076913561026</v>
      </c>
      <c r="AK2846">
        <v>18.044387444989201</v>
      </c>
      <c r="AL2846">
        <v>78.789676178224894</v>
      </c>
      <c r="AM2846">
        <v>102.290997184259</v>
      </c>
      <c r="AN2846">
        <v>0.99999999404325002</v>
      </c>
    </row>
    <row r="2847" spans="1:40" x14ac:dyDescent="0.25">
      <c r="A2847" t="str">
        <f>"20190304155648972"</f>
        <v>20190304155648972</v>
      </c>
      <c r="B2847" t="str">
        <f>"1551686208967156"</f>
        <v>1551686208967156</v>
      </c>
      <c r="C2847" t="s">
        <v>40</v>
      </c>
      <c r="D2847">
        <v>4.2897109999999996</v>
      </c>
      <c r="E2847">
        <v>0.47709249999999997</v>
      </c>
      <c r="F2847" t="s">
        <v>41</v>
      </c>
      <c r="G2847">
        <v>-495.21480000000003</v>
      </c>
      <c r="H2847" s="1">
        <v>-1.4620459999999999E-6</v>
      </c>
      <c r="I2847">
        <v>259.76280000000003</v>
      </c>
      <c r="J2847">
        <v>-487.3546</v>
      </c>
      <c r="K2847">
        <v>1.1196980000000001</v>
      </c>
      <c r="L2847">
        <v>276.25839999999999</v>
      </c>
      <c r="M2847">
        <v>-0.64856349999999996</v>
      </c>
      <c r="N2847">
        <v>-1.5448480000000001E-2</v>
      </c>
      <c r="O2847">
        <v>-0.76100400000000001</v>
      </c>
      <c r="P2847">
        <v>-0.46744380000000002</v>
      </c>
      <c r="Q2847">
        <v>0.18445230000000001</v>
      </c>
      <c r="R2847">
        <v>-0.86456580000000005</v>
      </c>
      <c r="S2847">
        <v>-1.3345640000000001</v>
      </c>
      <c r="T2847">
        <v>-0.18818070000000001</v>
      </c>
      <c r="U2847">
        <v>-2.7896420000000002</v>
      </c>
      <c r="V2847">
        <v>-0.20947750000000001</v>
      </c>
      <c r="W2847">
        <v>0.1945926</v>
      </c>
      <c r="X2847">
        <v>0.95825519999999997</v>
      </c>
      <c r="Y2847">
        <v>-0.25670720000000002</v>
      </c>
      <c r="Z2847">
        <v>2.8046049999999999E-2</v>
      </c>
      <c r="AA2847">
        <v>0.9660822</v>
      </c>
      <c r="AB2847">
        <v>27</v>
      </c>
      <c r="AC2847">
        <v>-7.8602000000000096</v>
      </c>
      <c r="AD2847">
        <v>-1.1196994620459999</v>
      </c>
      <c r="AE2847">
        <v>-16.4955999999999</v>
      </c>
      <c r="AF2847">
        <v>-4.6997153964671803</v>
      </c>
      <c r="AG2847">
        <v>-1.1196994620459999</v>
      </c>
      <c r="AH2847">
        <v>17.587121351766999</v>
      </c>
      <c r="AI2847">
        <v>93.519693921176199</v>
      </c>
      <c r="AJ2847">
        <v>104.961269894373</v>
      </c>
      <c r="AK2847">
        <v>18.238637260905101</v>
      </c>
      <c r="AL2847">
        <v>78.779075339372397</v>
      </c>
      <c r="AM2847">
        <v>102.331051373886</v>
      </c>
      <c r="AN2847">
        <v>1.00000006565402</v>
      </c>
    </row>
    <row r="2848" spans="1:40" x14ac:dyDescent="0.25">
      <c r="A2848" t="str">
        <f>"20190304155648982"</f>
        <v>20190304155648982</v>
      </c>
      <c r="B2848" t="str">
        <f>"1551686208977892"</f>
        <v>1551686208977892</v>
      </c>
      <c r="C2848" t="s">
        <v>40</v>
      </c>
      <c r="D2848">
        <v>4.3022130000000001</v>
      </c>
      <c r="E2848">
        <v>0.47709249999999997</v>
      </c>
      <c r="F2848" t="s">
        <v>41</v>
      </c>
      <c r="G2848">
        <v>-495.21469999999999</v>
      </c>
      <c r="H2848" s="1">
        <v>-5.1982529999999996E-6</v>
      </c>
      <c r="I2848">
        <v>259.54390000000001</v>
      </c>
      <c r="J2848">
        <v>-487.43509999999998</v>
      </c>
      <c r="K2848">
        <v>1.1196839999999999</v>
      </c>
      <c r="L2848">
        <v>276.1533</v>
      </c>
      <c r="M2848">
        <v>-0.64354169999999999</v>
      </c>
      <c r="N2848">
        <v>-1.544648E-2</v>
      </c>
      <c r="O2848">
        <v>-0.76525500000000002</v>
      </c>
      <c r="P2848">
        <v>-0.46084229999999998</v>
      </c>
      <c r="Q2848">
        <v>0.1850224</v>
      </c>
      <c r="R2848">
        <v>-0.867981</v>
      </c>
      <c r="S2848">
        <v>-1.315979</v>
      </c>
      <c r="T2848">
        <v>-0.1874672</v>
      </c>
      <c r="U2848">
        <v>-2.7984309999999999</v>
      </c>
      <c r="V2848">
        <v>-0.21040439999999999</v>
      </c>
      <c r="W2848">
        <v>0.19514210000000001</v>
      </c>
      <c r="X2848">
        <v>0.95794029999999997</v>
      </c>
      <c r="Y2848">
        <v>-0.25677070000000002</v>
      </c>
      <c r="Z2848">
        <v>2.8132359999999999E-2</v>
      </c>
      <c r="AA2848">
        <v>0.9660628</v>
      </c>
      <c r="AB2848">
        <v>26</v>
      </c>
      <c r="AC2848">
        <v>-7.7796000000000101</v>
      </c>
      <c r="AD2848">
        <v>-1.119689198253</v>
      </c>
      <c r="AE2848">
        <v>-16.609399999999901</v>
      </c>
      <c r="AF2848">
        <v>-4.7184442730834002</v>
      </c>
      <c r="AG2848">
        <v>-1.119689198253</v>
      </c>
      <c r="AH2848">
        <v>17.653248094038901</v>
      </c>
      <c r="AI2848">
        <v>93.506458209450201</v>
      </c>
      <c r="AJ2848">
        <v>104.964475362473</v>
      </c>
      <c r="AK2848">
        <v>18.307227767430199</v>
      </c>
      <c r="AL2848">
        <v>78.746975597710602</v>
      </c>
      <c r="AM2848">
        <v>102.387879308328</v>
      </c>
      <c r="AN2848">
        <v>1.0000000345479201</v>
      </c>
    </row>
    <row r="2849" spans="1:40" x14ac:dyDescent="0.25">
      <c r="A2849" t="str">
        <f>"20190304155649002"</f>
        <v>20190304155649002</v>
      </c>
      <c r="B2849" t="str">
        <f>"1551686208997412"</f>
        <v>1551686208997412</v>
      </c>
      <c r="C2849" t="s">
        <v>40</v>
      </c>
      <c r="D2849">
        <v>4.298095</v>
      </c>
      <c r="E2849">
        <v>0.48377219999999999</v>
      </c>
      <c r="F2849" t="s">
        <v>41</v>
      </c>
      <c r="G2849">
        <v>-495.2405</v>
      </c>
      <c r="H2849" s="1">
        <v>-5.0973609999999997E-6</v>
      </c>
      <c r="I2849">
        <v>259.23399999999998</v>
      </c>
      <c r="J2849">
        <v>-487.56830000000002</v>
      </c>
      <c r="K2849">
        <v>1.1196600000000001</v>
      </c>
      <c r="L2849">
        <v>275.97669999999999</v>
      </c>
      <c r="M2849">
        <v>-0.63509309999999997</v>
      </c>
      <c r="N2849">
        <v>-1.5442579999999999E-2</v>
      </c>
      <c r="O2849">
        <v>-0.77228129999999995</v>
      </c>
      <c r="P2849">
        <v>-0.44962600000000003</v>
      </c>
      <c r="Q2849">
        <v>0.18620900000000001</v>
      </c>
      <c r="R2849">
        <v>-0.87359179999999903</v>
      </c>
      <c r="S2849">
        <v>-1.29547099999999</v>
      </c>
      <c r="T2849">
        <v>-0.18583520000000001</v>
      </c>
      <c r="U2849">
        <v>-2.8081049999999999</v>
      </c>
      <c r="V2849">
        <v>-0.21207280000000001</v>
      </c>
      <c r="W2849">
        <v>0.1962911</v>
      </c>
      <c r="X2849">
        <v>0.95733740000000001</v>
      </c>
      <c r="Y2849">
        <v>-0.25323620000000002</v>
      </c>
      <c r="Z2849">
        <v>2.826128E-2</v>
      </c>
      <c r="AA2849">
        <v>0.96699159999999995</v>
      </c>
      <c r="AB2849">
        <v>26</v>
      </c>
      <c r="AC2849">
        <v>-7.6721999999999699</v>
      </c>
      <c r="AD2849">
        <v>-1.1196650973610001</v>
      </c>
      <c r="AE2849">
        <v>-16.7426999999999</v>
      </c>
      <c r="AF2849">
        <v>-4.6912982690576097</v>
      </c>
      <c r="AG2849">
        <v>-1.1196650973610001</v>
      </c>
      <c r="AH2849">
        <v>17.739191343573999</v>
      </c>
      <c r="AI2849">
        <v>93.4918800354002</v>
      </c>
      <c r="AJ2849">
        <v>104.813288670137</v>
      </c>
      <c r="AK2849">
        <v>18.383167270724599</v>
      </c>
      <c r="AL2849">
        <v>78.679843870535905</v>
      </c>
      <c r="AM2849">
        <v>102.490656086125</v>
      </c>
      <c r="AN2849">
        <v>0.99999998293890402</v>
      </c>
    </row>
    <row r="2850" spans="1:40" x14ac:dyDescent="0.25">
      <c r="A2850" t="str">
        <f>"20190304155649014"</f>
        <v>20190304155649014</v>
      </c>
      <c r="B2850" t="str">
        <f>"1551686209007172"</f>
        <v>1551686209007172</v>
      </c>
      <c r="C2850" t="s">
        <v>40</v>
      </c>
      <c r="D2850">
        <v>3.882803</v>
      </c>
      <c r="E2850">
        <v>0.48377219999999999</v>
      </c>
      <c r="F2850" t="s">
        <v>41</v>
      </c>
      <c r="G2850">
        <v>-495.34620000000001</v>
      </c>
      <c r="H2850" s="1">
        <v>-5.1533529999999901E-6</v>
      </c>
      <c r="I2850">
        <v>259.34339999999997</v>
      </c>
      <c r="J2850">
        <v>-487.6481</v>
      </c>
      <c r="K2850">
        <v>1.119645</v>
      </c>
      <c r="L2850">
        <v>275.86930000000001</v>
      </c>
      <c r="M2850">
        <v>-0.62994649999999996</v>
      </c>
      <c r="N2850">
        <v>-1.543983E-2</v>
      </c>
      <c r="O2850">
        <v>-0.77648530000000004</v>
      </c>
      <c r="P2850">
        <v>-0.4431254</v>
      </c>
      <c r="Q2850">
        <v>0.1867721</v>
      </c>
      <c r="R2850">
        <v>-0.87678750000000005</v>
      </c>
      <c r="S2850">
        <v>-1.3094790000000001</v>
      </c>
      <c r="T2850">
        <v>-0.18850520000000001</v>
      </c>
      <c r="U2850">
        <v>-2.800354</v>
      </c>
      <c r="V2850">
        <v>-0.21275230000000001</v>
      </c>
      <c r="W2850">
        <v>0.1968404</v>
      </c>
      <c r="X2850">
        <v>0.95707379999999997</v>
      </c>
      <c r="Y2850">
        <v>-0.2418196</v>
      </c>
      <c r="Z2850">
        <v>2.940226E-2</v>
      </c>
      <c r="AA2850">
        <v>0.96987559999999995</v>
      </c>
      <c r="AB2850">
        <v>26</v>
      </c>
      <c r="AC2850">
        <v>-7.6981000000000099</v>
      </c>
      <c r="AD2850">
        <v>-1.1196501533529899</v>
      </c>
      <c r="AE2850">
        <v>-16.5259</v>
      </c>
      <c r="AF2850">
        <v>-4.41683955493734</v>
      </c>
      <c r="AG2850">
        <v>-1.1196501533529899</v>
      </c>
      <c r="AH2850">
        <v>17.617165605727902</v>
      </c>
      <c r="AI2850">
        <v>93.527624483683297</v>
      </c>
      <c r="AJ2850">
        <v>104.07464642229699</v>
      </c>
      <c r="AK2850">
        <v>18.196884681164601</v>
      </c>
      <c r="AL2850">
        <v>78.647744938661006</v>
      </c>
      <c r="AM2850">
        <v>102.532757297985</v>
      </c>
      <c r="AN2850">
        <v>0.99999997143694397</v>
      </c>
    </row>
    <row r="2851" spans="1:40" x14ac:dyDescent="0.25">
      <c r="A2851" t="str">
        <f>"20190304155649025"</f>
        <v>20190304155649025</v>
      </c>
      <c r="B2851" t="str">
        <f>"1551686209017908"</f>
        <v>1551686209017908</v>
      </c>
      <c r="C2851" t="s">
        <v>40</v>
      </c>
      <c r="D2851">
        <v>4.2868380000000004</v>
      </c>
      <c r="E2851">
        <v>0.4583507</v>
      </c>
      <c r="F2851" t="s">
        <v>41</v>
      </c>
      <c r="G2851">
        <v>-495.3732</v>
      </c>
      <c r="H2851" s="1">
        <v>-5.050825E-6</v>
      </c>
      <c r="I2851">
        <v>259.02809999999999</v>
      </c>
      <c r="J2851">
        <v>-487.73270000000002</v>
      </c>
      <c r="K2851">
        <v>1.1196250000000001</v>
      </c>
      <c r="L2851">
        <v>275.7534</v>
      </c>
      <c r="M2851">
        <v>-0.62440229999999997</v>
      </c>
      <c r="N2851">
        <v>-1.5436399999999999E-2</v>
      </c>
      <c r="O2851">
        <v>-0.78095040000000004</v>
      </c>
      <c r="P2851">
        <v>-0.43628660000000002</v>
      </c>
      <c r="Q2851">
        <v>0.187028</v>
      </c>
      <c r="R2851">
        <v>-0.88015619999999894</v>
      </c>
      <c r="S2851">
        <v>-1.28894</v>
      </c>
      <c r="T2851">
        <v>-0.18681500000000001</v>
      </c>
      <c r="U2851">
        <v>-2.8099669999999999</v>
      </c>
      <c r="V2851">
        <v>-0.21335209999999999</v>
      </c>
      <c r="W2851">
        <v>0.1970877</v>
      </c>
      <c r="X2851">
        <v>0.9568894</v>
      </c>
      <c r="Y2851">
        <v>-0.24202370000000001</v>
      </c>
      <c r="Z2851">
        <v>2.9270029999999999E-2</v>
      </c>
      <c r="AA2851">
        <v>0.96982869999999999</v>
      </c>
      <c r="AB2851">
        <v>26</v>
      </c>
      <c r="AC2851">
        <v>-7.6404999999999701</v>
      </c>
      <c r="AD2851">
        <v>-1.1196300508249999</v>
      </c>
      <c r="AE2851">
        <v>-16.725300000000001</v>
      </c>
      <c r="AF2851">
        <v>-4.4604601978530702</v>
      </c>
      <c r="AG2851">
        <v>-1.1196300508249999</v>
      </c>
      <c r="AH2851">
        <v>17.768621969671798</v>
      </c>
      <c r="AI2851">
        <v>93.497306242904202</v>
      </c>
      <c r="AJ2851">
        <v>104.09178237090499</v>
      </c>
      <c r="AK2851">
        <v>18.354105898366299</v>
      </c>
      <c r="AL2851">
        <v>78.633292931954003</v>
      </c>
      <c r="AM2851">
        <v>102.56931412525201</v>
      </c>
      <c r="AN2851">
        <v>1.00000000194903</v>
      </c>
    </row>
    <row r="2852" spans="1:40" x14ac:dyDescent="0.25">
      <c r="A2852" t="str">
        <f>"20190304155649039"</f>
        <v>20190304155649039</v>
      </c>
      <c r="B2852" t="str">
        <f>"1551686209027668"</f>
        <v>1551686209027668</v>
      </c>
      <c r="C2852" t="s">
        <v>40</v>
      </c>
      <c r="D2852">
        <v>4.255941</v>
      </c>
      <c r="E2852">
        <v>0.45215460000000002</v>
      </c>
      <c r="F2852" t="s">
        <v>41</v>
      </c>
      <c r="G2852">
        <v>-496.75459999999998</v>
      </c>
      <c r="H2852" s="1">
        <v>-2.632034E-6</v>
      </c>
      <c r="I2852">
        <v>251.535</v>
      </c>
      <c r="J2852">
        <v>-487.82130000000001</v>
      </c>
      <c r="K2852">
        <v>1.119604</v>
      </c>
      <c r="L2852">
        <v>275.63</v>
      </c>
      <c r="M2852">
        <v>-0.61850830000000001</v>
      </c>
      <c r="N2852">
        <v>-1.54318999999999E-2</v>
      </c>
      <c r="O2852">
        <v>-0.78562659999999995</v>
      </c>
      <c r="P2852">
        <v>-0.42954439999999999</v>
      </c>
      <c r="Q2852">
        <v>0.18696779999999999</v>
      </c>
      <c r="R2852">
        <v>-0.88347889999999996</v>
      </c>
      <c r="S2852">
        <v>-1.0807800000000001</v>
      </c>
      <c r="T2852">
        <v>-0.13412489999999999</v>
      </c>
      <c r="U2852">
        <v>-2.9012150000000001</v>
      </c>
      <c r="V2852">
        <v>-0.21346309999999999</v>
      </c>
      <c r="W2852">
        <v>0.1970335</v>
      </c>
      <c r="X2852">
        <v>0.95687580000000005</v>
      </c>
      <c r="Y2852">
        <v>-0.3052705</v>
      </c>
      <c r="Z2852">
        <v>1.621299E-2</v>
      </c>
      <c r="AA2852">
        <v>0.95212759999999996</v>
      </c>
      <c r="AB2852">
        <v>26</v>
      </c>
      <c r="AC2852">
        <v>-8.9332999999999707</v>
      </c>
      <c r="AD2852">
        <v>-1.1196066320339999</v>
      </c>
      <c r="AE2852">
        <v>-24.094999999999999</v>
      </c>
      <c r="AF2852">
        <v>-7.8707189367973402</v>
      </c>
      <c r="AG2852">
        <v>-1.1196066320339999</v>
      </c>
      <c r="AH2852">
        <v>24.411569788690901</v>
      </c>
      <c r="AI2852">
        <v>92.499432822891507</v>
      </c>
      <c r="AJ2852">
        <v>107.870233149301</v>
      </c>
      <c r="AK2852">
        <v>25.673458573801099</v>
      </c>
      <c r="AL2852">
        <v>78.636460404960701</v>
      </c>
      <c r="AM2852">
        <v>102.57581861760799</v>
      </c>
      <c r="AN2852">
        <v>0.99999999590474997</v>
      </c>
    </row>
    <row r="2853" spans="1:40" x14ac:dyDescent="0.25">
      <c r="A2853" t="str">
        <f>"20190304155649053"</f>
        <v>20190304155649053</v>
      </c>
      <c r="B2853" t="str">
        <f>"1551686209047440"</f>
        <v>1551686209047440</v>
      </c>
      <c r="C2853" t="s">
        <v>40</v>
      </c>
      <c r="D2853">
        <v>4.2083139999999997</v>
      </c>
      <c r="E2853">
        <v>0.4440481</v>
      </c>
      <c r="F2853" t="s">
        <v>41</v>
      </c>
      <c r="G2853">
        <v>-495.89890000000003</v>
      </c>
      <c r="H2853" s="1">
        <v>-2.7335289999999999E-6</v>
      </c>
      <c r="I2853">
        <v>252.30240000000001</v>
      </c>
      <c r="J2853">
        <v>-487.91520000000003</v>
      </c>
      <c r="K2853">
        <v>1.1195740000000001</v>
      </c>
      <c r="L2853">
        <v>275.49740000000003</v>
      </c>
      <c r="M2853">
        <v>-0.61217670000000002</v>
      </c>
      <c r="N2853">
        <v>-1.5426489999999999E-2</v>
      </c>
      <c r="O2853">
        <v>-0.79057049999999995</v>
      </c>
      <c r="P2853">
        <v>-0.42215550000000002</v>
      </c>
      <c r="Q2853">
        <v>0.18649569999999999</v>
      </c>
      <c r="R2853">
        <v>-0.88713249999999999</v>
      </c>
      <c r="S2853">
        <v>-1.015198</v>
      </c>
      <c r="T2853">
        <v>-0.1407129</v>
      </c>
      <c r="U2853">
        <v>-2.9318240000000002</v>
      </c>
      <c r="V2853">
        <v>-0.2137984</v>
      </c>
      <c r="W2853">
        <v>0.19656370000000001</v>
      </c>
      <c r="X2853">
        <v>0.95689760000000001</v>
      </c>
      <c r="Y2853">
        <v>-0.31971699999999997</v>
      </c>
      <c r="Z2853">
        <v>1.7532220000000001E-2</v>
      </c>
      <c r="AA2853">
        <v>0.9473509</v>
      </c>
      <c r="AB2853">
        <v>26</v>
      </c>
      <c r="AC2853">
        <v>-7.98369999999999</v>
      </c>
      <c r="AD2853">
        <v>-1.1195767335289999</v>
      </c>
      <c r="AE2853">
        <v>-23.195</v>
      </c>
      <c r="AF2853">
        <v>-7.8723013969936204</v>
      </c>
      <c r="AG2853">
        <v>-1.1195767335289999</v>
      </c>
      <c r="AH2853">
        <v>23.179199047406101</v>
      </c>
      <c r="AI2853">
        <v>92.618608207580806</v>
      </c>
      <c r="AJ2853">
        <v>108.758917599583</v>
      </c>
      <c r="AK2853">
        <v>24.505139253361499</v>
      </c>
      <c r="AL2853">
        <v>78.663915260459305</v>
      </c>
      <c r="AM2853">
        <v>102.594664699818</v>
      </c>
      <c r="AN2853">
        <v>1.0000000304429999</v>
      </c>
    </row>
    <row r="2854" spans="1:40" x14ac:dyDescent="0.25">
      <c r="A2854" t="str">
        <f>"20190304155649067"</f>
        <v>20190304155649067</v>
      </c>
      <c r="B2854" t="str">
        <f>"1551686209057200"</f>
        <v>1551686209057200</v>
      </c>
      <c r="C2854" t="s">
        <v>40</v>
      </c>
      <c r="D2854">
        <v>4.1615640000000003</v>
      </c>
      <c r="E2854">
        <v>0.44236130000000001</v>
      </c>
      <c r="F2854" t="s">
        <v>41</v>
      </c>
      <c r="G2854">
        <v>-496.24270000000001</v>
      </c>
      <c r="H2854" s="1">
        <v>-5.1876699999999898E-6</v>
      </c>
      <c r="I2854">
        <v>248.977</v>
      </c>
      <c r="J2854">
        <v>-488.01029999999997</v>
      </c>
      <c r="K2854">
        <v>1.119534</v>
      </c>
      <c r="L2854">
        <v>275.36070000000001</v>
      </c>
      <c r="M2854">
        <v>-0.60565659999999999</v>
      </c>
      <c r="N2854">
        <v>-1.5419769999999999E-2</v>
      </c>
      <c r="O2854">
        <v>-0.79557679999999997</v>
      </c>
      <c r="P2854">
        <v>-0.41488580000000003</v>
      </c>
      <c r="Q2854">
        <v>0.18619169999999999</v>
      </c>
      <c r="R2854">
        <v>-0.89061950000000001</v>
      </c>
      <c r="S2854">
        <v>-0.93103029999999998</v>
      </c>
      <c r="T2854">
        <v>-0.1251707</v>
      </c>
      <c r="U2854">
        <v>-2.9650270000000001</v>
      </c>
      <c r="V2854">
        <v>-0.2137714</v>
      </c>
      <c r="W2854">
        <v>0.19627330000000001</v>
      </c>
      <c r="X2854">
        <v>0.95696320000000001</v>
      </c>
      <c r="Y2854">
        <v>-0.33939999999999998</v>
      </c>
      <c r="Z2854">
        <v>1.386337E-2</v>
      </c>
      <c r="AA2854">
        <v>0.94054000000000004</v>
      </c>
      <c r="AB2854">
        <v>26</v>
      </c>
      <c r="AC2854">
        <v>-8.2324000000000392</v>
      </c>
      <c r="AD2854">
        <v>-1.11953918767</v>
      </c>
      <c r="AE2854">
        <v>-26.383700000000001</v>
      </c>
      <c r="AF2854">
        <v>-9.4156270034958105</v>
      </c>
      <c r="AG2854">
        <v>-1.11953918767</v>
      </c>
      <c r="AH2854">
        <v>25.936796713116699</v>
      </c>
      <c r="AI2854">
        <v>92.323408079671196</v>
      </c>
      <c r="AJ2854">
        <v>109.95200935997801</v>
      </c>
      <c r="AK2854">
        <v>27.615662650011298</v>
      </c>
      <c r="AL2854">
        <v>78.680884082822303</v>
      </c>
      <c r="AM2854">
        <v>102.59228916039601</v>
      </c>
      <c r="AN2854">
        <v>0.99999999295254405</v>
      </c>
    </row>
    <row r="2855" spans="1:40" x14ac:dyDescent="0.25">
      <c r="A2855" t="str">
        <f>"20190304155649081"</f>
        <v>20190304155649081</v>
      </c>
      <c r="B2855" t="str">
        <f>"1551686209077697"</f>
        <v>1551686209077697</v>
      </c>
      <c r="C2855" t="s">
        <v>40</v>
      </c>
      <c r="D2855">
        <v>4.2395699999999996</v>
      </c>
      <c r="E2855">
        <v>0.44040760000000001</v>
      </c>
      <c r="F2855" t="s">
        <v>41</v>
      </c>
      <c r="G2855">
        <v>-495.96559999999999</v>
      </c>
      <c r="H2855" s="1">
        <v>-5.1020679999999998E-6</v>
      </c>
      <c r="I2855">
        <v>248.8699</v>
      </c>
      <c r="J2855">
        <v>-488.0976</v>
      </c>
      <c r="K2855">
        <v>1.1194919999999999</v>
      </c>
      <c r="L2855">
        <v>275.23259999999999</v>
      </c>
      <c r="M2855">
        <v>-0.59957989999999906</v>
      </c>
      <c r="N2855">
        <v>-1.541237E-2</v>
      </c>
      <c r="O2855">
        <v>-0.8001665</v>
      </c>
      <c r="P2855">
        <v>-0.40777669999999999</v>
      </c>
      <c r="Q2855">
        <v>0.185613</v>
      </c>
      <c r="R2855">
        <v>-0.89401679999999994</v>
      </c>
      <c r="S2855">
        <v>-0.89434809999999998</v>
      </c>
      <c r="T2855">
        <v>-0.125861</v>
      </c>
      <c r="U2855">
        <v>-2.9781490000000002</v>
      </c>
      <c r="V2855">
        <v>-0.21414910000000001</v>
      </c>
      <c r="W2855">
        <v>0.19570000000000001</v>
      </c>
      <c r="X2855">
        <v>0.95699610000000002</v>
      </c>
      <c r="Y2855">
        <v>-0.34400459999999999</v>
      </c>
      <c r="Z2855">
        <v>1.409681E-2</v>
      </c>
      <c r="AA2855">
        <v>0.93886210000000003</v>
      </c>
      <c r="AB2855">
        <v>26</v>
      </c>
      <c r="AC2855">
        <v>-7.8679999999999897</v>
      </c>
      <c r="AD2855">
        <v>-1.119497102068</v>
      </c>
      <c r="AE2855">
        <v>-26.362699999999901</v>
      </c>
      <c r="AF2855">
        <v>-9.4962407815129701</v>
      </c>
      <c r="AG2855">
        <v>-1.119497102068</v>
      </c>
      <c r="AH2855">
        <v>25.772435868538398</v>
      </c>
      <c r="AI2855">
        <v>92.334023877712795</v>
      </c>
      <c r="AJ2855">
        <v>110.227076856672</v>
      </c>
      <c r="AK2855">
        <v>27.489094443795899</v>
      </c>
      <c r="AL2855">
        <v>78.714380675902007</v>
      </c>
      <c r="AM2855">
        <v>102.613406609046</v>
      </c>
      <c r="AN2855">
        <v>0.99999993122300701</v>
      </c>
    </row>
    <row r="2856" spans="1:40" x14ac:dyDescent="0.25">
      <c r="A2856" t="str">
        <f>"20190304155649093"</f>
        <v>20190304155649093</v>
      </c>
      <c r="B2856" t="str">
        <f>"1551686209087457"</f>
        <v>1551686209087457</v>
      </c>
      <c r="C2856" t="s">
        <v>40</v>
      </c>
      <c r="D2856">
        <v>4.2472960000000004</v>
      </c>
      <c r="E2856">
        <v>0.43965120000000002</v>
      </c>
      <c r="F2856" t="s">
        <v>41</v>
      </c>
      <c r="G2856">
        <v>-495.74889999999999</v>
      </c>
      <c r="H2856" s="1">
        <v>-4.9395260000000002E-6</v>
      </c>
      <c r="I2856">
        <v>248.5052</v>
      </c>
      <c r="J2856">
        <v>-488.1771</v>
      </c>
      <c r="K2856">
        <v>1.119456</v>
      </c>
      <c r="L2856">
        <v>275.1148</v>
      </c>
      <c r="M2856">
        <v>-0.59398669999999998</v>
      </c>
      <c r="N2856">
        <v>-1.5405169999999999E-2</v>
      </c>
      <c r="O2856">
        <v>-0.80432740000000003</v>
      </c>
      <c r="P2856">
        <v>-0.40111340000000001</v>
      </c>
      <c r="Q2856">
        <v>0.18593309999999999</v>
      </c>
      <c r="R2856">
        <v>-0.89695999999999998</v>
      </c>
      <c r="S2856">
        <v>-0.85626219999999997</v>
      </c>
      <c r="T2856">
        <v>-0.1252838</v>
      </c>
      <c r="U2856">
        <v>-2.9910890000000001</v>
      </c>
      <c r="V2856">
        <v>-0.21454809999999999</v>
      </c>
      <c r="W2856">
        <v>0.19602220000000001</v>
      </c>
      <c r="X2856">
        <v>0.95684089999999999</v>
      </c>
      <c r="Y2856">
        <v>-0.3495798</v>
      </c>
      <c r="Z2856">
        <v>1.40167E-2</v>
      </c>
      <c r="AA2856">
        <v>0.93680169999999996</v>
      </c>
      <c r="AB2856">
        <v>26</v>
      </c>
      <c r="AC2856">
        <v>-7.5717999999999899</v>
      </c>
      <c r="AD2856">
        <v>-1.119460939526</v>
      </c>
      <c r="AE2856">
        <v>-26.6096</v>
      </c>
      <c r="AF2856">
        <v>-9.7008117973963905</v>
      </c>
      <c r="AG2856">
        <v>-1.119460939526</v>
      </c>
      <c r="AH2856">
        <v>25.861109303762198</v>
      </c>
      <c r="AI2856">
        <v>92.320915684508094</v>
      </c>
      <c r="AJ2856">
        <v>110.561669752252</v>
      </c>
      <c r="AK2856">
        <v>27.643370213213199</v>
      </c>
      <c r="AL2856">
        <v>78.695556708032001</v>
      </c>
      <c r="AM2856">
        <v>102.638137509431</v>
      </c>
      <c r="AN2856">
        <v>1.0000000490096199</v>
      </c>
    </row>
    <row r="2857" spans="1:40" x14ac:dyDescent="0.25">
      <c r="A2857" t="str">
        <f>"20190304155649105"</f>
        <v>20190304155649105</v>
      </c>
      <c r="B2857" t="str">
        <f>"1551686209097218"</f>
        <v>1551686209097218</v>
      </c>
      <c r="C2857" t="s">
        <v>40</v>
      </c>
      <c r="D2857">
        <v>4.2804779999999996</v>
      </c>
      <c r="E2857">
        <v>0.43940859999999898</v>
      </c>
      <c r="F2857" t="s">
        <v>41</v>
      </c>
      <c r="G2857">
        <v>-495.69119999999998</v>
      </c>
      <c r="H2857" s="1">
        <v>-4.7424609999999999E-6</v>
      </c>
      <c r="I2857">
        <v>247.9562</v>
      </c>
      <c r="J2857">
        <v>-488.25020000000001</v>
      </c>
      <c r="K2857">
        <v>1.119421</v>
      </c>
      <c r="L2857">
        <v>275.00450000000001</v>
      </c>
      <c r="M2857">
        <v>-0.58877679999999999</v>
      </c>
      <c r="N2857">
        <v>-1.5397360000000001E-2</v>
      </c>
      <c r="O2857">
        <v>-0.80814919999999901</v>
      </c>
      <c r="P2857">
        <v>-0.39513239999999999</v>
      </c>
      <c r="Q2857">
        <v>0.186469</v>
      </c>
      <c r="R2857">
        <v>-0.89949979999999996</v>
      </c>
      <c r="S2857">
        <v>-0.82980350000000003</v>
      </c>
      <c r="T2857">
        <v>-0.1236252</v>
      </c>
      <c r="U2857">
        <v>-2.9992070000000002</v>
      </c>
      <c r="V2857">
        <v>-0.2146624</v>
      </c>
      <c r="W2857">
        <v>0.1965674</v>
      </c>
      <c r="X2857">
        <v>0.95670339999999998</v>
      </c>
      <c r="Y2857">
        <v>-0.35185429999999901</v>
      </c>
      <c r="Z2857">
        <v>1.375096E-2</v>
      </c>
      <c r="AA2857">
        <v>0.9359537</v>
      </c>
      <c r="AB2857">
        <v>26</v>
      </c>
      <c r="AC2857">
        <v>-7.4409999999999696</v>
      </c>
      <c r="AD2857">
        <v>-1.1194257424609999</v>
      </c>
      <c r="AE2857">
        <v>-27.048300000000001</v>
      </c>
      <c r="AF2857">
        <v>-9.8973871605568302</v>
      </c>
      <c r="AG2857">
        <v>-1.1194257424609999</v>
      </c>
      <c r="AH2857">
        <v>26.201535959745598</v>
      </c>
      <c r="AI2857">
        <v>92.288738855101897</v>
      </c>
      <c r="AJ2857">
        <v>110.693592829652</v>
      </c>
      <c r="AK2857">
        <v>28.030909247626699</v>
      </c>
      <c r="AL2857">
        <v>78.663699182328401</v>
      </c>
      <c r="AM2857">
        <v>102.646412882097</v>
      </c>
      <c r="AN2857">
        <v>1.00000004214403</v>
      </c>
    </row>
    <row r="2858" spans="1:40" x14ac:dyDescent="0.25">
      <c r="A2858" t="str">
        <f>"20190304155649115"</f>
        <v>20190304155649115</v>
      </c>
      <c r="B2858" t="str">
        <f>"1551686209107953"</f>
        <v>1551686209107953</v>
      </c>
      <c r="C2858" t="s">
        <v>40</v>
      </c>
      <c r="D2858">
        <v>4.2609839999999997</v>
      </c>
      <c r="E2858">
        <v>0.43930760000000002</v>
      </c>
      <c r="F2858" t="s">
        <v>41</v>
      </c>
      <c r="G2858">
        <v>-495.70240000000001</v>
      </c>
      <c r="H2858" s="1">
        <v>-4.521508E-6</v>
      </c>
      <c r="I2858">
        <v>247.30109999999999</v>
      </c>
      <c r="J2858">
        <v>-488.32060000000001</v>
      </c>
      <c r="K2858">
        <v>1.11937999999999</v>
      </c>
      <c r="L2858">
        <v>274.89699999999999</v>
      </c>
      <c r="M2858">
        <v>-0.58370849999999996</v>
      </c>
      <c r="N2858">
        <v>-1.5389109999999999E-2</v>
      </c>
      <c r="O2858">
        <v>-0.81181759999999903</v>
      </c>
      <c r="P2858">
        <v>-0.38943119999999998</v>
      </c>
      <c r="Q2858">
        <v>0.1869178</v>
      </c>
      <c r="R2858">
        <v>-0.90188999999999997</v>
      </c>
      <c r="S2858">
        <v>-0.80841059999999998</v>
      </c>
      <c r="T2858">
        <v>-0.1214343</v>
      </c>
      <c r="U2858">
        <v>-3.0052490000000001</v>
      </c>
      <c r="V2858">
        <v>-0.2146663</v>
      </c>
      <c r="W2858">
        <v>0.1970288</v>
      </c>
      <c r="X2858">
        <v>0.9566076</v>
      </c>
      <c r="Y2858">
        <v>-0.35268329999999998</v>
      </c>
      <c r="Z2858">
        <v>1.3386E-2</v>
      </c>
      <c r="AA2858">
        <v>0.93564700000000001</v>
      </c>
      <c r="AB2858">
        <v>26</v>
      </c>
      <c r="AC2858">
        <v>-7.3817999999999904</v>
      </c>
      <c r="AD2858">
        <v>-1.1193845215079901</v>
      </c>
      <c r="AE2858">
        <v>-27.5959</v>
      </c>
      <c r="AF2858">
        <v>-10.100972701782799</v>
      </c>
      <c r="AG2858">
        <v>-1.1193845215079901</v>
      </c>
      <c r="AH2858">
        <v>26.673858652926601</v>
      </c>
      <c r="AI2858">
        <v>92.247469560609005</v>
      </c>
      <c r="AJ2858">
        <v>110.740892400535</v>
      </c>
      <c r="AK2858">
        <v>28.544306028794299</v>
      </c>
      <c r="AL2858">
        <v>78.636735522552797</v>
      </c>
      <c r="AM2858">
        <v>102.64786101436501</v>
      </c>
      <c r="AN2858">
        <v>1.0000000343814399</v>
      </c>
    </row>
    <row r="2859" spans="1:40" x14ac:dyDescent="0.25">
      <c r="A2859" t="str">
        <f>"20190304155649126"</f>
        <v>20190304155649126</v>
      </c>
      <c r="B2859" t="str">
        <f>"1551686209117713"</f>
        <v>1551686209117713</v>
      </c>
      <c r="C2859" t="s">
        <v>40</v>
      </c>
      <c r="D2859">
        <v>4.2634939999999997</v>
      </c>
      <c r="E2859">
        <v>0.439274</v>
      </c>
      <c r="F2859" t="s">
        <v>41</v>
      </c>
      <c r="G2859">
        <v>-495.70780000000002</v>
      </c>
      <c r="H2859" s="1">
        <v>-4.3310069999999997E-6</v>
      </c>
      <c r="I2859">
        <v>246.73840000000001</v>
      </c>
      <c r="J2859">
        <v>-488.38959999999997</v>
      </c>
      <c r="K2859">
        <v>1.1193329999999999</v>
      </c>
      <c r="L2859">
        <v>274.7903</v>
      </c>
      <c r="M2859">
        <v>-0.57869340000000002</v>
      </c>
      <c r="N2859">
        <v>-1.538051E-2</v>
      </c>
      <c r="O2859">
        <v>-0.81540019999999902</v>
      </c>
      <c r="P2859">
        <v>-0.38394250000000002</v>
      </c>
      <c r="Q2859">
        <v>0.18708920000000001</v>
      </c>
      <c r="R2859">
        <v>-0.90420449999999997</v>
      </c>
      <c r="S2859">
        <v>-0.78970340000000006</v>
      </c>
      <c r="T2859">
        <v>-0.1196641</v>
      </c>
      <c r="U2859">
        <v>-3.0101930000000001</v>
      </c>
      <c r="V2859">
        <v>-0.21454490000000001</v>
      </c>
      <c r="W2859">
        <v>0.1972177</v>
      </c>
      <c r="X2859">
        <v>0.95659590000000005</v>
      </c>
      <c r="Y2859">
        <v>-0.3527344</v>
      </c>
      <c r="Z2859">
        <v>1.3124230000000001E-2</v>
      </c>
      <c r="AA2859">
        <v>0.93563149999999995</v>
      </c>
      <c r="AB2859">
        <v>26</v>
      </c>
      <c r="AC2859">
        <v>-7.31820000000004</v>
      </c>
      <c r="AD2859">
        <v>-1.1193373310069901</v>
      </c>
      <c r="AE2859">
        <v>-28.0518999999999</v>
      </c>
      <c r="AF2859">
        <v>-10.2521183882406</v>
      </c>
      <c r="AG2859">
        <v>-1.1193373310069901</v>
      </c>
      <c r="AH2859">
        <v>27.071368149514299</v>
      </c>
      <c r="AI2859">
        <v>92.2143914441546</v>
      </c>
      <c r="AJ2859">
        <v>110.74203089221</v>
      </c>
      <c r="AK2859">
        <v>28.969256479820501</v>
      </c>
      <c r="AL2859">
        <v>78.625695634176594</v>
      </c>
      <c r="AM2859">
        <v>102.641087846871</v>
      </c>
      <c r="AN2859">
        <v>1.0000000256030499</v>
      </c>
    </row>
    <row r="2860" spans="1:40" x14ac:dyDescent="0.25">
      <c r="A2860" t="str">
        <f>"20190304155649138"</f>
        <v>20190304155649138</v>
      </c>
      <c r="B2860" t="str">
        <f>"1551686209127473"</f>
        <v>1551686209127473</v>
      </c>
      <c r="C2860" t="s">
        <v>40</v>
      </c>
      <c r="D2860">
        <v>4.2251719999999997</v>
      </c>
      <c r="E2860">
        <v>0.43938169999999999</v>
      </c>
      <c r="F2860" t="s">
        <v>41</v>
      </c>
      <c r="G2860">
        <v>-495.69099999999997</v>
      </c>
      <c r="H2860" s="1">
        <v>-4.1529880000000004E-6</v>
      </c>
      <c r="I2860">
        <v>246.22409999999999</v>
      </c>
      <c r="J2860">
        <v>-488.45699999999999</v>
      </c>
      <c r="K2860">
        <v>1.1192850000000001</v>
      </c>
      <c r="L2860">
        <v>274.68430000000001</v>
      </c>
      <c r="M2860">
        <v>-0.57374150000000002</v>
      </c>
      <c r="N2860">
        <v>-1.537088E-2</v>
      </c>
      <c r="O2860">
        <v>-0.81889209999999901</v>
      </c>
      <c r="P2860">
        <v>-0.37886880000000001</v>
      </c>
      <c r="Q2860">
        <v>0.1866235</v>
      </c>
      <c r="R2860">
        <v>-0.90643810000000002</v>
      </c>
      <c r="S2860">
        <v>-0.77062989999999998</v>
      </c>
      <c r="T2860">
        <v>-0.1181412</v>
      </c>
      <c r="U2860">
        <v>-3.0150450000000002</v>
      </c>
      <c r="V2860">
        <v>-0.21412980000000001</v>
      </c>
      <c r="W2860">
        <v>0.19677919999999999</v>
      </c>
      <c r="X2860">
        <v>0.95677920000000005</v>
      </c>
      <c r="Y2860">
        <v>-0.35298220000000002</v>
      </c>
      <c r="Z2860">
        <v>1.29096E-2</v>
      </c>
      <c r="AA2860">
        <v>0.93554099999999996</v>
      </c>
      <c r="AB2860">
        <v>26</v>
      </c>
      <c r="AC2860">
        <v>-7.2339999999999796</v>
      </c>
      <c r="AD2860">
        <v>-1.119289152988</v>
      </c>
      <c r="AE2860">
        <v>-28.4602</v>
      </c>
      <c r="AF2860">
        <v>-10.3910659624581</v>
      </c>
      <c r="AG2860">
        <v>-1.119289152988</v>
      </c>
      <c r="AH2860">
        <v>27.419688576604099</v>
      </c>
      <c r="AI2860">
        <v>92.186009171232996</v>
      </c>
      <c r="AJ2860">
        <v>110.75488831557099</v>
      </c>
      <c r="AK2860">
        <v>29.3439326212781</v>
      </c>
      <c r="AL2860">
        <v>78.651322076795594</v>
      </c>
      <c r="AM2860">
        <v>102.61507389035199</v>
      </c>
      <c r="AN2860">
        <v>1.0000000311766499</v>
      </c>
    </row>
    <row r="2861" spans="1:40" x14ac:dyDescent="0.25">
      <c r="A2861" t="str">
        <f>"20190304155649148"</f>
        <v>20190304155649148</v>
      </c>
      <c r="B2861" t="str">
        <f>"1551686209137233"</f>
        <v>1551686209137233</v>
      </c>
      <c r="C2861" t="s">
        <v>40</v>
      </c>
      <c r="D2861">
        <v>4.2558319999999998</v>
      </c>
      <c r="E2861">
        <v>0.43948759999999998</v>
      </c>
      <c r="F2861" t="s">
        <v>41</v>
      </c>
      <c r="G2861">
        <v>-495.51589999999999</v>
      </c>
      <c r="H2861" s="1">
        <v>-4.1922920000000003E-6</v>
      </c>
      <c r="I2861">
        <v>246.43090000000001</v>
      </c>
      <c r="J2861">
        <v>-488.52699999999999</v>
      </c>
      <c r="K2861">
        <v>1.1192329999999999</v>
      </c>
      <c r="L2861">
        <v>274.57369999999997</v>
      </c>
      <c r="M2861">
        <v>-0.56857179999999996</v>
      </c>
      <c r="N2861">
        <v>-1.536091E-2</v>
      </c>
      <c r="O2861">
        <v>-0.82249050000000001</v>
      </c>
      <c r="P2861">
        <v>-0.37353890000000001</v>
      </c>
      <c r="Q2861">
        <v>0.18595110000000001</v>
      </c>
      <c r="R2861">
        <v>-0.90878570000000003</v>
      </c>
      <c r="S2861">
        <v>-0.75427250000000001</v>
      </c>
      <c r="T2861">
        <v>-0.1196012</v>
      </c>
      <c r="U2861">
        <v>-3.019012</v>
      </c>
      <c r="V2861">
        <v>-0.2137597</v>
      </c>
      <c r="W2861">
        <v>0.196134</v>
      </c>
      <c r="X2861">
        <v>0.95699440000000002</v>
      </c>
      <c r="Y2861">
        <v>-0.35214899999999999</v>
      </c>
      <c r="Z2861">
        <v>1.340263E-2</v>
      </c>
      <c r="AA2861">
        <v>0.93584800000000001</v>
      </c>
      <c r="AB2861">
        <v>26</v>
      </c>
      <c r="AC2861">
        <v>-6.9889000000000001</v>
      </c>
      <c r="AD2861">
        <v>-1.1192371922919999</v>
      </c>
      <c r="AE2861">
        <v>-28.142799999999902</v>
      </c>
      <c r="AF2861">
        <v>-10.238852468235899</v>
      </c>
      <c r="AG2861">
        <v>-1.1192371922919999</v>
      </c>
      <c r="AH2861">
        <v>27.083722398725001</v>
      </c>
      <c r="AI2861">
        <v>92.213669456448898</v>
      </c>
      <c r="AJ2861">
        <v>110.708823331695</v>
      </c>
      <c r="AK2861">
        <v>28.976107584182301</v>
      </c>
      <c r="AL2861">
        <v>78.6890238836138</v>
      </c>
      <c r="AM2861">
        <v>102.59122452196399</v>
      </c>
      <c r="AN2861">
        <v>1.0000000184657201</v>
      </c>
    </row>
    <row r="2862" spans="1:40" x14ac:dyDescent="0.25">
      <c r="A2862" t="str">
        <f>"20190304155649170"</f>
        <v>20190304155649170</v>
      </c>
      <c r="B2862" t="str">
        <f>"1551686209167489"</f>
        <v>1551686209167489</v>
      </c>
      <c r="C2862" t="s">
        <v>40</v>
      </c>
      <c r="D2862">
        <v>4.2747060000000001</v>
      </c>
      <c r="E2862">
        <v>0.44012980000000002</v>
      </c>
      <c r="F2862" t="s">
        <v>41</v>
      </c>
      <c r="G2862">
        <v>-495.2987</v>
      </c>
      <c r="H2862" s="1">
        <v>-4.2806780000000002E-6</v>
      </c>
      <c r="I2862">
        <v>246.8038</v>
      </c>
      <c r="J2862">
        <v>-488.65249999999997</v>
      </c>
      <c r="K2862">
        <v>1.1191279999999999</v>
      </c>
      <c r="L2862">
        <v>274.37049999999999</v>
      </c>
      <c r="M2862">
        <v>-0.55917150000000004</v>
      </c>
      <c r="N2862">
        <v>-1.534025E-2</v>
      </c>
      <c r="O2862">
        <v>-0.82891019999999904</v>
      </c>
      <c r="P2862">
        <v>-0.36394539999999997</v>
      </c>
      <c r="Q2862">
        <v>0.18525140000000001</v>
      </c>
      <c r="R2862">
        <v>-0.91281199999999996</v>
      </c>
      <c r="S2862">
        <v>-0.73718260000000002</v>
      </c>
      <c r="T2862">
        <v>-0.1218419</v>
      </c>
      <c r="U2862">
        <v>-3.0230709999999998</v>
      </c>
      <c r="V2862">
        <v>-0.21295749999999999</v>
      </c>
      <c r="W2862">
        <v>0.19548960000000001</v>
      </c>
      <c r="X2862">
        <v>0.95730499999999996</v>
      </c>
      <c r="Y2862">
        <v>-0.346775099999999</v>
      </c>
      <c r="Z2862">
        <v>1.427631E-2</v>
      </c>
      <c r="AA2862">
        <v>0.9378396</v>
      </c>
      <c r="AB2862">
        <v>26</v>
      </c>
      <c r="AC2862">
        <v>-6.6462000000000199</v>
      </c>
      <c r="AD2862">
        <v>-1.119132280678</v>
      </c>
      <c r="AE2862">
        <v>-27.566700000000001</v>
      </c>
      <c r="AF2862">
        <v>-9.8911682041463909</v>
      </c>
      <c r="AG2862">
        <v>-1.119132280678</v>
      </c>
      <c r="AH2862">
        <v>26.528487350562798</v>
      </c>
      <c r="AI2862">
        <v>92.263603151391493</v>
      </c>
      <c r="AJ2862">
        <v>110.44801147357001</v>
      </c>
      <c r="AK2862">
        <v>28.334577932507599</v>
      </c>
      <c r="AL2862">
        <v>78.726673603311099</v>
      </c>
      <c r="AM2862">
        <v>102.54152896558899</v>
      </c>
      <c r="AN2862">
        <v>0.99999997176970401</v>
      </c>
    </row>
    <row r="2863" spans="1:40" x14ac:dyDescent="0.25">
      <c r="A2863" t="str">
        <f>"20190304155649181"</f>
        <v>20190304155649181</v>
      </c>
      <c r="B2863" t="str">
        <f>"1551686209177249"</f>
        <v>1551686209177249</v>
      </c>
      <c r="C2863" t="s">
        <v>40</v>
      </c>
      <c r="D2863">
        <v>4.2576039999999997</v>
      </c>
      <c r="E2863">
        <v>0.44037779999999999</v>
      </c>
      <c r="F2863" t="s">
        <v>41</v>
      </c>
      <c r="G2863">
        <v>-495.01029999999997</v>
      </c>
      <c r="H2863" s="1">
        <v>-4.3764379999999999E-6</v>
      </c>
      <c r="I2863">
        <v>247.2355</v>
      </c>
      <c r="J2863">
        <v>-488.71800000000002</v>
      </c>
      <c r="K2863">
        <v>1.119068</v>
      </c>
      <c r="L2863">
        <v>274.26190000000003</v>
      </c>
      <c r="M2863">
        <v>-0.55419819999999997</v>
      </c>
      <c r="N2863">
        <v>-1.5327520000000001E-2</v>
      </c>
      <c r="O2863">
        <v>-0.83224390000000004</v>
      </c>
      <c r="P2863">
        <v>-0.35889910000000003</v>
      </c>
      <c r="Q2863">
        <v>0.18499160000000001</v>
      </c>
      <c r="R2863">
        <v>-0.91486080000000003</v>
      </c>
      <c r="S2863">
        <v>-0.70968629999999999</v>
      </c>
      <c r="T2863">
        <v>-0.12492259999999999</v>
      </c>
      <c r="U2863">
        <v>-3.028931</v>
      </c>
      <c r="V2863">
        <v>-0.21250540000000001</v>
      </c>
      <c r="W2863">
        <v>0.19525899999999999</v>
      </c>
      <c r="X2863">
        <v>0.95745250000000004</v>
      </c>
      <c r="Y2863">
        <v>-0.34962710000000002</v>
      </c>
      <c r="Z2863">
        <v>1.5099019999999999E-2</v>
      </c>
      <c r="AA2863">
        <v>0.93676729999999997</v>
      </c>
      <c r="AB2863">
        <v>26</v>
      </c>
      <c r="AC2863">
        <v>-6.2922999999999503</v>
      </c>
      <c r="AD2863">
        <v>-1.1190723764379999</v>
      </c>
      <c r="AE2863">
        <v>-27.026399999999999</v>
      </c>
      <c r="AF2863">
        <v>-9.7265771959461205</v>
      </c>
      <c r="AG2863">
        <v>-1.1190723764379999</v>
      </c>
      <c r="AH2863">
        <v>25.9405952758888</v>
      </c>
      <c r="AI2863">
        <v>92.313128163935801</v>
      </c>
      <c r="AJ2863">
        <v>110.55382598580201</v>
      </c>
      <c r="AK2863">
        <v>27.726758018201</v>
      </c>
      <c r="AL2863">
        <v>78.740145452686406</v>
      </c>
      <c r="AM2863">
        <v>102.513876219658</v>
      </c>
      <c r="AN2863">
        <v>0.99999995593320401</v>
      </c>
    </row>
    <row r="2864" spans="1:40" x14ac:dyDescent="0.25">
      <c r="A2864" t="str">
        <f>"20190304155649192"</f>
        <v>20190304155649192</v>
      </c>
      <c r="B2864" t="str">
        <f>"1551686209187985"</f>
        <v>1551686209187985</v>
      </c>
      <c r="C2864" t="s">
        <v>40</v>
      </c>
      <c r="D2864">
        <v>4.2564080000000004</v>
      </c>
      <c r="E2864">
        <v>0.44063170000000002</v>
      </c>
      <c r="F2864" t="s">
        <v>41</v>
      </c>
      <c r="G2864">
        <v>-494.89479999999998</v>
      </c>
      <c r="H2864" s="1">
        <v>-4.37773E-6</v>
      </c>
      <c r="I2864">
        <v>247.29949999999999</v>
      </c>
      <c r="J2864">
        <v>-488.78489999999999</v>
      </c>
      <c r="K2864">
        <v>1.1190059999999999</v>
      </c>
      <c r="L2864">
        <v>274.15019999999998</v>
      </c>
      <c r="M2864">
        <v>-0.5490834</v>
      </c>
      <c r="N2864">
        <v>-1.531484E-2</v>
      </c>
      <c r="O2864">
        <v>-0.83562729999999996</v>
      </c>
      <c r="P2864">
        <v>-0.35338890000000001</v>
      </c>
      <c r="Q2864">
        <v>0.18482470000000001</v>
      </c>
      <c r="R2864">
        <v>-0.91703650000000003</v>
      </c>
      <c r="S2864">
        <v>-0.69464110000000001</v>
      </c>
      <c r="T2864">
        <v>-0.12584870000000001</v>
      </c>
      <c r="U2864">
        <v>-3.0321349999999998</v>
      </c>
      <c r="V2864">
        <v>-0.21237890000000001</v>
      </c>
      <c r="W2864">
        <v>0.1951146</v>
      </c>
      <c r="X2864">
        <v>0.95751010000000003</v>
      </c>
      <c r="Y2864">
        <v>-0.34851359999999998</v>
      </c>
      <c r="Z2864">
        <v>1.548631E-2</v>
      </c>
      <c r="AA2864">
        <v>0.9371758</v>
      </c>
      <c r="AB2864">
        <v>26</v>
      </c>
      <c r="AC2864">
        <v>-6.1098999999999801</v>
      </c>
      <c r="AD2864">
        <v>-1.11901037772999</v>
      </c>
      <c r="AE2864">
        <v>-26.8506999999999</v>
      </c>
      <c r="AF2864">
        <v>-9.6229137621637992</v>
      </c>
      <c r="AG2864">
        <v>-1.11901037772999</v>
      </c>
      <c r="AH2864">
        <v>25.752520661700501</v>
      </c>
      <c r="AI2864">
        <v>92.330857389581695</v>
      </c>
      <c r="AJ2864">
        <v>110.489147770988</v>
      </c>
      <c r="AK2864">
        <v>27.514450274915902</v>
      </c>
      <c r="AL2864">
        <v>78.7485822652378</v>
      </c>
      <c r="AM2864">
        <v>102.50593273612201</v>
      </c>
      <c r="AN2864">
        <v>1.00000004795018</v>
      </c>
    </row>
    <row r="2865" spans="1:40" x14ac:dyDescent="0.25">
      <c r="A2865" t="str">
        <f>"20190304155649215"</f>
        <v>20190304155649215</v>
      </c>
      <c r="B2865" t="str">
        <f>"1551686209207504"</f>
        <v>1551686209207504</v>
      </c>
      <c r="C2865" t="s">
        <v>40</v>
      </c>
      <c r="D2865">
        <v>4.2216009999999997</v>
      </c>
      <c r="E2865">
        <v>0.44118570000000001</v>
      </c>
      <c r="F2865" t="s">
        <v>41</v>
      </c>
      <c r="G2865">
        <v>-494.78930000000003</v>
      </c>
      <c r="H2865" s="1">
        <v>-4.3526480000000001E-6</v>
      </c>
      <c r="I2865">
        <v>247.2808</v>
      </c>
      <c r="J2865">
        <v>-488.9153</v>
      </c>
      <c r="K2865">
        <v>1.1188849999999999</v>
      </c>
      <c r="L2865">
        <v>273.92759999999998</v>
      </c>
      <c r="M2865">
        <v>-0.53898990000000002</v>
      </c>
      <c r="N2865">
        <v>-1.5288039999999999E-2</v>
      </c>
      <c r="O2865">
        <v>-0.84217350000000002</v>
      </c>
      <c r="P2865">
        <v>-0.3426283</v>
      </c>
      <c r="Q2865">
        <v>0.18431169999999999</v>
      </c>
      <c r="R2865">
        <v>-0.92121410000000004</v>
      </c>
      <c r="S2865">
        <v>-0.67831419999999998</v>
      </c>
      <c r="T2865">
        <v>-0.12641440000000001</v>
      </c>
      <c r="U2865">
        <v>-3.035431</v>
      </c>
      <c r="V2865">
        <v>-0.21205570000000001</v>
      </c>
      <c r="W2865">
        <v>0.1946445</v>
      </c>
      <c r="X2865">
        <v>0.95767740000000001</v>
      </c>
      <c r="Y2865">
        <v>-0.34225159999999999</v>
      </c>
      <c r="Z2865">
        <v>1.6019930000000002E-2</v>
      </c>
      <c r="AA2865">
        <v>0.93947179999999997</v>
      </c>
      <c r="AB2865">
        <v>26</v>
      </c>
      <c r="AC2865">
        <v>-5.8740000000000201</v>
      </c>
      <c r="AD2865">
        <v>-1.1188893526479999</v>
      </c>
      <c r="AE2865">
        <v>-26.646799999999899</v>
      </c>
      <c r="AF2865">
        <v>-9.4007226443723901</v>
      </c>
      <c r="AG2865">
        <v>-1.1188893526479999</v>
      </c>
      <c r="AH2865">
        <v>25.567258634767999</v>
      </c>
      <c r="AI2865">
        <v>92.352050857498696</v>
      </c>
      <c r="AJ2865">
        <v>110.187767666947</v>
      </c>
      <c r="AK2865">
        <v>27.263716065808101</v>
      </c>
      <c r="AL2865">
        <v>78.776043564411395</v>
      </c>
      <c r="AM2865">
        <v>102.485385446862</v>
      </c>
      <c r="AN2865">
        <v>1.00000005187674</v>
      </c>
    </row>
    <row r="2866" spans="1:40" x14ac:dyDescent="0.25">
      <c r="A2866" t="str">
        <f>"20190304155649226"</f>
        <v>20190304155649226</v>
      </c>
      <c r="B2866" t="str">
        <f>"1551686209217265"</f>
        <v>1551686209217265</v>
      </c>
      <c r="C2866" t="s">
        <v>40</v>
      </c>
      <c r="D2866">
        <v>4.197273</v>
      </c>
      <c r="E2866">
        <v>0.44154959999999999</v>
      </c>
      <c r="F2866" t="s">
        <v>41</v>
      </c>
      <c r="G2866">
        <v>-494.53530000000001</v>
      </c>
      <c r="H2866" s="1">
        <v>-4.3757390000000003E-6</v>
      </c>
      <c r="I2866">
        <v>247.48099999999999</v>
      </c>
      <c r="J2866">
        <v>-488.97859999999997</v>
      </c>
      <c r="K2866">
        <v>1.1188260000000001</v>
      </c>
      <c r="L2866">
        <v>273.8175</v>
      </c>
      <c r="M2866">
        <v>-0.53403590000000001</v>
      </c>
      <c r="N2866">
        <v>-1.5274950000000001E-2</v>
      </c>
      <c r="O2866">
        <v>-0.84532410000000002</v>
      </c>
      <c r="P2866">
        <v>-0.33698529999999999</v>
      </c>
      <c r="Q2866">
        <v>0.1841372</v>
      </c>
      <c r="R2866">
        <v>-0.92332829999999999</v>
      </c>
      <c r="S2866">
        <v>-0.64642330000000003</v>
      </c>
      <c r="T2866">
        <v>-0.1286957</v>
      </c>
      <c r="U2866">
        <v>-3.0419010000000002</v>
      </c>
      <c r="V2866">
        <v>-0.21228</v>
      </c>
      <c r="W2866">
        <v>0.19448219999999999</v>
      </c>
      <c r="X2866">
        <v>0.95766059999999997</v>
      </c>
      <c r="Y2866">
        <v>-0.346557</v>
      </c>
      <c r="Z2866">
        <v>1.664411E-2</v>
      </c>
      <c r="AA2866">
        <v>0.93788119999999997</v>
      </c>
      <c r="AB2866">
        <v>26</v>
      </c>
      <c r="AC2866">
        <v>-5.5567000000000304</v>
      </c>
      <c r="AD2866">
        <v>-1.1188303757389999</v>
      </c>
      <c r="AE2866">
        <v>-26.336500000000001</v>
      </c>
      <c r="AF2866">
        <v>-9.3523555831704606</v>
      </c>
      <c r="AG2866">
        <v>-1.1188303757389999</v>
      </c>
      <c r="AH2866">
        <v>25.1897698082077</v>
      </c>
      <c r="AI2866">
        <v>92.384350890420393</v>
      </c>
      <c r="AJ2866">
        <v>110.36875013937301</v>
      </c>
      <c r="AK2866">
        <v>26.893174586765099</v>
      </c>
      <c r="AL2866">
        <v>78.785522960147702</v>
      </c>
      <c r="AM2866">
        <v>102.498389363765</v>
      </c>
      <c r="AN2866">
        <v>0.999999974654599</v>
      </c>
    </row>
    <row r="2867" spans="1:40" x14ac:dyDescent="0.25">
      <c r="A2867" t="str">
        <f>"20190304155649238"</f>
        <v>20190304155649238</v>
      </c>
      <c r="B2867" t="str">
        <f>"1551686209228000"</f>
        <v>1551686209228000</v>
      </c>
      <c r="C2867" t="s">
        <v>40</v>
      </c>
      <c r="D2867">
        <v>4.2006930000000002</v>
      </c>
      <c r="E2867">
        <v>0.4419091</v>
      </c>
      <c r="F2867" t="s">
        <v>41</v>
      </c>
      <c r="G2867">
        <v>-494.37150000000003</v>
      </c>
      <c r="H2867" s="1">
        <v>-4.4491049999999998E-6</v>
      </c>
      <c r="I2867">
        <v>247.78200000000001</v>
      </c>
      <c r="J2867">
        <v>-489.05040000000002</v>
      </c>
      <c r="K2867">
        <v>1.1187579999999999</v>
      </c>
      <c r="L2867">
        <v>273.69049999999999</v>
      </c>
      <c r="M2867">
        <v>-0.52836159999999999</v>
      </c>
      <c r="N2867">
        <v>-1.5259440000000001E-2</v>
      </c>
      <c r="O2867">
        <v>-0.84888259999999904</v>
      </c>
      <c r="P2867">
        <v>-0.3306886</v>
      </c>
      <c r="Q2867">
        <v>0.18394840000000001</v>
      </c>
      <c r="R2867">
        <v>-0.92563949999999995</v>
      </c>
      <c r="S2867">
        <v>-0.63073729999999995</v>
      </c>
      <c r="T2867">
        <v>-0.13085439999999901</v>
      </c>
      <c r="U2867">
        <v>-3.045013</v>
      </c>
      <c r="V2867">
        <v>-0.2123718</v>
      </c>
      <c r="W2867">
        <v>0.19431100000000001</v>
      </c>
      <c r="X2867">
        <v>0.95767500000000005</v>
      </c>
      <c r="Y2867">
        <v>-0.34509759999999901</v>
      </c>
      <c r="Z2867">
        <v>1.7357870000000001E-2</v>
      </c>
      <c r="AA2867">
        <v>0.93840630000000003</v>
      </c>
      <c r="AB2867">
        <v>26</v>
      </c>
      <c r="AC2867">
        <v>-5.3211000000000004</v>
      </c>
      <c r="AD2867">
        <v>-1.1187624491049999</v>
      </c>
      <c r="AE2867">
        <v>-25.908499999999901</v>
      </c>
      <c r="AF2867">
        <v>-9.1567502190556098</v>
      </c>
      <c r="AG2867">
        <v>-1.1187624491049999</v>
      </c>
      <c r="AH2867">
        <v>24.763316541572198</v>
      </c>
      <c r="AI2867">
        <v>92.426404667011099</v>
      </c>
      <c r="AJ2867">
        <v>110.292919631849</v>
      </c>
      <c r="AK2867">
        <v>26.425736510640601</v>
      </c>
      <c r="AL2867">
        <v>78.795522778005704</v>
      </c>
      <c r="AM2867">
        <v>102.50344222614299</v>
      </c>
      <c r="AN2867">
        <v>0.99999997589061895</v>
      </c>
    </row>
    <row r="2868" spans="1:40" x14ac:dyDescent="0.25">
      <c r="A2868" t="str">
        <f>"20190304155649253"</f>
        <v>20190304155649253</v>
      </c>
      <c r="B2868" t="str">
        <f>"1551686209247521"</f>
        <v>1551686209247521</v>
      </c>
      <c r="C2868" t="s">
        <v>40</v>
      </c>
      <c r="D2868">
        <v>4.2040170000000003</v>
      </c>
      <c r="E2868">
        <v>0.44260519999999998</v>
      </c>
      <c r="F2868" t="s">
        <v>41</v>
      </c>
      <c r="G2868">
        <v>-494.20650000000001</v>
      </c>
      <c r="H2868" s="1">
        <v>-4.5137590000000002E-6</v>
      </c>
      <c r="I2868">
        <v>248.05799999999999</v>
      </c>
      <c r="J2868">
        <v>-489.1284</v>
      </c>
      <c r="K2868">
        <v>1.118684</v>
      </c>
      <c r="L2868">
        <v>273.55099999999999</v>
      </c>
      <c r="M2868">
        <v>-0.5221557</v>
      </c>
      <c r="N2868">
        <v>-1.524241E-2</v>
      </c>
      <c r="O2868">
        <v>-0.85271399999999997</v>
      </c>
      <c r="P2868">
        <v>-0.32388109999999998</v>
      </c>
      <c r="Q2868">
        <v>0.18360770000000001</v>
      </c>
      <c r="R2868">
        <v>-0.92811060000000001</v>
      </c>
      <c r="S2868">
        <v>-0.61318969999999995</v>
      </c>
      <c r="T2868">
        <v>-0.133049</v>
      </c>
      <c r="U2868">
        <v>-3.04834</v>
      </c>
      <c r="V2868">
        <v>-0.21241389999999999</v>
      </c>
      <c r="W2868">
        <v>0.1939911</v>
      </c>
      <c r="X2868">
        <v>0.95773050000000004</v>
      </c>
      <c r="Y2868">
        <v>-0.34364250000000002</v>
      </c>
      <c r="Z2868">
        <v>1.810204E-2</v>
      </c>
      <c r="AA2868">
        <v>0.93892600000000004</v>
      </c>
      <c r="AB2868">
        <v>26</v>
      </c>
      <c r="AC2868">
        <v>-5.0781000000000001</v>
      </c>
      <c r="AD2868">
        <v>-1.1186885137589999</v>
      </c>
      <c r="AE2868">
        <v>-25.492999999999899</v>
      </c>
      <c r="AF2868">
        <v>-8.9655858057977795</v>
      </c>
      <c r="AG2868">
        <v>-1.1186885137589999</v>
      </c>
      <c r="AH2868">
        <v>24.347534338577798</v>
      </c>
      <c r="AI2868">
        <v>92.468857158838105</v>
      </c>
      <c r="AJ2868">
        <v>110.215413775678</v>
      </c>
      <c r="AK2868">
        <v>25.969898367151199</v>
      </c>
      <c r="AL2868">
        <v>78.814207066529605</v>
      </c>
      <c r="AM2868">
        <v>102.505140994269</v>
      </c>
      <c r="AN2868">
        <v>0.99999996121133405</v>
      </c>
    </row>
    <row r="2869" spans="1:40" x14ac:dyDescent="0.25">
      <c r="A2869" t="str">
        <f>"20190304155649268"</f>
        <v>20190304155649268</v>
      </c>
      <c r="B2869" t="str">
        <f>"1551686209257280"</f>
        <v>1551686209257280</v>
      </c>
      <c r="C2869" t="s">
        <v>40</v>
      </c>
      <c r="D2869">
        <v>4.1755589999999998</v>
      </c>
      <c r="E2869">
        <v>0.44260519999999998</v>
      </c>
      <c r="F2869" t="s">
        <v>41</v>
      </c>
      <c r="G2869">
        <v>-494.00650000000002</v>
      </c>
      <c r="H2869" s="1">
        <v>-4.6527710000000004E-6</v>
      </c>
      <c r="I2869">
        <v>248.57079999999999</v>
      </c>
      <c r="J2869">
        <v>-489.20960000000002</v>
      </c>
      <c r="K2869">
        <v>1.1186020000000001</v>
      </c>
      <c r="L2869">
        <v>273.40300000000002</v>
      </c>
      <c r="M2869">
        <v>-0.51563340000000002</v>
      </c>
      <c r="N2869">
        <v>-1.5223520000000001E-2</v>
      </c>
      <c r="O2869">
        <v>-0.85667409999999999</v>
      </c>
      <c r="P2869">
        <v>-0.31683440000000002</v>
      </c>
      <c r="Q2869">
        <v>0.1833391</v>
      </c>
      <c r="R2869">
        <v>-0.930593</v>
      </c>
      <c r="S2869">
        <v>-0.59588619999999903</v>
      </c>
      <c r="T2869">
        <v>-0.13665469999999999</v>
      </c>
      <c r="U2869">
        <v>-3.0514830000000002</v>
      </c>
      <c r="V2869">
        <v>-0.21235080000000001</v>
      </c>
      <c r="W2869">
        <v>0.1937469</v>
      </c>
      <c r="X2869">
        <v>0.95779400000000003</v>
      </c>
      <c r="Y2869">
        <v>-0.34178750000000002</v>
      </c>
      <c r="Z2869">
        <v>1.921585E-2</v>
      </c>
      <c r="AA2869">
        <v>0.93958079999999999</v>
      </c>
      <c r="AB2869">
        <v>26</v>
      </c>
      <c r="AC2869">
        <v>-4.7968999999999902</v>
      </c>
      <c r="AD2869">
        <v>-1.1186066527709999</v>
      </c>
      <c r="AE2869">
        <v>-24.8322</v>
      </c>
      <c r="AF2869">
        <v>-8.6789613422802105</v>
      </c>
      <c r="AG2869">
        <v>-1.1186066527709999</v>
      </c>
      <c r="AH2869">
        <v>23.7029280669272</v>
      </c>
      <c r="AI2869">
        <v>92.537429882550995</v>
      </c>
      <c r="AJ2869">
        <v>110.110490629823</v>
      </c>
      <c r="AK2869">
        <v>25.2666667720605</v>
      </c>
      <c r="AL2869">
        <v>78.828470122224701</v>
      </c>
      <c r="AM2869">
        <v>102.50074022468</v>
      </c>
      <c r="AN2869">
        <v>1.00000003497812</v>
      </c>
    </row>
    <row r="2870" spans="1:40" x14ac:dyDescent="0.25">
      <c r="A2870" t="str">
        <f>"20190304155649282"</f>
        <v>20190304155649282</v>
      </c>
      <c r="B2870" t="str">
        <f>"1551686209277777"</f>
        <v>1551686209277777</v>
      </c>
      <c r="C2870" t="s">
        <v>40</v>
      </c>
      <c r="D2870">
        <v>4.2146549999999996</v>
      </c>
      <c r="E2870">
        <v>0.45491229999999999</v>
      </c>
      <c r="F2870" t="s">
        <v>41</v>
      </c>
      <c r="G2870">
        <v>-493.87079999999997</v>
      </c>
      <c r="H2870" s="1">
        <v>-4.6108540000000002E-6</v>
      </c>
      <c r="I2870">
        <v>248.51830000000001</v>
      </c>
      <c r="J2870">
        <v>-489.2869</v>
      </c>
      <c r="K2870">
        <v>1.1185179999999999</v>
      </c>
      <c r="L2870">
        <v>273.2593</v>
      </c>
      <c r="M2870">
        <v>-0.50936040000000005</v>
      </c>
      <c r="N2870">
        <v>-1.5204209999999999E-2</v>
      </c>
      <c r="O2870">
        <v>-0.86041900000000004</v>
      </c>
      <c r="P2870">
        <v>-0.31059229999999999</v>
      </c>
      <c r="Q2870">
        <v>0.18234939999999999</v>
      </c>
      <c r="R2870">
        <v>-0.93288859999999996</v>
      </c>
      <c r="S2870">
        <v>-0.57241819999999999</v>
      </c>
      <c r="T2870">
        <v>-0.13736779999999901</v>
      </c>
      <c r="U2870">
        <v>-3.0559080000000001</v>
      </c>
      <c r="V2870">
        <v>-0.21180940000000001</v>
      </c>
      <c r="W2870">
        <v>0.1927944</v>
      </c>
      <c r="X2870">
        <v>0.95810600000000001</v>
      </c>
      <c r="Y2870">
        <v>-0.34213890000000002</v>
      </c>
      <c r="Z2870">
        <v>1.95783E-2</v>
      </c>
      <c r="AA2870">
        <v>0.93944539999999999</v>
      </c>
      <c r="AB2870">
        <v>26</v>
      </c>
      <c r="AC2870">
        <v>-4.5838999999999697</v>
      </c>
      <c r="AD2870">
        <v>-1.1185226108540001</v>
      </c>
      <c r="AE2870">
        <v>-24.7409999999999</v>
      </c>
      <c r="AF2870">
        <v>-8.6419348615106095</v>
      </c>
      <c r="AG2870">
        <v>-1.1185226108540001</v>
      </c>
      <c r="AH2870">
        <v>23.5786215364223</v>
      </c>
      <c r="AI2870">
        <v>92.550302012474404</v>
      </c>
      <c r="AJ2870">
        <v>110.128678148144</v>
      </c>
      <c r="AK2870">
        <v>25.137333282180599</v>
      </c>
      <c r="AL2870">
        <v>78.884092758624902</v>
      </c>
      <c r="AM2870">
        <v>102.465933302921</v>
      </c>
      <c r="AN2870">
        <v>1.0000000049178599</v>
      </c>
    </row>
    <row r="2871" spans="1:40" x14ac:dyDescent="0.25">
      <c r="A2871" t="str">
        <f>"20190304155649293"</f>
        <v>20190304155649293</v>
      </c>
      <c r="B2871" t="str">
        <f>"1551686209287537"</f>
        <v>1551686209287537</v>
      </c>
      <c r="C2871" t="s">
        <v>40</v>
      </c>
      <c r="D2871">
        <v>4.1762350000000001</v>
      </c>
      <c r="E2871">
        <v>0.45587119999999998</v>
      </c>
      <c r="F2871" t="s">
        <v>41</v>
      </c>
      <c r="G2871">
        <v>-493.6139</v>
      </c>
      <c r="H2871" s="1">
        <v>-2.4112490000000002E-6</v>
      </c>
      <c r="I2871">
        <v>252.9683</v>
      </c>
      <c r="J2871">
        <v>-489.34879999999998</v>
      </c>
      <c r="K2871">
        <v>1.1184540000000001</v>
      </c>
      <c r="L2871">
        <v>273.1429</v>
      </c>
      <c r="M2871">
        <v>-0.50430259999999905</v>
      </c>
      <c r="N2871">
        <v>-1.518859E-2</v>
      </c>
      <c r="O2871">
        <v>-0.86339349999999904</v>
      </c>
      <c r="P2871">
        <v>-0.30537789999999998</v>
      </c>
      <c r="Q2871">
        <v>0.1818303</v>
      </c>
      <c r="R2871">
        <v>-0.93470989999999998</v>
      </c>
      <c r="S2871">
        <v>-0.64682010000000001</v>
      </c>
      <c r="T2871">
        <v>-0.1671993</v>
      </c>
      <c r="U2871">
        <v>-3.0331419999999998</v>
      </c>
      <c r="V2871">
        <v>-0.2115465</v>
      </c>
      <c r="W2871">
        <v>0.19230120000000001</v>
      </c>
      <c r="X2871">
        <v>0.95826319999999998</v>
      </c>
      <c r="Y2871">
        <v>-0.31307750000000001</v>
      </c>
      <c r="Z2871">
        <v>2.77986E-2</v>
      </c>
      <c r="AA2871">
        <v>0.94932070000000002</v>
      </c>
      <c r="AB2871">
        <v>26</v>
      </c>
      <c r="AC2871">
        <v>-4.2651000000000101</v>
      </c>
      <c r="AD2871">
        <v>-1.1184564112490001</v>
      </c>
      <c r="AE2871">
        <v>-20.174600000000002</v>
      </c>
      <c r="AF2871">
        <v>-6.4733476403949304</v>
      </c>
      <c r="AG2871">
        <v>-1.1184564112490001</v>
      </c>
      <c r="AH2871">
        <v>19.5143650065428</v>
      </c>
      <c r="AI2871">
        <v>93.113796162993594</v>
      </c>
      <c r="AJ2871">
        <v>108.351827486327</v>
      </c>
      <c r="AK2871">
        <v>20.5904253483471</v>
      </c>
      <c r="AL2871">
        <v>78.912890034784297</v>
      </c>
      <c r="AM2871">
        <v>102.448964433005</v>
      </c>
      <c r="AN2871">
        <v>1.00000001682896</v>
      </c>
    </row>
    <row r="2872" spans="1:40" x14ac:dyDescent="0.25">
      <c r="A2872" t="str">
        <f>"20190304155649305"</f>
        <v>20190304155649305</v>
      </c>
      <c r="B2872" t="str">
        <f>"1551686209297297"</f>
        <v>1551686209297297</v>
      </c>
      <c r="C2872" t="s">
        <v>40</v>
      </c>
      <c r="D2872">
        <v>4.2135559999999996</v>
      </c>
      <c r="E2872">
        <v>0.45634380000000002</v>
      </c>
      <c r="F2872" t="s">
        <v>41</v>
      </c>
      <c r="G2872">
        <v>-493.68900000000002</v>
      </c>
      <c r="H2872" s="1">
        <v>-2.213643E-6</v>
      </c>
      <c r="I2872">
        <v>252.46109999999999</v>
      </c>
      <c r="J2872">
        <v>-489.41109999999998</v>
      </c>
      <c r="K2872">
        <v>1.118385</v>
      </c>
      <c r="L2872">
        <v>273.02390000000003</v>
      </c>
      <c r="M2872">
        <v>-0.49917250000000002</v>
      </c>
      <c r="N2872">
        <v>-1.5172100000000001E-2</v>
      </c>
      <c r="O2872">
        <v>-0.86636979999999997</v>
      </c>
      <c r="P2872">
        <v>-0.30059829999999998</v>
      </c>
      <c r="Q2872">
        <v>0.1813466</v>
      </c>
      <c r="R2872">
        <v>-0.93635190000000001</v>
      </c>
      <c r="S2872">
        <v>-0.63659670000000002</v>
      </c>
      <c r="T2872">
        <v>-0.16404830000000001</v>
      </c>
      <c r="U2872">
        <v>-3.0334780000000001</v>
      </c>
      <c r="V2872">
        <v>-0.21076149999999999</v>
      </c>
      <c r="W2872">
        <v>0.19185469999999999</v>
      </c>
      <c r="X2872">
        <v>0.95852559999999998</v>
      </c>
      <c r="Y2872">
        <v>-0.31052849999999999</v>
      </c>
      <c r="Z2872">
        <v>2.7260300000000001E-2</v>
      </c>
      <c r="AA2872">
        <v>0.95017309999999999</v>
      </c>
      <c r="AB2872">
        <v>26</v>
      </c>
      <c r="AC2872">
        <v>-4.2779000000000398</v>
      </c>
      <c r="AD2872">
        <v>-1.118387213643</v>
      </c>
      <c r="AE2872">
        <v>-20.562799999999999</v>
      </c>
      <c r="AF2872">
        <v>-6.5403511443216003</v>
      </c>
      <c r="AG2872">
        <v>-1.118387213643</v>
      </c>
      <c r="AH2872">
        <v>19.896281027677801</v>
      </c>
      <c r="AI2872">
        <v>93.056675332901094</v>
      </c>
      <c r="AJ2872">
        <v>108.196847046356</v>
      </c>
      <c r="AK2872">
        <v>20.973530503541902</v>
      </c>
      <c r="AL2872">
        <v>78.938957590816202</v>
      </c>
      <c r="AM2872">
        <v>102.40091108727199</v>
      </c>
      <c r="AN2872">
        <v>0.99999998082484898</v>
      </c>
    </row>
    <row r="2873" spans="1:40" x14ac:dyDescent="0.25">
      <c r="A2873" t="str">
        <f>"20190304155649316"</f>
        <v>20190304155649316</v>
      </c>
      <c r="B2873" t="str">
        <f>"1551686209308033"</f>
        <v>1551686209308033</v>
      </c>
      <c r="C2873" t="s">
        <v>40</v>
      </c>
      <c r="D2873">
        <v>4.1759769999999996</v>
      </c>
      <c r="E2873">
        <v>0.45681949999999999</v>
      </c>
      <c r="F2873" t="s">
        <v>41</v>
      </c>
      <c r="G2873">
        <v>-493.57479999999998</v>
      </c>
      <c r="H2873" s="1">
        <v>-2.319155E-6</v>
      </c>
      <c r="I2873">
        <v>252.77789999999999</v>
      </c>
      <c r="J2873">
        <v>-489.47250000000003</v>
      </c>
      <c r="K2873">
        <v>1.1183179999999999</v>
      </c>
      <c r="L2873">
        <v>272.9049</v>
      </c>
      <c r="M2873">
        <v>-0.4940774</v>
      </c>
      <c r="N2873">
        <v>-1.515554E-2</v>
      </c>
      <c r="O2873">
        <v>-0.8692858</v>
      </c>
      <c r="P2873">
        <v>-0.29574650000000002</v>
      </c>
      <c r="Q2873">
        <v>0.18078169999999999</v>
      </c>
      <c r="R2873">
        <v>-0.93800430000000001</v>
      </c>
      <c r="S2873">
        <v>-0.62435909999999994</v>
      </c>
      <c r="T2873">
        <v>-0.16770760000000001</v>
      </c>
      <c r="U2873">
        <v>-3.0359799999999999</v>
      </c>
      <c r="V2873">
        <v>-0.21010619999999999</v>
      </c>
      <c r="W2873">
        <v>0.1913241</v>
      </c>
      <c r="X2873">
        <v>0.9587755</v>
      </c>
      <c r="Y2873">
        <v>-0.30878129999999998</v>
      </c>
      <c r="Z2873">
        <v>2.840436E-2</v>
      </c>
      <c r="AA2873">
        <v>0.95070889999999997</v>
      </c>
      <c r="AB2873">
        <v>26</v>
      </c>
      <c r="AC2873">
        <v>-4.1022999999999499</v>
      </c>
      <c r="AD2873">
        <v>-1.118320319155</v>
      </c>
      <c r="AE2873">
        <v>-20.126999999999999</v>
      </c>
      <c r="AF2873">
        <v>-6.3601052481155698</v>
      </c>
      <c r="AG2873">
        <v>-1.118320319155</v>
      </c>
      <c r="AH2873">
        <v>19.467507602149301</v>
      </c>
      <c r="AI2873">
        <v>93.125543373562195</v>
      </c>
      <c r="AJ2873">
        <v>108.092402578809</v>
      </c>
      <c r="AK2873">
        <v>20.510617527102401</v>
      </c>
      <c r="AL2873">
        <v>78.969932673723804</v>
      </c>
      <c r="AM2873">
        <v>102.36041827229</v>
      </c>
      <c r="AN2873">
        <v>0.99999999295974995</v>
      </c>
    </row>
    <row r="2874" spans="1:40" x14ac:dyDescent="0.25">
      <c r="A2874" t="str">
        <f>"20190304155649328"</f>
        <v>20190304155649328</v>
      </c>
      <c r="B2874" t="str">
        <f>"1551686209317793"</f>
        <v>1551686209317793</v>
      </c>
      <c r="C2874" t="s">
        <v>40</v>
      </c>
      <c r="D2874">
        <v>4.1648860000000001</v>
      </c>
      <c r="E2874">
        <v>0.45787739999999999</v>
      </c>
      <c r="F2874" t="s">
        <v>41</v>
      </c>
      <c r="G2874">
        <v>-493.47030000000001</v>
      </c>
      <c r="H2874" s="1">
        <v>-2.4051640000000001E-6</v>
      </c>
      <c r="I2874">
        <v>253.04320000000001</v>
      </c>
      <c r="J2874">
        <v>-489.53129999999999</v>
      </c>
      <c r="K2874">
        <v>1.1182540000000001</v>
      </c>
      <c r="L2874">
        <v>272.79000000000002</v>
      </c>
      <c r="M2874">
        <v>-0.48917389999999999</v>
      </c>
      <c r="N2874">
        <v>-1.513983E-2</v>
      </c>
      <c r="O2874">
        <v>-0.87205509999999997</v>
      </c>
      <c r="P2874">
        <v>-0.2909447</v>
      </c>
      <c r="Q2874">
        <v>0.18043400000000001</v>
      </c>
      <c r="R2874">
        <v>-0.93957190000000002</v>
      </c>
      <c r="S2874">
        <v>-0.61157229999999996</v>
      </c>
      <c r="T2874">
        <v>-0.17107620000000001</v>
      </c>
      <c r="U2874">
        <v>-3.0383610000000001</v>
      </c>
      <c r="V2874">
        <v>-0.2096046</v>
      </c>
      <c r="W2874">
        <v>0.1910057</v>
      </c>
      <c r="X2874">
        <v>0.95894869999999999</v>
      </c>
      <c r="Y2874">
        <v>-0.30741780000000002</v>
      </c>
      <c r="Z2874">
        <v>2.9469789999999999E-2</v>
      </c>
      <c r="AA2874">
        <v>0.95111820000000002</v>
      </c>
      <c r="AB2874">
        <v>26</v>
      </c>
      <c r="AC2874">
        <v>-3.93900000000002</v>
      </c>
      <c r="AD2874">
        <v>-1.118256405164</v>
      </c>
      <c r="AE2874">
        <v>-19.7468</v>
      </c>
      <c r="AF2874">
        <v>-6.2061652411049097</v>
      </c>
      <c r="AG2874">
        <v>-1.118256405164</v>
      </c>
      <c r="AH2874">
        <v>19.0904654852988</v>
      </c>
      <c r="AI2874">
        <v>93.188475956009995</v>
      </c>
      <c r="AJ2874">
        <v>108.00894983369299</v>
      </c>
      <c r="AK2874">
        <v>20.105045556600299</v>
      </c>
      <c r="AL2874">
        <v>78.988517791182304</v>
      </c>
      <c r="AM2874">
        <v>102.32965422094099</v>
      </c>
      <c r="AN2874">
        <v>0.99999993750266802</v>
      </c>
    </row>
    <row r="2875" spans="1:40" x14ac:dyDescent="0.25">
      <c r="A2875" t="str">
        <f>"20190304155649339"</f>
        <v>20190304155649339</v>
      </c>
      <c r="B2875" t="str">
        <f>"1551686209337313"</f>
        <v>1551686209337313</v>
      </c>
      <c r="C2875" t="s">
        <v>40</v>
      </c>
      <c r="D2875">
        <v>4.1872049999999996</v>
      </c>
      <c r="E2875">
        <v>0.45882699999999998</v>
      </c>
      <c r="F2875" t="s">
        <v>41</v>
      </c>
      <c r="G2875">
        <v>-493.53899999999999</v>
      </c>
      <c r="H2875" s="1">
        <v>-2.2379760000000002E-6</v>
      </c>
      <c r="I2875">
        <v>252.61089999999999</v>
      </c>
      <c r="J2875">
        <v>-489.58760000000001</v>
      </c>
      <c r="K2875">
        <v>1.1181890000000001</v>
      </c>
      <c r="L2875">
        <v>272.67770000000002</v>
      </c>
      <c r="M2875">
        <v>-0.48442639999999998</v>
      </c>
      <c r="N2875">
        <v>-1.512435E-2</v>
      </c>
      <c r="O2875">
        <v>-0.87470149999999902</v>
      </c>
      <c r="P2875">
        <v>-0.28677029999999998</v>
      </c>
      <c r="Q2875">
        <v>0.18037729999999999</v>
      </c>
      <c r="R2875">
        <v>-0.94086519999999996</v>
      </c>
      <c r="S2875">
        <v>-0.60345459999999995</v>
      </c>
      <c r="T2875">
        <v>-0.16837859999999999</v>
      </c>
      <c r="U2875">
        <v>-3.0384220000000002</v>
      </c>
      <c r="V2875">
        <v>-0.20862269999999999</v>
      </c>
      <c r="W2875">
        <v>0.19098609999999999</v>
      </c>
      <c r="X2875">
        <v>0.95916679999999999</v>
      </c>
      <c r="Y2875">
        <v>-0.30469299999999999</v>
      </c>
      <c r="Z2875">
        <v>2.9020799999999999E-2</v>
      </c>
      <c r="AA2875">
        <v>0.95200839999999998</v>
      </c>
      <c r="AB2875">
        <v>26</v>
      </c>
      <c r="AC2875">
        <v>-3.9513999999999698</v>
      </c>
      <c r="AD2875">
        <v>-1.118191237976</v>
      </c>
      <c r="AE2875">
        <v>-20.066800000000001</v>
      </c>
      <c r="AF2875">
        <v>-6.2466351268994904</v>
      </c>
      <c r="AG2875">
        <v>-1.118191237976</v>
      </c>
      <c r="AH2875">
        <v>19.410822718903098</v>
      </c>
      <c r="AI2875">
        <v>93.138784244647795</v>
      </c>
      <c r="AJ2875">
        <v>107.838796849434</v>
      </c>
      <c r="AK2875">
        <v>20.421822658078</v>
      </c>
      <c r="AL2875">
        <v>78.989662945342005</v>
      </c>
      <c r="AM2875">
        <v>102.270943998736</v>
      </c>
      <c r="AN2875">
        <v>1.00000003578536</v>
      </c>
    </row>
    <row r="2876" spans="1:40" x14ac:dyDescent="0.25">
      <c r="A2876" t="str">
        <f>"20190304155649350"</f>
        <v>20190304155649350</v>
      </c>
      <c r="B2876" t="str">
        <f>"1551686209348049"</f>
        <v>1551686209348049</v>
      </c>
      <c r="C2876" t="s">
        <v>40</v>
      </c>
      <c r="D2876">
        <v>4.2007070000000004</v>
      </c>
      <c r="E2876">
        <v>0.46848339999999999</v>
      </c>
      <c r="F2876" t="s">
        <v>41</v>
      </c>
      <c r="G2876">
        <v>-493.62520000000001</v>
      </c>
      <c r="H2876" s="1">
        <v>-2.0460290000000001E-6</v>
      </c>
      <c r="I2876">
        <v>252.11</v>
      </c>
      <c r="J2876">
        <v>-489.64499999999998</v>
      </c>
      <c r="K2876">
        <v>1.118128</v>
      </c>
      <c r="L2876">
        <v>272.56240000000003</v>
      </c>
      <c r="M2876">
        <v>-0.47955959999999997</v>
      </c>
      <c r="N2876">
        <v>-1.510908E-2</v>
      </c>
      <c r="O2876">
        <v>-0.87737949999999998</v>
      </c>
      <c r="P2876">
        <v>-0.28188730000000001</v>
      </c>
      <c r="Q2876">
        <v>0.18033179999999999</v>
      </c>
      <c r="R2876">
        <v>-0.94234839999999997</v>
      </c>
      <c r="S2876">
        <v>-0.5964661</v>
      </c>
      <c r="T2876">
        <v>-0.16518640000000001</v>
      </c>
      <c r="U2876">
        <v>-3.0383909999999998</v>
      </c>
      <c r="V2876">
        <v>-0.20824119999999999</v>
      </c>
      <c r="W2876">
        <v>0.19096550000000001</v>
      </c>
      <c r="X2876">
        <v>0.95925380000000005</v>
      </c>
      <c r="Y2876">
        <v>-0.30150749999999998</v>
      </c>
      <c r="Z2876">
        <v>2.8443619999999999E-2</v>
      </c>
      <c r="AA2876">
        <v>0.95303950000000004</v>
      </c>
      <c r="AB2876">
        <v>26</v>
      </c>
      <c r="AC2876">
        <v>-3.9802000000000199</v>
      </c>
      <c r="AD2876">
        <v>-1.118130046029</v>
      </c>
      <c r="AE2876">
        <v>-20.452400000000001</v>
      </c>
      <c r="AF2876">
        <v>-6.2985801747356298</v>
      </c>
      <c r="AG2876">
        <v>-1.118130046029</v>
      </c>
      <c r="AH2876">
        <v>19.798506901111399</v>
      </c>
      <c r="AI2876">
        <v>93.080553896171196</v>
      </c>
      <c r="AJ2876">
        <v>107.647641484321</v>
      </c>
      <c r="AK2876">
        <v>20.806326021928001</v>
      </c>
      <c r="AL2876">
        <v>78.990865373797206</v>
      </c>
      <c r="AM2876">
        <v>102.248105310382</v>
      </c>
      <c r="AN2876">
        <v>1.0000000361910599</v>
      </c>
    </row>
    <row r="2877" spans="1:40" x14ac:dyDescent="0.25">
      <c r="A2877" t="str">
        <f>"20190304155649361"</f>
        <v>20190304155649361</v>
      </c>
      <c r="B2877" t="str">
        <f>"1551686209357808"</f>
        <v>1551686209357808</v>
      </c>
      <c r="C2877" t="s">
        <v>40</v>
      </c>
      <c r="D2877">
        <v>4.1848549999999998</v>
      </c>
      <c r="E2877">
        <v>0.46962920000000002</v>
      </c>
      <c r="F2877" t="s">
        <v>41</v>
      </c>
      <c r="G2877">
        <v>-494.96179999999998</v>
      </c>
      <c r="H2877" s="1">
        <v>-4.6318829999999998E-6</v>
      </c>
      <c r="I2877">
        <v>248.01140000000001</v>
      </c>
      <c r="J2877">
        <v>-489.70190000000002</v>
      </c>
      <c r="K2877">
        <v>1.118069</v>
      </c>
      <c r="L2877">
        <v>272.44589999999999</v>
      </c>
      <c r="M2877">
        <v>-0.47469349999999999</v>
      </c>
      <c r="N2877">
        <v>-1.5093530000000001E-2</v>
      </c>
      <c r="O2877">
        <v>-0.88002179999999997</v>
      </c>
      <c r="P2877">
        <v>-0.27707520000000002</v>
      </c>
      <c r="Q2877">
        <v>0.18052209999999999</v>
      </c>
      <c r="R2877">
        <v>-0.94373770000000001</v>
      </c>
      <c r="S2877">
        <v>-0.65283199999999997</v>
      </c>
      <c r="T2877">
        <v>-0.13729160000000001</v>
      </c>
      <c r="U2877">
        <v>-3.014526</v>
      </c>
      <c r="V2877">
        <v>-0.2077804</v>
      </c>
      <c r="W2877">
        <v>0.1911803</v>
      </c>
      <c r="X2877">
        <v>0.95931089999999997</v>
      </c>
      <c r="Y2877">
        <v>-0.27762569999999998</v>
      </c>
      <c r="Z2877">
        <v>2.185991E-2</v>
      </c>
      <c r="AA2877">
        <v>0.96044059999999998</v>
      </c>
      <c r="AB2877">
        <v>26</v>
      </c>
      <c r="AC2877">
        <v>-5.2598999999999503</v>
      </c>
      <c r="AD2877">
        <v>-1.118073631883</v>
      </c>
      <c r="AE2877">
        <v>-24.4344999999999</v>
      </c>
      <c r="AF2877">
        <v>-6.9569440774334002</v>
      </c>
      <c r="AG2877">
        <v>-1.118073631883</v>
      </c>
      <c r="AH2877">
        <v>23.954531400715801</v>
      </c>
      <c r="AI2877">
        <v>92.566438937323397</v>
      </c>
      <c r="AJ2877">
        <v>106.19450629587899</v>
      </c>
      <c r="AK2877">
        <v>24.9693559022</v>
      </c>
      <c r="AL2877">
        <v>78.978326857987597</v>
      </c>
      <c r="AM2877">
        <v>102.221112433218</v>
      </c>
      <c r="AN2877">
        <v>1.00000000229552</v>
      </c>
    </row>
    <row r="2878" spans="1:40" x14ac:dyDescent="0.25">
      <c r="A2878" t="str">
        <f>"20190304155649374"</f>
        <v>20190304155649374</v>
      </c>
      <c r="B2878" t="str">
        <f>"1551686209367568"</f>
        <v>1551686209367568</v>
      </c>
      <c r="C2878" t="s">
        <v>40</v>
      </c>
      <c r="D2878">
        <v>4.1833850000000004</v>
      </c>
      <c r="E2878">
        <v>0.47026259999999998</v>
      </c>
      <c r="F2878" t="s">
        <v>41</v>
      </c>
      <c r="G2878">
        <v>-495.00549999999998</v>
      </c>
      <c r="H2878" s="1">
        <v>-4.5238260000000001E-6</v>
      </c>
      <c r="I2878">
        <v>247.6712</v>
      </c>
      <c r="J2878">
        <v>-489.76089999999999</v>
      </c>
      <c r="K2878">
        <v>1.118012</v>
      </c>
      <c r="L2878">
        <v>272.32389999999998</v>
      </c>
      <c r="M2878">
        <v>-0.4696128</v>
      </c>
      <c r="N2878">
        <v>-1.5077760000000001E-2</v>
      </c>
      <c r="O2878">
        <v>-0.88274390000000003</v>
      </c>
      <c r="P2878">
        <v>-0.27202969999999999</v>
      </c>
      <c r="Q2878">
        <v>0.18078549999999999</v>
      </c>
      <c r="R2878">
        <v>-0.94515450000000001</v>
      </c>
      <c r="S2878">
        <v>-0.64550779999999996</v>
      </c>
      <c r="T2878">
        <v>-0.13608299999999901</v>
      </c>
      <c r="U2878">
        <v>-3.0153810000000001</v>
      </c>
      <c r="V2878">
        <v>-0.20732709999999999</v>
      </c>
      <c r="W2878">
        <v>0.19146769999999999</v>
      </c>
      <c r="X2878">
        <v>0.95935170000000003</v>
      </c>
      <c r="Y2878">
        <v>-0.27437430000000002</v>
      </c>
      <c r="Z2878">
        <v>2.1734650000000001E-2</v>
      </c>
      <c r="AA2878">
        <v>0.96137729999999999</v>
      </c>
      <c r="AB2878">
        <v>26</v>
      </c>
      <c r="AC2878">
        <v>-5.2445999999999904</v>
      </c>
      <c r="AD2878">
        <v>-1.118016523826</v>
      </c>
      <c r="AE2878">
        <v>-24.6526999999999</v>
      </c>
      <c r="AF2878">
        <v>-6.9347285929135003</v>
      </c>
      <c r="AG2878">
        <v>-1.118016523826</v>
      </c>
      <c r="AH2878">
        <v>24.1801245443109</v>
      </c>
      <c r="AI2878">
        <v>92.544852267131304</v>
      </c>
      <c r="AJ2878">
        <v>106.002604287403</v>
      </c>
      <c r="AK2878">
        <v>25.1797308282537</v>
      </c>
      <c r="AL2878">
        <v>78.9615506153838</v>
      </c>
      <c r="AM2878">
        <v>102.194746185958</v>
      </c>
      <c r="AN2878">
        <v>1.00000004541529</v>
      </c>
    </row>
    <row r="2879" spans="1:40" x14ac:dyDescent="0.25">
      <c r="A2879" t="str">
        <f>"20190304155649386"</f>
        <v>20190304155649386</v>
      </c>
      <c r="B2879" t="str">
        <f>"1551686209377328"</f>
        <v>1551686209377328</v>
      </c>
      <c r="C2879" t="s">
        <v>40</v>
      </c>
      <c r="D2879">
        <v>4.2207749999999997</v>
      </c>
      <c r="E2879">
        <v>0.47114420000000001</v>
      </c>
      <c r="F2879" t="s">
        <v>41</v>
      </c>
      <c r="G2879">
        <v>-494.96980000000002</v>
      </c>
      <c r="H2879" s="1">
        <v>-4.4736169999999997E-6</v>
      </c>
      <c r="I2879">
        <v>247.54220000000001</v>
      </c>
      <c r="J2879">
        <v>-489.8211</v>
      </c>
      <c r="K2879">
        <v>1.1179570000000001</v>
      </c>
      <c r="L2879">
        <v>272.19749999999999</v>
      </c>
      <c r="M2879">
        <v>-0.46437830000000002</v>
      </c>
      <c r="N2879">
        <v>-1.5061639999999999E-2</v>
      </c>
      <c r="O2879">
        <v>-0.88550899999999999</v>
      </c>
      <c r="P2879">
        <v>-0.26694990000000002</v>
      </c>
      <c r="Q2879">
        <v>0.1807455</v>
      </c>
      <c r="R2879">
        <v>-0.94660940000000005</v>
      </c>
      <c r="S2879">
        <v>-0.63427730000000004</v>
      </c>
      <c r="T2879">
        <v>-0.13613819999999999</v>
      </c>
      <c r="U2879">
        <v>-3.0176090000000002</v>
      </c>
      <c r="V2879">
        <v>-0.20677180000000001</v>
      </c>
      <c r="W2879">
        <v>0.19145409999999999</v>
      </c>
      <c r="X2879">
        <v>0.95947420000000005</v>
      </c>
      <c r="Y2879">
        <v>-0.27225179999999999</v>
      </c>
      <c r="Z2879">
        <v>2.192084E-2</v>
      </c>
      <c r="AA2879">
        <v>0.96197630000000001</v>
      </c>
      <c r="AB2879">
        <v>26</v>
      </c>
      <c r="AC2879">
        <v>-5.1487000000000096</v>
      </c>
      <c r="AD2879">
        <v>-1.1179614736169901</v>
      </c>
      <c r="AE2879">
        <v>-24.655299999999901</v>
      </c>
      <c r="AF2879">
        <v>-6.8773975373931302</v>
      </c>
      <c r="AG2879">
        <v>-1.1179614736169901</v>
      </c>
      <c r="AH2879">
        <v>24.178544721709301</v>
      </c>
      <c r="AI2879">
        <v>92.5464725143311</v>
      </c>
      <c r="AJ2879">
        <v>105.877986896335</v>
      </c>
      <c r="AK2879">
        <v>25.162481189332802</v>
      </c>
      <c r="AL2879">
        <v>78.962343962457396</v>
      </c>
      <c r="AM2879">
        <v>102.161551104721</v>
      </c>
      <c r="AN2879">
        <v>0.99999999507384496</v>
      </c>
    </row>
    <row r="2880" spans="1:40" x14ac:dyDescent="0.25">
      <c r="A2880" t="str">
        <f>"20190304155649398"</f>
        <v>20190304155649398</v>
      </c>
      <c r="B2880" t="str">
        <f>"1551686209387090"</f>
        <v>1551686209387090</v>
      </c>
      <c r="C2880" t="s">
        <v>40</v>
      </c>
      <c r="D2880">
        <v>4.1979730000000002</v>
      </c>
      <c r="E2880">
        <v>0.47099999999999997</v>
      </c>
      <c r="F2880" t="s">
        <v>41</v>
      </c>
      <c r="G2880">
        <v>-495.1311</v>
      </c>
      <c r="H2880" s="1">
        <v>-4.1550440000000004E-6</v>
      </c>
      <c r="I2880">
        <v>246.52199999999999</v>
      </c>
      <c r="J2880">
        <v>-489.88040000000001</v>
      </c>
      <c r="K2880">
        <v>1.117902</v>
      </c>
      <c r="L2880">
        <v>272.07089999999999</v>
      </c>
      <c r="M2880">
        <v>-0.45917049999999998</v>
      </c>
      <c r="N2880">
        <v>-1.504573E-2</v>
      </c>
      <c r="O2880">
        <v>-0.88822089999999998</v>
      </c>
      <c r="P2880">
        <v>-0.26203759999999998</v>
      </c>
      <c r="Q2880">
        <v>0.180784</v>
      </c>
      <c r="R2880">
        <v>-0.94797339999999997</v>
      </c>
      <c r="S2880">
        <v>-0.6242065</v>
      </c>
      <c r="T2880">
        <v>-0.13142039999999999</v>
      </c>
      <c r="U2880">
        <v>-3.0182500000000001</v>
      </c>
      <c r="V2880">
        <v>-0.20608190000000001</v>
      </c>
      <c r="W2880">
        <v>0.19151969999999999</v>
      </c>
      <c r="X2880">
        <v>0.95960959999999995</v>
      </c>
      <c r="Y2880">
        <v>-0.26971780000000001</v>
      </c>
      <c r="Z2880">
        <v>2.0850170000000001E-2</v>
      </c>
      <c r="AA2880">
        <v>0.96271370000000001</v>
      </c>
      <c r="AB2880">
        <v>26</v>
      </c>
      <c r="AC2880">
        <v>-5.2506999999999904</v>
      </c>
      <c r="AD2880">
        <v>-1.1179061550439999</v>
      </c>
      <c r="AE2880">
        <v>-25.5488999999999</v>
      </c>
      <c r="AF2880">
        <v>-7.0553583548316201</v>
      </c>
      <c r="AG2880">
        <v>-1.1179061550439999</v>
      </c>
      <c r="AH2880">
        <v>25.060836020385</v>
      </c>
      <c r="AI2880">
        <v>92.458685329677394</v>
      </c>
      <c r="AJ2880">
        <v>105.723463726212</v>
      </c>
      <c r="AK2880">
        <v>26.059034857937501</v>
      </c>
      <c r="AL2880">
        <v>78.958515274146606</v>
      </c>
      <c r="AM2880">
        <v>102.120515912548</v>
      </c>
      <c r="AN2880">
        <v>1.00000006470392</v>
      </c>
    </row>
    <row r="2881" spans="1:40" x14ac:dyDescent="0.25">
      <c r="A2881" t="str">
        <f>"20190304155649410"</f>
        <v>20190304155649410</v>
      </c>
      <c r="B2881" t="str">
        <f>"1551686209407585"</f>
        <v>1551686209407585</v>
      </c>
      <c r="C2881" t="s">
        <v>40</v>
      </c>
      <c r="D2881">
        <v>4.2757009999999998</v>
      </c>
      <c r="E2881">
        <v>0.47027770000000002</v>
      </c>
      <c r="F2881" t="s">
        <v>41</v>
      </c>
      <c r="G2881">
        <v>-495.00049999999999</v>
      </c>
      <c r="H2881" s="1">
        <v>-4.1585460000000001E-6</v>
      </c>
      <c r="I2881">
        <v>246.6003</v>
      </c>
      <c r="J2881">
        <v>-489.93619999999999</v>
      </c>
      <c r="K2881">
        <v>1.117848</v>
      </c>
      <c r="L2881">
        <v>271.95089999999999</v>
      </c>
      <c r="M2881">
        <v>-0.4542467</v>
      </c>
      <c r="N2881">
        <v>-1.503113E-2</v>
      </c>
      <c r="O2881">
        <v>-0.89074929999999997</v>
      </c>
      <c r="P2881">
        <v>-0.25730370000000002</v>
      </c>
      <c r="Q2881">
        <v>0.1808582</v>
      </c>
      <c r="R2881">
        <v>-0.94925519999999997</v>
      </c>
      <c r="S2881">
        <v>-0.60748290000000005</v>
      </c>
      <c r="T2881">
        <v>-0.13263629999999901</v>
      </c>
      <c r="U2881">
        <v>-3.0220030000000002</v>
      </c>
      <c r="V2881">
        <v>-0.20552780000000001</v>
      </c>
      <c r="W2881">
        <v>0.1916175</v>
      </c>
      <c r="X2881">
        <v>0.95970880000000003</v>
      </c>
      <c r="Y2881">
        <v>-0.2697408</v>
      </c>
      <c r="Z2881">
        <v>2.129474E-2</v>
      </c>
      <c r="AA2881">
        <v>0.96269740000000004</v>
      </c>
      <c r="AB2881">
        <v>26</v>
      </c>
      <c r="AC2881">
        <v>-5.0643000000000002</v>
      </c>
      <c r="AD2881">
        <v>-1.117852158546</v>
      </c>
      <c r="AE2881">
        <v>-25.350599999999901</v>
      </c>
      <c r="AF2881">
        <v>-6.9921210831320897</v>
      </c>
      <c r="AG2881">
        <v>-1.117852158546</v>
      </c>
      <c r="AH2881">
        <v>24.8378361130911</v>
      </c>
      <c r="AI2881">
        <v>92.480624725613794</v>
      </c>
      <c r="AJ2881">
        <v>105.72248848458</v>
      </c>
      <c r="AK2881">
        <v>25.827455419965801</v>
      </c>
      <c r="AL2881">
        <v>78.952804856571802</v>
      </c>
      <c r="AM2881">
        <v>102.08767405399701</v>
      </c>
      <c r="AN2881">
        <v>0.99999996183826401</v>
      </c>
    </row>
    <row r="2882" spans="1:40" x14ac:dyDescent="0.25">
      <c r="A2882" t="str">
        <f>"20190304155649426"</f>
        <v>20190304155649426</v>
      </c>
      <c r="B2882" t="str">
        <f>"1551686209417345"</f>
        <v>1551686209417345</v>
      </c>
      <c r="C2882" t="s">
        <v>40</v>
      </c>
      <c r="D2882">
        <v>4.2377379999999896</v>
      </c>
      <c r="E2882">
        <v>0.47041769999999999</v>
      </c>
      <c r="F2882" t="s">
        <v>41</v>
      </c>
      <c r="G2882">
        <v>-494.69150000000002</v>
      </c>
      <c r="H2882" s="1">
        <v>-4.3788460000000003E-6</v>
      </c>
      <c r="I2882">
        <v>247.40880000000001</v>
      </c>
      <c r="J2882">
        <v>-490.01229999999998</v>
      </c>
      <c r="K2882">
        <v>1.1177760000000001</v>
      </c>
      <c r="L2882">
        <v>271.78320000000002</v>
      </c>
      <c r="M2882">
        <v>-0.44742880000000002</v>
      </c>
      <c r="N2882">
        <v>-1.501075E-2</v>
      </c>
      <c r="O2882">
        <v>-0.89419359999999903</v>
      </c>
      <c r="P2882">
        <v>-0.25108520000000001</v>
      </c>
      <c r="Q2882">
        <v>0.1804299</v>
      </c>
      <c r="R2882">
        <v>-0.95100019999999996</v>
      </c>
      <c r="S2882">
        <v>-0.58663940000000003</v>
      </c>
      <c r="T2882">
        <v>-0.13790269999999999</v>
      </c>
      <c r="U2882">
        <v>-3.0276179999999999</v>
      </c>
      <c r="V2882">
        <v>-0.2044695</v>
      </c>
      <c r="W2882">
        <v>0.1912276</v>
      </c>
      <c r="X2882">
        <v>0.96001259999999999</v>
      </c>
      <c r="Y2882">
        <v>-0.26911279999999999</v>
      </c>
      <c r="Z2882">
        <v>2.2875880000000001E-2</v>
      </c>
      <c r="AA2882">
        <v>0.96283700000000005</v>
      </c>
      <c r="AB2882">
        <v>26</v>
      </c>
      <c r="AC2882">
        <v>-4.67920000000003</v>
      </c>
      <c r="AD2882">
        <v>-1.1177803788459999</v>
      </c>
      <c r="AE2882">
        <v>-24.374400000000001</v>
      </c>
      <c r="AF2882">
        <v>-6.7088476728641098</v>
      </c>
      <c r="AG2882">
        <v>-1.1177803788459999</v>
      </c>
      <c r="AH2882">
        <v>23.843371553569199</v>
      </c>
      <c r="AI2882">
        <v>92.583877761471598</v>
      </c>
      <c r="AJ2882">
        <v>105.71509423039301</v>
      </c>
      <c r="AK2882">
        <v>24.794443674230301</v>
      </c>
      <c r="AL2882">
        <v>78.975565598687197</v>
      </c>
      <c r="AM2882">
        <v>102.023553976733</v>
      </c>
      <c r="AN2882">
        <v>0.99999998179538396</v>
      </c>
    </row>
    <row r="2883" spans="1:40" x14ac:dyDescent="0.25">
      <c r="A2883" t="str">
        <f>"20190304155649439"</f>
        <v>20190304155649439</v>
      </c>
      <c r="B2883" t="str">
        <f>"1551686209427105"</f>
        <v>1551686209427105</v>
      </c>
      <c r="C2883" t="s">
        <v>40</v>
      </c>
      <c r="D2883">
        <v>4.2344010000000001</v>
      </c>
      <c r="E2883">
        <v>0.4707575</v>
      </c>
      <c r="F2883" t="s">
        <v>41</v>
      </c>
      <c r="G2883">
        <v>-494.53359999999998</v>
      </c>
      <c r="H2883" s="1">
        <v>-4.426104E-6</v>
      </c>
      <c r="I2883">
        <v>247.63</v>
      </c>
      <c r="J2883">
        <v>-490.0702</v>
      </c>
      <c r="K2883">
        <v>1.1177220000000001</v>
      </c>
      <c r="L2883">
        <v>271.65359999999998</v>
      </c>
      <c r="M2883">
        <v>-0.4421947</v>
      </c>
      <c r="N2883">
        <v>-1.499517E-2</v>
      </c>
      <c r="O2883">
        <v>-0.89679379999999997</v>
      </c>
      <c r="P2883">
        <v>-0.24590880000000001</v>
      </c>
      <c r="Q2883">
        <v>0.1799482</v>
      </c>
      <c r="R2883">
        <v>-0.95244320000000005</v>
      </c>
      <c r="S2883">
        <v>-0.56744380000000005</v>
      </c>
      <c r="T2883">
        <v>-0.140288</v>
      </c>
      <c r="U2883">
        <v>-3.0313720000000002</v>
      </c>
      <c r="V2883">
        <v>-0.20408480000000001</v>
      </c>
      <c r="W2883">
        <v>0.1907671</v>
      </c>
      <c r="X2883">
        <v>0.96018610000000004</v>
      </c>
      <c r="Y2883">
        <v>-0.26959139999999998</v>
      </c>
      <c r="Z2883">
        <v>2.364817E-2</v>
      </c>
      <c r="AA2883">
        <v>0.9626844</v>
      </c>
      <c r="AB2883">
        <v>26</v>
      </c>
      <c r="AC2883">
        <v>-4.4633999999999698</v>
      </c>
      <c r="AD2883">
        <v>-1.1177264261040001</v>
      </c>
      <c r="AE2883">
        <v>-24.023599999999899</v>
      </c>
      <c r="AF2883">
        <v>-6.6072777194033403</v>
      </c>
      <c r="AG2883">
        <v>-1.1177264261040001</v>
      </c>
      <c r="AH2883">
        <v>23.4714373975015</v>
      </c>
      <c r="AI2883">
        <v>92.624549451713804</v>
      </c>
      <c r="AJ2883">
        <v>105.72206493213601</v>
      </c>
      <c r="AK2883">
        <v>24.409297505863702</v>
      </c>
      <c r="AL2883">
        <v>79.002445561467496</v>
      </c>
      <c r="AM2883">
        <v>101.999482974144</v>
      </c>
      <c r="AN2883">
        <v>1.0000000193333201</v>
      </c>
    </row>
    <row r="2884" spans="1:40" x14ac:dyDescent="0.25">
      <c r="A2884" t="str">
        <f>"20190304155649453"</f>
        <v>20190304155649453</v>
      </c>
      <c r="B2884" t="str">
        <f>"1551686209447600"</f>
        <v>1551686209447600</v>
      </c>
      <c r="C2884" t="s">
        <v>40</v>
      </c>
      <c r="D2884">
        <v>4.2260790000000004</v>
      </c>
      <c r="E2884">
        <v>0.47161419999999998</v>
      </c>
      <c r="F2884" t="s">
        <v>41</v>
      </c>
      <c r="G2884">
        <v>-494.42110000000002</v>
      </c>
      <c r="H2884" s="1">
        <v>-4.4640409999999996E-6</v>
      </c>
      <c r="I2884">
        <v>247.80009999999999</v>
      </c>
      <c r="J2884">
        <v>-490.13080000000002</v>
      </c>
      <c r="K2884">
        <v>1.117664</v>
      </c>
      <c r="L2884">
        <v>271.51609999999999</v>
      </c>
      <c r="M2884">
        <v>-0.4366623</v>
      </c>
      <c r="N2884">
        <v>-1.4978979999999999E-2</v>
      </c>
      <c r="O2884">
        <v>-0.899501</v>
      </c>
      <c r="P2884">
        <v>-0.24069989999999999</v>
      </c>
      <c r="Q2884">
        <v>0.17948430000000001</v>
      </c>
      <c r="R2884">
        <v>-0.95386020000000005</v>
      </c>
      <c r="S2884">
        <v>-0.55337519999999996</v>
      </c>
      <c r="T2884">
        <v>-0.14215829999999999</v>
      </c>
      <c r="U2884">
        <v>-3.0338129999999999</v>
      </c>
      <c r="V2884">
        <v>-0.20341919999999999</v>
      </c>
      <c r="W2884">
        <v>0.19033130000000001</v>
      </c>
      <c r="X2884">
        <v>0.96041379999999998</v>
      </c>
      <c r="Y2884">
        <v>-0.268119</v>
      </c>
      <c r="Z2884">
        <v>2.4322739999999999E-2</v>
      </c>
      <c r="AA2884">
        <v>0.96307869999999995</v>
      </c>
      <c r="AB2884">
        <v>26</v>
      </c>
      <c r="AC2884">
        <v>-4.2903000000000002</v>
      </c>
      <c r="AD2884">
        <v>-1.117668464041</v>
      </c>
      <c r="AE2884">
        <v>-23.716000000000001</v>
      </c>
      <c r="AF2884">
        <v>-6.4835382370561296</v>
      </c>
      <c r="AG2884">
        <v>-1.117668464041</v>
      </c>
      <c r="AH2884">
        <v>23.1587722651017</v>
      </c>
      <c r="AI2884">
        <v>92.660861373171599</v>
      </c>
      <c r="AJ2884">
        <v>105.640140386081</v>
      </c>
      <c r="AK2884">
        <v>24.075177749992299</v>
      </c>
      <c r="AL2884">
        <v>79.027881118903395</v>
      </c>
      <c r="AM2884">
        <v>101.95872274093099</v>
      </c>
      <c r="AN2884">
        <v>1.00000002095938</v>
      </c>
    </row>
    <row r="2885" spans="1:40" x14ac:dyDescent="0.25">
      <c r="A2885" t="str">
        <f>"20190304155649467"</f>
        <v>20190304155649467</v>
      </c>
      <c r="B2885" t="str">
        <f>"1551686209457361"</f>
        <v>1551686209457361</v>
      </c>
      <c r="C2885" t="s">
        <v>40</v>
      </c>
      <c r="D2885">
        <v>4.2388669999999999</v>
      </c>
      <c r="E2885">
        <v>0.47202139999999998</v>
      </c>
      <c r="F2885" t="s">
        <v>41</v>
      </c>
      <c r="G2885">
        <v>-494.34789999999998</v>
      </c>
      <c r="H2885" s="1">
        <v>-4.5084879999999998E-6</v>
      </c>
      <c r="I2885">
        <v>247.96879999999999</v>
      </c>
      <c r="J2885">
        <v>-490.19569999999999</v>
      </c>
      <c r="K2885">
        <v>1.11759599999999</v>
      </c>
      <c r="L2885">
        <v>271.36610000000002</v>
      </c>
      <c r="M2885">
        <v>-0.43066959999999999</v>
      </c>
      <c r="N2885">
        <v>-1.4961199999999999E-2</v>
      </c>
      <c r="O2885">
        <v>-0.90238580000000002</v>
      </c>
      <c r="P2885">
        <v>-0.2344849</v>
      </c>
      <c r="Q2885">
        <v>0.17946670000000001</v>
      </c>
      <c r="R2885">
        <v>-0.95541019999999999</v>
      </c>
      <c r="S2885">
        <v>-0.54354859999999905</v>
      </c>
      <c r="T2885">
        <v>-0.1440575</v>
      </c>
      <c r="U2885">
        <v>-3.035034</v>
      </c>
      <c r="V2885">
        <v>-0.20325389999999999</v>
      </c>
      <c r="W2885">
        <v>0.19033079999999999</v>
      </c>
      <c r="X2885">
        <v>0.96044890000000005</v>
      </c>
      <c r="Y2885">
        <v>-0.26480130000000002</v>
      </c>
      <c r="Z2885">
        <v>2.5051239999999999E-2</v>
      </c>
      <c r="AA2885">
        <v>0.96397750000000004</v>
      </c>
      <c r="AB2885">
        <v>26</v>
      </c>
      <c r="AC2885">
        <v>-4.1521999999999899</v>
      </c>
      <c r="AD2885">
        <v>-1.1176005084880001</v>
      </c>
      <c r="AE2885">
        <v>-23.397300000000001</v>
      </c>
      <c r="AF2885">
        <v>-6.3163557126892096</v>
      </c>
      <c r="AG2885">
        <v>-1.1176005084880001</v>
      </c>
      <c r="AH2885">
        <v>22.853626951704001</v>
      </c>
      <c r="AI2885">
        <v>92.698661565758897</v>
      </c>
      <c r="AJ2885">
        <v>105.449898065958</v>
      </c>
      <c r="AK2885">
        <v>23.736757260279798</v>
      </c>
      <c r="AL2885">
        <v>79.027910349583607</v>
      </c>
      <c r="AM2885">
        <v>101.948860301077</v>
      </c>
      <c r="AN2885">
        <v>1.0000000254025201</v>
      </c>
    </row>
    <row r="2886" spans="1:40" x14ac:dyDescent="0.25">
      <c r="A2886" t="str">
        <f>"20190304155649484"</f>
        <v>20190304155649484</v>
      </c>
      <c r="B2886" t="str">
        <f>"1551686209477856"</f>
        <v>1551686209477856</v>
      </c>
      <c r="C2886" t="s">
        <v>40</v>
      </c>
      <c r="D2886">
        <v>4.2756699999999999</v>
      </c>
      <c r="E2886">
        <v>0.4728041</v>
      </c>
      <c r="F2886" t="s">
        <v>41</v>
      </c>
      <c r="G2886">
        <v>-494.29629999999997</v>
      </c>
      <c r="H2886" s="1">
        <v>-4.4137949999999996E-6</v>
      </c>
      <c r="I2886">
        <v>247.7175</v>
      </c>
      <c r="J2886">
        <v>-490.26949999999999</v>
      </c>
      <c r="K2886">
        <v>1.1175189999999999</v>
      </c>
      <c r="L2886">
        <v>271.19200000000001</v>
      </c>
      <c r="M2886">
        <v>-0.42377019999999999</v>
      </c>
      <c r="N2886">
        <v>-1.494064E-2</v>
      </c>
      <c r="O2886">
        <v>-0.90564659999999997</v>
      </c>
      <c r="P2886">
        <v>-0.22784209999999999</v>
      </c>
      <c r="Q2886">
        <v>0.17876639999999999</v>
      </c>
      <c r="R2886">
        <v>-0.95714730000000003</v>
      </c>
      <c r="S2886">
        <v>-0.52673340000000002</v>
      </c>
      <c r="T2886">
        <v>-0.14355979999999999</v>
      </c>
      <c r="U2886">
        <v>-3.03775</v>
      </c>
      <c r="V2886">
        <v>-0.2026027</v>
      </c>
      <c r="W2886">
        <v>0.1896622</v>
      </c>
      <c r="X2886">
        <v>0.96071870000000004</v>
      </c>
      <c r="Y2886">
        <v>-0.26276830000000001</v>
      </c>
      <c r="Z2886">
        <v>2.5126140000000002E-2</v>
      </c>
      <c r="AA2886">
        <v>0.96453180000000005</v>
      </c>
      <c r="AB2886">
        <v>26</v>
      </c>
      <c r="AC2886">
        <v>-4.0267999999999802</v>
      </c>
      <c r="AD2886">
        <v>-1.1175234137950001</v>
      </c>
      <c r="AE2886">
        <v>-23.474499999999999</v>
      </c>
      <c r="AF2886">
        <v>-6.2877958706499104</v>
      </c>
      <c r="AG2886">
        <v>-1.1175234137950001</v>
      </c>
      <c r="AH2886">
        <v>22.918145616293099</v>
      </c>
      <c r="AI2886">
        <v>92.692282702361894</v>
      </c>
      <c r="AJ2886">
        <v>105.34209276479299</v>
      </c>
      <c r="AK2886">
        <v>23.791314255016601</v>
      </c>
      <c r="AL2886">
        <v>79.066928897590302</v>
      </c>
      <c r="AM2886">
        <v>101.908423271087</v>
      </c>
      <c r="AN2886">
        <v>1.00000001234291</v>
      </c>
    </row>
    <row r="2887" spans="1:40" x14ac:dyDescent="0.25">
      <c r="A2887" t="str">
        <f>"20190304155649505"</f>
        <v>20190304155649505</v>
      </c>
      <c r="B2887" t="str">
        <f>"1551686209497376"</f>
        <v>1551686209497376</v>
      </c>
      <c r="C2887" t="s">
        <v>40</v>
      </c>
      <c r="D2887">
        <v>4.2722850000000001</v>
      </c>
      <c r="E2887">
        <v>0.4838539</v>
      </c>
      <c r="F2887" t="s">
        <v>41</v>
      </c>
      <c r="G2887">
        <v>-494.21510000000001</v>
      </c>
      <c r="H2887" s="1">
        <v>-4.3996990000000002E-6</v>
      </c>
      <c r="I2887">
        <v>247.7184</v>
      </c>
      <c r="J2887">
        <v>-490.36130000000003</v>
      </c>
      <c r="K2887">
        <v>1.1174219999999999</v>
      </c>
      <c r="L2887">
        <v>270.971</v>
      </c>
      <c r="M2887">
        <v>-0.41508080000000003</v>
      </c>
      <c r="N2887">
        <v>-1.491489E-2</v>
      </c>
      <c r="O2887">
        <v>-0.90966230000000003</v>
      </c>
      <c r="P2887">
        <v>-0.2194256</v>
      </c>
      <c r="Q2887">
        <v>0.17785989999999999</v>
      </c>
      <c r="R2887">
        <v>-0.95928009999999997</v>
      </c>
      <c r="S2887">
        <v>-0.51092529999999903</v>
      </c>
      <c r="T2887">
        <v>-0.1447128</v>
      </c>
      <c r="U2887">
        <v>-3.0397029999999998</v>
      </c>
      <c r="V2887">
        <v>-0.2018509</v>
      </c>
      <c r="W2887">
        <v>0.18879599999999999</v>
      </c>
      <c r="X2887">
        <v>0.96104750000000005</v>
      </c>
      <c r="Y2887">
        <v>-0.25851160000000001</v>
      </c>
      <c r="Z2887">
        <v>2.5734969999999999E-2</v>
      </c>
      <c r="AA2887">
        <v>0.96566529999999995</v>
      </c>
      <c r="AB2887">
        <v>26</v>
      </c>
      <c r="AC2887">
        <v>-3.8537999999999699</v>
      </c>
      <c r="AD2887">
        <v>-1.1174263996989999</v>
      </c>
      <c r="AE2887">
        <v>-23.252600000000001</v>
      </c>
      <c r="AF2887">
        <v>-6.1329502342101803</v>
      </c>
      <c r="AG2887">
        <v>-1.1174263996989999</v>
      </c>
      <c r="AH2887">
        <v>22.703154261654099</v>
      </c>
      <c r="AI2887">
        <v>92.720409568183996</v>
      </c>
      <c r="AJ2887">
        <v>105.11686340959599</v>
      </c>
      <c r="AK2887">
        <v>23.543469025666202</v>
      </c>
      <c r="AL2887">
        <v>79.117471594834299</v>
      </c>
      <c r="AM2887">
        <v>101.861544925291</v>
      </c>
      <c r="AN2887">
        <v>1.00000000635153</v>
      </c>
    </row>
    <row r="2888" spans="1:40" x14ac:dyDescent="0.25">
      <c r="A2888" t="str">
        <f>"20190304155649516"</f>
        <v>20190304155649516</v>
      </c>
      <c r="B2888" t="str">
        <f>"1551686209507137"</f>
        <v>1551686209507137</v>
      </c>
      <c r="C2888" t="s">
        <v>40</v>
      </c>
      <c r="D2888">
        <v>4.2828980000000003</v>
      </c>
      <c r="E2888">
        <v>0.48369689999999999</v>
      </c>
      <c r="F2888" t="s">
        <v>41</v>
      </c>
      <c r="G2888">
        <v>-495.0763</v>
      </c>
      <c r="H2888" s="1">
        <v>-3.9378419999999997E-6</v>
      </c>
      <c r="I2888">
        <v>245.91229999999999</v>
      </c>
      <c r="J2888">
        <v>-490.4092</v>
      </c>
      <c r="K2888">
        <v>1.1173690000000001</v>
      </c>
      <c r="L2888">
        <v>270.85309999999998</v>
      </c>
      <c r="M2888">
        <v>-0.4104854</v>
      </c>
      <c r="N2888">
        <v>-1.4901029999999999E-2</v>
      </c>
      <c r="O2888">
        <v>-0.91174540000000004</v>
      </c>
      <c r="P2888">
        <v>-0.21494369999999999</v>
      </c>
      <c r="Q2888">
        <v>0.17733759999999901</v>
      </c>
      <c r="R2888">
        <v>-0.96039059999999998</v>
      </c>
      <c r="S2888">
        <v>-0.56866459999999996</v>
      </c>
      <c r="T2888">
        <v>-0.13477039999999901</v>
      </c>
      <c r="U2888">
        <v>-3.022278</v>
      </c>
      <c r="V2888">
        <v>-0.20149439999999999</v>
      </c>
      <c r="W2888">
        <v>0.1882945</v>
      </c>
      <c r="X2888">
        <v>0.96122070000000004</v>
      </c>
      <c r="Y2888">
        <v>-0.2347832</v>
      </c>
      <c r="Z2888">
        <v>2.347664E-2</v>
      </c>
      <c r="AA2888">
        <v>0.97176419999999997</v>
      </c>
      <c r="AB2888">
        <v>26</v>
      </c>
      <c r="AC2888">
        <v>-4.6670999999999996</v>
      </c>
      <c r="AD2888">
        <v>-1.1173729378419901</v>
      </c>
      <c r="AE2888">
        <v>-24.940799999999999</v>
      </c>
      <c r="AF2888">
        <v>-5.9717111829590204</v>
      </c>
      <c r="AG2888">
        <v>-1.1173729378419901</v>
      </c>
      <c r="AH2888">
        <v>24.610448853994399</v>
      </c>
      <c r="AI2888">
        <v>92.526367628395406</v>
      </c>
      <c r="AJ2888">
        <v>103.63917990902399</v>
      </c>
      <c r="AK2888">
        <v>25.349241596741599</v>
      </c>
      <c r="AL2888">
        <v>79.1467303792286</v>
      </c>
      <c r="AM2888">
        <v>101.839114127255</v>
      </c>
      <c r="AN2888">
        <v>1.0000000230350401</v>
      </c>
    </row>
    <row r="2889" spans="1:40" x14ac:dyDescent="0.25">
      <c r="A2889" t="str">
        <f>"20190304155649528"</f>
        <v>20190304155649528</v>
      </c>
      <c r="B2889" t="str">
        <f>"1551686209517873"</f>
        <v>1551686209517873</v>
      </c>
      <c r="C2889" t="s">
        <v>40</v>
      </c>
      <c r="D2889">
        <v>4.2436309999999997</v>
      </c>
      <c r="E2889">
        <v>0.48489840000000001</v>
      </c>
      <c r="F2889" t="s">
        <v>41</v>
      </c>
      <c r="G2889">
        <v>-494.8877</v>
      </c>
      <c r="H2889" s="1">
        <v>-4.0534059999999998E-6</v>
      </c>
      <c r="I2889">
        <v>246.3502</v>
      </c>
      <c r="J2889">
        <v>-490.4597</v>
      </c>
      <c r="K2889">
        <v>1.11731</v>
      </c>
      <c r="L2889">
        <v>270.7276</v>
      </c>
      <c r="M2889">
        <v>-0.40561510000000001</v>
      </c>
      <c r="N2889">
        <v>-1.4886460000000001E-2</v>
      </c>
      <c r="O2889">
        <v>-0.91392280000000004</v>
      </c>
      <c r="P2889">
        <v>-0.210259</v>
      </c>
      <c r="Q2889">
        <v>0.177066</v>
      </c>
      <c r="R2889">
        <v>-0.96147749999999998</v>
      </c>
      <c r="S2889">
        <v>-0.55297850000000004</v>
      </c>
      <c r="T2889">
        <v>-0.1379658</v>
      </c>
      <c r="U2889">
        <v>-3.025452</v>
      </c>
      <c r="V2889">
        <v>-0.20103979999999999</v>
      </c>
      <c r="W2889">
        <v>0.18804679999999999</v>
      </c>
      <c r="X2889">
        <v>0.96136429999999995</v>
      </c>
      <c r="Y2889">
        <v>-0.2346558</v>
      </c>
      <c r="Z2889">
        <v>2.448345E-2</v>
      </c>
      <c r="AA2889">
        <v>0.97177020000000003</v>
      </c>
      <c r="AB2889">
        <v>26</v>
      </c>
      <c r="AC2889">
        <v>-4.4279999999999902</v>
      </c>
      <c r="AD2889">
        <v>-1.117314053406</v>
      </c>
      <c r="AE2889">
        <v>-24.377399999999898</v>
      </c>
      <c r="AF2889">
        <v>-5.8297826157225101</v>
      </c>
      <c r="AG2889">
        <v>-1.117314053406</v>
      </c>
      <c r="AH2889">
        <v>24.0289255652945</v>
      </c>
      <c r="AI2889">
        <v>92.587310153583005</v>
      </c>
      <c r="AJ2889">
        <v>103.63732823783801</v>
      </c>
      <c r="AK2889">
        <v>24.751242794311999</v>
      </c>
      <c r="AL2889">
        <v>79.161179973365606</v>
      </c>
      <c r="AM2889">
        <v>101.81143980728601</v>
      </c>
      <c r="AN2889">
        <v>0.99999995874438397</v>
      </c>
    </row>
    <row r="2890" spans="1:40" x14ac:dyDescent="0.25">
      <c r="A2890" t="str">
        <f>"20190304155649540"</f>
        <v>20190304155649540</v>
      </c>
      <c r="B2890" t="str">
        <f>"1551686209537393"</f>
        <v>1551686209537393</v>
      </c>
      <c r="C2890" t="s">
        <v>40</v>
      </c>
      <c r="D2890">
        <v>4.2723890000000004</v>
      </c>
      <c r="E2890">
        <v>0.48339680000000002</v>
      </c>
      <c r="F2890" t="s">
        <v>41</v>
      </c>
      <c r="G2890">
        <v>-494.9427</v>
      </c>
      <c r="H2890" s="1">
        <v>-3.918607E-6</v>
      </c>
      <c r="I2890">
        <v>245.9254</v>
      </c>
      <c r="J2890">
        <v>-490.50740000000002</v>
      </c>
      <c r="K2890">
        <v>1.117256</v>
      </c>
      <c r="L2890">
        <v>270.60629999999998</v>
      </c>
      <c r="M2890">
        <v>-0.40095589999999998</v>
      </c>
      <c r="N2890">
        <v>-1.487198E-2</v>
      </c>
      <c r="O2890">
        <v>-0.91597660000000003</v>
      </c>
      <c r="P2890">
        <v>-0.20572850000000001</v>
      </c>
      <c r="Q2890">
        <v>0.17675829999999901</v>
      </c>
      <c r="R2890">
        <v>-0.96251359999999997</v>
      </c>
      <c r="S2890">
        <v>-0.54690550000000004</v>
      </c>
      <c r="T2890">
        <v>-0.13630719999999999</v>
      </c>
      <c r="U2890">
        <v>-3.025757</v>
      </c>
      <c r="V2890">
        <v>-0.20066220000000001</v>
      </c>
      <c r="W2890">
        <v>0.1877606</v>
      </c>
      <c r="X2890">
        <v>0.9614992</v>
      </c>
      <c r="Y2890">
        <v>-0.23161109999999999</v>
      </c>
      <c r="Z2890">
        <v>2.417219E-2</v>
      </c>
      <c r="AA2890">
        <v>0.97250809999999999</v>
      </c>
      <c r="AB2890">
        <v>26</v>
      </c>
      <c r="AC2890">
        <v>-4.4352999999999803</v>
      </c>
      <c r="AD2890">
        <v>-1.117259918607</v>
      </c>
      <c r="AE2890">
        <v>-24.680899999999902</v>
      </c>
      <c r="AF2890">
        <v>-5.8224087520368002</v>
      </c>
      <c r="AG2890">
        <v>-1.117259918607</v>
      </c>
      <c r="AH2890">
        <v>24.339867336869499</v>
      </c>
      <c r="AI2890">
        <v>92.556154626958701</v>
      </c>
      <c r="AJ2890">
        <v>103.453080967331</v>
      </c>
      <c r="AK2890">
        <v>25.0515040542065</v>
      </c>
      <c r="AL2890">
        <v>79.177876266253307</v>
      </c>
      <c r="AM2890">
        <v>101.788268804597</v>
      </c>
      <c r="AN2890">
        <v>1.0000000365109101</v>
      </c>
    </row>
    <row r="2891" spans="1:40" x14ac:dyDescent="0.25">
      <c r="A2891" t="str">
        <f>"20190304155649552"</f>
        <v>20190304155649552</v>
      </c>
      <c r="B2891" t="str">
        <f>"1551686209547386"</f>
        <v>1551686209547386</v>
      </c>
      <c r="C2891" t="s">
        <v>40</v>
      </c>
      <c r="D2891">
        <v>4.2615619999999996</v>
      </c>
      <c r="E2891">
        <v>0.48339680000000002</v>
      </c>
      <c r="F2891" t="s">
        <v>41</v>
      </c>
      <c r="G2891">
        <v>-494.48790000000002</v>
      </c>
      <c r="H2891" s="1">
        <v>-4.3530700000000003E-6</v>
      </c>
      <c r="I2891">
        <v>247.4392</v>
      </c>
      <c r="J2891">
        <v>-490.55739999999997</v>
      </c>
      <c r="K2891">
        <v>1.1171979999999999</v>
      </c>
      <c r="L2891">
        <v>270.47829999999999</v>
      </c>
      <c r="M2891">
        <v>-0.39605390000000001</v>
      </c>
      <c r="N2891">
        <v>-1.485708E-2</v>
      </c>
      <c r="O2891">
        <v>-0.91810709999999995</v>
      </c>
      <c r="P2891">
        <v>-0.20069509999999999</v>
      </c>
      <c r="Q2891">
        <v>0.1768573</v>
      </c>
      <c r="R2891">
        <v>-0.96355749999999996</v>
      </c>
      <c r="S2891">
        <v>-0.52099609999999996</v>
      </c>
      <c r="T2891">
        <v>-0.1462388</v>
      </c>
      <c r="U2891">
        <v>-3.032349</v>
      </c>
      <c r="V2891">
        <v>-0.2005142</v>
      </c>
      <c r="W2891">
        <v>0.18787680000000001</v>
      </c>
      <c r="X2891">
        <v>0.96150740000000001</v>
      </c>
      <c r="Y2891">
        <v>-0.23484450000000001</v>
      </c>
      <c r="Z2891">
        <v>2.7023760000000001E-2</v>
      </c>
      <c r="AA2891">
        <v>0.9716572</v>
      </c>
      <c r="AB2891">
        <v>26</v>
      </c>
      <c r="AC2891">
        <v>-3.9305000000000501</v>
      </c>
      <c r="AD2891">
        <v>-1.1172023530699999</v>
      </c>
      <c r="AE2891">
        <v>-23.039099999999902</v>
      </c>
      <c r="AF2891">
        <v>-5.50413757323245</v>
      </c>
      <c r="AG2891">
        <v>-1.1172023530699999</v>
      </c>
      <c r="AH2891">
        <v>22.6597810271046</v>
      </c>
      <c r="AI2891">
        <v>92.742953232627698</v>
      </c>
      <c r="AJ2891">
        <v>103.652921165183</v>
      </c>
      <c r="AK2891">
        <v>23.3454352651456</v>
      </c>
      <c r="AL2891">
        <v>79.1710981055747</v>
      </c>
      <c r="AM2891">
        <v>101.779719653215</v>
      </c>
      <c r="AN2891">
        <v>1.0000000583173101</v>
      </c>
    </row>
    <row r="2892" spans="1:40" x14ac:dyDescent="0.25">
      <c r="A2892" t="str">
        <f>"20190304155649563"</f>
        <v>20190304155649563</v>
      </c>
      <c r="B2892" t="str">
        <f>"1551686209557146"</f>
        <v>1551686209557146</v>
      </c>
      <c r="C2892" t="s">
        <v>40</v>
      </c>
      <c r="D2892">
        <v>4.2339710000000004</v>
      </c>
      <c r="E2892">
        <v>0.46198060000000002</v>
      </c>
      <c r="F2892" t="s">
        <v>41</v>
      </c>
      <c r="G2892">
        <v>-494.42329999999998</v>
      </c>
      <c r="H2892" s="1">
        <v>-4.2709440000000004E-6</v>
      </c>
      <c r="I2892">
        <v>247.23150000000001</v>
      </c>
      <c r="J2892">
        <v>-490.60660000000001</v>
      </c>
      <c r="K2892">
        <v>1.1171390000000001</v>
      </c>
      <c r="L2892">
        <v>270.34989999999999</v>
      </c>
      <c r="M2892">
        <v>-0.391185</v>
      </c>
      <c r="N2892">
        <v>-1.4842040000000001E-2</v>
      </c>
      <c r="O2892">
        <v>-0.92019249999999997</v>
      </c>
      <c r="P2892">
        <v>-0.19590270000000001</v>
      </c>
      <c r="Q2892">
        <v>0.17691479999999901</v>
      </c>
      <c r="R2892">
        <v>-0.96453259999999996</v>
      </c>
      <c r="S2892">
        <v>-0.50473020000000002</v>
      </c>
      <c r="T2892">
        <v>-0.14585879999999901</v>
      </c>
      <c r="U2892">
        <v>-3.035034</v>
      </c>
      <c r="V2892">
        <v>-0.20016809999999999</v>
      </c>
      <c r="W2892">
        <v>0.18795539999999999</v>
      </c>
      <c r="X2892">
        <v>0.96156410000000003</v>
      </c>
      <c r="Y2892">
        <v>-0.234902</v>
      </c>
      <c r="Z2892">
        <v>2.703492E-2</v>
      </c>
      <c r="AA2892">
        <v>0.97164300000000003</v>
      </c>
      <c r="AB2892">
        <v>26</v>
      </c>
      <c r="AC2892">
        <v>-3.81669999999996</v>
      </c>
      <c r="AD2892">
        <v>-1.1171432709439999</v>
      </c>
      <c r="AE2892">
        <v>-23.118399999999902</v>
      </c>
      <c r="AF2892">
        <v>-5.5195347148694296</v>
      </c>
      <c r="AG2892">
        <v>-1.1171432709439999</v>
      </c>
      <c r="AH2892">
        <v>22.717280223017202</v>
      </c>
      <c r="AI2892">
        <v>92.735837239892405</v>
      </c>
      <c r="AJ2892">
        <v>103.65632774324</v>
      </c>
      <c r="AK2892">
        <v>23.404873280741199</v>
      </c>
      <c r="AL2892">
        <v>79.166512438888404</v>
      </c>
      <c r="AM2892">
        <v>101.759279706361</v>
      </c>
      <c r="AN2892">
        <v>1.0000000095277899</v>
      </c>
    </row>
    <row r="2893" spans="1:40" x14ac:dyDescent="0.25">
      <c r="A2893" t="str">
        <f>"20190304155649576"</f>
        <v>20190304155649576</v>
      </c>
      <c r="B2893" t="str">
        <f>"1551686209567882"</f>
        <v>1551686209567882</v>
      </c>
      <c r="C2893" t="s">
        <v>40</v>
      </c>
      <c r="D2893">
        <v>4.2920790000000002</v>
      </c>
      <c r="E2893">
        <v>0.46166430000000003</v>
      </c>
      <c r="F2893" t="s">
        <v>41</v>
      </c>
      <c r="G2893">
        <v>-493.6019</v>
      </c>
      <c r="H2893" s="1">
        <v>-1.8951719999999999E-6</v>
      </c>
      <c r="I2893">
        <v>241.77279999999999</v>
      </c>
      <c r="J2893">
        <v>-490.65199999999999</v>
      </c>
      <c r="K2893">
        <v>1.117084</v>
      </c>
      <c r="L2893">
        <v>270.22980000000001</v>
      </c>
      <c r="M2893">
        <v>-0.38665480000000002</v>
      </c>
      <c r="N2893">
        <v>-1.4828040000000001E-2</v>
      </c>
      <c r="O2893">
        <v>-0.92210530000000002</v>
      </c>
      <c r="P2893">
        <v>-0.1915319</v>
      </c>
      <c r="Q2893">
        <v>0.1774531</v>
      </c>
      <c r="R2893">
        <v>-0.96531149999999999</v>
      </c>
      <c r="S2893">
        <v>-0.32147219999999999</v>
      </c>
      <c r="T2893">
        <v>-0.119895</v>
      </c>
      <c r="U2893">
        <v>-3.066986</v>
      </c>
      <c r="V2893">
        <v>-0.19973869999999999</v>
      </c>
      <c r="W2893">
        <v>0.18851370000000001</v>
      </c>
      <c r="X2893">
        <v>0.96154410000000001</v>
      </c>
      <c r="Y2893">
        <v>-0.28834989999999999</v>
      </c>
      <c r="Z2893">
        <v>1.910299E-2</v>
      </c>
      <c r="AA2893">
        <v>0.95733449999999998</v>
      </c>
      <c r="AB2893">
        <v>26</v>
      </c>
      <c r="AC2893">
        <v>-2.9499000000000102</v>
      </c>
      <c r="AD2893">
        <v>-1.117085895172</v>
      </c>
      <c r="AE2893">
        <v>-28.457000000000001</v>
      </c>
      <c r="AF2893">
        <v>-8.2712177851778801</v>
      </c>
      <c r="AG2893">
        <v>-1.117085895172</v>
      </c>
      <c r="AH2893">
        <v>27.342268550814499</v>
      </c>
      <c r="AI2893">
        <v>92.239440404676301</v>
      </c>
      <c r="AJ2893">
        <v>106.83091452420101</v>
      </c>
      <c r="AK2893">
        <v>28.587769658577699</v>
      </c>
      <c r="AL2893">
        <v>79.133941981893102</v>
      </c>
      <c r="AM2893">
        <v>101.734991310775</v>
      </c>
      <c r="AN2893">
        <v>1.0000000098050901</v>
      </c>
    </row>
    <row r="2894" spans="1:40" x14ac:dyDescent="0.25">
      <c r="A2894" t="str">
        <f>"20190304155649588"</f>
        <v>20190304155649588</v>
      </c>
      <c r="B2894" t="str">
        <f>"1551686209577642"</f>
        <v>1551686209577642</v>
      </c>
      <c r="C2894" t="s">
        <v>40</v>
      </c>
      <c r="D2894">
        <v>4.2729100000000004</v>
      </c>
      <c r="E2894">
        <v>0.46255400000000002</v>
      </c>
      <c r="F2894" t="s">
        <v>41</v>
      </c>
      <c r="G2894">
        <v>-494.18920000000003</v>
      </c>
      <c r="H2894" s="1">
        <v>-3.276426E-6</v>
      </c>
      <c r="I2894">
        <v>234.6283</v>
      </c>
      <c r="J2894">
        <v>-490.70010000000002</v>
      </c>
      <c r="K2894">
        <v>1.11703</v>
      </c>
      <c r="L2894">
        <v>270.10120000000001</v>
      </c>
      <c r="M2894">
        <v>-0.3818242</v>
      </c>
      <c r="N2894">
        <v>-1.481322E-2</v>
      </c>
      <c r="O2894">
        <v>-0.92411639999999995</v>
      </c>
      <c r="P2894">
        <v>-0.18668129999999999</v>
      </c>
      <c r="Q2894">
        <v>0.1776336</v>
      </c>
      <c r="R2894">
        <v>-0.96622830000000004</v>
      </c>
      <c r="S2894">
        <v>-0.3045349</v>
      </c>
      <c r="T2894">
        <v>-9.6174960000000004E-2</v>
      </c>
      <c r="U2894">
        <v>-3.0650940000000002</v>
      </c>
      <c r="V2894">
        <v>-0.1994985</v>
      </c>
      <c r="W2894">
        <v>0.1887122</v>
      </c>
      <c r="X2894">
        <v>0.96155500000000005</v>
      </c>
      <c r="Y2894">
        <v>-0.28852169999999999</v>
      </c>
      <c r="Z2894">
        <v>1.2566539999999999E-2</v>
      </c>
      <c r="AA2894">
        <v>0.95739090000000004</v>
      </c>
      <c r="AB2894">
        <v>25</v>
      </c>
      <c r="AC2894">
        <v>-3.4891000000000001</v>
      </c>
      <c r="AD2894">
        <v>-1.117033276426</v>
      </c>
      <c r="AE2894">
        <v>-35.472900000000003</v>
      </c>
      <c r="AF2894">
        <v>-10.3110816379595</v>
      </c>
      <c r="AG2894">
        <v>-1.117033276426</v>
      </c>
      <c r="AH2894">
        <v>34.083576594678902</v>
      </c>
      <c r="AI2894">
        <v>91.796740061923103</v>
      </c>
      <c r="AJ2894">
        <v>106.831797627588</v>
      </c>
      <c r="AK2894">
        <v>35.626624333083498</v>
      </c>
      <c r="AL2894">
        <v>79.1223606004842</v>
      </c>
      <c r="AM2894">
        <v>101.721140634116</v>
      </c>
      <c r="AN2894">
        <v>0.99999998197804396</v>
      </c>
    </row>
    <row r="2895" spans="1:40" x14ac:dyDescent="0.25">
      <c r="A2895" t="str">
        <f>"20190304155649600"</f>
        <v>20190304155649600</v>
      </c>
      <c r="B2895" t="str">
        <f>"1551686209597161"</f>
        <v>1551686209597161</v>
      </c>
      <c r="C2895" t="s">
        <v>40</v>
      </c>
      <c r="D2895">
        <v>4.3351800000000003</v>
      </c>
      <c r="E2895">
        <v>0.4628256</v>
      </c>
      <c r="F2895" t="s">
        <v>41</v>
      </c>
      <c r="G2895">
        <v>-494.53859999999997</v>
      </c>
      <c r="H2895" s="1">
        <v>-1.5521430000000001E-6</v>
      </c>
      <c r="I2895">
        <v>230.3922</v>
      </c>
      <c r="J2895">
        <v>-490.74270000000001</v>
      </c>
      <c r="K2895">
        <v>1.116978</v>
      </c>
      <c r="L2895">
        <v>269.98430000000002</v>
      </c>
      <c r="M2895">
        <v>-0.37748399999999999</v>
      </c>
      <c r="N2895">
        <v>-1.479988E-2</v>
      </c>
      <c r="O2895">
        <v>-0.92589779999999999</v>
      </c>
      <c r="P2895">
        <v>-0.18274850000000001</v>
      </c>
      <c r="Q2895">
        <v>0.17806739999999999</v>
      </c>
      <c r="R2895">
        <v>-0.96689990000000003</v>
      </c>
      <c r="S2895">
        <v>-0.29614259999999998</v>
      </c>
      <c r="T2895">
        <v>-8.6178779999999996E-2</v>
      </c>
      <c r="U2895">
        <v>-3.0635379999999999</v>
      </c>
      <c r="V2895">
        <v>-0.1988502</v>
      </c>
      <c r="W2895">
        <v>0.18916920000000001</v>
      </c>
      <c r="X2895">
        <v>0.96159950000000005</v>
      </c>
      <c r="Y2895">
        <v>-0.28658410000000001</v>
      </c>
      <c r="Z2895">
        <v>9.8516620000000006E-3</v>
      </c>
      <c r="AA2895">
        <v>0.95800439999999998</v>
      </c>
      <c r="AB2895">
        <v>25</v>
      </c>
      <c r="AC2895">
        <v>-3.7958999999999601</v>
      </c>
      <c r="AD2895">
        <v>-1.1169795521429999</v>
      </c>
      <c r="AE2895">
        <v>-39.592100000000002</v>
      </c>
      <c r="AF2895">
        <v>-11.4230121531969</v>
      </c>
      <c r="AG2895">
        <v>-1.1169795521429999</v>
      </c>
      <c r="AH2895">
        <v>38.065282013828103</v>
      </c>
      <c r="AI2895">
        <v>91.609905842160998</v>
      </c>
      <c r="AJ2895">
        <v>106.703977272058</v>
      </c>
      <c r="AK2895">
        <v>39.757999758089703</v>
      </c>
      <c r="AL2895">
        <v>79.095696287280205</v>
      </c>
      <c r="AM2895">
        <v>101.68357408187801</v>
      </c>
      <c r="AN2895">
        <v>0.99999999333446499</v>
      </c>
    </row>
    <row r="2896" spans="1:40" x14ac:dyDescent="0.25">
      <c r="A2896" t="str">
        <f>"20190304155649611"</f>
        <v>20190304155649611</v>
      </c>
      <c r="B2896" t="str">
        <f>"1551686209607898"</f>
        <v>1551686209607898</v>
      </c>
      <c r="C2896" t="s">
        <v>40</v>
      </c>
      <c r="D2896">
        <v>4.2746300000000002</v>
      </c>
      <c r="E2896">
        <v>0.46366010000000002</v>
      </c>
      <c r="F2896" t="s">
        <v>53</v>
      </c>
      <c r="G2896">
        <v>-494.56150000000002</v>
      </c>
      <c r="H2896" s="1">
        <v>5.2761490000000001E-6</v>
      </c>
      <c r="I2896">
        <v>229.0204</v>
      </c>
      <c r="J2896">
        <v>-490.78739999999999</v>
      </c>
      <c r="K2896">
        <v>1.1169249999999999</v>
      </c>
      <c r="L2896">
        <v>269.8614</v>
      </c>
      <c r="M2896">
        <v>-0.37292510000000001</v>
      </c>
      <c r="N2896">
        <v>-1.478631E-2</v>
      </c>
      <c r="O2896">
        <v>-0.92774389999999995</v>
      </c>
      <c r="P2896">
        <v>-0.1785929</v>
      </c>
      <c r="Q2896">
        <v>0.1777445</v>
      </c>
      <c r="R2896">
        <v>-0.96773540000000002</v>
      </c>
      <c r="S2896">
        <v>-0.28564450000000002</v>
      </c>
      <c r="T2896">
        <v>-8.3549139999999994E-2</v>
      </c>
      <c r="U2896">
        <v>-3.0640869999999998</v>
      </c>
      <c r="V2896">
        <v>-0.19824140000000001</v>
      </c>
      <c r="W2896">
        <v>0.18887100000000001</v>
      </c>
      <c r="X2896">
        <v>0.96178379999999997</v>
      </c>
      <c r="Y2896">
        <v>-0.28514270000000003</v>
      </c>
      <c r="Z2896">
        <v>9.1878089999999999E-3</v>
      </c>
      <c r="AA2896">
        <v>0.95844099999999999</v>
      </c>
      <c r="AB2896">
        <v>25</v>
      </c>
      <c r="AC2896">
        <v>-3.77410000000003</v>
      </c>
      <c r="AD2896">
        <v>-1.116919723851</v>
      </c>
      <c r="AE2896">
        <v>-40.841000000000001</v>
      </c>
      <c r="AF2896">
        <v>-11.721822515734999</v>
      </c>
      <c r="AG2896">
        <v>-1.116919723851</v>
      </c>
      <c r="AH2896">
        <v>39.272608036965501</v>
      </c>
      <c r="AI2896">
        <v>91.561047894290496</v>
      </c>
      <c r="AJ2896">
        <v>106.61895644350101</v>
      </c>
      <c r="AK2896">
        <v>40.999833838505403</v>
      </c>
      <c r="AL2896">
        <v>79.113095533698797</v>
      </c>
      <c r="AM2896">
        <v>101.64661147801399</v>
      </c>
      <c r="AN2896">
        <v>0.99999999262869899</v>
      </c>
    </row>
    <row r="2897" spans="1:40" x14ac:dyDescent="0.25">
      <c r="A2897" t="str">
        <f>"20190304155649622"</f>
        <v>20190304155649622</v>
      </c>
      <c r="B2897" t="str">
        <f>"1551686209617658"</f>
        <v>1551686209617658</v>
      </c>
      <c r="C2897" t="s">
        <v>40</v>
      </c>
      <c r="D2897">
        <v>4.2714809999999996</v>
      </c>
      <c r="E2897">
        <v>0.46449259999999898</v>
      </c>
      <c r="F2897" t="s">
        <v>53</v>
      </c>
      <c r="G2897">
        <v>-494.6078</v>
      </c>
      <c r="H2897" s="1">
        <v>5.002111E-6</v>
      </c>
      <c r="I2897">
        <v>227.8366</v>
      </c>
      <c r="J2897">
        <v>-490.83089999999999</v>
      </c>
      <c r="K2897">
        <v>1.1168709999999999</v>
      </c>
      <c r="L2897">
        <v>269.73910000000001</v>
      </c>
      <c r="M2897">
        <v>-0.36843710000000002</v>
      </c>
      <c r="N2897">
        <v>-1.4772739999999999E-2</v>
      </c>
      <c r="O2897">
        <v>-0.92953540000000001</v>
      </c>
      <c r="P2897">
        <v>-0.17455490000000001</v>
      </c>
      <c r="Q2897">
        <v>0.1775497</v>
      </c>
      <c r="R2897">
        <v>-0.96850769999999997</v>
      </c>
      <c r="S2897">
        <v>-0.27850340000000001</v>
      </c>
      <c r="T2897">
        <v>-8.1423999999999996E-2</v>
      </c>
      <c r="U2897">
        <v>-3.0636290000000002</v>
      </c>
      <c r="V2897">
        <v>-0.1975884</v>
      </c>
      <c r="W2897">
        <v>0.1887009</v>
      </c>
      <c r="X2897">
        <v>0.96195160000000002</v>
      </c>
      <c r="Y2897">
        <v>-0.28271390000000002</v>
      </c>
      <c r="Z2897">
        <v>8.6741960000000003E-3</v>
      </c>
      <c r="AA2897">
        <v>0.95916500000000005</v>
      </c>
      <c r="AB2897">
        <v>25</v>
      </c>
      <c r="AC2897">
        <v>-3.7769000000000101</v>
      </c>
      <c r="AD2897">
        <v>-1.1168659978890001</v>
      </c>
      <c r="AE2897">
        <v>-41.902500000000003</v>
      </c>
      <c r="AF2897">
        <v>-11.920573415943</v>
      </c>
      <c r="AG2897">
        <v>-1.1168659978890001</v>
      </c>
      <c r="AH2897">
        <v>40.317394070486898</v>
      </c>
      <c r="AI2897">
        <v>91.521705175371807</v>
      </c>
      <c r="AJ2897">
        <v>106.47127557392101</v>
      </c>
      <c r="AK2897">
        <v>42.057576307450901</v>
      </c>
      <c r="AL2897">
        <v>79.123020560901693</v>
      </c>
      <c r="AM2897">
        <v>101.607320898194</v>
      </c>
      <c r="AN2897">
        <v>1.00000004310896</v>
      </c>
    </row>
    <row r="2898" spans="1:40" x14ac:dyDescent="0.25">
      <c r="A2898" t="str">
        <f>"20190304155649641"</f>
        <v>20190304155649641</v>
      </c>
      <c r="B2898" t="str">
        <f>"1551686209637177"</f>
        <v>1551686209637177</v>
      </c>
      <c r="C2898" t="s">
        <v>40</v>
      </c>
      <c r="D2898">
        <v>4.2725059999999999</v>
      </c>
      <c r="E2898">
        <v>0.46473160000000002</v>
      </c>
      <c r="F2898" t="s">
        <v>53</v>
      </c>
      <c r="G2898">
        <v>-494.6087</v>
      </c>
      <c r="H2898" s="1">
        <v>4.8496180000000002E-6</v>
      </c>
      <c r="I2898">
        <v>227.18889999999999</v>
      </c>
      <c r="J2898">
        <v>-490.8965</v>
      </c>
      <c r="K2898">
        <v>1.116792</v>
      </c>
      <c r="L2898">
        <v>269.55180000000001</v>
      </c>
      <c r="M2898">
        <v>-0.36160890000000001</v>
      </c>
      <c r="N2898">
        <v>-1.4752339999999999E-2</v>
      </c>
      <c r="O2898">
        <v>-0.93221310000000002</v>
      </c>
      <c r="P2898">
        <v>-0.16805619999999999</v>
      </c>
      <c r="Q2898">
        <v>0.1766954</v>
      </c>
      <c r="R2898">
        <v>-0.96981229999999996</v>
      </c>
      <c r="S2898">
        <v>-0.27197270000000001</v>
      </c>
      <c r="T2898">
        <v>-8.0405240000000003E-2</v>
      </c>
      <c r="U2898">
        <v>-3.0632630000000001</v>
      </c>
      <c r="V2898">
        <v>-0.19698840000000001</v>
      </c>
      <c r="W2898">
        <v>0.18787770000000001</v>
      </c>
      <c r="X2898">
        <v>0.96223570000000003</v>
      </c>
      <c r="Y2898">
        <v>-0.27769480000000002</v>
      </c>
      <c r="Z2898">
        <v>8.5214769999999995E-3</v>
      </c>
      <c r="AA2898">
        <v>0.96063149999999997</v>
      </c>
      <c r="AB2898">
        <v>25</v>
      </c>
      <c r="AC2898">
        <v>-3.71219999999999</v>
      </c>
      <c r="AD2898">
        <v>-1.1167871503819999</v>
      </c>
      <c r="AE2898">
        <v>-42.362900000000003</v>
      </c>
      <c r="AF2898">
        <v>-11.8513577762397</v>
      </c>
      <c r="AG2898">
        <v>-1.1167871503819999</v>
      </c>
      <c r="AH2898">
        <v>40.809915402915202</v>
      </c>
      <c r="AI2898">
        <v>91.505378733570396</v>
      </c>
      <c r="AJ2898">
        <v>106.193502175644</v>
      </c>
      <c r="AK2898">
        <v>42.510599735510603</v>
      </c>
      <c r="AL2898">
        <v>79.171044977629094</v>
      </c>
      <c r="AM2898">
        <v>101.569701421468</v>
      </c>
      <c r="AN2898">
        <v>1.00000000112317</v>
      </c>
    </row>
    <row r="2899" spans="1:40" x14ac:dyDescent="0.25">
      <c r="A2899" t="str">
        <f>"20190304155649655"</f>
        <v>20190304155649655</v>
      </c>
      <c r="B2899" t="str">
        <f>"1551686209647913"</f>
        <v>1551686209647913</v>
      </c>
      <c r="C2899" t="s">
        <v>40</v>
      </c>
      <c r="D2899">
        <v>4.2894750000000004</v>
      </c>
      <c r="E2899">
        <v>0.46557349999999997</v>
      </c>
      <c r="F2899" t="s">
        <v>53</v>
      </c>
      <c r="G2899">
        <v>-494.2955</v>
      </c>
      <c r="H2899" s="1">
        <v>5.2168380000000004E-6</v>
      </c>
      <c r="I2899">
        <v>228.43199999999999</v>
      </c>
      <c r="J2899">
        <v>-490.95030000000003</v>
      </c>
      <c r="K2899">
        <v>1.1167320000000001</v>
      </c>
      <c r="L2899">
        <v>269.39519999999999</v>
      </c>
      <c r="M2899">
        <v>-0.3559465</v>
      </c>
      <c r="N2899">
        <v>-1.4735710000000001E-2</v>
      </c>
      <c r="O2899">
        <v>-0.93439050000000001</v>
      </c>
      <c r="P2899">
        <v>-0.16231590000000001</v>
      </c>
      <c r="Q2899">
        <v>0.17618739999999999</v>
      </c>
      <c r="R2899">
        <v>-0.97088249999999998</v>
      </c>
      <c r="S2899">
        <v>-0.25332640000000001</v>
      </c>
      <c r="T2899">
        <v>-8.3233589999999996E-2</v>
      </c>
      <c r="U2899">
        <v>-3.0646360000000001</v>
      </c>
      <c r="V2899">
        <v>-0.19683929999999999</v>
      </c>
      <c r="W2899">
        <v>0.18738730000000001</v>
      </c>
      <c r="X2899">
        <v>0.96236180000000004</v>
      </c>
      <c r="Y2899">
        <v>-0.27770519999999999</v>
      </c>
      <c r="Z2899">
        <v>9.4096170000000003E-3</v>
      </c>
      <c r="AA2899">
        <v>0.96062029999999998</v>
      </c>
      <c r="AB2899">
        <v>25</v>
      </c>
      <c r="AC2899">
        <v>-3.34519999999997</v>
      </c>
      <c r="AD2899">
        <v>-1.116726783162</v>
      </c>
      <c r="AE2899">
        <v>-40.963199999999901</v>
      </c>
      <c r="AF2899">
        <v>-11.4477730426136</v>
      </c>
      <c r="AG2899">
        <v>-1.116726783162</v>
      </c>
      <c r="AH2899">
        <v>39.441490990848898</v>
      </c>
      <c r="AI2899">
        <v>91.557563878018996</v>
      </c>
      <c r="AJ2899">
        <v>106.18521048609</v>
      </c>
      <c r="AK2899">
        <v>41.0844228135755</v>
      </c>
      <c r="AL2899">
        <v>79.199650572626993</v>
      </c>
      <c r="AM2899">
        <v>101.55970609697</v>
      </c>
      <c r="AN2899">
        <v>0.99999997216250902</v>
      </c>
    </row>
    <row r="2900" spans="1:40" x14ac:dyDescent="0.25">
      <c r="A2900" t="str">
        <f>"20190304155649672"</f>
        <v>20190304155649672</v>
      </c>
      <c r="B2900" t="str">
        <f>"1551686209667434"</f>
        <v>1551686209667434</v>
      </c>
      <c r="C2900" t="s">
        <v>40</v>
      </c>
      <c r="D2900">
        <v>4.272532</v>
      </c>
      <c r="E2900">
        <v>0.46719290000000002</v>
      </c>
      <c r="F2900" t="s">
        <v>53</v>
      </c>
      <c r="G2900">
        <v>-494.16950000000003</v>
      </c>
      <c r="H2900" s="1">
        <v>5.2819619999999998E-6</v>
      </c>
      <c r="I2900">
        <v>228.57490000000001</v>
      </c>
      <c r="J2900">
        <v>-491.00790000000001</v>
      </c>
      <c r="K2900">
        <v>1.1166670000000001</v>
      </c>
      <c r="L2900">
        <v>269.2242</v>
      </c>
      <c r="M2900">
        <v>-0.34980319999999998</v>
      </c>
      <c r="N2900">
        <v>-1.4718180000000001E-2</v>
      </c>
      <c r="O2900">
        <v>-0.93670770000000003</v>
      </c>
      <c r="P2900">
        <v>-0.15575339999999999</v>
      </c>
      <c r="Q2900">
        <v>0.17629049999999999</v>
      </c>
      <c r="R2900">
        <v>-0.97193779999999996</v>
      </c>
      <c r="S2900">
        <v>-0.2416992</v>
      </c>
      <c r="T2900">
        <v>-8.3843829999999994E-2</v>
      </c>
      <c r="U2900">
        <v>-3.0647890000000002</v>
      </c>
      <c r="V2900">
        <v>-0.1969863</v>
      </c>
      <c r="W2900">
        <v>0.1875011</v>
      </c>
      <c r="X2900">
        <v>0.96230959999999999</v>
      </c>
      <c r="Y2900">
        <v>-0.27502149999999997</v>
      </c>
      <c r="Z2900">
        <v>9.6948360000000001E-3</v>
      </c>
      <c r="AA2900">
        <v>0.96138920000000005</v>
      </c>
      <c r="AB2900">
        <v>25</v>
      </c>
      <c r="AC2900">
        <v>-3.1616000000000199</v>
      </c>
      <c r="AD2900">
        <v>-1.1166617180380001</v>
      </c>
      <c r="AE2900">
        <v>-40.649299999999897</v>
      </c>
      <c r="AF2900">
        <v>-11.250539470987899</v>
      </c>
      <c r="AG2900">
        <v>-1.1166617180380001</v>
      </c>
      <c r="AH2900">
        <v>39.157318639541501</v>
      </c>
      <c r="AI2900">
        <v>91.569995744778694</v>
      </c>
      <c r="AJ2900">
        <v>106.030225968517</v>
      </c>
      <c r="AK2900">
        <v>40.756805257764903</v>
      </c>
      <c r="AL2900">
        <v>79.193013132108206</v>
      </c>
      <c r="AM2900">
        <v>101.568716881424</v>
      </c>
      <c r="AN2900">
        <v>1.00000001557052</v>
      </c>
    </row>
    <row r="2901" spans="1:40" x14ac:dyDescent="0.25">
      <c r="A2901" t="str">
        <f>"20190304155649688"</f>
        <v>20190304155649688</v>
      </c>
      <c r="B2901" t="str">
        <f>"1551686209677194"</f>
        <v>1551686209677194</v>
      </c>
      <c r="C2901" t="s">
        <v>40</v>
      </c>
      <c r="D2901">
        <v>4.291086</v>
      </c>
      <c r="E2901">
        <v>0.46801870000000001</v>
      </c>
      <c r="F2901" t="s">
        <v>53</v>
      </c>
      <c r="G2901">
        <v>-494.22</v>
      </c>
      <c r="H2901" s="1">
        <v>4.9326710000000001E-6</v>
      </c>
      <c r="I2901">
        <v>227.1788</v>
      </c>
      <c r="J2901">
        <v>-491.06830000000002</v>
      </c>
      <c r="K2901">
        <v>1.1166100000000001</v>
      </c>
      <c r="L2901">
        <v>269.04070000000002</v>
      </c>
      <c r="M2901">
        <v>-0.343259599999999</v>
      </c>
      <c r="N2901">
        <v>-1.4700110000000001E-2</v>
      </c>
      <c r="O2901">
        <v>-0.93912549999999995</v>
      </c>
      <c r="P2901">
        <v>-0.14874189999999901</v>
      </c>
      <c r="Q2901">
        <v>0.1762957</v>
      </c>
      <c r="R2901">
        <v>-0.97303410000000001</v>
      </c>
      <c r="S2901">
        <v>-0.23406979999999999</v>
      </c>
      <c r="T2901">
        <v>-8.1371070000000004E-2</v>
      </c>
      <c r="U2901">
        <v>-3.0638429999999999</v>
      </c>
      <c r="V2901">
        <v>-0.19718169999999999</v>
      </c>
      <c r="W2901">
        <v>0.18751519999999999</v>
      </c>
      <c r="X2901">
        <v>0.96226679999999998</v>
      </c>
      <c r="Y2901">
        <v>-0.27067049999999998</v>
      </c>
      <c r="Z2901">
        <v>9.1096660000000006E-3</v>
      </c>
      <c r="AA2901">
        <v>0.96262899999999996</v>
      </c>
      <c r="AB2901">
        <v>25</v>
      </c>
      <c r="AC2901">
        <v>-3.1516999999999999</v>
      </c>
      <c r="AD2901">
        <v>-1.116605067329</v>
      </c>
      <c r="AE2901">
        <v>-41.861899999999999</v>
      </c>
      <c r="AF2901">
        <v>-11.4028233371683</v>
      </c>
      <c r="AG2901">
        <v>-1.116605067329</v>
      </c>
      <c r="AH2901">
        <v>40.371233996758697</v>
      </c>
      <c r="AI2901">
        <v>91.524686391083094</v>
      </c>
      <c r="AJ2901">
        <v>105.772291190123</v>
      </c>
      <c r="AK2901">
        <v>41.965553986050303</v>
      </c>
      <c r="AL2901">
        <v>79.192190325283505</v>
      </c>
      <c r="AM2901">
        <v>101.580383771627</v>
      </c>
      <c r="AN2901">
        <v>0.99999998371408405</v>
      </c>
    </row>
    <row r="2902" spans="1:40" x14ac:dyDescent="0.25">
      <c r="A2902" t="str">
        <f>"20190304155649708"</f>
        <v>20190304155649708</v>
      </c>
      <c r="B2902" t="str">
        <f>"1551686209697689"</f>
        <v>1551686209697689</v>
      </c>
      <c r="C2902" t="s">
        <v>40</v>
      </c>
      <c r="D2902">
        <v>4.3023610000000003</v>
      </c>
      <c r="E2902">
        <v>0.46891430000000001</v>
      </c>
      <c r="F2902" t="s">
        <v>53</v>
      </c>
      <c r="G2902">
        <v>-494.09059999999999</v>
      </c>
      <c r="H2902" s="1">
        <v>4.825232E-6</v>
      </c>
      <c r="I2902">
        <v>226.73929999999999</v>
      </c>
      <c r="J2902">
        <v>-491.13350000000003</v>
      </c>
      <c r="K2902">
        <v>1.116552</v>
      </c>
      <c r="L2902">
        <v>268.8372</v>
      </c>
      <c r="M2902">
        <v>-0.33605370000000001</v>
      </c>
      <c r="N2902">
        <v>-1.468174E-2</v>
      </c>
      <c r="O2902">
        <v>-0.94172849999999997</v>
      </c>
      <c r="P2902">
        <v>-0.14133370000000001</v>
      </c>
      <c r="Q2902">
        <v>0.1761723</v>
      </c>
      <c r="R2902">
        <v>-0.97416020000000003</v>
      </c>
      <c r="S2902">
        <v>-0.21893309999999999</v>
      </c>
      <c r="T2902">
        <v>-8.0886600000000003E-2</v>
      </c>
      <c r="U2902">
        <v>-3.0643009999999999</v>
      </c>
      <c r="V2902">
        <v>-0.19710800000000001</v>
      </c>
      <c r="W2902">
        <v>0.18740409999999999</v>
      </c>
      <c r="X2902">
        <v>0.96230360000000004</v>
      </c>
      <c r="Y2902">
        <v>-0.26803470000000001</v>
      </c>
      <c r="Z2902">
        <v>9.0825750000000007E-3</v>
      </c>
      <c r="AA2902">
        <v>0.96336639999999996</v>
      </c>
      <c r="AB2902">
        <v>25</v>
      </c>
      <c r="AC2902">
        <v>-2.9570999999999601</v>
      </c>
      <c r="AD2902">
        <v>-1.116547174768</v>
      </c>
      <c r="AE2902">
        <v>-42.097900000000003</v>
      </c>
      <c r="AF2902">
        <v>-11.3556444028348</v>
      </c>
      <c r="AG2902">
        <v>-1.116547174768</v>
      </c>
      <c r="AH2902">
        <v>40.614482951243602</v>
      </c>
      <c r="AI2902">
        <v>91.516606559284796</v>
      </c>
      <c r="AJ2902">
        <v>105.62077617541701</v>
      </c>
      <c r="AK2902">
        <v>42.186888517571099</v>
      </c>
      <c r="AL2902">
        <v>79.198671379289607</v>
      </c>
      <c r="AM2902">
        <v>101.575741520197</v>
      </c>
      <c r="AN2902">
        <v>1.00000003946688</v>
      </c>
    </row>
    <row r="2903" spans="1:40" x14ac:dyDescent="0.25">
      <c r="A2903" t="str">
        <f>"20190304155649723"</f>
        <v>20190304155649723</v>
      </c>
      <c r="B2903" t="str">
        <f>"1551686209717209"</f>
        <v>1551686209717209</v>
      </c>
      <c r="C2903" t="s">
        <v>40</v>
      </c>
      <c r="D2903">
        <v>4.310657</v>
      </c>
      <c r="E2903">
        <v>0.47017110000000001</v>
      </c>
      <c r="F2903" t="s">
        <v>53</v>
      </c>
      <c r="G2903">
        <v>-493.86829999999998</v>
      </c>
      <c r="H2903" s="1">
        <v>5.0636140000000001E-6</v>
      </c>
      <c r="I2903">
        <v>227.34979999999999</v>
      </c>
      <c r="J2903">
        <v>-491.18130000000002</v>
      </c>
      <c r="K2903">
        <v>1.1165160000000001</v>
      </c>
      <c r="L2903">
        <v>268.68490000000003</v>
      </c>
      <c r="M2903">
        <v>-0.33068419999999998</v>
      </c>
      <c r="N2903">
        <v>-1.466484E-2</v>
      </c>
      <c r="O2903">
        <v>-0.94362769999999996</v>
      </c>
      <c r="P2903">
        <v>-0.13570550000000001</v>
      </c>
      <c r="Q2903">
        <v>0.17621700000000001</v>
      </c>
      <c r="R2903">
        <v>-0.97495240000000005</v>
      </c>
      <c r="S2903">
        <v>-0.20205690000000001</v>
      </c>
      <c r="T2903">
        <v>-8.2494620000000005E-2</v>
      </c>
      <c r="U2903">
        <v>-3.0652469999999998</v>
      </c>
      <c r="V2903">
        <v>-0.19716549999999999</v>
      </c>
      <c r="W2903">
        <v>0.18744910000000001</v>
      </c>
      <c r="X2903">
        <v>0.962283</v>
      </c>
      <c r="Y2903">
        <v>-0.2678468</v>
      </c>
      <c r="Z2903">
        <v>9.6244850000000003E-3</v>
      </c>
      <c r="AA2903">
        <v>0.96341350000000003</v>
      </c>
      <c r="AB2903">
        <v>25</v>
      </c>
      <c r="AC2903">
        <v>-2.6869999999999501</v>
      </c>
      <c r="AD2903">
        <v>-1.116510936386</v>
      </c>
      <c r="AE2903">
        <v>-41.335099999999997</v>
      </c>
      <c r="AF2903">
        <v>-11.1264485771053</v>
      </c>
      <c r="AG2903">
        <v>-1.116510936386</v>
      </c>
      <c r="AH2903">
        <v>39.868811421814797</v>
      </c>
      <c r="AI2903">
        <v>91.545115955953406</v>
      </c>
      <c r="AJ2903">
        <v>105.593169116242</v>
      </c>
      <c r="AK2903">
        <v>41.407325182849803</v>
      </c>
      <c r="AL2903">
        <v>79.196045966813003</v>
      </c>
      <c r="AM2903">
        <v>101.57926837552201</v>
      </c>
      <c r="AN2903">
        <v>0.99999998578502902</v>
      </c>
    </row>
    <row r="2904" spans="1:40" x14ac:dyDescent="0.25">
      <c r="A2904" t="str">
        <f>"20190304155649738"</f>
        <v>20190304155649738</v>
      </c>
      <c r="B2904" t="str">
        <f>"1551686209726969"</f>
        <v>1551686209726969</v>
      </c>
      <c r="C2904" t="s">
        <v>40</v>
      </c>
      <c r="D2904">
        <v>4.325393</v>
      </c>
      <c r="E2904">
        <v>0.47078439999999999</v>
      </c>
      <c r="F2904" t="s">
        <v>53</v>
      </c>
      <c r="G2904">
        <v>-493.84370000000001</v>
      </c>
      <c r="H2904" s="1">
        <v>4.8424770000000002E-6</v>
      </c>
      <c r="I2904">
        <v>226.6183</v>
      </c>
      <c r="J2904">
        <v>-491.22969999999998</v>
      </c>
      <c r="K2904">
        <v>1.116482</v>
      </c>
      <c r="L2904">
        <v>268.52749999999997</v>
      </c>
      <c r="M2904">
        <v>-0.32513959999999997</v>
      </c>
      <c r="N2904">
        <v>-1.4638740000000001E-2</v>
      </c>
      <c r="O2904">
        <v>-0.94555290000000003</v>
      </c>
      <c r="P2904">
        <v>-0.12986629999999999</v>
      </c>
      <c r="Q2904">
        <v>0.17636660000000001</v>
      </c>
      <c r="R2904">
        <v>-0.97572049999999999</v>
      </c>
      <c r="S2904">
        <v>-0.19396969999999999</v>
      </c>
      <c r="T2904">
        <v>-8.1344009999999994E-2</v>
      </c>
      <c r="U2904">
        <v>-3.0647890000000002</v>
      </c>
      <c r="V2904">
        <v>-0.1972565</v>
      </c>
      <c r="W2904">
        <v>0.18758639999999999</v>
      </c>
      <c r="X2904">
        <v>0.96223760000000003</v>
      </c>
      <c r="Y2904">
        <v>-0.264714</v>
      </c>
      <c r="Z2904">
        <v>9.3975489999999998E-3</v>
      </c>
      <c r="AA2904">
        <v>0.96428119999999995</v>
      </c>
      <c r="AB2904">
        <v>25</v>
      </c>
      <c r="AC2904">
        <v>-2.6140000000000301</v>
      </c>
      <c r="AD2904">
        <v>-1.1164771575229999</v>
      </c>
      <c r="AE2904">
        <v>-41.909199999999899</v>
      </c>
      <c r="AF2904">
        <v>-11.147977556114499</v>
      </c>
      <c r="AG2904">
        <v>-1.1164771575229999</v>
      </c>
      <c r="AH2904">
        <v>40.453012691180497</v>
      </c>
      <c r="AI2904">
        <v>91.524138454908396</v>
      </c>
      <c r="AJ2904">
        <v>105.407057945685</v>
      </c>
      <c r="AK2904">
        <v>41.975828289954102</v>
      </c>
      <c r="AL2904">
        <v>79.188037253333206</v>
      </c>
      <c r="AM2904">
        <v>101.585000053305</v>
      </c>
      <c r="AN2904">
        <v>0.99999999155548502</v>
      </c>
    </row>
    <row r="2905" spans="1:40" x14ac:dyDescent="0.25">
      <c r="A2905" t="str">
        <f>"20190304155649752"</f>
        <v>20190304155649752</v>
      </c>
      <c r="B2905" t="str">
        <f>"1551686209747885"</f>
        <v>1551686209747885</v>
      </c>
      <c r="C2905" t="s">
        <v>40</v>
      </c>
      <c r="D2905">
        <v>4.3599079999999999</v>
      </c>
      <c r="E2905">
        <v>0.4851953</v>
      </c>
      <c r="F2905" t="s">
        <v>53</v>
      </c>
      <c r="G2905">
        <v>-493.74990000000003</v>
      </c>
      <c r="H2905" s="1">
        <v>4.5668689999999996E-6</v>
      </c>
      <c r="I2905">
        <v>225.66149999999999</v>
      </c>
      <c r="J2905">
        <v>-491.2792</v>
      </c>
      <c r="K2905">
        <v>1.116444</v>
      </c>
      <c r="L2905">
        <v>268.36360000000002</v>
      </c>
      <c r="M2905">
        <v>-0.31937459999999901</v>
      </c>
      <c r="N2905">
        <v>-1.459952E-2</v>
      </c>
      <c r="O2905">
        <v>-0.94751609999999997</v>
      </c>
      <c r="P2905">
        <v>-0.12379999999999999</v>
      </c>
      <c r="Q2905">
        <v>0.17674119999999999</v>
      </c>
      <c r="R2905">
        <v>-0.9764408</v>
      </c>
      <c r="S2905">
        <v>-0.18020630000000001</v>
      </c>
      <c r="T2905">
        <v>-7.9832790000000001E-2</v>
      </c>
      <c r="U2905">
        <v>-3.0650940000000002</v>
      </c>
      <c r="V2905">
        <v>-0.19734879999999999</v>
      </c>
      <c r="W2905">
        <v>0.18793199999999999</v>
      </c>
      <c r="X2905">
        <v>0.96215119999999998</v>
      </c>
      <c r="Y2905">
        <v>-0.26316200000000001</v>
      </c>
      <c r="Z2905">
        <v>9.0614700000000003E-3</v>
      </c>
      <c r="AA2905">
        <v>0.96470909999999999</v>
      </c>
      <c r="AB2905">
        <v>25</v>
      </c>
      <c r="AC2905">
        <v>-2.4707000000000199</v>
      </c>
      <c r="AD2905">
        <v>-1.1164394331309999</v>
      </c>
      <c r="AE2905">
        <v>-42.702100000000002</v>
      </c>
      <c r="AF2905">
        <v>-11.290450122947799</v>
      </c>
      <c r="AG2905">
        <v>-1.1164394331309999</v>
      </c>
      <c r="AH2905">
        <v>41.226315747113297</v>
      </c>
      <c r="AI2905">
        <v>91.496166366578507</v>
      </c>
      <c r="AJ2905">
        <v>105.315781861232</v>
      </c>
      <c r="AK2905">
        <v>42.758973456659398</v>
      </c>
      <c r="AL2905">
        <v>79.167876926900405</v>
      </c>
      <c r="AM2905">
        <v>101.591286873896</v>
      </c>
      <c r="AN2905">
        <v>0.99999995857343904</v>
      </c>
    </row>
    <row r="2906" spans="1:40" x14ac:dyDescent="0.25">
      <c r="A2906" t="str">
        <f>"20190304155649765"</f>
        <v>20190304155649765</v>
      </c>
      <c r="B2906" t="str">
        <f>"1551686209757644"</f>
        <v>1551686209757644</v>
      </c>
      <c r="C2906" t="s">
        <v>40</v>
      </c>
      <c r="D2906">
        <v>4.3497130000000004</v>
      </c>
      <c r="E2906">
        <v>0.48530849999999998</v>
      </c>
      <c r="F2906" t="s">
        <v>53</v>
      </c>
      <c r="G2906">
        <v>-495.81729999999999</v>
      </c>
      <c r="H2906" s="1">
        <v>2.4205290000000001E-6</v>
      </c>
      <c r="I2906">
        <v>217.899</v>
      </c>
      <c r="J2906">
        <v>-491.32100000000003</v>
      </c>
      <c r="K2906">
        <v>1.1164229999999999</v>
      </c>
      <c r="L2906">
        <v>268.2217</v>
      </c>
      <c r="M2906">
        <v>-0.31438959999999999</v>
      </c>
      <c r="N2906">
        <v>-1.455214E-2</v>
      </c>
      <c r="O2906">
        <v>-0.94918259999999999</v>
      </c>
      <c r="P2906">
        <v>-0.1188163</v>
      </c>
      <c r="Q2906">
        <v>0.1771201</v>
      </c>
      <c r="R2906">
        <v>-0.97699100000000005</v>
      </c>
      <c r="S2906">
        <v>-0.27426149999999999</v>
      </c>
      <c r="T2906">
        <v>-6.7472340000000006E-2</v>
      </c>
      <c r="U2906">
        <v>-3.0498349999999999</v>
      </c>
      <c r="V2906">
        <v>-0.19717689999999999</v>
      </c>
      <c r="W2906">
        <v>0.18827340000000001</v>
      </c>
      <c r="X2906">
        <v>0.96211979999999997</v>
      </c>
      <c r="Y2906">
        <v>-0.22807520000000001</v>
      </c>
      <c r="Z2906">
        <v>5.7697069999999998E-3</v>
      </c>
      <c r="AA2906">
        <v>0.9736264</v>
      </c>
      <c r="AB2906">
        <v>25</v>
      </c>
      <c r="AC2906">
        <v>-4.4963000000000104</v>
      </c>
      <c r="AD2906">
        <v>-1.116420579471</v>
      </c>
      <c r="AE2906">
        <v>-50.322699999999998</v>
      </c>
      <c r="AF2906">
        <v>-11.548707073633199</v>
      </c>
      <c r="AG2906">
        <v>-1.116420579471</v>
      </c>
      <c r="AH2906">
        <v>49.160220185544901</v>
      </c>
      <c r="AI2906">
        <v>91.266488146330204</v>
      </c>
      <c r="AJ2906">
        <v>103.22019424623601</v>
      </c>
      <c r="AK2906">
        <v>50.510853078067399</v>
      </c>
      <c r="AL2906">
        <v>79.147961701599499</v>
      </c>
      <c r="AM2906">
        <v>101.581830980935</v>
      </c>
      <c r="AN2906">
        <v>1.0000000562966</v>
      </c>
    </row>
    <row r="2907" spans="1:40" x14ac:dyDescent="0.25">
      <c r="A2907" t="str">
        <f>"20190304155649778"</f>
        <v>20190304155649778</v>
      </c>
      <c r="B2907" t="str">
        <f>"1551686209767404"</f>
        <v>1551686209767404</v>
      </c>
      <c r="C2907" t="s">
        <v>40</v>
      </c>
      <c r="D2907">
        <v>4.3434010000000001</v>
      </c>
      <c r="E2907">
        <v>0.48616870000000001</v>
      </c>
      <c r="F2907" t="s">
        <v>53</v>
      </c>
      <c r="G2907">
        <v>-495.9008</v>
      </c>
      <c r="H2907" s="1">
        <v>2.2533960000000002E-6</v>
      </c>
      <c r="I2907">
        <v>214.41419999999999</v>
      </c>
      <c r="J2907">
        <v>-491.35930000000002</v>
      </c>
      <c r="K2907">
        <v>1.116409</v>
      </c>
      <c r="L2907">
        <v>268.08929999999998</v>
      </c>
      <c r="M2907">
        <v>-0.30973820000000002</v>
      </c>
      <c r="N2907">
        <v>-1.4500519999999999E-2</v>
      </c>
      <c r="O2907">
        <v>-0.95071150000000004</v>
      </c>
      <c r="P2907">
        <v>-0.11395810000000001</v>
      </c>
      <c r="Q2907">
        <v>0.1776392</v>
      </c>
      <c r="R2907">
        <v>-0.9774756</v>
      </c>
      <c r="S2907">
        <v>-0.25964359999999997</v>
      </c>
      <c r="T2907">
        <v>-6.3294409999999995E-2</v>
      </c>
      <c r="U2907">
        <v>-3.0505680000000002</v>
      </c>
      <c r="V2907">
        <v>-0.19722210000000001</v>
      </c>
      <c r="W2907">
        <v>0.188745</v>
      </c>
      <c r="X2907">
        <v>0.96201809999999999</v>
      </c>
      <c r="Y2907">
        <v>-0.22796069999999999</v>
      </c>
      <c r="Z2907">
        <v>4.6078869999999997E-3</v>
      </c>
      <c r="AA2907">
        <v>0.97365950000000001</v>
      </c>
      <c r="AB2907">
        <v>25</v>
      </c>
      <c r="AC2907">
        <v>-4.5414999999999797</v>
      </c>
      <c r="AD2907">
        <v>-1.116406746604</v>
      </c>
      <c r="AE2907">
        <v>-53.675099999999901</v>
      </c>
      <c r="AF2907">
        <v>-12.303579561242399</v>
      </c>
      <c r="AG2907">
        <v>-1.116406746604</v>
      </c>
      <c r="AH2907">
        <v>52.419198671417803</v>
      </c>
      <c r="AI2907">
        <v>91.187811384821501</v>
      </c>
      <c r="AJ2907">
        <v>103.20908311305099</v>
      </c>
      <c r="AK2907">
        <v>53.855332358061403</v>
      </c>
      <c r="AL2907">
        <v>79.120447417918697</v>
      </c>
      <c r="AM2907">
        <v>101.585605733657</v>
      </c>
      <c r="AN2907">
        <v>1.0000000282404999</v>
      </c>
    </row>
    <row r="2908" spans="1:40" x14ac:dyDescent="0.25">
      <c r="A2908" t="str">
        <f>"20190304155649791"</f>
        <v>20190304155649791</v>
      </c>
      <c r="B2908" t="str">
        <f>"1551686209787899"</f>
        <v>1551686209787899</v>
      </c>
      <c r="C2908" t="s">
        <v>40</v>
      </c>
      <c r="D2908">
        <v>4.373793</v>
      </c>
      <c r="E2908">
        <v>0.48734260000000001</v>
      </c>
      <c r="F2908" t="s">
        <v>53</v>
      </c>
      <c r="G2908">
        <v>-496.01990000000001</v>
      </c>
      <c r="H2908" s="1">
        <v>2.1054569999999999E-6</v>
      </c>
      <c r="I2908">
        <v>211.51300000000001</v>
      </c>
      <c r="J2908">
        <v>-491.39789999999999</v>
      </c>
      <c r="K2908">
        <v>1.116393</v>
      </c>
      <c r="L2908">
        <v>267.95429999999999</v>
      </c>
      <c r="M2908">
        <v>-0.3049905</v>
      </c>
      <c r="N2908">
        <v>-1.444342E-2</v>
      </c>
      <c r="O2908">
        <v>-0.95224600000000004</v>
      </c>
      <c r="P2908">
        <v>-0.10938539999999999</v>
      </c>
      <c r="Q2908">
        <v>0.177621</v>
      </c>
      <c r="R2908">
        <v>-0.97800129999999996</v>
      </c>
      <c r="S2908">
        <v>-0.25131229999999999</v>
      </c>
      <c r="T2908">
        <v>-6.0200330000000003E-2</v>
      </c>
      <c r="U2908">
        <v>-3.0507810000000002</v>
      </c>
      <c r="V2908">
        <v>-0.1969167</v>
      </c>
      <c r="W2908">
        <v>0.18868090000000001</v>
      </c>
      <c r="X2908">
        <v>0.96209319999999998</v>
      </c>
      <c r="Y2908">
        <v>-0.22575010000000001</v>
      </c>
      <c r="Z2908">
        <v>3.7813600000000001E-3</v>
      </c>
      <c r="AA2908">
        <v>0.97417790000000004</v>
      </c>
      <c r="AB2908">
        <v>25</v>
      </c>
      <c r="AC2908">
        <v>-4.6220000000000097</v>
      </c>
      <c r="AD2908">
        <v>-1.1163908945429999</v>
      </c>
      <c r="AE2908">
        <v>-56.441299999999899</v>
      </c>
      <c r="AF2908">
        <v>-12.8091362684844</v>
      </c>
      <c r="AG2908">
        <v>-1.1163908945429999</v>
      </c>
      <c r="AH2908">
        <v>55.139985970387997</v>
      </c>
      <c r="AI2908">
        <v>91.129803787700894</v>
      </c>
      <c r="AJ2908">
        <v>103.077976695709</v>
      </c>
      <c r="AK2908">
        <v>56.6192401343272</v>
      </c>
      <c r="AL2908">
        <v>79.124186931388707</v>
      </c>
      <c r="AM2908">
        <v>101.567270624976</v>
      </c>
      <c r="AN2908">
        <v>0.99999999712497001</v>
      </c>
    </row>
    <row r="2909" spans="1:40" x14ac:dyDescent="0.25">
      <c r="A2909" t="str">
        <f>"20190304155649807"</f>
        <v>20190304155649807</v>
      </c>
      <c r="B2909" t="str">
        <f>"1551686209797663"</f>
        <v>1551686209797663</v>
      </c>
      <c r="C2909" t="s">
        <v>40</v>
      </c>
      <c r="D2909">
        <v>4.383013</v>
      </c>
      <c r="E2909">
        <v>0.48801359999999999</v>
      </c>
      <c r="F2909" t="s">
        <v>53</v>
      </c>
      <c r="G2909">
        <v>-495.97280000000001</v>
      </c>
      <c r="H2909" s="1">
        <v>2.0999699999999998E-6</v>
      </c>
      <c r="I2909">
        <v>211.19649999999999</v>
      </c>
      <c r="J2909">
        <v>-491.44709999999998</v>
      </c>
      <c r="K2909">
        <v>1.1163689999999999</v>
      </c>
      <c r="L2909">
        <v>267.77730000000003</v>
      </c>
      <c r="M2909">
        <v>-0.29876900000000001</v>
      </c>
      <c r="N2909">
        <v>-1.435575E-2</v>
      </c>
      <c r="O2909">
        <v>-0.95421739999999999</v>
      </c>
      <c r="P2909">
        <v>-0.1038987</v>
      </c>
      <c r="Q2909">
        <v>0.17746799999999999</v>
      </c>
      <c r="R2909">
        <v>-0.97862640000000001</v>
      </c>
      <c r="S2909">
        <v>-0.24591060000000001</v>
      </c>
      <c r="T2909">
        <v>-6.0008760000000001E-2</v>
      </c>
      <c r="U2909">
        <v>-3.0508730000000002</v>
      </c>
      <c r="V2909">
        <v>-0.19603219999999999</v>
      </c>
      <c r="W2909">
        <v>0.18846260000000001</v>
      </c>
      <c r="X2909">
        <v>0.96231659999999997</v>
      </c>
      <c r="Y2909">
        <v>-0.22110669999999999</v>
      </c>
      <c r="Z2909">
        <v>3.871537E-3</v>
      </c>
      <c r="AA2909">
        <v>0.97524200000000005</v>
      </c>
      <c r="AB2909">
        <v>25</v>
      </c>
      <c r="AC2909">
        <v>-4.52570000000002</v>
      </c>
      <c r="AD2909">
        <v>-1.1163669000299901</v>
      </c>
      <c r="AE2909">
        <v>-56.580800000000004</v>
      </c>
      <c r="AF2909">
        <v>-12.5825182772271</v>
      </c>
      <c r="AG2909">
        <v>-1.1163669000299901</v>
      </c>
      <c r="AH2909">
        <v>55.326829100532102</v>
      </c>
      <c r="AI2909">
        <v>91.127165222965004</v>
      </c>
      <c r="AJ2909">
        <v>102.812378880642</v>
      </c>
      <c r="AK2909">
        <v>56.750542372489498</v>
      </c>
      <c r="AL2909">
        <v>79.136923201102405</v>
      </c>
      <c r="AM2909">
        <v>101.514102411118</v>
      </c>
      <c r="AN2909">
        <v>1.0000000068355701</v>
      </c>
    </row>
    <row r="2910" spans="1:40" x14ac:dyDescent="0.25">
      <c r="A2910" t="str">
        <f>"20190304155649822"</f>
        <v>20190304155649822</v>
      </c>
      <c r="B2910" t="str">
        <f>"1551686209817180"</f>
        <v>1551686209817180</v>
      </c>
      <c r="C2910" t="s">
        <v>40</v>
      </c>
      <c r="D2910">
        <v>4.3430410000000004</v>
      </c>
      <c r="E2910">
        <v>0.48785060000000002</v>
      </c>
      <c r="F2910" t="s">
        <v>53</v>
      </c>
      <c r="G2910">
        <v>-495.79500000000002</v>
      </c>
      <c r="H2910" s="1">
        <v>2.121741E-6</v>
      </c>
      <c r="I2910">
        <v>210.97319999999999</v>
      </c>
      <c r="J2910">
        <v>-491.48649999999998</v>
      </c>
      <c r="K2910">
        <v>1.116349</v>
      </c>
      <c r="L2910">
        <v>267.63200000000001</v>
      </c>
      <c r="M2910">
        <v>-0.29365029999999998</v>
      </c>
      <c r="N2910">
        <v>-1.427439E-2</v>
      </c>
      <c r="O2910">
        <v>-0.95580659999999895</v>
      </c>
      <c r="P2910">
        <v>-9.9281449999999993E-2</v>
      </c>
      <c r="Q2910">
        <v>0.1773575</v>
      </c>
      <c r="R2910">
        <v>-0.9791261</v>
      </c>
      <c r="S2910">
        <v>-0.2335815</v>
      </c>
      <c r="T2910">
        <v>-5.9973600000000002E-2</v>
      </c>
      <c r="U2910">
        <v>-3.0516359999999998</v>
      </c>
      <c r="V2910">
        <v>-0.19541249999999999</v>
      </c>
      <c r="W2910">
        <v>0.1882865</v>
      </c>
      <c r="X2910">
        <v>0.96247709999999997</v>
      </c>
      <c r="Y2910">
        <v>-0.21981519999999999</v>
      </c>
      <c r="Z2910">
        <v>3.9770650000000001E-3</v>
      </c>
      <c r="AA2910">
        <v>0.97553339999999999</v>
      </c>
      <c r="AB2910">
        <v>25</v>
      </c>
      <c r="AC2910">
        <v>-4.3085000000000298</v>
      </c>
      <c r="AD2910">
        <v>-1.116346878259</v>
      </c>
      <c r="AE2910">
        <v>-56.658799999999999</v>
      </c>
      <c r="AF2910">
        <v>-12.5162224126128</v>
      </c>
      <c r="AG2910">
        <v>-1.116346878259</v>
      </c>
      <c r="AH2910">
        <v>55.404295391267901</v>
      </c>
      <c r="AI2910">
        <v>91.125936932759004</v>
      </c>
      <c r="AJ2910">
        <v>102.72984125652</v>
      </c>
      <c r="AK2910">
        <v>56.811424921730797</v>
      </c>
      <c r="AL2910">
        <v>79.147196946161898</v>
      </c>
      <c r="AM2910">
        <v>101.476808114676</v>
      </c>
      <c r="AN2910">
        <v>1.0000000096314501</v>
      </c>
    </row>
    <row r="2911" spans="1:40" x14ac:dyDescent="0.25">
      <c r="A2911" t="str">
        <f>"20190304155649834"</f>
        <v>20190304155649834</v>
      </c>
      <c r="B2911" t="str">
        <f>"1551686209827916"</f>
        <v>1551686209827916</v>
      </c>
      <c r="C2911" t="s">
        <v>40</v>
      </c>
      <c r="D2911">
        <v>4.4068329999999998</v>
      </c>
      <c r="E2911">
        <v>0.488678</v>
      </c>
      <c r="F2911" t="s">
        <v>53</v>
      </c>
      <c r="G2911">
        <v>-495.23719999999997</v>
      </c>
      <c r="H2911" s="1">
        <v>2.4048479999999999E-6</v>
      </c>
      <c r="I2911">
        <v>215.18610000000001</v>
      </c>
      <c r="J2911">
        <v>-491.52390000000003</v>
      </c>
      <c r="K2911">
        <v>1.1163289999999999</v>
      </c>
      <c r="L2911">
        <v>267.49149999999997</v>
      </c>
      <c r="M2911">
        <v>-0.28869149999999999</v>
      </c>
      <c r="N2911">
        <v>-1.419199E-2</v>
      </c>
      <c r="O2911">
        <v>-0.95731719999999998</v>
      </c>
      <c r="P2911">
        <v>-9.4852220000000001E-2</v>
      </c>
      <c r="Q2911">
        <v>0.17682870000000001</v>
      </c>
      <c r="R2911">
        <v>-0.97966059999999999</v>
      </c>
      <c r="S2911">
        <v>-0.21838379999999999</v>
      </c>
      <c r="T2911">
        <v>-6.4998390000000003E-2</v>
      </c>
      <c r="U2911">
        <v>-3.0536189999999999</v>
      </c>
      <c r="V2911">
        <v>-0.19479070000000001</v>
      </c>
      <c r="W2911">
        <v>0.1876932</v>
      </c>
      <c r="X2911">
        <v>0.96271899999999999</v>
      </c>
      <c r="Y2911">
        <v>-0.2196331</v>
      </c>
      <c r="Z2911">
        <v>5.5993070000000004E-3</v>
      </c>
      <c r="AA2911">
        <v>0.9755665</v>
      </c>
      <c r="AB2911">
        <v>25</v>
      </c>
      <c r="AC2911">
        <v>-3.7132999999999399</v>
      </c>
      <c r="AD2911">
        <v>-1.1163265951520001</v>
      </c>
      <c r="AE2911">
        <v>-52.305399999999899</v>
      </c>
      <c r="AF2911">
        <v>-11.541248194586601</v>
      </c>
      <c r="AG2911">
        <v>-1.1163265951520001</v>
      </c>
      <c r="AH2911">
        <v>51.126826416081997</v>
      </c>
      <c r="AI2911">
        <v>91.220132064062398</v>
      </c>
      <c r="AJ2911">
        <v>102.72060328664899</v>
      </c>
      <c r="AK2911">
        <v>52.425175005299501</v>
      </c>
      <c r="AL2911">
        <v>79.181807649722401</v>
      </c>
      <c r="AM2911">
        <v>101.438454595495</v>
      </c>
      <c r="AN2911">
        <v>1.0000000135468601</v>
      </c>
    </row>
    <row r="2912" spans="1:40" x14ac:dyDescent="0.25">
      <c r="A2912" t="str">
        <f>"20190304155649853"</f>
        <v>20190304155649853</v>
      </c>
      <c r="B2912" t="str">
        <f>"1551686209847436"</f>
        <v>1551686209847436</v>
      </c>
      <c r="C2912" t="s">
        <v>40</v>
      </c>
      <c r="D2912">
        <v>4.3996320000000004</v>
      </c>
      <c r="E2912">
        <v>0.48876520000000001</v>
      </c>
      <c r="F2912" t="s">
        <v>53</v>
      </c>
      <c r="G2912">
        <v>-494.85300000000001</v>
      </c>
      <c r="H2912" s="1">
        <v>2.6538910000000001E-6</v>
      </c>
      <c r="I2912">
        <v>219.3245</v>
      </c>
      <c r="J2912">
        <v>-491.5772</v>
      </c>
      <c r="K2912">
        <v>1.1162970000000001</v>
      </c>
      <c r="L2912">
        <v>267.28629999999998</v>
      </c>
      <c r="M2912">
        <v>-0.28144340000000001</v>
      </c>
      <c r="N2912">
        <v>-1.4065799999999899E-2</v>
      </c>
      <c r="O2912">
        <v>-0.95947479999999996</v>
      </c>
      <c r="P2912">
        <v>-8.8733699999999999E-2</v>
      </c>
      <c r="Q2912">
        <v>0.1759821</v>
      </c>
      <c r="R2912">
        <v>-0.98038639999999999</v>
      </c>
      <c r="S2912">
        <v>-0.21112059999999999</v>
      </c>
      <c r="T2912">
        <v>-7.0794579999999996E-2</v>
      </c>
      <c r="U2912">
        <v>-3.0546259999999998</v>
      </c>
      <c r="V2912">
        <v>-0.19354279999999999</v>
      </c>
      <c r="W2912">
        <v>0.18675120000000001</v>
      </c>
      <c r="X2912">
        <v>0.96315379999999995</v>
      </c>
      <c r="Y2912">
        <v>-0.21458279999999999</v>
      </c>
      <c r="Z2912">
        <v>7.54863199999999E-3</v>
      </c>
      <c r="AA2912">
        <v>0.97667660000000001</v>
      </c>
      <c r="AB2912">
        <v>25</v>
      </c>
      <c r="AC2912">
        <v>-3.2757999999999998</v>
      </c>
      <c r="AD2912">
        <v>-1.11629434610899</v>
      </c>
      <c r="AE2912">
        <v>-47.961799999999897</v>
      </c>
      <c r="AF2912">
        <v>-10.3509272506214</v>
      </c>
      <c r="AG2912">
        <v>-1.11629434610899</v>
      </c>
      <c r="AH2912">
        <v>46.919433266408298</v>
      </c>
      <c r="AI2912">
        <v>91.330917848425997</v>
      </c>
      <c r="AJ2912">
        <v>102.440787364885</v>
      </c>
      <c r="AK2912">
        <v>48.060597437565697</v>
      </c>
      <c r="AL2912">
        <v>79.2367520468853</v>
      </c>
      <c r="AM2912">
        <v>101.36209136370201</v>
      </c>
      <c r="AN2912">
        <v>1.00000003429385</v>
      </c>
    </row>
    <row r="2913" spans="1:40" x14ac:dyDescent="0.25">
      <c r="A2913" t="str">
        <f>"20190304155649876"</f>
        <v>20190304155649876</v>
      </c>
      <c r="B2913" t="str">
        <f>"1551686209866956"</f>
        <v>1551686209866956</v>
      </c>
      <c r="C2913" t="s">
        <v>40</v>
      </c>
      <c r="D2913">
        <v>4.4030699999999996</v>
      </c>
      <c r="E2913">
        <v>0.48927549999999997</v>
      </c>
      <c r="F2913" t="s">
        <v>53</v>
      </c>
      <c r="G2913">
        <v>-494.33620000000002</v>
      </c>
      <c r="H2913" s="1">
        <v>3.8541089999999997E-6</v>
      </c>
      <c r="I2913">
        <v>223.44499999999999</v>
      </c>
      <c r="J2913">
        <v>-491.63959999999997</v>
      </c>
      <c r="K2913">
        <v>1.116271</v>
      </c>
      <c r="L2913">
        <v>267.0369</v>
      </c>
      <c r="M2913">
        <v>-0.27261649999999998</v>
      </c>
      <c r="N2913">
        <v>-1.3911629999999999E-2</v>
      </c>
      <c r="O2913">
        <v>-0.96202240000000006</v>
      </c>
      <c r="P2913">
        <v>-8.1016989999999997E-2</v>
      </c>
      <c r="Q2913">
        <v>0.1755736</v>
      </c>
      <c r="R2913">
        <v>-0.98112710000000003</v>
      </c>
      <c r="S2913">
        <v>-0.1923523</v>
      </c>
      <c r="T2913">
        <v>-7.7826980000000004E-2</v>
      </c>
      <c r="U2913">
        <v>-3.0565799999999999</v>
      </c>
      <c r="V2913">
        <v>-0.19227730000000001</v>
      </c>
      <c r="W2913">
        <v>0.18622040000000001</v>
      </c>
      <c r="X2913">
        <v>0.96350990000000003</v>
      </c>
      <c r="Y2913">
        <v>-0.21162120000000001</v>
      </c>
      <c r="Z2913">
        <v>9.9115599999999998E-3</v>
      </c>
      <c r="AA2913">
        <v>0.97730150000000005</v>
      </c>
      <c r="AB2913">
        <v>25</v>
      </c>
      <c r="AC2913">
        <v>-2.6966000000000401</v>
      </c>
      <c r="AD2913">
        <v>-1.1162671458910001</v>
      </c>
      <c r="AE2913">
        <v>-43.591900000000003</v>
      </c>
      <c r="AF2913">
        <v>-9.2845139433667807</v>
      </c>
      <c r="AG2913">
        <v>-1.1162671458910001</v>
      </c>
      <c r="AH2913">
        <v>42.647784620936001</v>
      </c>
      <c r="AI2913">
        <v>91.465023363488299</v>
      </c>
      <c r="AJ2913">
        <v>102.28177847544499</v>
      </c>
      <c r="AK2913">
        <v>43.660986985858599</v>
      </c>
      <c r="AL2913">
        <v>79.267706899980695</v>
      </c>
      <c r="AM2913">
        <v>101.28564783189699</v>
      </c>
      <c r="AN2913">
        <v>0.999999962434729</v>
      </c>
    </row>
    <row r="2914" spans="1:40" x14ac:dyDescent="0.25">
      <c r="A2914" t="str">
        <f>"20190304155649891"</f>
        <v>20190304155649891</v>
      </c>
      <c r="B2914" t="str">
        <f>"1551686209887451"</f>
        <v>1551686209887451</v>
      </c>
      <c r="C2914" t="s">
        <v>40</v>
      </c>
      <c r="D2914">
        <v>4.4376030000000002</v>
      </c>
      <c r="E2914">
        <v>0.4897997</v>
      </c>
      <c r="F2914" t="s">
        <v>53</v>
      </c>
      <c r="G2914">
        <v>-493.99200000000002</v>
      </c>
      <c r="H2914" s="1">
        <v>4.4145980000000004E-6</v>
      </c>
      <c r="I2914">
        <v>225.3433</v>
      </c>
      <c r="J2914">
        <v>-491.67660000000001</v>
      </c>
      <c r="K2914">
        <v>1.116255</v>
      </c>
      <c r="L2914">
        <v>266.88510000000002</v>
      </c>
      <c r="M2914">
        <v>-0.26723809999999998</v>
      </c>
      <c r="N2914">
        <v>-1.3820249999999999E-2</v>
      </c>
      <c r="O2914">
        <v>-0.96353140000000004</v>
      </c>
      <c r="P2914">
        <v>-7.5858869999999995E-2</v>
      </c>
      <c r="Q2914">
        <v>0.17557020000000001</v>
      </c>
      <c r="R2914">
        <v>-0.98153970000000001</v>
      </c>
      <c r="S2914">
        <v>-0.17254639999999999</v>
      </c>
      <c r="T2914">
        <v>-8.1874970000000005E-2</v>
      </c>
      <c r="U2914">
        <v>-3.0581049999999999</v>
      </c>
      <c r="V2914">
        <v>-0.19195509999999999</v>
      </c>
      <c r="W2914">
        <v>0.1861361</v>
      </c>
      <c r="X2914">
        <v>0.96359039999999996</v>
      </c>
      <c r="Y2914">
        <v>-0.21249779999999999</v>
      </c>
      <c r="Z2914">
        <v>1.126945E-2</v>
      </c>
      <c r="AA2914">
        <v>0.97709659999999998</v>
      </c>
      <c r="AB2914">
        <v>25</v>
      </c>
      <c r="AC2914">
        <v>-2.3153999999999502</v>
      </c>
      <c r="AD2914">
        <v>-1.116250585402</v>
      </c>
      <c r="AE2914">
        <v>-41.541800000000002</v>
      </c>
      <c r="AF2914">
        <v>-8.8650575571938894</v>
      </c>
      <c r="AG2914">
        <v>-1.116250585402</v>
      </c>
      <c r="AH2914">
        <v>40.620236781639498</v>
      </c>
      <c r="AI2914">
        <v>91.537919679253207</v>
      </c>
      <c r="AJ2914">
        <v>102.311328583983</v>
      </c>
      <c r="AK2914">
        <v>41.591331994277702</v>
      </c>
      <c r="AL2914">
        <v>79.272622572084899</v>
      </c>
      <c r="AM2914">
        <v>101.266303396144</v>
      </c>
      <c r="AN2914">
        <v>0.99999993355568695</v>
      </c>
    </row>
    <row r="2915" spans="1:40" x14ac:dyDescent="0.25">
      <c r="A2915" t="str">
        <f>"20190304155649908"</f>
        <v>20190304155649908</v>
      </c>
      <c r="B2915" t="str">
        <f>"1551686209897212"</f>
        <v>1551686209897212</v>
      </c>
      <c r="C2915" t="s">
        <v>40</v>
      </c>
      <c r="D2915">
        <v>4.4508660000000004</v>
      </c>
      <c r="E2915">
        <v>0.4897997</v>
      </c>
      <c r="F2915" t="s">
        <v>53</v>
      </c>
      <c r="G2915">
        <v>-493.77429999999998</v>
      </c>
      <c r="H2915" s="1">
        <v>4.9306419999999997E-6</v>
      </c>
      <c r="I2915">
        <v>226.85319999999999</v>
      </c>
      <c r="J2915">
        <v>-491.72329999999999</v>
      </c>
      <c r="K2915">
        <v>1.116244</v>
      </c>
      <c r="L2915">
        <v>266.68740000000003</v>
      </c>
      <c r="M2915">
        <v>-0.26023180000000001</v>
      </c>
      <c r="N2915">
        <v>-1.370436E-2</v>
      </c>
      <c r="O2915">
        <v>-0.96544909999999995</v>
      </c>
      <c r="P2915">
        <v>-6.9297769999999995E-2</v>
      </c>
      <c r="Q2915">
        <v>0.1755418</v>
      </c>
      <c r="R2915">
        <v>-0.98203030000000002</v>
      </c>
      <c r="S2915">
        <v>-0.1603088</v>
      </c>
      <c r="T2915">
        <v>-8.5305569999999997E-2</v>
      </c>
      <c r="U2915">
        <v>-3.0592959999999998</v>
      </c>
      <c r="V2915">
        <v>-0.19139100000000001</v>
      </c>
      <c r="W2915">
        <v>0.18600720000000001</v>
      </c>
      <c r="X2915">
        <v>0.96372749999999996</v>
      </c>
      <c r="Y2915">
        <v>-0.2093169</v>
      </c>
      <c r="Z2915">
        <v>1.250244E-2</v>
      </c>
      <c r="AA2915">
        <v>0.97776790000000002</v>
      </c>
      <c r="AB2915">
        <v>25</v>
      </c>
      <c r="AC2915">
        <v>-2.0509999999999802</v>
      </c>
      <c r="AD2915">
        <v>-1.116239069358</v>
      </c>
      <c r="AE2915">
        <v>-39.834200000000003</v>
      </c>
      <c r="AF2915">
        <v>-8.3802124560086604</v>
      </c>
      <c r="AG2915">
        <v>-1.116239069358</v>
      </c>
      <c r="AH2915">
        <v>38.964767096687503</v>
      </c>
      <c r="AI2915">
        <v>91.604262089629998</v>
      </c>
      <c r="AJ2915">
        <v>102.13779793808</v>
      </c>
      <c r="AK2915">
        <v>39.871381031598403</v>
      </c>
      <c r="AL2915">
        <v>79.2801393798904</v>
      </c>
      <c r="AM2915">
        <v>101.232480732898</v>
      </c>
      <c r="AN2915">
        <v>0.99999994379454304</v>
      </c>
    </row>
    <row r="2916" spans="1:40" x14ac:dyDescent="0.25">
      <c r="A2916" t="str">
        <f>"20190304155649921"</f>
        <v>20190304155649921</v>
      </c>
      <c r="B2916" t="str">
        <f>"1551686209917708"</f>
        <v>1551686209917708</v>
      </c>
      <c r="C2916" t="s">
        <v>40</v>
      </c>
      <c r="D2916">
        <v>4.4476519999999997</v>
      </c>
      <c r="E2916">
        <v>0.49779889999999999</v>
      </c>
      <c r="F2916" t="s">
        <v>53</v>
      </c>
      <c r="G2916">
        <v>-493.55329999999998</v>
      </c>
      <c r="H2916" s="1">
        <v>4.9291970000000003E-6</v>
      </c>
      <c r="I2916">
        <v>226.69040000000001</v>
      </c>
      <c r="J2916">
        <v>-491.75369999999998</v>
      </c>
      <c r="K2916">
        <v>1.1162399999999999</v>
      </c>
      <c r="L2916">
        <v>266.5539</v>
      </c>
      <c r="M2916">
        <v>-0.25549810000000001</v>
      </c>
      <c r="N2916">
        <v>-1.362652E-2</v>
      </c>
      <c r="O2916">
        <v>-0.96671370000000001</v>
      </c>
      <c r="P2916">
        <v>-6.4626710000000004E-2</v>
      </c>
      <c r="Q2916">
        <v>0.17594799999999999</v>
      </c>
      <c r="R2916">
        <v>-0.98227569999999997</v>
      </c>
      <c r="S2916">
        <v>-0.14001459999999999</v>
      </c>
      <c r="T2916">
        <v>-8.5405350000000005E-2</v>
      </c>
      <c r="U2916">
        <v>-3.0602420000000001</v>
      </c>
      <c r="V2916">
        <v>-0.19123770000000001</v>
      </c>
      <c r="W2916">
        <v>0.1863399</v>
      </c>
      <c r="X2916">
        <v>0.96369369999999999</v>
      </c>
      <c r="Y2916">
        <v>-0.21100930000000001</v>
      </c>
      <c r="Z2916">
        <v>1.2640190000000001E-2</v>
      </c>
      <c r="AA2916">
        <v>0.97740229999999995</v>
      </c>
      <c r="AB2916">
        <v>25</v>
      </c>
      <c r="AC2916">
        <v>-1.7995999999999901</v>
      </c>
      <c r="AD2916">
        <v>-1.116235070803</v>
      </c>
      <c r="AE2916">
        <v>-39.863499999999902</v>
      </c>
      <c r="AF2916">
        <v>-8.4395294782057402</v>
      </c>
      <c r="AG2916">
        <v>-1.116235070803</v>
      </c>
      <c r="AH2916">
        <v>38.969507245625003</v>
      </c>
      <c r="AI2916">
        <v>91.603566804472507</v>
      </c>
      <c r="AJ2916">
        <v>102.219696511336</v>
      </c>
      <c r="AK2916">
        <v>39.888521325233597</v>
      </c>
      <c r="AL2916">
        <v>79.260738287163406</v>
      </c>
      <c r="AM2916">
        <v>101.22409591085101</v>
      </c>
      <c r="AN2916">
        <v>0.99999998182649397</v>
      </c>
    </row>
    <row r="2917" spans="1:40" x14ac:dyDescent="0.25">
      <c r="A2917" t="str">
        <f>"20190304155649934"</f>
        <v>20190304155649934</v>
      </c>
      <c r="B2917" t="str">
        <f>"1551686209927468"</f>
        <v>1551686209927468</v>
      </c>
      <c r="C2917" t="s">
        <v>40</v>
      </c>
      <c r="D2917">
        <v>4.4353879999999997</v>
      </c>
      <c r="E2917">
        <v>0.49862430000000002</v>
      </c>
      <c r="F2917" t="s">
        <v>41</v>
      </c>
      <c r="G2917">
        <v>-494.01389999999998</v>
      </c>
      <c r="H2917" s="1">
        <v>-1.242416E-6</v>
      </c>
      <c r="I2917">
        <v>229.9957</v>
      </c>
      <c r="J2917">
        <v>-491.78530000000001</v>
      </c>
      <c r="K2917">
        <v>1.1162350000000001</v>
      </c>
      <c r="L2917">
        <v>266.4135</v>
      </c>
      <c r="M2917">
        <v>-0.2505155</v>
      </c>
      <c r="N2917">
        <v>-1.3544769999999999E-2</v>
      </c>
      <c r="O2917">
        <v>-0.96801780000000004</v>
      </c>
      <c r="P2917">
        <v>-5.9834169999999999E-2</v>
      </c>
      <c r="Q2917">
        <v>0.17657419999999999</v>
      </c>
      <c r="R2917">
        <v>-0.98246710000000004</v>
      </c>
      <c r="S2917">
        <v>-0.1890869</v>
      </c>
      <c r="T2917">
        <v>-9.3384149999999999E-2</v>
      </c>
      <c r="U2917">
        <v>-3.0584410000000002</v>
      </c>
      <c r="V2917">
        <v>-0.1909545</v>
      </c>
      <c r="W2917">
        <v>0.18689030000000001</v>
      </c>
      <c r="X2917">
        <v>0.96364329999999998</v>
      </c>
      <c r="Y2917">
        <v>-0.19027140000000001</v>
      </c>
      <c r="Z2917">
        <v>1.532172E-2</v>
      </c>
      <c r="AA2917">
        <v>0.98161200000000004</v>
      </c>
      <c r="AB2917">
        <v>25</v>
      </c>
      <c r="AC2917">
        <v>-2.2285999999999699</v>
      </c>
      <c r="AD2917">
        <v>-1.1162362424159999</v>
      </c>
      <c r="AE2917">
        <v>-36.4178</v>
      </c>
      <c r="AF2917">
        <v>-6.96002382977621</v>
      </c>
      <c r="AG2917">
        <v>-1.1162362424159999</v>
      </c>
      <c r="AH2917">
        <v>35.781173969501197</v>
      </c>
      <c r="AI2917">
        <v>91.753977337483093</v>
      </c>
      <c r="AJ2917">
        <v>101.007511316617</v>
      </c>
      <c r="AK2917">
        <v>36.468895317731302</v>
      </c>
      <c r="AL2917">
        <v>79.2286390802509</v>
      </c>
      <c r="AM2917">
        <v>101.208466808427</v>
      </c>
      <c r="AN2917">
        <v>1.00000000746961</v>
      </c>
    </row>
    <row r="2918" spans="1:40" x14ac:dyDescent="0.25">
      <c r="A2918" t="str">
        <f>"20190304155649946"</f>
        <v>20190304155649946</v>
      </c>
      <c r="B2918" t="str">
        <f>"1551686209937228"</f>
        <v>1551686209937228</v>
      </c>
      <c r="C2918" t="s">
        <v>40</v>
      </c>
      <c r="D2918">
        <v>4.4522120000000003</v>
      </c>
      <c r="E2918">
        <v>0.49925619999999998</v>
      </c>
      <c r="F2918" t="s">
        <v>53</v>
      </c>
      <c r="G2918">
        <v>-494.06939999999997</v>
      </c>
      <c r="H2918" s="1">
        <v>5.1310880000000004E-6</v>
      </c>
      <c r="I2918">
        <v>227.77209999999999</v>
      </c>
      <c r="J2918">
        <v>-491.81450000000001</v>
      </c>
      <c r="K2918">
        <v>1.1162319999999999</v>
      </c>
      <c r="L2918">
        <v>266.28050000000002</v>
      </c>
      <c r="M2918">
        <v>-0.24579770000000001</v>
      </c>
      <c r="N2918">
        <v>-1.346754E-2</v>
      </c>
      <c r="O2918">
        <v>-0.96922779999999997</v>
      </c>
      <c r="P2918">
        <v>-5.5206390000000001E-2</v>
      </c>
      <c r="Q2918">
        <v>0.1769086</v>
      </c>
      <c r="R2918">
        <v>-0.98267789999999999</v>
      </c>
      <c r="S2918">
        <v>-0.18078610000000001</v>
      </c>
      <c r="T2918">
        <v>-8.8348869999999996E-2</v>
      </c>
      <c r="U2918">
        <v>-3.0584410000000002</v>
      </c>
      <c r="V2918">
        <v>-0.19078819999999999</v>
      </c>
      <c r="W2918">
        <v>0.18715119999999999</v>
      </c>
      <c r="X2918">
        <v>0.96362559999999997</v>
      </c>
      <c r="Y2918">
        <v>-0.18814539999999999</v>
      </c>
      <c r="Z2918">
        <v>1.3902090000000001E-2</v>
      </c>
      <c r="AA2918">
        <v>0.98204279999999999</v>
      </c>
      <c r="AB2918">
        <v>25</v>
      </c>
      <c r="AC2918">
        <v>-2.2548999999999602</v>
      </c>
      <c r="AD2918">
        <v>-1.1162268689119901</v>
      </c>
      <c r="AE2918">
        <v>-38.508400000000002</v>
      </c>
      <c r="AF2918">
        <v>-7.2743319880597701</v>
      </c>
      <c r="AG2918">
        <v>-1.1162268689119901</v>
      </c>
      <c r="AH2918">
        <v>37.849395507507701</v>
      </c>
      <c r="AI2918">
        <v>91.658893378593604</v>
      </c>
      <c r="AJ2918">
        <v>100.879106851502</v>
      </c>
      <c r="AK2918">
        <v>38.5582495528406</v>
      </c>
      <c r="AL2918">
        <v>79.213422073535199</v>
      </c>
      <c r="AM2918">
        <v>101.199152817769</v>
      </c>
      <c r="AN2918">
        <v>1.0000000029480101</v>
      </c>
    </row>
    <row r="2919" spans="1:40" x14ac:dyDescent="0.25">
      <c r="A2919" t="str">
        <f>"20190304155649964"</f>
        <v>20190304155649964</v>
      </c>
      <c r="B2919" t="str">
        <f>"1551686209957727"</f>
        <v>1551686209957727</v>
      </c>
      <c r="C2919" t="s">
        <v>40</v>
      </c>
      <c r="D2919">
        <v>4.3460570000000001</v>
      </c>
      <c r="E2919">
        <v>0.49997190000000002</v>
      </c>
      <c r="F2919" t="s">
        <v>53</v>
      </c>
      <c r="G2919">
        <v>-494.01440000000002</v>
      </c>
      <c r="H2919" s="1">
        <v>4.8951940000000004E-6</v>
      </c>
      <c r="I2919">
        <v>226.91069999999999</v>
      </c>
      <c r="J2919">
        <v>-491.85550000000001</v>
      </c>
      <c r="K2919">
        <v>1.1162270000000001</v>
      </c>
      <c r="L2919">
        <v>266.08769999999998</v>
      </c>
      <c r="M2919">
        <v>-0.2389646</v>
      </c>
      <c r="N2919">
        <v>-1.335948E-2</v>
      </c>
      <c r="O2919">
        <v>-0.97093640000000003</v>
      </c>
      <c r="P2919">
        <v>-4.873566E-2</v>
      </c>
      <c r="Q2919">
        <v>0.1772619</v>
      </c>
      <c r="R2919">
        <v>-0.98295619999999995</v>
      </c>
      <c r="S2919">
        <v>-0.170929</v>
      </c>
      <c r="T2919">
        <v>-8.6727020000000002E-2</v>
      </c>
      <c r="U2919">
        <v>-3.0588989999999998</v>
      </c>
      <c r="V2919">
        <v>-0.19033349999999999</v>
      </c>
      <c r="W2919">
        <v>0.18740599999999999</v>
      </c>
      <c r="X2919">
        <v>0.96366600000000002</v>
      </c>
      <c r="Y2919">
        <v>-0.18439079999999999</v>
      </c>
      <c r="Z2919">
        <v>1.358171E-2</v>
      </c>
      <c r="AA2919">
        <v>0.98275919999999894</v>
      </c>
      <c r="AB2919">
        <v>25</v>
      </c>
      <c r="AC2919">
        <v>-2.1589000000000098</v>
      </c>
      <c r="AD2919">
        <v>-1.1162221048059999</v>
      </c>
      <c r="AE2919">
        <v>-39.1769999999999</v>
      </c>
      <c r="AF2919">
        <v>-7.2605337120845697</v>
      </c>
      <c r="AG2919">
        <v>-1.1162221048059999</v>
      </c>
      <c r="AH2919">
        <v>38.526535617981303</v>
      </c>
      <c r="AI2919">
        <v>91.630863803791996</v>
      </c>
      <c r="AJ2919">
        <v>100.672527437033</v>
      </c>
      <c r="AK2919">
        <v>39.220597245518299</v>
      </c>
      <c r="AL2919">
        <v>79.198560174912402</v>
      </c>
      <c r="AM2919">
        <v>101.172677875971</v>
      </c>
      <c r="AN2919">
        <v>1.00000000480712</v>
      </c>
    </row>
    <row r="2920" spans="1:40" x14ac:dyDescent="0.25">
      <c r="A2920" t="str">
        <f>"20190304155649977"</f>
        <v>20190304155649977</v>
      </c>
      <c r="B2920" t="str">
        <f>"1551686209967484"</f>
        <v>1551686209967484</v>
      </c>
      <c r="C2920" t="s">
        <v>40</v>
      </c>
      <c r="D2920">
        <v>4.4679719999999996</v>
      </c>
      <c r="E2920">
        <v>0.50134559999999995</v>
      </c>
      <c r="F2920" t="s">
        <v>53</v>
      </c>
      <c r="G2920">
        <v>-493.92059999999998</v>
      </c>
      <c r="H2920" s="1">
        <v>4.5647020000000002E-6</v>
      </c>
      <c r="I2920">
        <v>225.77670000000001</v>
      </c>
      <c r="J2920">
        <v>-491.88339999999999</v>
      </c>
      <c r="K2920">
        <v>1.11622</v>
      </c>
      <c r="L2920">
        <v>265.95240000000001</v>
      </c>
      <c r="M2920">
        <v>-0.23416699999999999</v>
      </c>
      <c r="N2920">
        <v>-1.3286070000000001E-2</v>
      </c>
      <c r="O2920">
        <v>-0.97210569999999996</v>
      </c>
      <c r="P2920">
        <v>-4.4112659999999998E-2</v>
      </c>
      <c r="Q2920">
        <v>0.17712120000000001</v>
      </c>
      <c r="R2920">
        <v>-0.98320039999999997</v>
      </c>
      <c r="S2920">
        <v>-0.156738299999999</v>
      </c>
      <c r="T2920">
        <v>-8.4720130000000005E-2</v>
      </c>
      <c r="U2920">
        <v>-3.0595699999999999</v>
      </c>
      <c r="V2920">
        <v>-0.19010959999999999</v>
      </c>
      <c r="W2920">
        <v>0.18719810000000001</v>
      </c>
      <c r="X2920">
        <v>0.96375060000000001</v>
      </c>
      <c r="Y2920">
        <v>-0.18409510000000001</v>
      </c>
      <c r="Z2920">
        <v>1.307088E-2</v>
      </c>
      <c r="AA2920">
        <v>0.98282150000000001</v>
      </c>
      <c r="AB2920">
        <v>25</v>
      </c>
      <c r="AC2920">
        <v>-2.0371999999999799</v>
      </c>
      <c r="AD2920">
        <v>-1.116215435298</v>
      </c>
      <c r="AE2920">
        <v>-40.175699999999999</v>
      </c>
      <c r="AF2920">
        <v>-7.4223895603280097</v>
      </c>
      <c r="AG2920">
        <v>-1.116215435298</v>
      </c>
      <c r="AH2920">
        <v>39.505141294108199</v>
      </c>
      <c r="AI2920">
        <v>91.590641251914803</v>
      </c>
      <c r="AJ2920">
        <v>100.640915988575</v>
      </c>
      <c r="AK2920">
        <v>40.211863825875</v>
      </c>
      <c r="AL2920">
        <v>79.210686565333503</v>
      </c>
      <c r="AM2920">
        <v>101.15890986327</v>
      </c>
      <c r="AN2920">
        <v>1.0000000038280601</v>
      </c>
    </row>
    <row r="2921" spans="1:40" x14ac:dyDescent="0.25">
      <c r="A2921" t="str">
        <f>"20190304155649988"</f>
        <v>20190304155649988</v>
      </c>
      <c r="B2921" t="str">
        <f>"1551686209977244"</f>
        <v>1551686209977244</v>
      </c>
      <c r="C2921" t="s">
        <v>40</v>
      </c>
      <c r="D2921">
        <v>4.4917530000000001</v>
      </c>
      <c r="E2921">
        <v>0.50143340000000003</v>
      </c>
      <c r="F2921" t="s">
        <v>53</v>
      </c>
      <c r="G2921">
        <v>-493.73989999999998</v>
      </c>
      <c r="H2921" s="1">
        <v>5.4703659999999997E-6</v>
      </c>
      <c r="I2921">
        <v>228.9101</v>
      </c>
      <c r="J2921">
        <v>-491.91219999999998</v>
      </c>
      <c r="K2921">
        <v>1.1162160000000001</v>
      </c>
      <c r="L2921">
        <v>265.81079999999997</v>
      </c>
      <c r="M2921">
        <v>-0.2291503</v>
      </c>
      <c r="N2921">
        <v>-1.3210879999999999E-2</v>
      </c>
      <c r="O2921">
        <v>-0.97330159999999999</v>
      </c>
      <c r="P2921">
        <v>-3.902125E-2</v>
      </c>
      <c r="Q2921">
        <v>0.1772744</v>
      </c>
      <c r="R2921">
        <v>-0.98338780000000003</v>
      </c>
      <c r="S2921">
        <v>-0.15341189999999999</v>
      </c>
      <c r="T2921">
        <v>-9.2238780000000006E-2</v>
      </c>
      <c r="U2921">
        <v>-3.0610050000000002</v>
      </c>
      <c r="V2921">
        <v>-0.19012409999999999</v>
      </c>
      <c r="W2921">
        <v>0.18727769999999999</v>
      </c>
      <c r="X2921">
        <v>0.96373220000000004</v>
      </c>
      <c r="Y2921">
        <v>-0.1801132</v>
      </c>
      <c r="Z2921">
        <v>1.552483E-2</v>
      </c>
      <c r="AA2921">
        <v>0.98352340000000005</v>
      </c>
      <c r="AB2921">
        <v>25</v>
      </c>
      <c r="AC2921">
        <v>-1.8276999999999901</v>
      </c>
      <c r="AD2921">
        <v>-1.1162105296339999</v>
      </c>
      <c r="AE2921">
        <v>-36.900699999999901</v>
      </c>
      <c r="AF2921">
        <v>-6.6713951447615401</v>
      </c>
      <c r="AG2921">
        <v>-1.1162105296339999</v>
      </c>
      <c r="AH2921">
        <v>36.304354976700303</v>
      </c>
      <c r="AI2921">
        <v>91.732072166588793</v>
      </c>
      <c r="AJ2921">
        <v>100.41267043871299</v>
      </c>
      <c r="AK2921">
        <v>36.929116282389899</v>
      </c>
      <c r="AL2921">
        <v>79.206042923938995</v>
      </c>
      <c r="AM2921">
        <v>101.159947329665</v>
      </c>
      <c r="AN2921">
        <v>0.99999993181746705</v>
      </c>
    </row>
    <row r="2922" spans="1:40" x14ac:dyDescent="0.25">
      <c r="A2922" t="str">
        <f>"20190304155650001"</f>
        <v>20190304155650001</v>
      </c>
      <c r="B2922" t="str">
        <f>"1551686209997740"</f>
        <v>1551686209997740</v>
      </c>
      <c r="C2922" t="s">
        <v>40</v>
      </c>
      <c r="D2922">
        <v>4.4617339999999999</v>
      </c>
      <c r="E2922">
        <v>0.50253000000000003</v>
      </c>
      <c r="F2922" t="s">
        <v>53</v>
      </c>
      <c r="G2922">
        <v>-493.59820000000002</v>
      </c>
      <c r="H2922" s="1">
        <v>5.4397690000000002E-6</v>
      </c>
      <c r="I2922">
        <v>228.6011</v>
      </c>
      <c r="J2922">
        <v>-491.93610000000001</v>
      </c>
      <c r="K2922">
        <v>1.1162099999999999</v>
      </c>
      <c r="L2922">
        <v>265.68770000000001</v>
      </c>
      <c r="M2922">
        <v>-0.22479569999999999</v>
      </c>
      <c r="N2922">
        <v>-1.314913E-2</v>
      </c>
      <c r="O2922">
        <v>-0.97431730000000005</v>
      </c>
      <c r="P2922">
        <v>-3.5213510000000003E-2</v>
      </c>
      <c r="Q2922">
        <v>0.17757979999999901</v>
      </c>
      <c r="R2922">
        <v>-0.98347629999999997</v>
      </c>
      <c r="S2922">
        <v>-0.13873289999999999</v>
      </c>
      <c r="T2922">
        <v>-9.184647E-2</v>
      </c>
      <c r="U2922">
        <v>-3.0617679999999998</v>
      </c>
      <c r="V2922">
        <v>-0.18953510000000001</v>
      </c>
      <c r="W2922">
        <v>0.18753339999999999</v>
      </c>
      <c r="X2922">
        <v>0.9637985</v>
      </c>
      <c r="Y2922">
        <v>-0.18043149999999999</v>
      </c>
      <c r="Z2922">
        <v>1.5496350000000001E-2</v>
      </c>
      <c r="AA2922">
        <v>0.98346549999999999</v>
      </c>
      <c r="AB2922">
        <v>25</v>
      </c>
      <c r="AC2922">
        <v>-1.6620999999999999</v>
      </c>
      <c r="AD2922">
        <v>-1.116204560231</v>
      </c>
      <c r="AE2922">
        <v>-37.086599999999997</v>
      </c>
      <c r="AF2922">
        <v>-6.7120076816615297</v>
      </c>
      <c r="AG2922">
        <v>-1.116204560231</v>
      </c>
      <c r="AH2922">
        <v>36.477924537505203</v>
      </c>
      <c r="AI2922">
        <v>91.723753153984603</v>
      </c>
      <c r="AJ2922">
        <v>100.425914215932</v>
      </c>
      <c r="AK2922">
        <v>37.107087440311098</v>
      </c>
      <c r="AL2922">
        <v>79.191128224490001</v>
      </c>
      <c r="AM2922">
        <v>101.125491709</v>
      </c>
      <c r="AN2922">
        <v>0.99999993942490795</v>
      </c>
    </row>
    <row r="2923" spans="1:40" x14ac:dyDescent="0.25">
      <c r="A2923" t="str">
        <f>"20190304155650024"</f>
        <v>20190304155650024</v>
      </c>
      <c r="B2923" t="str">
        <f>"1551686210017260"</f>
        <v>1551686210017260</v>
      </c>
      <c r="C2923" t="s">
        <v>40</v>
      </c>
      <c r="D2923">
        <v>4.462599</v>
      </c>
      <c r="E2923">
        <v>0.50444599999999995</v>
      </c>
      <c r="F2923" t="s">
        <v>53</v>
      </c>
      <c r="G2923">
        <v>-493.61750000000001</v>
      </c>
      <c r="H2923" s="1">
        <v>5.2178689999999998E-6</v>
      </c>
      <c r="I2923">
        <v>227.66820000000001</v>
      </c>
      <c r="J2923">
        <v>-491.9828</v>
      </c>
      <c r="K2923">
        <v>1.116188</v>
      </c>
      <c r="L2923">
        <v>265.44170000000003</v>
      </c>
      <c r="M2923">
        <v>-0.21609909999999999</v>
      </c>
      <c r="N2923">
        <v>-1.303147E-2</v>
      </c>
      <c r="O2923">
        <v>-0.97628459999999995</v>
      </c>
      <c r="P2923">
        <v>-2.7255890000000001E-2</v>
      </c>
      <c r="Q2923">
        <v>0.17773949999999999</v>
      </c>
      <c r="R2923">
        <v>-0.98370009999999997</v>
      </c>
      <c r="S2923">
        <v>-0.13540650000000001</v>
      </c>
      <c r="T2923">
        <v>-8.9889529999999995E-2</v>
      </c>
      <c r="U2923">
        <v>-3.0617679999999998</v>
      </c>
      <c r="V2923">
        <v>-0.1887276</v>
      </c>
      <c r="W2923">
        <v>0.1875957</v>
      </c>
      <c r="X2923">
        <v>0.96394489999999999</v>
      </c>
      <c r="Y2923">
        <v>-0.17272509999999999</v>
      </c>
      <c r="Z2923">
        <v>1.5107880000000001E-2</v>
      </c>
      <c r="AA2923">
        <v>0.98485420000000001</v>
      </c>
      <c r="AB2923">
        <v>25</v>
      </c>
      <c r="AC2923">
        <v>-1.6347</v>
      </c>
      <c r="AD2923">
        <v>-1.116182782131</v>
      </c>
      <c r="AE2923">
        <v>-37.773499999999999</v>
      </c>
      <c r="AF2923">
        <v>-6.5617249692640804</v>
      </c>
      <c r="AG2923">
        <v>-1.116182782131</v>
      </c>
      <c r="AH2923">
        <v>37.201677884379997</v>
      </c>
      <c r="AI2923">
        <v>91.692452227607305</v>
      </c>
      <c r="AJ2923">
        <v>100.003085101878</v>
      </c>
      <c r="AK2923">
        <v>37.792419028008197</v>
      </c>
      <c r="AL2923">
        <v>79.187494995177801</v>
      </c>
      <c r="AM2923">
        <v>101.077626510787</v>
      </c>
      <c r="AN2923">
        <v>1.00000001194813</v>
      </c>
    </row>
    <row r="2924" spans="1:40" x14ac:dyDescent="0.25">
      <c r="A2924" t="str">
        <f>"20190304155650036"</f>
        <v>20190304155650036</v>
      </c>
      <c r="B2924" t="str">
        <f>"1551686210027995"</f>
        <v>1551686210027995</v>
      </c>
      <c r="C2924" t="s">
        <v>40</v>
      </c>
      <c r="D2924">
        <v>4.4638030000000004</v>
      </c>
      <c r="E2924">
        <v>0.50530509999999995</v>
      </c>
      <c r="F2924" t="s">
        <v>53</v>
      </c>
      <c r="G2924">
        <v>-493.61160000000001</v>
      </c>
      <c r="H2924" s="1">
        <v>4.600605E-6</v>
      </c>
      <c r="I2924">
        <v>225.67140000000001</v>
      </c>
      <c r="J2924">
        <v>-492.0086</v>
      </c>
      <c r="K2924">
        <v>1.1161760000000001</v>
      </c>
      <c r="L2924">
        <v>265.30020000000002</v>
      </c>
      <c r="M2924">
        <v>-0.21110570000000001</v>
      </c>
      <c r="N2924">
        <v>-1.2969049999999999E-2</v>
      </c>
      <c r="O2924">
        <v>-0.97737739999999995</v>
      </c>
      <c r="P2924">
        <v>-2.2605360000000001E-2</v>
      </c>
      <c r="Q2924">
        <v>0.17782779999999901</v>
      </c>
      <c r="R2924">
        <v>-0.98380199999999995</v>
      </c>
      <c r="S2924">
        <v>-0.1253967</v>
      </c>
      <c r="T2924">
        <v>-8.5930820000000005E-2</v>
      </c>
      <c r="U2924">
        <v>-3.0617679999999998</v>
      </c>
      <c r="V2924">
        <v>-0.18835070000000001</v>
      </c>
      <c r="W2924">
        <v>0.18763270000000001</v>
      </c>
      <c r="X2924">
        <v>0.96401139999999996</v>
      </c>
      <c r="Y2924">
        <v>-0.17090529999999901</v>
      </c>
      <c r="Z2924">
        <v>1.3980319999999999E-2</v>
      </c>
      <c r="AA2924">
        <v>0.98518830000000002</v>
      </c>
      <c r="AB2924">
        <v>25</v>
      </c>
      <c r="AC2924">
        <v>-1.603</v>
      </c>
      <c r="AD2924">
        <v>-1.116171399395</v>
      </c>
      <c r="AE2924">
        <v>-39.628799999999998</v>
      </c>
      <c r="AF2924">
        <v>-6.7943189562771797</v>
      </c>
      <c r="AG2924">
        <v>-1.116171399395</v>
      </c>
      <c r="AH2924">
        <v>39.043051983631997</v>
      </c>
      <c r="AI2924">
        <v>91.613305517996096</v>
      </c>
      <c r="AJ2924">
        <v>99.871822100396699</v>
      </c>
      <c r="AK2924">
        <v>39.645535900893599</v>
      </c>
      <c r="AL2924">
        <v>79.185336571859494</v>
      </c>
      <c r="AM2924">
        <v>101.055305572286</v>
      </c>
      <c r="AN2924">
        <v>0.99999999781486903</v>
      </c>
    </row>
    <row r="2925" spans="1:40" x14ac:dyDescent="0.25">
      <c r="A2925" t="str">
        <f>"20190304155650055"</f>
        <v>20190304155650055</v>
      </c>
      <c r="B2925" t="str">
        <f>"1551686210047516"</f>
        <v>1551686210047516</v>
      </c>
      <c r="C2925" t="s">
        <v>40</v>
      </c>
      <c r="D2925">
        <v>4.5045479999999998</v>
      </c>
      <c r="E2925">
        <v>0.50703889999999996</v>
      </c>
      <c r="F2925" t="s">
        <v>53</v>
      </c>
      <c r="G2925">
        <v>-493.57859999999999</v>
      </c>
      <c r="H2925" s="1">
        <v>4.2792849999999996E-6</v>
      </c>
      <c r="I2925">
        <v>224.60830000000001</v>
      </c>
      <c r="J2925">
        <v>-492.04430000000002</v>
      </c>
      <c r="K2925">
        <v>1.116155</v>
      </c>
      <c r="L2925">
        <v>265.09800000000001</v>
      </c>
      <c r="M2925">
        <v>-0.20398820000000001</v>
      </c>
      <c r="N2925">
        <v>-1.288509E-2</v>
      </c>
      <c r="O2925">
        <v>-0.9788886</v>
      </c>
      <c r="P2925">
        <v>-1.6260279999999998E-2</v>
      </c>
      <c r="Q2925">
        <v>0.17761189999999999</v>
      </c>
      <c r="R2925">
        <v>-0.98396640000000002</v>
      </c>
      <c r="S2925">
        <v>-0.1181335</v>
      </c>
      <c r="T2925">
        <v>-8.3985450000000003E-2</v>
      </c>
      <c r="U2925">
        <v>-3.0618289999999999</v>
      </c>
      <c r="V2925">
        <v>-0.18754899999999999</v>
      </c>
      <c r="W2925">
        <v>0.18735550000000001</v>
      </c>
      <c r="X2925">
        <v>0.96422160000000001</v>
      </c>
      <c r="Y2925">
        <v>-0.16606989999999999</v>
      </c>
      <c r="Z2925">
        <v>1.352429E-2</v>
      </c>
      <c r="AA2925">
        <v>0.98602120000000004</v>
      </c>
      <c r="AB2925">
        <v>25</v>
      </c>
      <c r="AC2925">
        <v>-1.53429999999997</v>
      </c>
      <c r="AD2925">
        <v>-1.1161507207150001</v>
      </c>
      <c r="AE2925">
        <v>-40.489699999999999</v>
      </c>
      <c r="AF2925">
        <v>-6.7529487166183397</v>
      </c>
      <c r="AG2925">
        <v>-1.1161507207150001</v>
      </c>
      <c r="AH2925">
        <v>39.920906984223897</v>
      </c>
      <c r="AI2925">
        <v>91.579096885023006</v>
      </c>
      <c r="AJ2925">
        <v>99.601161887947697</v>
      </c>
      <c r="AK2925">
        <v>40.5034186611907</v>
      </c>
      <c r="AL2925">
        <v>79.201505759404398</v>
      </c>
      <c r="AM2925">
        <v>101.007060205868</v>
      </c>
      <c r="AN2925">
        <v>1.0000000023439</v>
      </c>
    </row>
    <row r="2926" spans="1:40" x14ac:dyDescent="0.25">
      <c r="A2926" t="str">
        <f>"20190304155650078"</f>
        <v>20190304155650078</v>
      </c>
      <c r="B2926" t="str">
        <f>"1551686210068012"</f>
        <v>1551686210068012</v>
      </c>
      <c r="C2926" t="s">
        <v>40</v>
      </c>
      <c r="D2926">
        <v>4.5126039999999996</v>
      </c>
      <c r="E2926">
        <v>0.50793959999999905</v>
      </c>
      <c r="F2926" t="s">
        <v>53</v>
      </c>
      <c r="G2926">
        <v>-493.57569999999998</v>
      </c>
      <c r="H2926" s="1">
        <v>3.998532E-6</v>
      </c>
      <c r="I2926">
        <v>223.3355</v>
      </c>
      <c r="J2926">
        <v>-492.0872</v>
      </c>
      <c r="K2926">
        <v>1.116128</v>
      </c>
      <c r="L2926">
        <v>264.84199999999998</v>
      </c>
      <c r="M2926">
        <v>-0.19500290000000001</v>
      </c>
      <c r="N2926">
        <v>-1.278381E-2</v>
      </c>
      <c r="O2926">
        <v>-0.98071960000000002</v>
      </c>
      <c r="P2926">
        <v>-8.0591180000000005E-3</v>
      </c>
      <c r="Q2926">
        <v>0.1771933</v>
      </c>
      <c r="R2926">
        <v>-0.9841432</v>
      </c>
      <c r="S2926">
        <v>-0.1122742</v>
      </c>
      <c r="T2926">
        <v>-8.1830020000000003E-2</v>
      </c>
      <c r="U2926">
        <v>-3.061798</v>
      </c>
      <c r="V2926">
        <v>-0.18673919999999999</v>
      </c>
      <c r="W2926">
        <v>0.18686220000000001</v>
      </c>
      <c r="X2926">
        <v>0.96447439999999995</v>
      </c>
      <c r="Y2926">
        <v>-0.15890899999999999</v>
      </c>
      <c r="Z2926">
        <v>1.303442E-2</v>
      </c>
      <c r="AA2926">
        <v>0.98720719999999995</v>
      </c>
      <c r="AB2926">
        <v>25</v>
      </c>
      <c r="AC2926">
        <v>-1.48849999999998</v>
      </c>
      <c r="AD2926">
        <v>-1.1161240014680001</v>
      </c>
      <c r="AE2926">
        <v>-41.506499999999903</v>
      </c>
      <c r="AF2926">
        <v>-6.6298394567377699</v>
      </c>
      <c r="AG2926">
        <v>-1.1161240014680001</v>
      </c>
      <c r="AH2926">
        <v>40.970253037661401</v>
      </c>
      <c r="AI2926">
        <v>91.540454001156206</v>
      </c>
      <c r="AJ2926">
        <v>99.191968503425898</v>
      </c>
      <c r="AK2926">
        <v>41.518214532645501</v>
      </c>
      <c r="AL2926">
        <v>79.230277221566993</v>
      </c>
      <c r="AM2926">
        <v>100.957883945419</v>
      </c>
      <c r="AN2926">
        <v>0.99999993943041798</v>
      </c>
    </row>
    <row r="2927" spans="1:40" x14ac:dyDescent="0.25">
      <c r="A2927" t="str">
        <f>"20190304155650099"</f>
        <v>20190304155650099</v>
      </c>
      <c r="B2927" t="str">
        <f>"1551686210087532"</f>
        <v>1551686210087532</v>
      </c>
      <c r="C2927" t="s">
        <v>40</v>
      </c>
      <c r="D2927">
        <v>4.5209359999999998</v>
      </c>
      <c r="E2927">
        <v>0.52426470000000003</v>
      </c>
      <c r="F2927" t="s">
        <v>53</v>
      </c>
      <c r="G2927">
        <v>-493.363</v>
      </c>
      <c r="H2927" s="1">
        <v>3.9752639999999997E-6</v>
      </c>
      <c r="I2927">
        <v>223.017</v>
      </c>
      <c r="J2927">
        <v>-492.12270000000001</v>
      </c>
      <c r="K2927">
        <v>1.1161019999999999</v>
      </c>
      <c r="L2927">
        <v>264.6189</v>
      </c>
      <c r="M2927">
        <v>-0.1872027</v>
      </c>
      <c r="N2927">
        <v>-1.2701219999999999E-2</v>
      </c>
      <c r="O2927">
        <v>-0.98223939999999998</v>
      </c>
      <c r="P2927">
        <v>-1.508009E-3</v>
      </c>
      <c r="Q2927">
        <v>0.1768004</v>
      </c>
      <c r="R2927">
        <v>-0.98424599999999995</v>
      </c>
      <c r="S2927">
        <v>-9.341431E-2</v>
      </c>
      <c r="T2927">
        <v>-8.1717970000000001E-2</v>
      </c>
      <c r="U2927">
        <v>-3.0622560000000001</v>
      </c>
      <c r="V2927">
        <v>-0.18548880000000001</v>
      </c>
      <c r="W2927">
        <v>0.18642</v>
      </c>
      <c r="X2927">
        <v>0.96480129999999997</v>
      </c>
      <c r="Y2927">
        <v>-0.1571417</v>
      </c>
      <c r="Z2927">
        <v>1.3135310000000001E-2</v>
      </c>
      <c r="AA2927">
        <v>0.9874887</v>
      </c>
      <c r="AB2927">
        <v>25</v>
      </c>
      <c r="AC2927">
        <v>-1.2403000000000399</v>
      </c>
      <c r="AD2927">
        <v>-1.1160980247359999</v>
      </c>
      <c r="AE2927">
        <v>-41.601900000000001</v>
      </c>
      <c r="AF2927">
        <v>-6.5655238052530196</v>
      </c>
      <c r="AG2927">
        <v>-1.1160980247359999</v>
      </c>
      <c r="AH2927">
        <v>41.068986595736902</v>
      </c>
      <c r="AI2927">
        <v>91.537187534565405</v>
      </c>
      <c r="AJ2927">
        <v>99.082776071644901</v>
      </c>
      <c r="AK2927">
        <v>41.605449614671599</v>
      </c>
      <c r="AL2927">
        <v>79.256067567095101</v>
      </c>
      <c r="AM2927">
        <v>100.88266868394599</v>
      </c>
      <c r="AN2927">
        <v>1.0000000299035601</v>
      </c>
    </row>
    <row r="2928" spans="1:40" x14ac:dyDescent="0.25">
      <c r="A2928" t="str">
        <f>"20190304155650110"</f>
        <v>20190304155650110</v>
      </c>
      <c r="B2928" t="str">
        <f>"1551686210108029"</f>
        <v>1551686210108029</v>
      </c>
      <c r="C2928" t="s">
        <v>40</v>
      </c>
      <c r="D2928">
        <v>4.5572419999999996</v>
      </c>
      <c r="E2928">
        <v>0.5232369</v>
      </c>
      <c r="F2928" t="s">
        <v>53</v>
      </c>
      <c r="G2928">
        <v>-496.37759999999997</v>
      </c>
      <c r="H2928" s="1">
        <v>2.5303630000000002E-7</v>
      </c>
      <c r="I2928">
        <v>200.4331</v>
      </c>
      <c r="J2928">
        <v>-492.14339999999999</v>
      </c>
      <c r="K2928">
        <v>1.1160870000000001</v>
      </c>
      <c r="L2928">
        <v>264.48399999999998</v>
      </c>
      <c r="M2928">
        <v>-0.18250140000000001</v>
      </c>
      <c r="N2928">
        <v>-1.265412E-2</v>
      </c>
      <c r="O2928">
        <v>-0.98312429999999995</v>
      </c>
      <c r="P2928">
        <v>2.6203469999999999E-3</v>
      </c>
      <c r="Q2928">
        <v>0.17670279999999899</v>
      </c>
      <c r="R2928">
        <v>-0.98426100000000005</v>
      </c>
      <c r="S2928">
        <v>-0.20266719999999999</v>
      </c>
      <c r="T2928">
        <v>-5.3161380000000001E-2</v>
      </c>
      <c r="U2928">
        <v>-3.0572509999999999</v>
      </c>
      <c r="V2928">
        <v>-0.1849141</v>
      </c>
      <c r="W2928">
        <v>0.18629209999999999</v>
      </c>
      <c r="X2928">
        <v>0.96493629999999997</v>
      </c>
      <c r="Y2928">
        <v>-0.11706</v>
      </c>
      <c r="Z2928">
        <v>4.2938730000000001E-3</v>
      </c>
      <c r="AA2928">
        <v>0.99311550000000004</v>
      </c>
      <c r="AB2928">
        <v>25</v>
      </c>
      <c r="AC2928">
        <v>-4.23419999999998</v>
      </c>
      <c r="AD2928">
        <v>-1.1160867469636999</v>
      </c>
      <c r="AE2928">
        <v>-64.050899999999999</v>
      </c>
      <c r="AF2928">
        <v>-7.52496078123127</v>
      </c>
      <c r="AG2928">
        <v>-1.1160867469636999</v>
      </c>
      <c r="AH2928">
        <v>63.728573149702697</v>
      </c>
      <c r="AI2928">
        <v>90.996405105950004</v>
      </c>
      <c r="AJ2928">
        <v>96.734205864153296</v>
      </c>
      <c r="AK2928">
        <v>64.181007471703296</v>
      </c>
      <c r="AL2928">
        <v>79.263526217709497</v>
      </c>
      <c r="AM2928">
        <v>100.84827047382601</v>
      </c>
      <c r="AN2928">
        <v>1.0000000169794501</v>
      </c>
    </row>
    <row r="2929" spans="1:40" x14ac:dyDescent="0.25">
      <c r="A2929" t="str">
        <f>"20190304155650123"</f>
        <v>20190304155650123</v>
      </c>
      <c r="B2929" t="str">
        <f>"1551686210117788"</f>
        <v>1551686210117788</v>
      </c>
      <c r="C2929" t="s">
        <v>40</v>
      </c>
      <c r="D2929">
        <v>4.5720519999999896</v>
      </c>
      <c r="E2929">
        <v>0.5232369</v>
      </c>
      <c r="F2929" t="s">
        <v>53</v>
      </c>
      <c r="G2929">
        <v>-495.58690000000001</v>
      </c>
      <c r="H2929" s="1">
        <v>1.5734700000000001E-6</v>
      </c>
      <c r="I2929">
        <v>206.30709999999999</v>
      </c>
      <c r="J2929">
        <v>-492.16379999999998</v>
      </c>
      <c r="K2929">
        <v>1.1160699999999999</v>
      </c>
      <c r="L2929">
        <v>264.34519999999998</v>
      </c>
      <c r="M2929">
        <v>-0.17768439999999999</v>
      </c>
      <c r="N2929">
        <v>-1.260993E-2</v>
      </c>
      <c r="O2929">
        <v>-0.98400670000000001</v>
      </c>
      <c r="P2929">
        <v>6.7861589999999999E-3</v>
      </c>
      <c r="Q2929">
        <v>0.17679890000000001</v>
      </c>
      <c r="R2929">
        <v>-0.98422379999999998</v>
      </c>
      <c r="S2929">
        <v>-0.18106079999999999</v>
      </c>
      <c r="T2929">
        <v>-5.8684710000000001E-2</v>
      </c>
      <c r="U2929">
        <v>-3.0589900000000001</v>
      </c>
      <c r="V2929">
        <v>-0.1842618</v>
      </c>
      <c r="W2929">
        <v>0.1863628</v>
      </c>
      <c r="X2929">
        <v>0.9650474</v>
      </c>
      <c r="Y2929">
        <v>-0.1192192</v>
      </c>
      <c r="Z2929">
        <v>6.0965339999999998E-3</v>
      </c>
      <c r="AA2929">
        <v>0.99284919999999999</v>
      </c>
      <c r="AB2929">
        <v>25</v>
      </c>
      <c r="AC2929">
        <v>-3.42310000000003</v>
      </c>
      <c r="AD2929">
        <v>-1.11606842653</v>
      </c>
      <c r="AE2929">
        <v>-58.038099999999901</v>
      </c>
      <c r="AF2929">
        <v>-6.9421057782296796</v>
      </c>
      <c r="AG2929">
        <v>-1.11606842653</v>
      </c>
      <c r="AH2929">
        <v>57.7014383832256</v>
      </c>
      <c r="AI2929">
        <v>91.100152347692301</v>
      </c>
      <c r="AJ2929">
        <v>96.8603270811046</v>
      </c>
      <c r="AK2929">
        <v>58.128258470919398</v>
      </c>
      <c r="AL2929">
        <v>79.259402955175702</v>
      </c>
      <c r="AM2929">
        <v>100.809690404734</v>
      </c>
      <c r="AN2929">
        <v>0.99999999420491903</v>
      </c>
    </row>
    <row r="2930" spans="1:40" x14ac:dyDescent="0.25">
      <c r="A2930" t="str">
        <f>"20190304155650138"</f>
        <v>20190304155650138</v>
      </c>
      <c r="B2930" t="str">
        <f>"1551686210127548"</f>
        <v>1551686210127548</v>
      </c>
      <c r="C2930" t="s">
        <v>40</v>
      </c>
      <c r="D2930">
        <v>4.5788209999999996</v>
      </c>
      <c r="E2930">
        <v>0.49538840000000001</v>
      </c>
      <c r="F2930" t="s">
        <v>53</v>
      </c>
      <c r="G2930">
        <v>-495.38819999999998</v>
      </c>
      <c r="H2930" s="1">
        <v>1.44438799999999E-6</v>
      </c>
      <c r="I2930">
        <v>205.83359999999999</v>
      </c>
      <c r="J2930">
        <v>-492.18650000000002</v>
      </c>
      <c r="K2930">
        <v>1.11605</v>
      </c>
      <c r="L2930">
        <v>264.18630000000002</v>
      </c>
      <c r="M2930">
        <v>-0.1721888</v>
      </c>
      <c r="N2930">
        <v>-1.2562230000000001E-2</v>
      </c>
      <c r="O2930">
        <v>-0.98498399999999997</v>
      </c>
      <c r="P2930">
        <v>1.158707E-2</v>
      </c>
      <c r="Q2930">
        <v>0.17712049999999999</v>
      </c>
      <c r="R2930">
        <v>-0.98412100000000002</v>
      </c>
      <c r="S2930">
        <v>-0.1686096</v>
      </c>
      <c r="T2930">
        <v>-5.8362129999999998E-2</v>
      </c>
      <c r="U2930">
        <v>-3.059723</v>
      </c>
      <c r="V2930">
        <v>-0.18356620000000001</v>
      </c>
      <c r="W2930">
        <v>0.1866575</v>
      </c>
      <c r="X2930">
        <v>0.96512299999999995</v>
      </c>
      <c r="Y2930">
        <v>-0.1177182</v>
      </c>
      <c r="Z2930">
        <v>6.0622769999999996E-3</v>
      </c>
      <c r="AA2930">
        <v>0.99302849999999998</v>
      </c>
      <c r="AB2930">
        <v>25</v>
      </c>
      <c r="AC2930">
        <v>-3.2016999999999598</v>
      </c>
      <c r="AD2930">
        <v>-1.1160485556119999</v>
      </c>
      <c r="AE2930">
        <v>-58.352699999999999</v>
      </c>
      <c r="AF2930">
        <v>-6.8920876535336202</v>
      </c>
      <c r="AG2930">
        <v>-1.1160485556119999</v>
      </c>
      <c r="AH2930">
        <v>58.011187208314702</v>
      </c>
      <c r="AI2930">
        <v>91.094454115513201</v>
      </c>
      <c r="AJ2930">
        <v>96.775334163449998</v>
      </c>
      <c r="AK2930">
        <v>58.4298235314861</v>
      </c>
      <c r="AL2930">
        <v>79.242216254478294</v>
      </c>
      <c r="AM2930">
        <v>100.76901542703</v>
      </c>
      <c r="AN2930">
        <v>0.99999998860884398</v>
      </c>
    </row>
    <row r="2931" spans="1:40" x14ac:dyDescent="0.25">
      <c r="A2931" t="str">
        <f>"20190304155650154"</f>
        <v>20190304155650154</v>
      </c>
      <c r="B2931" t="str">
        <f>"1551686210148044"</f>
        <v>1551686210148044</v>
      </c>
      <c r="C2931" t="s">
        <v>40</v>
      </c>
      <c r="D2931">
        <v>4.5690080000000002</v>
      </c>
      <c r="E2931">
        <v>0.49280839999999998</v>
      </c>
      <c r="F2931" t="s">
        <v>53</v>
      </c>
      <c r="G2931">
        <v>-490.93079999999998</v>
      </c>
      <c r="H2931" s="1">
        <v>2.5755819999999999E-6</v>
      </c>
      <c r="I2931">
        <v>208.209</v>
      </c>
      <c r="J2931">
        <v>-492.21129999999999</v>
      </c>
      <c r="K2931">
        <v>1.116028</v>
      </c>
      <c r="L2931">
        <v>264.00540000000001</v>
      </c>
      <c r="M2931">
        <v>-0.16595460000000001</v>
      </c>
      <c r="N2931">
        <v>-1.2510510000000001E-2</v>
      </c>
      <c r="O2931">
        <v>-0.98605410000000004</v>
      </c>
      <c r="P2931">
        <v>1.6114389999999999E-2</v>
      </c>
      <c r="Q2931">
        <v>0.17783360000000001</v>
      </c>
      <c r="R2931">
        <v>-0.9839289</v>
      </c>
      <c r="S2931">
        <v>6.8603520000000001E-2</v>
      </c>
      <c r="T2931">
        <v>-6.0978890000000001E-2</v>
      </c>
      <c r="U2931">
        <v>-3.0585019999999998</v>
      </c>
      <c r="V2931">
        <v>-0.1818748</v>
      </c>
      <c r="W2931">
        <v>0.18735689999999999</v>
      </c>
      <c r="X2931">
        <v>0.96530769999999999</v>
      </c>
      <c r="Y2931">
        <v>-0.18800049999999999</v>
      </c>
      <c r="Z2931">
        <v>6.8054669999999999E-3</v>
      </c>
      <c r="AA2931">
        <v>0.98214539999999995</v>
      </c>
      <c r="AB2931">
        <v>25</v>
      </c>
      <c r="AC2931">
        <v>1.28050000000001</v>
      </c>
      <c r="AD2931">
        <v>-1.1160254244179999</v>
      </c>
      <c r="AE2931">
        <v>-55.796399999999998</v>
      </c>
      <c r="AF2931">
        <v>-10.51892827753</v>
      </c>
      <c r="AG2931">
        <v>-1.1160254244179999</v>
      </c>
      <c r="AH2931">
        <v>54.7881424114697</v>
      </c>
      <c r="AI2931">
        <v>91.146019229772705</v>
      </c>
      <c r="AJ2931">
        <v>100.86812688091599</v>
      </c>
      <c r="AK2931">
        <v>55.799945463730097</v>
      </c>
      <c r="AL2931">
        <v>79.201424109355699</v>
      </c>
      <c r="AM2931">
        <v>100.670082780209</v>
      </c>
      <c r="AN2931">
        <v>1.0000000032659699</v>
      </c>
    </row>
    <row r="2932" spans="1:40" x14ac:dyDescent="0.25">
      <c r="A2932" t="str">
        <f>"20190304155650166"</f>
        <v>20190304155650166</v>
      </c>
      <c r="B2932" t="str">
        <f>"1551686210157804"</f>
        <v>1551686210157804</v>
      </c>
      <c r="C2932" t="s">
        <v>40</v>
      </c>
      <c r="D2932">
        <v>4.5726389999999997</v>
      </c>
      <c r="E2932">
        <v>0.49362240000000002</v>
      </c>
      <c r="F2932" t="s">
        <v>41</v>
      </c>
      <c r="G2932">
        <v>-489.88330000000002</v>
      </c>
      <c r="H2932" s="1">
        <v>-2.256824E-6</v>
      </c>
      <c r="I2932">
        <v>194.84520000000001</v>
      </c>
      <c r="J2932">
        <v>-492.23</v>
      </c>
      <c r="K2932">
        <v>1.116007</v>
      </c>
      <c r="L2932">
        <v>263.86320000000001</v>
      </c>
      <c r="M2932">
        <v>-0.16107489999999999</v>
      </c>
      <c r="N2932">
        <v>-1.247024E-2</v>
      </c>
      <c r="O2932">
        <v>-0.98686339999999995</v>
      </c>
      <c r="P2932">
        <v>2.0217769999999999E-2</v>
      </c>
      <c r="Q2932">
        <v>0.17808209999999999</v>
      </c>
      <c r="R2932">
        <v>-0.98380820000000002</v>
      </c>
      <c r="S2932">
        <v>0.1028748</v>
      </c>
      <c r="T2932">
        <v>-4.9318309999999997E-2</v>
      </c>
      <c r="U2932">
        <v>-3.056244</v>
      </c>
      <c r="V2932">
        <v>-0.18111089999999999</v>
      </c>
      <c r="W2932">
        <v>0.1875869</v>
      </c>
      <c r="X2932">
        <v>0.96540669999999995</v>
      </c>
      <c r="Y2932">
        <v>-0.19416330000000001</v>
      </c>
      <c r="Z2932">
        <v>3.1565819999999998E-3</v>
      </c>
      <c r="AA2932">
        <v>0.98096410000000001</v>
      </c>
      <c r="AB2932">
        <v>25</v>
      </c>
      <c r="AC2932">
        <v>2.34669999999999</v>
      </c>
      <c r="AD2932">
        <v>-1.1160092568240001</v>
      </c>
      <c r="AE2932">
        <v>-69.018000000000001</v>
      </c>
      <c r="AF2932">
        <v>-13.430476841669901</v>
      </c>
      <c r="AG2932">
        <v>-1.1160092568240001</v>
      </c>
      <c r="AH2932">
        <v>67.720924675055201</v>
      </c>
      <c r="AI2932">
        <v>90.926089044965593</v>
      </c>
      <c r="AJ2932">
        <v>101.21739925536301</v>
      </c>
      <c r="AK2932">
        <v>69.048872718534994</v>
      </c>
      <c r="AL2932">
        <v>79.188008724774093</v>
      </c>
      <c r="AM2932">
        <v>100.625224739662</v>
      </c>
      <c r="AN2932">
        <v>1.00000004977765</v>
      </c>
    </row>
    <row r="2933" spans="1:40" x14ac:dyDescent="0.25">
      <c r="A2933" t="str">
        <f>"20190304155650189"</f>
        <v>20190304155650189</v>
      </c>
      <c r="B2933" t="str">
        <f>"1551686210177324"</f>
        <v>1551686210177324</v>
      </c>
      <c r="C2933" t="s">
        <v>40</v>
      </c>
      <c r="D2933">
        <v>4.5650149999999998</v>
      </c>
      <c r="E2933">
        <v>0.49526890000000001</v>
      </c>
      <c r="F2933" t="s">
        <v>41</v>
      </c>
      <c r="G2933">
        <v>-489.55840000000001</v>
      </c>
      <c r="H2933" s="1">
        <v>-4.080273E-6</v>
      </c>
      <c r="I2933">
        <v>188.9614</v>
      </c>
      <c r="J2933">
        <v>-492.25940000000003</v>
      </c>
      <c r="K2933">
        <v>1.115964</v>
      </c>
      <c r="L2933">
        <v>263.62790000000001</v>
      </c>
      <c r="M2933">
        <v>-0.1530368</v>
      </c>
      <c r="N2933">
        <v>-1.2405090000000001E-2</v>
      </c>
      <c r="O2933">
        <v>-0.98814270000000004</v>
      </c>
      <c r="P2933">
        <v>2.588619E-2</v>
      </c>
      <c r="Q2933">
        <v>0.17777809999999999</v>
      </c>
      <c r="R2933">
        <v>-0.98372999999999999</v>
      </c>
      <c r="S2933">
        <v>0.1089783</v>
      </c>
      <c r="T2933">
        <v>-4.5524240000000001E-2</v>
      </c>
      <c r="U2933">
        <v>-3.0553889999999999</v>
      </c>
      <c r="V2933">
        <v>-0.17879790000000001</v>
      </c>
      <c r="W2933">
        <v>0.18727260000000001</v>
      </c>
      <c r="X2933">
        <v>0.9658987</v>
      </c>
      <c r="Y2933">
        <v>-0.18814410000000001</v>
      </c>
      <c r="Z2933">
        <v>2.0579230000000001E-3</v>
      </c>
      <c r="AA2933">
        <v>0.98213930000000005</v>
      </c>
      <c r="AB2933">
        <v>25</v>
      </c>
      <c r="AC2933">
        <v>2.7010000000000201</v>
      </c>
      <c r="AD2933">
        <v>-1.1159680802730001</v>
      </c>
      <c r="AE2933">
        <v>-74.666499999999999</v>
      </c>
      <c r="AF2933">
        <v>-14.0936351596241</v>
      </c>
      <c r="AG2933">
        <v>-1.1159680802730001</v>
      </c>
      <c r="AH2933">
        <v>73.357079651410203</v>
      </c>
      <c r="AI2933">
        <v>90.855912193801899</v>
      </c>
      <c r="AJ2933">
        <v>100.875361889511</v>
      </c>
      <c r="AK2933">
        <v>74.707008183651197</v>
      </c>
      <c r="AL2933">
        <v>79.206341218960105</v>
      </c>
      <c r="AM2933">
        <v>100.48733445588</v>
      </c>
      <c r="AN2933">
        <v>1.0000000072084201</v>
      </c>
    </row>
    <row r="2934" spans="1:40" x14ac:dyDescent="0.25">
      <c r="A2934" t="str">
        <f>"20190304155650201"</f>
        <v>20190304155650201</v>
      </c>
      <c r="B2934" t="str">
        <f>"1551686210197820"</f>
        <v>1551686210197820</v>
      </c>
      <c r="C2934" t="s">
        <v>40</v>
      </c>
      <c r="D2934">
        <v>4.5853869999999999</v>
      </c>
      <c r="E2934">
        <v>0.49564350000000001</v>
      </c>
      <c r="F2934" t="s">
        <v>41</v>
      </c>
      <c r="G2934">
        <v>-489.05840000000001</v>
      </c>
      <c r="H2934" s="1">
        <v>-3.4915540000000002E-6</v>
      </c>
      <c r="I2934">
        <v>177.38229999999999</v>
      </c>
      <c r="J2934">
        <v>-492.27550000000002</v>
      </c>
      <c r="K2934">
        <v>1.115939</v>
      </c>
      <c r="L2934">
        <v>263.49020000000002</v>
      </c>
      <c r="M2934">
        <v>-0.14836820000000001</v>
      </c>
      <c r="N2934">
        <v>-1.23696E-2</v>
      </c>
      <c r="O2934">
        <v>-0.98885489999999998</v>
      </c>
      <c r="P2934">
        <v>2.9218669999999999E-2</v>
      </c>
      <c r="Q2934">
        <v>0.17786489999999999</v>
      </c>
      <c r="R2934">
        <v>-0.98362119999999997</v>
      </c>
      <c r="S2934">
        <v>0.11334230000000001</v>
      </c>
      <c r="T2934">
        <v>-3.9514420000000001E-2</v>
      </c>
      <c r="U2934">
        <v>-3.0538020000000001</v>
      </c>
      <c r="V2934">
        <v>-0.17749429999999999</v>
      </c>
      <c r="W2934">
        <v>0.18735450000000001</v>
      </c>
      <c r="X2934">
        <v>0.96612319999999996</v>
      </c>
      <c r="Y2934">
        <v>-0.18492739999999999</v>
      </c>
      <c r="Z2934">
        <v>2.0357280000000001E-4</v>
      </c>
      <c r="AA2934">
        <v>0.98275210000000002</v>
      </c>
      <c r="AB2934">
        <v>25</v>
      </c>
      <c r="AC2934">
        <v>3.2171000000000101</v>
      </c>
      <c r="AD2934">
        <v>-1.1159424915539999</v>
      </c>
      <c r="AE2934">
        <v>-86.107900000000001</v>
      </c>
      <c r="AF2934">
        <v>-15.9554628931787</v>
      </c>
      <c r="AG2934">
        <v>-1.1159424915539999</v>
      </c>
      <c r="AH2934">
        <v>84.663175878681301</v>
      </c>
      <c r="AI2934">
        <v>90.742107978224396</v>
      </c>
      <c r="AJ2934">
        <v>100.672677847835</v>
      </c>
      <c r="AK2934">
        <v>86.160753673842606</v>
      </c>
      <c r="AL2934">
        <v>79.201563913710601</v>
      </c>
      <c r="AM2934">
        <v>100.410183915147</v>
      </c>
      <c r="AN2934">
        <v>0.99999998639048904</v>
      </c>
    </row>
    <row r="2935" spans="1:40" x14ac:dyDescent="0.25">
      <c r="A2935" t="str">
        <f>"20190304155650214"</f>
        <v>20190304155650214</v>
      </c>
      <c r="B2935" t="str">
        <f>"1551686210207580"</f>
        <v>1551686210207580</v>
      </c>
      <c r="C2935" t="s">
        <v>40</v>
      </c>
      <c r="D2935">
        <v>4.5803690000000001</v>
      </c>
      <c r="E2935">
        <v>0.49605539999999998</v>
      </c>
      <c r="F2935" t="s">
        <v>41</v>
      </c>
      <c r="G2935">
        <v>-489.3802</v>
      </c>
      <c r="H2935" s="1">
        <v>-4.1326409999999998E-7</v>
      </c>
      <c r="I2935">
        <v>190.3398</v>
      </c>
      <c r="J2935">
        <v>-492.29109999999997</v>
      </c>
      <c r="K2935">
        <v>1.1159129999999999</v>
      </c>
      <c r="L2935">
        <v>263.35359999999997</v>
      </c>
      <c r="M2935">
        <v>-0.1437504</v>
      </c>
      <c r="N2935">
        <v>-1.233566E-2</v>
      </c>
      <c r="O2935">
        <v>-0.98953709999999995</v>
      </c>
      <c r="P2935">
        <v>3.2653290000000001E-2</v>
      </c>
      <c r="Q2935">
        <v>0.17775769999999999</v>
      </c>
      <c r="R2935">
        <v>-0.98353239999999997</v>
      </c>
      <c r="S2935">
        <v>0.12091059999999999</v>
      </c>
      <c r="T2935">
        <v>-4.6601410000000003E-2</v>
      </c>
      <c r="U2935">
        <v>-3.0547490000000002</v>
      </c>
      <c r="V2935">
        <v>-0.17634620000000001</v>
      </c>
      <c r="W2935">
        <v>0.18724260000000001</v>
      </c>
      <c r="X2935">
        <v>0.96635510000000002</v>
      </c>
      <c r="Y2935">
        <v>-0.1827568</v>
      </c>
      <c r="Z2935">
        <v>2.5107889999999998E-3</v>
      </c>
      <c r="AA2935">
        <v>0.983155</v>
      </c>
      <c r="AB2935">
        <v>25</v>
      </c>
      <c r="AC2935">
        <v>2.9108999999999599</v>
      </c>
      <c r="AD2935">
        <v>-1.1159134132641</v>
      </c>
      <c r="AE2935">
        <v>-73.013799999999904</v>
      </c>
      <c r="AF2935">
        <v>-13.374105135515499</v>
      </c>
      <c r="AG2935">
        <v>-1.1159134132641</v>
      </c>
      <c r="AH2935">
        <v>71.820136358566998</v>
      </c>
      <c r="AI2935">
        <v>90.875126446912702</v>
      </c>
      <c r="AJ2935">
        <v>100.548605475526</v>
      </c>
      <c r="AK2935">
        <v>73.063287206947393</v>
      </c>
      <c r="AL2935">
        <v>79.208090708844495</v>
      </c>
      <c r="AM2935">
        <v>100.34187644726801</v>
      </c>
      <c r="AN2935">
        <v>0.99999997640260396</v>
      </c>
    </row>
    <row r="2936" spans="1:40" x14ac:dyDescent="0.25">
      <c r="A2936" t="str">
        <f>"20190304155650232"</f>
        <v>20190304155650232</v>
      </c>
      <c r="B2936" t="str">
        <f>"1551686210228076"</f>
        <v>1551686210228076</v>
      </c>
      <c r="C2936" t="s">
        <v>40</v>
      </c>
      <c r="D2936">
        <v>4.6053280000000001</v>
      </c>
      <c r="E2936">
        <v>0.4968824</v>
      </c>
      <c r="F2936" t="s">
        <v>41</v>
      </c>
      <c r="G2936">
        <v>-489.40449999999998</v>
      </c>
      <c r="H2936" s="1">
        <v>-2.2864299999999998E-6</v>
      </c>
      <c r="I2936">
        <v>194.71629999999999</v>
      </c>
      <c r="J2936">
        <v>-492.31389999999999</v>
      </c>
      <c r="K2936">
        <v>1.115874</v>
      </c>
      <c r="L2936">
        <v>263.14350000000002</v>
      </c>
      <c r="M2936">
        <v>-0.13669020000000001</v>
      </c>
      <c r="N2936">
        <v>-1.2287380000000001E-2</v>
      </c>
      <c r="O2936">
        <v>-0.99053769999999997</v>
      </c>
      <c r="P2936">
        <v>3.6753830000000001E-2</v>
      </c>
      <c r="Q2936">
        <v>0.178043799999999</v>
      </c>
      <c r="R2936">
        <v>-0.98333610000000005</v>
      </c>
      <c r="S2936">
        <v>0.12847900000000001</v>
      </c>
      <c r="T2936">
        <v>-4.9667950000000002E-2</v>
      </c>
      <c r="U2936">
        <v>-3.0549620000000002</v>
      </c>
      <c r="V2936">
        <v>-0.17345629999999901</v>
      </c>
      <c r="W2936">
        <v>0.1875433</v>
      </c>
      <c r="X2936">
        <v>0.96681980000000001</v>
      </c>
      <c r="Y2936">
        <v>-0.17817230000000001</v>
      </c>
      <c r="Z2936">
        <v>3.5673089999999998E-3</v>
      </c>
      <c r="AA2936">
        <v>0.9839928</v>
      </c>
      <c r="AB2936">
        <v>25</v>
      </c>
      <c r="AC2936">
        <v>2.9094000000000002</v>
      </c>
      <c r="AD2936">
        <v>-1.11587628642999</v>
      </c>
      <c r="AE2936">
        <v>-68.427199999999999</v>
      </c>
      <c r="AF2936">
        <v>-12.2328737353308</v>
      </c>
      <c r="AG2936">
        <v>-1.11587628642999</v>
      </c>
      <c r="AH2936">
        <v>67.369234371984007</v>
      </c>
      <c r="AI2936">
        <v>90.933672427683604</v>
      </c>
      <c r="AJ2936">
        <v>100.291609583933</v>
      </c>
      <c r="AK2936">
        <v>68.479939541288104</v>
      </c>
      <c r="AL2936">
        <v>79.190551976635305</v>
      </c>
      <c r="AM2936">
        <v>100.171178493897</v>
      </c>
      <c r="AN2936">
        <v>1.0000000515283001</v>
      </c>
    </row>
    <row r="2937" spans="1:40" x14ac:dyDescent="0.25">
      <c r="A2937" t="str">
        <f>"20190304155650245"</f>
        <v>20190304155650245</v>
      </c>
      <c r="B2937" t="str">
        <f>"1551686210237836"</f>
        <v>1551686210237836</v>
      </c>
      <c r="C2937" t="s">
        <v>40</v>
      </c>
      <c r="D2937">
        <v>4.5758380000000001</v>
      </c>
      <c r="E2937">
        <v>0.49728159999999999</v>
      </c>
      <c r="F2937" t="s">
        <v>41</v>
      </c>
      <c r="G2937">
        <v>-489.46109999999999</v>
      </c>
      <c r="H2937" s="1">
        <v>-3.9412669999999996E-6</v>
      </c>
      <c r="I2937">
        <v>198.59710000000001</v>
      </c>
      <c r="J2937">
        <v>-492.32889999999998</v>
      </c>
      <c r="K2937">
        <v>1.115848</v>
      </c>
      <c r="L2937">
        <v>262.9966</v>
      </c>
      <c r="M2937">
        <v>-0.13178899999999999</v>
      </c>
      <c r="N2937">
        <v>-1.225621E-2</v>
      </c>
      <c r="O2937">
        <v>-0.99120209999999997</v>
      </c>
      <c r="P2937">
        <v>4.0179039999999999E-2</v>
      </c>
      <c r="Q2937">
        <v>0.1782002</v>
      </c>
      <c r="R2937">
        <v>-0.98317370000000004</v>
      </c>
      <c r="S2937">
        <v>0.135040299999999</v>
      </c>
      <c r="T2937">
        <v>-5.2821640000000003E-2</v>
      </c>
      <c r="U2937">
        <v>-3.0553889999999999</v>
      </c>
      <c r="V2937">
        <v>-0.17202439999999999</v>
      </c>
      <c r="W2937">
        <v>0.18770390000000001</v>
      </c>
      <c r="X2937">
        <v>0.96704440000000003</v>
      </c>
      <c r="Y2937">
        <v>-0.17540710000000001</v>
      </c>
      <c r="Z2937">
        <v>4.62525E-3</v>
      </c>
      <c r="AA2937">
        <v>0.9844851</v>
      </c>
      <c r="AB2937">
        <v>25</v>
      </c>
      <c r="AC2937">
        <v>2.8677999999999799</v>
      </c>
      <c r="AD2937">
        <v>-1.115851941267</v>
      </c>
      <c r="AE2937">
        <v>-64.399499999999904</v>
      </c>
      <c r="AF2937">
        <v>-11.3271712521154</v>
      </c>
      <c r="AG2937">
        <v>-1.115851941267</v>
      </c>
      <c r="AH2937">
        <v>63.4407277401192</v>
      </c>
      <c r="AI2937">
        <v>90.991980730930095</v>
      </c>
      <c r="AJ2937">
        <v>100.123332434635</v>
      </c>
      <c r="AK2937">
        <v>64.453672279595594</v>
      </c>
      <c r="AL2937">
        <v>79.181183451827096</v>
      </c>
      <c r="AM2937">
        <v>100.086651074941</v>
      </c>
      <c r="AN2937">
        <v>1.0000000099209601</v>
      </c>
    </row>
    <row r="2938" spans="1:40" x14ac:dyDescent="0.25">
      <c r="A2938" t="str">
        <f>"20190304155650259"</f>
        <v>20190304155650259</v>
      </c>
      <c r="B2938" t="str">
        <f>"1551686210247599"</f>
        <v>1551686210247599</v>
      </c>
      <c r="C2938" t="s">
        <v>40</v>
      </c>
      <c r="D2938">
        <v>4.590757</v>
      </c>
      <c r="E2938">
        <v>0.49771029999999999</v>
      </c>
      <c r="F2938" t="s">
        <v>41</v>
      </c>
      <c r="G2938">
        <v>-489.32530000000003</v>
      </c>
      <c r="H2938" s="1">
        <v>-4.0058510000000002E-6</v>
      </c>
      <c r="I2938">
        <v>198.69149999999999</v>
      </c>
      <c r="J2938">
        <v>-492.34300000000002</v>
      </c>
      <c r="K2938">
        <v>1.11582</v>
      </c>
      <c r="L2938">
        <v>262.85000000000002</v>
      </c>
      <c r="M2938">
        <v>-0.12692000000000001</v>
      </c>
      <c r="N2938">
        <v>-1.2226870000000001E-2</v>
      </c>
      <c r="O2938">
        <v>-0.99183759999999999</v>
      </c>
      <c r="P2938">
        <v>4.3599199999999998E-2</v>
      </c>
      <c r="Q2938">
        <v>0.178033</v>
      </c>
      <c r="R2938">
        <v>-0.98305810000000005</v>
      </c>
      <c r="S2938">
        <v>0.1427002</v>
      </c>
      <c r="T2938">
        <v>-5.30138E-2</v>
      </c>
      <c r="U2938">
        <v>-3.0551149999999998</v>
      </c>
      <c r="V2938">
        <v>-0.17062539999999901</v>
      </c>
      <c r="W2938">
        <v>0.1875424</v>
      </c>
      <c r="X2938">
        <v>0.9673235</v>
      </c>
      <c r="Y2938">
        <v>-0.17303969999999999</v>
      </c>
      <c r="Z2938">
        <v>4.7363190000000001E-3</v>
      </c>
      <c r="AA2938">
        <v>0.98490350000000004</v>
      </c>
      <c r="AB2938">
        <v>25</v>
      </c>
      <c r="AC2938">
        <v>3.0176999999999898</v>
      </c>
      <c r="AD2938">
        <v>-1.1158240058510001</v>
      </c>
      <c r="AE2938">
        <v>-64.158500000000004</v>
      </c>
      <c r="AF2938">
        <v>-11.1335374646858</v>
      </c>
      <c r="AG2938">
        <v>-1.1158240058510001</v>
      </c>
      <c r="AH2938">
        <v>63.237449185396599</v>
      </c>
      <c r="AI2938">
        <v>90.995569556276294</v>
      </c>
      <c r="AJ2938">
        <v>99.985121671254902</v>
      </c>
      <c r="AK2938">
        <v>64.219745399411394</v>
      </c>
      <c r="AL2938">
        <v>79.190603541840701</v>
      </c>
      <c r="AM2938">
        <v>100.00345631946399</v>
      </c>
      <c r="AN2938">
        <v>0.99999996628758403</v>
      </c>
    </row>
    <row r="2939" spans="1:40" x14ac:dyDescent="0.25">
      <c r="A2939" t="str">
        <f>"20190304155650278"</f>
        <v>20190304155650278</v>
      </c>
      <c r="B2939" t="str">
        <f>"1551686210268093"</f>
        <v>1551686210268093</v>
      </c>
      <c r="C2939" t="s">
        <v>40</v>
      </c>
      <c r="D2939">
        <v>4.5970680000000002</v>
      </c>
      <c r="E2939">
        <v>0.49859110000000001</v>
      </c>
      <c r="F2939" t="s">
        <v>53</v>
      </c>
      <c r="G2939">
        <v>-489.27870000000001</v>
      </c>
      <c r="H2939" s="1">
        <v>1.591211E-7</v>
      </c>
      <c r="I2939">
        <v>200.3244</v>
      </c>
      <c r="J2939">
        <v>-492.36270000000002</v>
      </c>
      <c r="K2939">
        <v>1.115774</v>
      </c>
      <c r="L2939">
        <v>262.63479999999998</v>
      </c>
      <c r="M2939">
        <v>-0.1198216</v>
      </c>
      <c r="N2939">
        <v>-1.2186499999999999E-2</v>
      </c>
      <c r="O2939">
        <v>-0.99272059999999995</v>
      </c>
      <c r="P2939">
        <v>4.7719039999999997E-2</v>
      </c>
      <c r="Q2939">
        <v>0.17819670000000001</v>
      </c>
      <c r="R2939">
        <v>-0.98283710000000002</v>
      </c>
      <c r="S2939">
        <v>0.1497192</v>
      </c>
      <c r="T2939">
        <v>-5.4517749999999997E-2</v>
      </c>
      <c r="U2939">
        <v>-3.054932</v>
      </c>
      <c r="V2939">
        <v>-0.16773109999999999</v>
      </c>
      <c r="W2939">
        <v>0.18772920000000001</v>
      </c>
      <c r="X2939">
        <v>0.96779329999999997</v>
      </c>
      <c r="Y2939">
        <v>-0.16825279999999901</v>
      </c>
      <c r="Z2939">
        <v>5.2904390000000001E-3</v>
      </c>
      <c r="AA2939">
        <v>0.98572969999999904</v>
      </c>
      <c r="AB2939">
        <v>25</v>
      </c>
      <c r="AC2939">
        <v>3.0840000000000001</v>
      </c>
      <c r="AD2939">
        <v>-1.11577384087889</v>
      </c>
      <c r="AE2939">
        <v>-62.310399999999902</v>
      </c>
      <c r="AF2939">
        <v>-10.525097794401599</v>
      </c>
      <c r="AG2939">
        <v>-1.11577384087889</v>
      </c>
      <c r="AH2939">
        <v>61.472193813100802</v>
      </c>
      <c r="AI2939">
        <v>91.024942602190507</v>
      </c>
      <c r="AJ2939">
        <v>99.715813999584199</v>
      </c>
      <c r="AK2939">
        <v>62.3767043618139</v>
      </c>
      <c r="AL2939">
        <v>79.179706681306001</v>
      </c>
      <c r="AM2939">
        <v>99.8324294671839</v>
      </c>
      <c r="AN2939">
        <v>0.99999992298236695</v>
      </c>
    </row>
    <row r="2940" spans="1:40" x14ac:dyDescent="0.25">
      <c r="A2940" t="str">
        <f>"20190304155650302"</f>
        <v>20190304155650302</v>
      </c>
      <c r="B2940" t="str">
        <f>"1551686210297373"</f>
        <v>1551686210297373</v>
      </c>
      <c r="C2940" t="s">
        <v>40</v>
      </c>
      <c r="D2940">
        <v>4.600695</v>
      </c>
      <c r="E2940">
        <v>0.4993225</v>
      </c>
      <c r="F2940" t="s">
        <v>53</v>
      </c>
      <c r="G2940">
        <v>-489.17529999999999</v>
      </c>
      <c r="H2940" s="1">
        <v>1.035571E-7</v>
      </c>
      <c r="I2940">
        <v>200.1746</v>
      </c>
      <c r="J2940">
        <v>-492.38409999999999</v>
      </c>
      <c r="K2940">
        <v>1.1157140000000001</v>
      </c>
      <c r="L2940">
        <v>262.3802</v>
      </c>
      <c r="M2940">
        <v>-0.111511</v>
      </c>
      <c r="N2940">
        <v>-1.214255E-2</v>
      </c>
      <c r="O2940">
        <v>-0.99368920000000005</v>
      </c>
      <c r="P2940">
        <v>5.2794840000000003E-2</v>
      </c>
      <c r="Q2940">
        <v>0.1784036</v>
      </c>
      <c r="R2940">
        <v>-0.98254010000000003</v>
      </c>
      <c r="S2940">
        <v>0.15588379999999999</v>
      </c>
      <c r="T2940">
        <v>-5.4568169999999999E-2</v>
      </c>
      <c r="U2940">
        <v>-3.0546880000000001</v>
      </c>
      <c r="V2940">
        <v>-0.1645962</v>
      </c>
      <c r="W2940">
        <v>0.18796479999999999</v>
      </c>
      <c r="X2940">
        <v>0.96828570000000003</v>
      </c>
      <c r="Y2940">
        <v>-0.16199069999999999</v>
      </c>
      <c r="Z2940">
        <v>5.3876649999999998E-3</v>
      </c>
      <c r="AA2940">
        <v>0.98677760000000003</v>
      </c>
      <c r="AB2940">
        <v>25</v>
      </c>
      <c r="AC2940">
        <v>3.2087999999999899</v>
      </c>
      <c r="AD2940">
        <v>-1.1157138964429001</v>
      </c>
      <c r="AE2940">
        <v>-62.205599999999997</v>
      </c>
      <c r="AF2940">
        <v>-10.122655421985799</v>
      </c>
      <c r="AG2940">
        <v>-1.1157138964429001</v>
      </c>
      <c r="AH2940">
        <v>61.440023426680902</v>
      </c>
      <c r="AI2940">
        <v>91.026506733376607</v>
      </c>
      <c r="AJ2940">
        <v>99.355813885075605</v>
      </c>
      <c r="AK2940">
        <v>62.278322464257698</v>
      </c>
      <c r="AL2940">
        <v>79.165963278388006</v>
      </c>
      <c r="AM2940">
        <v>99.647333969181702</v>
      </c>
      <c r="AN2940">
        <v>0.99999993595898296</v>
      </c>
    </row>
    <row r="2941" spans="1:40" x14ac:dyDescent="0.25">
      <c r="A2941" t="str">
        <f>"20190304155650322"</f>
        <v>20190304155650322</v>
      </c>
      <c r="B2941" t="str">
        <f>"1551686210317868"</f>
        <v>1551686210317868</v>
      </c>
      <c r="C2941" t="s">
        <v>40</v>
      </c>
      <c r="D2941">
        <v>4.6379769999999896</v>
      </c>
      <c r="E2941">
        <v>0.49979170000000001</v>
      </c>
      <c r="F2941" t="s">
        <v>53</v>
      </c>
      <c r="G2941">
        <v>-489.15030000000002</v>
      </c>
      <c r="H2941" s="1">
        <v>9.4538679999999996E-7</v>
      </c>
      <c r="I2941">
        <v>202.89920000000001</v>
      </c>
      <c r="J2941">
        <v>-492.40269999999998</v>
      </c>
      <c r="K2941">
        <v>1.115648</v>
      </c>
      <c r="L2941">
        <v>262.1352</v>
      </c>
      <c r="M2941">
        <v>-0.103619</v>
      </c>
      <c r="N2941">
        <v>-1.2103320000000001E-2</v>
      </c>
      <c r="O2941">
        <v>-0.99454359999999997</v>
      </c>
      <c r="P2941">
        <v>5.8136559999999997E-2</v>
      </c>
      <c r="Q2941">
        <v>0.17912</v>
      </c>
      <c r="R2941">
        <v>-0.98210819999999999</v>
      </c>
      <c r="S2941">
        <v>0.16607669999999999</v>
      </c>
      <c r="T2941">
        <v>-5.7299969999999999E-2</v>
      </c>
      <c r="U2941">
        <v>-3.0547789999999999</v>
      </c>
      <c r="V2941">
        <v>-0.1621349</v>
      </c>
      <c r="W2941">
        <v>0.1887047</v>
      </c>
      <c r="X2941">
        <v>0.96855709999999995</v>
      </c>
      <c r="Y2941">
        <v>-0.15743689999999999</v>
      </c>
      <c r="Z2941">
        <v>6.3352729999999998E-3</v>
      </c>
      <c r="AA2941">
        <v>0.98750870000000002</v>
      </c>
      <c r="AB2941">
        <v>25</v>
      </c>
      <c r="AC2941">
        <v>3.2523999999999602</v>
      </c>
      <c r="AD2941">
        <v>-1.1156470546132</v>
      </c>
      <c r="AE2941">
        <v>-59.235999999999898</v>
      </c>
      <c r="AF2941">
        <v>-9.3699998672723606</v>
      </c>
      <c r="AG2941">
        <v>-1.1156470546132</v>
      </c>
      <c r="AH2941">
        <v>58.559345005376301</v>
      </c>
      <c r="AI2941">
        <v>91.077736100755502</v>
      </c>
      <c r="AJ2941">
        <v>99.090758371971006</v>
      </c>
      <c r="AK2941">
        <v>59.314740607388998</v>
      </c>
      <c r="AL2941">
        <v>79.122798629998698</v>
      </c>
      <c r="AM2941">
        <v>99.503108969517299</v>
      </c>
      <c r="AN2941">
        <v>1.0000000227802499</v>
      </c>
    </row>
    <row r="2942" spans="1:40" x14ac:dyDescent="0.25">
      <c r="A2942" t="str">
        <f>"20190304155650335"</f>
        <v>20190304155650335</v>
      </c>
      <c r="B2942" t="str">
        <f>"1551686210327628"</f>
        <v>1551686210327628</v>
      </c>
      <c r="C2942" t="s">
        <v>40</v>
      </c>
      <c r="D2942">
        <v>4.5720080000000003</v>
      </c>
      <c r="E2942">
        <v>0.49979170000000001</v>
      </c>
      <c r="F2942" t="s">
        <v>53</v>
      </c>
      <c r="G2942">
        <v>-488.91609999999997</v>
      </c>
      <c r="H2942" s="1">
        <v>8.988308E-7</v>
      </c>
      <c r="I2942">
        <v>202.816</v>
      </c>
      <c r="J2942">
        <v>-492.41250000000002</v>
      </c>
      <c r="K2942">
        <v>1.1156060000000001</v>
      </c>
      <c r="L2942">
        <v>261.99549999999999</v>
      </c>
      <c r="M2942">
        <v>-9.9168110000000004E-2</v>
      </c>
      <c r="N2942">
        <v>-1.208204E-2</v>
      </c>
      <c r="O2942">
        <v>-0.99499740000000003</v>
      </c>
      <c r="P2942">
        <v>6.1130709999999998E-2</v>
      </c>
      <c r="Q2942">
        <v>0.1796748</v>
      </c>
      <c r="R2942">
        <v>-0.9818249</v>
      </c>
      <c r="S2942">
        <v>0.1795349</v>
      </c>
      <c r="T2942">
        <v>-5.7447079999999998E-2</v>
      </c>
      <c r="U2942">
        <v>-3.0544739999999999</v>
      </c>
      <c r="V2942">
        <v>-0.16072979999999901</v>
      </c>
      <c r="W2942">
        <v>0.18927459999999999</v>
      </c>
      <c r="X2942">
        <v>0.96868010000000004</v>
      </c>
      <c r="Y2942">
        <v>-0.157361</v>
      </c>
      <c r="Z2942">
        <v>6.415306E-3</v>
      </c>
      <c r="AA2942">
        <v>0.98752030000000002</v>
      </c>
      <c r="AB2942">
        <v>25</v>
      </c>
      <c r="AC2942">
        <v>3.4964000000000501</v>
      </c>
      <c r="AD2942">
        <v>-1.1156051011692001</v>
      </c>
      <c r="AE2942">
        <v>-59.179499999999997</v>
      </c>
      <c r="AF2942">
        <v>-9.3450005088691093</v>
      </c>
      <c r="AG2942">
        <v>-1.1156051011692001</v>
      </c>
      <c r="AH2942">
        <v>58.520262908010402</v>
      </c>
      <c r="AI2942">
        <v>91.078468971959396</v>
      </c>
      <c r="AJ2942">
        <v>99.072862006232896</v>
      </c>
      <c r="AK2942">
        <v>59.272209171543302</v>
      </c>
      <c r="AL2942">
        <v>79.089546716474104</v>
      </c>
      <c r="AM2942">
        <v>99.421060845733507</v>
      </c>
      <c r="AN2942">
        <v>1.0000000394746</v>
      </c>
    </row>
    <row r="2943" spans="1:40" x14ac:dyDescent="0.25">
      <c r="A2943" t="str">
        <f>"20190304155650350"</f>
        <v>20190304155650350</v>
      </c>
      <c r="B2943" t="str">
        <f>"1551686210347640"</f>
        <v>1551686210347640</v>
      </c>
      <c r="C2943" t="s">
        <v>40</v>
      </c>
      <c r="D2943">
        <v>4.5904099999999897</v>
      </c>
      <c r="E2943">
        <v>0.51357649999999999</v>
      </c>
      <c r="F2943" t="s">
        <v>53</v>
      </c>
      <c r="G2943">
        <v>-488.64159999999998</v>
      </c>
      <c r="H2943" s="1">
        <v>2.6006909999999999E-7</v>
      </c>
      <c r="I2943">
        <v>200.83260000000001</v>
      </c>
      <c r="J2943">
        <v>-492.42340000000002</v>
      </c>
      <c r="K2943">
        <v>1.1155469999999901</v>
      </c>
      <c r="L2943">
        <v>261.83199999999999</v>
      </c>
      <c r="M2943">
        <v>-9.3999509999999994E-2</v>
      </c>
      <c r="N2943">
        <v>-1.2057969999999999E-2</v>
      </c>
      <c r="O2943">
        <v>-0.99549909999999997</v>
      </c>
      <c r="P2943">
        <v>6.5009579999999997E-2</v>
      </c>
      <c r="Q2943">
        <v>0.180064</v>
      </c>
      <c r="R2943">
        <v>-0.98150420000000005</v>
      </c>
      <c r="S2943">
        <v>0.1882935</v>
      </c>
      <c r="T2943">
        <v>-5.570555E-2</v>
      </c>
      <c r="U2943">
        <v>-3.0540470000000002</v>
      </c>
      <c r="V2943">
        <v>-0.15949759999999999</v>
      </c>
      <c r="W2943">
        <v>0.1896786</v>
      </c>
      <c r="X2943">
        <v>0.96880469999999996</v>
      </c>
      <c r="Y2943">
        <v>-0.15506310000000001</v>
      </c>
      <c r="Z2943">
        <v>5.8959490000000002E-3</v>
      </c>
      <c r="AA2943">
        <v>0.98788699999999996</v>
      </c>
      <c r="AB2943">
        <v>25</v>
      </c>
      <c r="AC2943">
        <v>3.7818000000000298</v>
      </c>
      <c r="AD2943">
        <v>-1.11554673993089</v>
      </c>
      <c r="AE2943">
        <v>-60.999399999999902</v>
      </c>
      <c r="AF2943">
        <v>-9.49622014797683</v>
      </c>
      <c r="AG2943">
        <v>-1.11554673993089</v>
      </c>
      <c r="AH2943">
        <v>60.353649174710398</v>
      </c>
      <c r="AI2943">
        <v>91.046039802397999</v>
      </c>
      <c r="AJ2943">
        <v>98.941776974566096</v>
      </c>
      <c r="AK2943">
        <v>61.106346727094</v>
      </c>
      <c r="AL2943">
        <v>79.065971751682397</v>
      </c>
      <c r="AM2943">
        <v>99.348935282011993</v>
      </c>
      <c r="AN2943">
        <v>1.0000000012229</v>
      </c>
    </row>
    <row r="2944" spans="1:40" x14ac:dyDescent="0.25">
      <c r="A2944" t="str">
        <f>"20190304155650366"</f>
        <v>20190304155650366</v>
      </c>
      <c r="B2944" t="str">
        <f>"1551686210357887"</f>
        <v>1551686210357887</v>
      </c>
      <c r="C2944" t="s">
        <v>40</v>
      </c>
      <c r="D2944">
        <v>4.5950470000000001</v>
      </c>
      <c r="E2944">
        <v>0.51389629999999997</v>
      </c>
      <c r="F2944" t="s">
        <v>41</v>
      </c>
      <c r="G2944">
        <v>-490.21480000000003</v>
      </c>
      <c r="H2944" s="1">
        <v>-3.2645619999999998E-6</v>
      </c>
      <c r="I2944">
        <v>187.06569999999999</v>
      </c>
      <c r="J2944">
        <v>-492.43459999999999</v>
      </c>
      <c r="K2944">
        <v>1.1154729999999999</v>
      </c>
      <c r="L2944">
        <v>261.64600000000002</v>
      </c>
      <c r="M2944">
        <v>-8.8220469999999995E-2</v>
      </c>
      <c r="N2944">
        <v>-1.203156E-2</v>
      </c>
      <c r="O2944">
        <v>-0.99602840000000004</v>
      </c>
      <c r="P2944">
        <v>6.834606E-2</v>
      </c>
      <c r="Q2944">
        <v>0.1803409</v>
      </c>
      <c r="R2944">
        <v>-0.98122699999999996</v>
      </c>
      <c r="S2944">
        <v>9.036255E-2</v>
      </c>
      <c r="T2944">
        <v>-4.5641180000000003E-2</v>
      </c>
      <c r="U2944">
        <v>-3.0589599999999999</v>
      </c>
      <c r="V2944">
        <v>-0.15713009999999999</v>
      </c>
      <c r="W2944">
        <v>0.1899914</v>
      </c>
      <c r="X2944">
        <v>0.96913020000000005</v>
      </c>
      <c r="Y2944">
        <v>-0.1175814</v>
      </c>
      <c r="Z2944">
        <v>2.7295570000000001E-3</v>
      </c>
      <c r="AA2944">
        <v>0.99305949999999998</v>
      </c>
      <c r="AB2944">
        <v>25</v>
      </c>
      <c r="AC2944">
        <v>2.2197999999999598</v>
      </c>
      <c r="AD2944">
        <v>-1.115476264562</v>
      </c>
      <c r="AE2944">
        <v>-74.580299999999895</v>
      </c>
      <c r="AF2944">
        <v>-8.7891640481724806</v>
      </c>
      <c r="AG2944">
        <v>-1.115476264562</v>
      </c>
      <c r="AH2944">
        <v>74.077064702488002</v>
      </c>
      <c r="AI2944">
        <v>90.856704890513299</v>
      </c>
      <c r="AJ2944">
        <v>96.766449221567498</v>
      </c>
      <c r="AK2944">
        <v>74.604994517117206</v>
      </c>
      <c r="AL2944">
        <v>79.047717381520897</v>
      </c>
      <c r="AM2944">
        <v>99.209520215656795</v>
      </c>
      <c r="AN2944">
        <v>0.99999997247600403</v>
      </c>
    </row>
    <row r="2945" spans="1:40" x14ac:dyDescent="0.25">
      <c r="A2945" t="str">
        <f>"20190304155650389"</f>
        <v>20190304155650389</v>
      </c>
      <c r="B2945" t="str">
        <f>"1551686210377404"</f>
        <v>1551686210377404</v>
      </c>
      <c r="C2945" t="s">
        <v>40</v>
      </c>
      <c r="D2945">
        <v>4.6175930000000003</v>
      </c>
      <c r="E2945">
        <v>0.5150846</v>
      </c>
      <c r="F2945" t="s">
        <v>41</v>
      </c>
      <c r="G2945">
        <v>-489.80610000000001</v>
      </c>
      <c r="H2945" s="1">
        <v>-8.3284620000000006E-8</v>
      </c>
      <c r="I2945">
        <v>179.74119999999999</v>
      </c>
      <c r="J2945">
        <v>-492.44799999999998</v>
      </c>
      <c r="K2945">
        <v>1.1153789999999999</v>
      </c>
      <c r="L2945">
        <v>261.39999999999998</v>
      </c>
      <c r="M2945">
        <v>-8.0690029999999996E-2</v>
      </c>
      <c r="N2945">
        <v>-1.1997900000000001E-2</v>
      </c>
      <c r="O2945">
        <v>-0.99666710000000003</v>
      </c>
      <c r="P2945">
        <v>7.3005799999999996E-2</v>
      </c>
      <c r="Q2945">
        <v>0.18028440000000001</v>
      </c>
      <c r="R2945">
        <v>-0.98090169999999999</v>
      </c>
      <c r="S2945">
        <v>9.8144529999999994E-2</v>
      </c>
      <c r="T2945">
        <v>-4.1650409999999999E-2</v>
      </c>
      <c r="U2945">
        <v>-3.0582280000000002</v>
      </c>
      <c r="V2945">
        <v>-0.15435470000000001</v>
      </c>
      <c r="W2945">
        <v>0.1899806</v>
      </c>
      <c r="X2945">
        <v>0.9695783</v>
      </c>
      <c r="Y2945">
        <v>-0.11260779999999999</v>
      </c>
      <c r="Z2945">
        <v>1.491119E-3</v>
      </c>
      <c r="AA2945">
        <v>0.99363840000000003</v>
      </c>
      <c r="AB2945">
        <v>25</v>
      </c>
      <c r="AC2945">
        <v>2.6419000000000201</v>
      </c>
      <c r="AD2945">
        <v>-1.11537908328462</v>
      </c>
      <c r="AE2945">
        <v>-81.6587999999999</v>
      </c>
      <c r="AF2945">
        <v>-9.2210904581543396</v>
      </c>
      <c r="AG2945">
        <v>-1.11537908328462</v>
      </c>
      <c r="AH2945">
        <v>81.164174967943694</v>
      </c>
      <c r="AI2945">
        <v>90.782292035166194</v>
      </c>
      <c r="AJ2945">
        <v>96.481602310854498</v>
      </c>
      <c r="AK2945">
        <v>81.693915795265198</v>
      </c>
      <c r="AL2945">
        <v>79.048348412874901</v>
      </c>
      <c r="AM2945">
        <v>99.045454059778095</v>
      </c>
      <c r="AN2945">
        <v>1.0000000408096601</v>
      </c>
    </row>
    <row r="2946" spans="1:40" x14ac:dyDescent="0.25">
      <c r="A2946" t="str">
        <f>"20190304155650403"</f>
        <v>20190304155650403</v>
      </c>
      <c r="B2946" t="str">
        <f>"1551686210397900"</f>
        <v>1551686210397900</v>
      </c>
      <c r="C2946" t="s">
        <v>40</v>
      </c>
      <c r="D2946">
        <v>4.6337140000000003</v>
      </c>
      <c r="E2946">
        <v>0.51505219999999996</v>
      </c>
      <c r="F2946" t="s">
        <v>41</v>
      </c>
      <c r="G2946">
        <v>-489.49149999999997</v>
      </c>
      <c r="H2946" s="1">
        <v>-1.567974E-6</v>
      </c>
      <c r="I2946">
        <v>173.07749999999999</v>
      </c>
      <c r="J2946">
        <v>-492.45589999999999</v>
      </c>
      <c r="K2946">
        <v>1.1152949999999999</v>
      </c>
      <c r="L2946">
        <v>261.23450000000003</v>
      </c>
      <c r="M2946">
        <v>-7.5748750000000004E-2</v>
      </c>
      <c r="N2946">
        <v>-1.197551E-2</v>
      </c>
      <c r="O2946">
        <v>-0.99705509999999997</v>
      </c>
      <c r="P2946">
        <v>7.6500509999999994E-2</v>
      </c>
      <c r="Q2946">
        <v>0.1804366</v>
      </c>
      <c r="R2946">
        <v>-0.98060709999999995</v>
      </c>
      <c r="S2946">
        <v>0.102356</v>
      </c>
      <c r="T2946">
        <v>-3.861618E-2</v>
      </c>
      <c r="U2946">
        <v>-3.0578609999999999</v>
      </c>
      <c r="V2946">
        <v>-0.15296170000000001</v>
      </c>
      <c r="W2946">
        <v>0.19016130000000001</v>
      </c>
      <c r="X2946">
        <v>0.96976359999999995</v>
      </c>
      <c r="Y2946">
        <v>-0.1090539</v>
      </c>
      <c r="Z2946">
        <v>5.4121089999999996E-4</v>
      </c>
      <c r="AA2946">
        <v>0.99403569999999997</v>
      </c>
      <c r="AB2946">
        <v>25</v>
      </c>
      <c r="AC2946">
        <v>2.9644000000000101</v>
      </c>
      <c r="AD2946">
        <v>-1.1152965679739999</v>
      </c>
      <c r="AE2946">
        <v>-88.156999999999996</v>
      </c>
      <c r="AF2946">
        <v>-9.6326027863684995</v>
      </c>
      <c r="AG2946">
        <v>-1.1152965679739999</v>
      </c>
      <c r="AH2946">
        <v>87.665101970607793</v>
      </c>
      <c r="AI2946">
        <v>90.724531172585699</v>
      </c>
      <c r="AJ2946">
        <v>96.270480167561104</v>
      </c>
      <c r="AK2946">
        <v>88.1997790608999</v>
      </c>
      <c r="AL2946">
        <v>79.037802601376697</v>
      </c>
      <c r="AM2946">
        <v>98.963468401317101</v>
      </c>
      <c r="AN2946">
        <v>1.0000000207847599</v>
      </c>
    </row>
    <row r="2947" spans="1:40" x14ac:dyDescent="0.25">
      <c r="A2947" t="str">
        <f>"20190304155650416"</f>
        <v>20190304155650416</v>
      </c>
      <c r="B2947" t="str">
        <f>"1551686210407660"</f>
        <v>1551686210407660</v>
      </c>
      <c r="C2947" t="s">
        <v>40</v>
      </c>
      <c r="D2947">
        <v>4.6327889999999998</v>
      </c>
      <c r="E2947">
        <v>0.51481239999999995</v>
      </c>
      <c r="F2947" t="s">
        <v>41</v>
      </c>
      <c r="G2947">
        <v>-489.26499999999999</v>
      </c>
      <c r="H2947" s="1">
        <v>-2.4278779999999999E-6</v>
      </c>
      <c r="I2947">
        <v>174.98830000000001</v>
      </c>
      <c r="J2947">
        <v>-492.46210000000002</v>
      </c>
      <c r="K2947">
        <v>1.1152139999999999</v>
      </c>
      <c r="L2947">
        <v>261.0958</v>
      </c>
      <c r="M2947">
        <v>-7.1673130000000002E-2</v>
      </c>
      <c r="N2947">
        <v>-1.195677E-2</v>
      </c>
      <c r="O2947">
        <v>-0.99735669999999998</v>
      </c>
      <c r="P2947">
        <v>7.9317589999999993E-2</v>
      </c>
      <c r="Q2947">
        <v>0.1805399</v>
      </c>
      <c r="R2947">
        <v>-0.98036420000000002</v>
      </c>
      <c r="S2947">
        <v>0.1131287</v>
      </c>
      <c r="T2947">
        <v>-3.9541720000000002E-2</v>
      </c>
      <c r="U2947">
        <v>-3.0577700000000001</v>
      </c>
      <c r="V2947">
        <v>-0.15174560000000001</v>
      </c>
      <c r="W2947">
        <v>0.19029190000000001</v>
      </c>
      <c r="X2947">
        <v>0.96992900000000004</v>
      </c>
      <c r="Y2947">
        <v>-0.1084898</v>
      </c>
      <c r="Z2947">
        <v>8.654445E-4</v>
      </c>
      <c r="AA2947">
        <v>0.99409720000000001</v>
      </c>
      <c r="AB2947">
        <v>25</v>
      </c>
      <c r="AC2947">
        <v>3.19710000000003</v>
      </c>
      <c r="AD2947">
        <v>-1.1152164278779999</v>
      </c>
      <c r="AE2947">
        <v>-86.107499999999902</v>
      </c>
      <c r="AF2947">
        <v>-9.3593427147861004</v>
      </c>
      <c r="AG2947">
        <v>-1.1152164278779999</v>
      </c>
      <c r="AH2947">
        <v>85.642506491240496</v>
      </c>
      <c r="AI2947">
        <v>90.741634883406903</v>
      </c>
      <c r="AJ2947">
        <v>96.2367534458796</v>
      </c>
      <c r="AK2947">
        <v>86.159618858465194</v>
      </c>
      <c r="AL2947">
        <v>79.030180362168906</v>
      </c>
      <c r="AM2947">
        <v>98.891856858482299</v>
      </c>
      <c r="AN2947">
        <v>0.99999999968298503</v>
      </c>
    </row>
    <row r="2948" spans="1:40" x14ac:dyDescent="0.25">
      <c r="A2948" t="str">
        <f>"20190304155650434"</f>
        <v>20190304155650434</v>
      </c>
      <c r="B2948" t="str">
        <f>"1551686210427180"</f>
        <v>1551686210427180</v>
      </c>
      <c r="C2948" t="s">
        <v>40</v>
      </c>
      <c r="D2948">
        <v>4.68703</v>
      </c>
      <c r="E2948">
        <v>0.51466229999999902</v>
      </c>
      <c r="F2948" t="s">
        <v>41</v>
      </c>
      <c r="G2948">
        <v>-489.12869999999998</v>
      </c>
      <c r="H2948" s="1">
        <v>-4.1271230000000003E-6</v>
      </c>
      <c r="I2948">
        <v>178.8929</v>
      </c>
      <c r="J2948">
        <v>-492.47039999999998</v>
      </c>
      <c r="K2948">
        <v>1.115083</v>
      </c>
      <c r="L2948">
        <v>260.88940000000002</v>
      </c>
      <c r="M2948">
        <v>-6.5742980000000006E-2</v>
      </c>
      <c r="N2948">
        <v>-1.192876E-2</v>
      </c>
      <c r="O2948">
        <v>-0.99776540000000002</v>
      </c>
      <c r="P2948">
        <v>8.2836530000000005E-2</v>
      </c>
      <c r="Q2948">
        <v>0.18092530000000001</v>
      </c>
      <c r="R2948">
        <v>-0.9800025</v>
      </c>
      <c r="S2948">
        <v>0.1239929</v>
      </c>
      <c r="T2948">
        <v>-4.1482449999999997E-2</v>
      </c>
      <c r="U2948">
        <v>-3.0576780000000001</v>
      </c>
      <c r="V2948">
        <v>-0.14939669999999999</v>
      </c>
      <c r="W2948">
        <v>0.19072819999999999</v>
      </c>
      <c r="X2948">
        <v>0.97020790000000001</v>
      </c>
      <c r="Y2948">
        <v>-0.1061078</v>
      </c>
      <c r="Z2948">
        <v>1.5329860000000001E-3</v>
      </c>
      <c r="AA2948">
        <v>0.9943535</v>
      </c>
      <c r="AB2948">
        <v>25</v>
      </c>
      <c r="AC2948">
        <v>3.3416999999999999</v>
      </c>
      <c r="AD2948">
        <v>-1.1150871271230001</v>
      </c>
      <c r="AE2948">
        <v>-81.996499999999997</v>
      </c>
      <c r="AF2948">
        <v>-8.7239360104406298</v>
      </c>
      <c r="AG2948">
        <v>-1.1150871271230001</v>
      </c>
      <c r="AH2948">
        <v>81.584310756283998</v>
      </c>
      <c r="AI2948">
        <v>90.778626533973707</v>
      </c>
      <c r="AJ2948">
        <v>96.103533145609006</v>
      </c>
      <c r="AK2948">
        <v>82.056993854230697</v>
      </c>
      <c r="AL2948">
        <v>79.004715781703993</v>
      </c>
      <c r="AM2948">
        <v>98.7538894182224</v>
      </c>
      <c r="AN2948">
        <v>0.99999999473426904</v>
      </c>
    </row>
    <row r="2949" spans="1:40" x14ac:dyDescent="0.25">
      <c r="A2949" t="str">
        <f>"20190304155650447"</f>
        <v>20190304155650447</v>
      </c>
      <c r="B2949" t="str">
        <f>"1551686210437916"</f>
        <v>1551686210437916</v>
      </c>
      <c r="C2949" t="s">
        <v>40</v>
      </c>
      <c r="D2949">
        <v>4.6904059999999896</v>
      </c>
      <c r="E2949">
        <v>0.4950659</v>
      </c>
      <c r="F2949" t="s">
        <v>41</v>
      </c>
      <c r="G2949">
        <v>-488.79109999999997</v>
      </c>
      <c r="H2949" s="1">
        <v>-3.8052929999999998E-6</v>
      </c>
      <c r="I2949">
        <v>178.00319999999999</v>
      </c>
      <c r="J2949">
        <v>-492.47559999999999</v>
      </c>
      <c r="K2949">
        <v>1.114981</v>
      </c>
      <c r="L2949">
        <v>260.74259999999998</v>
      </c>
      <c r="M2949">
        <v>-6.1619420000000001E-2</v>
      </c>
      <c r="N2949">
        <v>-1.190869E-2</v>
      </c>
      <c r="O2949">
        <v>-0.99802880000000005</v>
      </c>
      <c r="P2949">
        <v>8.6000660000000007E-2</v>
      </c>
      <c r="Q2949">
        <v>0.18094379999999999</v>
      </c>
      <c r="R2949">
        <v>-0.97972619999999999</v>
      </c>
      <c r="S2949">
        <v>0.13571169999999999</v>
      </c>
      <c r="T2949">
        <v>-4.1130659999999999E-2</v>
      </c>
      <c r="U2949">
        <v>-3.057312</v>
      </c>
      <c r="V2949">
        <v>-0.14847279999999999</v>
      </c>
      <c r="W2949">
        <v>0.19077450000000001</v>
      </c>
      <c r="X2949">
        <v>0.9703406</v>
      </c>
      <c r="Y2949">
        <v>-0.105808399999999</v>
      </c>
      <c r="Z2949">
        <v>1.444428E-3</v>
      </c>
      <c r="AA2949">
        <v>0.99438550000000003</v>
      </c>
      <c r="AB2949">
        <v>25</v>
      </c>
      <c r="AC2949">
        <v>3.6845000000000101</v>
      </c>
      <c r="AD2949">
        <v>-1.114984805293</v>
      </c>
      <c r="AE2949">
        <v>-82.739399999999904</v>
      </c>
      <c r="AF2949">
        <v>-8.7746218535481795</v>
      </c>
      <c r="AG2949">
        <v>-1.114984805293</v>
      </c>
      <c r="AH2949">
        <v>82.340173411814902</v>
      </c>
      <c r="AI2949">
        <v>90.771438816765894</v>
      </c>
      <c r="AJ2949">
        <v>96.082796949960198</v>
      </c>
      <c r="AK2949">
        <v>82.813895798208605</v>
      </c>
      <c r="AL2949">
        <v>79.002013214565906</v>
      </c>
      <c r="AM2949">
        <v>98.699412825034699</v>
      </c>
      <c r="AN2949">
        <v>0.99999998109922394</v>
      </c>
    </row>
    <row r="2950" spans="1:40" x14ac:dyDescent="0.25">
      <c r="A2950" t="str">
        <f>"20190304155650462"</f>
        <v>20190304155650462</v>
      </c>
      <c r="B2950" t="str">
        <f>"1551686210457436"</f>
        <v>1551686210457436</v>
      </c>
      <c r="C2950" t="s">
        <v>40</v>
      </c>
      <c r="D2950">
        <v>4.65585</v>
      </c>
      <c r="E2950">
        <v>0.49480869999999999</v>
      </c>
      <c r="F2950" t="s">
        <v>53</v>
      </c>
      <c r="G2950">
        <v>-488.9042</v>
      </c>
      <c r="H2950" s="1">
        <v>4.8230089999999999E-6</v>
      </c>
      <c r="I2950">
        <v>224.5282</v>
      </c>
      <c r="J2950">
        <v>-492.48059999999998</v>
      </c>
      <c r="K2950">
        <v>1.1148739999999999</v>
      </c>
      <c r="L2950">
        <v>260.58670000000001</v>
      </c>
      <c r="M2950">
        <v>-5.7348330000000003E-2</v>
      </c>
      <c r="N2950">
        <v>-1.188782E-2</v>
      </c>
      <c r="O2950">
        <v>-0.99828349999999999</v>
      </c>
      <c r="P2950">
        <v>8.8937710000000003E-2</v>
      </c>
      <c r="Q2950">
        <v>0.18070839999999999</v>
      </c>
      <c r="R2950">
        <v>-0.97950749999999998</v>
      </c>
      <c r="S2950">
        <v>0.30108639999999998</v>
      </c>
      <c r="T2950">
        <v>-9.3996640000000006E-2</v>
      </c>
      <c r="U2950">
        <v>-3.0530089999999999</v>
      </c>
      <c r="V2950">
        <v>-0.147177799999999</v>
      </c>
      <c r="W2950">
        <v>0.19057370000000001</v>
      </c>
      <c r="X2950">
        <v>0.97057729999999998</v>
      </c>
      <c r="Y2950">
        <v>-0.15500129999999901</v>
      </c>
      <c r="Z2950">
        <v>1.8519890000000001E-2</v>
      </c>
      <c r="AA2950">
        <v>0.98774059999999997</v>
      </c>
      <c r="AB2950">
        <v>25</v>
      </c>
      <c r="AC2950">
        <v>3.5763999999999698</v>
      </c>
      <c r="AD2950">
        <v>-1.114869176991</v>
      </c>
      <c r="AE2950">
        <v>-36.058500000000002</v>
      </c>
      <c r="AF2950">
        <v>-5.6332214400815097</v>
      </c>
      <c r="AG2950">
        <v>-1.114869176991</v>
      </c>
      <c r="AH2950">
        <v>35.760180846912903</v>
      </c>
      <c r="AI2950">
        <v>91.763952378193693</v>
      </c>
      <c r="AJ2950">
        <v>98.952111077609104</v>
      </c>
      <c r="AK2950">
        <v>36.218319277386698</v>
      </c>
      <c r="AL2950">
        <v>79.013733079792203</v>
      </c>
      <c r="AM2950">
        <v>98.622609551047006</v>
      </c>
      <c r="AN2950">
        <v>0.99999996760990895</v>
      </c>
    </row>
    <row r="2951" spans="1:40" x14ac:dyDescent="0.25">
      <c r="A2951" t="str">
        <f>"20190304155650481"</f>
        <v>20190304155650481</v>
      </c>
      <c r="B2951" t="str">
        <f>"1551686210477932"</f>
        <v>1551686210477932</v>
      </c>
      <c r="C2951" t="s">
        <v>40</v>
      </c>
      <c r="D2951">
        <v>4.6275209999999998</v>
      </c>
      <c r="E2951">
        <v>0.4944209</v>
      </c>
      <c r="F2951" t="s">
        <v>53</v>
      </c>
      <c r="G2951">
        <v>-487.34010000000001</v>
      </c>
      <c r="H2951" s="1">
        <v>2.6674460000000001E-6</v>
      </c>
      <c r="I2951">
        <v>210.3922</v>
      </c>
      <c r="J2951">
        <v>-492.48660000000001</v>
      </c>
      <c r="K2951">
        <v>1.114725</v>
      </c>
      <c r="L2951">
        <v>260.37150000000003</v>
      </c>
      <c r="M2951">
        <v>-5.1608029999999999E-2</v>
      </c>
      <c r="N2951">
        <v>-1.186007E-2</v>
      </c>
      <c r="O2951">
        <v>-0.99859699999999996</v>
      </c>
      <c r="P2951">
        <v>9.2385770000000006E-2</v>
      </c>
      <c r="Q2951">
        <v>0.1799741</v>
      </c>
      <c r="R2951">
        <v>-0.97932339999999996</v>
      </c>
      <c r="S2951">
        <v>0.31204219999999999</v>
      </c>
      <c r="T2951">
        <v>-6.7675589999999994E-2</v>
      </c>
      <c r="U2951">
        <v>-3.0469360000000001</v>
      </c>
      <c r="V2951">
        <v>-0.14493829999999999</v>
      </c>
      <c r="W2951">
        <v>0.1898968</v>
      </c>
      <c r="X2951">
        <v>0.97104690000000005</v>
      </c>
      <c r="Y2951">
        <v>-0.1530503</v>
      </c>
      <c r="Z2951">
        <v>1.0082860000000001E-2</v>
      </c>
      <c r="AA2951">
        <v>0.98816700000000002</v>
      </c>
      <c r="AB2951">
        <v>25</v>
      </c>
      <c r="AC2951">
        <v>5.1464999999999996</v>
      </c>
      <c r="AD2951">
        <v>-1.1147223325540001</v>
      </c>
      <c r="AE2951">
        <v>-49.979300000000002</v>
      </c>
      <c r="AF2951">
        <v>-7.7153577476208799</v>
      </c>
      <c r="AG2951">
        <v>-1.1147223325540001</v>
      </c>
      <c r="AH2951">
        <v>49.622643697881401</v>
      </c>
      <c r="AI2951">
        <v>91.2716020070539</v>
      </c>
      <c r="AJ2951">
        <v>98.837620586686896</v>
      </c>
      <c r="AK2951">
        <v>50.231226529115901</v>
      </c>
      <c r="AL2951">
        <v>79.053238302531497</v>
      </c>
      <c r="AM2951">
        <v>98.489285969159496</v>
      </c>
      <c r="AN2951">
        <v>0.99999999372837001</v>
      </c>
    </row>
    <row r="2952" spans="1:40" x14ac:dyDescent="0.25">
      <c r="A2952" t="str">
        <f>"20190304155650502"</f>
        <v>20190304155650502</v>
      </c>
      <c r="B2952" t="str">
        <f>"1551686210497453"</f>
        <v>1551686210497453</v>
      </c>
      <c r="C2952" t="s">
        <v>40</v>
      </c>
      <c r="D2952">
        <v>4.6543029999999996</v>
      </c>
      <c r="E2952">
        <v>0.4946586</v>
      </c>
      <c r="F2952" t="s">
        <v>53</v>
      </c>
      <c r="G2952">
        <v>-487.48059999999998</v>
      </c>
      <c r="H2952" s="1">
        <v>2.8251400000000001E-6</v>
      </c>
      <c r="I2952">
        <v>213.42959999999999</v>
      </c>
      <c r="J2952">
        <v>-492.49209999999999</v>
      </c>
      <c r="K2952">
        <v>1.114541</v>
      </c>
      <c r="L2952">
        <v>260.12970000000001</v>
      </c>
      <c r="M2952">
        <v>-4.5415360000000002E-2</v>
      </c>
      <c r="N2952">
        <v>-1.182947E-2</v>
      </c>
      <c r="O2952">
        <v>-0.99889810000000001</v>
      </c>
      <c r="P2952">
        <v>9.6389900000000001E-2</v>
      </c>
      <c r="Q2952">
        <v>0.1802906</v>
      </c>
      <c r="R2952">
        <v>-0.9788789</v>
      </c>
      <c r="S2952">
        <v>0.32482909999999998</v>
      </c>
      <c r="T2952">
        <v>-7.233262E-2</v>
      </c>
      <c r="U2952">
        <v>-3.0459900000000002</v>
      </c>
      <c r="V2952">
        <v>-0.1428007</v>
      </c>
      <c r="W2952">
        <v>0.1902722</v>
      </c>
      <c r="X2952">
        <v>0.97129010000000005</v>
      </c>
      <c r="Y2952">
        <v>-0.15105450000000001</v>
      </c>
      <c r="Z2952">
        <v>1.1644170000000001E-2</v>
      </c>
      <c r="AA2952">
        <v>0.98845680000000002</v>
      </c>
      <c r="AB2952">
        <v>25</v>
      </c>
      <c r="AC2952">
        <v>5.0115000000000096</v>
      </c>
      <c r="AD2952">
        <v>-1.1145381748600001</v>
      </c>
      <c r="AE2952">
        <v>-46.700099999999999</v>
      </c>
      <c r="AF2952">
        <v>-7.1233675942976902</v>
      </c>
      <c r="AG2952">
        <v>-1.1145381748600001</v>
      </c>
      <c r="AH2952">
        <v>46.398166047129699</v>
      </c>
      <c r="AI2952">
        <v>91.360117079104</v>
      </c>
      <c r="AJ2952">
        <v>98.728293642695405</v>
      </c>
      <c r="AK2952">
        <v>46.955025010787999</v>
      </c>
      <c r="AL2952">
        <v>79.031330145265898</v>
      </c>
      <c r="AM2952">
        <v>98.363802864503796</v>
      </c>
      <c r="AN2952">
        <v>1.00000000418567</v>
      </c>
    </row>
    <row r="2953" spans="1:40" x14ac:dyDescent="0.25">
      <c r="A2953" t="str">
        <f>"20190304155650515"</f>
        <v>20190304155650515</v>
      </c>
      <c r="B2953" t="str">
        <f>"1551686210507213"</f>
        <v>1551686210507213</v>
      </c>
      <c r="C2953" t="s">
        <v>40</v>
      </c>
      <c r="D2953">
        <v>4.6487559999999997</v>
      </c>
      <c r="E2953">
        <v>0.49492920000000001</v>
      </c>
      <c r="F2953" t="s">
        <v>53</v>
      </c>
      <c r="G2953">
        <v>-487.45819999999998</v>
      </c>
      <c r="H2953" s="1">
        <v>2.8643210000000002E-6</v>
      </c>
      <c r="I2953">
        <v>214.41679999999999</v>
      </c>
      <c r="J2953">
        <v>-492.49489999999997</v>
      </c>
      <c r="K2953">
        <v>1.1144259999999999</v>
      </c>
      <c r="L2953">
        <v>259.98329999999999</v>
      </c>
      <c r="M2953">
        <v>-4.1801619999999998E-2</v>
      </c>
      <c r="N2953">
        <v>-1.1810940000000001E-2</v>
      </c>
      <c r="O2953">
        <v>-0.99905630000000001</v>
      </c>
      <c r="P2953">
        <v>9.9009410000000006E-2</v>
      </c>
      <c r="Q2953">
        <v>0.1808071</v>
      </c>
      <c r="R2953">
        <v>-0.97852249999999996</v>
      </c>
      <c r="S2953">
        <v>0.33535769999999998</v>
      </c>
      <c r="T2953">
        <v>-7.4250220000000006E-2</v>
      </c>
      <c r="U2953">
        <v>-3.0453800000000002</v>
      </c>
      <c r="V2953">
        <v>-0.14183299999999999</v>
      </c>
      <c r="W2953">
        <v>0.19081989999999999</v>
      </c>
      <c r="X2953">
        <v>0.97132439999999998</v>
      </c>
      <c r="Y2953">
        <v>-0.15087579999999901</v>
      </c>
      <c r="Z2953">
        <v>1.229338E-2</v>
      </c>
      <c r="AA2953">
        <v>0.98847629999999997</v>
      </c>
      <c r="AB2953">
        <v>25</v>
      </c>
      <c r="AC2953">
        <v>5.03669999999999</v>
      </c>
      <c r="AD2953">
        <v>-1.114423135679</v>
      </c>
      <c r="AE2953">
        <v>-45.566499999999898</v>
      </c>
      <c r="AF2953">
        <v>-6.93308604257001</v>
      </c>
      <c r="AG2953">
        <v>-1.114423135679</v>
      </c>
      <c r="AH2953">
        <v>45.289346530646597</v>
      </c>
      <c r="AI2953">
        <v>91.393352447132898</v>
      </c>
      <c r="AJ2953">
        <v>98.703513339623797</v>
      </c>
      <c r="AK2953">
        <v>45.830497817195997</v>
      </c>
      <c r="AL2953">
        <v>78.999363094083805</v>
      </c>
      <c r="AM2953">
        <v>98.307629373475393</v>
      </c>
      <c r="AN2953">
        <v>0.99999996208018405</v>
      </c>
    </row>
    <row r="2954" spans="1:40" x14ac:dyDescent="0.25">
      <c r="A2954" t="str">
        <f>"20190304155650534"</f>
        <v>20190304155650534</v>
      </c>
      <c r="B2954" t="str">
        <f>"1551686210527708"</f>
        <v>1551686210527708</v>
      </c>
      <c r="C2954" t="s">
        <v>40</v>
      </c>
      <c r="D2954">
        <v>4.6261739999999998</v>
      </c>
      <c r="E2954">
        <v>0.4954597</v>
      </c>
      <c r="F2954" t="s">
        <v>53</v>
      </c>
      <c r="G2954">
        <v>-487.27179999999998</v>
      </c>
      <c r="H2954" s="1">
        <v>2.7857170000000001E-6</v>
      </c>
      <c r="I2954">
        <v>213.37520000000001</v>
      </c>
      <c r="J2954">
        <v>-492.49829999999997</v>
      </c>
      <c r="K2954">
        <v>1.114242</v>
      </c>
      <c r="L2954">
        <v>259.7604</v>
      </c>
      <c r="M2954">
        <v>-3.6513780000000003E-2</v>
      </c>
      <c r="N2954">
        <v>-1.1782549999999999E-2</v>
      </c>
      <c r="O2954">
        <v>-0.99926389999999998</v>
      </c>
      <c r="P2954">
        <v>0.1023143</v>
      </c>
      <c r="Q2954">
        <v>0.18129029999999999</v>
      </c>
      <c r="R2954">
        <v>-0.97809330000000005</v>
      </c>
      <c r="S2954">
        <v>0.34121699999999999</v>
      </c>
      <c r="T2954">
        <v>-7.2802779999999997E-2</v>
      </c>
      <c r="U2954">
        <v>-3.0448</v>
      </c>
      <c r="V2954">
        <v>-0.1398846</v>
      </c>
      <c r="W2954">
        <v>0.19135959999999999</v>
      </c>
      <c r="X2954">
        <v>0.97150080000000005</v>
      </c>
      <c r="Y2954">
        <v>-0.1475445</v>
      </c>
      <c r="Z2954">
        <v>1.187001E-2</v>
      </c>
      <c r="AA2954">
        <v>0.98898419999999998</v>
      </c>
      <c r="AB2954">
        <v>25</v>
      </c>
      <c r="AC2954">
        <v>5.2264999999999802</v>
      </c>
      <c r="AD2954">
        <v>-1.114239214283</v>
      </c>
      <c r="AE2954">
        <v>-46.385199999999998</v>
      </c>
      <c r="AF2954">
        <v>-6.9128914956350096</v>
      </c>
      <c r="AG2954">
        <v>-1.114239214283</v>
      </c>
      <c r="AH2954">
        <v>46.1371225267442</v>
      </c>
      <c r="AI2954">
        <v>91.368191674269795</v>
      </c>
      <c r="AJ2954">
        <v>98.521441565158099</v>
      </c>
      <c r="AK2954">
        <v>46.665444098442599</v>
      </c>
      <c r="AL2954">
        <v>78.967860475898703</v>
      </c>
      <c r="AM2954">
        <v>98.193598002879199</v>
      </c>
      <c r="AN2954">
        <v>1.0000000011149801</v>
      </c>
    </row>
    <row r="2955" spans="1:40" x14ac:dyDescent="0.25">
      <c r="A2955" t="str">
        <f>"20190304155650547"</f>
        <v>20190304155650547</v>
      </c>
      <c r="B2955" t="str">
        <f>"1551686210537468"</f>
        <v>1551686210537468</v>
      </c>
      <c r="C2955" t="s">
        <v>40</v>
      </c>
      <c r="D2955">
        <v>4.6385759999999996</v>
      </c>
      <c r="E2955">
        <v>0.49578709999999998</v>
      </c>
      <c r="F2955" t="s">
        <v>53</v>
      </c>
      <c r="G2955">
        <v>-487.17320000000001</v>
      </c>
      <c r="H2955" s="1">
        <v>2.7473610000000001E-6</v>
      </c>
      <c r="I2955">
        <v>212.89779999999999</v>
      </c>
      <c r="J2955">
        <v>-492.5</v>
      </c>
      <c r="K2955">
        <v>1.114123</v>
      </c>
      <c r="L2955">
        <v>259.62099999999998</v>
      </c>
      <c r="M2955">
        <v>-3.332661E-2</v>
      </c>
      <c r="N2955">
        <v>-1.176485E-2</v>
      </c>
      <c r="O2955">
        <v>-0.99937529999999997</v>
      </c>
      <c r="P2955">
        <v>0.1047078</v>
      </c>
      <c r="Q2955">
        <v>0.18087619999999999</v>
      </c>
      <c r="R2955">
        <v>-0.97791640000000002</v>
      </c>
      <c r="S2955">
        <v>0.34594730000000001</v>
      </c>
      <c r="T2955">
        <v>-7.2386619999999999E-2</v>
      </c>
      <c r="U2955">
        <v>-3.0444339999999999</v>
      </c>
      <c r="V2955">
        <v>-0.13910520000000001</v>
      </c>
      <c r="W2955">
        <v>0.1909786</v>
      </c>
      <c r="X2955">
        <v>0.97168770000000004</v>
      </c>
      <c r="Y2955">
        <v>-0.1459211</v>
      </c>
      <c r="Z2955">
        <v>1.1761829999999999E-2</v>
      </c>
      <c r="AA2955">
        <v>0.9892263</v>
      </c>
      <c r="AB2955">
        <v>25</v>
      </c>
      <c r="AC2955">
        <v>5.3267999999999898</v>
      </c>
      <c r="AD2955">
        <v>-1.1141202526389999</v>
      </c>
      <c r="AE2955">
        <v>-46.723199999999899</v>
      </c>
      <c r="AF2955">
        <v>-6.8772140762701097</v>
      </c>
      <c r="AG2955">
        <v>-1.1141202526389999</v>
      </c>
      <c r="AH2955">
        <v>46.493609278413999</v>
      </c>
      <c r="AI2955">
        <v>91.357938985398206</v>
      </c>
      <c r="AJ2955">
        <v>98.414031964467995</v>
      </c>
      <c r="AK2955">
        <v>47.012690213622299</v>
      </c>
      <c r="AL2955">
        <v>78.990100705369798</v>
      </c>
      <c r="AM2955">
        <v>98.1470139271607</v>
      </c>
      <c r="AN2955">
        <v>1.0000000343281401</v>
      </c>
    </row>
    <row r="2956" spans="1:40" x14ac:dyDescent="0.25">
      <c r="A2956" t="str">
        <f>"20190304155650559"</f>
        <v>20190304155650559</v>
      </c>
      <c r="B2956" t="str">
        <f>"1551686210547229"</f>
        <v>1551686210547229</v>
      </c>
      <c r="C2956" t="s">
        <v>40</v>
      </c>
      <c r="D2956">
        <v>4.6206170000000002</v>
      </c>
      <c r="E2956">
        <v>0.4960832</v>
      </c>
      <c r="F2956" t="s">
        <v>53</v>
      </c>
      <c r="G2956">
        <v>-487.19889999999998</v>
      </c>
      <c r="H2956" s="1">
        <v>2.7805220000000001E-6</v>
      </c>
      <c r="I2956">
        <v>213.55189999999999</v>
      </c>
      <c r="J2956">
        <v>-492.50119999999998</v>
      </c>
      <c r="K2956">
        <v>1.113998</v>
      </c>
      <c r="L2956">
        <v>259.48129999999998</v>
      </c>
      <c r="M2956">
        <v>-3.0263689999999999E-2</v>
      </c>
      <c r="N2956">
        <v>-1.1747250000000001E-2</v>
      </c>
      <c r="O2956">
        <v>-0.9994729</v>
      </c>
      <c r="P2956">
        <v>0.1066835</v>
      </c>
      <c r="Q2956">
        <v>0.1807503</v>
      </c>
      <c r="R2956">
        <v>-0.97772599999999998</v>
      </c>
      <c r="S2956">
        <v>0.35025020000000001</v>
      </c>
      <c r="T2956">
        <v>-7.3611620000000003E-2</v>
      </c>
      <c r="U2956">
        <v>-3.0438540000000001</v>
      </c>
      <c r="V2956">
        <v>-0.13803080000000001</v>
      </c>
      <c r="W2956">
        <v>0.19088869999999999</v>
      </c>
      <c r="X2956">
        <v>0.97185849999999996</v>
      </c>
      <c r="Y2956">
        <v>-0.14429</v>
      </c>
      <c r="Z2956">
        <v>1.2188620000000001E-2</v>
      </c>
      <c r="AA2956">
        <v>0.98946040000000002</v>
      </c>
      <c r="AB2956">
        <v>25</v>
      </c>
      <c r="AC2956">
        <v>5.3022999999999998</v>
      </c>
      <c r="AD2956">
        <v>-1.1139952194780001</v>
      </c>
      <c r="AE2956">
        <v>-45.929400000000001</v>
      </c>
      <c r="AF2956">
        <v>-6.6860784446317396</v>
      </c>
      <c r="AG2956">
        <v>-1.1139952194780001</v>
      </c>
      <c r="AH2956">
        <v>45.721337618807702</v>
      </c>
      <c r="AI2956">
        <v>91.381046237697305</v>
      </c>
      <c r="AJ2956">
        <v>98.319701097680294</v>
      </c>
      <c r="AK2956">
        <v>46.221048711272097</v>
      </c>
      <c r="AL2956">
        <v>78.995347424920496</v>
      </c>
      <c r="AM2956">
        <v>98.083522263994993</v>
      </c>
      <c r="AN2956">
        <v>0.99999997077928904</v>
      </c>
    </row>
    <row r="2957" spans="1:40" x14ac:dyDescent="0.25">
      <c r="A2957" t="str">
        <f>"20190304155650572"</f>
        <v>20190304155650572</v>
      </c>
      <c r="B2957" t="str">
        <f>"1551686210567725"</f>
        <v>1551686210567725</v>
      </c>
      <c r="C2957" t="s">
        <v>40</v>
      </c>
      <c r="D2957">
        <v>4.6295349999999997</v>
      </c>
      <c r="E2957">
        <v>0.49601659999999997</v>
      </c>
      <c r="F2957" t="s">
        <v>53</v>
      </c>
      <c r="G2957">
        <v>-487.19490000000002</v>
      </c>
      <c r="H2957" s="1">
        <v>2.792141E-6</v>
      </c>
      <c r="I2957">
        <v>213.834</v>
      </c>
      <c r="J2957">
        <v>-492.50229999999999</v>
      </c>
      <c r="K2957">
        <v>1.1138629999999901</v>
      </c>
      <c r="L2957">
        <v>259.33609999999999</v>
      </c>
      <c r="M2957">
        <v>-2.7153320000000002E-2</v>
      </c>
      <c r="N2957">
        <v>-1.1729389999999999E-2</v>
      </c>
      <c r="O2957">
        <v>-0.99956239999999996</v>
      </c>
      <c r="P2957">
        <v>0.1087668</v>
      </c>
      <c r="Q2957">
        <v>0.18022099999999999</v>
      </c>
      <c r="R2957">
        <v>-0.97759399999999996</v>
      </c>
      <c r="S2957">
        <v>0.3537903</v>
      </c>
      <c r="T2957">
        <v>-7.4273820000000004E-2</v>
      </c>
      <c r="U2957">
        <v>-3.0434570000000001</v>
      </c>
      <c r="V2957">
        <v>-0.13701250000000001</v>
      </c>
      <c r="W2957">
        <v>0.19039729999999999</v>
      </c>
      <c r="X2957">
        <v>0.97209900000000005</v>
      </c>
      <c r="Y2957">
        <v>-0.14236070000000001</v>
      </c>
      <c r="Z2957">
        <v>1.243201E-2</v>
      </c>
      <c r="AA2957">
        <v>0.98973679999999997</v>
      </c>
      <c r="AB2957">
        <v>25</v>
      </c>
      <c r="AC2957">
        <v>5.3073999999999701</v>
      </c>
      <c r="AD2957">
        <v>-1.1138602078590001</v>
      </c>
      <c r="AE2957">
        <v>-45.502099999999899</v>
      </c>
      <c r="AF2957">
        <v>-6.5371962014367204</v>
      </c>
      <c r="AG2957">
        <v>-1.1138602078590001</v>
      </c>
      <c r="AH2957">
        <v>45.314407141544798</v>
      </c>
      <c r="AI2957">
        <v>91.393665364698904</v>
      </c>
      <c r="AJ2957">
        <v>98.209030268649101</v>
      </c>
      <c r="AK2957">
        <v>45.7970644619108</v>
      </c>
      <c r="AL2957">
        <v>79.024029052539603</v>
      </c>
      <c r="AM2957">
        <v>98.022707541445698</v>
      </c>
      <c r="AN2957">
        <v>1.00000001140227</v>
      </c>
    </row>
    <row r="2958" spans="1:40" x14ac:dyDescent="0.25">
      <c r="A2958" t="str">
        <f>"20190304155650592"</f>
        <v>20190304155650592</v>
      </c>
      <c r="B2958" t="str">
        <f>"1551686210587245"</f>
        <v>1551686210587245</v>
      </c>
      <c r="C2958" t="s">
        <v>40</v>
      </c>
      <c r="D2958">
        <v>4.6374199999999997</v>
      </c>
      <c r="E2958">
        <v>0.4965927</v>
      </c>
      <c r="F2958" t="s">
        <v>53</v>
      </c>
      <c r="G2958">
        <v>-487.4015</v>
      </c>
      <c r="H2958" s="1">
        <v>2.9314430000000001E-6</v>
      </c>
      <c r="I2958">
        <v>216.18260000000001</v>
      </c>
      <c r="J2958">
        <v>-492.50319999999999</v>
      </c>
      <c r="K2958">
        <v>1.1136539999999999</v>
      </c>
      <c r="L2958">
        <v>259.12049999999999</v>
      </c>
      <c r="M2958">
        <v>-2.2797540000000002E-2</v>
      </c>
      <c r="N2958">
        <v>-1.1702890000000001E-2</v>
      </c>
      <c r="O2958">
        <v>-0.99967159999999999</v>
      </c>
      <c r="P2958">
        <v>0.11121780000000001</v>
      </c>
      <c r="Q2958">
        <v>0.180755</v>
      </c>
      <c r="R2958">
        <v>-0.97721979999999997</v>
      </c>
      <c r="S2958">
        <v>0.35971069999999999</v>
      </c>
      <c r="T2958">
        <v>-7.8550220000000004E-2</v>
      </c>
      <c r="U2958">
        <v>-3.0432130000000002</v>
      </c>
      <c r="V2958">
        <v>-0.13511379999999901</v>
      </c>
      <c r="W2958">
        <v>0.1909931</v>
      </c>
      <c r="X2958">
        <v>0.9722478</v>
      </c>
      <c r="Y2958">
        <v>-0.13995299999999999</v>
      </c>
      <c r="Z2958">
        <v>1.3860519999999999E-2</v>
      </c>
      <c r="AA2958">
        <v>0.99006110000000003</v>
      </c>
      <c r="AB2958">
        <v>25</v>
      </c>
      <c r="AC2958">
        <v>5.1016999999999904</v>
      </c>
      <c r="AD2958">
        <v>-1.113651068557</v>
      </c>
      <c r="AE2958">
        <v>-42.9378999999999</v>
      </c>
      <c r="AF2958">
        <v>-6.0752895221569503</v>
      </c>
      <c r="AG2958">
        <v>-1.113651068557</v>
      </c>
      <c r="AH2958">
        <v>42.782046292253199</v>
      </c>
      <c r="AI2958">
        <v>91.476314061262798</v>
      </c>
      <c r="AJ2958">
        <v>98.082281820729307</v>
      </c>
      <c r="AK2958">
        <v>43.225604060938501</v>
      </c>
      <c r="AL2958">
        <v>78.989253329215799</v>
      </c>
      <c r="AM2958">
        <v>97.911752276631702</v>
      </c>
      <c r="AN2958">
        <v>0.99999994390144298</v>
      </c>
    </row>
    <row r="2959" spans="1:40" x14ac:dyDescent="0.25">
      <c r="A2959" t="str">
        <f>"20190304155650606"</f>
        <v>20190304155650606</v>
      </c>
      <c r="B2959" t="str">
        <f>"1551686210597981"</f>
        <v>1551686210597981</v>
      </c>
      <c r="C2959" t="s">
        <v>40</v>
      </c>
      <c r="D2959">
        <v>4.6371019999999996</v>
      </c>
      <c r="E2959">
        <v>0.49699710000000002</v>
      </c>
      <c r="F2959" t="s">
        <v>53</v>
      </c>
      <c r="G2959">
        <v>-487.27600000000001</v>
      </c>
      <c r="H2959" s="1">
        <v>2.865394E-6</v>
      </c>
      <c r="I2959">
        <v>215.1807</v>
      </c>
      <c r="J2959">
        <v>-492.5034</v>
      </c>
      <c r="K2959">
        <v>1.113486</v>
      </c>
      <c r="L2959">
        <v>258.95600000000002</v>
      </c>
      <c r="M2959">
        <v>-1.9672680000000001E-2</v>
      </c>
      <c r="N2959">
        <v>-1.1682619999999999E-2</v>
      </c>
      <c r="O2959">
        <v>-0.99973829999999997</v>
      </c>
      <c r="P2959">
        <v>0.1134493</v>
      </c>
      <c r="Q2959">
        <v>0.18127399999999999</v>
      </c>
      <c r="R2959">
        <v>-0.97686709999999999</v>
      </c>
      <c r="S2959">
        <v>0.36199949999999997</v>
      </c>
      <c r="T2959">
        <v>-7.7124600000000001E-2</v>
      </c>
      <c r="U2959">
        <v>-3.042999</v>
      </c>
      <c r="V2959">
        <v>-0.13421749999999999</v>
      </c>
      <c r="W2959">
        <v>0.1915548</v>
      </c>
      <c r="X2959">
        <v>0.9722615</v>
      </c>
      <c r="Y2959">
        <v>-0.13760169999999999</v>
      </c>
      <c r="Z2959">
        <v>1.3426189999999999E-2</v>
      </c>
      <c r="AA2959">
        <v>0.99039659999999996</v>
      </c>
      <c r="AB2959">
        <v>25</v>
      </c>
      <c r="AC2959">
        <v>5.2273999999999798</v>
      </c>
      <c r="AD2959">
        <v>-1.1134831346059999</v>
      </c>
      <c r="AE2959">
        <v>-43.775299999999902</v>
      </c>
      <c r="AF2959">
        <v>-6.0837435118026297</v>
      </c>
      <c r="AG2959">
        <v>-1.1134831346059999</v>
      </c>
      <c r="AH2959">
        <v>43.636147252755599</v>
      </c>
      <c r="AI2959">
        <v>91.447728264752996</v>
      </c>
      <c r="AJ2959">
        <v>97.937004585493298</v>
      </c>
      <c r="AK2959">
        <v>44.0722716327695</v>
      </c>
      <c r="AL2959">
        <v>78.956465549290499</v>
      </c>
      <c r="AM2959">
        <v>97.859817103823005</v>
      </c>
      <c r="AN2959">
        <v>1.00000000154577</v>
      </c>
    </row>
    <row r="2960" spans="1:40" x14ac:dyDescent="0.25">
      <c r="A2960" t="str">
        <f>"20190304155650624"</f>
        <v>20190304155650624</v>
      </c>
      <c r="B2960" t="str">
        <f>"1551686210617501"</f>
        <v>1551686210617501</v>
      </c>
      <c r="C2960" t="s">
        <v>40</v>
      </c>
      <c r="D2960">
        <v>4.5491910000000004</v>
      </c>
      <c r="E2960">
        <v>0.4974442</v>
      </c>
      <c r="F2960" t="s">
        <v>53</v>
      </c>
      <c r="G2960">
        <v>-487.08109999999999</v>
      </c>
      <c r="H2960" s="1">
        <v>2.7716860000000001E-6</v>
      </c>
      <c r="I2960">
        <v>213.8278</v>
      </c>
      <c r="J2960">
        <v>-492.50319999999999</v>
      </c>
      <c r="K2960">
        <v>1.113283</v>
      </c>
      <c r="L2960">
        <v>258.75299999999999</v>
      </c>
      <c r="M2960">
        <v>-1.6018029999999999E-2</v>
      </c>
      <c r="N2960">
        <v>-1.165833E-2</v>
      </c>
      <c r="O2960">
        <v>-0.99980369999999996</v>
      </c>
      <c r="P2960">
        <v>0.115439899999999</v>
      </c>
      <c r="Q2960">
        <v>0.18141289999999999</v>
      </c>
      <c r="R2960">
        <v>-0.97660820000000004</v>
      </c>
      <c r="S2960">
        <v>0.36557010000000001</v>
      </c>
      <c r="T2960">
        <v>-7.5070739999999997E-2</v>
      </c>
      <c r="U2960">
        <v>-3.0425260000000001</v>
      </c>
      <c r="V2960">
        <v>-0.13254639999999901</v>
      </c>
      <c r="W2960">
        <v>0.19175039999999999</v>
      </c>
      <c r="X2960">
        <v>0.97245219999999999</v>
      </c>
      <c r="Y2960">
        <v>-0.13514670000000001</v>
      </c>
      <c r="Z2960">
        <v>1.279285E-2</v>
      </c>
      <c r="AA2960">
        <v>0.99074300000000004</v>
      </c>
      <c r="AB2960">
        <v>25</v>
      </c>
      <c r="AC2960">
        <v>5.4221000000000004</v>
      </c>
      <c r="AD2960">
        <v>-1.113280228314</v>
      </c>
      <c r="AE2960">
        <v>-44.925199999999897</v>
      </c>
      <c r="AF2960">
        <v>-6.1373516525050498</v>
      </c>
      <c r="AG2960">
        <v>-1.113280228314</v>
      </c>
      <c r="AH2960">
        <v>44.8054588314127</v>
      </c>
      <c r="AI2960">
        <v>91.410171497511001</v>
      </c>
      <c r="AJ2960">
        <v>97.799707847345502</v>
      </c>
      <c r="AK2960">
        <v>45.237546565510002</v>
      </c>
      <c r="AL2960">
        <v>78.945047060386003</v>
      </c>
      <c r="AM2960">
        <v>97.761653851088894</v>
      </c>
      <c r="AN2960">
        <v>1.00000002266897</v>
      </c>
    </row>
    <row r="2961" spans="1:40" x14ac:dyDescent="0.25">
      <c r="A2961" t="str">
        <f>"20190304155650637"</f>
        <v>20190304155650637</v>
      </c>
      <c r="B2961" t="str">
        <f>"1551686210627260"</f>
        <v>1551686210627260</v>
      </c>
      <c r="C2961" t="s">
        <v>40</v>
      </c>
      <c r="D2961">
        <v>4.6876110000000004</v>
      </c>
      <c r="E2961">
        <v>0.49758960000000002</v>
      </c>
      <c r="F2961" t="s">
        <v>53</v>
      </c>
      <c r="G2961">
        <v>-486.97829999999999</v>
      </c>
      <c r="H2961" s="1">
        <v>2.713626E-6</v>
      </c>
      <c r="I2961">
        <v>212.91669999999999</v>
      </c>
      <c r="J2961">
        <v>-492.50279999999998</v>
      </c>
      <c r="K2961">
        <v>1.1131180000000001</v>
      </c>
      <c r="L2961">
        <v>258.59269999999998</v>
      </c>
      <c r="M2961">
        <v>-1.330655E-2</v>
      </c>
      <c r="N2961">
        <v>-1.163988E-2</v>
      </c>
      <c r="O2961">
        <v>-0.9998437</v>
      </c>
      <c r="P2961">
        <v>0.1172373</v>
      </c>
      <c r="Q2961">
        <v>0.18102499999999999</v>
      </c>
      <c r="R2961">
        <v>-0.97646560000000004</v>
      </c>
      <c r="S2961">
        <v>0.3666992</v>
      </c>
      <c r="T2961">
        <v>-7.3890449999999996E-2</v>
      </c>
      <c r="U2961">
        <v>-3.0422359999999999</v>
      </c>
      <c r="V2961">
        <v>-0.1316186</v>
      </c>
      <c r="W2961">
        <v>0.19140589999999999</v>
      </c>
      <c r="X2961">
        <v>0.97264609999999996</v>
      </c>
      <c r="Y2961">
        <v>-0.13283429999999999</v>
      </c>
      <c r="Z2961">
        <v>1.2435710000000001E-2</v>
      </c>
      <c r="AA2961">
        <v>0.99106030000000001</v>
      </c>
      <c r="AB2961">
        <v>25</v>
      </c>
      <c r="AC2961">
        <v>5.5244999999999802</v>
      </c>
      <c r="AD2961">
        <v>-1.1131152863739999</v>
      </c>
      <c r="AE2961">
        <v>-45.675999999999902</v>
      </c>
      <c r="AF2961">
        <v>-6.1282549595331197</v>
      </c>
      <c r="AG2961">
        <v>-1.1131152863739999</v>
      </c>
      <c r="AH2961">
        <v>45.571764176079299</v>
      </c>
      <c r="AI2961">
        <v>91.386725274387302</v>
      </c>
      <c r="AJ2961">
        <v>97.658893918556402</v>
      </c>
      <c r="AK2961">
        <v>45.995436997706499</v>
      </c>
      <c r="AL2961">
        <v>78.965158325774397</v>
      </c>
      <c r="AM2961">
        <v>97.706460992348894</v>
      </c>
      <c r="AN2961">
        <v>1.00000005513298</v>
      </c>
    </row>
    <row r="2962" spans="1:40" x14ac:dyDescent="0.25">
      <c r="A2962" t="str">
        <f>"20190304155650651"</f>
        <v>20190304155650651</v>
      </c>
      <c r="B2962" t="str">
        <f>"1551686210647757"</f>
        <v>1551686210647757</v>
      </c>
      <c r="C2962" t="s">
        <v>40</v>
      </c>
      <c r="D2962">
        <v>4.7376290000000001</v>
      </c>
      <c r="E2962">
        <v>0.49798189999999998</v>
      </c>
      <c r="F2962" t="s">
        <v>53</v>
      </c>
      <c r="G2962">
        <v>-487.03370000000001</v>
      </c>
      <c r="H2962" s="1">
        <v>2.7591929999999998E-6</v>
      </c>
      <c r="I2962">
        <v>213.73429999999999</v>
      </c>
      <c r="J2962">
        <v>-492.50209999999998</v>
      </c>
      <c r="K2962">
        <v>1.1129629999999999</v>
      </c>
      <c r="L2962">
        <v>258.44740000000002</v>
      </c>
      <c r="M2962">
        <v>-1.0953269999999999E-2</v>
      </c>
      <c r="N2962">
        <v>-1.16238E-2</v>
      </c>
      <c r="O2962">
        <v>-0.99987239999999999</v>
      </c>
      <c r="P2962">
        <v>0.1186199</v>
      </c>
      <c r="Q2962">
        <v>0.1802134</v>
      </c>
      <c r="R2962">
        <v>-0.97644880000000001</v>
      </c>
      <c r="S2962">
        <v>0.3708496</v>
      </c>
      <c r="T2962">
        <v>-7.5479030000000003E-2</v>
      </c>
      <c r="U2962">
        <v>-3.0417939999999999</v>
      </c>
      <c r="V2962">
        <v>-0.1306302</v>
      </c>
      <c r="W2962">
        <v>0.1906369</v>
      </c>
      <c r="X2962">
        <v>0.97293030000000003</v>
      </c>
      <c r="Y2962">
        <v>-0.1318503</v>
      </c>
      <c r="Z2962">
        <v>1.297515E-2</v>
      </c>
      <c r="AA2962">
        <v>0.99118470000000003</v>
      </c>
      <c r="AB2962">
        <v>26</v>
      </c>
      <c r="AC2962">
        <v>5.4683999999999697</v>
      </c>
      <c r="AD2962">
        <v>-1.1129602408069901</v>
      </c>
      <c r="AE2962">
        <v>-44.713099999999997</v>
      </c>
      <c r="AF2962">
        <v>-5.9542249936434697</v>
      </c>
      <c r="AG2962">
        <v>-1.1129602408069901</v>
      </c>
      <c r="AH2962">
        <v>44.623276666669902</v>
      </c>
      <c r="AI2962">
        <v>91.416185706252804</v>
      </c>
      <c r="AJ2962">
        <v>97.600263260397995</v>
      </c>
      <c r="AK2962">
        <v>45.032524870838699</v>
      </c>
      <c r="AL2962">
        <v>79.010044973469306</v>
      </c>
      <c r="AM2962">
        <v>97.6470685230816</v>
      </c>
      <c r="AN2962">
        <v>1.0000000227258601</v>
      </c>
    </row>
    <row r="2963" spans="1:40" x14ac:dyDescent="0.25">
      <c r="A2963" t="str">
        <f>"20190304155650672"</f>
        <v>20190304155650672</v>
      </c>
      <c r="B2963" t="str">
        <f>"1551686210667276"</f>
        <v>1551686210667276</v>
      </c>
      <c r="C2963" t="s">
        <v>40</v>
      </c>
      <c r="D2963">
        <v>4.6801649999999997</v>
      </c>
      <c r="E2963">
        <v>0.49833880000000003</v>
      </c>
      <c r="F2963" t="s">
        <v>53</v>
      </c>
      <c r="G2963">
        <v>-487.32650000000001</v>
      </c>
      <c r="H2963" s="1">
        <v>2.9119820000000002E-6</v>
      </c>
      <c r="I2963">
        <v>216.04169999999999</v>
      </c>
      <c r="J2963">
        <v>-492.50069999999999</v>
      </c>
      <c r="K2963">
        <v>1.112716</v>
      </c>
      <c r="L2963">
        <v>258.22000000000003</v>
      </c>
      <c r="M2963">
        <v>-7.5879550000000004E-3</v>
      </c>
      <c r="N2963">
        <v>-1.159897E-2</v>
      </c>
      <c r="O2963">
        <v>-0.99990389999999996</v>
      </c>
      <c r="P2963">
        <v>0.1197269</v>
      </c>
      <c r="Q2963">
        <v>0.18040439999999999</v>
      </c>
      <c r="R2963">
        <v>-0.97627839999999999</v>
      </c>
      <c r="S2963">
        <v>0.37127690000000002</v>
      </c>
      <c r="T2963">
        <v>-7.9838629999999994E-2</v>
      </c>
      <c r="U2963">
        <v>-3.041992</v>
      </c>
      <c r="V2963">
        <v>-0.1283416</v>
      </c>
      <c r="W2963">
        <v>0.1908976</v>
      </c>
      <c r="X2963">
        <v>0.97318369999999998</v>
      </c>
      <c r="Y2963">
        <v>-0.12864</v>
      </c>
      <c r="Z2963">
        <v>1.442773E-2</v>
      </c>
      <c r="AA2963">
        <v>0.99158639999999998</v>
      </c>
      <c r="AB2963">
        <v>26</v>
      </c>
      <c r="AC2963">
        <v>5.1741999999999804</v>
      </c>
      <c r="AD2963">
        <v>-1.1127130880180001</v>
      </c>
      <c r="AE2963">
        <v>-42.1783</v>
      </c>
      <c r="AF2963">
        <v>-5.4903551548997802</v>
      </c>
      <c r="AG2963">
        <v>-1.1127130880180001</v>
      </c>
      <c r="AH2963">
        <v>42.108949409945602</v>
      </c>
      <c r="AI2963">
        <v>91.500968422171098</v>
      </c>
      <c r="AJ2963">
        <v>97.428576291091701</v>
      </c>
      <c r="AK2963">
        <v>42.479945274829902</v>
      </c>
      <c r="AL2963">
        <v>78.994828119863797</v>
      </c>
      <c r="AM2963">
        <v>97.512704470911402</v>
      </c>
      <c r="AN2963">
        <v>0.99999998696100401</v>
      </c>
    </row>
    <row r="2964" spans="1:40" x14ac:dyDescent="0.25">
      <c r="A2964" t="str">
        <f>"20190304155650695"</f>
        <v>20190304155650695</v>
      </c>
      <c r="B2964" t="str">
        <f>"1551686210687772"</f>
        <v>1551686210687772</v>
      </c>
      <c r="C2964" t="s">
        <v>40</v>
      </c>
      <c r="D2964">
        <v>4.8005800000000001</v>
      </c>
      <c r="E2964">
        <v>0.49865189999999998</v>
      </c>
      <c r="F2964" t="s">
        <v>53</v>
      </c>
      <c r="G2964">
        <v>-487.34379999999999</v>
      </c>
      <c r="H2964" s="1">
        <v>2.913657E-6</v>
      </c>
      <c r="I2964">
        <v>216.00989999999999</v>
      </c>
      <c r="J2964">
        <v>-492.49860000000001</v>
      </c>
      <c r="K2964">
        <v>1.112449</v>
      </c>
      <c r="L2964">
        <v>257.96010000000001</v>
      </c>
      <c r="M2964">
        <v>-4.1285929999999998E-3</v>
      </c>
      <c r="N2964">
        <v>-1.157189E-2</v>
      </c>
      <c r="O2964">
        <v>-0.9999247</v>
      </c>
      <c r="P2964">
        <v>0.120799</v>
      </c>
      <c r="Q2964">
        <v>0.18166689999999999</v>
      </c>
      <c r="R2964">
        <v>-0.97591240000000001</v>
      </c>
      <c r="S2964">
        <v>0.37167359999999999</v>
      </c>
      <c r="T2964">
        <v>-8.0195669999999997E-2</v>
      </c>
      <c r="U2964">
        <v>-3.0421749999999999</v>
      </c>
      <c r="V2964">
        <v>-0.12591840000000001</v>
      </c>
      <c r="W2964">
        <v>0.19223190000000001</v>
      </c>
      <c r="X2964">
        <v>0.97323760000000004</v>
      </c>
      <c r="Y2964">
        <v>-0.1253291</v>
      </c>
      <c r="Z2964">
        <v>1.4578199999999999E-2</v>
      </c>
      <c r="AA2964">
        <v>0.99200809999999995</v>
      </c>
      <c r="AB2964">
        <v>26</v>
      </c>
      <c r="AC2964">
        <v>5.1548000000000203</v>
      </c>
      <c r="AD2964">
        <v>-1.1124460863429999</v>
      </c>
      <c r="AE2964">
        <v>-41.950200000000002</v>
      </c>
      <c r="AF2964">
        <v>-5.3242744975274103</v>
      </c>
      <c r="AG2964">
        <v>-1.1124460863429999</v>
      </c>
      <c r="AH2964">
        <v>41.899532707773197</v>
      </c>
      <c r="AI2964">
        <v>91.508737466223295</v>
      </c>
      <c r="AJ2964">
        <v>97.241899808943202</v>
      </c>
      <c r="AK2964">
        <v>42.251109764712702</v>
      </c>
      <c r="AL2964">
        <v>78.916935780108204</v>
      </c>
      <c r="AM2964">
        <v>97.372029578532107</v>
      </c>
      <c r="AN2964">
        <v>0.99999998644496502</v>
      </c>
    </row>
    <row r="2965" spans="1:40" x14ac:dyDescent="0.25">
      <c r="A2965" t="str">
        <f>"20190304155650715"</f>
        <v>20190304155650715</v>
      </c>
      <c r="B2965" t="str">
        <f>"1551686210707293"</f>
        <v>1551686210707293</v>
      </c>
      <c r="C2965" t="s">
        <v>40</v>
      </c>
      <c r="D2965">
        <v>4.7133260000000003</v>
      </c>
      <c r="E2965">
        <v>0.49891200000000002</v>
      </c>
      <c r="F2965" t="s">
        <v>53</v>
      </c>
      <c r="G2965">
        <v>-487.07229999999998</v>
      </c>
      <c r="H2965" s="1">
        <v>2.758755E-6</v>
      </c>
      <c r="I2965">
        <v>213.5677</v>
      </c>
      <c r="J2965">
        <v>-492.49619999999999</v>
      </c>
      <c r="K2965">
        <v>1.1122240000000001</v>
      </c>
      <c r="L2965">
        <v>257.72620000000001</v>
      </c>
      <c r="M2965">
        <v>-1.309953E-3</v>
      </c>
      <c r="N2965">
        <v>-1.1549449999999999E-2</v>
      </c>
      <c r="O2965">
        <v>-0.99993279999999995</v>
      </c>
      <c r="P2965">
        <v>0.1213109</v>
      </c>
      <c r="Q2965">
        <v>0.18113560000000001</v>
      </c>
      <c r="R2965">
        <v>-0.97594789999999998</v>
      </c>
      <c r="S2965">
        <v>0.37185669999999998</v>
      </c>
      <c r="T2965">
        <v>-7.6235059999999993E-2</v>
      </c>
      <c r="U2965">
        <v>-3.0421749999999999</v>
      </c>
      <c r="V2965">
        <v>-0.1235726</v>
      </c>
      <c r="W2965">
        <v>0.19176299999999999</v>
      </c>
      <c r="X2965">
        <v>0.97363069999999896</v>
      </c>
      <c r="Y2965">
        <v>-0.1225946</v>
      </c>
      <c r="Z2965">
        <v>1.3316110000000001E-2</v>
      </c>
      <c r="AA2965">
        <v>0.99236749999999996</v>
      </c>
      <c r="AB2965">
        <v>26</v>
      </c>
      <c r="AC2965">
        <v>5.4238999999999997</v>
      </c>
      <c r="AD2965">
        <v>-1.1122212412450001</v>
      </c>
      <c r="AE2965">
        <v>-44.158499999999997</v>
      </c>
      <c r="AF2965">
        <v>-5.4783210244040603</v>
      </c>
      <c r="AG2965">
        <v>-1.1122212412450001</v>
      </c>
      <c r="AH2965">
        <v>44.123781086723298</v>
      </c>
      <c r="AI2965">
        <v>91.432942299565298</v>
      </c>
      <c r="AJ2965">
        <v>97.077511374028902</v>
      </c>
      <c r="AK2965">
        <v>44.476477993710198</v>
      </c>
      <c r="AL2965">
        <v>78.944311092868105</v>
      </c>
      <c r="AM2965">
        <v>97.233270859908203</v>
      </c>
      <c r="AN2965">
        <v>0.99999998781112398</v>
      </c>
    </row>
    <row r="2966" spans="1:40" x14ac:dyDescent="0.25">
      <c r="A2966" t="str">
        <f>"20190304155650737"</f>
        <v>20190304155650737</v>
      </c>
      <c r="B2966" t="str">
        <f>"1551686210727788"</f>
        <v>1551686210727788</v>
      </c>
      <c r="C2966" t="s">
        <v>40</v>
      </c>
      <c r="D2966">
        <v>4.7059790000000001</v>
      </c>
      <c r="E2966">
        <v>0.49938579999999999</v>
      </c>
      <c r="F2966" t="s">
        <v>53</v>
      </c>
      <c r="G2966">
        <v>-487.21230000000003</v>
      </c>
      <c r="H2966" s="1">
        <v>2.8181199999999999E-6</v>
      </c>
      <c r="I2966">
        <v>214.35769999999999</v>
      </c>
      <c r="J2966">
        <v>-492.49329999999998</v>
      </c>
      <c r="K2966">
        <v>1.111988</v>
      </c>
      <c r="L2966">
        <v>257.47309999999999</v>
      </c>
      <c r="M2966">
        <v>1.4115239999999999E-3</v>
      </c>
      <c r="N2966">
        <v>-1.152713E-2</v>
      </c>
      <c r="O2966">
        <v>-0.99993259999999995</v>
      </c>
      <c r="P2966">
        <v>0.1215734</v>
      </c>
      <c r="Q2966">
        <v>0.17979970000000001</v>
      </c>
      <c r="R2966">
        <v>-0.97616190000000003</v>
      </c>
      <c r="S2966">
        <v>0.37066650000000001</v>
      </c>
      <c r="T2966">
        <v>-7.8023430000000005E-2</v>
      </c>
      <c r="U2966">
        <v>-3.0423429999999998</v>
      </c>
      <c r="V2966">
        <v>-0.1210664</v>
      </c>
      <c r="W2966">
        <v>0.1904913</v>
      </c>
      <c r="X2966">
        <v>0.97419509999999998</v>
      </c>
      <c r="Y2966">
        <v>-0.1195031</v>
      </c>
      <c r="Z2966">
        <v>1.39274E-2</v>
      </c>
      <c r="AA2966">
        <v>0.99273619999999996</v>
      </c>
      <c r="AB2966">
        <v>26</v>
      </c>
      <c r="AC2966">
        <v>5.2809999999999402</v>
      </c>
      <c r="AD2966">
        <v>-1.11198518188</v>
      </c>
      <c r="AE2966">
        <v>-43.115400000000001</v>
      </c>
      <c r="AF2966">
        <v>-5.2167135593308798</v>
      </c>
      <c r="AG2966">
        <v>-1.11198518188</v>
      </c>
      <c r="AH2966">
        <v>43.094570244865203</v>
      </c>
      <c r="AI2966">
        <v>91.467388724930402</v>
      </c>
      <c r="AJ2966">
        <v>96.902224357600701</v>
      </c>
      <c r="AK2966">
        <v>43.423410690484097</v>
      </c>
      <c r="AL2966">
        <v>79.018543277872496</v>
      </c>
      <c r="AM2966">
        <v>97.084014100534702</v>
      </c>
      <c r="AN2966">
        <v>1.0000000507243201</v>
      </c>
    </row>
    <row r="2967" spans="1:40" x14ac:dyDescent="0.25">
      <c r="A2967" t="str">
        <f>"20190304155650758"</f>
        <v>20190304155650758</v>
      </c>
      <c r="B2967" t="str">
        <f>"1551686210747308"</f>
        <v>1551686210747308</v>
      </c>
      <c r="C2967" t="s">
        <v>40</v>
      </c>
      <c r="D2967">
        <v>4.7165869999999996</v>
      </c>
      <c r="E2967">
        <v>0.49991390000000002</v>
      </c>
      <c r="F2967" t="s">
        <v>53</v>
      </c>
      <c r="G2967">
        <v>-487.54570000000001</v>
      </c>
      <c r="H2967" s="1">
        <v>2.9690650000000002E-6</v>
      </c>
      <c r="I2967">
        <v>216.45779999999999</v>
      </c>
      <c r="J2967">
        <v>-492.49009999999998</v>
      </c>
      <c r="K2967">
        <v>1.1117729999999999</v>
      </c>
      <c r="L2967">
        <v>257.22809999999998</v>
      </c>
      <c r="M2967">
        <v>3.7240979999999999E-3</v>
      </c>
      <c r="N2967">
        <v>-1.1507130000000001E-2</v>
      </c>
      <c r="O2967">
        <v>-0.99992700000000001</v>
      </c>
      <c r="P2967">
        <v>0.12109350000000001</v>
      </c>
      <c r="Q2967">
        <v>0.17950459999999999</v>
      </c>
      <c r="R2967">
        <v>-0.97627609999999998</v>
      </c>
      <c r="S2967">
        <v>0.3670349</v>
      </c>
      <c r="T2967">
        <v>-8.2493540000000004E-2</v>
      </c>
      <c r="U2967">
        <v>-3.0427550000000001</v>
      </c>
      <c r="V2967">
        <v>-0.1182262</v>
      </c>
      <c r="W2967">
        <v>0.19025590000000001</v>
      </c>
      <c r="X2967">
        <v>0.97458979999999995</v>
      </c>
      <c r="Y2967">
        <v>-0.1160196</v>
      </c>
      <c r="Z2967">
        <v>1.5410099999999999E-2</v>
      </c>
      <c r="AA2967">
        <v>0.99312730000000005</v>
      </c>
      <c r="AB2967">
        <v>26</v>
      </c>
      <c r="AC2967">
        <v>4.9443999999999697</v>
      </c>
      <c r="AD2967">
        <v>-1.1117700309349901</v>
      </c>
      <c r="AE2967">
        <v>-40.770299999999899</v>
      </c>
      <c r="AF2967">
        <v>-4.7890135678578396</v>
      </c>
      <c r="AG2967">
        <v>-1.1117700309349901</v>
      </c>
      <c r="AH2967">
        <v>40.758562928954198</v>
      </c>
      <c r="AI2967">
        <v>91.551797993332499</v>
      </c>
      <c r="AJ2967">
        <v>96.701362814282803</v>
      </c>
      <c r="AK2967">
        <v>41.054002674384002</v>
      </c>
      <c r="AL2967">
        <v>79.032281509084896</v>
      </c>
      <c r="AM2967">
        <v>96.916679233558398</v>
      </c>
      <c r="AN2967">
        <v>1.0000000100576401</v>
      </c>
    </row>
    <row r="2968" spans="1:40" x14ac:dyDescent="0.25">
      <c r="A2968" t="str">
        <f>"20190304155650771"</f>
        <v>20190304155650771</v>
      </c>
      <c r="B2968" t="str">
        <f>"1551686210767805"</f>
        <v>1551686210767805</v>
      </c>
      <c r="C2968" t="s">
        <v>40</v>
      </c>
      <c r="D2968">
        <v>4.7498209999999998</v>
      </c>
      <c r="E2968">
        <v>0.5004033</v>
      </c>
      <c r="F2968" t="s">
        <v>53</v>
      </c>
      <c r="G2968">
        <v>-487.67939999999999</v>
      </c>
      <c r="H2968" s="1">
        <v>3.008365E-6</v>
      </c>
      <c r="I2968">
        <v>216.81460000000001</v>
      </c>
      <c r="J2968">
        <v>-492.488</v>
      </c>
      <c r="K2968">
        <v>1.1116469999999901</v>
      </c>
      <c r="L2968">
        <v>257.08089999999999</v>
      </c>
      <c r="M2968">
        <v>4.9852969999999996E-3</v>
      </c>
      <c r="N2968">
        <v>-1.1495729999999999E-2</v>
      </c>
      <c r="O2968">
        <v>-0.99992139999999996</v>
      </c>
      <c r="P2968">
        <v>0.1212051</v>
      </c>
      <c r="Q2968">
        <v>0.18012929999999999</v>
      </c>
      <c r="R2968">
        <v>-0.97614690000000004</v>
      </c>
      <c r="S2968">
        <v>0.36227419999999999</v>
      </c>
      <c r="T2968">
        <v>-8.3723430000000001E-2</v>
      </c>
      <c r="U2968">
        <v>-3.043396</v>
      </c>
      <c r="V2968">
        <v>-0.11704820000000001</v>
      </c>
      <c r="W2968">
        <v>0.19091169999999999</v>
      </c>
      <c r="X2968">
        <v>0.97460380000000002</v>
      </c>
      <c r="Y2968">
        <v>-0.11320959999999999</v>
      </c>
      <c r="Z2968">
        <v>1.5824390000000001E-2</v>
      </c>
      <c r="AA2968">
        <v>0.99344509999999997</v>
      </c>
      <c r="AB2968">
        <v>26</v>
      </c>
      <c r="AC2968">
        <v>4.8086000000000597</v>
      </c>
      <c r="AD2968">
        <v>-1.1116439916349901</v>
      </c>
      <c r="AE2968">
        <v>-40.266299999999902</v>
      </c>
      <c r="AF2968">
        <v>-4.60432758123327</v>
      </c>
      <c r="AG2968">
        <v>-1.1116439916349901</v>
      </c>
      <c r="AH2968">
        <v>40.259520556809903</v>
      </c>
      <c r="AI2968">
        <v>91.571408353804301</v>
      </c>
      <c r="AJ2968">
        <v>96.524352624921903</v>
      </c>
      <c r="AK2968">
        <v>40.5371999563814</v>
      </c>
      <c r="AL2968">
        <v>78.994005956504907</v>
      </c>
      <c r="AM2968">
        <v>96.8483221198628</v>
      </c>
      <c r="AN2968">
        <v>1.00000006264728</v>
      </c>
    </row>
    <row r="2969" spans="1:40" x14ac:dyDescent="0.25">
      <c r="A2969" t="str">
        <f>"20190304155650784"</f>
        <v>20190304155650784</v>
      </c>
      <c r="B2969" t="str">
        <f>"1551686210777565"</f>
        <v>1551686210777565</v>
      </c>
      <c r="C2969" t="s">
        <v>40</v>
      </c>
      <c r="D2969">
        <v>4.6874060000000002</v>
      </c>
      <c r="E2969">
        <v>0.50062079999999998</v>
      </c>
      <c r="F2969" t="s">
        <v>53</v>
      </c>
      <c r="G2969">
        <v>-487.62060000000002</v>
      </c>
      <c r="H2969" s="1">
        <v>2.9530689999999999E-6</v>
      </c>
      <c r="I2969">
        <v>215.78800000000001</v>
      </c>
      <c r="J2969">
        <v>-492.48590000000002</v>
      </c>
      <c r="K2969">
        <v>1.111507</v>
      </c>
      <c r="L2969">
        <v>256.92720000000003</v>
      </c>
      <c r="M2969">
        <v>6.1399519999999997E-3</v>
      </c>
      <c r="N2969">
        <v>-1.148455E-2</v>
      </c>
      <c r="O2969">
        <v>-0.9999152</v>
      </c>
      <c r="P2969">
        <v>0.121694</v>
      </c>
      <c r="Q2969">
        <v>0.1810542</v>
      </c>
      <c r="R2969">
        <v>-0.97591479999999997</v>
      </c>
      <c r="S2969">
        <v>0.35879519999999998</v>
      </c>
      <c r="T2969">
        <v>-8.1943509999999997E-2</v>
      </c>
      <c r="U2969">
        <v>-3.0438540000000001</v>
      </c>
      <c r="V2969">
        <v>-0.11634899999999999</v>
      </c>
      <c r="W2969">
        <v>0.19186600000000001</v>
      </c>
      <c r="X2969">
        <v>0.97450009999999998</v>
      </c>
      <c r="Y2969">
        <v>-0.1109266</v>
      </c>
      <c r="Z2969">
        <v>1.525691E-2</v>
      </c>
      <c r="AA2969">
        <v>0.99371149999999997</v>
      </c>
      <c r="AB2969">
        <v>26</v>
      </c>
      <c r="AC2969">
        <v>4.8652999999999897</v>
      </c>
      <c r="AD2969">
        <v>-1.111504046931</v>
      </c>
      <c r="AE2969">
        <v>-41.139200000000002</v>
      </c>
      <c r="AF2969">
        <v>-4.6092806382325797</v>
      </c>
      <c r="AG2969">
        <v>-1.111504046931</v>
      </c>
      <c r="AH2969">
        <v>41.138682962587801</v>
      </c>
      <c r="AI2969">
        <v>91.538048277644194</v>
      </c>
      <c r="AJ2969">
        <v>96.392899866286399</v>
      </c>
      <c r="AK2969">
        <v>41.411014780425802</v>
      </c>
      <c r="AL2969">
        <v>78.938298648903796</v>
      </c>
      <c r="AM2969">
        <v>96.808515656752107</v>
      </c>
      <c r="AN2969">
        <v>1.0000000483285001</v>
      </c>
    </row>
    <row r="2970" spans="1:40" x14ac:dyDescent="0.25">
      <c r="A2970" t="str">
        <f>"20190304155650802"</f>
        <v>20190304155650802</v>
      </c>
      <c r="B2970" t="str">
        <f>"1551686210798061"</f>
        <v>1551686210798061</v>
      </c>
      <c r="C2970" t="s">
        <v>40</v>
      </c>
      <c r="D2970">
        <v>4.7397479999999996</v>
      </c>
      <c r="E2970">
        <v>0.5010635</v>
      </c>
      <c r="F2970" t="s">
        <v>53</v>
      </c>
      <c r="G2970">
        <v>-487.46190000000001</v>
      </c>
      <c r="H2970" s="1">
        <v>2.8576489999999998E-6</v>
      </c>
      <c r="I2970">
        <v>214.2492</v>
      </c>
      <c r="J2970">
        <v>-492.4828</v>
      </c>
      <c r="K2970">
        <v>1.1113150000000001</v>
      </c>
      <c r="L2970">
        <v>256.7167</v>
      </c>
      <c r="M2970">
        <v>7.5495040000000003E-3</v>
      </c>
      <c r="N2970">
        <v>-1.1470259999999999E-2</v>
      </c>
      <c r="O2970">
        <v>-0.99990590000000001</v>
      </c>
      <c r="P2970">
        <v>0.1219927</v>
      </c>
      <c r="Q2970">
        <v>0.18161350000000001</v>
      </c>
      <c r="R2970">
        <v>-0.97577389999999997</v>
      </c>
      <c r="S2970">
        <v>0.35833739999999997</v>
      </c>
      <c r="T2970">
        <v>-7.9278710000000002E-2</v>
      </c>
      <c r="U2970">
        <v>-3.0440369999999999</v>
      </c>
      <c r="V2970">
        <v>-0.1151831</v>
      </c>
      <c r="W2970">
        <v>0.19246959999999999</v>
      </c>
      <c r="X2970">
        <v>0.97451960000000004</v>
      </c>
      <c r="Y2970">
        <v>-0.1093736</v>
      </c>
      <c r="Z2970">
        <v>1.4403640000000001E-2</v>
      </c>
      <c r="AA2970">
        <v>0.99389640000000001</v>
      </c>
      <c r="AB2970">
        <v>26</v>
      </c>
      <c r="AC2970">
        <v>5.0208999999999797</v>
      </c>
      <c r="AD2970">
        <v>-1.111312142351</v>
      </c>
      <c r="AE2970">
        <v>-42.467500000000001</v>
      </c>
      <c r="AF2970">
        <v>-4.6969552039140297</v>
      </c>
      <c r="AG2970">
        <v>-1.111312142351</v>
      </c>
      <c r="AH2970">
        <v>42.475511479842602</v>
      </c>
      <c r="AI2970">
        <v>91.489645845711095</v>
      </c>
      <c r="AJ2970">
        <v>96.310148190515307</v>
      </c>
      <c r="AK2970">
        <v>42.7488652286766</v>
      </c>
      <c r="AL2970">
        <v>78.903058374532705</v>
      </c>
      <c r="AM2970">
        <v>96.740786800816295</v>
      </c>
      <c r="AN2970">
        <v>1.00000007211696</v>
      </c>
    </row>
    <row r="2971" spans="1:40" x14ac:dyDescent="0.25">
      <c r="A2971" t="str">
        <f>"20190304155650817"</f>
        <v>20190304155650817</v>
      </c>
      <c r="B2971" t="str">
        <f>"1551686210807820"</f>
        <v>1551686210807820</v>
      </c>
      <c r="C2971" t="s">
        <v>40</v>
      </c>
      <c r="D2971">
        <v>4.7276910000000001</v>
      </c>
      <c r="E2971">
        <v>0.50126530000000002</v>
      </c>
      <c r="F2971" t="s">
        <v>53</v>
      </c>
      <c r="G2971">
        <v>-487.3972</v>
      </c>
      <c r="H2971" s="1">
        <v>2.793468E-6</v>
      </c>
      <c r="I2971">
        <v>213.04329999999999</v>
      </c>
      <c r="J2971">
        <v>-492.48050000000001</v>
      </c>
      <c r="K2971">
        <v>1.1111709999999999</v>
      </c>
      <c r="L2971">
        <v>256.56180000000001</v>
      </c>
      <c r="M2971">
        <v>8.4495890000000004E-3</v>
      </c>
      <c r="N2971">
        <v>-1.146058E-2</v>
      </c>
      <c r="O2971">
        <v>-0.99989870000000003</v>
      </c>
      <c r="P2971">
        <v>0.1226613</v>
      </c>
      <c r="Q2971">
        <v>0.1812212</v>
      </c>
      <c r="R2971">
        <v>-0.97576309999999999</v>
      </c>
      <c r="S2971">
        <v>0.35452270000000002</v>
      </c>
      <c r="T2971">
        <v>-7.7471380000000006E-2</v>
      </c>
      <c r="U2971">
        <v>-3.04454</v>
      </c>
      <c r="V2971">
        <v>-0.1149046</v>
      </c>
      <c r="W2971">
        <v>0.1921098</v>
      </c>
      <c r="X2971">
        <v>0.97462340000000003</v>
      </c>
      <c r="Y2971">
        <v>-0.1072328</v>
      </c>
      <c r="Z2971">
        <v>1.382479E-2</v>
      </c>
      <c r="AA2971">
        <v>0.99413779999999996</v>
      </c>
      <c r="AB2971">
        <v>26</v>
      </c>
      <c r="AC2971">
        <v>5.0833000000000004</v>
      </c>
      <c r="AD2971">
        <v>-1.1111682065320001</v>
      </c>
      <c r="AE2971">
        <v>-43.518500000000003</v>
      </c>
      <c r="AF2971">
        <v>-4.71235010240121</v>
      </c>
      <c r="AG2971">
        <v>-1.1111682065320001</v>
      </c>
      <c r="AH2971">
        <v>43.531902421136898</v>
      </c>
      <c r="AI2971">
        <v>91.453690039550906</v>
      </c>
      <c r="AJ2971">
        <v>96.178239046499698</v>
      </c>
      <c r="AK2971">
        <v>43.8003135453867</v>
      </c>
      <c r="AL2971">
        <v>78.924064694533101</v>
      </c>
      <c r="AM2971">
        <v>96.723928130744099</v>
      </c>
      <c r="AN2971">
        <v>1.00000000709238</v>
      </c>
    </row>
    <row r="2972" spans="1:40" x14ac:dyDescent="0.25">
      <c r="A2972" t="str">
        <f>"20190304155650837"</f>
        <v>20190304155650837</v>
      </c>
      <c r="B2972" t="str">
        <f>"1551686210827341"</f>
        <v>1551686210827341</v>
      </c>
      <c r="C2972" t="s">
        <v>40</v>
      </c>
      <c r="D2972">
        <v>4.728237</v>
      </c>
      <c r="E2972">
        <v>0.51053510000000002</v>
      </c>
      <c r="F2972" t="s">
        <v>53</v>
      </c>
      <c r="G2972">
        <v>-487.46699999999998</v>
      </c>
      <c r="H2972" s="1">
        <v>2.827408E-6</v>
      </c>
      <c r="I2972">
        <v>213.5367</v>
      </c>
      <c r="J2972">
        <v>-492.47710000000001</v>
      </c>
      <c r="K2972">
        <v>1.110962</v>
      </c>
      <c r="L2972">
        <v>256.33080000000001</v>
      </c>
      <c r="M2972">
        <v>9.5795419999999999E-3</v>
      </c>
      <c r="N2972">
        <v>-1.144747E-2</v>
      </c>
      <c r="O2972">
        <v>-0.99988880000000002</v>
      </c>
      <c r="P2972">
        <v>0.1225971</v>
      </c>
      <c r="Q2972">
        <v>0.17990329999999999</v>
      </c>
      <c r="R2972">
        <v>-0.97601499999999997</v>
      </c>
      <c r="S2972">
        <v>0.35476679999999999</v>
      </c>
      <c r="T2972">
        <v>-7.862806E-2</v>
      </c>
      <c r="U2972">
        <v>-3.0445250000000001</v>
      </c>
      <c r="V2972">
        <v>-0.1136346</v>
      </c>
      <c r="W2972">
        <v>0.19084329999999999</v>
      </c>
      <c r="X2972">
        <v>0.97502100000000003</v>
      </c>
      <c r="Y2972">
        <v>-0.1061877</v>
      </c>
      <c r="Z2972">
        <v>1.4216960000000001E-2</v>
      </c>
      <c r="AA2972">
        <v>0.99424449999999998</v>
      </c>
      <c r="AB2972">
        <v>26</v>
      </c>
      <c r="AC2972">
        <v>5.01010000000002</v>
      </c>
      <c r="AD2972">
        <v>-1.1109591725920001</v>
      </c>
      <c r="AE2972">
        <v>-42.7941</v>
      </c>
      <c r="AF2972">
        <v>-4.5968392716242796</v>
      </c>
      <c r="AG2972">
        <v>-1.1109591725920001</v>
      </c>
      <c r="AH2972">
        <v>42.811670890958901</v>
      </c>
      <c r="AI2972">
        <v>91.477995199927406</v>
      </c>
      <c r="AJ2972">
        <v>96.128568562568802</v>
      </c>
      <c r="AK2972">
        <v>43.0720829081679</v>
      </c>
      <c r="AL2972">
        <v>78.997997349402198</v>
      </c>
      <c r="AM2972">
        <v>96.647592651623995</v>
      </c>
      <c r="AN2972">
        <v>0.99999996895652399</v>
      </c>
    </row>
    <row r="2973" spans="1:40" x14ac:dyDescent="0.25">
      <c r="A2973" t="str">
        <f>"20190304155650850"</f>
        <v>20190304155650850</v>
      </c>
      <c r="B2973" t="str">
        <f>"1551686210847836"</f>
        <v>1551686210847836</v>
      </c>
      <c r="C2973" t="s">
        <v>40</v>
      </c>
      <c r="D2973">
        <v>4.7037279999999999</v>
      </c>
      <c r="E2973">
        <v>0.50986830000000005</v>
      </c>
      <c r="F2973" t="s">
        <v>53</v>
      </c>
      <c r="G2973">
        <v>-489.83629999999999</v>
      </c>
      <c r="H2973" s="1">
        <v>5.9515520000000003E-6</v>
      </c>
      <c r="I2973">
        <v>227.5215</v>
      </c>
      <c r="J2973">
        <v>-492.47489999999999</v>
      </c>
      <c r="K2973">
        <v>1.1108290000000001</v>
      </c>
      <c r="L2973">
        <v>256.17959999999999</v>
      </c>
      <c r="M2973">
        <v>1.0211929999999999E-2</v>
      </c>
      <c r="N2973">
        <v>-1.1439599999999999E-2</v>
      </c>
      <c r="O2973">
        <v>-0.99988270000000001</v>
      </c>
      <c r="P2973">
        <v>0.1223849</v>
      </c>
      <c r="Q2973">
        <v>0.17946619999999999</v>
      </c>
      <c r="R2973">
        <v>-0.97612209999999999</v>
      </c>
      <c r="S2973">
        <v>0.28051759999999998</v>
      </c>
      <c r="T2973">
        <v>-0.118010199999999</v>
      </c>
      <c r="U2973">
        <v>-3.0602420000000001</v>
      </c>
      <c r="V2973">
        <v>-0.1127412</v>
      </c>
      <c r="W2973">
        <v>0.19043889999999999</v>
      </c>
      <c r="X2973">
        <v>0.97520379999999995</v>
      </c>
      <c r="Y2973">
        <v>-8.1051529999999997E-2</v>
      </c>
      <c r="Z2973">
        <v>2.6958679999999999E-2</v>
      </c>
      <c r="AA2973">
        <v>0.99634529999999999</v>
      </c>
      <c r="AB2973">
        <v>26</v>
      </c>
      <c r="AC2973">
        <v>2.6385999999999901</v>
      </c>
      <c r="AD2973">
        <v>-1.110823048448</v>
      </c>
      <c r="AE2973">
        <v>-28.658099999999902</v>
      </c>
      <c r="AF2973">
        <v>-2.3422992525538699</v>
      </c>
      <c r="AG2973">
        <v>-1.110823048448</v>
      </c>
      <c r="AH2973">
        <v>28.640883158273699</v>
      </c>
      <c r="AI2973">
        <v>92.213693230367696</v>
      </c>
      <c r="AJ2973">
        <v>94.675339785847498</v>
      </c>
      <c r="AK2973">
        <v>28.757963796475</v>
      </c>
      <c r="AL2973">
        <v>79.0216010219617</v>
      </c>
      <c r="AM2973">
        <v>96.594565838159198</v>
      </c>
      <c r="AN2973">
        <v>1.0000000021725399</v>
      </c>
    </row>
    <row r="2974" spans="1:40" x14ac:dyDescent="0.25">
      <c r="A2974" t="str">
        <f>"20190304155650872"</f>
        <v>20190304155650872</v>
      </c>
      <c r="B2974" t="str">
        <f>"1551686210867357"</f>
        <v>1551686210867357</v>
      </c>
      <c r="C2974" t="s">
        <v>40</v>
      </c>
      <c r="D2974">
        <v>4.7469979999999996</v>
      </c>
      <c r="E2974">
        <v>0.50972059999999997</v>
      </c>
      <c r="F2974" t="s">
        <v>53</v>
      </c>
      <c r="G2974">
        <v>-489.40230000000003</v>
      </c>
      <c r="H2974" s="1">
        <v>4.5325159999999998E-6</v>
      </c>
      <c r="I2974">
        <v>223.23390000000001</v>
      </c>
      <c r="J2974">
        <v>-492.47129999999999</v>
      </c>
      <c r="K2974">
        <v>1.1106480000000001</v>
      </c>
      <c r="L2974">
        <v>255.93369999999999</v>
      </c>
      <c r="M2974">
        <v>1.0996189999999999E-2</v>
      </c>
      <c r="N2974">
        <v>-1.1428229999999999E-2</v>
      </c>
      <c r="O2974">
        <v>-0.99987470000000001</v>
      </c>
      <c r="P2974">
        <v>0.1216841</v>
      </c>
      <c r="Q2974">
        <v>0.1787879</v>
      </c>
      <c r="R2974">
        <v>-0.97633429999999999</v>
      </c>
      <c r="S2974">
        <v>0.2850647</v>
      </c>
      <c r="T2974">
        <v>-0.10305889999999999</v>
      </c>
      <c r="U2974">
        <v>-3.0565950000000002</v>
      </c>
      <c r="V2974">
        <v>-0.1111851</v>
      </c>
      <c r="W2974">
        <v>0.18980549999999999</v>
      </c>
      <c r="X2974">
        <v>0.97550590000000004</v>
      </c>
      <c r="Y2974">
        <v>-8.1860440000000007E-2</v>
      </c>
      <c r="Z2974">
        <v>2.214731E-2</v>
      </c>
      <c r="AA2974">
        <v>0.99639770000000005</v>
      </c>
      <c r="AB2974">
        <v>26</v>
      </c>
      <c r="AC2974">
        <v>3.06899999999996</v>
      </c>
      <c r="AD2974">
        <v>-1.11064346748399</v>
      </c>
      <c r="AE2974">
        <v>-32.699799999999897</v>
      </c>
      <c r="AF2974">
        <v>-2.7061233424131799</v>
      </c>
      <c r="AG2974">
        <v>-1.11064346748399</v>
      </c>
      <c r="AH2974">
        <v>32.694185186182899</v>
      </c>
      <c r="AI2974">
        <v>91.939002356113903</v>
      </c>
      <c r="AJ2974">
        <v>94.731630792822799</v>
      </c>
      <c r="AK2974">
        <v>32.824782976352402</v>
      </c>
      <c r="AL2974">
        <v>79.058566462089203</v>
      </c>
      <c r="AM2974">
        <v>96.502333283759597</v>
      </c>
      <c r="AN2974">
        <v>1.00000000761353</v>
      </c>
    </row>
    <row r="2975" spans="1:40" x14ac:dyDescent="0.25">
      <c r="A2975" t="str">
        <f>"20190304155650894"</f>
        <v>20190304155650894</v>
      </c>
      <c r="B2975" t="str">
        <f>"1551686210887852"</f>
        <v>1551686210887852</v>
      </c>
      <c r="C2975" t="s">
        <v>40</v>
      </c>
      <c r="D2975">
        <v>4.7583089999999997</v>
      </c>
      <c r="E2975">
        <v>0.5099785</v>
      </c>
      <c r="F2975" t="s">
        <v>53</v>
      </c>
      <c r="G2975">
        <v>-489.26409999999998</v>
      </c>
      <c r="H2975" s="1">
        <v>3.9554780000000003E-6</v>
      </c>
      <c r="I2975">
        <v>221.47020000000001</v>
      </c>
      <c r="J2975">
        <v>-492.46769999999998</v>
      </c>
      <c r="K2975">
        <v>1.1104860000000001</v>
      </c>
      <c r="L2975">
        <v>255.67920000000001</v>
      </c>
      <c r="M2975">
        <v>1.1570270000000001E-2</v>
      </c>
      <c r="N2975">
        <v>-1.141787E-2</v>
      </c>
      <c r="O2975">
        <v>-0.99986799999999998</v>
      </c>
      <c r="P2975">
        <v>0.1209583</v>
      </c>
      <c r="Q2975">
        <v>0.179357399999999</v>
      </c>
      <c r="R2975">
        <v>-0.97631959999999995</v>
      </c>
      <c r="S2975">
        <v>0.28433229999999998</v>
      </c>
      <c r="T2975">
        <v>-9.8462220000000003E-2</v>
      </c>
      <c r="U2975">
        <v>-3.0552980000000001</v>
      </c>
      <c r="V2975">
        <v>-0.1098229</v>
      </c>
      <c r="W2975">
        <v>0.19041079999999999</v>
      </c>
      <c r="X2975">
        <v>0.97554220000000003</v>
      </c>
      <c r="Y2975">
        <v>-8.1094310000000003E-2</v>
      </c>
      <c r="Z2975">
        <v>2.0676549999999998E-2</v>
      </c>
      <c r="AA2975">
        <v>0.99649200000000004</v>
      </c>
      <c r="AB2975">
        <v>26</v>
      </c>
      <c r="AC2975">
        <v>3.20359999999999</v>
      </c>
      <c r="AD2975">
        <v>-1.1104820445220001</v>
      </c>
      <c r="AE2975">
        <v>-34.209000000000003</v>
      </c>
      <c r="AF2975">
        <v>-2.8046227015724101</v>
      </c>
      <c r="AG2975">
        <v>-1.1104820445220001</v>
      </c>
      <c r="AH2975">
        <v>34.208045016557399</v>
      </c>
      <c r="AI2975">
        <v>91.853103558877706</v>
      </c>
      <c r="AJ2975">
        <v>94.687038812002399</v>
      </c>
      <c r="AK2975">
        <v>34.340783664968903</v>
      </c>
      <c r="AL2975">
        <v>79.023240608071703</v>
      </c>
      <c r="AM2975">
        <v>96.423101904831995</v>
      </c>
      <c r="AN2975">
        <v>0.99999996305094396</v>
      </c>
    </row>
    <row r="2976" spans="1:40" x14ac:dyDescent="0.25">
      <c r="A2976" t="str">
        <f>"20190304155650914"</f>
        <v>20190304155650914</v>
      </c>
      <c r="B2976" t="str">
        <f>"1551686210908349"</f>
        <v>1551686210908349</v>
      </c>
      <c r="C2976" t="s">
        <v>40</v>
      </c>
      <c r="D2976">
        <v>4.7554129999999999</v>
      </c>
      <c r="E2976">
        <v>0.51048709999999997</v>
      </c>
      <c r="F2976" t="s">
        <v>53</v>
      </c>
      <c r="G2976">
        <v>-489.3605</v>
      </c>
      <c r="H2976" s="1">
        <v>4.0932699999999999E-6</v>
      </c>
      <c r="I2976">
        <v>221.846</v>
      </c>
      <c r="J2976">
        <v>-492.46440000000001</v>
      </c>
      <c r="K2976">
        <v>1.110358</v>
      </c>
      <c r="L2976">
        <v>255.4442</v>
      </c>
      <c r="M2976">
        <v>1.191793E-2</v>
      </c>
      <c r="N2976">
        <v>-1.140946E-2</v>
      </c>
      <c r="O2976">
        <v>-0.99986419999999998</v>
      </c>
      <c r="P2976">
        <v>0.1210077</v>
      </c>
      <c r="Q2976">
        <v>0.180040899999999</v>
      </c>
      <c r="R2976">
        <v>-0.97618839999999996</v>
      </c>
      <c r="S2976">
        <v>0.28070070000000003</v>
      </c>
      <c r="T2976">
        <v>-0.1003189</v>
      </c>
      <c r="U2976">
        <v>-3.0564269999999998</v>
      </c>
      <c r="V2976">
        <v>-0.1094749</v>
      </c>
      <c r="W2976">
        <v>0.19111900000000001</v>
      </c>
      <c r="X2976">
        <v>0.97544280000000005</v>
      </c>
      <c r="Y2976">
        <v>-7.9538699999999907E-2</v>
      </c>
      <c r="Z2976">
        <v>2.1281230000000002E-2</v>
      </c>
      <c r="AA2976">
        <v>0.99660459999999995</v>
      </c>
      <c r="AB2976">
        <v>26</v>
      </c>
      <c r="AC2976">
        <v>3.1038999999999999</v>
      </c>
      <c r="AD2976">
        <v>-1.1103539067299999</v>
      </c>
      <c r="AE2976">
        <v>-33.598199999999999</v>
      </c>
      <c r="AF2976">
        <v>-2.7003083522957301</v>
      </c>
      <c r="AG2976">
        <v>-1.1103539067299999</v>
      </c>
      <c r="AH2976">
        <v>33.596425423908997</v>
      </c>
      <c r="AI2976">
        <v>91.886842560919007</v>
      </c>
      <c r="AJ2976">
        <v>94.595262548504707</v>
      </c>
      <c r="AK2976">
        <v>33.723053720859099</v>
      </c>
      <c r="AL2976">
        <v>78.981904384203204</v>
      </c>
      <c r="AM2976">
        <v>96.403565126796906</v>
      </c>
      <c r="AN2976">
        <v>0.99999994098142297</v>
      </c>
    </row>
    <row r="2977" spans="1:40" x14ac:dyDescent="0.25">
      <c r="A2977" t="str">
        <f>"20190304155650927"</f>
        <v>20190304155650927</v>
      </c>
      <c r="B2977" t="str">
        <f>"1551686210917132"</f>
        <v>1551686210917132</v>
      </c>
      <c r="C2977" t="s">
        <v>40</v>
      </c>
      <c r="D2977">
        <v>4.7464259999999996</v>
      </c>
      <c r="E2977">
        <v>0.51042290000000001</v>
      </c>
      <c r="F2977" t="s">
        <v>53</v>
      </c>
      <c r="G2977">
        <v>-489.26310000000001</v>
      </c>
      <c r="H2977" s="1">
        <v>3.4931270000000002E-6</v>
      </c>
      <c r="I2977">
        <v>219.9785</v>
      </c>
      <c r="J2977">
        <v>-492.46230000000003</v>
      </c>
      <c r="K2977">
        <v>1.1102879999999999</v>
      </c>
      <c r="L2977">
        <v>255.29499999999999</v>
      </c>
      <c r="M2977">
        <v>1.2059E-2</v>
      </c>
      <c r="N2977">
        <v>-1.1404610000000001E-2</v>
      </c>
      <c r="O2977">
        <v>-0.99986229999999998</v>
      </c>
      <c r="P2977">
        <v>0.12099310000000001</v>
      </c>
      <c r="Q2977">
        <v>0.17971019999999999</v>
      </c>
      <c r="R2977">
        <v>-0.97625059999999997</v>
      </c>
      <c r="S2977">
        <v>0.27590940000000003</v>
      </c>
      <c r="T2977">
        <v>-9.569561E-2</v>
      </c>
      <c r="U2977">
        <v>-3.05661</v>
      </c>
      <c r="V2977">
        <v>-0.1092873</v>
      </c>
      <c r="W2977">
        <v>0.19080449999999999</v>
      </c>
      <c r="X2977">
        <v>0.97552539999999999</v>
      </c>
      <c r="Y2977">
        <v>-7.7847029999999998E-2</v>
      </c>
      <c r="Z2977">
        <v>1.978334E-2</v>
      </c>
      <c r="AA2977">
        <v>0.99676900000000002</v>
      </c>
      <c r="AB2977">
        <v>26</v>
      </c>
      <c r="AC2977">
        <v>3.19920000000001</v>
      </c>
      <c r="AD2977">
        <v>-1.1102845068729901</v>
      </c>
      <c r="AE2977">
        <v>-35.316499999999898</v>
      </c>
      <c r="AF2977">
        <v>-2.77034220026884</v>
      </c>
      <c r="AG2977">
        <v>-1.1102845068729901</v>
      </c>
      <c r="AH2977">
        <v>35.317890852377801</v>
      </c>
      <c r="AI2977">
        <v>91.795097473251005</v>
      </c>
      <c r="AJ2977">
        <v>94.485108335062094</v>
      </c>
      <c r="AK2977">
        <v>35.443771552323</v>
      </c>
      <c r="AL2977">
        <v>79.000261703004298</v>
      </c>
      <c r="AM2977">
        <v>96.392145871116696</v>
      </c>
      <c r="AN2977">
        <v>0.99999993860334802</v>
      </c>
    </row>
    <row r="2978" spans="1:40" x14ac:dyDescent="0.25">
      <c r="A2978" t="str">
        <f>"20190304155650941"</f>
        <v>20190304155650941</v>
      </c>
      <c r="B2978" t="str">
        <f>"1551686210937629"</f>
        <v>1551686210937629</v>
      </c>
      <c r="C2978" t="s">
        <v>40</v>
      </c>
      <c r="D2978">
        <v>4.8219139999999996</v>
      </c>
      <c r="E2978">
        <v>0.51046080000000005</v>
      </c>
      <c r="F2978" t="s">
        <v>53</v>
      </c>
      <c r="G2978">
        <v>-489.25110000000001</v>
      </c>
      <c r="H2978" s="1">
        <v>3.4296880000000001E-6</v>
      </c>
      <c r="I2978">
        <v>219.7071</v>
      </c>
      <c r="J2978">
        <v>-492.46030000000002</v>
      </c>
      <c r="K2978">
        <v>1.110214</v>
      </c>
      <c r="L2978">
        <v>255.14</v>
      </c>
      <c r="M2978">
        <v>1.213445E-2</v>
      </c>
      <c r="N2978">
        <v>-1.1400189999999999E-2</v>
      </c>
      <c r="O2978">
        <v>-0.99986169999999996</v>
      </c>
      <c r="P2978">
        <v>0.120963</v>
      </c>
      <c r="Q2978">
        <v>0.17961920000000001</v>
      </c>
      <c r="R2978">
        <v>-0.97627149999999996</v>
      </c>
      <c r="S2978">
        <v>0.27578740000000002</v>
      </c>
      <c r="T2978">
        <v>-9.535217E-2</v>
      </c>
      <c r="U2978">
        <v>-3.0563199999999999</v>
      </c>
      <c r="V2978">
        <v>-0.10915080000000001</v>
      </c>
      <c r="W2978">
        <v>0.19072819999999999</v>
      </c>
      <c r="X2978">
        <v>0.97555570000000003</v>
      </c>
      <c r="Y2978">
        <v>-7.7741030000000003E-2</v>
      </c>
      <c r="Z2978">
        <v>1.967905E-2</v>
      </c>
      <c r="AA2978">
        <v>0.99677930000000003</v>
      </c>
      <c r="AB2978">
        <v>26</v>
      </c>
      <c r="AC2978">
        <v>3.2092000000000001</v>
      </c>
      <c r="AD2978">
        <v>-1.110210570312</v>
      </c>
      <c r="AE2978">
        <v>-35.432899999999897</v>
      </c>
      <c r="AF2978">
        <v>-2.7762737231789898</v>
      </c>
      <c r="AG2978">
        <v>-1.110210570312</v>
      </c>
      <c r="AH2978">
        <v>35.4347305933982</v>
      </c>
      <c r="AI2978">
        <v>91.789075954167103</v>
      </c>
      <c r="AJ2978">
        <v>94.479912046482596</v>
      </c>
      <c r="AK2978">
        <v>35.560657973709702</v>
      </c>
      <c r="AL2978">
        <v>79.004716214470406</v>
      </c>
      <c r="AM2978">
        <v>96.384031379198305</v>
      </c>
      <c r="AN2978">
        <v>1.0000000336091801</v>
      </c>
    </row>
    <row r="2979" spans="1:40" x14ac:dyDescent="0.25">
      <c r="A2979" t="str">
        <f>"20190304155650960"</f>
        <v>20190304155650960</v>
      </c>
      <c r="B2979" t="str">
        <f>"1551686210947388"</f>
        <v>1551686210947388</v>
      </c>
      <c r="C2979" t="s">
        <v>40</v>
      </c>
      <c r="D2979">
        <v>4.827394</v>
      </c>
      <c r="E2979">
        <v>0.5106887</v>
      </c>
      <c r="F2979" t="s">
        <v>53</v>
      </c>
      <c r="G2979">
        <v>-489.16840000000002</v>
      </c>
      <c r="H2979" s="1">
        <v>3.3503259999999998E-6</v>
      </c>
      <c r="I2979">
        <v>218.5951</v>
      </c>
      <c r="J2979">
        <v>-492.45749999999998</v>
      </c>
      <c r="K2979">
        <v>1.1101209999999999</v>
      </c>
      <c r="L2979">
        <v>254.9248</v>
      </c>
      <c r="M2979">
        <v>1.215638E-2</v>
      </c>
      <c r="N2979">
        <v>-1.139475E-2</v>
      </c>
      <c r="O2979">
        <v>-0.99986149999999996</v>
      </c>
      <c r="P2979">
        <v>0.12034880000000001</v>
      </c>
      <c r="Q2979">
        <v>0.17905199999999999</v>
      </c>
      <c r="R2979">
        <v>-0.97645159999999998</v>
      </c>
      <c r="S2979">
        <v>0.27526859999999997</v>
      </c>
      <c r="T2979">
        <v>-9.2836859999999993E-2</v>
      </c>
      <c r="U2979">
        <v>-3.0559229999999999</v>
      </c>
      <c r="V2979">
        <v>-0.10847030000000001</v>
      </c>
      <c r="W2979">
        <v>0.19018189999999999</v>
      </c>
      <c r="X2979">
        <v>0.9757382</v>
      </c>
      <c r="Y2979">
        <v>-7.7564720000000004E-2</v>
      </c>
      <c r="Z2979">
        <v>1.8869759999999999E-2</v>
      </c>
      <c r="AA2979">
        <v>0.99680869999999999</v>
      </c>
      <c r="AB2979">
        <v>26</v>
      </c>
      <c r="AC2979">
        <v>3.2890999999999599</v>
      </c>
      <c r="AD2979">
        <v>-1.110117649674</v>
      </c>
      <c r="AE2979">
        <v>-36.329700000000003</v>
      </c>
      <c r="AF2979">
        <v>-2.8445563480353799</v>
      </c>
      <c r="AG2979">
        <v>-1.110117649674</v>
      </c>
      <c r="AH2979">
        <v>36.333352135823198</v>
      </c>
      <c r="AI2979">
        <v>91.744716976640305</v>
      </c>
      <c r="AJ2979">
        <v>94.476583933348394</v>
      </c>
      <c r="AK2979">
        <v>36.461436332637703</v>
      </c>
      <c r="AL2979">
        <v>79.036600115794599</v>
      </c>
      <c r="AM2979">
        <v>96.343378742457006</v>
      </c>
      <c r="AN2979">
        <v>0.99999999800447004</v>
      </c>
    </row>
    <row r="2980" spans="1:40" x14ac:dyDescent="0.25">
      <c r="A2980" t="str">
        <f>"20190304155650972"</f>
        <v>20190304155650972</v>
      </c>
      <c r="B2980" t="str">
        <f>"1551686210967885"</f>
        <v>1551686210967885</v>
      </c>
      <c r="C2980" t="s">
        <v>40</v>
      </c>
      <c r="D2980">
        <v>4.7779049999999996</v>
      </c>
      <c r="E2980">
        <v>0.52870200000000001</v>
      </c>
      <c r="F2980" t="s">
        <v>53</v>
      </c>
      <c r="G2980">
        <v>-489.24329999999998</v>
      </c>
      <c r="H2980" s="1">
        <v>3.37011E-6</v>
      </c>
      <c r="I2980">
        <v>218.74369999999999</v>
      </c>
      <c r="J2980">
        <v>-492.45549999999997</v>
      </c>
      <c r="K2980">
        <v>1.1100570000000001</v>
      </c>
      <c r="L2980">
        <v>254.7704</v>
      </c>
      <c r="M2980">
        <v>1.2114430000000001E-2</v>
      </c>
      <c r="N2980">
        <v>-1.139131E-2</v>
      </c>
      <c r="O2980">
        <v>-0.99986169999999996</v>
      </c>
      <c r="P2980">
        <v>0.11982660000000001</v>
      </c>
      <c r="Q2980">
        <v>0.1788006</v>
      </c>
      <c r="R2980">
        <v>-0.97656169999999998</v>
      </c>
      <c r="S2980">
        <v>0.27148440000000001</v>
      </c>
      <c r="T2980">
        <v>-9.3767400000000001E-2</v>
      </c>
      <c r="U2980">
        <v>-3.056076</v>
      </c>
      <c r="V2980">
        <v>-0.1079575</v>
      </c>
      <c r="W2980">
        <v>0.189946</v>
      </c>
      <c r="X2980">
        <v>0.97584099999999996</v>
      </c>
      <c r="Y2980">
        <v>-7.6377180000000003E-2</v>
      </c>
      <c r="Z2980">
        <v>1.9177739999999999E-2</v>
      </c>
      <c r="AA2980">
        <v>0.99689450000000002</v>
      </c>
      <c r="AB2980">
        <v>26</v>
      </c>
      <c r="AC2980">
        <v>3.21219999999999</v>
      </c>
      <c r="AD2980">
        <v>-1.1100536298899999</v>
      </c>
      <c r="AE2980">
        <v>-36.026699999999998</v>
      </c>
      <c r="AF2980">
        <v>-2.7728812342720399</v>
      </c>
      <c r="AG2980">
        <v>-1.1100536298899999</v>
      </c>
      <c r="AH2980">
        <v>36.029037049912702</v>
      </c>
      <c r="AI2980">
        <v>91.759523090309798</v>
      </c>
      <c r="AJ2980">
        <v>94.4009452571472</v>
      </c>
      <c r="AK2980">
        <v>36.152629228654902</v>
      </c>
      <c r="AL2980">
        <v>79.050366951041198</v>
      </c>
      <c r="AM2980">
        <v>96.312973030958702</v>
      </c>
      <c r="AN2980">
        <v>0.99999998100162402</v>
      </c>
    </row>
    <row r="2981" spans="1:40" x14ac:dyDescent="0.25">
      <c r="A2981" t="str">
        <f>"20190304155650985"</f>
        <v>20190304155650985</v>
      </c>
      <c r="B2981" t="str">
        <f>"1551686210977645"</f>
        <v>1551686210977645</v>
      </c>
      <c r="C2981" t="s">
        <v>40</v>
      </c>
      <c r="D2981">
        <v>4.7957140000000003</v>
      </c>
      <c r="E2981">
        <v>0.52876789999999996</v>
      </c>
      <c r="F2981" t="s">
        <v>53</v>
      </c>
      <c r="G2981">
        <v>-490.85160000000002</v>
      </c>
      <c r="H2981" s="1">
        <v>3.2276420000000001E-6</v>
      </c>
      <c r="I2981">
        <v>216.21250000000001</v>
      </c>
      <c r="J2981">
        <v>-492.45370000000003</v>
      </c>
      <c r="K2981">
        <v>1.1099939999999999</v>
      </c>
      <c r="L2981">
        <v>254.62129999999999</v>
      </c>
      <c r="M2981">
        <v>1.202017E-2</v>
      </c>
      <c r="N2981">
        <v>-1.13884E-2</v>
      </c>
      <c r="O2981">
        <v>-0.99986299999999995</v>
      </c>
      <c r="P2981">
        <v>0.1194875</v>
      </c>
      <c r="Q2981">
        <v>0.178815</v>
      </c>
      <c r="R2981">
        <v>-0.97660029999999998</v>
      </c>
      <c r="S2981">
        <v>0.12780759999999999</v>
      </c>
      <c r="T2981">
        <v>-8.8454720000000001E-2</v>
      </c>
      <c r="U2981">
        <v>-3.072495</v>
      </c>
      <c r="V2981">
        <v>-0.107681399999999</v>
      </c>
      <c r="W2981">
        <v>0.18997359999999999</v>
      </c>
      <c r="X2981">
        <v>0.97586609999999996</v>
      </c>
      <c r="Y2981">
        <v>-2.953482E-2</v>
      </c>
      <c r="Z2981">
        <v>1.7372769999999999E-2</v>
      </c>
      <c r="AA2981">
        <v>0.99941279999999999</v>
      </c>
      <c r="AB2981">
        <v>26</v>
      </c>
      <c r="AC2981">
        <v>1.6021000000000001</v>
      </c>
      <c r="AD2981">
        <v>-1.109990772358</v>
      </c>
      <c r="AE2981">
        <v>-38.4087999999999</v>
      </c>
      <c r="AF2981">
        <v>-1.1393241581993301</v>
      </c>
      <c r="AG2981">
        <v>-1.109990772358</v>
      </c>
      <c r="AH2981">
        <v>38.393274170142902</v>
      </c>
      <c r="AI2981">
        <v>91.655292932824295</v>
      </c>
      <c r="AJ2981">
        <v>91.699759023855094</v>
      </c>
      <c r="AK2981">
        <v>38.426210332999702</v>
      </c>
      <c r="AL2981">
        <v>79.048755903545398</v>
      </c>
      <c r="AM2981">
        <v>96.296796876550403</v>
      </c>
      <c r="AN2981">
        <v>0.99999994886606303</v>
      </c>
    </row>
    <row r="2982" spans="1:40" x14ac:dyDescent="0.25">
      <c r="A2982" t="str">
        <f>"20190304155651003"</f>
        <v>20190304155651003</v>
      </c>
      <c r="B2982" t="str">
        <f>"1551686210997166"</f>
        <v>1551686210997166</v>
      </c>
      <c r="C2982" t="s">
        <v>40</v>
      </c>
      <c r="D2982">
        <v>4.7853159999999999</v>
      </c>
      <c r="E2982">
        <v>0.52903840000000002</v>
      </c>
      <c r="F2982" t="s">
        <v>53</v>
      </c>
      <c r="G2982">
        <v>-490.89550000000003</v>
      </c>
      <c r="H2982" s="1">
        <v>3.24137E-6</v>
      </c>
      <c r="I2982">
        <v>216.70490000000001</v>
      </c>
      <c r="J2982">
        <v>-492.45139999999998</v>
      </c>
      <c r="K2982">
        <v>1.109904</v>
      </c>
      <c r="L2982">
        <v>254.41569999999999</v>
      </c>
      <c r="M2982">
        <v>1.182248E-2</v>
      </c>
      <c r="N2982">
        <v>-1.138494E-2</v>
      </c>
      <c r="O2982">
        <v>-0.99986569999999997</v>
      </c>
      <c r="P2982">
        <v>0.1188018</v>
      </c>
      <c r="Q2982">
        <v>0.17855019999999999</v>
      </c>
      <c r="R2982">
        <v>-0.97673279999999996</v>
      </c>
      <c r="S2982">
        <v>0.1262817</v>
      </c>
      <c r="T2982">
        <v>-8.9959739999999996E-2</v>
      </c>
      <c r="U2982">
        <v>-3.0729519999999999</v>
      </c>
      <c r="V2982">
        <v>-0.10715</v>
      </c>
      <c r="W2982">
        <v>0.1897278</v>
      </c>
      <c r="X2982">
        <v>0.97597250000000002</v>
      </c>
      <c r="Y2982">
        <v>-2.92305E-2</v>
      </c>
      <c r="Z2982">
        <v>1.786132E-2</v>
      </c>
      <c r="AA2982">
        <v>0.99941310000000005</v>
      </c>
      <c r="AB2982">
        <v>26</v>
      </c>
      <c r="AC2982">
        <v>1.5558999999999501</v>
      </c>
      <c r="AD2982">
        <v>-1.10990075862999</v>
      </c>
      <c r="AE2982">
        <v>-37.7107999999999</v>
      </c>
      <c r="AF2982">
        <v>-1.10896835443363</v>
      </c>
      <c r="AG2982">
        <v>-1.10990075862999</v>
      </c>
      <c r="AH2982">
        <v>37.693963487931903</v>
      </c>
      <c r="AI2982">
        <v>91.685860931658894</v>
      </c>
      <c r="AJ2982">
        <v>91.685173904054693</v>
      </c>
      <c r="AK2982">
        <v>37.726603000199802</v>
      </c>
      <c r="AL2982">
        <v>79.0631011014449</v>
      </c>
      <c r="AM2982">
        <v>96.265292733344097</v>
      </c>
      <c r="AN2982">
        <v>1.00000004067454</v>
      </c>
    </row>
    <row r="2983" spans="1:40" x14ac:dyDescent="0.25">
      <c r="A2983" t="str">
        <f>"20190304155651017"</f>
        <v>20190304155651017</v>
      </c>
      <c r="B2983" t="str">
        <f>"1551686211007901"</f>
        <v>1551686211007901</v>
      </c>
      <c r="C2983" t="s">
        <v>40</v>
      </c>
      <c r="D2983">
        <v>4.7574680000000003</v>
      </c>
      <c r="E2983">
        <v>0.52953459999999997</v>
      </c>
      <c r="F2983" t="s">
        <v>53</v>
      </c>
      <c r="G2983">
        <v>-490.98689999999999</v>
      </c>
      <c r="H2983" s="1">
        <v>3.2573059999999999E-6</v>
      </c>
      <c r="I2983">
        <v>217.44</v>
      </c>
      <c r="J2983">
        <v>-492.44979999999998</v>
      </c>
      <c r="K2983">
        <v>1.1098460000000001</v>
      </c>
      <c r="L2983">
        <v>254.26400000000001</v>
      </c>
      <c r="M2983">
        <v>1.163031E-2</v>
      </c>
      <c r="N2983">
        <v>-1.1382740000000001E-2</v>
      </c>
      <c r="O2983">
        <v>-0.99986770000000003</v>
      </c>
      <c r="P2983">
        <v>0.1183964</v>
      </c>
      <c r="Q2983">
        <v>0.17851259999999999</v>
      </c>
      <c r="R2983">
        <v>-0.9767884</v>
      </c>
      <c r="S2983">
        <v>0.1217346</v>
      </c>
      <c r="T2983">
        <v>-9.2257859999999997E-2</v>
      </c>
      <c r="U2983">
        <v>-3.0735169999999998</v>
      </c>
      <c r="V2983">
        <v>-0.10690669999999999</v>
      </c>
      <c r="W2983">
        <v>0.1897025</v>
      </c>
      <c r="X2983">
        <v>0.97600410000000004</v>
      </c>
      <c r="Y2983">
        <v>-2.7938520000000001E-2</v>
      </c>
      <c r="Z2983">
        <v>1.8605940000000001E-2</v>
      </c>
      <c r="AA2983">
        <v>0.99943649999999995</v>
      </c>
      <c r="AB2983">
        <v>26</v>
      </c>
      <c r="AC2983">
        <v>1.4628999999999901</v>
      </c>
      <c r="AD2983">
        <v>-1.1098427426940001</v>
      </c>
      <c r="AE2983">
        <v>-36.823999999999998</v>
      </c>
      <c r="AF2983">
        <v>-1.0335614420043999</v>
      </c>
      <c r="AG2983">
        <v>-1.1098427426940001</v>
      </c>
      <c r="AH2983">
        <v>36.805144322962498</v>
      </c>
      <c r="AI2983">
        <v>91.726525117122904</v>
      </c>
      <c r="AJ2983">
        <v>91.608556367976803</v>
      </c>
      <c r="AK2983">
        <v>36.8363767056697</v>
      </c>
      <c r="AL2983">
        <v>79.064577513107494</v>
      </c>
      <c r="AM2983">
        <v>96.250978417483793</v>
      </c>
      <c r="AN2983">
        <v>1.0000000421139701</v>
      </c>
    </row>
    <row r="2984" spans="1:40" x14ac:dyDescent="0.25">
      <c r="A2984" t="str">
        <f>"20190304155651030"</f>
        <v>20190304155651030</v>
      </c>
      <c r="B2984" t="str">
        <f>"1551686211017661"</f>
        <v>1551686211017661</v>
      </c>
      <c r="C2984" t="s">
        <v>40</v>
      </c>
      <c r="D2984">
        <v>4.7661619999999996</v>
      </c>
      <c r="E2984">
        <v>0.52979140000000002</v>
      </c>
      <c r="F2984" t="s">
        <v>53</v>
      </c>
      <c r="G2984">
        <v>-491.03710000000001</v>
      </c>
      <c r="H2984" s="1">
        <v>3.2247389999999998E-6</v>
      </c>
      <c r="I2984">
        <v>216.899</v>
      </c>
      <c r="J2984">
        <v>-492.44819999999999</v>
      </c>
      <c r="K2984">
        <v>1.1097919999999999</v>
      </c>
      <c r="L2984">
        <v>254.1146</v>
      </c>
      <c r="M2984">
        <v>1.1413799999999899E-2</v>
      </c>
      <c r="N2984">
        <v>-1.138075E-2</v>
      </c>
      <c r="O2984">
        <v>-0.99987020000000004</v>
      </c>
      <c r="P2984">
        <v>0.1179468</v>
      </c>
      <c r="Q2984">
        <v>0.17843399999999901</v>
      </c>
      <c r="R2984">
        <v>-0.97685719999999998</v>
      </c>
      <c r="S2984">
        <v>0.11621090000000001</v>
      </c>
      <c r="T2984">
        <v>-9.130228E-2</v>
      </c>
      <c r="U2984">
        <v>-3.073868</v>
      </c>
      <c r="V2984">
        <v>-0.10664419999999999</v>
      </c>
      <c r="W2984">
        <v>0.1896361</v>
      </c>
      <c r="X2984">
        <v>0.97604570000000002</v>
      </c>
      <c r="Y2984">
        <v>-2.6357780000000001E-2</v>
      </c>
      <c r="Z2984">
        <v>1.8295789999999999E-2</v>
      </c>
      <c r="AA2984">
        <v>0.99948510000000002</v>
      </c>
      <c r="AB2984">
        <v>26</v>
      </c>
      <c r="AC2984">
        <v>1.41109999999997</v>
      </c>
      <c r="AD2984">
        <v>-1.1097887752609901</v>
      </c>
      <c r="AE2984">
        <v>-37.215600000000002</v>
      </c>
      <c r="AF2984">
        <v>-0.98533422441633201</v>
      </c>
      <c r="AG2984">
        <v>-1.1097887752609901</v>
      </c>
      <c r="AH2984">
        <v>37.196252740326102</v>
      </c>
      <c r="AI2984">
        <v>91.708373072411305</v>
      </c>
      <c r="AJ2984">
        <v>91.517418782881407</v>
      </c>
      <c r="AK2984">
        <v>37.225847640875998</v>
      </c>
      <c r="AL2984">
        <v>79.068452066589998</v>
      </c>
      <c r="AM2984">
        <v>96.235487072808894</v>
      </c>
      <c r="AN2984">
        <v>1.0000000221526599</v>
      </c>
    </row>
    <row r="2985" spans="1:40" x14ac:dyDescent="0.25">
      <c r="A2985" t="str">
        <f>"20190304155651048"</f>
        <v>20190304155651048</v>
      </c>
      <c r="B2985" t="str">
        <f>"1551686211037180"</f>
        <v>1551686211037180</v>
      </c>
      <c r="C2985" t="s">
        <v>40</v>
      </c>
      <c r="D2985">
        <v>4.7715050000000003</v>
      </c>
      <c r="E2985">
        <v>0.53034389999999998</v>
      </c>
      <c r="F2985" t="s">
        <v>53</v>
      </c>
      <c r="G2985">
        <v>-491.096</v>
      </c>
      <c r="H2985" s="1">
        <v>3.226987E-6</v>
      </c>
      <c r="I2985">
        <v>217.1893</v>
      </c>
      <c r="J2985">
        <v>-492.44600000000003</v>
      </c>
      <c r="K2985">
        <v>1.109726</v>
      </c>
      <c r="L2985">
        <v>253.8913</v>
      </c>
      <c r="M2985">
        <v>1.1014080000000001E-2</v>
      </c>
      <c r="N2985">
        <v>-1.137819E-2</v>
      </c>
      <c r="O2985">
        <v>-0.99987459999999995</v>
      </c>
      <c r="P2985">
        <v>0.1173367</v>
      </c>
      <c r="Q2985">
        <v>0.1780854</v>
      </c>
      <c r="R2985">
        <v>-0.97699409999999998</v>
      </c>
      <c r="S2985">
        <v>0.11257929999999999</v>
      </c>
      <c r="T2985">
        <v>-9.2398759999999996E-2</v>
      </c>
      <c r="U2985">
        <v>-3.0743260000000001</v>
      </c>
      <c r="V2985">
        <v>-0.1063933</v>
      </c>
      <c r="W2985">
        <v>0.1893032</v>
      </c>
      <c r="X2985">
        <v>0.9761377</v>
      </c>
      <c r="Y2985">
        <v>-2.5572649999999999E-2</v>
      </c>
      <c r="Z2985">
        <v>1.8651000000000001E-2</v>
      </c>
      <c r="AA2985">
        <v>0.99949900000000003</v>
      </c>
      <c r="AB2985">
        <v>26</v>
      </c>
      <c r="AC2985">
        <v>1.3499999999999599</v>
      </c>
      <c r="AD2985">
        <v>-1.1097227730129999</v>
      </c>
      <c r="AE2985">
        <v>-36.701999999999998</v>
      </c>
      <c r="AF2985">
        <v>-0.94479058966061902</v>
      </c>
      <c r="AG2985">
        <v>-1.1097227730129999</v>
      </c>
      <c r="AH2985">
        <v>36.6811542122852</v>
      </c>
      <c r="AI2985">
        <v>91.732278720316998</v>
      </c>
      <c r="AJ2985">
        <v>91.475431961360698</v>
      </c>
      <c r="AK2985">
        <v>36.710096543549199</v>
      </c>
      <c r="AL2985">
        <v>79.087877700688395</v>
      </c>
      <c r="AM2985">
        <v>96.220350384781398</v>
      </c>
      <c r="AN2985">
        <v>1.0000000225882</v>
      </c>
    </row>
    <row r="2986" spans="1:40" x14ac:dyDescent="0.25">
      <c r="A2986" t="str">
        <f>"20190304155651073"</f>
        <v>20190304155651073</v>
      </c>
      <c r="B2986" t="str">
        <f>"1551686211067437"</f>
        <v>1551686211067437</v>
      </c>
      <c r="C2986" t="s">
        <v>40</v>
      </c>
      <c r="D2986">
        <v>4.8118030000000003</v>
      </c>
      <c r="E2986">
        <v>0.53045640000000005</v>
      </c>
      <c r="F2986" t="s">
        <v>53</v>
      </c>
      <c r="G2986">
        <v>-491.18220000000002</v>
      </c>
      <c r="H2986" s="1">
        <v>3.2183479999999998E-6</v>
      </c>
      <c r="I2986">
        <v>217.3415</v>
      </c>
      <c r="J2986">
        <v>-492.44369999999998</v>
      </c>
      <c r="K2986">
        <v>1.1096710000000001</v>
      </c>
      <c r="L2986">
        <v>253.6293</v>
      </c>
      <c r="M2986">
        <v>1.046264E-2</v>
      </c>
      <c r="N2986">
        <v>-1.137588E-2</v>
      </c>
      <c r="O2986">
        <v>-0.99988069999999896</v>
      </c>
      <c r="P2986">
        <v>0.11639869999999999</v>
      </c>
      <c r="Q2986">
        <v>0.17798939999999999</v>
      </c>
      <c r="R2986">
        <v>-0.97712399999999999</v>
      </c>
      <c r="S2986">
        <v>0.10632320000000001</v>
      </c>
      <c r="T2986">
        <v>-9.3358869999999997E-2</v>
      </c>
      <c r="U2986">
        <v>-3.0748600000000001</v>
      </c>
      <c r="V2986">
        <v>-0.1059673</v>
      </c>
      <c r="W2986">
        <v>0.18921979999999999</v>
      </c>
      <c r="X2986">
        <v>0.97620019999999996</v>
      </c>
      <c r="Y2986">
        <v>-2.4086710000000001E-2</v>
      </c>
      <c r="Z2986">
        <v>1.8961519999999999E-2</v>
      </c>
      <c r="AA2986">
        <v>0.99953000000000003</v>
      </c>
      <c r="AB2986">
        <v>26</v>
      </c>
      <c r="AC2986">
        <v>1.2614999999999501</v>
      </c>
      <c r="AD2986">
        <v>-1.10966778165199</v>
      </c>
      <c r="AE2986">
        <v>-36.287799999999997</v>
      </c>
      <c r="AF2986">
        <v>-0.88091747761394401</v>
      </c>
      <c r="AG2986">
        <v>-1.10966778165199</v>
      </c>
      <c r="AH2986">
        <v>36.265141889274297</v>
      </c>
      <c r="AI2986">
        <v>91.752115499142107</v>
      </c>
      <c r="AJ2986">
        <v>91.391499583785205</v>
      </c>
      <c r="AK2986">
        <v>36.292807750809203</v>
      </c>
      <c r="AL2986">
        <v>79.092744047253603</v>
      </c>
      <c r="AM2986">
        <v>96.195244531438703</v>
      </c>
      <c r="AN2986">
        <v>1.0000000159306801</v>
      </c>
    </row>
    <row r="2987" spans="1:40" x14ac:dyDescent="0.25">
      <c r="A2987" t="str">
        <f>"20190304155651094"</f>
        <v>20190304155651094</v>
      </c>
      <c r="B2987" t="str">
        <f>"1551686211087934"</f>
        <v>1551686211087934</v>
      </c>
      <c r="C2987" t="s">
        <v>40</v>
      </c>
      <c r="D2987">
        <v>4.8026619999999998</v>
      </c>
      <c r="E2987">
        <v>0.53045089999999995</v>
      </c>
      <c r="F2987" t="s">
        <v>53</v>
      </c>
      <c r="G2987">
        <v>-491.2525</v>
      </c>
      <c r="H2987" s="1">
        <v>3.2187429999999999E-6</v>
      </c>
      <c r="I2987">
        <v>217.636</v>
      </c>
      <c r="J2987">
        <v>-492.44170000000003</v>
      </c>
      <c r="K2987">
        <v>1.109634</v>
      </c>
      <c r="L2987">
        <v>253.37729999999999</v>
      </c>
      <c r="M2987">
        <v>9.8693159999999995E-3</v>
      </c>
      <c r="N2987">
        <v>-1.137414E-2</v>
      </c>
      <c r="O2987">
        <v>-0.99988679999999996</v>
      </c>
      <c r="P2987">
        <v>0.1154655</v>
      </c>
      <c r="Q2987">
        <v>0.1778894</v>
      </c>
      <c r="R2987">
        <v>-0.97725320000000004</v>
      </c>
      <c r="S2987">
        <v>0.10177609999999999</v>
      </c>
      <c r="T2987">
        <v>-9.4813819999999993E-2</v>
      </c>
      <c r="U2987">
        <v>-3.0753940000000002</v>
      </c>
      <c r="V2987">
        <v>-0.10559589999999899</v>
      </c>
      <c r="W2987">
        <v>0.18912799999999999</v>
      </c>
      <c r="X2987">
        <v>0.97625819999999996</v>
      </c>
      <c r="Y2987">
        <v>-2.319761E-2</v>
      </c>
      <c r="Z2987">
        <v>1.9431480000000001E-2</v>
      </c>
      <c r="AA2987">
        <v>0.99954209999999999</v>
      </c>
      <c r="AB2987">
        <v>26</v>
      </c>
      <c r="AC2987">
        <v>1.18920000000002</v>
      </c>
      <c r="AD2987">
        <v>-1.1096307812569901</v>
      </c>
      <c r="AE2987">
        <v>-35.741299999999903</v>
      </c>
      <c r="AF2987">
        <v>-0.83557265110506296</v>
      </c>
      <c r="AG2987">
        <v>-1.1096307812569901</v>
      </c>
      <c r="AH2987">
        <v>35.7169082032771</v>
      </c>
      <c r="AI2987">
        <v>91.778971005775503</v>
      </c>
      <c r="AJ2987">
        <v>91.340151144034706</v>
      </c>
      <c r="AK2987">
        <v>35.743908484206202</v>
      </c>
      <c r="AL2987">
        <v>79.098100163445096</v>
      </c>
      <c r="AM2987">
        <v>96.173335116991396</v>
      </c>
      <c r="AN2987">
        <v>0.99999998377402399</v>
      </c>
    </row>
    <row r="2988" spans="1:40" x14ac:dyDescent="0.25">
      <c r="A2988" t="str">
        <f>"20190304155651116"</f>
        <v>20190304155651116</v>
      </c>
      <c r="B2988" t="str">
        <f>"1551686211107461"</f>
        <v>1551686211107461</v>
      </c>
      <c r="C2988" t="s">
        <v>40</v>
      </c>
      <c r="D2988">
        <v>4.8044510000000002</v>
      </c>
      <c r="E2988">
        <v>0.53043660000000004</v>
      </c>
      <c r="F2988" t="s">
        <v>53</v>
      </c>
      <c r="G2988">
        <v>-491.2987</v>
      </c>
      <c r="H2988" s="1">
        <v>3.2235230000000001E-6</v>
      </c>
      <c r="I2988">
        <v>217.93260000000001</v>
      </c>
      <c r="J2988">
        <v>-492.43990000000002</v>
      </c>
      <c r="K2988">
        <v>1.10961</v>
      </c>
      <c r="L2988">
        <v>253.1242</v>
      </c>
      <c r="M2988">
        <v>9.2327520000000003E-3</v>
      </c>
      <c r="N2988">
        <v>-1.1372780000000001E-2</v>
      </c>
      <c r="O2988">
        <v>-0.99989280000000003</v>
      </c>
      <c r="P2988">
        <v>0.11438520000000001</v>
      </c>
      <c r="Q2988">
        <v>0.1782252</v>
      </c>
      <c r="R2988">
        <v>-0.97731889999999999</v>
      </c>
      <c r="S2988">
        <v>9.9182129999999993E-2</v>
      </c>
      <c r="T2988">
        <v>-9.6285819999999994E-2</v>
      </c>
      <c r="U2988">
        <v>-3.0756380000000001</v>
      </c>
      <c r="V2988">
        <v>-0.1051271</v>
      </c>
      <c r="W2988">
        <v>0.189467</v>
      </c>
      <c r="X2988">
        <v>0.97624310000000003</v>
      </c>
      <c r="Y2988">
        <v>-2.2989019999999999E-2</v>
      </c>
      <c r="Z2988">
        <v>1.9908840000000001E-2</v>
      </c>
      <c r="AA2988">
        <v>0.99953749999999997</v>
      </c>
      <c r="AB2988">
        <v>26</v>
      </c>
      <c r="AC2988">
        <v>1.14120000000002</v>
      </c>
      <c r="AD2988">
        <v>-1.1096067764769999</v>
      </c>
      <c r="AE2988">
        <v>-35.191599999999902</v>
      </c>
      <c r="AF2988">
        <v>-0.81540525576747303</v>
      </c>
      <c r="AG2988">
        <v>-1.1096067764769999</v>
      </c>
      <c r="AH2988">
        <v>35.165713007225101</v>
      </c>
      <c r="AI2988">
        <v>91.806806282839702</v>
      </c>
      <c r="AJ2988">
        <v>91.328308326952595</v>
      </c>
      <c r="AK2988">
        <v>35.1926623635675</v>
      </c>
      <c r="AL2988">
        <v>79.078319659550104</v>
      </c>
      <c r="AM2988">
        <v>96.146232748949501</v>
      </c>
      <c r="AN2988">
        <v>1.0000000207705</v>
      </c>
    </row>
    <row r="2989" spans="1:40" x14ac:dyDescent="0.25">
      <c r="A2989" t="str">
        <f>"20190304155651128"</f>
        <v>20190304155651128</v>
      </c>
      <c r="B2989" t="str">
        <f>"1551686211117213"</f>
        <v>1551686211117213</v>
      </c>
      <c r="C2989" t="s">
        <v>40</v>
      </c>
      <c r="D2989">
        <v>4.8086039999999999</v>
      </c>
      <c r="E2989">
        <v>0.53040279999999995</v>
      </c>
      <c r="F2989" t="s">
        <v>53</v>
      </c>
      <c r="G2989">
        <v>-491.33609999999999</v>
      </c>
      <c r="H2989" s="1">
        <v>3.20878E-6</v>
      </c>
      <c r="I2989">
        <v>217.74709999999999</v>
      </c>
      <c r="J2989">
        <v>-492.43889999999999</v>
      </c>
      <c r="K2989">
        <v>1.109604</v>
      </c>
      <c r="L2989">
        <v>252.97810000000001</v>
      </c>
      <c r="M2989">
        <v>8.8558939999999996E-3</v>
      </c>
      <c r="N2989">
        <v>-1.137211E-2</v>
      </c>
      <c r="O2989">
        <v>-0.99989620000000001</v>
      </c>
      <c r="P2989">
        <v>0.1136144</v>
      </c>
      <c r="Q2989">
        <v>0.1781856</v>
      </c>
      <c r="R2989">
        <v>-0.9774157</v>
      </c>
      <c r="S2989">
        <v>9.5977779999999999E-2</v>
      </c>
      <c r="T2989">
        <v>-9.6477750000000001E-2</v>
      </c>
      <c r="U2989">
        <v>-3.075958</v>
      </c>
      <c r="V2989">
        <v>-0.10472049999999999</v>
      </c>
      <c r="W2989">
        <v>0.1894295</v>
      </c>
      <c r="X2989">
        <v>0.976294</v>
      </c>
      <c r="Y2989">
        <v>-2.2322359999999999E-2</v>
      </c>
      <c r="Z2989">
        <v>1.996935E-2</v>
      </c>
      <c r="AA2989">
        <v>0.99955139999999998</v>
      </c>
      <c r="AB2989">
        <v>26</v>
      </c>
      <c r="AC2989">
        <v>1.1028</v>
      </c>
      <c r="AD2989">
        <v>-1.1096007912200001</v>
      </c>
      <c r="AE2989">
        <v>-35.231000000000002</v>
      </c>
      <c r="AF2989">
        <v>-0.78995178161311397</v>
      </c>
      <c r="AG2989">
        <v>-1.1096007912200001</v>
      </c>
      <c r="AH2989">
        <v>35.204498755555001</v>
      </c>
      <c r="AI2989">
        <v>91.804838048772993</v>
      </c>
      <c r="AJ2989">
        <v>91.285441083299006</v>
      </c>
      <c r="AK2989">
        <v>35.230838343176401</v>
      </c>
      <c r="AL2989">
        <v>79.080507057517295</v>
      </c>
      <c r="AM2989">
        <v>96.122325086032106</v>
      </c>
      <c r="AN2989">
        <v>0.99999994651324797</v>
      </c>
    </row>
    <row r="2990" spans="1:40" x14ac:dyDescent="0.25">
      <c r="A2990" t="str">
        <f>"20190304155651140"</f>
        <v>20190304155651140</v>
      </c>
      <c r="B2990" t="str">
        <f>"1551686211137709"</f>
        <v>1551686211137709</v>
      </c>
      <c r="C2990" t="s">
        <v>40</v>
      </c>
      <c r="D2990">
        <v>4.8319130000000001</v>
      </c>
      <c r="E2990">
        <v>0.53033560000000002</v>
      </c>
      <c r="F2990" t="s">
        <v>53</v>
      </c>
      <c r="G2990">
        <v>-491.3519</v>
      </c>
      <c r="H2990" s="1">
        <v>3.2030379999999999E-6</v>
      </c>
      <c r="I2990">
        <v>217.6798</v>
      </c>
      <c r="J2990">
        <v>-492.43810000000002</v>
      </c>
      <c r="K2990">
        <v>1.1096010000000001</v>
      </c>
      <c r="L2990">
        <v>252.84110000000001</v>
      </c>
      <c r="M2990">
        <v>8.4980030000000005E-3</v>
      </c>
      <c r="N2990">
        <v>-1.1371610000000001E-2</v>
      </c>
      <c r="O2990">
        <v>-0.99989950000000005</v>
      </c>
      <c r="P2990">
        <v>0.11306910000000001</v>
      </c>
      <c r="Q2990">
        <v>0.17833299999999999</v>
      </c>
      <c r="R2990">
        <v>-0.97745249999999995</v>
      </c>
      <c r="S2990">
        <v>9.4726560000000001E-2</v>
      </c>
      <c r="T2990">
        <v>-9.6690650000000003E-2</v>
      </c>
      <c r="U2990">
        <v>-3.0758969999999999</v>
      </c>
      <c r="V2990">
        <v>-0.1045234</v>
      </c>
      <c r="W2990">
        <v>0.18957660000000001</v>
      </c>
      <c r="X2990">
        <v>0.9762866</v>
      </c>
      <c r="Y2990">
        <v>-2.2274579999999999E-2</v>
      </c>
      <c r="Z2990">
        <v>2.003986E-2</v>
      </c>
      <c r="AA2990">
        <v>0.99955099999999997</v>
      </c>
      <c r="AB2990">
        <v>26</v>
      </c>
      <c r="AC2990">
        <v>1.08620000000001</v>
      </c>
      <c r="AD2990">
        <v>-1.1095977969619999</v>
      </c>
      <c r="AE2990">
        <v>-35.161299999999997</v>
      </c>
      <c r="AF2990">
        <v>-0.78655813963451204</v>
      </c>
      <c r="AG2990">
        <v>-1.1095977969619999</v>
      </c>
      <c r="AH2990">
        <v>35.134305598105499</v>
      </c>
      <c r="AI2990">
        <v>91.808438675589301</v>
      </c>
      <c r="AJ2990">
        <v>91.282476893907599</v>
      </c>
      <c r="AK2990">
        <v>35.160621593469003</v>
      </c>
      <c r="AL2990">
        <v>79.071923647436407</v>
      </c>
      <c r="AM2990">
        <v>96.110935171151695</v>
      </c>
      <c r="AN2990">
        <v>0.99999997687733899</v>
      </c>
    </row>
    <row r="2991" spans="1:40" x14ac:dyDescent="0.25">
      <c r="A2991" t="str">
        <f>"20190304155651153"</f>
        <v>20190304155651153</v>
      </c>
      <c r="B2991" t="str">
        <f>"1551686211147469"</f>
        <v>1551686211147469</v>
      </c>
      <c r="C2991" t="s">
        <v>40</v>
      </c>
      <c r="D2991">
        <v>4.8500829999999997</v>
      </c>
      <c r="E2991">
        <v>0.53031919999999899</v>
      </c>
      <c r="F2991" t="s">
        <v>53</v>
      </c>
      <c r="G2991">
        <v>-491.3732</v>
      </c>
      <c r="H2991" s="1">
        <v>3.20341E-6</v>
      </c>
      <c r="I2991">
        <v>217.77500000000001</v>
      </c>
      <c r="J2991">
        <v>-492.43729999999999</v>
      </c>
      <c r="K2991">
        <v>1.1095999999999999</v>
      </c>
      <c r="L2991">
        <v>252.70230000000001</v>
      </c>
      <c r="M2991">
        <v>8.1348269999999903E-3</v>
      </c>
      <c r="N2991">
        <v>-1.137113E-2</v>
      </c>
      <c r="O2991">
        <v>-0.99990239999999997</v>
      </c>
      <c r="P2991">
        <v>0.11250250000000001</v>
      </c>
      <c r="Q2991">
        <v>0.17874860000000001</v>
      </c>
      <c r="R2991">
        <v>-0.97744169999999997</v>
      </c>
      <c r="S2991">
        <v>9.341431E-2</v>
      </c>
      <c r="T2991">
        <v>-9.7338320000000006E-2</v>
      </c>
      <c r="U2991">
        <v>-3.0761409999999998</v>
      </c>
      <c r="V2991">
        <v>-0.104311</v>
      </c>
      <c r="W2991">
        <v>0.1899914</v>
      </c>
      <c r="X2991">
        <v>0.97622869999999995</v>
      </c>
      <c r="Y2991">
        <v>-2.2209119999999999E-2</v>
      </c>
      <c r="Z2991">
        <v>2.0248329999999998E-2</v>
      </c>
      <c r="AA2991">
        <v>0.99954829999999995</v>
      </c>
      <c r="AB2991">
        <v>26</v>
      </c>
      <c r="AC2991">
        <v>1.0640999999999901</v>
      </c>
      <c r="AD2991">
        <v>-1.10959679659</v>
      </c>
      <c r="AE2991">
        <v>-34.927300000000002</v>
      </c>
      <c r="AF2991">
        <v>-0.77913329904385398</v>
      </c>
      <c r="AG2991">
        <v>-1.10959679659</v>
      </c>
      <c r="AH2991">
        <v>34.8996110957914</v>
      </c>
      <c r="AI2991">
        <v>91.820592877986897</v>
      </c>
      <c r="AJ2991">
        <v>91.278914981821202</v>
      </c>
      <c r="AK2991">
        <v>34.925937473261499</v>
      </c>
      <c r="AL2991">
        <v>79.047717639567495</v>
      </c>
      <c r="AM2991">
        <v>96.098969914148896</v>
      </c>
      <c r="AN2991">
        <v>0.99999999574932497</v>
      </c>
    </row>
    <row r="2992" spans="1:40" x14ac:dyDescent="0.25">
      <c r="A2992" t="str">
        <f>"20190304155651171"</f>
        <v>20190304155651171</v>
      </c>
      <c r="B2992" t="str">
        <f>"1551686211167965"</f>
        <v>1551686211167965</v>
      </c>
      <c r="C2992" t="s">
        <v>40</v>
      </c>
      <c r="D2992">
        <v>4.8252480000000002</v>
      </c>
      <c r="E2992">
        <v>0.53022919999999996</v>
      </c>
      <c r="F2992" t="s">
        <v>53</v>
      </c>
      <c r="G2992">
        <v>-491.37740000000002</v>
      </c>
      <c r="H2992" s="1">
        <v>3.1794309999999998E-6</v>
      </c>
      <c r="I2992">
        <v>217.24350000000001</v>
      </c>
      <c r="J2992">
        <v>-492.43610000000001</v>
      </c>
      <c r="K2992">
        <v>1.1096060000000001</v>
      </c>
      <c r="L2992">
        <v>252.4836</v>
      </c>
      <c r="M2992">
        <v>7.5634609999999996E-3</v>
      </c>
      <c r="N2992">
        <v>-1.137054E-2</v>
      </c>
      <c r="O2992">
        <v>-0.99990690000000004</v>
      </c>
      <c r="P2992">
        <v>0.1116931</v>
      </c>
      <c r="Q2992">
        <v>0.17938870000000001</v>
      </c>
      <c r="R2992">
        <v>-0.97741750000000005</v>
      </c>
      <c r="S2992">
        <v>9.1949459999999997E-2</v>
      </c>
      <c r="T2992">
        <v>-9.6264240000000001E-2</v>
      </c>
      <c r="U2992">
        <v>-3.076263</v>
      </c>
      <c r="V2992">
        <v>-0.1040609</v>
      </c>
      <c r="W2992">
        <v>0.19062899999999999</v>
      </c>
      <c r="X2992">
        <v>0.97613110000000003</v>
      </c>
      <c r="Y2992">
        <v>-2.230389E-2</v>
      </c>
      <c r="Z2992">
        <v>1.9899360000000001E-2</v>
      </c>
      <c r="AA2992">
        <v>0.99955320000000003</v>
      </c>
      <c r="AB2992">
        <v>26</v>
      </c>
      <c r="AC2992">
        <v>1.05869999999998</v>
      </c>
      <c r="AD2992">
        <v>-1.1096028205689901</v>
      </c>
      <c r="AE2992">
        <v>-35.240099999999899</v>
      </c>
      <c r="AF2992">
        <v>-0.79133156015250194</v>
      </c>
      <c r="AG2992">
        <v>-1.1096028205689901</v>
      </c>
      <c r="AH2992">
        <v>35.212220962120597</v>
      </c>
      <c r="AI2992">
        <v>91.804444412140597</v>
      </c>
      <c r="AJ2992">
        <v>91.287403258250094</v>
      </c>
      <c r="AK2992">
        <v>35.2385857994147</v>
      </c>
      <c r="AL2992">
        <v>79.010505873902702</v>
      </c>
      <c r="AM2992">
        <v>96.085060413348302</v>
      </c>
      <c r="AN2992">
        <v>1.0000000054685001</v>
      </c>
    </row>
    <row r="2993" spans="1:40" x14ac:dyDescent="0.25">
      <c r="A2993" t="str">
        <f>"20190304155651183"</f>
        <v>20190304155651183</v>
      </c>
      <c r="B2993" t="str">
        <f>"1551686211177725"</f>
        <v>1551686211177725</v>
      </c>
      <c r="C2993" t="s">
        <v>40</v>
      </c>
      <c r="D2993">
        <v>4.8305089999999904</v>
      </c>
      <c r="E2993">
        <v>0.53009209999999995</v>
      </c>
      <c r="F2993" t="s">
        <v>53</v>
      </c>
      <c r="G2993">
        <v>-491.3768</v>
      </c>
      <c r="H2993" s="1">
        <v>3.1403120000000001E-6</v>
      </c>
      <c r="I2993">
        <v>216.3459</v>
      </c>
      <c r="J2993">
        <v>-492.43549999999999</v>
      </c>
      <c r="K2993">
        <v>1.109612</v>
      </c>
      <c r="L2993">
        <v>252.34289999999999</v>
      </c>
      <c r="M2993">
        <v>7.1985979999999996E-3</v>
      </c>
      <c r="N2993">
        <v>-1.137023E-2</v>
      </c>
      <c r="O2993">
        <v>-0.99990950000000001</v>
      </c>
      <c r="P2993">
        <v>0.1110631</v>
      </c>
      <c r="Q2993">
        <v>0.18012010000000001</v>
      </c>
      <c r="R2993">
        <v>-0.97735450000000001</v>
      </c>
      <c r="S2993">
        <v>9.017944E-2</v>
      </c>
      <c r="T2993">
        <v>-9.4459059999999997E-2</v>
      </c>
      <c r="U2993">
        <v>-3.076355</v>
      </c>
      <c r="V2993">
        <v>-0.10378900000000001</v>
      </c>
      <c r="W2993">
        <v>0.19135820000000001</v>
      </c>
      <c r="X2993">
        <v>0.97601740000000003</v>
      </c>
      <c r="Y2993">
        <v>-2.2093669999999999E-2</v>
      </c>
      <c r="Z2993">
        <v>1.9313219999999999E-2</v>
      </c>
      <c r="AA2993">
        <v>0.99956940000000005</v>
      </c>
      <c r="AB2993">
        <v>26</v>
      </c>
      <c r="AC2993">
        <v>1.05869999999998</v>
      </c>
      <c r="AD2993">
        <v>-1.1096088596879901</v>
      </c>
      <c r="AE2993">
        <v>-35.9969999999999</v>
      </c>
      <c r="AF2993">
        <v>-0.79876957416337502</v>
      </c>
      <c r="AG2993">
        <v>-1.1096088596879901</v>
      </c>
      <c r="AH2993">
        <v>35.969540731484898</v>
      </c>
      <c r="AI2993">
        <v>91.766497221093402</v>
      </c>
      <c r="AJ2993">
        <v>91.272148701645804</v>
      </c>
      <c r="AK2993">
        <v>35.995515346888098</v>
      </c>
      <c r="AL2993">
        <v>78.967942647627098</v>
      </c>
      <c r="AM2993">
        <v>96.069981382868406</v>
      </c>
      <c r="AN2993">
        <v>1.0000000411654899</v>
      </c>
    </row>
    <row r="2994" spans="1:40" x14ac:dyDescent="0.25">
      <c r="A2994" t="str">
        <f>"20190304155651195"</f>
        <v>20190304155651195</v>
      </c>
      <c r="B2994" t="str">
        <f>"1551686211187485"</f>
        <v>1551686211187485</v>
      </c>
      <c r="C2994" t="s">
        <v>40</v>
      </c>
      <c r="D2994">
        <v>4.8926939999999997</v>
      </c>
      <c r="E2994">
        <v>0.53009209999999995</v>
      </c>
      <c r="F2994" t="s">
        <v>53</v>
      </c>
      <c r="G2994">
        <v>-491.36329999999998</v>
      </c>
      <c r="H2994" s="1">
        <v>3.1037110000000001E-6</v>
      </c>
      <c r="I2994">
        <v>215.4538</v>
      </c>
      <c r="J2994">
        <v>-492.43490000000003</v>
      </c>
      <c r="K2994">
        <v>1.1096159999999999</v>
      </c>
      <c r="L2994">
        <v>252.21559999999999</v>
      </c>
      <c r="M2994">
        <v>6.8702939999999999E-3</v>
      </c>
      <c r="N2994">
        <v>-1.137003E-2</v>
      </c>
      <c r="O2994">
        <v>-0.99991180000000002</v>
      </c>
      <c r="P2994">
        <v>0.1108077</v>
      </c>
      <c r="Q2994">
        <v>0.18076900000000001</v>
      </c>
      <c r="R2994">
        <v>-0.97726380000000002</v>
      </c>
      <c r="S2994">
        <v>8.9416499999999996E-2</v>
      </c>
      <c r="T2994">
        <v>-9.253728E-2</v>
      </c>
      <c r="U2994">
        <v>-3.076416</v>
      </c>
      <c r="V2994">
        <v>-0.10385560000000001</v>
      </c>
      <c r="W2994">
        <v>0.19200449999999999</v>
      </c>
      <c r="X2994">
        <v>0.97588330000000001</v>
      </c>
      <c r="Y2994">
        <v>-2.2174070000000001E-2</v>
      </c>
      <c r="Z2994">
        <v>1.8689170000000001E-2</v>
      </c>
      <c r="AA2994">
        <v>0.99957940000000001</v>
      </c>
      <c r="AB2994">
        <v>26</v>
      </c>
      <c r="AC2994">
        <v>1.0716000000000401</v>
      </c>
      <c r="AD2994">
        <v>-1.109612896289</v>
      </c>
      <c r="AE2994">
        <v>-36.761800000000001</v>
      </c>
      <c r="AF2994">
        <v>-0.81824917062770297</v>
      </c>
      <c r="AG2994">
        <v>-1.109612896289</v>
      </c>
      <c r="AH2994">
        <v>36.734855530191197</v>
      </c>
      <c r="AI2994">
        <v>91.729721224548697</v>
      </c>
      <c r="AJ2994">
        <v>91.276021700179697</v>
      </c>
      <c r="AK2994">
        <v>36.760717937886703</v>
      </c>
      <c r="AL2994">
        <v>78.930211909041205</v>
      </c>
      <c r="AM2994">
        <v>96.074675692900996</v>
      </c>
      <c r="AN2994">
        <v>0.99999996444524897</v>
      </c>
    </row>
    <row r="2995" spans="1:40" x14ac:dyDescent="0.25">
      <c r="A2995" t="str">
        <f>"20190304155651207"</f>
        <v>20190304155651207</v>
      </c>
      <c r="B2995" t="str">
        <f>"1551686211197245"</f>
        <v>1551686211197245</v>
      </c>
      <c r="C2995" t="s">
        <v>40</v>
      </c>
      <c r="D2995">
        <v>4.8417529999999998</v>
      </c>
      <c r="E2995">
        <v>0.52999430000000003</v>
      </c>
      <c r="F2995" t="s">
        <v>53</v>
      </c>
      <c r="G2995">
        <v>-491.3492</v>
      </c>
      <c r="H2995" s="1">
        <v>3.063969E-6</v>
      </c>
      <c r="I2995">
        <v>214.4873</v>
      </c>
      <c r="J2995">
        <v>-492.43430000000001</v>
      </c>
      <c r="K2995">
        <v>1.1096239999999999</v>
      </c>
      <c r="L2995">
        <v>252.05709999999999</v>
      </c>
      <c r="M2995">
        <v>6.4646080000000002E-3</v>
      </c>
      <c r="N2995">
        <v>-1.13699E-2</v>
      </c>
      <c r="O2995">
        <v>-0.99991450000000004</v>
      </c>
      <c r="P2995">
        <v>0.1102046</v>
      </c>
      <c r="Q2995">
        <v>0.1811005</v>
      </c>
      <c r="R2995">
        <v>-0.97727050000000004</v>
      </c>
      <c r="S2995">
        <v>8.8531490000000004E-2</v>
      </c>
      <c r="T2995">
        <v>-9.0481640000000002E-2</v>
      </c>
      <c r="U2995">
        <v>-3.076492</v>
      </c>
      <c r="V2995">
        <v>-0.10365149999999999</v>
      </c>
      <c r="W2995">
        <v>0.192334</v>
      </c>
      <c r="X2995">
        <v>0.97584020000000005</v>
      </c>
      <c r="Y2995">
        <v>-2.2292070000000001E-2</v>
      </c>
      <c r="Z2995">
        <v>1.802146E-2</v>
      </c>
      <c r="AA2995">
        <v>0.99958910000000001</v>
      </c>
      <c r="AB2995">
        <v>26</v>
      </c>
      <c r="AC2995">
        <v>1.0851000000000099</v>
      </c>
      <c r="AD2995">
        <v>-1.1096209360310001</v>
      </c>
      <c r="AE2995">
        <v>-37.569800000000001</v>
      </c>
      <c r="AF2995">
        <v>-0.84145420377865998</v>
      </c>
      <c r="AG2995">
        <v>-1.1096209360310001</v>
      </c>
      <c r="AH2995">
        <v>37.543307890079099</v>
      </c>
      <c r="AI2995">
        <v>91.692502577543195</v>
      </c>
      <c r="AJ2995">
        <v>91.283949305617497</v>
      </c>
      <c r="AK2995">
        <v>37.569126568606997</v>
      </c>
      <c r="AL2995">
        <v>78.910975339841599</v>
      </c>
      <c r="AM2995">
        <v>96.0630923509203</v>
      </c>
      <c r="AN2995">
        <v>1.0000000484721401</v>
      </c>
    </row>
    <row r="2996" spans="1:40" x14ac:dyDescent="0.25">
      <c r="A2996" t="str">
        <f>"20190304155651227"</f>
        <v>20190304155651227</v>
      </c>
      <c r="B2996" t="str">
        <f>"1551686211217744"</f>
        <v>1551686211217744</v>
      </c>
      <c r="C2996" t="s">
        <v>40</v>
      </c>
      <c r="D2996">
        <v>4.8327720000000003</v>
      </c>
      <c r="E2996">
        <v>0.52986009999999995</v>
      </c>
      <c r="F2996" t="s">
        <v>53</v>
      </c>
      <c r="G2996">
        <v>-491.35160000000002</v>
      </c>
      <c r="H2996" s="1">
        <v>3.0468050000000001E-6</v>
      </c>
      <c r="I2996">
        <v>214.10419999999999</v>
      </c>
      <c r="J2996">
        <v>-492.43340000000001</v>
      </c>
      <c r="K2996">
        <v>1.1096330000000001</v>
      </c>
      <c r="L2996">
        <v>251.84049999999999</v>
      </c>
      <c r="M2996">
        <v>5.9160100000000002E-3</v>
      </c>
      <c r="N2996">
        <v>-1.1369840000000001E-2</v>
      </c>
      <c r="O2996">
        <v>-0.99991799999999997</v>
      </c>
      <c r="P2996">
        <v>0.1096303</v>
      </c>
      <c r="Q2996">
        <v>0.18173619999999999</v>
      </c>
      <c r="R2996">
        <v>-0.97721720000000001</v>
      </c>
      <c r="S2996">
        <v>8.7768550000000001E-2</v>
      </c>
      <c r="T2996">
        <v>-8.9949489999999993E-2</v>
      </c>
      <c r="U2996">
        <v>-3.076584</v>
      </c>
      <c r="V2996">
        <v>-0.1036161</v>
      </c>
      <c r="W2996">
        <v>0.19296659999999999</v>
      </c>
      <c r="X2996">
        <v>0.975719</v>
      </c>
      <c r="Y2996">
        <v>-2.2592089999999999E-2</v>
      </c>
      <c r="Z2996">
        <v>1.7847979999999999E-2</v>
      </c>
      <c r="AA2996">
        <v>0.99958539999999996</v>
      </c>
      <c r="AB2996">
        <v>26</v>
      </c>
      <c r="AC2996">
        <v>1.0817999999999801</v>
      </c>
      <c r="AD2996">
        <v>-1.109629953195</v>
      </c>
      <c r="AE2996">
        <v>-37.7363</v>
      </c>
      <c r="AF2996">
        <v>-0.85777727432147799</v>
      </c>
      <c r="AG2996">
        <v>-1.109629953195</v>
      </c>
      <c r="AH2996">
        <v>37.709461377388699</v>
      </c>
      <c r="AI2996">
        <v>91.685050455509696</v>
      </c>
      <c r="AJ2996">
        <v>91.303082615481003</v>
      </c>
      <c r="AK2996">
        <v>37.735534153608299</v>
      </c>
      <c r="AL2996">
        <v>78.874037398475195</v>
      </c>
      <c r="AM2996">
        <v>96.0617843181018</v>
      </c>
      <c r="AN2996">
        <v>0.99999998592788397</v>
      </c>
    </row>
    <row r="2997" spans="1:40" x14ac:dyDescent="0.25">
      <c r="A2997" t="str">
        <f>"20190304155651240"</f>
        <v>20190304155651240</v>
      </c>
      <c r="B2997" t="str">
        <f>"1551686211227501"</f>
        <v>1551686211227501</v>
      </c>
      <c r="C2997" t="s">
        <v>40</v>
      </c>
      <c r="D2997">
        <v>4.8309049999999996</v>
      </c>
      <c r="E2997">
        <v>0.52488579999999996</v>
      </c>
      <c r="F2997" t="s">
        <v>53</v>
      </c>
      <c r="G2997">
        <v>-491.34690000000001</v>
      </c>
      <c r="H2997" s="1">
        <v>3.0105249999999999E-6</v>
      </c>
      <c r="I2997">
        <v>213.2552</v>
      </c>
      <c r="J2997">
        <v>-492.43299999999999</v>
      </c>
      <c r="K2997">
        <v>1.109631</v>
      </c>
      <c r="L2997">
        <v>251.69470000000001</v>
      </c>
      <c r="M2997">
        <v>5.5508279999999998E-3</v>
      </c>
      <c r="N2997">
        <v>-1.1369850000000001E-2</v>
      </c>
      <c r="O2997">
        <v>-0.99991989999999997</v>
      </c>
      <c r="P2997">
        <v>0.1093181</v>
      </c>
      <c r="Q2997">
        <v>0.18169150000000001</v>
      </c>
      <c r="R2997">
        <v>-0.97726029999999997</v>
      </c>
      <c r="S2997">
        <v>8.6639399999999894E-2</v>
      </c>
      <c r="T2997">
        <v>-8.8477730000000004E-2</v>
      </c>
      <c r="U2997">
        <v>-3.0766450000000001</v>
      </c>
      <c r="V2997">
        <v>-0.10366259999999999</v>
      </c>
      <c r="W2997">
        <v>0.1929207</v>
      </c>
      <c r="X2997">
        <v>0.97572309999999995</v>
      </c>
      <c r="Y2997">
        <v>-2.259038E-2</v>
      </c>
      <c r="Z2997">
        <v>1.7369829999999999E-2</v>
      </c>
      <c r="AA2997">
        <v>0.99959390000000004</v>
      </c>
      <c r="AB2997">
        <v>26</v>
      </c>
      <c r="AC2997">
        <v>1.08610000000004</v>
      </c>
      <c r="AD2997">
        <v>-1.1096279894750001</v>
      </c>
      <c r="AE2997">
        <v>-38.439500000000002</v>
      </c>
      <c r="AF2997">
        <v>-0.87197237643606995</v>
      </c>
      <c r="AG2997">
        <v>-1.1096279894750001</v>
      </c>
      <c r="AH2997">
        <v>38.412953040173399</v>
      </c>
      <c r="AI2997">
        <v>91.654206726687804</v>
      </c>
      <c r="AJ2997">
        <v>91.300388395036293</v>
      </c>
      <c r="AK2997">
        <v>38.438867977177203</v>
      </c>
      <c r="AL2997">
        <v>78.876717226544102</v>
      </c>
      <c r="AM2997">
        <v>96.064459115914104</v>
      </c>
      <c r="AN2997">
        <v>0.99999994950042803</v>
      </c>
    </row>
    <row r="2998" spans="1:40" x14ac:dyDescent="0.25">
      <c r="A2998" t="str">
        <f>"20190304155651251"</f>
        <v>20190304155651251</v>
      </c>
      <c r="B2998" t="str">
        <f>"1551686211247997"</f>
        <v>1551686211247997</v>
      </c>
      <c r="C2998" t="s">
        <v>40</v>
      </c>
      <c r="D2998">
        <v>4.8494510000000002</v>
      </c>
      <c r="E2998">
        <v>0.52543819999999997</v>
      </c>
      <c r="F2998" t="s">
        <v>53</v>
      </c>
      <c r="G2998">
        <v>-491.00170000000003</v>
      </c>
      <c r="H2998" s="1">
        <v>3.2198500000000002E-6</v>
      </c>
      <c r="I2998">
        <v>216.64330000000001</v>
      </c>
      <c r="J2998">
        <v>-492.43259999999998</v>
      </c>
      <c r="K2998">
        <v>1.109634</v>
      </c>
      <c r="L2998">
        <v>251.56110000000001</v>
      </c>
      <c r="M2998">
        <v>5.2173300000000001E-3</v>
      </c>
      <c r="N2998">
        <v>-1.13699E-2</v>
      </c>
      <c r="O2998">
        <v>-0.99992179999999997</v>
      </c>
      <c r="P2998">
        <v>0.1091246</v>
      </c>
      <c r="Q2998">
        <v>0.18167900000000001</v>
      </c>
      <c r="R2998">
        <v>-0.9772845</v>
      </c>
      <c r="S2998">
        <v>0.12551880000000001</v>
      </c>
      <c r="T2998">
        <v>-9.730983E-2</v>
      </c>
      <c r="U2998">
        <v>-3.073868</v>
      </c>
      <c r="V2998">
        <v>-0.1037969</v>
      </c>
      <c r="W2998">
        <v>0.192908</v>
      </c>
      <c r="X2998">
        <v>0.97571140000000001</v>
      </c>
      <c r="Y2998">
        <v>-3.5569219999999999E-2</v>
      </c>
      <c r="Z2998">
        <v>2.025242E-2</v>
      </c>
      <c r="AA2998">
        <v>0.99916199999999999</v>
      </c>
      <c r="AB2998">
        <v>26</v>
      </c>
      <c r="AC2998">
        <v>1.4308999999999501</v>
      </c>
      <c r="AD2998">
        <v>-1.1096307801500001</v>
      </c>
      <c r="AE2998">
        <v>-34.9178</v>
      </c>
      <c r="AF2998">
        <v>-1.2474334423217099</v>
      </c>
      <c r="AG2998">
        <v>-1.1096307801500001</v>
      </c>
      <c r="AH2998">
        <v>34.889615927201099</v>
      </c>
      <c r="AI2998">
        <v>91.820460887018299</v>
      </c>
      <c r="AJ2998">
        <v>92.047664834626602</v>
      </c>
      <c r="AK2998">
        <v>34.9295386486693</v>
      </c>
      <c r="AL2998">
        <v>78.877459545444296</v>
      </c>
      <c r="AM2998">
        <v>96.072329529159703</v>
      </c>
      <c r="AN2998">
        <v>1.00000001450178</v>
      </c>
    </row>
    <row r="2999" spans="1:40" x14ac:dyDescent="0.25">
      <c r="A2999" t="str">
        <f>"20190304155651263"</f>
        <v>20190304155651263</v>
      </c>
      <c r="B2999" t="str">
        <f>"1551686211257757"</f>
        <v>1551686211257757</v>
      </c>
      <c r="C2999" t="s">
        <v>40</v>
      </c>
      <c r="D2999">
        <v>4.8589399999999996</v>
      </c>
      <c r="E2999">
        <v>0.52524839999999995</v>
      </c>
      <c r="F2999" t="s">
        <v>53</v>
      </c>
      <c r="G2999">
        <v>-491.09750000000003</v>
      </c>
      <c r="H2999" s="1">
        <v>3.2340759999999998E-6</v>
      </c>
      <c r="I2999">
        <v>217.35759999999999</v>
      </c>
      <c r="J2999">
        <v>-492.4323</v>
      </c>
      <c r="K2999">
        <v>1.109639</v>
      </c>
      <c r="L2999">
        <v>251.41919999999999</v>
      </c>
      <c r="M2999">
        <v>4.8654270000000003E-3</v>
      </c>
      <c r="N2999">
        <v>-1.136999E-2</v>
      </c>
      <c r="O2999">
        <v>-0.99992369999999997</v>
      </c>
      <c r="P2999">
        <v>0.1090069</v>
      </c>
      <c r="Q2999">
        <v>0.18160999999999999</v>
      </c>
      <c r="R2999">
        <v>-0.97731040000000002</v>
      </c>
      <c r="S2999">
        <v>0.1200256</v>
      </c>
      <c r="T2999">
        <v>-9.9755640000000007E-2</v>
      </c>
      <c r="U2999">
        <v>-3.0748899999999999</v>
      </c>
      <c r="V2999">
        <v>-0.1040249</v>
      </c>
      <c r="W2999">
        <v>0.19283839999999999</v>
      </c>
      <c r="X2999">
        <v>0.97570089999999998</v>
      </c>
      <c r="Y2999">
        <v>-3.4124790000000002E-2</v>
      </c>
      <c r="Z2999">
        <v>2.103758E-2</v>
      </c>
      <c r="AA2999">
        <v>0.99919610000000003</v>
      </c>
      <c r="AB2999">
        <v>26</v>
      </c>
      <c r="AC2999">
        <v>1.33479999999997</v>
      </c>
      <c r="AD2999">
        <v>-1.1096357659239999</v>
      </c>
      <c r="AE2999">
        <v>-34.061599999999999</v>
      </c>
      <c r="AF2999">
        <v>-1.16781180956118</v>
      </c>
      <c r="AG2999">
        <v>-1.1096357659239999</v>
      </c>
      <c r="AH2999">
        <v>34.031629799644598</v>
      </c>
      <c r="AI2999">
        <v>91.866427494804697</v>
      </c>
      <c r="AJ2999">
        <v>91.965361144167602</v>
      </c>
      <c r="AK2999">
        <v>34.069735877691002</v>
      </c>
      <c r="AL2999">
        <v>78.881523897033105</v>
      </c>
      <c r="AM2999">
        <v>96.085633008918805</v>
      </c>
      <c r="AN2999">
        <v>1.0000000372976801</v>
      </c>
    </row>
    <row r="3000" spans="1:40" x14ac:dyDescent="0.25">
      <c r="A3000" t="str">
        <f>"20190304155651284"</f>
        <v>20190304155651284</v>
      </c>
      <c r="B3000" t="str">
        <f>"1551686211277277"</f>
        <v>1551686211277277</v>
      </c>
      <c r="C3000" t="s">
        <v>40</v>
      </c>
      <c r="D3000">
        <v>4.8086949999999904</v>
      </c>
      <c r="E3000">
        <v>0.52471559999999995</v>
      </c>
      <c r="F3000" t="s">
        <v>53</v>
      </c>
      <c r="G3000">
        <v>-491.1259</v>
      </c>
      <c r="H3000" s="1">
        <v>3.2633939999999998E-6</v>
      </c>
      <c r="I3000">
        <v>218.1437</v>
      </c>
      <c r="J3000">
        <v>-492.43180000000001</v>
      </c>
      <c r="K3000">
        <v>1.109645</v>
      </c>
      <c r="L3000">
        <v>251.18989999999999</v>
      </c>
      <c r="M3000">
        <v>4.2986220000000002E-3</v>
      </c>
      <c r="N3000">
        <v>-1.137021E-2</v>
      </c>
      <c r="O3000">
        <v>-0.99992610000000004</v>
      </c>
      <c r="P3000">
        <v>0.1087462</v>
      </c>
      <c r="Q3000">
        <v>0.18236640000000001</v>
      </c>
      <c r="R3000">
        <v>-0.97719849999999997</v>
      </c>
      <c r="S3000">
        <v>0.1207275</v>
      </c>
      <c r="T3000">
        <v>-0.102549</v>
      </c>
      <c r="U3000">
        <v>-3.0752109999999999</v>
      </c>
      <c r="V3000">
        <v>-0.10432039999999999</v>
      </c>
      <c r="W3000">
        <v>0.19359199999999999</v>
      </c>
      <c r="X3000">
        <v>0.9755201</v>
      </c>
      <c r="Y3000">
        <v>-3.4913819999999998E-2</v>
      </c>
      <c r="Z3000">
        <v>2.1939920000000002E-2</v>
      </c>
      <c r="AA3000">
        <v>0.99914939999999997</v>
      </c>
      <c r="AB3000">
        <v>26</v>
      </c>
      <c r="AC3000">
        <v>1.3059000000000001</v>
      </c>
      <c r="AD3000">
        <v>-1.1096417366060001</v>
      </c>
      <c r="AE3000">
        <v>-33.046199999999999</v>
      </c>
      <c r="AF3000">
        <v>-1.1625169128530899</v>
      </c>
      <c r="AG3000">
        <v>-1.1096417366060001</v>
      </c>
      <c r="AH3000">
        <v>33.014342433685599</v>
      </c>
      <c r="AI3000">
        <v>91.923846548804903</v>
      </c>
      <c r="AJ3000">
        <v>92.016693323351106</v>
      </c>
      <c r="AK3000">
        <v>33.0534348696915</v>
      </c>
      <c r="AL3000">
        <v>78.837516536827195</v>
      </c>
      <c r="AM3000">
        <v>96.103912522625194</v>
      </c>
      <c r="AN3000">
        <v>1.0000000369120801</v>
      </c>
    </row>
    <row r="3001" spans="1:40" x14ac:dyDescent="0.25">
      <c r="A3001" t="str">
        <f>"20190304155651307"</f>
        <v>20190304155651307</v>
      </c>
      <c r="B3001" t="str">
        <f>"1551686211297773"</f>
        <v>1551686211297773</v>
      </c>
      <c r="C3001" t="s">
        <v>40</v>
      </c>
      <c r="D3001">
        <v>4.800872</v>
      </c>
      <c r="E3001">
        <v>0.52435050000000005</v>
      </c>
      <c r="F3001" t="s">
        <v>53</v>
      </c>
      <c r="G3001">
        <v>-491.0643</v>
      </c>
      <c r="H3001" s="1">
        <v>3.2364090000000001E-6</v>
      </c>
      <c r="I3001">
        <v>217.27600000000001</v>
      </c>
      <c r="J3001">
        <v>-492.4314</v>
      </c>
      <c r="K3001">
        <v>1.1096600000000001</v>
      </c>
      <c r="L3001">
        <v>250.92060000000001</v>
      </c>
      <c r="M3001">
        <v>3.6357659999999999E-3</v>
      </c>
      <c r="N3001">
        <v>-1.13705E-2</v>
      </c>
      <c r="O3001">
        <v>-0.99992890000000001</v>
      </c>
      <c r="P3001">
        <v>0.1086472</v>
      </c>
      <c r="Q3001">
        <v>0.18368950000000001</v>
      </c>
      <c r="R3001">
        <v>-0.97696179999999999</v>
      </c>
      <c r="S3001">
        <v>0.1239929</v>
      </c>
      <c r="T3001">
        <v>-0.1006122</v>
      </c>
      <c r="U3001">
        <v>-3.0749970000000002</v>
      </c>
      <c r="V3001">
        <v>-0.10487059999999999</v>
      </c>
      <c r="W3001">
        <v>0.1949111</v>
      </c>
      <c r="X3001">
        <v>0.97519829999999996</v>
      </c>
      <c r="Y3001">
        <v>-3.6638560000000001E-2</v>
      </c>
      <c r="Z3001">
        <v>2.131166E-2</v>
      </c>
      <c r="AA3001">
        <v>0.99910129999999997</v>
      </c>
      <c r="AB3001">
        <v>26</v>
      </c>
      <c r="AC3001">
        <v>1.36709999999999</v>
      </c>
      <c r="AD3001">
        <v>-1.109656763591</v>
      </c>
      <c r="AE3001">
        <v>-33.644599999999997</v>
      </c>
      <c r="AF3001">
        <v>-1.2434088382110799</v>
      </c>
      <c r="AG3001">
        <v>-1.109656763591</v>
      </c>
      <c r="AH3001">
        <v>33.612844801748302</v>
      </c>
      <c r="AI3001">
        <v>91.8895204672815</v>
      </c>
      <c r="AJ3001">
        <v>92.118523722272101</v>
      </c>
      <c r="AK3001">
        <v>33.654134060146902</v>
      </c>
      <c r="AL3001">
        <v>78.760469103255701</v>
      </c>
      <c r="AM3001">
        <v>96.137869737944598</v>
      </c>
      <c r="AN3001">
        <v>0.99999995198522795</v>
      </c>
    </row>
    <row r="3002" spans="1:40" x14ac:dyDescent="0.25">
      <c r="A3002" t="str">
        <f>"20190304155651322"</f>
        <v>20190304155651322</v>
      </c>
      <c r="B3002" t="str">
        <f>"1551686211317293"</f>
        <v>1551686211317293</v>
      </c>
      <c r="C3002" t="s">
        <v>40</v>
      </c>
      <c r="D3002">
        <v>4.7978880000000004</v>
      </c>
      <c r="E3002">
        <v>0.50903799999999999</v>
      </c>
      <c r="F3002" t="s">
        <v>53</v>
      </c>
      <c r="G3002">
        <v>-490.98899999999998</v>
      </c>
      <c r="H3002" s="1">
        <v>3.196559E-6</v>
      </c>
      <c r="I3002">
        <v>216.05889999999999</v>
      </c>
      <c r="J3002">
        <v>-492.43119999999999</v>
      </c>
      <c r="K3002">
        <v>1.1096629999999901</v>
      </c>
      <c r="L3002">
        <v>250.74289999999999</v>
      </c>
      <c r="M3002">
        <v>3.1987930000000001E-3</v>
      </c>
      <c r="N3002">
        <v>-1.137063E-2</v>
      </c>
      <c r="O3002">
        <v>-0.99993030000000005</v>
      </c>
      <c r="P3002">
        <v>0.10828939999999999</v>
      </c>
      <c r="Q3002">
        <v>0.1844934</v>
      </c>
      <c r="R3002">
        <v>-0.9768502</v>
      </c>
      <c r="S3002">
        <v>0.1272278</v>
      </c>
      <c r="T3002">
        <v>-9.7879049999999995E-2</v>
      </c>
      <c r="U3002">
        <v>-3.075027</v>
      </c>
      <c r="V3002">
        <v>-0.10494050000000001</v>
      </c>
      <c r="W3002">
        <v>0.19571269999999999</v>
      </c>
      <c r="X3002">
        <v>0.97503030000000002</v>
      </c>
      <c r="Y3002">
        <v>-3.8124699999999997E-2</v>
      </c>
      <c r="Z3002">
        <v>2.0422619999999999E-2</v>
      </c>
      <c r="AA3002">
        <v>0.99906430000000002</v>
      </c>
      <c r="AB3002">
        <v>26</v>
      </c>
      <c r="AC3002">
        <v>1.44219999999995</v>
      </c>
      <c r="AD3002">
        <v>-1.1096598034409999</v>
      </c>
      <c r="AE3002">
        <v>-34.683999999999997</v>
      </c>
      <c r="AF3002">
        <v>-1.3298796309982299</v>
      </c>
      <c r="AG3002">
        <v>-1.1096598034409999</v>
      </c>
      <c r="AH3002">
        <v>34.653027237489297</v>
      </c>
      <c r="AI3002">
        <v>91.832751440474993</v>
      </c>
      <c r="AJ3002">
        <v>92.197762271831195</v>
      </c>
      <c r="AK3002">
        <v>34.696285412627198</v>
      </c>
      <c r="AL3002">
        <v>78.713639774139907</v>
      </c>
      <c r="AM3002">
        <v>96.142979766654705</v>
      </c>
      <c r="AN3002">
        <v>1.00000002769981</v>
      </c>
    </row>
    <row r="3003" spans="1:40" x14ac:dyDescent="0.25">
      <c r="A3003" t="str">
        <f>"20190304155651338"</f>
        <v>20190304155651338</v>
      </c>
      <c r="B3003" t="str">
        <f>"1551686211328029"</f>
        <v>1551686211328029</v>
      </c>
      <c r="C3003" t="s">
        <v>40</v>
      </c>
      <c r="D3003">
        <v>4.7435669999999996</v>
      </c>
      <c r="E3003">
        <v>0.50386200000000003</v>
      </c>
      <c r="F3003" t="s">
        <v>53</v>
      </c>
      <c r="G3003">
        <v>-489.09480000000002</v>
      </c>
      <c r="H3003" s="1">
        <v>2.8845699999999999E-6</v>
      </c>
      <c r="I3003">
        <v>209.42189999999999</v>
      </c>
      <c r="J3003">
        <v>-492.43110000000001</v>
      </c>
      <c r="K3003">
        <v>1.1096600000000001</v>
      </c>
      <c r="L3003">
        <v>250.54820000000001</v>
      </c>
      <c r="M3003">
        <v>2.7196809999999998E-3</v>
      </c>
      <c r="N3003">
        <v>-1.137084E-2</v>
      </c>
      <c r="O3003">
        <v>-0.99993180000000004</v>
      </c>
      <c r="P3003">
        <v>0.1083962</v>
      </c>
      <c r="Q3003">
        <v>0.18500469999999999</v>
      </c>
      <c r="R3003">
        <v>-0.97674159999999999</v>
      </c>
      <c r="S3003">
        <v>0.24700929999999999</v>
      </c>
      <c r="T3003">
        <v>-8.2154270000000001E-2</v>
      </c>
      <c r="U3003">
        <v>-3.0592190000000001</v>
      </c>
      <c r="V3003">
        <v>-0.10551629999999999</v>
      </c>
      <c r="W3003">
        <v>0.19622239999999999</v>
      </c>
      <c r="X3003">
        <v>0.97486569999999995</v>
      </c>
      <c r="Y3003">
        <v>-7.7742980000000003E-2</v>
      </c>
      <c r="Z3003">
        <v>1.5393449999999999E-2</v>
      </c>
      <c r="AA3003">
        <v>0.99685460000000004</v>
      </c>
      <c r="AB3003">
        <v>26</v>
      </c>
      <c r="AC3003">
        <v>3.3362999999999898</v>
      </c>
      <c r="AD3003">
        <v>-1.1096571154299999</v>
      </c>
      <c r="AE3003">
        <v>-41.126300000000001</v>
      </c>
      <c r="AF3003">
        <v>-3.2220996381548401</v>
      </c>
      <c r="AG3003">
        <v>-1.1096571154299999</v>
      </c>
      <c r="AH3003">
        <v>41.105492511400598</v>
      </c>
      <c r="AI3003">
        <v>91.541617406130399</v>
      </c>
      <c r="AJ3003">
        <v>94.482028475906304</v>
      </c>
      <c r="AK3003">
        <v>41.246512332521299</v>
      </c>
      <c r="AL3003">
        <v>78.683858657026605</v>
      </c>
      <c r="AM3003">
        <v>96.177460771454193</v>
      </c>
      <c r="AN3003">
        <v>1.00000002643196</v>
      </c>
    </row>
    <row r="3004" spans="1:40" x14ac:dyDescent="0.25">
      <c r="A3004" t="str">
        <f>"20190304155651352"</f>
        <v>20190304155651352</v>
      </c>
      <c r="B3004" t="str">
        <f>"1551686211347549"</f>
        <v>1551686211347549</v>
      </c>
      <c r="C3004" t="s">
        <v>40</v>
      </c>
      <c r="D3004">
        <v>4.8303229999999999</v>
      </c>
      <c r="E3004">
        <v>0.50232520000000003</v>
      </c>
      <c r="F3004" t="s">
        <v>53</v>
      </c>
      <c r="G3004">
        <v>-488.35730000000001</v>
      </c>
      <c r="H3004" s="1">
        <v>2.1470700000000002E-6</v>
      </c>
      <c r="I3004">
        <v>207.46350000000001</v>
      </c>
      <c r="J3004">
        <v>-492.43110000000001</v>
      </c>
      <c r="K3004">
        <v>1.109661</v>
      </c>
      <c r="L3004">
        <v>250.38890000000001</v>
      </c>
      <c r="M3004">
        <v>2.327371E-3</v>
      </c>
      <c r="N3004">
        <v>-1.137109E-2</v>
      </c>
      <c r="O3004">
        <v>-0.99993270000000001</v>
      </c>
      <c r="P3004">
        <v>0.10826909999999999</v>
      </c>
      <c r="Q3004">
        <v>0.18501380000000001</v>
      </c>
      <c r="R3004">
        <v>-0.9767536</v>
      </c>
      <c r="S3004">
        <v>0.28878779999999998</v>
      </c>
      <c r="T3004">
        <v>-7.8663350000000007E-2</v>
      </c>
      <c r="U3004">
        <v>-3.0542600000000002</v>
      </c>
      <c r="V3004">
        <v>-0.10577309999999999</v>
      </c>
      <c r="W3004">
        <v>0.19623170000000001</v>
      </c>
      <c r="X3004">
        <v>0.97483600000000004</v>
      </c>
      <c r="Y3004">
        <v>-9.1786329999999999E-2</v>
      </c>
      <c r="Z3004">
        <v>1.4267429999999999E-2</v>
      </c>
      <c r="AA3004">
        <v>0.99567649999999996</v>
      </c>
      <c r="AB3004">
        <v>26</v>
      </c>
      <c r="AC3004">
        <v>4.0738000000000003</v>
      </c>
      <c r="AD3004">
        <v>-1.10965885293</v>
      </c>
      <c r="AE3004">
        <v>-42.925400000000003</v>
      </c>
      <c r="AF3004">
        <v>-3.97124901414709</v>
      </c>
      <c r="AG3004">
        <v>-1.10965885293</v>
      </c>
      <c r="AH3004">
        <v>42.9063486180317</v>
      </c>
      <c r="AI3004">
        <v>91.475170700660797</v>
      </c>
      <c r="AJ3004">
        <v>95.288014350852293</v>
      </c>
      <c r="AK3004">
        <v>43.104024327599902</v>
      </c>
      <c r="AL3004">
        <v>78.683315257526601</v>
      </c>
      <c r="AM3004">
        <v>96.192565682966006</v>
      </c>
      <c r="AN3004">
        <v>1.0000000278322401</v>
      </c>
    </row>
    <row r="3005" spans="1:40" x14ac:dyDescent="0.25">
      <c r="A3005" t="str">
        <f>"20190304155651365"</f>
        <v>20190304155651365</v>
      </c>
      <c r="B3005" t="str">
        <f>"1551686211357817"</f>
        <v>1551686211357817</v>
      </c>
      <c r="C3005" t="s">
        <v>40</v>
      </c>
      <c r="D3005">
        <v>4.7068099999999999</v>
      </c>
      <c r="E3005">
        <v>0.50192749999999997</v>
      </c>
      <c r="F3005" t="s">
        <v>53</v>
      </c>
      <c r="G3005">
        <v>-487.84379999999999</v>
      </c>
      <c r="H3005" s="1">
        <v>1.0968560000000001E-6</v>
      </c>
      <c r="I3005">
        <v>203.76230000000001</v>
      </c>
      <c r="J3005">
        <v>-492.43110000000001</v>
      </c>
      <c r="K3005">
        <v>1.1096600000000001</v>
      </c>
      <c r="L3005">
        <v>250.23750000000001</v>
      </c>
      <c r="M3005">
        <v>1.9548259999999998E-3</v>
      </c>
      <c r="N3005">
        <v>-1.137139E-2</v>
      </c>
      <c r="O3005">
        <v>-0.99993370000000004</v>
      </c>
      <c r="P3005">
        <v>0.1081526</v>
      </c>
      <c r="Q3005">
        <v>0.18535289999999999</v>
      </c>
      <c r="R3005">
        <v>-0.97670259999999998</v>
      </c>
      <c r="S3005">
        <v>0.30026249999999999</v>
      </c>
      <c r="T3005">
        <v>-7.2631959999999995E-2</v>
      </c>
      <c r="U3005">
        <v>-3.0519099999999999</v>
      </c>
      <c r="V3005">
        <v>-0.106021</v>
      </c>
      <c r="W3005">
        <v>0.19656970000000001</v>
      </c>
      <c r="X3005">
        <v>0.97474090000000002</v>
      </c>
      <c r="Y3005">
        <v>-9.59401E-2</v>
      </c>
      <c r="Z3005">
        <v>1.231142E-2</v>
      </c>
      <c r="AA3005">
        <v>0.99531099999999995</v>
      </c>
      <c r="AB3005">
        <v>26</v>
      </c>
      <c r="AC3005">
        <v>4.5873000000000204</v>
      </c>
      <c r="AD3005">
        <v>-1.1096589031440001</v>
      </c>
      <c r="AE3005">
        <v>-46.475200000000001</v>
      </c>
      <c r="AF3005">
        <v>-4.4938972880610004</v>
      </c>
      <c r="AG3005">
        <v>-1.1096589031440001</v>
      </c>
      <c r="AH3005">
        <v>46.457849947442902</v>
      </c>
      <c r="AI3005">
        <v>91.361911427105795</v>
      </c>
      <c r="AJ3005">
        <v>95.5250675299812</v>
      </c>
      <c r="AK3005">
        <v>46.687881483915</v>
      </c>
      <c r="AL3005">
        <v>78.663563845092995</v>
      </c>
      <c r="AM3005">
        <v>96.207566871379299</v>
      </c>
      <c r="AN3005">
        <v>0.99999996076594899</v>
      </c>
    </row>
    <row r="3006" spans="1:40" x14ac:dyDescent="0.25">
      <c r="A3006" t="str">
        <f>"20190304155651383"</f>
        <v>20190304155651383</v>
      </c>
      <c r="B3006" t="str">
        <f>"1551686211377337"</f>
        <v>1551686211377337</v>
      </c>
      <c r="C3006" t="s">
        <v>40</v>
      </c>
      <c r="D3006">
        <v>4.6803809999999997</v>
      </c>
      <c r="E3006">
        <v>0.50152039999999998</v>
      </c>
      <c r="F3006" t="s">
        <v>53</v>
      </c>
      <c r="G3006">
        <v>-487.43459999999999</v>
      </c>
      <c r="H3006" s="1">
        <v>3.4303879999999903E-8</v>
      </c>
      <c r="I3006">
        <v>199.87540000000001</v>
      </c>
      <c r="J3006">
        <v>-492.43130000000002</v>
      </c>
      <c r="K3006">
        <v>1.1096649999999999</v>
      </c>
      <c r="L3006">
        <v>250.03149999999999</v>
      </c>
      <c r="M3006">
        <v>1.4469070000000001E-3</v>
      </c>
      <c r="N3006">
        <v>-1.1371890000000001E-2</v>
      </c>
      <c r="O3006">
        <v>-0.9999344</v>
      </c>
      <c r="P3006">
        <v>0.10853839999999999</v>
      </c>
      <c r="Q3006">
        <v>0.1855617</v>
      </c>
      <c r="R3006">
        <v>-0.97661989999999999</v>
      </c>
      <c r="S3006">
        <v>0.30267329999999998</v>
      </c>
      <c r="T3006">
        <v>-6.7220089999999996E-2</v>
      </c>
      <c r="U3006">
        <v>-3.0507970000000002</v>
      </c>
      <c r="V3006">
        <v>-0.1069027</v>
      </c>
      <c r="W3006">
        <v>0.19677819999999999</v>
      </c>
      <c r="X3006">
        <v>0.97460259999999999</v>
      </c>
      <c r="Y3006">
        <v>-9.7262680000000004E-2</v>
      </c>
      <c r="Z3006">
        <v>1.0552489999999999E-2</v>
      </c>
      <c r="AA3006">
        <v>0.99520280000000005</v>
      </c>
      <c r="AB3006">
        <v>26</v>
      </c>
      <c r="AC3006">
        <v>4.9967000000000299</v>
      </c>
      <c r="AD3006">
        <v>-1.1096649656961199</v>
      </c>
      <c r="AE3006">
        <v>-50.156099999999903</v>
      </c>
      <c r="AF3006">
        <v>-4.9217334492495501</v>
      </c>
      <c r="AG3006">
        <v>-1.1096649656961199</v>
      </c>
      <c r="AH3006">
        <v>50.138976799840201</v>
      </c>
      <c r="AI3006">
        <v>91.261788209418398</v>
      </c>
      <c r="AJ3006">
        <v>95.606297351297002</v>
      </c>
      <c r="AK3006">
        <v>50.392180058184302</v>
      </c>
      <c r="AL3006">
        <v>78.651380588967299</v>
      </c>
      <c r="AM3006">
        <v>96.259663789774905</v>
      </c>
      <c r="AN3006">
        <v>1.0000000375946401</v>
      </c>
    </row>
    <row r="3007" spans="1:40" x14ac:dyDescent="0.25">
      <c r="A3007" t="str">
        <f>"20190304155651396"</f>
        <v>20190304155651396</v>
      </c>
      <c r="B3007" t="str">
        <f>"1551686211388073"</f>
        <v>1551686211388073</v>
      </c>
      <c r="C3007" t="s">
        <v>40</v>
      </c>
      <c r="D3007">
        <v>4.6798029999999997</v>
      </c>
      <c r="E3007">
        <v>0.50140879999999999</v>
      </c>
      <c r="F3007" t="s">
        <v>41</v>
      </c>
      <c r="G3007">
        <v>-486.69330000000002</v>
      </c>
      <c r="H3007" s="1">
        <v>-2.0018949999999999E-6</v>
      </c>
      <c r="I3007">
        <v>192.93199999999999</v>
      </c>
      <c r="J3007">
        <v>-492.43150000000003</v>
      </c>
      <c r="K3007">
        <v>1.109664</v>
      </c>
      <c r="L3007">
        <v>249.88319999999999</v>
      </c>
      <c r="M3007">
        <v>1.0817890000000001E-3</v>
      </c>
      <c r="N3007">
        <v>-1.137227E-2</v>
      </c>
      <c r="O3007">
        <v>-0.99993509999999997</v>
      </c>
      <c r="P3007">
        <v>0.1086776</v>
      </c>
      <c r="Q3007">
        <v>0.18563299999999999</v>
      </c>
      <c r="R3007">
        <v>-0.97659119999999999</v>
      </c>
      <c r="S3007">
        <v>0.30639650000000002</v>
      </c>
      <c r="T3007">
        <v>-5.9253930000000003E-2</v>
      </c>
      <c r="U3007">
        <v>-3.0489959999999998</v>
      </c>
      <c r="V3007">
        <v>-0.10739940000000001</v>
      </c>
      <c r="W3007">
        <v>0.1968493</v>
      </c>
      <c r="X3007">
        <v>0.9745336</v>
      </c>
      <c r="Y3007">
        <v>-9.8890450000000005E-2</v>
      </c>
      <c r="Z3007">
        <v>7.9631709999999998E-3</v>
      </c>
      <c r="AA3007">
        <v>0.99506649999999996</v>
      </c>
      <c r="AB3007">
        <v>26</v>
      </c>
      <c r="AC3007">
        <v>5.7382</v>
      </c>
      <c r="AD3007">
        <v>-1.109666001895</v>
      </c>
      <c r="AE3007">
        <v>-56.951199999999901</v>
      </c>
      <c r="AF3007">
        <v>-5.6744508653596899</v>
      </c>
      <c r="AG3007">
        <v>-1.109666001895</v>
      </c>
      <c r="AH3007">
        <v>56.935976310558303</v>
      </c>
      <c r="AI3007">
        <v>91.111034259341594</v>
      </c>
      <c r="AJ3007">
        <v>95.691515510490305</v>
      </c>
      <c r="AK3007">
        <v>57.228805244348699</v>
      </c>
      <c r="AL3007">
        <v>78.647225248181897</v>
      </c>
      <c r="AM3007">
        <v>96.288957151049303</v>
      </c>
      <c r="AN3007">
        <v>1.0000000077799001</v>
      </c>
    </row>
    <row r="3008" spans="1:40" x14ac:dyDescent="0.25">
      <c r="A3008" t="str">
        <f>"20190304155651408"</f>
        <v>20190304155651408</v>
      </c>
      <c r="B3008" t="str">
        <f>"1551686211397835"</f>
        <v>1551686211397835</v>
      </c>
      <c r="C3008" t="s">
        <v>40</v>
      </c>
      <c r="D3008">
        <v>4.6754959999999999</v>
      </c>
      <c r="E3008">
        <v>0.50143249999999995</v>
      </c>
      <c r="F3008" t="s">
        <v>41</v>
      </c>
      <c r="G3008">
        <v>-486.31630000000001</v>
      </c>
      <c r="H3008" s="1">
        <v>-4.8206419999999999E-6</v>
      </c>
      <c r="I3008">
        <v>189.3467</v>
      </c>
      <c r="J3008">
        <v>-492.43169999999998</v>
      </c>
      <c r="K3008">
        <v>1.1096619999999999</v>
      </c>
      <c r="L3008">
        <v>249.73939999999999</v>
      </c>
      <c r="M3008">
        <v>7.2815899999999895E-4</v>
      </c>
      <c r="N3008">
        <v>-1.137264E-2</v>
      </c>
      <c r="O3008">
        <v>-0.99993509999999997</v>
      </c>
      <c r="P3008">
        <v>0.1088789</v>
      </c>
      <c r="Q3008">
        <v>0.18551699999999999</v>
      </c>
      <c r="R3008">
        <v>-0.97659050000000003</v>
      </c>
      <c r="S3008">
        <v>0.30792239999999999</v>
      </c>
      <c r="T3008">
        <v>-5.5876370000000002E-2</v>
      </c>
      <c r="U3008">
        <v>-3.0482640000000001</v>
      </c>
      <c r="V3008">
        <v>-0.1079461</v>
      </c>
      <c r="W3008">
        <v>0.1967343</v>
      </c>
      <c r="X3008">
        <v>0.97449640000000004</v>
      </c>
      <c r="Y3008">
        <v>-9.9760509999999997E-2</v>
      </c>
      <c r="Z3008">
        <v>6.8638739999999998E-3</v>
      </c>
      <c r="AA3008">
        <v>0.99498779999999998</v>
      </c>
      <c r="AB3008">
        <v>26</v>
      </c>
      <c r="AC3008">
        <v>6.1153999999999602</v>
      </c>
      <c r="AD3008">
        <v>-1.109666820642</v>
      </c>
      <c r="AE3008">
        <v>-60.392699999999898</v>
      </c>
      <c r="AF3008">
        <v>-6.0693917534110904</v>
      </c>
      <c r="AG3008">
        <v>-1.109666820642</v>
      </c>
      <c r="AH3008">
        <v>60.376960235188797</v>
      </c>
      <c r="AI3008">
        <v>91.047640471828103</v>
      </c>
      <c r="AJ3008">
        <v>95.740372003814201</v>
      </c>
      <c r="AK3008">
        <v>60.691401400452001</v>
      </c>
      <c r="AL3008">
        <v>78.653945468127304</v>
      </c>
      <c r="AM3008">
        <v>96.320950993454701</v>
      </c>
      <c r="AN3008">
        <v>0.99999998945732904</v>
      </c>
    </row>
    <row r="3009" spans="1:40" x14ac:dyDescent="0.25">
      <c r="A3009" t="str">
        <f>"20190304155651428"</f>
        <v>20190304155651428</v>
      </c>
      <c r="B3009" t="str">
        <f>"1551686211417353"</f>
        <v>1551686211417353</v>
      </c>
      <c r="C3009" t="s">
        <v>40</v>
      </c>
      <c r="D3009">
        <v>4.6801399999999997</v>
      </c>
      <c r="E3009">
        <v>0.50164120000000001</v>
      </c>
      <c r="F3009" t="s">
        <v>41</v>
      </c>
      <c r="G3009">
        <v>-486.24110000000002</v>
      </c>
      <c r="H3009" s="1">
        <v>-4.4351540000000003E-6</v>
      </c>
      <c r="I3009">
        <v>188.417</v>
      </c>
      <c r="J3009">
        <v>-492.43220000000002</v>
      </c>
      <c r="K3009">
        <v>1.1096649999999999</v>
      </c>
      <c r="L3009">
        <v>249.5137</v>
      </c>
      <c r="M3009">
        <v>1.748431E-4</v>
      </c>
      <c r="N3009">
        <v>-1.137318E-2</v>
      </c>
      <c r="O3009">
        <v>-0.99993560000000004</v>
      </c>
      <c r="P3009">
        <v>0.1091541</v>
      </c>
      <c r="Q3009">
        <v>0.18539900000000001</v>
      </c>
      <c r="R3009">
        <v>-0.97658239999999996</v>
      </c>
      <c r="S3009">
        <v>0.3077087</v>
      </c>
      <c r="T3009">
        <v>-5.5156829999999997E-2</v>
      </c>
      <c r="U3009">
        <v>-3.0480800000000001</v>
      </c>
      <c r="V3009">
        <v>-0.10876280000000001</v>
      </c>
      <c r="W3009">
        <v>0.19661600000000001</v>
      </c>
      <c r="X3009">
        <v>0.97442949999999995</v>
      </c>
      <c r="Y3009">
        <v>-0.1002482</v>
      </c>
      <c r="Z3009">
        <v>6.6289359999999898E-3</v>
      </c>
      <c r="AA3009">
        <v>0.99494039999999995</v>
      </c>
      <c r="AB3009">
        <v>26</v>
      </c>
      <c r="AC3009">
        <v>6.1910999999999996</v>
      </c>
      <c r="AD3009">
        <v>-1.109669435154</v>
      </c>
      <c r="AE3009">
        <v>-61.096699999999998</v>
      </c>
      <c r="AF3009">
        <v>-6.1783994858985301</v>
      </c>
      <c r="AG3009">
        <v>-1.109669435154</v>
      </c>
      <c r="AH3009">
        <v>61.077838231789798</v>
      </c>
      <c r="AI3009">
        <v>91.035558464580205</v>
      </c>
      <c r="AJ3009">
        <v>95.776172733896701</v>
      </c>
      <c r="AK3009">
        <v>61.399562779643198</v>
      </c>
      <c r="AL3009">
        <v>78.660858981224195</v>
      </c>
      <c r="AM3009">
        <v>96.368816310364494</v>
      </c>
      <c r="AN3009">
        <v>1.00000002429504</v>
      </c>
    </row>
    <row r="3010" spans="1:40" x14ac:dyDescent="0.25">
      <c r="A3010" t="str">
        <f>"20190304155651440"</f>
        <v>20190304155651440</v>
      </c>
      <c r="B3010" t="str">
        <f>"1551686211437850"</f>
        <v>1551686211437850</v>
      </c>
      <c r="C3010" t="s">
        <v>40</v>
      </c>
      <c r="D3010">
        <v>4.6485709999999996</v>
      </c>
      <c r="E3010">
        <v>0.50172369999999999</v>
      </c>
      <c r="F3010" t="s">
        <v>41</v>
      </c>
      <c r="G3010">
        <v>-486.00290000000001</v>
      </c>
      <c r="H3010" s="1">
        <v>-3.2576130000000001E-6</v>
      </c>
      <c r="I3010">
        <v>185.5736</v>
      </c>
      <c r="J3010">
        <v>-492.4325</v>
      </c>
      <c r="K3010">
        <v>1.1096710000000001</v>
      </c>
      <c r="L3010">
        <v>249.36449999999999</v>
      </c>
      <c r="M3010">
        <v>-1.8645169999999999E-4</v>
      </c>
      <c r="N3010">
        <v>-1.137355E-2</v>
      </c>
      <c r="O3010">
        <v>-0.99993549999999998</v>
      </c>
      <c r="P3010">
        <v>0.109257199999999</v>
      </c>
      <c r="Q3010">
        <v>0.1856816</v>
      </c>
      <c r="R3010">
        <v>-0.97651730000000003</v>
      </c>
      <c r="S3010">
        <v>0.30645749999999999</v>
      </c>
      <c r="T3010">
        <v>-5.2893280000000001E-2</v>
      </c>
      <c r="U3010">
        <v>-3.0477599999999998</v>
      </c>
      <c r="V3010">
        <v>-0.1092197</v>
      </c>
      <c r="W3010">
        <v>0.1968975</v>
      </c>
      <c r="X3010">
        <v>0.97432149999999995</v>
      </c>
      <c r="Y3010">
        <v>-0.1002147</v>
      </c>
      <c r="Z3010">
        <v>5.8919330000000002E-3</v>
      </c>
      <c r="AA3010">
        <v>0.99494839999999996</v>
      </c>
      <c r="AB3010">
        <v>26</v>
      </c>
      <c r="AC3010">
        <v>6.42959999999999</v>
      </c>
      <c r="AD3010">
        <v>-1.1096742576130001</v>
      </c>
      <c r="AE3010">
        <v>-63.790899999999901</v>
      </c>
      <c r="AF3010">
        <v>-6.4395655406807499</v>
      </c>
      <c r="AG3010">
        <v>-1.1096742576130001</v>
      </c>
      <c r="AH3010">
        <v>63.770596883464201</v>
      </c>
      <c r="AI3010">
        <v>90.991861971985699</v>
      </c>
      <c r="AJ3010">
        <v>95.766191138547995</v>
      </c>
      <c r="AK3010">
        <v>64.104511605533801</v>
      </c>
      <c r="AL3010">
        <v>78.644408108432103</v>
      </c>
      <c r="AM3010">
        <v>96.396052787552307</v>
      </c>
      <c r="AN3010">
        <v>0.999999976868294</v>
      </c>
    </row>
    <row r="3011" spans="1:40" x14ac:dyDescent="0.25">
      <c r="A3011" t="str">
        <f>"20190304155651453"</f>
        <v>20190304155651453</v>
      </c>
      <c r="B3011" t="str">
        <f>"1551686211447609"</f>
        <v>1551686211447609</v>
      </c>
      <c r="C3011" t="s">
        <v>40</v>
      </c>
      <c r="D3011">
        <v>4.6729320000000003</v>
      </c>
      <c r="E3011">
        <v>0.5015522</v>
      </c>
      <c r="F3011" t="s">
        <v>41</v>
      </c>
      <c r="G3011">
        <v>-485.75040000000001</v>
      </c>
      <c r="H3011" s="1">
        <v>-2.2107669999999998E-6</v>
      </c>
      <c r="I3011">
        <v>182.8219</v>
      </c>
      <c r="J3011">
        <v>-492.43290000000002</v>
      </c>
      <c r="K3011">
        <v>1.1096760000000001</v>
      </c>
      <c r="L3011">
        <v>249.21770000000001</v>
      </c>
      <c r="M3011">
        <v>-5.3810000000000001E-4</v>
      </c>
      <c r="N3011">
        <v>-1.1373909999999999E-2</v>
      </c>
      <c r="O3011">
        <v>-0.99993529999999997</v>
      </c>
      <c r="P3011">
        <v>0.1093987</v>
      </c>
      <c r="Q3011">
        <v>0.1854449</v>
      </c>
      <c r="R3011">
        <v>-0.97654649999999998</v>
      </c>
      <c r="S3011">
        <v>0.30603029999999998</v>
      </c>
      <c r="T3011">
        <v>-5.0821539999999998E-2</v>
      </c>
      <c r="U3011">
        <v>-3.0475620000000001</v>
      </c>
      <c r="V3011">
        <v>-0.10970679999999999</v>
      </c>
      <c r="W3011">
        <v>0.1966609</v>
      </c>
      <c r="X3011">
        <v>0.97431460000000003</v>
      </c>
      <c r="Y3011">
        <v>-0.1004337</v>
      </c>
      <c r="Z3011">
        <v>5.2162320000000003E-3</v>
      </c>
      <c r="AA3011">
        <v>0.99493010000000004</v>
      </c>
      <c r="AB3011">
        <v>26</v>
      </c>
      <c r="AC3011">
        <v>6.6825000000000001</v>
      </c>
      <c r="AD3011">
        <v>-1.109678210767</v>
      </c>
      <c r="AE3011">
        <v>-66.395799999999994</v>
      </c>
      <c r="AF3011">
        <v>-6.7163716684582697</v>
      </c>
      <c r="AG3011">
        <v>-1.109678210767</v>
      </c>
      <c r="AH3011">
        <v>66.373840217300398</v>
      </c>
      <c r="AI3011">
        <v>90.952950934742205</v>
      </c>
      <c r="AJ3011">
        <v>95.778094434737696</v>
      </c>
      <c r="AK3011">
        <v>66.722018099815102</v>
      </c>
      <c r="AL3011">
        <v>78.658235074561105</v>
      </c>
      <c r="AM3011">
        <v>96.424385175292301</v>
      </c>
      <c r="AN3011">
        <v>1.0000000156641</v>
      </c>
    </row>
    <row r="3012" spans="1:40" x14ac:dyDescent="0.25">
      <c r="A3012" t="str">
        <f>"20190304155651473"</f>
        <v>20190304155651473</v>
      </c>
      <c r="B3012" t="str">
        <f>"1551686211467614"</f>
        <v>1551686211467614</v>
      </c>
      <c r="C3012" t="s">
        <v>40</v>
      </c>
      <c r="D3012">
        <v>4.6056879999999998</v>
      </c>
      <c r="E3012">
        <v>0.50102999999999998</v>
      </c>
      <c r="F3012" t="s">
        <v>41</v>
      </c>
      <c r="G3012">
        <v>-485.72030000000001</v>
      </c>
      <c r="H3012" s="1">
        <v>-2.2235279999999999E-6</v>
      </c>
      <c r="I3012">
        <v>182.83580000000001</v>
      </c>
      <c r="J3012">
        <v>-492.43369999999999</v>
      </c>
      <c r="K3012">
        <v>1.109686</v>
      </c>
      <c r="L3012">
        <v>248.99459999999999</v>
      </c>
      <c r="M3012">
        <v>-1.0596869999999999E-3</v>
      </c>
      <c r="N3012">
        <v>-1.1374479999999999E-2</v>
      </c>
      <c r="O3012">
        <v>-0.99993500000000002</v>
      </c>
      <c r="P3012">
        <v>0.1093645</v>
      </c>
      <c r="Q3012">
        <v>0.1848736</v>
      </c>
      <c r="R3012">
        <v>-0.9766589</v>
      </c>
      <c r="S3012">
        <v>0.30813600000000002</v>
      </c>
      <c r="T3012">
        <v>-5.0938959999999998E-2</v>
      </c>
      <c r="U3012">
        <v>-3.0472109999999999</v>
      </c>
      <c r="V3012">
        <v>-0.11018699999999999</v>
      </c>
      <c r="W3012">
        <v>0.1960886</v>
      </c>
      <c r="X3012">
        <v>0.97437569999999996</v>
      </c>
      <c r="Y3012">
        <v>-0.1016444</v>
      </c>
      <c r="Z3012">
        <v>5.2539850000000001E-3</v>
      </c>
      <c r="AA3012">
        <v>0.99480690000000005</v>
      </c>
      <c r="AB3012">
        <v>26</v>
      </c>
      <c r="AC3012">
        <v>6.7133999999999698</v>
      </c>
      <c r="AD3012">
        <v>-1.1096882235279999</v>
      </c>
      <c r="AE3012">
        <v>-66.1587999999999</v>
      </c>
      <c r="AF3012">
        <v>-6.7816198939521701</v>
      </c>
      <c r="AG3012">
        <v>-1.1096882235279999</v>
      </c>
      <c r="AH3012">
        <v>66.1332321987515</v>
      </c>
      <c r="AI3012">
        <v>90.956295371801204</v>
      </c>
      <c r="AJ3012">
        <v>95.854919847828</v>
      </c>
      <c r="AK3012">
        <v>66.489293705027904</v>
      </c>
      <c r="AL3012">
        <v>78.691675946891394</v>
      </c>
      <c r="AM3012">
        <v>96.451867669278002</v>
      </c>
      <c r="AN3012">
        <v>0.99999995938472397</v>
      </c>
    </row>
    <row r="3013" spans="1:40" x14ac:dyDescent="0.25">
      <c r="A3013" t="str">
        <f>"20190304155651487"</f>
        <v>20190304155651487</v>
      </c>
      <c r="B3013" t="str">
        <f>"1551686211477374"</f>
        <v>1551686211477374</v>
      </c>
      <c r="C3013" t="s">
        <v>40</v>
      </c>
      <c r="D3013">
        <v>4.8042860000000003</v>
      </c>
      <c r="E3013">
        <v>0.50096579999999902</v>
      </c>
      <c r="F3013" t="s">
        <v>41</v>
      </c>
      <c r="G3013">
        <v>-485.97500000000002</v>
      </c>
      <c r="H3013" s="1">
        <v>-3.418088E-6</v>
      </c>
      <c r="I3013">
        <v>185.93620000000001</v>
      </c>
      <c r="J3013">
        <v>-492.43430000000001</v>
      </c>
      <c r="K3013">
        <v>1.1096980000000001</v>
      </c>
      <c r="L3013">
        <v>248.8263</v>
      </c>
      <c r="M3013">
        <v>-1.441866E-3</v>
      </c>
      <c r="N3013">
        <v>-1.137489E-2</v>
      </c>
      <c r="O3013">
        <v>-0.99993430000000005</v>
      </c>
      <c r="P3013">
        <v>0.1093238</v>
      </c>
      <c r="Q3013">
        <v>0.18461569999999999</v>
      </c>
      <c r="R3013">
        <v>-0.97671129999999995</v>
      </c>
      <c r="S3013">
        <v>0.31207279999999998</v>
      </c>
      <c r="T3013">
        <v>-5.361879E-2</v>
      </c>
      <c r="U3013">
        <v>-3.0469059999999999</v>
      </c>
      <c r="V3013">
        <v>-0.1105251</v>
      </c>
      <c r="W3013">
        <v>0.19582910000000001</v>
      </c>
      <c r="X3013">
        <v>0.97438970000000003</v>
      </c>
      <c r="Y3013">
        <v>-0.1033053</v>
      </c>
      <c r="Z3013">
        <v>6.1270889999999996E-3</v>
      </c>
      <c r="AA3013">
        <v>0.99463080000000004</v>
      </c>
      <c r="AB3013">
        <v>26</v>
      </c>
      <c r="AC3013">
        <v>6.4592999999999803</v>
      </c>
      <c r="AD3013">
        <v>-1.1097014180879901</v>
      </c>
      <c r="AE3013">
        <v>-62.890099999999897</v>
      </c>
      <c r="AF3013">
        <v>-6.5479608247782304</v>
      </c>
      <c r="AG3013">
        <v>-1.1097014180879901</v>
      </c>
      <c r="AH3013">
        <v>62.861353046280797</v>
      </c>
      <c r="AI3013">
        <v>91.0059050473958</v>
      </c>
      <c r="AJ3013">
        <v>95.946775785682803</v>
      </c>
      <c r="AK3013">
        <v>63.211208934881903</v>
      </c>
      <c r="AL3013">
        <v>78.706839326016507</v>
      </c>
      <c r="AM3013">
        <v>96.4714048250856</v>
      </c>
      <c r="AN3013">
        <v>1.0000000608014501</v>
      </c>
    </row>
    <row r="3014" spans="1:40" x14ac:dyDescent="0.25">
      <c r="A3014" t="str">
        <f>"20190304155651508"</f>
        <v>20190304155651508</v>
      </c>
      <c r="B3014" t="str">
        <f>"1551686211497870"</f>
        <v>1551686211497870</v>
      </c>
      <c r="C3014" t="s">
        <v>40</v>
      </c>
      <c r="D3014">
        <v>4.6890559999999999</v>
      </c>
      <c r="E3014">
        <v>0.50067189999999995</v>
      </c>
      <c r="F3014" t="s">
        <v>41</v>
      </c>
      <c r="G3014">
        <v>-486.3467</v>
      </c>
      <c r="H3014" s="1">
        <v>-4.8556310000000004E-6</v>
      </c>
      <c r="I3014">
        <v>189.4408</v>
      </c>
      <c r="J3014">
        <v>-492.43520000000001</v>
      </c>
      <c r="K3014">
        <v>1.1097129999999999</v>
      </c>
      <c r="L3014">
        <v>248.59289999999999</v>
      </c>
      <c r="M3014">
        <v>-1.9510129999999999E-3</v>
      </c>
      <c r="N3014">
        <v>-1.1375440000000001E-2</v>
      </c>
      <c r="O3014">
        <v>-0.99993319999999997</v>
      </c>
      <c r="P3014">
        <v>0.10940759999999999</v>
      </c>
      <c r="Q3014">
        <v>0.18472359999999999</v>
      </c>
      <c r="R3014">
        <v>-0.97668169999999999</v>
      </c>
      <c r="S3014">
        <v>0.31237789999999999</v>
      </c>
      <c r="T3014">
        <v>-5.6943769999999998E-2</v>
      </c>
      <c r="U3014">
        <v>-3.0473330000000001</v>
      </c>
      <c r="V3014">
        <v>-0.11111509999999999</v>
      </c>
      <c r="W3014">
        <v>0.195932</v>
      </c>
      <c r="X3014">
        <v>0.97430190000000005</v>
      </c>
      <c r="Y3014">
        <v>-0.10389470000000001</v>
      </c>
      <c r="Z3014">
        <v>7.2080909999999998E-3</v>
      </c>
      <c r="AA3014">
        <v>0.9945621</v>
      </c>
      <c r="AB3014">
        <v>26</v>
      </c>
      <c r="AC3014">
        <v>6.0885000000000096</v>
      </c>
      <c r="AD3014">
        <v>-1.1097178556309999</v>
      </c>
      <c r="AE3014">
        <v>-59.152099999999898</v>
      </c>
      <c r="AF3014">
        <v>-6.20174257655394</v>
      </c>
      <c r="AG3014">
        <v>-1.1097178556309999</v>
      </c>
      <c r="AH3014">
        <v>59.119518724957203</v>
      </c>
      <c r="AI3014">
        <v>91.069491539968098</v>
      </c>
      <c r="AJ3014">
        <v>95.988526505118699</v>
      </c>
      <c r="AK3014">
        <v>59.454273008552697</v>
      </c>
      <c r="AL3014">
        <v>78.700827033880103</v>
      </c>
      <c r="AM3014">
        <v>96.506236039208204</v>
      </c>
      <c r="AN3014">
        <v>1.0000000532077999</v>
      </c>
    </row>
    <row r="3015" spans="1:40" x14ac:dyDescent="0.25">
      <c r="A3015" t="str">
        <f>"20190304155651529"</f>
        <v>20190304155651529</v>
      </c>
      <c r="B3015" t="str">
        <f>"1551686211517390"</f>
        <v>1551686211517390</v>
      </c>
      <c r="C3015" t="s">
        <v>40</v>
      </c>
      <c r="D3015">
        <v>3.5245320000000002</v>
      </c>
      <c r="E3015">
        <v>0.50569949999999997</v>
      </c>
      <c r="F3015" t="s">
        <v>41</v>
      </c>
      <c r="G3015">
        <v>-486.1318</v>
      </c>
      <c r="H3015" s="1">
        <v>-4.1271629999999997E-6</v>
      </c>
      <c r="I3015">
        <v>187.65389999999999</v>
      </c>
      <c r="J3015">
        <v>-492.43619999999999</v>
      </c>
      <c r="K3015">
        <v>1.109745</v>
      </c>
      <c r="L3015">
        <v>248.34049999999999</v>
      </c>
      <c r="M3015">
        <v>-2.45583E-3</v>
      </c>
      <c r="N3015">
        <v>-1.1376010000000001E-2</v>
      </c>
      <c r="O3015">
        <v>-0.99993220000000005</v>
      </c>
      <c r="P3015">
        <v>0.1093537</v>
      </c>
      <c r="Q3015">
        <v>0.18479780000000001</v>
      </c>
      <c r="R3015">
        <v>-0.97667380000000004</v>
      </c>
      <c r="S3015">
        <v>0.31515500000000002</v>
      </c>
      <c r="T3015">
        <v>-5.5483579999999998E-2</v>
      </c>
      <c r="U3015">
        <v>-3.0468289999999998</v>
      </c>
      <c r="V3015">
        <v>-0.1115684</v>
      </c>
      <c r="W3015">
        <v>0.19599839999999999</v>
      </c>
      <c r="X3015">
        <v>0.97423669999999996</v>
      </c>
      <c r="Y3015">
        <v>-0.1053108</v>
      </c>
      <c r="Z3015">
        <v>6.7315109999999999E-3</v>
      </c>
      <c r="AA3015">
        <v>0.99441659999999998</v>
      </c>
      <c r="AB3015">
        <v>26</v>
      </c>
      <c r="AC3015">
        <v>6.3043999999999798</v>
      </c>
      <c r="AD3015">
        <v>-1.109749127163</v>
      </c>
      <c r="AE3015">
        <v>-60.686599999999999</v>
      </c>
      <c r="AF3015">
        <v>-6.4512923470304502</v>
      </c>
      <c r="AG3015">
        <v>-1.109749127163</v>
      </c>
      <c r="AH3015">
        <v>60.650868431296601</v>
      </c>
      <c r="AI3015">
        <v>91.042364173372306</v>
      </c>
      <c r="AJ3015">
        <v>96.0715898327704</v>
      </c>
      <c r="AK3015">
        <v>61.003102851761099</v>
      </c>
      <c r="AL3015">
        <v>78.696946923722294</v>
      </c>
      <c r="AM3015">
        <v>96.532983017707494</v>
      </c>
      <c r="AN3015">
        <v>1.000000014154</v>
      </c>
    </row>
    <row r="3016" spans="1:40" x14ac:dyDescent="0.25">
      <c r="A3016" t="str">
        <f>"20190304155651573"</f>
        <v>20190304155651573</v>
      </c>
      <c r="B3016" t="str">
        <f>"1551686211567166"</f>
        <v>1551686211567166</v>
      </c>
      <c r="C3016" t="s">
        <v>40</v>
      </c>
      <c r="D3016">
        <v>4.430161</v>
      </c>
      <c r="E3016">
        <v>0.48960749999999997</v>
      </c>
      <c r="F3016" t="s">
        <v>41</v>
      </c>
      <c r="G3016">
        <v>-491.74090000000001</v>
      </c>
      <c r="H3016" s="1">
        <v>-7.8056099999999997E-7</v>
      </c>
      <c r="I3016">
        <v>240.3288</v>
      </c>
      <c r="J3016">
        <v>-492.43860000000001</v>
      </c>
      <c r="K3016">
        <v>1.10985</v>
      </c>
      <c r="L3016">
        <v>247.83</v>
      </c>
      <c r="M3016">
        <v>-3.2445690000000001E-3</v>
      </c>
      <c r="N3016">
        <v>-1.1376850000000001E-2</v>
      </c>
      <c r="O3016">
        <v>-0.99993010000000004</v>
      </c>
      <c r="P3016">
        <v>0.1096476</v>
      </c>
      <c r="Q3016">
        <v>0.1850165</v>
      </c>
      <c r="R3016">
        <v>-0.97659960000000001</v>
      </c>
      <c r="S3016">
        <v>0.2710571</v>
      </c>
      <c r="T3016">
        <v>-0.43260769999999998</v>
      </c>
      <c r="U3016">
        <v>-3.1231689999999999</v>
      </c>
      <c r="V3016">
        <v>-0.112682199999999</v>
      </c>
      <c r="W3016">
        <v>0.1961878</v>
      </c>
      <c r="X3016">
        <v>0.9740704</v>
      </c>
      <c r="Y3016">
        <v>-8.893798E-2</v>
      </c>
      <c r="Z3016">
        <v>0.1254006</v>
      </c>
      <c r="AA3016">
        <v>0.98811170000000004</v>
      </c>
      <c r="AB3016">
        <v>26</v>
      </c>
      <c r="AC3016">
        <v>0.69769999999999699</v>
      </c>
      <c r="AD3016">
        <v>-1.1098507805610001</v>
      </c>
      <c r="AE3016">
        <v>-7.5012000000000096</v>
      </c>
      <c r="AF3016">
        <v>-0.70669834287532196</v>
      </c>
      <c r="AG3016">
        <v>-1.1098507805610001</v>
      </c>
      <c r="AH3016">
        <v>7.3396026948471</v>
      </c>
      <c r="AI3016">
        <v>98.559784096764801</v>
      </c>
      <c r="AJ3016">
        <v>95.499806518916401</v>
      </c>
      <c r="AK3016">
        <v>7.45660506002171</v>
      </c>
      <c r="AL3016">
        <v>78.685880515715496</v>
      </c>
      <c r="AM3016">
        <v>96.598746794007397</v>
      </c>
      <c r="AN3016">
        <v>1.0000000376109099</v>
      </c>
    </row>
    <row r="3017" spans="1:40" x14ac:dyDescent="0.25">
      <c r="A3017" t="str">
        <f>"20190304155651585"</f>
        <v>20190304155651585</v>
      </c>
      <c r="B3017" t="str">
        <f>"1551686211577902"</f>
        <v>1551686211577902</v>
      </c>
      <c r="C3017" t="s">
        <v>40</v>
      </c>
      <c r="D3017">
        <v>4.6258569999999999</v>
      </c>
      <c r="E3017">
        <v>0.48797279999999998</v>
      </c>
      <c r="F3017" t="s">
        <v>41</v>
      </c>
      <c r="G3017">
        <v>-491.4153</v>
      </c>
      <c r="H3017" s="1">
        <v>-5.0452849999999898E-7</v>
      </c>
      <c r="I3017">
        <v>239.88740000000001</v>
      </c>
      <c r="J3017">
        <v>-492.4393</v>
      </c>
      <c r="K3017">
        <v>1.1098870000000001</v>
      </c>
      <c r="L3017">
        <v>247.68289999999999</v>
      </c>
      <c r="M3017">
        <v>-3.4082769999999999E-3</v>
      </c>
      <c r="N3017">
        <v>-1.1377150000000001E-2</v>
      </c>
      <c r="O3017">
        <v>-0.99992959999999997</v>
      </c>
      <c r="P3017">
        <v>0.109846</v>
      </c>
      <c r="Q3017">
        <v>0.18488740000000001</v>
      </c>
      <c r="R3017">
        <v>-0.97660170000000002</v>
      </c>
      <c r="S3017">
        <v>0.40060420000000002</v>
      </c>
      <c r="T3017">
        <v>-0.43446699999999999</v>
      </c>
      <c r="U3017">
        <v>-3.1092529999999998</v>
      </c>
      <c r="V3017">
        <v>-0.1130593</v>
      </c>
      <c r="W3017">
        <v>0.19604840000000001</v>
      </c>
      <c r="X3017">
        <v>0.9740548</v>
      </c>
      <c r="Y3017">
        <v>-0.13003719999999999</v>
      </c>
      <c r="Z3017">
        <v>0.1259642</v>
      </c>
      <c r="AA3017">
        <v>0.98347510000000005</v>
      </c>
      <c r="AB3017">
        <v>26</v>
      </c>
      <c r="AC3017">
        <v>1.024</v>
      </c>
      <c r="AD3017">
        <v>-1.1098875045284999</v>
      </c>
      <c r="AE3017">
        <v>-7.7954999999999703</v>
      </c>
      <c r="AF3017">
        <v>-1.0300394764057801</v>
      </c>
      <c r="AG3017">
        <v>-1.1098875045284999</v>
      </c>
      <c r="AH3017">
        <v>7.6397281589828498</v>
      </c>
      <c r="AI3017">
        <v>98.1928984193042</v>
      </c>
      <c r="AJ3017">
        <v>97.678696940874602</v>
      </c>
      <c r="AK3017">
        <v>7.7883424384664997</v>
      </c>
      <c r="AL3017">
        <v>78.694026060594098</v>
      </c>
      <c r="AM3017">
        <v>96.620739392754601</v>
      </c>
      <c r="AN3017">
        <v>1.00000006693104</v>
      </c>
    </row>
    <row r="3018" spans="1:40" x14ac:dyDescent="0.25">
      <c r="A3018" t="str">
        <f>"20190304155651598"</f>
        <v>20190304155651598</v>
      </c>
      <c r="B3018" t="str">
        <f>"1551686211587662"</f>
        <v>1551686211587662</v>
      </c>
      <c r="C3018" t="s">
        <v>40</v>
      </c>
      <c r="D3018">
        <v>5.2806379999999997</v>
      </c>
      <c r="E3018">
        <v>0.48627680000000001</v>
      </c>
      <c r="F3018" t="s">
        <v>41</v>
      </c>
      <c r="G3018">
        <v>-491.16890000000001</v>
      </c>
      <c r="H3018" s="1">
        <v>-4.0113909999999998E-6</v>
      </c>
      <c r="I3018">
        <v>238.2148</v>
      </c>
      <c r="J3018">
        <v>-492.43990000000002</v>
      </c>
      <c r="K3018">
        <v>1.1099209999999999</v>
      </c>
      <c r="L3018">
        <v>247.542</v>
      </c>
      <c r="M3018">
        <v>-3.5357790000000002E-3</v>
      </c>
      <c r="N3018">
        <v>-1.1377460000000001E-2</v>
      </c>
      <c r="O3018">
        <v>-0.99992930000000002</v>
      </c>
      <c r="P3018">
        <v>0.11010689999999999</v>
      </c>
      <c r="Q3018">
        <v>0.1847365</v>
      </c>
      <c r="R3018">
        <v>-0.97660100000000005</v>
      </c>
      <c r="S3018">
        <v>0.41510010000000003</v>
      </c>
      <c r="T3018">
        <v>-0.36267070000000001</v>
      </c>
      <c r="U3018">
        <v>-3.093842</v>
      </c>
      <c r="V3018">
        <v>-0.1134619</v>
      </c>
      <c r="W3018">
        <v>0.19588800000000001</v>
      </c>
      <c r="X3018">
        <v>0.97404020000000002</v>
      </c>
      <c r="Y3018">
        <v>-0.13566159999999999</v>
      </c>
      <c r="Z3018">
        <v>0.1040663</v>
      </c>
      <c r="AA3018">
        <v>0.98527469999999995</v>
      </c>
      <c r="AB3018">
        <v>26</v>
      </c>
      <c r="AC3018">
        <v>1.2710000000000099</v>
      </c>
      <c r="AD3018">
        <v>-1.109925011391</v>
      </c>
      <c r="AE3018">
        <v>-9.3271999999999995</v>
      </c>
      <c r="AF3018">
        <v>-1.2860931326598699</v>
      </c>
      <c r="AG3018">
        <v>-1.109925011391</v>
      </c>
      <c r="AH3018">
        <v>9.1948160994375296</v>
      </c>
      <c r="AI3018">
        <v>96.817257832644501</v>
      </c>
      <c r="AJ3018">
        <v>97.962391812171902</v>
      </c>
      <c r="AK3018">
        <v>9.3504337963145705</v>
      </c>
      <c r="AL3018">
        <v>78.703397385778203</v>
      </c>
      <c r="AM3018">
        <v>96.644203882891404</v>
      </c>
      <c r="AN3018">
        <v>1.0000000112558201</v>
      </c>
    </row>
    <row r="3019" spans="1:40" x14ac:dyDescent="0.25">
      <c r="A3019" t="str">
        <f>"20190304155651611"</f>
        <v>20190304155651611</v>
      </c>
      <c r="B3019" t="str">
        <f>"1551686211607182"</f>
        <v>1551686211607182</v>
      </c>
      <c r="C3019" t="s">
        <v>40</v>
      </c>
      <c r="D3019">
        <v>4.4835209999999996</v>
      </c>
      <c r="E3019">
        <v>0.48476249999999999</v>
      </c>
      <c r="F3019" t="s">
        <v>41</v>
      </c>
      <c r="G3019">
        <v>-490.93849999999998</v>
      </c>
      <c r="H3019" s="1">
        <v>-3.3359819999999998E-6</v>
      </c>
      <c r="I3019">
        <v>236.7833</v>
      </c>
      <c r="J3019">
        <v>-492.44060000000002</v>
      </c>
      <c r="K3019">
        <v>1.10996299999999</v>
      </c>
      <c r="L3019">
        <v>247.39330000000001</v>
      </c>
      <c r="M3019">
        <v>-3.6515620000000001E-3</v>
      </c>
      <c r="N3019">
        <v>-1.137781E-2</v>
      </c>
      <c r="O3019">
        <v>-0.99992879999999995</v>
      </c>
      <c r="P3019">
        <v>0.1104175</v>
      </c>
      <c r="Q3019">
        <v>0.18450800000000001</v>
      </c>
      <c r="R3019">
        <v>-0.97660919999999896</v>
      </c>
      <c r="S3019">
        <v>0.4303284</v>
      </c>
      <c r="T3019">
        <v>-0.31811489999999998</v>
      </c>
      <c r="U3019">
        <v>-3.0835569999999999</v>
      </c>
      <c r="V3019">
        <v>-0.11390409999999999</v>
      </c>
      <c r="W3019">
        <v>0.19564909999999999</v>
      </c>
      <c r="X3019">
        <v>0.97403660000000003</v>
      </c>
      <c r="Y3019">
        <v>-0.14117660000000001</v>
      </c>
      <c r="Z3019">
        <v>9.0290519999999999E-2</v>
      </c>
      <c r="AA3019">
        <v>0.98585840000000002</v>
      </c>
      <c r="AB3019">
        <v>26</v>
      </c>
      <c r="AC3019">
        <v>1.50210000000004</v>
      </c>
      <c r="AD3019">
        <v>-1.10996633598199</v>
      </c>
      <c r="AE3019">
        <v>-10.61</v>
      </c>
      <c r="AF3019">
        <v>-1.5244790064001501</v>
      </c>
      <c r="AG3019">
        <v>-1.10996633598199</v>
      </c>
      <c r="AH3019">
        <v>10.4918737145662</v>
      </c>
      <c r="AI3019">
        <v>95.976726391987199</v>
      </c>
      <c r="AJ3019">
        <v>98.2672734676771</v>
      </c>
      <c r="AK3019">
        <v>10.6599941627739</v>
      </c>
      <c r="AL3019">
        <v>78.717355376407298</v>
      </c>
      <c r="AM3019">
        <v>96.669890194277897</v>
      </c>
      <c r="AN3019">
        <v>1.0000000062335801</v>
      </c>
    </row>
    <row r="3020" spans="1:40" x14ac:dyDescent="0.25">
      <c r="A3020" t="str">
        <f>"20190304155651629"</f>
        <v>20190304155651629</v>
      </c>
      <c r="B3020" t="str">
        <f>"1551686211617922"</f>
        <v>1551686211617922</v>
      </c>
      <c r="C3020" t="s">
        <v>40</v>
      </c>
      <c r="D3020">
        <v>4.4137190000000004</v>
      </c>
      <c r="E3020">
        <v>0.48313640000000002</v>
      </c>
      <c r="F3020" t="s">
        <v>41</v>
      </c>
      <c r="G3020">
        <v>-490.56610000000001</v>
      </c>
      <c r="H3020" s="1">
        <v>-2.2244159999999998E-6</v>
      </c>
      <c r="I3020">
        <v>234.42320000000001</v>
      </c>
      <c r="J3020">
        <v>-492.44159999999999</v>
      </c>
      <c r="K3020">
        <v>1.1100190000000001</v>
      </c>
      <c r="L3020">
        <v>247.1705</v>
      </c>
      <c r="M3020">
        <v>-3.756438E-3</v>
      </c>
      <c r="N3020">
        <v>-1.137837E-2</v>
      </c>
      <c r="O3020">
        <v>-0.99992820000000004</v>
      </c>
      <c r="P3020">
        <v>0.1111439</v>
      </c>
      <c r="Q3020">
        <v>0.18464820000000001</v>
      </c>
      <c r="R3020">
        <v>-0.97650000000000003</v>
      </c>
      <c r="S3020">
        <v>0.4438782</v>
      </c>
      <c r="T3020">
        <v>-0.2628374</v>
      </c>
      <c r="U3020">
        <v>-3.071304</v>
      </c>
      <c r="V3020">
        <v>-0.1147599</v>
      </c>
      <c r="W3020">
        <v>0.195773</v>
      </c>
      <c r="X3020">
        <v>0.97391119999999998</v>
      </c>
      <c r="Y3020">
        <v>-0.1462936</v>
      </c>
      <c r="Z3020">
        <v>7.3026309999999997E-2</v>
      </c>
      <c r="AA3020">
        <v>0.98654209999999998</v>
      </c>
      <c r="AB3020">
        <v>26</v>
      </c>
      <c r="AC3020">
        <v>1.87549999999998</v>
      </c>
      <c r="AD3020">
        <v>-1.1100212244159999</v>
      </c>
      <c r="AE3020">
        <v>-12.7472999999999</v>
      </c>
      <c r="AF3020">
        <v>-1.90920405433378</v>
      </c>
      <c r="AG3020">
        <v>-1.1100212244159999</v>
      </c>
      <c r="AH3020">
        <v>12.646302599494099</v>
      </c>
      <c r="AI3020">
        <v>94.960321413466602</v>
      </c>
      <c r="AJ3020">
        <v>98.585075261820705</v>
      </c>
      <c r="AK3020">
        <v>12.8376857991504</v>
      </c>
      <c r="AL3020">
        <v>78.710115954947796</v>
      </c>
      <c r="AM3020">
        <v>96.720404059871598</v>
      </c>
      <c r="AN3020">
        <v>0.99999996383122403</v>
      </c>
    </row>
    <row r="3021" spans="1:40" x14ac:dyDescent="0.25">
      <c r="A3021" t="str">
        <f>"20190304155651642"</f>
        <v>20190304155651642</v>
      </c>
      <c r="B3021" t="str">
        <f>"1551686211637439"</f>
        <v>1551686211637439</v>
      </c>
      <c r="C3021" t="s">
        <v>40</v>
      </c>
      <c r="D3021">
        <v>4.4222479999999997</v>
      </c>
      <c r="E3021">
        <v>0.48111710000000002</v>
      </c>
      <c r="F3021" t="s">
        <v>41</v>
      </c>
      <c r="G3021">
        <v>-490.39030000000002</v>
      </c>
      <c r="H3021" s="1">
        <v>-1.770452E-6</v>
      </c>
      <c r="I3021">
        <v>233.47399999999999</v>
      </c>
      <c r="J3021">
        <v>-492.44209999999998</v>
      </c>
      <c r="K3021">
        <v>1.110047</v>
      </c>
      <c r="L3021">
        <v>247.03190000000001</v>
      </c>
      <c r="M3021">
        <v>-3.7832640000000002E-3</v>
      </c>
      <c r="N3021">
        <v>-1.137868E-2</v>
      </c>
      <c r="O3021">
        <v>-0.99992820000000004</v>
      </c>
      <c r="P3021">
        <v>0.11163679999999999</v>
      </c>
      <c r="Q3021">
        <v>0.18473249999999999</v>
      </c>
      <c r="R3021">
        <v>-0.97642799999999996</v>
      </c>
      <c r="S3021">
        <v>0.45932010000000001</v>
      </c>
      <c r="T3021">
        <v>-0.24855540000000001</v>
      </c>
      <c r="U3021">
        <v>-3.0669249999999999</v>
      </c>
      <c r="V3021">
        <v>-0.1152936</v>
      </c>
      <c r="W3021">
        <v>0.19584779999999999</v>
      </c>
      <c r="X3021">
        <v>0.97383310000000001</v>
      </c>
      <c r="Y3021">
        <v>-0.151427799999999</v>
      </c>
      <c r="Z3021">
        <v>6.8519739999999996E-2</v>
      </c>
      <c r="AA3021">
        <v>0.98609060000000004</v>
      </c>
      <c r="AB3021">
        <v>26</v>
      </c>
      <c r="AC3021">
        <v>2.0517999999999499</v>
      </c>
      <c r="AD3021">
        <v>-1.1100487704519999</v>
      </c>
      <c r="AE3021">
        <v>-13.557899999999901</v>
      </c>
      <c r="AF3021">
        <v>-2.08938919566457</v>
      </c>
      <c r="AG3021">
        <v>-1.1100487704519999</v>
      </c>
      <c r="AH3021">
        <v>13.461819613371601</v>
      </c>
      <c r="AI3021">
        <v>94.658364961202693</v>
      </c>
      <c r="AJ3021">
        <v>98.822400036481</v>
      </c>
      <c r="AK3021">
        <v>13.668150671788</v>
      </c>
      <c r="AL3021">
        <v>78.705745365290696</v>
      </c>
      <c r="AM3021">
        <v>96.751906441809595</v>
      </c>
      <c r="AN3021">
        <v>0.99999994081070298</v>
      </c>
    </row>
    <row r="3022" spans="1:40" x14ac:dyDescent="0.25">
      <c r="A3022" t="str">
        <f>"20190304155651654"</f>
        <v>20190304155651654</v>
      </c>
      <c r="B3022" t="str">
        <f>"1551686211647199"</f>
        <v>1551686211647199</v>
      </c>
      <c r="C3022" t="s">
        <v>40</v>
      </c>
      <c r="D3022">
        <v>4.4590899999999998</v>
      </c>
      <c r="E3022">
        <v>0.48081200000000002</v>
      </c>
      <c r="F3022" t="s">
        <v>41</v>
      </c>
      <c r="G3022">
        <v>-490.10989999999998</v>
      </c>
      <c r="H3022" s="1">
        <v>-1.0967959999999999E-6</v>
      </c>
      <c r="I3022">
        <v>232.07759999999999</v>
      </c>
      <c r="J3022">
        <v>-492.4427</v>
      </c>
      <c r="K3022">
        <v>1.1100779999999999</v>
      </c>
      <c r="L3022">
        <v>246.8905</v>
      </c>
      <c r="M3022">
        <v>-3.7954970000000001E-3</v>
      </c>
      <c r="N3022">
        <v>-1.1379E-2</v>
      </c>
      <c r="O3022">
        <v>-0.99992820000000004</v>
      </c>
      <c r="P3022">
        <v>0.112112</v>
      </c>
      <c r="Q3022">
        <v>0.18465519999999999</v>
      </c>
      <c r="R3022">
        <v>-0.97638829999999999</v>
      </c>
      <c r="S3022">
        <v>0.477356</v>
      </c>
      <c r="T3022">
        <v>-0.22720309999999999</v>
      </c>
      <c r="U3022">
        <v>-3.0608219999999999</v>
      </c>
      <c r="V3022">
        <v>-0.1157953</v>
      </c>
      <c r="W3022">
        <v>0.19576180000000001</v>
      </c>
      <c r="X3022">
        <v>0.97379090000000001</v>
      </c>
      <c r="Y3022">
        <v>-0.15747359999999999</v>
      </c>
      <c r="Z3022">
        <v>6.1767530000000001E-2</v>
      </c>
      <c r="AA3022">
        <v>0.98558959999999995</v>
      </c>
      <c r="AB3022">
        <v>26</v>
      </c>
      <c r="AC3022">
        <v>2.33280000000001</v>
      </c>
      <c r="AD3022">
        <v>-1.1100790967959999</v>
      </c>
      <c r="AE3022">
        <v>-14.812900000000001</v>
      </c>
      <c r="AF3022">
        <v>-2.3759885045353899</v>
      </c>
      <c r="AG3022">
        <v>-1.1100790967959999</v>
      </c>
      <c r="AH3022">
        <v>14.7232537711949</v>
      </c>
      <c r="AI3022">
        <v>94.2568660066527</v>
      </c>
      <c r="AJ3022">
        <v>99.167164481283095</v>
      </c>
      <c r="AK3022">
        <v>14.9549924301496</v>
      </c>
      <c r="AL3022">
        <v>78.710770461732196</v>
      </c>
      <c r="AM3022">
        <v>96.781305474041602</v>
      </c>
      <c r="AN3022">
        <v>0.99999997538206897</v>
      </c>
    </row>
    <row r="3023" spans="1:40" x14ac:dyDescent="0.25">
      <c r="A3023" t="str">
        <f>"20190304155651668"</f>
        <v>20190304155651668</v>
      </c>
      <c r="B3023" t="str">
        <f>"1551686211657935"</f>
        <v>1551686211657935</v>
      </c>
      <c r="C3023" t="s">
        <v>40</v>
      </c>
      <c r="D3023">
        <v>4.445881</v>
      </c>
      <c r="E3023">
        <v>0.48042210000000002</v>
      </c>
      <c r="F3023" t="s">
        <v>41</v>
      </c>
      <c r="G3023">
        <v>-489.99919999999997</v>
      </c>
      <c r="H3023" s="1">
        <v>-7.5572400000000005E-7</v>
      </c>
      <c r="I3023">
        <v>231.35120000000001</v>
      </c>
      <c r="J3023">
        <v>-492.4434</v>
      </c>
      <c r="K3023">
        <v>1.110117</v>
      </c>
      <c r="L3023">
        <v>246.72130000000001</v>
      </c>
      <c r="M3023">
        <v>-3.7739750000000002E-3</v>
      </c>
      <c r="N3023">
        <v>-1.137938E-2</v>
      </c>
      <c r="O3023">
        <v>-0.9999285</v>
      </c>
      <c r="P3023">
        <v>0.11259230000000001</v>
      </c>
      <c r="Q3023">
        <v>0.18469659999999999</v>
      </c>
      <c r="R3023">
        <v>-0.97632540000000001</v>
      </c>
      <c r="S3023">
        <v>0.48095700000000002</v>
      </c>
      <c r="T3023">
        <v>-0.21850220000000001</v>
      </c>
      <c r="U3023">
        <v>-3.0586700000000002</v>
      </c>
      <c r="V3023">
        <v>-0.1162719</v>
      </c>
      <c r="W3023">
        <v>0.19579260000000001</v>
      </c>
      <c r="X3023">
        <v>0.97372789999999998</v>
      </c>
      <c r="Y3023">
        <v>-0.1587181</v>
      </c>
      <c r="Z3023">
        <v>5.9014259999999999E-2</v>
      </c>
      <c r="AA3023">
        <v>0.98555870000000001</v>
      </c>
      <c r="AB3023">
        <v>26</v>
      </c>
      <c r="AC3023">
        <v>2.4442000000000199</v>
      </c>
      <c r="AD3023">
        <v>-1.1101177557240001</v>
      </c>
      <c r="AE3023">
        <v>-15.370100000000001</v>
      </c>
      <c r="AF3023">
        <v>-2.4895262348059002</v>
      </c>
      <c r="AG3023">
        <v>-1.1101177557240001</v>
      </c>
      <c r="AH3023">
        <v>15.2830071488998</v>
      </c>
      <c r="AI3023">
        <v>94.100658622657903</v>
      </c>
      <c r="AJ3023">
        <v>99.251937317781795</v>
      </c>
      <c r="AK3023">
        <v>15.524187895625399</v>
      </c>
      <c r="AL3023">
        <v>78.708970752902999</v>
      </c>
      <c r="AM3023">
        <v>96.809391426185002</v>
      </c>
      <c r="AN3023">
        <v>0.99999996009138903</v>
      </c>
    </row>
    <row r="3024" spans="1:40" x14ac:dyDescent="0.25">
      <c r="A3024" t="str">
        <f>"20190304155651687"</f>
        <v>20190304155651687</v>
      </c>
      <c r="B3024" t="str">
        <f>"1551686211677454"</f>
        <v>1551686211677454</v>
      </c>
      <c r="C3024" t="s">
        <v>40</v>
      </c>
      <c r="D3024">
        <v>4.4463920000000003</v>
      </c>
      <c r="E3024">
        <v>0.48038380000000003</v>
      </c>
      <c r="F3024" t="s">
        <v>41</v>
      </c>
      <c r="G3024">
        <v>-489.87709999999998</v>
      </c>
      <c r="H3024" s="1">
        <v>-4.265779E-7</v>
      </c>
      <c r="I3024">
        <v>230.5763</v>
      </c>
      <c r="J3024">
        <v>-492.44420000000002</v>
      </c>
      <c r="K3024">
        <v>1.1101620000000001</v>
      </c>
      <c r="L3024">
        <v>246.5051</v>
      </c>
      <c r="M3024">
        <v>-3.6869379999999998E-3</v>
      </c>
      <c r="N3024">
        <v>-1.137992E-2</v>
      </c>
      <c r="O3024">
        <v>-0.9999287</v>
      </c>
      <c r="P3024">
        <v>0.11405899999999999</v>
      </c>
      <c r="Q3024">
        <v>0.18465019999999999</v>
      </c>
      <c r="R3024">
        <v>-0.97616369999999997</v>
      </c>
      <c r="S3024">
        <v>0.48583979999999999</v>
      </c>
      <c r="T3024">
        <v>-0.21016280000000001</v>
      </c>
      <c r="U3024">
        <v>-3.0565030000000002</v>
      </c>
      <c r="V3024">
        <v>-0.1176763</v>
      </c>
      <c r="W3024">
        <v>0.19573090000000001</v>
      </c>
      <c r="X3024">
        <v>0.97357159999999998</v>
      </c>
      <c r="Y3024">
        <v>-0.1603009</v>
      </c>
      <c r="Z3024">
        <v>5.636882E-2</v>
      </c>
      <c r="AA3024">
        <v>0.98545740000000004</v>
      </c>
      <c r="AB3024">
        <v>26</v>
      </c>
      <c r="AC3024">
        <v>2.5671000000000301</v>
      </c>
      <c r="AD3024">
        <v>-1.1101624265779</v>
      </c>
      <c r="AE3024">
        <v>-15.928799999999899</v>
      </c>
      <c r="AF3024">
        <v>-2.6134415840054301</v>
      </c>
      <c r="AG3024">
        <v>-1.1101624265779</v>
      </c>
      <c r="AH3024">
        <v>15.844212476118701</v>
      </c>
      <c r="AI3024">
        <v>93.954749732561595</v>
      </c>
      <c r="AJ3024">
        <v>99.366380537540806</v>
      </c>
      <c r="AK3024">
        <v>16.096633390706</v>
      </c>
      <c r="AL3024">
        <v>78.712575863308103</v>
      </c>
      <c r="AM3024">
        <v>96.891948703669897</v>
      </c>
      <c r="AN3024">
        <v>0.999999978561529</v>
      </c>
    </row>
    <row r="3025" spans="1:40" x14ac:dyDescent="0.25">
      <c r="A3025" t="str">
        <f>"20190304155651710"</f>
        <v>20190304155651710</v>
      </c>
      <c r="B3025" t="str">
        <f>"1551686211697951"</f>
        <v>1551686211697951</v>
      </c>
      <c r="C3025" t="s">
        <v>40</v>
      </c>
      <c r="D3025">
        <v>4.4450729999999998</v>
      </c>
      <c r="E3025">
        <v>0.48002699999999998</v>
      </c>
      <c r="F3025" t="s">
        <v>53</v>
      </c>
      <c r="G3025">
        <v>-489.71030000000002</v>
      </c>
      <c r="H3025" s="1">
        <v>6.5249230000000004E-6</v>
      </c>
      <c r="I3025">
        <v>229.48050000000001</v>
      </c>
      <c r="J3025">
        <v>-492.44499999999999</v>
      </c>
      <c r="K3025">
        <v>1.1102320000000001</v>
      </c>
      <c r="L3025">
        <v>246.23920000000001</v>
      </c>
      <c r="M3025">
        <v>-3.5023989999999998E-3</v>
      </c>
      <c r="N3025">
        <v>-1.1380690000000001E-2</v>
      </c>
      <c r="O3025">
        <v>-0.99992919999999996</v>
      </c>
      <c r="P3025">
        <v>0.1157403</v>
      </c>
      <c r="Q3025">
        <v>0.1845637</v>
      </c>
      <c r="R3025">
        <v>-0.97598200000000002</v>
      </c>
      <c r="S3025">
        <v>0.49035640000000003</v>
      </c>
      <c r="T3025">
        <v>-0.19912289999999999</v>
      </c>
      <c r="U3025">
        <v>-3.0536189999999999</v>
      </c>
      <c r="V3025">
        <v>-0.11920749999999999</v>
      </c>
      <c r="W3025">
        <v>0.1956243</v>
      </c>
      <c r="X3025">
        <v>0.97340669999999996</v>
      </c>
      <c r="Y3025">
        <v>-0.161717</v>
      </c>
      <c r="Z3025">
        <v>5.2867940000000002E-2</v>
      </c>
      <c r="AA3025">
        <v>0.98541999999999996</v>
      </c>
      <c r="AB3025">
        <v>26</v>
      </c>
      <c r="AC3025">
        <v>2.7346999999999699</v>
      </c>
      <c r="AD3025">
        <v>-1.110225475077</v>
      </c>
      <c r="AE3025">
        <v>-16.758700000000001</v>
      </c>
      <c r="AF3025">
        <v>-2.7814920019439699</v>
      </c>
      <c r="AG3025">
        <v>-1.110225475077</v>
      </c>
      <c r="AH3025">
        <v>16.677722536894301</v>
      </c>
      <c r="AI3025">
        <v>93.756786899034196</v>
      </c>
      <c r="AJ3025">
        <v>99.468578067048099</v>
      </c>
      <c r="AK3025">
        <v>16.944489587474202</v>
      </c>
      <c r="AL3025">
        <v>78.718803658503603</v>
      </c>
      <c r="AM3025">
        <v>96.981918165965197</v>
      </c>
      <c r="AN3025">
        <v>0.99999994920581303</v>
      </c>
    </row>
    <row r="3026" spans="1:40" x14ac:dyDescent="0.25">
      <c r="A3026" t="str">
        <f>"20190304155651732"</f>
        <v>20190304155651732</v>
      </c>
      <c r="B3026" t="str">
        <f>"1551686211727232"</f>
        <v>1551686211727232</v>
      </c>
      <c r="C3026" t="s">
        <v>40</v>
      </c>
      <c r="D3026">
        <v>4.4096859999999998</v>
      </c>
      <c r="E3026">
        <v>0.47986020000000001</v>
      </c>
      <c r="F3026" t="s">
        <v>53</v>
      </c>
      <c r="G3026">
        <v>-489.50369999999998</v>
      </c>
      <c r="H3026" s="1">
        <v>6.0893089999999999E-6</v>
      </c>
      <c r="I3026">
        <v>228.2518</v>
      </c>
      <c r="J3026">
        <v>-492.44560000000001</v>
      </c>
      <c r="K3026">
        <v>1.110295</v>
      </c>
      <c r="L3026">
        <v>245.9922</v>
      </c>
      <c r="M3026">
        <v>-3.2451709999999998E-3</v>
      </c>
      <c r="N3026">
        <v>-1.1381499999999999E-2</v>
      </c>
      <c r="O3026">
        <v>-0.99992999999999999</v>
      </c>
      <c r="P3026">
        <v>0.1170775</v>
      </c>
      <c r="Q3026">
        <v>0.1846661</v>
      </c>
      <c r="R3026">
        <v>-0.97580310000000003</v>
      </c>
      <c r="S3026">
        <v>0.49877929999999998</v>
      </c>
      <c r="T3026">
        <v>-0.18826889999999999</v>
      </c>
      <c r="U3026">
        <v>-3.050262</v>
      </c>
      <c r="V3026">
        <v>-0.1203231</v>
      </c>
      <c r="W3026">
        <v>0.19570709999999999</v>
      </c>
      <c r="X3026">
        <v>0.97325280000000003</v>
      </c>
      <c r="Y3026">
        <v>-0.1643144</v>
      </c>
      <c r="Z3026">
        <v>4.9416679999999998E-2</v>
      </c>
      <c r="AA3026">
        <v>0.98516939999999997</v>
      </c>
      <c r="AB3026">
        <v>26</v>
      </c>
      <c r="AC3026">
        <v>2.9419000000000302</v>
      </c>
      <c r="AD3026">
        <v>-1.1102889106910001</v>
      </c>
      <c r="AE3026">
        <v>-17.740399999999902</v>
      </c>
      <c r="AF3026">
        <v>-2.98806807321357</v>
      </c>
      <c r="AG3026">
        <v>-1.1102889106910001</v>
      </c>
      <c r="AH3026">
        <v>17.663424375999199</v>
      </c>
      <c r="AI3026">
        <v>93.546513645981904</v>
      </c>
      <c r="AJ3026">
        <v>99.601650753508494</v>
      </c>
      <c r="AK3026">
        <v>17.948756306830902</v>
      </c>
      <c r="AL3026">
        <v>78.713966241220604</v>
      </c>
      <c r="AM3026">
        <v>97.047707432296704</v>
      </c>
      <c r="AN3026">
        <v>0.99999996504592903</v>
      </c>
    </row>
    <row r="3027" spans="1:40" x14ac:dyDescent="0.25">
      <c r="A3027" t="str">
        <f>"20190304155651743"</f>
        <v>20190304155651743</v>
      </c>
      <c r="B3027" t="str">
        <f>"1551686211737966"</f>
        <v>1551686211737966</v>
      </c>
      <c r="C3027" t="s">
        <v>40</v>
      </c>
      <c r="D3027">
        <v>4.3957750000000004</v>
      </c>
      <c r="E3027">
        <v>0.47983890000000001</v>
      </c>
      <c r="F3027" t="s">
        <v>53</v>
      </c>
      <c r="G3027">
        <v>-489.26560000000001</v>
      </c>
      <c r="H3027" s="1">
        <v>5.5738969999999901E-6</v>
      </c>
      <c r="I3027">
        <v>226.79249999999999</v>
      </c>
      <c r="J3027">
        <v>-492.44600000000003</v>
      </c>
      <c r="K3027">
        <v>1.110336</v>
      </c>
      <c r="L3027">
        <v>245.83779999999999</v>
      </c>
      <c r="M3027">
        <v>-3.0430850000000001E-3</v>
      </c>
      <c r="N3027">
        <v>-1.1382079999999999E-2</v>
      </c>
      <c r="O3027">
        <v>-0.99993050000000006</v>
      </c>
      <c r="P3027">
        <v>0.1180538</v>
      </c>
      <c r="Q3027">
        <v>0.18474650000000001</v>
      </c>
      <c r="R3027">
        <v>-0.97567000000000004</v>
      </c>
      <c r="S3027">
        <v>0.50469969999999997</v>
      </c>
      <c r="T3027">
        <v>-0.17621249999999999</v>
      </c>
      <c r="U3027">
        <v>-3.0471650000000001</v>
      </c>
      <c r="V3027">
        <v>-0.12112050000000001</v>
      </c>
      <c r="W3027">
        <v>0.1957749</v>
      </c>
      <c r="X3027">
        <v>0.97314029999999996</v>
      </c>
      <c r="Y3027">
        <v>-0.1661706</v>
      </c>
      <c r="Z3027">
        <v>4.5573780000000001E-2</v>
      </c>
      <c r="AA3027">
        <v>0.98504329999999996</v>
      </c>
      <c r="AB3027">
        <v>26</v>
      </c>
      <c r="AC3027">
        <v>3.1803999999999601</v>
      </c>
      <c r="AD3027">
        <v>-1.110330426103</v>
      </c>
      <c r="AE3027">
        <v>-19.045300000000001</v>
      </c>
      <c r="AF3027">
        <v>-3.2276728220733699</v>
      </c>
      <c r="AG3027">
        <v>-1.110330426103</v>
      </c>
      <c r="AH3027">
        <v>18.972797182347598</v>
      </c>
      <c r="AI3027">
        <v>93.301924015263495</v>
      </c>
      <c r="AJ3027">
        <v>99.654787915011497</v>
      </c>
      <c r="AK3027">
        <v>19.2773893051932</v>
      </c>
      <c r="AL3027">
        <v>78.710005532813994</v>
      </c>
      <c r="AM3027">
        <v>97.094751108540194</v>
      </c>
      <c r="AN3027">
        <v>1.00000001523717</v>
      </c>
    </row>
    <row r="3028" spans="1:40" x14ac:dyDescent="0.25">
      <c r="A3028" t="str">
        <f>"20190304155651763"</f>
        <v>20190304155651763</v>
      </c>
      <c r="B3028" t="str">
        <f>"1551686211757487"</f>
        <v>1551686211757487</v>
      </c>
      <c r="C3028" t="s">
        <v>40</v>
      </c>
      <c r="D3028">
        <v>4.3927769999999997</v>
      </c>
      <c r="E3028">
        <v>0.47973870000000002</v>
      </c>
      <c r="F3028" t="s">
        <v>53</v>
      </c>
      <c r="G3028">
        <v>-489.1814</v>
      </c>
      <c r="H3028" s="1">
        <v>5.380693E-6</v>
      </c>
      <c r="I3028">
        <v>226.24119999999999</v>
      </c>
      <c r="J3028">
        <v>-492.44630000000001</v>
      </c>
      <c r="K3028">
        <v>1.1103889999999901</v>
      </c>
      <c r="L3028">
        <v>245.61529999999999</v>
      </c>
      <c r="M3028">
        <v>-2.7161830000000001E-3</v>
      </c>
      <c r="N3028">
        <v>-1.13829E-2</v>
      </c>
      <c r="O3028">
        <v>-0.99993149999999997</v>
      </c>
      <c r="P3028">
        <v>0.1198443</v>
      </c>
      <c r="Q3028">
        <v>0.18455389999999999</v>
      </c>
      <c r="R3028">
        <v>-0.97548829999999997</v>
      </c>
      <c r="S3028">
        <v>0.50744630000000002</v>
      </c>
      <c r="T3028">
        <v>-0.1725892</v>
      </c>
      <c r="U3028">
        <v>-3.0460820000000002</v>
      </c>
      <c r="V3028">
        <v>-0.12261660000000001</v>
      </c>
      <c r="W3028">
        <v>0.1955654</v>
      </c>
      <c r="X3028">
        <v>0.97299500000000005</v>
      </c>
      <c r="Y3028">
        <v>-0.1667785</v>
      </c>
      <c r="Z3028">
        <v>4.4418020000000003E-2</v>
      </c>
      <c r="AA3028">
        <v>0.98499340000000002</v>
      </c>
      <c r="AB3028">
        <v>26</v>
      </c>
      <c r="AC3028">
        <v>3.2649000000000101</v>
      </c>
      <c r="AD3028">
        <v>-1.11038361930699</v>
      </c>
      <c r="AE3028">
        <v>-19.374099999999999</v>
      </c>
      <c r="AF3028">
        <v>-3.3069523992658798</v>
      </c>
      <c r="AG3028">
        <v>-1.11038361930699</v>
      </c>
      <c r="AH3028">
        <v>19.303503549758101</v>
      </c>
      <c r="AI3028">
        <v>93.2449921928728</v>
      </c>
      <c r="AJ3028">
        <v>99.721178286808495</v>
      </c>
      <c r="AK3028">
        <v>19.616170249275498</v>
      </c>
      <c r="AL3028">
        <v>78.722245006695303</v>
      </c>
      <c r="AM3028">
        <v>97.182538372506599</v>
      </c>
      <c r="AN3028">
        <v>0.99999996314885897</v>
      </c>
    </row>
    <row r="3029" spans="1:40" x14ac:dyDescent="0.25">
      <c r="A3029" t="str">
        <f>"20190304155651776"</f>
        <v>20190304155651776</v>
      </c>
      <c r="B3029" t="str">
        <f>"1551686211767246"</f>
        <v>1551686211767246</v>
      </c>
      <c r="C3029" t="s">
        <v>40</v>
      </c>
      <c r="D3029">
        <v>4.4002819999999998</v>
      </c>
      <c r="E3029">
        <v>0.47976039999999998</v>
      </c>
      <c r="F3029" t="s">
        <v>53</v>
      </c>
      <c r="G3029">
        <v>-489.06319999999999</v>
      </c>
      <c r="H3029" s="1">
        <v>5.1405259999999996E-6</v>
      </c>
      <c r="I3029">
        <v>225.56739999999999</v>
      </c>
      <c r="J3029">
        <v>-492.44650000000001</v>
      </c>
      <c r="K3029">
        <v>1.11042</v>
      </c>
      <c r="L3029">
        <v>245.46879999999999</v>
      </c>
      <c r="M3029">
        <v>-2.4731850000000001E-3</v>
      </c>
      <c r="N3029">
        <v>-1.138343E-2</v>
      </c>
      <c r="O3029">
        <v>-0.9999323</v>
      </c>
      <c r="P3029">
        <v>0.1208582</v>
      </c>
      <c r="Q3029">
        <v>0.18445819999999999</v>
      </c>
      <c r="R3029">
        <v>-0.97538119999999995</v>
      </c>
      <c r="S3029">
        <v>0.5137024</v>
      </c>
      <c r="T3029">
        <v>-0.16860620000000001</v>
      </c>
      <c r="U3029">
        <v>-3.0441739999999999</v>
      </c>
      <c r="V3029">
        <v>-0.1234074</v>
      </c>
      <c r="W3029">
        <v>0.19545969999999999</v>
      </c>
      <c r="X3029">
        <v>0.97291629999999996</v>
      </c>
      <c r="Y3029">
        <v>-0.16861719999999999</v>
      </c>
      <c r="Z3029">
        <v>4.3149260000000002E-2</v>
      </c>
      <c r="AA3029">
        <v>0.98473670000000002</v>
      </c>
      <c r="AB3029">
        <v>26</v>
      </c>
      <c r="AC3029">
        <v>3.3833000000000202</v>
      </c>
      <c r="AD3029">
        <v>-1.110414859474</v>
      </c>
      <c r="AE3029">
        <v>-19.901399999999899</v>
      </c>
      <c r="AF3029">
        <v>-3.4221581628550899</v>
      </c>
      <c r="AG3029">
        <v>-1.110414859474</v>
      </c>
      <c r="AH3029">
        <v>19.832961942409401</v>
      </c>
      <c r="AI3029">
        <v>93.157980474378704</v>
      </c>
      <c r="AJ3029">
        <v>99.789931166678002</v>
      </c>
      <c r="AK3029">
        <v>20.156650690548702</v>
      </c>
      <c r="AL3029">
        <v>78.728420811156496</v>
      </c>
      <c r="AM3029">
        <v>97.2289513414824</v>
      </c>
      <c r="AN3029">
        <v>1.0000000037522601</v>
      </c>
    </row>
    <row r="3030" spans="1:40" x14ac:dyDescent="0.25">
      <c r="A3030" t="str">
        <f>"20190304155651788"</f>
        <v>20190304155651788</v>
      </c>
      <c r="B3030" t="str">
        <f>"1551686211777983"</f>
        <v>1551686211777983</v>
      </c>
      <c r="C3030" t="s">
        <v>40</v>
      </c>
      <c r="D3030">
        <v>4.418825</v>
      </c>
      <c r="E3030">
        <v>0.48003259999999998</v>
      </c>
      <c r="F3030" t="s">
        <v>53</v>
      </c>
      <c r="G3030">
        <v>-489.0086</v>
      </c>
      <c r="H3030" s="1">
        <v>5.0224969999999999E-6</v>
      </c>
      <c r="I3030">
        <v>225.23330000000001</v>
      </c>
      <c r="J3030">
        <v>-492.44659999999999</v>
      </c>
      <c r="K3030">
        <v>1.1104499999999999</v>
      </c>
      <c r="L3030">
        <v>245.31180000000001</v>
      </c>
      <c r="M3030">
        <v>-2.1923929999999999E-3</v>
      </c>
      <c r="N3030">
        <v>-1.1384E-2</v>
      </c>
      <c r="O3030">
        <v>-0.99993279999999995</v>
      </c>
      <c r="P3030">
        <v>0.1215695</v>
      </c>
      <c r="Q3030">
        <v>0.18433920000000001</v>
      </c>
      <c r="R3030">
        <v>-0.97531559999999995</v>
      </c>
      <c r="S3030">
        <v>0.51702879999999996</v>
      </c>
      <c r="T3030">
        <v>-0.16699810000000001</v>
      </c>
      <c r="U3030">
        <v>-3.0432589999999999</v>
      </c>
      <c r="V3030">
        <v>-0.12385930000000001</v>
      </c>
      <c r="W3030">
        <v>0.19533110000000001</v>
      </c>
      <c r="X3030">
        <v>0.97288470000000005</v>
      </c>
      <c r="Y3030">
        <v>-0.16943920000000001</v>
      </c>
      <c r="Z3030">
        <v>4.2637540000000002E-2</v>
      </c>
      <c r="AA3030">
        <v>0.98461790000000005</v>
      </c>
      <c r="AB3030">
        <v>26</v>
      </c>
      <c r="AC3030">
        <v>3.4379999999999802</v>
      </c>
      <c r="AD3030">
        <v>-1.1104449775030001</v>
      </c>
      <c r="AE3030">
        <v>-20.078499999999899</v>
      </c>
      <c r="AF3030">
        <v>-3.4716982618391699</v>
      </c>
      <c r="AG3030">
        <v>-1.1104449775030001</v>
      </c>
      <c r="AH3030">
        <v>20.011448984317401</v>
      </c>
      <c r="AI3030">
        <v>93.129463210919994</v>
      </c>
      <c r="AJ3030">
        <v>99.842033592638003</v>
      </c>
      <c r="AK3030">
        <v>20.340694858368401</v>
      </c>
      <c r="AL3030">
        <v>78.735933847727907</v>
      </c>
      <c r="AM3030">
        <v>97.255374301575003</v>
      </c>
      <c r="AN3030">
        <v>1.00000000215889</v>
      </c>
    </row>
    <row r="3031" spans="1:40" x14ac:dyDescent="0.25">
      <c r="A3031" t="str">
        <f>"20190304155651808"</f>
        <v>20190304155651808</v>
      </c>
      <c r="B3031" t="str">
        <f>"1551686211797502"</f>
        <v>1551686211797502</v>
      </c>
      <c r="C3031" t="s">
        <v>40</v>
      </c>
      <c r="D3031">
        <v>4.4125040000000002</v>
      </c>
      <c r="E3031">
        <v>0.4805605</v>
      </c>
      <c r="F3031" t="s">
        <v>53</v>
      </c>
      <c r="G3031">
        <v>-488.9622</v>
      </c>
      <c r="H3031" s="1">
        <v>4.9050389999999996E-6</v>
      </c>
      <c r="I3031">
        <v>224.8057</v>
      </c>
      <c r="J3031">
        <v>-492.44670000000002</v>
      </c>
      <c r="K3031">
        <v>1.1104769999999999</v>
      </c>
      <c r="L3031">
        <v>245.0986</v>
      </c>
      <c r="M3031">
        <v>-1.759622E-3</v>
      </c>
      <c r="N3031">
        <v>-1.138483E-2</v>
      </c>
      <c r="O3031">
        <v>-0.99993359999999998</v>
      </c>
      <c r="P3031">
        <v>0.122846</v>
      </c>
      <c r="Q3031">
        <v>0.1840338</v>
      </c>
      <c r="R3031">
        <v>-0.97521310000000005</v>
      </c>
      <c r="S3031">
        <v>0.51699830000000002</v>
      </c>
      <c r="T3031">
        <v>-0.164762299999999</v>
      </c>
      <c r="U3031">
        <v>-3.0425870000000002</v>
      </c>
      <c r="V3031">
        <v>-0.12473099999999999</v>
      </c>
      <c r="W3031">
        <v>0.19501399999999999</v>
      </c>
      <c r="X3031">
        <v>0.9728369</v>
      </c>
      <c r="Y3031">
        <v>-0.1690448</v>
      </c>
      <c r="Z3031">
        <v>4.19292E-2</v>
      </c>
      <c r="AA3031">
        <v>0.98471609999999998</v>
      </c>
      <c r="AB3031">
        <v>26</v>
      </c>
      <c r="AC3031">
        <v>3.4845000000000201</v>
      </c>
      <c r="AD3031">
        <v>-1.1104720949610001</v>
      </c>
      <c r="AE3031">
        <v>-20.292899999999999</v>
      </c>
      <c r="AF3031">
        <v>-3.5099950349747902</v>
      </c>
      <c r="AG3031">
        <v>-1.1104720949610001</v>
      </c>
      <c r="AH3031">
        <v>20.2278987580642</v>
      </c>
      <c r="AI3031">
        <v>93.096097980135994</v>
      </c>
      <c r="AJ3031">
        <v>99.844084493830195</v>
      </c>
      <c r="AK3031">
        <v>20.560182430750199</v>
      </c>
      <c r="AL3031">
        <v>78.754458090367294</v>
      </c>
      <c r="AM3031">
        <v>97.306241649757794</v>
      </c>
      <c r="AN3031">
        <v>0.99999995827930399</v>
      </c>
    </row>
    <row r="3032" spans="1:40" x14ac:dyDescent="0.25">
      <c r="A3032" t="str">
        <f>"20190304155651822"</f>
        <v>20190304155651822</v>
      </c>
      <c r="B3032" t="str">
        <f>"1551686211817998"</f>
        <v>1551686211817998</v>
      </c>
      <c r="C3032" t="s">
        <v>40</v>
      </c>
      <c r="D3032">
        <v>4.4086629999999998</v>
      </c>
      <c r="E3032">
        <v>0.48101680000000002</v>
      </c>
      <c r="F3032" t="s">
        <v>53</v>
      </c>
      <c r="G3032">
        <v>-488.8802</v>
      </c>
      <c r="H3032" s="1">
        <v>4.6882869999999999E-6</v>
      </c>
      <c r="I3032">
        <v>224.1105</v>
      </c>
      <c r="J3032">
        <v>-492.44659999999999</v>
      </c>
      <c r="K3032">
        <v>1.110506</v>
      </c>
      <c r="L3032">
        <v>244.92619999999999</v>
      </c>
      <c r="M3032">
        <v>-1.3750520000000001E-3</v>
      </c>
      <c r="N3032">
        <v>-1.1385559999999999E-2</v>
      </c>
      <c r="O3032">
        <v>-0.99993410000000005</v>
      </c>
      <c r="P3032">
        <v>0.123753</v>
      </c>
      <c r="Q3032">
        <v>0.18369830000000001</v>
      </c>
      <c r="R3032">
        <v>-0.97516170000000002</v>
      </c>
      <c r="S3032">
        <v>0.51684569999999996</v>
      </c>
      <c r="T3032">
        <v>-0.16092679999999901</v>
      </c>
      <c r="U3032">
        <v>-3.041534</v>
      </c>
      <c r="V3032">
        <v>-0.12527650000000001</v>
      </c>
      <c r="W3032">
        <v>0.1946698</v>
      </c>
      <c r="X3032">
        <v>0.97283580000000003</v>
      </c>
      <c r="Y3032">
        <v>-0.16868379999999999</v>
      </c>
      <c r="Z3032">
        <v>4.0710410000000002E-2</v>
      </c>
      <c r="AA3032">
        <v>0.98482910000000001</v>
      </c>
      <c r="AB3032">
        <v>26</v>
      </c>
      <c r="AC3032">
        <v>3.5663999999999798</v>
      </c>
      <c r="AD3032">
        <v>-1.110501311713</v>
      </c>
      <c r="AE3032">
        <v>-20.8157</v>
      </c>
      <c r="AF3032">
        <v>-3.5851084256608798</v>
      </c>
      <c r="AG3032">
        <v>-1.110501311713</v>
      </c>
      <c r="AH3032">
        <v>20.753393421905098</v>
      </c>
      <c r="AI3032">
        <v>93.018320189814105</v>
      </c>
      <c r="AJ3032">
        <v>99.801005112686298</v>
      </c>
      <c r="AK3032">
        <v>21.090034473927201</v>
      </c>
      <c r="AL3032">
        <v>78.774565271255497</v>
      </c>
      <c r="AM3032">
        <v>97.337855553811593</v>
      </c>
      <c r="AN3032">
        <v>1.0000000131229601</v>
      </c>
    </row>
    <row r="3033" spans="1:40" x14ac:dyDescent="0.25">
      <c r="A3033" t="str">
        <f>"20190304155651835"</f>
        <v>20190304155651835</v>
      </c>
      <c r="B3033" t="str">
        <f>"1551686211827759"</f>
        <v>1551686211827759</v>
      </c>
      <c r="C3033" t="s">
        <v>40</v>
      </c>
      <c r="D3033">
        <v>4.394495</v>
      </c>
      <c r="E3033">
        <v>0.48120309999999999</v>
      </c>
      <c r="F3033" t="s">
        <v>53</v>
      </c>
      <c r="G3033">
        <v>-488.82530000000003</v>
      </c>
      <c r="H3033" s="1">
        <v>4.5089939999999998E-6</v>
      </c>
      <c r="I3033">
        <v>223.571</v>
      </c>
      <c r="J3033">
        <v>-492.44639999999998</v>
      </c>
      <c r="K3033">
        <v>1.1105290000000001</v>
      </c>
      <c r="L3033">
        <v>244.77959999999999</v>
      </c>
      <c r="M3033">
        <v>-1.030923E-3</v>
      </c>
      <c r="N3033">
        <v>-1.1386210000000001E-2</v>
      </c>
      <c r="O3033">
        <v>-0.99993469999999995</v>
      </c>
      <c r="P3033">
        <v>0.124527399999999</v>
      </c>
      <c r="Q3033">
        <v>0.18368419999999999</v>
      </c>
      <c r="R3033">
        <v>-0.97506579999999998</v>
      </c>
      <c r="S3033">
        <v>0.515625</v>
      </c>
      <c r="T3033">
        <v>-0.15812219999999999</v>
      </c>
      <c r="U3033">
        <v>-3.0407259999999998</v>
      </c>
      <c r="V3033">
        <v>-0.12572649999999999</v>
      </c>
      <c r="W3033">
        <v>0.19464780000000001</v>
      </c>
      <c r="X3033">
        <v>0.97278209999999998</v>
      </c>
      <c r="Y3033">
        <v>-0.16801060000000001</v>
      </c>
      <c r="Z3033">
        <v>3.9822389999999999E-2</v>
      </c>
      <c r="AA3033">
        <v>0.98498050000000004</v>
      </c>
      <c r="AB3033">
        <v>26</v>
      </c>
      <c r="AC3033">
        <v>3.62109999999995</v>
      </c>
      <c r="AD3033">
        <v>-1.1105244910059999</v>
      </c>
      <c r="AE3033">
        <v>-21.208599999999901</v>
      </c>
      <c r="AF3033">
        <v>-3.63328443524887</v>
      </c>
      <c r="AG3033">
        <v>-1.1105244910059999</v>
      </c>
      <c r="AH3033">
        <v>21.148513325411599</v>
      </c>
      <c r="AI3033">
        <v>92.962561431542696</v>
      </c>
      <c r="AJ3033">
        <v>99.748171655039997</v>
      </c>
      <c r="AK3033">
        <v>21.4870574138866</v>
      </c>
      <c r="AL3033">
        <v>78.775849830330998</v>
      </c>
      <c r="AM3033">
        <v>97.364326776228197</v>
      </c>
      <c r="AN3033">
        <v>0.999999966463749</v>
      </c>
    </row>
    <row r="3034" spans="1:40" x14ac:dyDescent="0.25">
      <c r="A3034" t="str">
        <f>"20190304155651852"</f>
        <v>20190304155651852</v>
      </c>
      <c r="B3034" t="str">
        <f>"1551686211847278"</f>
        <v>1551686211847278</v>
      </c>
      <c r="C3034" t="s">
        <v>40</v>
      </c>
      <c r="D3034">
        <v>4.4528379999999999</v>
      </c>
      <c r="E3034">
        <v>0.48159580000000002</v>
      </c>
      <c r="F3034" t="s">
        <v>53</v>
      </c>
      <c r="G3034">
        <v>-488.77870000000001</v>
      </c>
      <c r="H3034" s="1">
        <v>4.387465E-6</v>
      </c>
      <c r="I3034">
        <v>223.21209999999999</v>
      </c>
      <c r="J3034">
        <v>-492.4461</v>
      </c>
      <c r="K3034">
        <v>1.1105560000000001</v>
      </c>
      <c r="L3034">
        <v>244.57380000000001</v>
      </c>
      <c r="M3034">
        <v>-5.1756350000000003E-4</v>
      </c>
      <c r="N3034">
        <v>-1.138715E-2</v>
      </c>
      <c r="O3034">
        <v>-0.99993529999999997</v>
      </c>
      <c r="P3034">
        <v>0.12580569999999999</v>
      </c>
      <c r="Q3034">
        <v>0.18395149999999999</v>
      </c>
      <c r="R3034">
        <v>-0.97485149999999998</v>
      </c>
      <c r="S3034">
        <v>0.51699830000000002</v>
      </c>
      <c r="T3034">
        <v>-0.1565397</v>
      </c>
      <c r="U3034">
        <v>-3.0401609999999999</v>
      </c>
      <c r="V3034">
        <v>-0.12652060000000001</v>
      </c>
      <c r="W3034">
        <v>0.1949032</v>
      </c>
      <c r="X3034">
        <v>0.9726281</v>
      </c>
      <c r="Y3034">
        <v>-0.16797089999999901</v>
      </c>
      <c r="Z3034">
        <v>3.9318190000000003E-2</v>
      </c>
      <c r="AA3034">
        <v>0.98500750000000004</v>
      </c>
      <c r="AB3034">
        <v>26</v>
      </c>
      <c r="AC3034">
        <v>3.6673999999999798</v>
      </c>
      <c r="AD3034">
        <v>-1.1105516125349999</v>
      </c>
      <c r="AE3034">
        <v>-21.361699999999999</v>
      </c>
      <c r="AF3034">
        <v>-3.6688242421359898</v>
      </c>
      <c r="AG3034">
        <v>-1.1105516125349999</v>
      </c>
      <c r="AH3034">
        <v>21.303868392108999</v>
      </c>
      <c r="AI3034">
        <v>92.940863442043394</v>
      </c>
      <c r="AJ3034">
        <v>99.771289433711104</v>
      </c>
      <c r="AK3034">
        <v>21.6459789492665</v>
      </c>
      <c r="AL3034">
        <v>78.760931937002496</v>
      </c>
      <c r="AM3034">
        <v>97.411485418020902</v>
      </c>
      <c r="AN3034">
        <v>1.0000000702520999</v>
      </c>
    </row>
    <row r="3035" spans="1:40" x14ac:dyDescent="0.25">
      <c r="A3035" t="str">
        <f>"20190304155651864"</f>
        <v>20190304155651864</v>
      </c>
      <c r="B3035" t="str">
        <f>"1551686211857038"</f>
        <v>1551686211857038</v>
      </c>
      <c r="C3035" t="s">
        <v>40</v>
      </c>
      <c r="D3035">
        <v>4.4311920000000002</v>
      </c>
      <c r="E3035">
        <v>0.48179240000000001</v>
      </c>
      <c r="F3035" t="s">
        <v>53</v>
      </c>
      <c r="G3035">
        <v>-488.68360000000001</v>
      </c>
      <c r="H3035" s="1">
        <v>4.1457409999999996E-6</v>
      </c>
      <c r="I3035">
        <v>222.4999</v>
      </c>
      <c r="J3035">
        <v>-492.44580000000002</v>
      </c>
      <c r="K3035">
        <v>1.1105780000000001</v>
      </c>
      <c r="L3035">
        <v>244.4297</v>
      </c>
      <c r="M3035">
        <v>-1.3819559999999999E-4</v>
      </c>
      <c r="N3035">
        <v>-1.138782E-2</v>
      </c>
      <c r="O3035">
        <v>-0.99993529999999997</v>
      </c>
      <c r="P3035">
        <v>0.12654509999999999</v>
      </c>
      <c r="Q3035">
        <v>0.183811</v>
      </c>
      <c r="R3035">
        <v>-0.97478229999999999</v>
      </c>
      <c r="S3035">
        <v>0.51806640000000004</v>
      </c>
      <c r="T3035">
        <v>-0.15291399999999999</v>
      </c>
      <c r="U3035">
        <v>-3.0393979999999998</v>
      </c>
      <c r="V3035">
        <v>-0.1268995</v>
      </c>
      <c r="W3035">
        <v>0.19475680000000001</v>
      </c>
      <c r="X3035">
        <v>0.97260800000000003</v>
      </c>
      <c r="Y3035">
        <v>-0.16798289999999999</v>
      </c>
      <c r="Z3035">
        <v>3.8156839999999997E-2</v>
      </c>
      <c r="AA3035">
        <v>0.98505120000000002</v>
      </c>
      <c r="AB3035">
        <v>26</v>
      </c>
      <c r="AC3035">
        <v>3.7622</v>
      </c>
      <c r="AD3035">
        <v>-1.110573854259</v>
      </c>
      <c r="AE3035">
        <v>-21.9298</v>
      </c>
      <c r="AF3035">
        <v>-3.7558737105465001</v>
      </c>
      <c r="AG3035">
        <v>-1.110573854259</v>
      </c>
      <c r="AH3035">
        <v>21.874782938632201</v>
      </c>
      <c r="AI3035">
        <v>92.864542085814094</v>
      </c>
      <c r="AJ3035">
        <v>99.742618123820293</v>
      </c>
      <c r="AK3035">
        <v>22.222648137150799</v>
      </c>
      <c r="AL3035">
        <v>78.769483211222706</v>
      </c>
      <c r="AM3035">
        <v>97.433585145477707</v>
      </c>
      <c r="AN3035">
        <v>1.00000000795524</v>
      </c>
    </row>
    <row r="3036" spans="1:40" x14ac:dyDescent="0.25">
      <c r="A3036" t="str">
        <f>"20190304155651877"</f>
        <v>20190304155651877</v>
      </c>
      <c r="B3036" t="str">
        <f>"1551686211867774"</f>
        <v>1551686211867774</v>
      </c>
      <c r="C3036" t="s">
        <v>40</v>
      </c>
      <c r="D3036">
        <v>4.4377409999999999</v>
      </c>
      <c r="E3036">
        <v>0.48182580000000003</v>
      </c>
      <c r="F3036" t="s">
        <v>53</v>
      </c>
      <c r="G3036">
        <v>-488.64890000000003</v>
      </c>
      <c r="H3036" s="1">
        <v>4.0430500000000002E-6</v>
      </c>
      <c r="I3036">
        <v>222.19319999999999</v>
      </c>
      <c r="J3036">
        <v>-492.44540000000001</v>
      </c>
      <c r="K3036">
        <v>1.1106049999999901</v>
      </c>
      <c r="L3036">
        <v>244.28049999999999</v>
      </c>
      <c r="M3036">
        <v>2.6781E-4</v>
      </c>
      <c r="N3036">
        <v>-1.1388509999999999E-2</v>
      </c>
      <c r="O3036">
        <v>-0.99993540000000003</v>
      </c>
      <c r="P3036">
        <v>0.12739</v>
      </c>
      <c r="Q3036">
        <v>0.18397140000000001</v>
      </c>
      <c r="R3036">
        <v>-0.97464189999999995</v>
      </c>
      <c r="S3036">
        <v>0.51889039999999997</v>
      </c>
      <c r="T3036">
        <v>-0.15177199999999999</v>
      </c>
      <c r="U3036">
        <v>-3.0388639999999998</v>
      </c>
      <c r="V3036">
        <v>-0.1273589</v>
      </c>
      <c r="W3036">
        <v>0.19490969999999999</v>
      </c>
      <c r="X3036">
        <v>0.97251730000000003</v>
      </c>
      <c r="Y3036">
        <v>-0.16787349999999901</v>
      </c>
      <c r="Z3036">
        <v>3.7795179999999998E-2</v>
      </c>
      <c r="AA3036">
        <v>0.98508379999999995</v>
      </c>
      <c r="AB3036">
        <v>26</v>
      </c>
      <c r="AC3036">
        <v>3.79649999999998</v>
      </c>
      <c r="AD3036">
        <v>-1.1106009569499999</v>
      </c>
      <c r="AE3036">
        <v>-22.087299999999999</v>
      </c>
      <c r="AF3036">
        <v>-3.7812983285619302</v>
      </c>
      <c r="AG3036">
        <v>-1.1106009569499999</v>
      </c>
      <c r="AH3036">
        <v>22.0342053386529</v>
      </c>
      <c r="AI3036">
        <v>92.8439617729491</v>
      </c>
      <c r="AJ3036">
        <v>99.737697662986804</v>
      </c>
      <c r="AK3036">
        <v>22.383874920153701</v>
      </c>
      <c r="AL3036">
        <v>78.760551315057796</v>
      </c>
      <c r="AM3036">
        <v>97.460881454160102</v>
      </c>
      <c r="AN3036">
        <v>0.999999989681295</v>
      </c>
    </row>
    <row r="3037" spans="1:40" x14ac:dyDescent="0.25">
      <c r="A3037" t="str">
        <f>"20190304155651899"</f>
        <v>20190304155651899</v>
      </c>
      <c r="B3037" t="str">
        <f>"1551686211887295"</f>
        <v>1551686211887295</v>
      </c>
      <c r="C3037" t="s">
        <v>40</v>
      </c>
      <c r="D3037">
        <v>4.5796760000000001</v>
      </c>
      <c r="E3037">
        <v>0.48208099999999998</v>
      </c>
      <c r="F3037" t="s">
        <v>53</v>
      </c>
      <c r="G3037">
        <v>-488.5949</v>
      </c>
      <c r="H3037" s="1">
        <v>3.9204359999999999E-6</v>
      </c>
      <c r="I3037">
        <v>221.83609999999999</v>
      </c>
      <c r="J3037">
        <v>-492.44459999999998</v>
      </c>
      <c r="K3037">
        <v>1.1106389999999999</v>
      </c>
      <c r="L3037">
        <v>244.0361</v>
      </c>
      <c r="M3037">
        <v>9.6250610000000005E-4</v>
      </c>
      <c r="N3037">
        <v>-1.138961E-2</v>
      </c>
      <c r="O3037">
        <v>-0.99993469999999995</v>
      </c>
      <c r="P3037">
        <v>0.12856919999999999</v>
      </c>
      <c r="Q3037">
        <v>0.1841807</v>
      </c>
      <c r="R3037">
        <v>-0.97444759999999997</v>
      </c>
      <c r="S3037">
        <v>0.52124020000000004</v>
      </c>
      <c r="T3037">
        <v>-0.15034159999999999</v>
      </c>
      <c r="U3037">
        <v>-3.0383</v>
      </c>
      <c r="V3037">
        <v>-0.12787580000000001</v>
      </c>
      <c r="W3037">
        <v>0.19510849999999999</v>
      </c>
      <c r="X3037">
        <v>0.97240959999999999</v>
      </c>
      <c r="Y3037">
        <v>-0.16796259999999999</v>
      </c>
      <c r="Z3037">
        <v>3.7337580000000002E-2</v>
      </c>
      <c r="AA3037">
        <v>0.98508600000000002</v>
      </c>
      <c r="AB3037">
        <v>26</v>
      </c>
      <c r="AC3037">
        <v>3.8496999999999799</v>
      </c>
      <c r="AD3037">
        <v>-1.1106350795640001</v>
      </c>
      <c r="AE3037">
        <v>-22.2</v>
      </c>
      <c r="AF3037">
        <v>-3.8190496871351298</v>
      </c>
      <c r="AG3037">
        <v>-1.1106350795640001</v>
      </c>
      <c r="AH3037">
        <v>22.149875654444699</v>
      </c>
      <c r="AI3037">
        <v>92.828839742401001</v>
      </c>
      <c r="AJ3037">
        <v>99.782672326848996</v>
      </c>
      <c r="AK3037">
        <v>22.5041250063211</v>
      </c>
      <c r="AL3037">
        <v>78.748937941561806</v>
      </c>
      <c r="AM3037">
        <v>97.491639288630793</v>
      </c>
      <c r="AN3037">
        <v>0.99999998858502404</v>
      </c>
    </row>
    <row r="3038" spans="1:40" x14ac:dyDescent="0.25">
      <c r="A3038" t="str">
        <f>"20190304155651921"</f>
        <v>20190304155651921</v>
      </c>
      <c r="B3038" t="str">
        <f>"1551686211917550"</f>
        <v>1551686211917550</v>
      </c>
      <c r="C3038" t="s">
        <v>40</v>
      </c>
      <c r="D3038">
        <v>4.575488</v>
      </c>
      <c r="E3038">
        <v>0.52650059999999999</v>
      </c>
      <c r="F3038" t="s">
        <v>53</v>
      </c>
      <c r="G3038">
        <v>-488.5342</v>
      </c>
      <c r="H3038" s="1">
        <v>3.7496660000000002E-6</v>
      </c>
      <c r="I3038">
        <v>221.32820000000001</v>
      </c>
      <c r="J3038">
        <v>-492.4434</v>
      </c>
      <c r="K3038">
        <v>1.1106659999999999</v>
      </c>
      <c r="L3038">
        <v>243.77529999999999</v>
      </c>
      <c r="M3038">
        <v>1.7459260000000001E-3</v>
      </c>
      <c r="N3038">
        <v>-1.139079E-2</v>
      </c>
      <c r="O3038">
        <v>-0.99993390000000004</v>
      </c>
      <c r="P3038">
        <v>0.1300549</v>
      </c>
      <c r="Q3038">
        <v>0.18445700000000001</v>
      </c>
      <c r="R3038">
        <v>-0.97419820000000001</v>
      </c>
      <c r="S3038">
        <v>0.52310179999999995</v>
      </c>
      <c r="T3038">
        <v>-0.14857339999999999</v>
      </c>
      <c r="U3038">
        <v>-3.0377040000000002</v>
      </c>
      <c r="V3038">
        <v>-0.1286127</v>
      </c>
      <c r="W3038">
        <v>0.19537409999999999</v>
      </c>
      <c r="X3038">
        <v>0.97225910000000004</v>
      </c>
      <c r="Y3038">
        <v>-0.16781289999999999</v>
      </c>
      <c r="Z3038">
        <v>3.6772600000000003E-2</v>
      </c>
      <c r="AA3038">
        <v>0.98513280000000003</v>
      </c>
      <c r="AB3038">
        <v>26</v>
      </c>
      <c r="AC3038">
        <v>3.90919999999999</v>
      </c>
      <c r="AD3038">
        <v>-1.110662250334</v>
      </c>
      <c r="AE3038">
        <v>-22.447099999999899</v>
      </c>
      <c r="AF3038">
        <v>-3.86082676114221</v>
      </c>
      <c r="AG3038">
        <v>-1.110662250334</v>
      </c>
      <c r="AH3038">
        <v>22.400664812627301</v>
      </c>
      <c r="AI3038">
        <v>92.797318605675997</v>
      </c>
      <c r="AJ3038">
        <v>99.779036730047196</v>
      </c>
      <c r="AK3038">
        <v>22.758060944675101</v>
      </c>
      <c r="AL3038">
        <v>78.733421835500593</v>
      </c>
      <c r="AM3038">
        <v>97.535469082101798</v>
      </c>
      <c r="AN3038">
        <v>1.0000000115424501</v>
      </c>
    </row>
    <row r="3039" spans="1:40" x14ac:dyDescent="0.25">
      <c r="A3039" t="str">
        <f>"20190304155651934"</f>
        <v>20190304155651934</v>
      </c>
      <c r="B3039" t="str">
        <f>"1551686211927311"</f>
        <v>1551686211927311</v>
      </c>
      <c r="C3039" t="s">
        <v>40</v>
      </c>
      <c r="D3039">
        <v>4.4454539999999998</v>
      </c>
      <c r="E3039">
        <v>0.53070430000000002</v>
      </c>
      <c r="F3039" t="s">
        <v>53</v>
      </c>
      <c r="G3039">
        <v>-490.50130000000001</v>
      </c>
      <c r="H3039" s="1">
        <v>3.0251040000000002E-6</v>
      </c>
      <c r="I3039">
        <v>210.1574</v>
      </c>
      <c r="J3039">
        <v>-492.4427</v>
      </c>
      <c r="K3039">
        <v>1.1106819999999999</v>
      </c>
      <c r="L3039">
        <v>243.61789999999999</v>
      </c>
      <c r="M3039">
        <v>2.2378519999999998E-3</v>
      </c>
      <c r="N3039">
        <v>-1.1391510000000001E-2</v>
      </c>
      <c r="O3039">
        <v>-0.99993290000000001</v>
      </c>
      <c r="P3039">
        <v>0.130995</v>
      </c>
      <c r="Q3039">
        <v>0.18459149999999999</v>
      </c>
      <c r="R3039">
        <v>-0.97404679999999999</v>
      </c>
      <c r="S3039">
        <v>0.17764279999999999</v>
      </c>
      <c r="T3039">
        <v>-0.10159020000000001</v>
      </c>
      <c r="U3039">
        <v>-3.0749659999999999</v>
      </c>
      <c r="V3039">
        <v>-0.12908210000000001</v>
      </c>
      <c r="W3039">
        <v>0.1955027</v>
      </c>
      <c r="X3039">
        <v>0.97217100000000001</v>
      </c>
      <c r="Y3039">
        <v>-5.5412650000000001E-2</v>
      </c>
      <c r="Z3039">
        <v>2.1580140000000001E-2</v>
      </c>
      <c r="AA3039">
        <v>0.99823030000000001</v>
      </c>
      <c r="AB3039">
        <v>26</v>
      </c>
      <c r="AC3039">
        <v>1.94139999999998</v>
      </c>
      <c r="AD3039">
        <v>-1.110678974896</v>
      </c>
      <c r="AE3039">
        <v>-33.460500000000003</v>
      </c>
      <c r="AF3039">
        <v>-1.8644632360259401</v>
      </c>
      <c r="AG3039">
        <v>-1.110678974896</v>
      </c>
      <c r="AH3039">
        <v>33.4280527927368</v>
      </c>
      <c r="AI3039">
        <v>91.900055935488297</v>
      </c>
      <c r="AJ3039">
        <v>93.192387744577005</v>
      </c>
      <c r="AK3039">
        <v>33.498425999705802</v>
      </c>
      <c r="AL3039">
        <v>78.725908283443104</v>
      </c>
      <c r="AM3039">
        <v>97.563331068015401</v>
      </c>
      <c r="AN3039">
        <v>0.99999997374434901</v>
      </c>
    </row>
    <row r="3040" spans="1:40" x14ac:dyDescent="0.25">
      <c r="A3040" t="str">
        <f>"20190304155651946"</f>
        <v>20190304155651946</v>
      </c>
      <c r="B3040" t="str">
        <f>"1551686211937071"</f>
        <v>1551686211937071</v>
      </c>
      <c r="C3040" t="s">
        <v>40</v>
      </c>
      <c r="D3040">
        <v>4.4501900000000001</v>
      </c>
      <c r="E3040">
        <v>0.53376499999999905</v>
      </c>
      <c r="F3040" t="s">
        <v>53</v>
      </c>
      <c r="G3040">
        <v>-490.4237</v>
      </c>
      <c r="H3040" s="1">
        <v>5.6238509999999996E-7</v>
      </c>
      <c r="I3040">
        <v>201.43170000000001</v>
      </c>
      <c r="J3040">
        <v>-492.4418</v>
      </c>
      <c r="K3040">
        <v>1.1106990000000001</v>
      </c>
      <c r="L3040">
        <v>243.4667</v>
      </c>
      <c r="M3040">
        <v>2.7244220000000002E-3</v>
      </c>
      <c r="N3040">
        <v>-1.139223E-2</v>
      </c>
      <c r="O3040">
        <v>-0.99993160000000003</v>
      </c>
      <c r="P3040">
        <v>0.13162969999999999</v>
      </c>
      <c r="Q3040">
        <v>0.1845687</v>
      </c>
      <c r="R3040">
        <v>-0.97396530000000003</v>
      </c>
      <c r="S3040">
        <v>0.14718629999999999</v>
      </c>
      <c r="T3040">
        <v>-8.0971600000000005E-2</v>
      </c>
      <c r="U3040">
        <v>-3.075485</v>
      </c>
      <c r="V3040">
        <v>-0.12925019999999901</v>
      </c>
      <c r="W3040">
        <v>0.1954747</v>
      </c>
      <c r="X3040">
        <v>0.97215430000000003</v>
      </c>
      <c r="Y3040">
        <v>-4.5066559999999999E-2</v>
      </c>
      <c r="Z3040">
        <v>1.490115E-2</v>
      </c>
      <c r="AA3040">
        <v>0.99887280000000001</v>
      </c>
      <c r="AB3040">
        <v>26</v>
      </c>
      <c r="AC3040">
        <v>2.0181</v>
      </c>
      <c r="AD3040">
        <v>-1.1106984376148901</v>
      </c>
      <c r="AE3040">
        <v>-42.034999999999997</v>
      </c>
      <c r="AF3040">
        <v>-1.9022389623232501</v>
      </c>
      <c r="AG3040">
        <v>-1.1106984376148901</v>
      </c>
      <c r="AH3040">
        <v>42.011078456940702</v>
      </c>
      <c r="AI3040">
        <v>91.512896669882196</v>
      </c>
      <c r="AJ3040">
        <v>92.592551170795005</v>
      </c>
      <c r="AK3040">
        <v>42.068787446328102</v>
      </c>
      <c r="AL3040">
        <v>78.727544173384103</v>
      </c>
      <c r="AM3040">
        <v>97.573194922536501</v>
      </c>
      <c r="AN3040">
        <v>0.99999997777430905</v>
      </c>
    </row>
    <row r="3041" spans="1:40" x14ac:dyDescent="0.25">
      <c r="A3041" t="str">
        <f>"20190304155651965"</f>
        <v>20190304155651965</v>
      </c>
      <c r="B3041" t="str">
        <f>"1551686211957567"</f>
        <v>1551686211957567</v>
      </c>
      <c r="C3041" t="s">
        <v>40</v>
      </c>
      <c r="D3041">
        <v>4.4369870000000002</v>
      </c>
      <c r="E3041">
        <v>0.53567209999999998</v>
      </c>
      <c r="F3041" t="s">
        <v>41</v>
      </c>
      <c r="G3041">
        <v>-490.38760000000002</v>
      </c>
      <c r="H3041" s="1">
        <v>-1.5928710000000001E-6</v>
      </c>
      <c r="I3041">
        <v>193.0617</v>
      </c>
      <c r="J3041">
        <v>-492.44049999999999</v>
      </c>
      <c r="K3041">
        <v>1.110719</v>
      </c>
      <c r="L3041">
        <v>243.25970000000001</v>
      </c>
      <c r="M3041">
        <v>3.4136909999999999E-3</v>
      </c>
      <c r="N3041">
        <v>-1.1393240000000001E-2</v>
      </c>
      <c r="O3041">
        <v>-0.99992950000000003</v>
      </c>
      <c r="P3041">
        <v>0.1326572</v>
      </c>
      <c r="Q3041">
        <v>0.18454680000000001</v>
      </c>
      <c r="R3041">
        <v>-0.97382990000000003</v>
      </c>
      <c r="S3041">
        <v>0.12536620000000001</v>
      </c>
      <c r="T3041">
        <v>-6.7784070000000002E-2</v>
      </c>
      <c r="U3041">
        <v>-3.0761259999999999</v>
      </c>
      <c r="V3041">
        <v>-0.12961619999999999</v>
      </c>
      <c r="W3041">
        <v>0.1954466</v>
      </c>
      <c r="X3041">
        <v>0.97211119999999995</v>
      </c>
      <c r="Y3041">
        <v>-3.7300050000000001E-2</v>
      </c>
      <c r="Z3041">
        <v>1.0622080000000001E-2</v>
      </c>
      <c r="AA3041">
        <v>0.99924769999999896</v>
      </c>
      <c r="AB3041">
        <v>26</v>
      </c>
      <c r="AC3041">
        <v>2.0528999999999602</v>
      </c>
      <c r="AD3041">
        <v>-1.110720592871</v>
      </c>
      <c r="AE3041">
        <v>-50.198</v>
      </c>
      <c r="AF3041">
        <v>-1.8805972996108</v>
      </c>
      <c r="AG3041">
        <v>-1.110720592871</v>
      </c>
      <c r="AH3041">
        <v>50.180188955122702</v>
      </c>
      <c r="AI3041">
        <v>91.267125348375998</v>
      </c>
      <c r="AJ3041">
        <v>92.146263041948998</v>
      </c>
      <c r="AK3041">
        <v>50.227698633428801</v>
      </c>
      <c r="AL3041">
        <v>78.729185635401905</v>
      </c>
      <c r="AM3041">
        <v>97.594722898338702</v>
      </c>
      <c r="AN3041">
        <v>0.99999995895971905</v>
      </c>
    </row>
    <row r="3042" spans="1:40" x14ac:dyDescent="0.25">
      <c r="A3042" t="str">
        <f>"20190304155651987"</f>
        <v>20190304155651987</v>
      </c>
      <c r="B3042" t="str">
        <f>"1551686211977086"</f>
        <v>1551686211977086</v>
      </c>
      <c r="C3042" t="s">
        <v>40</v>
      </c>
      <c r="D3042">
        <v>4.4404779999999997</v>
      </c>
      <c r="E3042">
        <v>0.53768559999999999</v>
      </c>
      <c r="F3042" t="s">
        <v>41</v>
      </c>
      <c r="G3042">
        <v>-490.37939999999998</v>
      </c>
      <c r="H3042" s="1">
        <v>-3.4901170000000001E-6</v>
      </c>
      <c r="I3042">
        <v>187.48929999999999</v>
      </c>
      <c r="J3042">
        <v>-492.43869999999998</v>
      </c>
      <c r="K3042">
        <v>1.1107479999999901</v>
      </c>
      <c r="L3042">
        <v>243.0094</v>
      </c>
      <c r="M3042">
        <v>4.2777969999999998E-3</v>
      </c>
      <c r="N3042">
        <v>-1.139452E-2</v>
      </c>
      <c r="O3042">
        <v>-0.99992630000000005</v>
      </c>
      <c r="P3042">
        <v>0.13402240000000001</v>
      </c>
      <c r="Q3042">
        <v>0.18419859999999999</v>
      </c>
      <c r="R3042">
        <v>-0.97370900000000005</v>
      </c>
      <c r="S3042">
        <v>0.1137085</v>
      </c>
      <c r="T3042">
        <v>-6.1276560000000001E-2</v>
      </c>
      <c r="U3042">
        <v>-3.0767519999999999</v>
      </c>
      <c r="V3042">
        <v>-0.1301522</v>
      </c>
      <c r="W3042">
        <v>0.19509019999999999</v>
      </c>
      <c r="X3042">
        <v>0.97211119999999995</v>
      </c>
      <c r="Y3042">
        <v>-3.2649449999999997E-2</v>
      </c>
      <c r="Z3042">
        <v>8.5070240000000002E-3</v>
      </c>
      <c r="AA3042">
        <v>0.99943070000000001</v>
      </c>
      <c r="AB3042">
        <v>26</v>
      </c>
      <c r="AC3042">
        <v>2.0592999999999999</v>
      </c>
      <c r="AD3042">
        <v>-1.1107514901169999</v>
      </c>
      <c r="AE3042">
        <v>-55.520099999999999</v>
      </c>
      <c r="AF3042">
        <v>-1.82103423545004</v>
      </c>
      <c r="AG3042">
        <v>-1.1107514901169999</v>
      </c>
      <c r="AH3042">
        <v>55.506215829392701</v>
      </c>
      <c r="AI3042">
        <v>91.145793666835701</v>
      </c>
      <c r="AJ3042">
        <v>91.879071813874106</v>
      </c>
      <c r="AK3042">
        <v>55.547186519738403</v>
      </c>
      <c r="AL3042">
        <v>78.750006936882201</v>
      </c>
      <c r="AM3042">
        <v>97.625760413044105</v>
      </c>
      <c r="AN3042">
        <v>0.99999998323315897</v>
      </c>
    </row>
    <row r="3043" spans="1:40" x14ac:dyDescent="0.25">
      <c r="A3043" t="str">
        <f>"20190304155651999"</f>
        <v>20190304155651999</v>
      </c>
      <c r="B3043" t="str">
        <f>"1551686211997583"</f>
        <v>1551686211997583</v>
      </c>
      <c r="C3043" t="s">
        <v>40</v>
      </c>
      <c r="D3043">
        <v>4.4913889999999999</v>
      </c>
      <c r="E3043">
        <v>0.53714819999999996</v>
      </c>
      <c r="F3043" t="s">
        <v>41</v>
      </c>
      <c r="G3043">
        <v>-490.08150000000001</v>
      </c>
      <c r="H3043" s="1">
        <v>-1.001229E-6</v>
      </c>
      <c r="I3043">
        <v>171.8724</v>
      </c>
      <c r="J3043">
        <v>-492.4375</v>
      </c>
      <c r="K3043">
        <v>1.1107640000000001</v>
      </c>
      <c r="L3043">
        <v>242.858</v>
      </c>
      <c r="M3043">
        <v>4.820749E-3</v>
      </c>
      <c r="N3043">
        <v>-1.1395300000000001E-2</v>
      </c>
      <c r="O3043">
        <v>-0.99992369999999997</v>
      </c>
      <c r="P3043">
        <v>0.13467779999999999</v>
      </c>
      <c r="Q3043">
        <v>0.1839779</v>
      </c>
      <c r="R3043">
        <v>-0.97366039999999998</v>
      </c>
      <c r="S3043">
        <v>0.1019287</v>
      </c>
      <c r="T3043">
        <v>-4.803085E-2</v>
      </c>
      <c r="U3043">
        <v>-3.0760960000000002</v>
      </c>
      <c r="V3043">
        <v>-0.1302865</v>
      </c>
      <c r="W3043">
        <v>0.19486529999999999</v>
      </c>
      <c r="X3043">
        <v>0.97213830000000001</v>
      </c>
      <c r="Y3043">
        <v>-2.8294130000000001E-2</v>
      </c>
      <c r="Z3043">
        <v>4.2106330000000001E-3</v>
      </c>
      <c r="AA3043">
        <v>0.9995908</v>
      </c>
      <c r="AB3043">
        <v>26</v>
      </c>
      <c r="AC3043">
        <v>2.3559999999999901</v>
      </c>
      <c r="AD3043">
        <v>-1.11076500122899</v>
      </c>
      <c r="AE3043">
        <v>-70.985600000000005</v>
      </c>
      <c r="AF3043">
        <v>-2.0132543176969602</v>
      </c>
      <c r="AG3043">
        <v>-1.11076500122899</v>
      </c>
      <c r="AH3043">
        <v>70.978773289193796</v>
      </c>
      <c r="AI3043">
        <v>90.8962027648288</v>
      </c>
      <c r="AJ3043">
        <v>91.624711878900499</v>
      </c>
      <c r="AK3043">
        <v>71.016006994722403</v>
      </c>
      <c r="AL3043">
        <v>78.763144707540704</v>
      </c>
      <c r="AM3043">
        <v>97.633326170273904</v>
      </c>
      <c r="AN3043">
        <v>0.99999996577661399</v>
      </c>
    </row>
    <row r="3044" spans="1:40" x14ac:dyDescent="0.25">
      <c r="A3044" t="str">
        <f>"20190304155652012"</f>
        <v>20190304155652012</v>
      </c>
      <c r="B3044" t="str">
        <f>"1551686212007342"</f>
        <v>1551686212007342</v>
      </c>
      <c r="C3044" t="s">
        <v>40</v>
      </c>
      <c r="D3044">
        <v>4.4744080000000004</v>
      </c>
      <c r="E3044">
        <v>0.53694189999999997</v>
      </c>
      <c r="F3044" t="s">
        <v>41</v>
      </c>
      <c r="G3044">
        <v>-490.32729999999998</v>
      </c>
      <c r="H3044" s="1">
        <v>-1.430926E-6</v>
      </c>
      <c r="I3044">
        <v>182.7216</v>
      </c>
      <c r="J3044">
        <v>-492.43630000000002</v>
      </c>
      <c r="K3044">
        <v>1.1107819999999999</v>
      </c>
      <c r="L3044">
        <v>242.71449999999999</v>
      </c>
      <c r="M3044">
        <v>5.3432559999999898E-3</v>
      </c>
      <c r="N3044">
        <v>-1.139604E-2</v>
      </c>
      <c r="O3044">
        <v>-0.9999209</v>
      </c>
      <c r="P3044">
        <v>0.1354658</v>
      </c>
      <c r="Q3044">
        <v>0.18406539999999999</v>
      </c>
      <c r="R3044">
        <v>-0.97353440000000002</v>
      </c>
      <c r="S3044">
        <v>0.1079712</v>
      </c>
      <c r="T3044">
        <v>-5.6834219999999998E-2</v>
      </c>
      <c r="U3044">
        <v>-3.076981</v>
      </c>
      <c r="V3044">
        <v>-0.1305741</v>
      </c>
      <c r="W3044">
        <v>0.19494719999999999</v>
      </c>
      <c r="X3044">
        <v>0.97208329999999998</v>
      </c>
      <c r="Y3044">
        <v>-2.9721649999999999E-2</v>
      </c>
      <c r="Z3044">
        <v>7.0632430000000003E-3</v>
      </c>
      <c r="AA3044">
        <v>0.99953320000000001</v>
      </c>
      <c r="AB3044">
        <v>26</v>
      </c>
      <c r="AC3044">
        <v>2.1090000000000302</v>
      </c>
      <c r="AD3044">
        <v>-1.1107834309259901</v>
      </c>
      <c r="AE3044">
        <v>-59.992899999999899</v>
      </c>
      <c r="AF3044">
        <v>-1.78777956539022</v>
      </c>
      <c r="AG3044">
        <v>-1.1107834309259901</v>
      </c>
      <c r="AH3044">
        <v>59.982775550689503</v>
      </c>
      <c r="AI3044">
        <v>91.060432578926296</v>
      </c>
      <c r="AJ3044">
        <v>91.707188568259397</v>
      </c>
      <c r="AK3044">
        <v>60.019691421809597</v>
      </c>
      <c r="AL3044">
        <v>78.758360526152799</v>
      </c>
      <c r="AM3044">
        <v>97.650404678921404</v>
      </c>
      <c r="AN3044">
        <v>0.99999997425876896</v>
      </c>
    </row>
    <row r="3045" spans="1:40" x14ac:dyDescent="0.25">
      <c r="A3045" t="str">
        <f>"20190304155652023"</f>
        <v>20190304155652023</v>
      </c>
      <c r="B3045" t="str">
        <f>"1551686212017103"</f>
        <v>1551686212017103</v>
      </c>
      <c r="C3045" t="s">
        <v>40</v>
      </c>
      <c r="D3045">
        <v>4.4931039999999998</v>
      </c>
      <c r="E3045">
        <v>0.53695630000000005</v>
      </c>
      <c r="F3045" t="s">
        <v>41</v>
      </c>
      <c r="G3045">
        <v>-490.33640000000003</v>
      </c>
      <c r="H3045" s="1">
        <v>-2.4334549999999999E-6</v>
      </c>
      <c r="I3045">
        <v>185.05289999999999</v>
      </c>
      <c r="J3045">
        <v>-492.4348</v>
      </c>
      <c r="K3045">
        <v>1.110797</v>
      </c>
      <c r="L3045">
        <v>242.5592</v>
      </c>
      <c r="M3045">
        <v>5.9291569999999896E-3</v>
      </c>
      <c r="N3045">
        <v>-1.139689E-2</v>
      </c>
      <c r="O3045">
        <v>-0.99991759999999996</v>
      </c>
      <c r="P3045">
        <v>0.13619800000000001</v>
      </c>
      <c r="Q3045">
        <v>0.18423800000000001</v>
      </c>
      <c r="R3045">
        <v>-0.97339940000000003</v>
      </c>
      <c r="S3045">
        <v>0.11206049999999999</v>
      </c>
      <c r="T3045">
        <v>-5.9278249999999998E-2</v>
      </c>
      <c r="U3045">
        <v>-3.0771790000000001</v>
      </c>
      <c r="V3045">
        <v>-0.1307449</v>
      </c>
      <c r="W3045">
        <v>0.19511410000000001</v>
      </c>
      <c r="X3045">
        <v>0.97202690000000003</v>
      </c>
      <c r="Y3045">
        <v>-3.045983E-2</v>
      </c>
      <c r="Z3045">
        <v>7.8541080000000003E-3</v>
      </c>
      <c r="AA3045">
        <v>0.99950519999999998</v>
      </c>
      <c r="AB3045">
        <v>26</v>
      </c>
      <c r="AC3045">
        <v>2.0983999999999599</v>
      </c>
      <c r="AD3045">
        <v>-1.110799433455</v>
      </c>
      <c r="AE3045">
        <v>-57.506300000000003</v>
      </c>
      <c r="AF3045">
        <v>-1.75672254151094</v>
      </c>
      <c r="AG3045">
        <v>-1.110799433455</v>
      </c>
      <c r="AH3045">
        <v>57.496307498855799</v>
      </c>
      <c r="AI3045">
        <v>91.106271530446406</v>
      </c>
      <c r="AJ3045">
        <v>91.7500512406193</v>
      </c>
      <c r="AK3045">
        <v>57.533862424420903</v>
      </c>
      <c r="AL3045">
        <v>78.748611128678803</v>
      </c>
      <c r="AM3045">
        <v>97.660732384438802</v>
      </c>
      <c r="AN3045">
        <v>1.0000000176092101</v>
      </c>
    </row>
    <row r="3046" spans="1:40" x14ac:dyDescent="0.25">
      <c r="A3046" t="str">
        <f>"20190304155652042"</f>
        <v>20190304155652042</v>
      </c>
      <c r="B3046" t="str">
        <f>"1551686212037599"</f>
        <v>1551686212037599</v>
      </c>
      <c r="C3046" t="s">
        <v>40</v>
      </c>
      <c r="D3046">
        <v>4.4804500000000003</v>
      </c>
      <c r="E3046">
        <v>0.53719280000000003</v>
      </c>
      <c r="F3046" t="s">
        <v>41</v>
      </c>
      <c r="G3046">
        <v>-490.34219999999999</v>
      </c>
      <c r="H3046" s="1">
        <v>-2.932081E-6</v>
      </c>
      <c r="I3046">
        <v>186.2116</v>
      </c>
      <c r="J3046">
        <v>-492.43270000000001</v>
      </c>
      <c r="K3046">
        <v>1.110825</v>
      </c>
      <c r="L3046">
        <v>242.35560000000001</v>
      </c>
      <c r="M3046">
        <v>6.7193950000000004E-3</v>
      </c>
      <c r="N3046">
        <v>-1.139807E-2</v>
      </c>
      <c r="O3046">
        <v>-0.99991269999999999</v>
      </c>
      <c r="P3046">
        <v>0.1371194</v>
      </c>
      <c r="Q3046">
        <v>0.1840319</v>
      </c>
      <c r="R3046">
        <v>-0.9733096</v>
      </c>
      <c r="S3046">
        <v>0.1142883</v>
      </c>
      <c r="T3046">
        <v>-6.0666919999999999E-2</v>
      </c>
      <c r="U3046">
        <v>-3.0774539999999999</v>
      </c>
      <c r="V3046">
        <v>-0.13090860000000001</v>
      </c>
      <c r="W3046">
        <v>0.1949013</v>
      </c>
      <c r="X3046">
        <v>0.97204760000000001</v>
      </c>
      <c r="Y3046">
        <v>-3.0389019999999999E-2</v>
      </c>
      <c r="Z3046">
        <v>8.3018009999999993E-3</v>
      </c>
      <c r="AA3046">
        <v>0.99950369999999999</v>
      </c>
      <c r="AB3046">
        <v>26</v>
      </c>
      <c r="AC3046">
        <v>2.09050000000002</v>
      </c>
      <c r="AD3046">
        <v>-1.1108279320809999</v>
      </c>
      <c r="AE3046">
        <v>-56.143999999999998</v>
      </c>
      <c r="AF3046">
        <v>-1.712505220158</v>
      </c>
      <c r="AG3046">
        <v>-1.1108279320809999</v>
      </c>
      <c r="AH3046">
        <v>56.134836074246998</v>
      </c>
      <c r="AI3046">
        <v>91.133126352061296</v>
      </c>
      <c r="AJ3046">
        <v>91.747380169418605</v>
      </c>
      <c r="AK3046">
        <v>56.171936355321897</v>
      </c>
      <c r="AL3046">
        <v>78.761042782069396</v>
      </c>
      <c r="AM3046">
        <v>97.670048542857401</v>
      </c>
      <c r="AN3046">
        <v>1.0000000574807</v>
      </c>
    </row>
    <row r="3047" spans="1:40" x14ac:dyDescent="0.25">
      <c r="A3047" t="str">
        <f>"20190304155652064"</f>
        <v>20190304155652064</v>
      </c>
      <c r="B3047" t="str">
        <f>"1551686212057118"</f>
        <v>1551686212057118</v>
      </c>
      <c r="C3047" t="s">
        <v>40</v>
      </c>
      <c r="D3047">
        <v>4.4298390000000003</v>
      </c>
      <c r="E3047">
        <v>0.5373791</v>
      </c>
      <c r="F3047" t="s">
        <v>41</v>
      </c>
      <c r="G3047">
        <v>-490.43790000000001</v>
      </c>
      <c r="H3047" s="1">
        <v>-4.1652219999999997E-6</v>
      </c>
      <c r="I3047">
        <v>189.02680000000001</v>
      </c>
      <c r="J3047">
        <v>-492.42970000000003</v>
      </c>
      <c r="K3047">
        <v>1.110859</v>
      </c>
      <c r="L3047">
        <v>242.09010000000001</v>
      </c>
      <c r="M3047">
        <v>7.7923799999999998E-3</v>
      </c>
      <c r="N3047">
        <v>-1.1399650000000001E-2</v>
      </c>
      <c r="O3047">
        <v>-0.99990480000000004</v>
      </c>
      <c r="P3047">
        <v>0.1385152</v>
      </c>
      <c r="Q3047">
        <v>0.1834895</v>
      </c>
      <c r="R3047">
        <v>-0.97321429999999998</v>
      </c>
      <c r="S3047">
        <v>0.1151428</v>
      </c>
      <c r="T3047">
        <v>-6.4116720000000002E-2</v>
      </c>
      <c r="U3047">
        <v>-3.078125</v>
      </c>
      <c r="V3047">
        <v>-0.13127449999999999</v>
      </c>
      <c r="W3047">
        <v>0.19434940000000001</v>
      </c>
      <c r="X3047">
        <v>0.97210870000000005</v>
      </c>
      <c r="Y3047">
        <v>-2.9585E-2</v>
      </c>
      <c r="Z3047">
        <v>9.4156259999999999E-3</v>
      </c>
      <c r="AA3047">
        <v>0.99951789999999996</v>
      </c>
      <c r="AB3047">
        <v>26</v>
      </c>
      <c r="AC3047">
        <v>1.99180000000001</v>
      </c>
      <c r="AD3047">
        <v>-1.110863165222</v>
      </c>
      <c r="AE3047">
        <v>-53.063299999999998</v>
      </c>
      <c r="AF3047">
        <v>-1.5775329121395001</v>
      </c>
      <c r="AG3047">
        <v>-1.110863165222</v>
      </c>
      <c r="AH3047">
        <v>53.053991832222202</v>
      </c>
      <c r="AI3047">
        <v>91.198974178437197</v>
      </c>
      <c r="AJ3047">
        <v>91.703158442494399</v>
      </c>
      <c r="AK3047">
        <v>53.089063623256997</v>
      </c>
      <c r="AL3047">
        <v>78.7932801819329</v>
      </c>
      <c r="AM3047">
        <v>97.690753045879006</v>
      </c>
      <c r="AN3047">
        <v>1.00000000412315</v>
      </c>
    </row>
    <row r="3048" spans="1:40" x14ac:dyDescent="0.25">
      <c r="A3048" t="str">
        <f>"20190304155652077"</f>
        <v>20190304155652077</v>
      </c>
      <c r="B3048" t="str">
        <f>"1551686212067855"</f>
        <v>1551686212067855</v>
      </c>
      <c r="C3048" t="s">
        <v>40</v>
      </c>
      <c r="D3048">
        <v>4.5291569999999997</v>
      </c>
      <c r="E3048">
        <v>0.53721660000000004</v>
      </c>
      <c r="F3048" t="s">
        <v>41</v>
      </c>
      <c r="G3048">
        <v>-490.49279999999999</v>
      </c>
      <c r="H3048" s="1">
        <v>-1.021894E-6</v>
      </c>
      <c r="I3048">
        <v>191.66550000000001</v>
      </c>
      <c r="J3048">
        <v>-492.428</v>
      </c>
      <c r="K3048">
        <v>1.1108720000000001</v>
      </c>
      <c r="L3048">
        <v>241.9435</v>
      </c>
      <c r="M3048">
        <v>8.4111169999999992E-3</v>
      </c>
      <c r="N3048">
        <v>-1.140057E-2</v>
      </c>
      <c r="O3048">
        <v>-0.99989980000000001</v>
      </c>
      <c r="P3048">
        <v>0.13907069999999999</v>
      </c>
      <c r="Q3048">
        <v>0.18336179999999999</v>
      </c>
      <c r="R3048">
        <v>-0.97315870000000004</v>
      </c>
      <c r="S3048">
        <v>0.1182556</v>
      </c>
      <c r="T3048">
        <v>-6.7820549999999993E-2</v>
      </c>
      <c r="U3048">
        <v>-3.0785369999999999</v>
      </c>
      <c r="V3048">
        <v>-0.131237299999999</v>
      </c>
      <c r="W3048">
        <v>0.19421659999999999</v>
      </c>
      <c r="X3048">
        <v>0.97214029999999996</v>
      </c>
      <c r="Y3048">
        <v>-2.9969929999999999E-2</v>
      </c>
      <c r="Z3048">
        <v>1.061315E-2</v>
      </c>
      <c r="AA3048">
        <v>0.99949440000000001</v>
      </c>
      <c r="AB3048">
        <v>26</v>
      </c>
      <c r="AC3048">
        <v>1.93520000000006</v>
      </c>
      <c r="AD3048">
        <v>-1.1108730218939999</v>
      </c>
      <c r="AE3048">
        <v>-50.277999999999899</v>
      </c>
      <c r="AF3048">
        <v>-1.5114732120122301</v>
      </c>
      <c r="AG3048">
        <v>-1.1108730218939999</v>
      </c>
      <c r="AH3048">
        <v>50.267996354060202</v>
      </c>
      <c r="AI3048">
        <v>91.265402310657905</v>
      </c>
      <c r="AJ3048">
        <v>91.722267796213401</v>
      </c>
      <c r="AK3048">
        <v>50.302982492027397</v>
      </c>
      <c r="AL3048">
        <v>78.801037265105293</v>
      </c>
      <c r="AM3048">
        <v>97.688352813061201</v>
      </c>
      <c r="AN3048">
        <v>1.00000003975546</v>
      </c>
    </row>
    <row r="3049" spans="1:40" x14ac:dyDescent="0.25">
      <c r="A3049" t="str">
        <f>"20190304155652090"</f>
        <v>20190304155652090</v>
      </c>
      <c r="B3049" t="str">
        <f>"1551686212087375"</f>
        <v>1551686212087375</v>
      </c>
      <c r="C3049" t="s">
        <v>40</v>
      </c>
      <c r="D3049">
        <v>4.3942459999999999</v>
      </c>
      <c r="E3049">
        <v>0.53756550000000003</v>
      </c>
      <c r="F3049" t="s">
        <v>41</v>
      </c>
      <c r="G3049">
        <v>-490.47140000000002</v>
      </c>
      <c r="H3049" s="1">
        <v>-1.3336119999999999E-6</v>
      </c>
      <c r="I3049">
        <v>192.40539999999999</v>
      </c>
      <c r="J3049">
        <v>-492.42610000000002</v>
      </c>
      <c r="K3049">
        <v>1.110892</v>
      </c>
      <c r="L3049">
        <v>241.79409999999999</v>
      </c>
      <c r="M3049">
        <v>9.0545739999999993E-3</v>
      </c>
      <c r="N3049">
        <v>-1.140153E-2</v>
      </c>
      <c r="O3049">
        <v>-0.99989410000000001</v>
      </c>
      <c r="P3049">
        <v>0.13989699999999999</v>
      </c>
      <c r="Q3049">
        <v>0.1833156</v>
      </c>
      <c r="R3049">
        <v>-0.97304900000000005</v>
      </c>
      <c r="S3049">
        <v>0.121582</v>
      </c>
      <c r="T3049">
        <v>-6.9030880000000003E-2</v>
      </c>
      <c r="U3049">
        <v>-3.078354</v>
      </c>
      <c r="V3049">
        <v>-0.1314477</v>
      </c>
      <c r="W3049">
        <v>0.19416369999999999</v>
      </c>
      <c r="X3049">
        <v>0.97212240000000005</v>
      </c>
      <c r="Y3049">
        <v>-3.040706E-2</v>
      </c>
      <c r="Z3049">
        <v>1.1005600000000001E-2</v>
      </c>
      <c r="AA3049">
        <v>0.99947699999999995</v>
      </c>
      <c r="AB3049">
        <v>26</v>
      </c>
      <c r="AC3049">
        <v>1.9547000000000001</v>
      </c>
      <c r="AD3049">
        <v>-1.1108933336119999</v>
      </c>
      <c r="AE3049">
        <v>-49.3887</v>
      </c>
      <c r="AF3049">
        <v>-1.50663613551825</v>
      </c>
      <c r="AG3049">
        <v>-1.1108933336119999</v>
      </c>
      <c r="AH3049">
        <v>49.379431833771598</v>
      </c>
      <c r="AI3049">
        <v>91.288171427685498</v>
      </c>
      <c r="AJ3049">
        <v>91.747632889690905</v>
      </c>
      <c r="AK3049">
        <v>49.4148998245428</v>
      </c>
      <c r="AL3049">
        <v>78.804126582516304</v>
      </c>
      <c r="AM3049">
        <v>97.700671112118897</v>
      </c>
      <c r="AN3049">
        <v>1.0000000004073699</v>
      </c>
    </row>
    <row r="3050" spans="1:40" x14ac:dyDescent="0.25">
      <c r="A3050" t="str">
        <f>"20190304155652104"</f>
        <v>20190304155652104</v>
      </c>
      <c r="B3050" t="str">
        <f>"1551686212097135"</f>
        <v>1551686212097135</v>
      </c>
      <c r="C3050" t="s">
        <v>40</v>
      </c>
      <c r="D3050">
        <v>4.383858</v>
      </c>
      <c r="E3050">
        <v>0.53771599999999997</v>
      </c>
      <c r="F3050" t="s">
        <v>41</v>
      </c>
      <c r="G3050">
        <v>-490.48880000000003</v>
      </c>
      <c r="H3050" s="1">
        <v>-1.448325E-6</v>
      </c>
      <c r="I3050">
        <v>192.66200000000001</v>
      </c>
      <c r="J3050">
        <v>-492.42360000000002</v>
      </c>
      <c r="K3050">
        <v>1.1109199999999999</v>
      </c>
      <c r="L3050">
        <v>241.61840000000001</v>
      </c>
      <c r="M3050">
        <v>9.8492969999999999E-3</v>
      </c>
      <c r="N3050">
        <v>-1.140277E-2</v>
      </c>
      <c r="O3050">
        <v>-0.99988670000000002</v>
      </c>
      <c r="P3050">
        <v>0.1409241</v>
      </c>
      <c r="Q3050">
        <v>0.1835241</v>
      </c>
      <c r="R3050">
        <v>-0.97286170000000005</v>
      </c>
      <c r="S3050">
        <v>0.1213989</v>
      </c>
      <c r="T3050">
        <v>-6.9612740000000006E-2</v>
      </c>
      <c r="U3050">
        <v>-3.0787960000000001</v>
      </c>
      <c r="V3050">
        <v>-0.13171640000000001</v>
      </c>
      <c r="W3050">
        <v>0.19436249999999999</v>
      </c>
      <c r="X3050">
        <v>0.97204630000000003</v>
      </c>
      <c r="Y3050">
        <v>-2.954764E-2</v>
      </c>
      <c r="Z3050">
        <v>1.119013E-2</v>
      </c>
      <c r="AA3050">
        <v>0.99950079999999997</v>
      </c>
      <c r="AB3050">
        <v>26</v>
      </c>
      <c r="AC3050">
        <v>1.9347999999999901</v>
      </c>
      <c r="AD3050">
        <v>-1.1109214483250001</v>
      </c>
      <c r="AE3050">
        <v>-48.956400000000002</v>
      </c>
      <c r="AF3050">
        <v>-1.45174239304187</v>
      </c>
      <c r="AG3050">
        <v>-1.1109214483250001</v>
      </c>
      <c r="AH3050">
        <v>48.947917272480403</v>
      </c>
      <c r="AI3050">
        <v>91.299589965618907</v>
      </c>
      <c r="AJ3050">
        <v>91.698832966370603</v>
      </c>
      <c r="AK3050">
        <v>48.982040665469299</v>
      </c>
      <c r="AL3050">
        <v>78.792514973948101</v>
      </c>
      <c r="AM3050">
        <v>97.716819865850596</v>
      </c>
      <c r="AN3050">
        <v>1.00000000038944</v>
      </c>
    </row>
    <row r="3051" spans="1:40" x14ac:dyDescent="0.25">
      <c r="A3051" t="str">
        <f>"20190304155652122"</f>
        <v>20190304155652122</v>
      </c>
      <c r="B3051" t="str">
        <f>"1551686212117630"</f>
        <v>1551686212117630</v>
      </c>
      <c r="C3051" t="s">
        <v>40</v>
      </c>
      <c r="D3051">
        <v>4.3340329999999998</v>
      </c>
      <c r="E3051">
        <v>0.53823449999999995</v>
      </c>
      <c r="F3051" t="s">
        <v>41</v>
      </c>
      <c r="G3051">
        <v>-490.43720000000002</v>
      </c>
      <c r="H3051" s="1">
        <v>-1.2033030000000001E-6</v>
      </c>
      <c r="I3051">
        <v>192.12289999999999</v>
      </c>
      <c r="J3051">
        <v>-492.42079999999999</v>
      </c>
      <c r="K3051">
        <v>1.1109530000000001</v>
      </c>
      <c r="L3051">
        <v>241.4255</v>
      </c>
      <c r="M3051">
        <v>1.07524E-2</v>
      </c>
      <c r="N3051">
        <v>-1.140423E-2</v>
      </c>
      <c r="O3051">
        <v>-0.99987729999999997</v>
      </c>
      <c r="P3051">
        <v>0.14192199999999999</v>
      </c>
      <c r="Q3051">
        <v>0.18385879999999999</v>
      </c>
      <c r="R3051">
        <v>-0.9726534</v>
      </c>
      <c r="S3051">
        <v>0.1235657</v>
      </c>
      <c r="T3051">
        <v>-6.9103960000000006E-2</v>
      </c>
      <c r="U3051">
        <v>-3.078827</v>
      </c>
      <c r="V3051">
        <v>-0.13185329999999901</v>
      </c>
      <c r="W3051">
        <v>0.19468659999999999</v>
      </c>
      <c r="X3051">
        <v>0.97196289999999996</v>
      </c>
      <c r="Y3051">
        <v>-2.9346859999999999E-2</v>
      </c>
      <c r="Z3051">
        <v>1.1023089999999999E-2</v>
      </c>
      <c r="AA3051">
        <v>0.99950850000000002</v>
      </c>
      <c r="AB3051">
        <v>26</v>
      </c>
      <c r="AC3051">
        <v>1.9835999999999601</v>
      </c>
      <c r="AD3051">
        <v>-1.110954203303</v>
      </c>
      <c r="AE3051">
        <v>-49.302599999999998</v>
      </c>
      <c r="AF3051">
        <v>-1.45259327208625</v>
      </c>
      <c r="AG3051">
        <v>-1.110954203303</v>
      </c>
      <c r="AH3051">
        <v>49.296089558425699</v>
      </c>
      <c r="AI3051">
        <v>91.290459592824007</v>
      </c>
      <c r="AJ3051">
        <v>91.687829373385</v>
      </c>
      <c r="AK3051">
        <v>49.329997893860401</v>
      </c>
      <c r="AL3051">
        <v>78.773584026742299</v>
      </c>
      <c r="AM3051">
        <v>97.725398408063995</v>
      </c>
      <c r="AN3051">
        <v>1.00000002195842</v>
      </c>
    </row>
    <row r="3052" spans="1:40" x14ac:dyDescent="0.25">
      <c r="A3052" t="str">
        <f>"20190304155652143"</f>
        <v>20190304155652143</v>
      </c>
      <c r="B3052" t="str">
        <f>"1551686212137151"</f>
        <v>1551686212137151</v>
      </c>
      <c r="C3052" t="s">
        <v>40</v>
      </c>
      <c r="D3052">
        <v>4.3786300000000002</v>
      </c>
      <c r="E3052">
        <v>0.53876029999999997</v>
      </c>
      <c r="F3052" t="s">
        <v>41</v>
      </c>
      <c r="G3052">
        <v>-490.40660000000003</v>
      </c>
      <c r="H3052" s="1">
        <v>-5.433954E-7</v>
      </c>
      <c r="I3052">
        <v>190.6036</v>
      </c>
      <c r="J3052">
        <v>-492.41649999999998</v>
      </c>
      <c r="K3052">
        <v>1.111011</v>
      </c>
      <c r="L3052">
        <v>241.16290000000001</v>
      </c>
      <c r="M3052">
        <v>1.2042219999999999E-2</v>
      </c>
      <c r="N3052">
        <v>-1.140624E-2</v>
      </c>
      <c r="O3052">
        <v>-0.99986249999999999</v>
      </c>
      <c r="P3052">
        <v>0.1433499</v>
      </c>
      <c r="Q3052">
        <v>0.18435389999999999</v>
      </c>
      <c r="R3052">
        <v>-0.97234989999999999</v>
      </c>
      <c r="S3052">
        <v>0.1220398</v>
      </c>
      <c r="T3052">
        <v>-6.7311759999999998E-2</v>
      </c>
      <c r="U3052">
        <v>-3.0792540000000002</v>
      </c>
      <c r="V3052">
        <v>-0.1320537</v>
      </c>
      <c r="W3052">
        <v>0.19516510000000001</v>
      </c>
      <c r="X3052">
        <v>0.97183969999999997</v>
      </c>
      <c r="Y3052">
        <v>-2.7558010000000001E-2</v>
      </c>
      <c r="Z3052">
        <v>1.043723E-2</v>
      </c>
      <c r="AA3052">
        <v>0.9995657</v>
      </c>
      <c r="AB3052">
        <v>26</v>
      </c>
      <c r="AC3052">
        <v>2.0098999999999498</v>
      </c>
      <c r="AD3052">
        <v>-1.1110115433954</v>
      </c>
      <c r="AE3052">
        <v>-50.5593</v>
      </c>
      <c r="AF3052">
        <v>-1.4001934086366901</v>
      </c>
      <c r="AG3052">
        <v>-1.1110115433954</v>
      </c>
      <c r="AH3052">
        <v>50.555465221455101</v>
      </c>
      <c r="AI3052">
        <v>91.258452249976102</v>
      </c>
      <c r="AJ3052">
        <v>91.586468819909797</v>
      </c>
      <c r="AK3052">
        <v>50.5870532052313</v>
      </c>
      <c r="AL3052">
        <v>78.745631557498299</v>
      </c>
      <c r="AM3052">
        <v>97.737966841464399</v>
      </c>
      <c r="AN3052">
        <v>0.99999999921889404</v>
      </c>
    </row>
    <row r="3053" spans="1:40" x14ac:dyDescent="0.25">
      <c r="A3053" t="str">
        <f>"20190304155652157"</f>
        <v>20190304155652157</v>
      </c>
      <c r="B3053" t="str">
        <f>"1551686212147887"</f>
        <v>1551686212147887</v>
      </c>
      <c r="C3053" t="s">
        <v>40</v>
      </c>
      <c r="D3053">
        <v>4.3329529999999998</v>
      </c>
      <c r="E3053">
        <v>0.53897259999999902</v>
      </c>
      <c r="F3053" t="s">
        <v>41</v>
      </c>
      <c r="G3053">
        <v>-490.32900000000001</v>
      </c>
      <c r="H3053" s="1">
        <v>-3.9046410000000003E-6</v>
      </c>
      <c r="I3053">
        <v>188.48679999999999</v>
      </c>
      <c r="J3053">
        <v>-492.41390000000001</v>
      </c>
      <c r="K3053">
        <v>1.111046</v>
      </c>
      <c r="L3053">
        <v>241.00890000000001</v>
      </c>
      <c r="M3053">
        <v>1.2838749999999999E-2</v>
      </c>
      <c r="N3053">
        <v>-1.1407509999999999E-2</v>
      </c>
      <c r="O3053">
        <v>-0.99985270000000004</v>
      </c>
      <c r="P3053">
        <v>0.14418599999999901</v>
      </c>
      <c r="Q3053">
        <v>0.1844037</v>
      </c>
      <c r="R3053">
        <v>-0.972217</v>
      </c>
      <c r="S3053">
        <v>0.1220398</v>
      </c>
      <c r="T3053">
        <v>-6.495368E-2</v>
      </c>
      <c r="U3053">
        <v>-3.0796199999999998</v>
      </c>
      <c r="V3053">
        <v>-0.13213139999999901</v>
      </c>
      <c r="W3053">
        <v>0.1952053</v>
      </c>
      <c r="X3053">
        <v>0.97182109999999999</v>
      </c>
      <c r="Y3053">
        <v>-2.675754E-2</v>
      </c>
      <c r="Z3053">
        <v>9.6686800000000007E-3</v>
      </c>
      <c r="AA3053">
        <v>0.99959520000000002</v>
      </c>
      <c r="AB3053">
        <v>26</v>
      </c>
      <c r="AC3053">
        <v>2.0849000000000002</v>
      </c>
      <c r="AD3053">
        <v>-1.1110499046410001</v>
      </c>
      <c r="AE3053">
        <v>-52.522100000000002</v>
      </c>
      <c r="AF3053">
        <v>-1.40973642972991</v>
      </c>
      <c r="AG3053">
        <v>-1.1110499046410001</v>
      </c>
      <c r="AH3053">
        <v>52.521074145828003</v>
      </c>
      <c r="AI3053">
        <v>91.211438819202002</v>
      </c>
      <c r="AJ3053">
        <v>91.537526787976304</v>
      </c>
      <c r="AK3053">
        <v>52.551736585230699</v>
      </c>
      <c r="AL3053">
        <v>78.743283485457894</v>
      </c>
      <c r="AM3053">
        <v>97.742611017263798</v>
      </c>
      <c r="AN3053">
        <v>1.0000000332096199</v>
      </c>
    </row>
    <row r="3054" spans="1:40" x14ac:dyDescent="0.25">
      <c r="A3054" t="str">
        <f>"20190304155652169"</f>
        <v>20190304155652169</v>
      </c>
      <c r="B3054" t="str">
        <f>"1551686212157649"</f>
        <v>1551686212157649</v>
      </c>
      <c r="C3054" t="s">
        <v>40</v>
      </c>
      <c r="D3054">
        <v>4.2812979999999996</v>
      </c>
      <c r="E3054">
        <v>0.53925249999999902</v>
      </c>
      <c r="F3054" t="s">
        <v>41</v>
      </c>
      <c r="G3054">
        <v>-490.29840000000002</v>
      </c>
      <c r="H3054" s="1">
        <v>-3.7074159999999999E-6</v>
      </c>
      <c r="I3054">
        <v>188.0461</v>
      </c>
      <c r="J3054">
        <v>-492.41120000000001</v>
      </c>
      <c r="K3054">
        <v>1.1110789999999999</v>
      </c>
      <c r="L3054">
        <v>240.8621</v>
      </c>
      <c r="M3054">
        <v>1.3616339999999999E-2</v>
      </c>
      <c r="N3054">
        <v>-1.140876E-2</v>
      </c>
      <c r="O3054">
        <v>-0.99984229999999996</v>
      </c>
      <c r="P3054">
        <v>0.145058299999999</v>
      </c>
      <c r="Q3054">
        <v>0.1845695</v>
      </c>
      <c r="R3054">
        <v>-0.97205600000000003</v>
      </c>
      <c r="S3054">
        <v>0.1230164</v>
      </c>
      <c r="T3054">
        <v>-6.4607020000000001E-2</v>
      </c>
      <c r="U3054">
        <v>-3.079758</v>
      </c>
      <c r="V3054">
        <v>-0.1322644</v>
      </c>
      <c r="W3054">
        <v>0.19536100000000001</v>
      </c>
      <c r="X3054">
        <v>0.97177170000000002</v>
      </c>
      <c r="Y3054">
        <v>-2.6294950000000001E-2</v>
      </c>
      <c r="Z3054">
        <v>9.5539300000000004E-3</v>
      </c>
      <c r="AA3054">
        <v>0.99960859999999996</v>
      </c>
      <c r="AB3054">
        <v>26</v>
      </c>
      <c r="AC3054">
        <v>2.1127999999999898</v>
      </c>
      <c r="AD3054">
        <v>-1.1110827074159999</v>
      </c>
      <c r="AE3054">
        <v>-52.816000000000003</v>
      </c>
      <c r="AF3054">
        <v>-1.3927813613276001</v>
      </c>
      <c r="AG3054">
        <v>-1.1110827074159999</v>
      </c>
      <c r="AH3054">
        <v>52.816536858829501</v>
      </c>
      <c r="AI3054">
        <v>91.2047145155462</v>
      </c>
      <c r="AJ3054">
        <v>91.5105497039509</v>
      </c>
      <c r="AK3054">
        <v>52.8465789854299</v>
      </c>
      <c r="AL3054">
        <v>78.7341871902169</v>
      </c>
      <c r="AM3054">
        <v>97.750699050362996</v>
      </c>
      <c r="AN3054">
        <v>1.0000000143746199</v>
      </c>
    </row>
    <row r="3055" spans="1:40" x14ac:dyDescent="0.25">
      <c r="A3055" t="str">
        <f>"20190304155652187"</f>
        <v>20190304155652187</v>
      </c>
      <c r="B3055" t="str">
        <f>"1551686212177167"</f>
        <v>1551686212177167</v>
      </c>
      <c r="C3055" t="s">
        <v>40</v>
      </c>
      <c r="D3055">
        <v>4.3076679999999996</v>
      </c>
      <c r="E3055">
        <v>0.53982019999999997</v>
      </c>
      <c r="F3055" t="s">
        <v>41</v>
      </c>
      <c r="G3055">
        <v>-490.26389999999998</v>
      </c>
      <c r="H3055" s="1">
        <v>-3.366237E-6</v>
      </c>
      <c r="I3055">
        <v>187.2722</v>
      </c>
      <c r="J3055">
        <v>-492.40719999999999</v>
      </c>
      <c r="K3055">
        <v>1.1111310000000001</v>
      </c>
      <c r="L3055">
        <v>240.6557</v>
      </c>
      <c r="M3055">
        <v>1.477643E-2</v>
      </c>
      <c r="N3055">
        <v>-1.1410679999999999E-2</v>
      </c>
      <c r="O3055">
        <v>-0.99982570000000004</v>
      </c>
      <c r="P3055">
        <v>0.146925</v>
      </c>
      <c r="Q3055">
        <v>0.18472440000000001</v>
      </c>
      <c r="R3055">
        <v>-0.97174579999999999</v>
      </c>
      <c r="S3055">
        <v>0.1234131</v>
      </c>
      <c r="T3055">
        <v>-6.3856960000000004E-2</v>
      </c>
      <c r="U3055">
        <v>-3.0799560000000001</v>
      </c>
      <c r="V3055">
        <v>-0.13303029999999999</v>
      </c>
      <c r="W3055">
        <v>0.19549800000000001</v>
      </c>
      <c r="X3055">
        <v>0.97163960000000005</v>
      </c>
      <c r="Y3055">
        <v>-2.526134E-2</v>
      </c>
      <c r="Z3055">
        <v>9.3074049999999995E-3</v>
      </c>
      <c r="AA3055">
        <v>0.99963749999999996</v>
      </c>
      <c r="AB3055">
        <v>26</v>
      </c>
      <c r="AC3055">
        <v>2.1433000000000102</v>
      </c>
      <c r="AD3055">
        <v>-1.1111343662369999</v>
      </c>
      <c r="AE3055">
        <v>-53.383499999999998</v>
      </c>
      <c r="AF3055">
        <v>-1.35361156899383</v>
      </c>
      <c r="AG3055">
        <v>-1.1111343662369999</v>
      </c>
      <c r="AH3055">
        <v>53.386252020717201</v>
      </c>
      <c r="AI3055">
        <v>91.191948709026903</v>
      </c>
      <c r="AJ3055">
        <v>91.452426677630001</v>
      </c>
      <c r="AK3055">
        <v>53.414967833736299</v>
      </c>
      <c r="AL3055">
        <v>78.726183406262393</v>
      </c>
      <c r="AM3055">
        <v>97.796077351721806</v>
      </c>
      <c r="AN3055">
        <v>1.00000002050512</v>
      </c>
    </row>
    <row r="3056" spans="1:40" x14ac:dyDescent="0.25">
      <c r="A3056" t="str">
        <f>"20190304155652200"</f>
        <v>20190304155652200</v>
      </c>
      <c r="B3056" t="str">
        <f>"1551686212197663"</f>
        <v>1551686212197663</v>
      </c>
      <c r="C3056" t="s">
        <v>40</v>
      </c>
      <c r="D3056">
        <v>4.337917</v>
      </c>
      <c r="E3056">
        <v>0.5399526</v>
      </c>
      <c r="F3056" t="s">
        <v>41</v>
      </c>
      <c r="G3056">
        <v>-490.20690000000002</v>
      </c>
      <c r="H3056" s="1">
        <v>-2.9119640000000001E-6</v>
      </c>
      <c r="I3056">
        <v>186.24870000000001</v>
      </c>
      <c r="J3056">
        <v>-492.404</v>
      </c>
      <c r="K3056">
        <v>1.111173</v>
      </c>
      <c r="L3056">
        <v>240.50739999999999</v>
      </c>
      <c r="M3056">
        <v>1.5655780000000001E-2</v>
      </c>
      <c r="N3056">
        <v>-1.1412250000000001E-2</v>
      </c>
      <c r="O3056">
        <v>-0.99981249999999999</v>
      </c>
      <c r="P3056">
        <v>0.148085299999999</v>
      </c>
      <c r="Q3056">
        <v>0.1849536</v>
      </c>
      <c r="R3056">
        <v>-0.97152620000000001</v>
      </c>
      <c r="S3056">
        <v>0.1245728</v>
      </c>
      <c r="T3056">
        <v>-6.2908530000000004E-2</v>
      </c>
      <c r="U3056">
        <v>-3.0803379999999998</v>
      </c>
      <c r="V3056">
        <v>-0.133358</v>
      </c>
      <c r="W3056">
        <v>0.1957131</v>
      </c>
      <c r="X3056">
        <v>0.97155139999999995</v>
      </c>
      <c r="Y3056">
        <v>-2.475314E-2</v>
      </c>
      <c r="Z3056">
        <v>8.9955469999999996E-3</v>
      </c>
      <c r="AA3056">
        <v>0.99965309999999996</v>
      </c>
      <c r="AB3056">
        <v>26</v>
      </c>
      <c r="AC3056">
        <v>2.1970999999999701</v>
      </c>
      <c r="AD3056">
        <v>-1.1111759119639999</v>
      </c>
      <c r="AE3056">
        <v>-54.258699999999898</v>
      </c>
      <c r="AF3056">
        <v>-1.3467493582596699</v>
      </c>
      <c r="AG3056">
        <v>-1.1111759119639999</v>
      </c>
      <c r="AH3056">
        <v>54.263727908721798</v>
      </c>
      <c r="AI3056">
        <v>91.172739238278297</v>
      </c>
      <c r="AJ3056">
        <v>91.421708753387705</v>
      </c>
      <c r="AK3056">
        <v>54.291809808598998</v>
      </c>
      <c r="AL3056">
        <v>78.713616638961796</v>
      </c>
      <c r="AM3056">
        <v>97.815745487970702</v>
      </c>
      <c r="AN3056">
        <v>1.0000000482587801</v>
      </c>
    </row>
    <row r="3057" spans="1:40" x14ac:dyDescent="0.25">
      <c r="A3057" t="str">
        <f>"20190304155652222"</f>
        <v>20190304155652222</v>
      </c>
      <c r="B3057" t="str">
        <f>"1551686212217183"</f>
        <v>1551686212217183</v>
      </c>
      <c r="C3057" t="s">
        <v>40</v>
      </c>
      <c r="D3057">
        <v>4.2730579999999998</v>
      </c>
      <c r="E3057">
        <v>0.51075150000000002</v>
      </c>
      <c r="F3057" t="s">
        <v>41</v>
      </c>
      <c r="G3057">
        <v>-490.12540000000001</v>
      </c>
      <c r="H3057" s="1">
        <v>-2.5346440000000002E-6</v>
      </c>
      <c r="I3057">
        <v>185.4196</v>
      </c>
      <c r="J3057">
        <v>-492.3981</v>
      </c>
      <c r="K3057">
        <v>1.1112580000000001</v>
      </c>
      <c r="L3057">
        <v>240.24449999999999</v>
      </c>
      <c r="M3057">
        <v>1.7295310000000001E-2</v>
      </c>
      <c r="N3057">
        <v>-1.141549E-2</v>
      </c>
      <c r="O3057">
        <v>-0.99978540000000005</v>
      </c>
      <c r="P3057">
        <v>0.1503958</v>
      </c>
      <c r="Q3057">
        <v>0.18503929999999999</v>
      </c>
      <c r="R3057">
        <v>-0.9711552</v>
      </c>
      <c r="S3057">
        <v>0.12741089999999999</v>
      </c>
      <c r="T3057">
        <v>-6.2134149999999999E-2</v>
      </c>
      <c r="U3057">
        <v>-3.080368</v>
      </c>
      <c r="V3057">
        <v>-0.1341157</v>
      </c>
      <c r="W3057">
        <v>0.19577249999999999</v>
      </c>
      <c r="X3057">
        <v>0.9714351</v>
      </c>
      <c r="Y3057">
        <v>-2.4033140000000001E-2</v>
      </c>
      <c r="Z3057">
        <v>8.7404660000000006E-3</v>
      </c>
      <c r="AA3057">
        <v>0.99967289999999998</v>
      </c>
      <c r="AB3057">
        <v>26</v>
      </c>
      <c r="AC3057">
        <v>2.27269999999998</v>
      </c>
      <c r="AD3057">
        <v>-1.1112605346439901</v>
      </c>
      <c r="AE3057">
        <v>-54.8248999999999</v>
      </c>
      <c r="AF3057">
        <v>-1.3235418876660101</v>
      </c>
      <c r="AG3057">
        <v>-1.1112605346439901</v>
      </c>
      <c r="AH3057">
        <v>54.833518771177502</v>
      </c>
      <c r="AI3057">
        <v>91.160664011621407</v>
      </c>
      <c r="AJ3057">
        <v>91.382706121151998</v>
      </c>
      <c r="AK3057">
        <v>54.860745929428802</v>
      </c>
      <c r="AL3057">
        <v>78.7101458463803</v>
      </c>
      <c r="AM3057">
        <v>97.860527943543104</v>
      </c>
      <c r="AN3057">
        <v>1.00000002312737</v>
      </c>
    </row>
    <row r="3058" spans="1:40" x14ac:dyDescent="0.25">
      <c r="A3058" t="str">
        <f>"20190304155652234"</f>
        <v>20190304155652234</v>
      </c>
      <c r="B3058" t="str">
        <f>"1551686212227919"</f>
        <v>1551686212227919</v>
      </c>
      <c r="C3058" t="s">
        <v>40</v>
      </c>
      <c r="D3058">
        <v>4.2502000000000004</v>
      </c>
      <c r="E3058">
        <v>0.50373020000000002</v>
      </c>
      <c r="F3058" t="s">
        <v>53</v>
      </c>
      <c r="G3058">
        <v>-487.6585</v>
      </c>
      <c r="H3058" s="1">
        <v>1.421843E-7</v>
      </c>
      <c r="I3058">
        <v>200.6902</v>
      </c>
      <c r="J3058">
        <v>-492.39460000000003</v>
      </c>
      <c r="K3058">
        <v>1.111305</v>
      </c>
      <c r="L3058">
        <v>240.0993</v>
      </c>
      <c r="M3058">
        <v>1.8251199999999999E-2</v>
      </c>
      <c r="N3058">
        <v>-1.141752E-2</v>
      </c>
      <c r="O3058">
        <v>-0.99976830000000005</v>
      </c>
      <c r="P3058">
        <v>0.1517395</v>
      </c>
      <c r="Q3058">
        <v>0.1851102</v>
      </c>
      <c r="R3058">
        <v>-0.97093249999999998</v>
      </c>
      <c r="S3058">
        <v>0.36532589999999998</v>
      </c>
      <c r="T3058">
        <v>-8.5656049999999997E-2</v>
      </c>
      <c r="U3058">
        <v>-3.0488590000000002</v>
      </c>
      <c r="V3058">
        <v>-0.1345556</v>
      </c>
      <c r="W3058">
        <v>0.19582820000000001</v>
      </c>
      <c r="X3058">
        <v>0.97136299999999998</v>
      </c>
      <c r="Y3058">
        <v>-0.10079150000000001</v>
      </c>
      <c r="Z3058">
        <v>1.6502699999999999E-2</v>
      </c>
      <c r="AA3058">
        <v>0.99477070000000001</v>
      </c>
      <c r="AB3058">
        <v>26</v>
      </c>
      <c r="AC3058">
        <v>4.73610000000002</v>
      </c>
      <c r="AD3058">
        <v>-1.1113048578157001</v>
      </c>
      <c r="AE3058">
        <v>-39.409100000000002</v>
      </c>
      <c r="AF3058">
        <v>-4.0128552401873403</v>
      </c>
      <c r="AG3058">
        <v>-1.1113048578157001</v>
      </c>
      <c r="AH3058">
        <v>39.458049914837702</v>
      </c>
      <c r="AI3058">
        <v>91.6049896916943</v>
      </c>
      <c r="AJ3058">
        <v>95.806974389221594</v>
      </c>
      <c r="AK3058">
        <v>39.677143404578999</v>
      </c>
      <c r="AL3058">
        <v>78.706891049776701</v>
      </c>
      <c r="AM3058">
        <v>97.8865646197507</v>
      </c>
      <c r="AN3058">
        <v>0.99999998558779901</v>
      </c>
    </row>
    <row r="3059" spans="1:40" x14ac:dyDescent="0.25">
      <c r="A3059" t="str">
        <f>"20190304155652247"</f>
        <v>20190304155652247</v>
      </c>
      <c r="B3059" t="str">
        <f>"1551686212237679"</f>
        <v>1551686212237679</v>
      </c>
      <c r="C3059" t="s">
        <v>40</v>
      </c>
      <c r="D3059">
        <v>4.2361050000000002</v>
      </c>
      <c r="E3059">
        <v>0.50023419999999996</v>
      </c>
      <c r="F3059" t="s">
        <v>41</v>
      </c>
      <c r="G3059">
        <v>-486.52080000000001</v>
      </c>
      <c r="H3059" s="1">
        <v>-4.2539470000000003E-6</v>
      </c>
      <c r="I3059">
        <v>198.1103</v>
      </c>
      <c r="J3059">
        <v>-492.39100000000002</v>
      </c>
      <c r="K3059">
        <v>1.111356</v>
      </c>
      <c r="L3059">
        <v>239.95599999999999</v>
      </c>
      <c r="M3059">
        <v>1.922894E-2</v>
      </c>
      <c r="N3059">
        <v>-1.141964E-2</v>
      </c>
      <c r="O3059">
        <v>-0.99975000000000003</v>
      </c>
      <c r="P3059">
        <v>0.15335589999999999</v>
      </c>
      <c r="Q3059">
        <v>0.1851034</v>
      </c>
      <c r="R3059">
        <v>-0.97067990000000004</v>
      </c>
      <c r="S3059">
        <v>0.42507929999999999</v>
      </c>
      <c r="T3059">
        <v>-8.0424549999999997E-2</v>
      </c>
      <c r="U3059">
        <v>-3.0387119999999999</v>
      </c>
      <c r="V3059">
        <v>-0.135247799999999</v>
      </c>
      <c r="W3059">
        <v>0.19580429999999999</v>
      </c>
      <c r="X3059">
        <v>0.97127169999999896</v>
      </c>
      <c r="Y3059">
        <v>-0.11942800000000001</v>
      </c>
      <c r="Z3059">
        <v>1.4825680000000001E-2</v>
      </c>
      <c r="AA3059">
        <v>0.99273219999999995</v>
      </c>
      <c r="AB3059">
        <v>26</v>
      </c>
      <c r="AC3059">
        <v>5.8701999999999499</v>
      </c>
      <c r="AD3059">
        <v>-1.111360253947</v>
      </c>
      <c r="AE3059">
        <v>-41.845700000000001</v>
      </c>
      <c r="AF3059">
        <v>-5.0609128132239798</v>
      </c>
      <c r="AG3059">
        <v>-1.111360253947</v>
      </c>
      <c r="AH3059">
        <v>41.921847950629498</v>
      </c>
      <c r="AI3059">
        <v>91.507630710798296</v>
      </c>
      <c r="AJ3059">
        <v>96.883581875699903</v>
      </c>
      <c r="AK3059">
        <v>42.240848662317397</v>
      </c>
      <c r="AL3059">
        <v>78.708287654636095</v>
      </c>
      <c r="AM3059">
        <v>97.927357033614598</v>
      </c>
      <c r="AN3059">
        <v>1.0000000032621099</v>
      </c>
    </row>
    <row r="3060" spans="1:40" x14ac:dyDescent="0.25">
      <c r="A3060" t="str">
        <f>"20190304155652266"</f>
        <v>20190304155652266</v>
      </c>
      <c r="B3060" t="str">
        <f>"1551686212257199"</f>
        <v>1551686212257199</v>
      </c>
      <c r="C3060" t="s">
        <v>40</v>
      </c>
      <c r="D3060">
        <v>4.2546099999999996</v>
      </c>
      <c r="E3060">
        <v>0.49702069999999998</v>
      </c>
      <c r="F3060" t="s">
        <v>41</v>
      </c>
      <c r="G3060">
        <v>-485.84089999999998</v>
      </c>
      <c r="H3060" s="1">
        <v>-3.6987740000000002E-6</v>
      </c>
      <c r="I3060">
        <v>196.535</v>
      </c>
      <c r="J3060">
        <v>-492.38479999999998</v>
      </c>
      <c r="K3060">
        <v>1.1114409999999999</v>
      </c>
      <c r="L3060">
        <v>239.72620000000001</v>
      </c>
      <c r="M3060">
        <v>2.0887510000000001E-2</v>
      </c>
      <c r="N3060">
        <v>-1.142319E-2</v>
      </c>
      <c r="O3060">
        <v>-0.99971670000000001</v>
      </c>
      <c r="P3060">
        <v>0.15617979999999901</v>
      </c>
      <c r="Q3060">
        <v>0.18508260000000001</v>
      </c>
      <c r="R3060">
        <v>-0.97023329999999997</v>
      </c>
      <c r="S3060">
        <v>0.45755000000000001</v>
      </c>
      <c r="T3060">
        <v>-7.7633140000000003E-2</v>
      </c>
      <c r="U3060">
        <v>-3.0331419999999998</v>
      </c>
      <c r="V3060">
        <v>-0.13650370000000001</v>
      </c>
      <c r="W3060">
        <v>0.19575429999999999</v>
      </c>
      <c r="X3060">
        <v>0.97110609999999997</v>
      </c>
      <c r="Y3060">
        <v>-0.12843360000000001</v>
      </c>
      <c r="Z3060">
        <v>1.392581E-2</v>
      </c>
      <c r="AA3060">
        <v>0.99162030000000001</v>
      </c>
      <c r="AB3060">
        <v>26</v>
      </c>
      <c r="AC3060">
        <v>6.5438999999999998</v>
      </c>
      <c r="AD3060">
        <v>-1.1114446987740001</v>
      </c>
      <c r="AE3060">
        <v>-43.191200000000002</v>
      </c>
      <c r="AF3060">
        <v>-5.6366080042980196</v>
      </c>
      <c r="AG3060">
        <v>-1.1114446987740001</v>
      </c>
      <c r="AH3060">
        <v>43.290447134718498</v>
      </c>
      <c r="AI3060">
        <v>91.458391522421294</v>
      </c>
      <c r="AJ3060">
        <v>97.418430157875406</v>
      </c>
      <c r="AK3060">
        <v>43.670006551824699</v>
      </c>
      <c r="AL3060">
        <v>78.711209303131497</v>
      </c>
      <c r="AM3060">
        <v>98.001367643806702</v>
      </c>
      <c r="AN3060">
        <v>1.00000003176969</v>
      </c>
    </row>
    <row r="3061" spans="1:40" x14ac:dyDescent="0.25">
      <c r="A3061" t="str">
        <f>"20190304155652279"</f>
        <v>20190304155652279</v>
      </c>
      <c r="B3061" t="str">
        <f>"1551686212267935"</f>
        <v>1551686212267935</v>
      </c>
      <c r="C3061" t="s">
        <v>40</v>
      </c>
      <c r="D3061">
        <v>4.2432129999999999</v>
      </c>
      <c r="E3061">
        <v>0.4961854</v>
      </c>
      <c r="F3061" t="s">
        <v>41</v>
      </c>
      <c r="G3061">
        <v>-485.37670000000003</v>
      </c>
      <c r="H3061" s="1">
        <v>-3.8019660000000001E-6</v>
      </c>
      <c r="I3061">
        <v>196.58359999999999</v>
      </c>
      <c r="J3061">
        <v>-492.38060000000002</v>
      </c>
      <c r="K3061">
        <v>1.111491</v>
      </c>
      <c r="L3061">
        <v>239.57830000000001</v>
      </c>
      <c r="M3061">
        <v>2.2022099999999999E-2</v>
      </c>
      <c r="N3061">
        <v>-1.1425670000000001E-2</v>
      </c>
      <c r="O3061">
        <v>-0.99969229999999998</v>
      </c>
      <c r="P3061">
        <v>0.1579776</v>
      </c>
      <c r="Q3061">
        <v>0.18481</v>
      </c>
      <c r="R3061">
        <v>-0.96999429999999998</v>
      </c>
      <c r="S3061">
        <v>0.49182130000000002</v>
      </c>
      <c r="T3061">
        <v>-7.8000310000000003E-2</v>
      </c>
      <c r="U3061">
        <v>-3.0277099999999999</v>
      </c>
      <c r="V3061">
        <v>-0.13722770000000001</v>
      </c>
      <c r="W3061">
        <v>0.19546250000000001</v>
      </c>
      <c r="X3061">
        <v>0.9710628</v>
      </c>
      <c r="Y3061">
        <v>-0.1385161</v>
      </c>
      <c r="Z3061">
        <v>1.4050099999999999E-2</v>
      </c>
      <c r="AA3061">
        <v>0.99026049999999999</v>
      </c>
      <c r="AB3061">
        <v>26</v>
      </c>
      <c r="AC3061">
        <v>7.0038999999999803</v>
      </c>
      <c r="AD3061">
        <v>-1.111494801966</v>
      </c>
      <c r="AE3061">
        <v>-42.994700000000002</v>
      </c>
      <c r="AF3061">
        <v>-6.0513662245338802</v>
      </c>
      <c r="AG3061">
        <v>-1.111494801966</v>
      </c>
      <c r="AH3061">
        <v>43.110455571409602</v>
      </c>
      <c r="AI3061">
        <v>91.462568358010003</v>
      </c>
      <c r="AJ3061">
        <v>97.990338139812195</v>
      </c>
      <c r="AK3061">
        <v>43.547282733285599</v>
      </c>
      <c r="AL3061">
        <v>78.728257139716803</v>
      </c>
      <c r="AM3061">
        <v>98.043606015611701</v>
      </c>
      <c r="AN3061">
        <v>0.99999999604868905</v>
      </c>
    </row>
    <row r="3062" spans="1:40" x14ac:dyDescent="0.25">
      <c r="A3062" t="str">
        <f>"20190304155652292"</f>
        <v>20190304155652292</v>
      </c>
      <c r="B3062" t="str">
        <f>"1551686212287455"</f>
        <v>1551686212287455</v>
      </c>
      <c r="C3062" t="s">
        <v>40</v>
      </c>
      <c r="D3062">
        <v>4.2399680000000002</v>
      </c>
      <c r="E3062">
        <v>0.49519940000000001</v>
      </c>
      <c r="F3062" t="s">
        <v>41</v>
      </c>
      <c r="G3062">
        <v>-485.39530000000002</v>
      </c>
      <c r="H3062" s="1">
        <v>-4.235785E-6</v>
      </c>
      <c r="I3062">
        <v>197.60249999999999</v>
      </c>
      <c r="J3062">
        <v>-492.37599999999998</v>
      </c>
      <c r="K3062">
        <v>1.1115520000000001</v>
      </c>
      <c r="L3062">
        <v>239.42689999999999</v>
      </c>
      <c r="M3062">
        <v>2.322051E-2</v>
      </c>
      <c r="N3062">
        <v>-1.1428290000000001E-2</v>
      </c>
      <c r="O3062">
        <v>-0.99966509999999997</v>
      </c>
      <c r="P3062">
        <v>0.1598463</v>
      </c>
      <c r="Q3062">
        <v>0.18469479999999999</v>
      </c>
      <c r="R3062">
        <v>-0.96970970000000001</v>
      </c>
      <c r="S3062">
        <v>0.50357059999999998</v>
      </c>
      <c r="T3062">
        <v>-8.0127950000000003E-2</v>
      </c>
      <c r="U3062">
        <v>-3.0260470000000002</v>
      </c>
      <c r="V3062">
        <v>-0.13796449999999999</v>
      </c>
      <c r="W3062">
        <v>0.1953259</v>
      </c>
      <c r="X3062">
        <v>0.97098589999999996</v>
      </c>
      <c r="Y3062">
        <v>-0.14115539999999999</v>
      </c>
      <c r="Z3062">
        <v>1.474313E-2</v>
      </c>
      <c r="AA3062">
        <v>0.98987760000000002</v>
      </c>
      <c r="AB3062">
        <v>26</v>
      </c>
      <c r="AC3062">
        <v>6.9806999999999499</v>
      </c>
      <c r="AD3062">
        <v>-1.111556235785</v>
      </c>
      <c r="AE3062">
        <v>-41.824399999999997</v>
      </c>
      <c r="AF3062">
        <v>-6.0034448108037601</v>
      </c>
      <c r="AG3062">
        <v>-1.111556235785</v>
      </c>
      <c r="AH3062">
        <v>41.946402569739199</v>
      </c>
      <c r="AI3062">
        <v>91.502646058238497</v>
      </c>
      <c r="AJ3062">
        <v>98.144962495342895</v>
      </c>
      <c r="AK3062">
        <v>42.388413457032101</v>
      </c>
      <c r="AL3062">
        <v>78.736237775217504</v>
      </c>
      <c r="AM3062">
        <v>98.086855811255404</v>
      </c>
      <c r="AN3062">
        <v>1.0000000142349299</v>
      </c>
    </row>
    <row r="3063" spans="1:40" x14ac:dyDescent="0.25">
      <c r="A3063" t="str">
        <f>"20190304155652312"</f>
        <v>20190304155652312</v>
      </c>
      <c r="B3063" t="str">
        <f>"1551686212307950"</f>
        <v>1551686212307950</v>
      </c>
      <c r="C3063" t="s">
        <v>40</v>
      </c>
      <c r="D3063">
        <v>4.2166410000000001</v>
      </c>
      <c r="E3063">
        <v>0.4947281</v>
      </c>
      <c r="F3063" t="s">
        <v>41</v>
      </c>
      <c r="G3063">
        <v>-485.2011</v>
      </c>
      <c r="H3063" s="1">
        <v>-4.2172159999999996E-6</v>
      </c>
      <c r="I3063">
        <v>197.47890000000001</v>
      </c>
      <c r="J3063">
        <v>-492.36849999999998</v>
      </c>
      <c r="K3063">
        <v>1.1116549999999901</v>
      </c>
      <c r="L3063">
        <v>239.19409999999999</v>
      </c>
      <c r="M3063">
        <v>2.5185099999999998E-2</v>
      </c>
      <c r="N3063">
        <v>-1.1432950000000001E-2</v>
      </c>
      <c r="O3063">
        <v>-0.99961750000000005</v>
      </c>
      <c r="P3063">
        <v>0.16328480000000001</v>
      </c>
      <c r="Q3063">
        <v>0.1847451</v>
      </c>
      <c r="R3063">
        <v>-0.96912710000000002</v>
      </c>
      <c r="S3063">
        <v>0.51718140000000001</v>
      </c>
      <c r="T3063">
        <v>-8.0123310000000003E-2</v>
      </c>
      <c r="U3063">
        <v>-3.0236969999999999</v>
      </c>
      <c r="V3063">
        <v>-0.13955200000000001</v>
      </c>
      <c r="W3063">
        <v>0.1953386</v>
      </c>
      <c r="X3063">
        <v>0.97075650000000002</v>
      </c>
      <c r="Y3063">
        <v>-0.14366579999999901</v>
      </c>
      <c r="Z3063">
        <v>1.474315E-2</v>
      </c>
      <c r="AA3063">
        <v>0.98951639999999996</v>
      </c>
      <c r="AB3063">
        <v>26</v>
      </c>
      <c r="AC3063">
        <v>7.1673999999999802</v>
      </c>
      <c r="AD3063">
        <v>-1.11165921721599</v>
      </c>
      <c r="AE3063">
        <v>-41.715199999999903</v>
      </c>
      <c r="AF3063">
        <v>-6.1102413567992002</v>
      </c>
      <c r="AG3063">
        <v>-1.11165921721599</v>
      </c>
      <c r="AH3063">
        <v>41.853619519639402</v>
      </c>
      <c r="AI3063">
        <v>91.505503689923003</v>
      </c>
      <c r="AJ3063">
        <v>98.305976330352394</v>
      </c>
      <c r="AK3063">
        <v>42.311893157223501</v>
      </c>
      <c r="AL3063">
        <v>78.735496301370404</v>
      </c>
      <c r="AM3063">
        <v>98.180562567290195</v>
      </c>
      <c r="AN3063">
        <v>1.0000000558230999</v>
      </c>
    </row>
    <row r="3064" spans="1:40" x14ac:dyDescent="0.25">
      <c r="A3064" t="str">
        <f>"20190304155652333"</f>
        <v>20190304155652333</v>
      </c>
      <c r="B3064" t="str">
        <f>"1551686212327470"</f>
        <v>1551686212327470</v>
      </c>
      <c r="C3064" t="s">
        <v>40</v>
      </c>
      <c r="D3064">
        <v>4.2673199999999998</v>
      </c>
      <c r="E3064">
        <v>0.49457410000000002</v>
      </c>
      <c r="F3064" t="s">
        <v>41</v>
      </c>
      <c r="G3064">
        <v>-484.93509999999998</v>
      </c>
      <c r="H3064" s="1">
        <v>-4.04835E-6</v>
      </c>
      <c r="I3064">
        <v>196.9753</v>
      </c>
      <c r="J3064">
        <v>-492.3596</v>
      </c>
      <c r="K3064">
        <v>1.1117649999999999</v>
      </c>
      <c r="L3064">
        <v>238.9392</v>
      </c>
      <c r="M3064">
        <v>2.74796E-2</v>
      </c>
      <c r="N3064">
        <v>-1.143858E-2</v>
      </c>
      <c r="O3064">
        <v>-0.99955700000000003</v>
      </c>
      <c r="P3064">
        <v>0.16745760000000001</v>
      </c>
      <c r="Q3064">
        <v>0.18451780000000001</v>
      </c>
      <c r="R3064">
        <v>-0.96845820000000005</v>
      </c>
      <c r="S3064">
        <v>0.53192139999999999</v>
      </c>
      <c r="T3064">
        <v>-7.9548480000000005E-2</v>
      </c>
      <c r="U3064">
        <v>-3.0211030000000001</v>
      </c>
      <c r="V3064">
        <v>-0.14156009999999999</v>
      </c>
      <c r="W3064">
        <v>0.19506780000000001</v>
      </c>
      <c r="X3064">
        <v>0.9705201</v>
      </c>
      <c r="Y3064">
        <v>-0.1462214</v>
      </c>
      <c r="Z3064">
        <v>1.4556960000000001E-2</v>
      </c>
      <c r="AA3064">
        <v>0.98914480000000005</v>
      </c>
      <c r="AB3064">
        <v>26</v>
      </c>
      <c r="AC3064">
        <v>7.4245000000000196</v>
      </c>
      <c r="AD3064">
        <v>-1.11176904834999</v>
      </c>
      <c r="AE3064">
        <v>-41.963900000000002</v>
      </c>
      <c r="AF3064">
        <v>-6.2642059284968701</v>
      </c>
      <c r="AG3064">
        <v>-1.11176904834999</v>
      </c>
      <c r="AH3064">
        <v>42.1234173369931</v>
      </c>
      <c r="AI3064">
        <v>91.495426679453203</v>
      </c>
      <c r="AJ3064">
        <v>98.458510124406502</v>
      </c>
      <c r="AK3064">
        <v>42.6011571964656</v>
      </c>
      <c r="AL3064">
        <v>78.751315540453106</v>
      </c>
      <c r="AM3064">
        <v>98.298643243143303</v>
      </c>
      <c r="AN3064">
        <v>0.99999998650642996</v>
      </c>
    </row>
    <row r="3065" spans="1:40" x14ac:dyDescent="0.25">
      <c r="A3065" t="str">
        <f>"20190304155652346"</f>
        <v>20190304155652346</v>
      </c>
      <c r="B3065" t="str">
        <f>"1551686212338207"</f>
        <v>1551686212338207</v>
      </c>
      <c r="C3065" t="s">
        <v>40</v>
      </c>
      <c r="D3065">
        <v>4.2444439999999997</v>
      </c>
      <c r="E3065">
        <v>0.4945524</v>
      </c>
      <c r="F3065" t="s">
        <v>41</v>
      </c>
      <c r="G3065">
        <v>-484.79610000000002</v>
      </c>
      <c r="H3065" s="1">
        <v>-4.1342449999999999E-6</v>
      </c>
      <c r="I3065">
        <v>197.1181</v>
      </c>
      <c r="J3065">
        <v>-492.35379999999998</v>
      </c>
      <c r="K3065">
        <v>1.1118269999999999</v>
      </c>
      <c r="L3065">
        <v>238.78299999999999</v>
      </c>
      <c r="M3065">
        <v>2.8949019999999999E-2</v>
      </c>
      <c r="N3065">
        <v>-1.144209E-2</v>
      </c>
      <c r="O3065">
        <v>-0.99951540000000005</v>
      </c>
      <c r="P3065">
        <v>0.16983110000000001</v>
      </c>
      <c r="Q3065">
        <v>0.1841672</v>
      </c>
      <c r="R3065">
        <v>-0.96811150000000001</v>
      </c>
      <c r="S3065">
        <v>0.545929</v>
      </c>
      <c r="T3065">
        <v>-8.0246570000000003E-2</v>
      </c>
      <c r="U3065">
        <v>-3.0186160000000002</v>
      </c>
      <c r="V3065">
        <v>-0.14254269999999999</v>
      </c>
      <c r="W3065">
        <v>0.19469320000000001</v>
      </c>
      <c r="X3065">
        <v>0.97045150000000002</v>
      </c>
      <c r="Y3065">
        <v>-0.1493524</v>
      </c>
      <c r="Z3065">
        <v>1.47863E-2</v>
      </c>
      <c r="AA3065">
        <v>0.98867340000000004</v>
      </c>
      <c r="AB3065">
        <v>26</v>
      </c>
      <c r="AC3065">
        <v>7.5576999999999499</v>
      </c>
      <c r="AD3065">
        <v>-1.111831134245</v>
      </c>
      <c r="AE3065">
        <v>-41.664899999999903</v>
      </c>
      <c r="AF3065">
        <v>-6.3439215257825499</v>
      </c>
      <c r="AG3065">
        <v>-1.111831134245</v>
      </c>
      <c r="AH3065">
        <v>41.837394736811</v>
      </c>
      <c r="AI3065">
        <v>91.505083845960101</v>
      </c>
      <c r="AJ3065">
        <v>98.622237847814404</v>
      </c>
      <c r="AK3065">
        <v>42.330238685366602</v>
      </c>
      <c r="AL3065">
        <v>78.773198118645496</v>
      </c>
      <c r="AM3065">
        <v>98.356017799975305</v>
      </c>
      <c r="AN3065">
        <v>0.99999998865088902</v>
      </c>
    </row>
    <row r="3066" spans="1:40" x14ac:dyDescent="0.25">
      <c r="A3066" t="str">
        <f>"20190304155652367"</f>
        <v>20190304155652367</v>
      </c>
      <c r="B3066" t="str">
        <f>"1551686212357730"</f>
        <v>1551686212357730</v>
      </c>
      <c r="C3066" t="s">
        <v>40</v>
      </c>
      <c r="D3066">
        <v>4.2794280000000002</v>
      </c>
      <c r="E3066">
        <v>0.49452059999999998</v>
      </c>
      <c r="F3066" t="s">
        <v>41</v>
      </c>
      <c r="G3066">
        <v>-484.73200000000003</v>
      </c>
      <c r="H3066" s="1">
        <v>-4.2025640000000001E-6</v>
      </c>
      <c r="I3066">
        <v>197.2508</v>
      </c>
      <c r="J3066">
        <v>-492.34440000000001</v>
      </c>
      <c r="K3066">
        <v>1.1119220000000001</v>
      </c>
      <c r="L3066">
        <v>238.54599999999999</v>
      </c>
      <c r="M3066">
        <v>3.1281870000000003E-2</v>
      </c>
      <c r="N3066">
        <v>-1.1447239999999999E-2</v>
      </c>
      <c r="O3066">
        <v>-0.99944529999999998</v>
      </c>
      <c r="P3066">
        <v>0.17464079999999901</v>
      </c>
      <c r="Q3066">
        <v>0.18429980000000001</v>
      </c>
      <c r="R3066">
        <v>-0.96723040000000005</v>
      </c>
      <c r="S3066">
        <v>0.55368039999999996</v>
      </c>
      <c r="T3066">
        <v>-8.0768229999999996E-2</v>
      </c>
      <c r="U3066">
        <v>-3.0170750000000002</v>
      </c>
      <c r="V3066">
        <v>-0.14515359999999999</v>
      </c>
      <c r="W3066">
        <v>0.1947816</v>
      </c>
      <c r="X3066">
        <v>0.97004670000000004</v>
      </c>
      <c r="Y3066">
        <v>-0.14959069999999999</v>
      </c>
      <c r="Z3066">
        <v>1.495819E-2</v>
      </c>
      <c r="AA3066">
        <v>0.98863480000000004</v>
      </c>
      <c r="AB3066">
        <v>26</v>
      </c>
      <c r="AC3066">
        <v>7.6124000000000303</v>
      </c>
      <c r="AD3066">
        <v>-1.11192620256399</v>
      </c>
      <c r="AE3066">
        <v>-41.295200000000001</v>
      </c>
      <c r="AF3066">
        <v>-6.3123724091410098</v>
      </c>
      <c r="AG3066">
        <v>-1.11192620256399</v>
      </c>
      <c r="AH3066">
        <v>41.484044764415401</v>
      </c>
      <c r="AI3066">
        <v>91.517907871727701</v>
      </c>
      <c r="AJ3066">
        <v>98.651978869384195</v>
      </c>
      <c r="AK3066">
        <v>41.976283724594403</v>
      </c>
      <c r="AL3066">
        <v>78.768034666445402</v>
      </c>
      <c r="AM3066">
        <v>98.510349990773307</v>
      </c>
      <c r="AN3066">
        <v>1.0000000197362</v>
      </c>
    </row>
    <row r="3067" spans="1:40" x14ac:dyDescent="0.25">
      <c r="A3067" t="str">
        <f>"20190304155652380"</f>
        <v>20190304155652380</v>
      </c>
      <c r="B3067" t="str">
        <f>"1551686212378223"</f>
        <v>1551686212378223</v>
      </c>
      <c r="C3067" t="s">
        <v>40</v>
      </c>
      <c r="D3067">
        <v>4.2929690000000003</v>
      </c>
      <c r="E3067">
        <v>0.49452119999999999</v>
      </c>
      <c r="F3067" t="s">
        <v>41</v>
      </c>
      <c r="G3067">
        <v>-484.47129999999999</v>
      </c>
      <c r="H3067" s="1">
        <v>-4.034567E-6</v>
      </c>
      <c r="I3067">
        <v>196.75139999999999</v>
      </c>
      <c r="J3067">
        <v>-492.33819999999997</v>
      </c>
      <c r="K3067">
        <v>1.111985</v>
      </c>
      <c r="L3067">
        <v>238.39789999999999</v>
      </c>
      <c r="M3067">
        <v>3.2825109999999998E-2</v>
      </c>
      <c r="N3067">
        <v>-1.145067E-2</v>
      </c>
      <c r="O3067">
        <v>-0.99939549999999999</v>
      </c>
      <c r="P3067">
        <v>0.1773082</v>
      </c>
      <c r="Q3067">
        <v>0.18436340000000001</v>
      </c>
      <c r="R3067">
        <v>-0.96673290000000001</v>
      </c>
      <c r="S3067">
        <v>0.56784060000000003</v>
      </c>
      <c r="T3067">
        <v>-8.0196379999999998E-2</v>
      </c>
      <c r="U3067">
        <v>-3.014389</v>
      </c>
      <c r="V3067">
        <v>-0.1463652</v>
      </c>
      <c r="W3067">
        <v>0.19481760000000001</v>
      </c>
      <c r="X3067">
        <v>0.96985739999999998</v>
      </c>
      <c r="Y3067">
        <v>-0.15270829999999999</v>
      </c>
      <c r="Z3067">
        <v>1.477418E-2</v>
      </c>
      <c r="AA3067">
        <v>0.98816079999999995</v>
      </c>
      <c r="AB3067">
        <v>26</v>
      </c>
      <c r="AC3067">
        <v>7.8668999999999798</v>
      </c>
      <c r="AD3067">
        <v>-1.111989034567</v>
      </c>
      <c r="AE3067">
        <v>-41.646500000000003</v>
      </c>
      <c r="AF3067">
        <v>-6.4910512627742296</v>
      </c>
      <c r="AG3067">
        <v>-1.111989034567</v>
      </c>
      <c r="AH3067">
        <v>41.853492605987903</v>
      </c>
      <c r="AI3067">
        <v>91.503939919518004</v>
      </c>
      <c r="AJ3067">
        <v>98.815759325002901</v>
      </c>
      <c r="AK3067">
        <v>42.368444736955396</v>
      </c>
      <c r="AL3067">
        <v>78.765931766246496</v>
      </c>
      <c r="AM3067">
        <v>98.581982818863693</v>
      </c>
      <c r="AN3067">
        <v>1.0000000226877701</v>
      </c>
    </row>
    <row r="3068" spans="1:40" x14ac:dyDescent="0.25">
      <c r="A3068" t="str">
        <f>"20190304155652392"</f>
        <v>20190304155652392</v>
      </c>
      <c r="B3068" t="str">
        <f>"1551686212387984"</f>
        <v>1551686212387984</v>
      </c>
      <c r="C3068" t="s">
        <v>40</v>
      </c>
      <c r="D3068">
        <v>4.3025330000000004</v>
      </c>
      <c r="E3068">
        <v>0.49468250000000002</v>
      </c>
      <c r="F3068" t="s">
        <v>41</v>
      </c>
      <c r="G3068">
        <v>-484.23180000000002</v>
      </c>
      <c r="H3068" s="1">
        <v>-3.7528479999999999E-6</v>
      </c>
      <c r="I3068">
        <v>195.9957</v>
      </c>
      <c r="J3068">
        <v>-492.33159999999998</v>
      </c>
      <c r="K3068">
        <v>1.112058</v>
      </c>
      <c r="L3068">
        <v>238.2458</v>
      </c>
      <c r="M3068">
        <v>3.445169E-2</v>
      </c>
      <c r="N3068">
        <v>-1.1454310000000001E-2</v>
      </c>
      <c r="O3068">
        <v>-0.99934100000000003</v>
      </c>
      <c r="P3068">
        <v>0.18014240000000001</v>
      </c>
      <c r="Q3068">
        <v>0.18418090000000001</v>
      </c>
      <c r="R3068">
        <v>-0.96624390000000004</v>
      </c>
      <c r="S3068">
        <v>0.57595830000000003</v>
      </c>
      <c r="T3068">
        <v>-7.900691E-2</v>
      </c>
      <c r="U3068">
        <v>-3.01268</v>
      </c>
      <c r="V3068">
        <v>-0.14766399999999999</v>
      </c>
      <c r="W3068">
        <v>0.19460659999999999</v>
      </c>
      <c r="X3068">
        <v>0.96970279999999998</v>
      </c>
      <c r="Y3068">
        <v>-0.15377289999999999</v>
      </c>
      <c r="Z3068">
        <v>1.438826E-2</v>
      </c>
      <c r="AA3068">
        <v>0.98800149999999998</v>
      </c>
      <c r="AB3068">
        <v>26</v>
      </c>
      <c r="AC3068">
        <v>8.0997999999999593</v>
      </c>
      <c r="AD3068">
        <v>-1.1120617528479999</v>
      </c>
      <c r="AE3068">
        <v>-42.250100000000003</v>
      </c>
      <c r="AF3068">
        <v>-6.6348749672577396</v>
      </c>
      <c r="AG3068">
        <v>-1.1120617528479999</v>
      </c>
      <c r="AH3068">
        <v>42.475701977674298</v>
      </c>
      <c r="AI3068">
        <v>91.481765279637401</v>
      </c>
      <c r="AJ3068">
        <v>98.878086886124805</v>
      </c>
      <c r="AK3068">
        <v>43.005156733460403</v>
      </c>
      <c r="AL3068">
        <v>78.778256284264003</v>
      </c>
      <c r="AM3068">
        <v>98.658347197261904</v>
      </c>
      <c r="AN3068">
        <v>0.99999995299369804</v>
      </c>
    </row>
    <row r="3069" spans="1:40" x14ac:dyDescent="0.25">
      <c r="A3069" t="str">
        <f>"20190304155652412"</f>
        <v>20190304155652412</v>
      </c>
      <c r="B3069" t="str">
        <f>"1551686212407503"</f>
        <v>1551686212407503</v>
      </c>
      <c r="C3069" t="s">
        <v>40</v>
      </c>
      <c r="D3069">
        <v>4.3232599999999897</v>
      </c>
      <c r="E3069">
        <v>0.49498639999999999</v>
      </c>
      <c r="F3069" t="s">
        <v>41</v>
      </c>
      <c r="G3069">
        <v>-484.22129999999999</v>
      </c>
      <c r="H3069" s="1">
        <v>-3.9145829999999999E-6</v>
      </c>
      <c r="I3069">
        <v>196.36840000000001</v>
      </c>
      <c r="J3069">
        <v>-492.32089999999999</v>
      </c>
      <c r="K3069">
        <v>1.112171</v>
      </c>
      <c r="L3069">
        <v>238.0162</v>
      </c>
      <c r="M3069">
        <v>3.7043039999999999E-2</v>
      </c>
      <c r="N3069">
        <v>-1.146079E-2</v>
      </c>
      <c r="O3069">
        <v>-0.99924809999999997</v>
      </c>
      <c r="P3069">
        <v>0.18510560000000001</v>
      </c>
      <c r="Q3069">
        <v>0.1839055</v>
      </c>
      <c r="R3069">
        <v>-0.96535749999999998</v>
      </c>
      <c r="S3069">
        <v>0.58319089999999996</v>
      </c>
      <c r="T3069">
        <v>-7.996607E-2</v>
      </c>
      <c r="U3069">
        <v>-3.0113219999999998</v>
      </c>
      <c r="V3069">
        <v>-0.1501884</v>
      </c>
      <c r="W3069">
        <v>0.1942806</v>
      </c>
      <c r="X3069">
        <v>0.96938049999999998</v>
      </c>
      <c r="Y3069">
        <v>-0.15357979999999999</v>
      </c>
      <c r="Z3069">
        <v>1.4700670000000001E-2</v>
      </c>
      <c r="AA3069">
        <v>0.98802690000000004</v>
      </c>
      <c r="AB3069">
        <v>26</v>
      </c>
      <c r="AC3069">
        <v>8.0996000000000095</v>
      </c>
      <c r="AD3069">
        <v>-1.112174914583</v>
      </c>
      <c r="AE3069">
        <v>-41.647799999999897</v>
      </c>
      <c r="AF3069">
        <v>-6.5466796389517299</v>
      </c>
      <c r="AG3069">
        <v>-1.112174914583</v>
      </c>
      <c r="AH3069">
        <v>41.890481402019702</v>
      </c>
      <c r="AI3069">
        <v>91.502591708756</v>
      </c>
      <c r="AJ3069">
        <v>98.882384055952002</v>
      </c>
      <c r="AK3069">
        <v>42.413540048298898</v>
      </c>
      <c r="AL3069">
        <v>78.797299026569306</v>
      </c>
      <c r="AM3069">
        <v>98.806947888264105</v>
      </c>
      <c r="AN3069">
        <v>1.0000000304055801</v>
      </c>
    </row>
    <row r="3070" spans="1:40" x14ac:dyDescent="0.25">
      <c r="A3070" t="str">
        <f>"20190304155652434"</f>
        <v>20190304155652434</v>
      </c>
      <c r="B3070" t="str">
        <f>"1551686212427999"</f>
        <v>1551686212427999</v>
      </c>
      <c r="C3070" t="s">
        <v>40</v>
      </c>
      <c r="D3070">
        <v>4.3142860000000001</v>
      </c>
      <c r="E3070">
        <v>0.49537789999999998</v>
      </c>
      <c r="F3070" t="s">
        <v>41</v>
      </c>
      <c r="G3070">
        <v>-484.16090000000003</v>
      </c>
      <c r="H3070" s="1">
        <v>-4.0999089999999999E-6</v>
      </c>
      <c r="I3070">
        <v>196.77539999999999</v>
      </c>
      <c r="J3070">
        <v>-492.30799999999999</v>
      </c>
      <c r="K3070">
        <v>1.112304</v>
      </c>
      <c r="L3070">
        <v>237.75729999999999</v>
      </c>
      <c r="M3070">
        <v>4.0124319999999998E-2</v>
      </c>
      <c r="N3070">
        <v>-1.1469149999999999E-2</v>
      </c>
      <c r="O3070">
        <v>-0.99912889999999999</v>
      </c>
      <c r="P3070">
        <v>0.19057489999999999</v>
      </c>
      <c r="Q3070">
        <v>0.18376890000000001</v>
      </c>
      <c r="R3070">
        <v>-0.96431849999999997</v>
      </c>
      <c r="S3070">
        <v>0.59536739999999999</v>
      </c>
      <c r="T3070">
        <v>-8.1145880000000004E-2</v>
      </c>
      <c r="U3070">
        <v>-3.0089869999999999</v>
      </c>
      <c r="V3070">
        <v>-0.15275820000000001</v>
      </c>
      <c r="W3070">
        <v>0.19408790000000001</v>
      </c>
      <c r="X3070">
        <v>0.96901740000000003</v>
      </c>
      <c r="Y3070">
        <v>-0.15452460000000001</v>
      </c>
      <c r="Z3070">
        <v>1.5085080000000001E-2</v>
      </c>
      <c r="AA3070">
        <v>0.98787380000000002</v>
      </c>
      <c r="AB3070">
        <v>26</v>
      </c>
      <c r="AC3070">
        <v>8.1471000000000195</v>
      </c>
      <c r="AD3070">
        <v>-1.112308099909</v>
      </c>
      <c r="AE3070">
        <v>-40.981900000000003</v>
      </c>
      <c r="AF3070">
        <v>-6.4914590716904597</v>
      </c>
      <c r="AG3070">
        <v>-1.112308099909</v>
      </c>
      <c r="AH3070">
        <v>41.2465816078629</v>
      </c>
      <c r="AI3070">
        <v>91.525963256658898</v>
      </c>
      <c r="AJ3070">
        <v>98.943947142811894</v>
      </c>
      <c r="AK3070">
        <v>41.769088624515703</v>
      </c>
      <c r="AL3070">
        <v>78.8085532640564</v>
      </c>
      <c r="AM3070">
        <v>98.958518259065499</v>
      </c>
      <c r="AN3070">
        <v>0.99999995104820305</v>
      </c>
    </row>
    <row r="3071" spans="1:40" x14ac:dyDescent="0.25">
      <c r="A3071" t="str">
        <f>"20190304155652445"</f>
        <v>20190304155652445</v>
      </c>
      <c r="B3071" t="str">
        <f>"1551686212437759"</f>
        <v>1551686212437759</v>
      </c>
      <c r="C3071" t="s">
        <v>40</v>
      </c>
      <c r="D3071">
        <v>4.3488559999999996</v>
      </c>
      <c r="E3071">
        <v>0.49561270000000002</v>
      </c>
      <c r="F3071" t="s">
        <v>41</v>
      </c>
      <c r="G3071">
        <v>-483.93450000000001</v>
      </c>
      <c r="H3071" s="1">
        <v>-3.9854839999999998E-6</v>
      </c>
      <c r="I3071">
        <v>196.4151</v>
      </c>
      <c r="J3071">
        <v>-492.30059999999997</v>
      </c>
      <c r="K3071">
        <v>1.1123719999999999</v>
      </c>
      <c r="L3071">
        <v>237.61689999999999</v>
      </c>
      <c r="M3071">
        <v>4.1855620000000003E-2</v>
      </c>
      <c r="N3071">
        <v>-1.147365E-2</v>
      </c>
      <c r="O3071">
        <v>-0.99905770000000005</v>
      </c>
      <c r="P3071">
        <v>0.19370970000000001</v>
      </c>
      <c r="Q3071">
        <v>0.18409729999999999</v>
      </c>
      <c r="R3071">
        <v>-0.96363120000000002</v>
      </c>
      <c r="S3071">
        <v>0.60885619999999996</v>
      </c>
      <c r="T3071">
        <v>-8.087838E-2</v>
      </c>
      <c r="U3071">
        <v>-3.0060880000000001</v>
      </c>
      <c r="V3071">
        <v>-0.1542695</v>
      </c>
      <c r="W3071">
        <v>0.194384</v>
      </c>
      <c r="X3071">
        <v>0.96871859999999999</v>
      </c>
      <c r="Y3071">
        <v>-0.157254799999999</v>
      </c>
      <c r="Z3071">
        <v>1.5001169999999999E-2</v>
      </c>
      <c r="AA3071">
        <v>0.98744410000000005</v>
      </c>
      <c r="AB3071">
        <v>26</v>
      </c>
      <c r="AC3071">
        <v>8.3660999999999603</v>
      </c>
      <c r="AD3071">
        <v>-1.1123759854840001</v>
      </c>
      <c r="AE3071">
        <v>-41.201799999999899</v>
      </c>
      <c r="AF3071">
        <v>-6.6294860875599904</v>
      </c>
      <c r="AG3071">
        <v>-1.1123759854840001</v>
      </c>
      <c r="AH3071">
        <v>41.486837698601697</v>
      </c>
      <c r="AI3071">
        <v>91.5166562836704</v>
      </c>
      <c r="AJ3071">
        <v>99.078954537988494</v>
      </c>
      <c r="AK3071">
        <v>42.0279093977842</v>
      </c>
      <c r="AL3071">
        <v>78.791258841499101</v>
      </c>
      <c r="AM3071">
        <v>99.048434124789594</v>
      </c>
      <c r="AN3071">
        <v>0.99999997203610402</v>
      </c>
    </row>
    <row r="3072" spans="1:40" x14ac:dyDescent="0.25">
      <c r="A3072" t="str">
        <f>"20190304155652458"</f>
        <v>20190304155652458</v>
      </c>
      <c r="B3072" t="str">
        <f>"1551686212447519"</f>
        <v>1551686212447519</v>
      </c>
      <c r="C3072" t="s">
        <v>40</v>
      </c>
      <c r="D3072">
        <v>4.370622</v>
      </c>
      <c r="E3072">
        <v>0.4958263</v>
      </c>
      <c r="F3072" t="s">
        <v>41</v>
      </c>
      <c r="G3072">
        <v>-483.68310000000002</v>
      </c>
      <c r="H3072" s="1">
        <v>-3.7214079999999999E-6</v>
      </c>
      <c r="I3072">
        <v>195.6446</v>
      </c>
      <c r="J3072">
        <v>-492.29309999999998</v>
      </c>
      <c r="K3072">
        <v>1.1124339999999999</v>
      </c>
      <c r="L3072">
        <v>237.48140000000001</v>
      </c>
      <c r="M3072">
        <v>4.3575349999999999E-2</v>
      </c>
      <c r="N3072">
        <v>-1.147783E-2</v>
      </c>
      <c r="O3072">
        <v>-0.99898430000000005</v>
      </c>
      <c r="P3072">
        <v>0.19671040000000001</v>
      </c>
      <c r="Q3072">
        <v>0.18444150000000001</v>
      </c>
      <c r="R3072">
        <v>-0.96295730000000002</v>
      </c>
      <c r="S3072">
        <v>0.61685179999999995</v>
      </c>
      <c r="T3072">
        <v>-7.9625609999999999E-2</v>
      </c>
      <c r="U3072">
        <v>-3.0044400000000002</v>
      </c>
      <c r="V3072">
        <v>-0.1556572</v>
      </c>
      <c r="W3072">
        <v>0.19469739999999999</v>
      </c>
      <c r="X3072">
        <v>0.96843369999999995</v>
      </c>
      <c r="Y3072">
        <v>-0.1581844</v>
      </c>
      <c r="Z3072">
        <v>1.4592829999999999E-2</v>
      </c>
      <c r="AA3072">
        <v>0.98730180000000001</v>
      </c>
      <c r="AB3072">
        <v>26</v>
      </c>
      <c r="AC3072">
        <v>8.6099999999999497</v>
      </c>
      <c r="AD3072">
        <v>-1.1124377214079999</v>
      </c>
      <c r="AE3072">
        <v>-41.836799999999997</v>
      </c>
      <c r="AF3072">
        <v>-6.7740527097650398</v>
      </c>
      <c r="AG3072">
        <v>-1.1124377214079999</v>
      </c>
      <c r="AH3072">
        <v>42.143678347919</v>
      </c>
      <c r="AI3072">
        <v>91.492892536631601</v>
      </c>
      <c r="AJ3072">
        <v>99.131450818475301</v>
      </c>
      <c r="AK3072">
        <v>42.699120980314603</v>
      </c>
      <c r="AL3072">
        <v>78.772953324445496</v>
      </c>
      <c r="AM3072">
        <v>99.131103275454805</v>
      </c>
      <c r="AN3072">
        <v>1.00000003638714</v>
      </c>
    </row>
    <row r="3073" spans="1:40" x14ac:dyDescent="0.25">
      <c r="A3073" t="str">
        <f>"20190304155652470"</f>
        <v>20190304155652470</v>
      </c>
      <c r="B3073" t="str">
        <f>"1551686212468015"</f>
        <v>1551686212468015</v>
      </c>
      <c r="C3073" t="s">
        <v>40</v>
      </c>
      <c r="D3073">
        <v>4.3683699999999996</v>
      </c>
      <c r="E3073">
        <v>0.49636469999999999</v>
      </c>
      <c r="F3073" t="s">
        <v>41</v>
      </c>
      <c r="G3073">
        <v>-483.48329999999999</v>
      </c>
      <c r="H3073" s="1">
        <v>-3.5777870000000001E-6</v>
      </c>
      <c r="I3073">
        <v>195.06630000000001</v>
      </c>
      <c r="J3073">
        <v>-492.28469999999999</v>
      </c>
      <c r="K3073">
        <v>1.1125039999999999</v>
      </c>
      <c r="L3073">
        <v>237.3322</v>
      </c>
      <c r="M3073">
        <v>4.5499770000000002E-2</v>
      </c>
      <c r="N3073">
        <v>-1.148222E-2</v>
      </c>
      <c r="O3073">
        <v>-0.99889839999999996</v>
      </c>
      <c r="P3073">
        <v>0.19988610000000001</v>
      </c>
      <c r="Q3073">
        <v>0.18462310000000001</v>
      </c>
      <c r="R3073">
        <v>-0.96226820000000002</v>
      </c>
      <c r="S3073">
        <v>0.62374879999999999</v>
      </c>
      <c r="T3073">
        <v>-7.8762650000000003E-2</v>
      </c>
      <c r="U3073">
        <v>-3.0030670000000002</v>
      </c>
      <c r="V3073">
        <v>-0.15702339999999901</v>
      </c>
      <c r="W3073">
        <v>0.19484750000000001</v>
      </c>
      <c r="X3073">
        <v>0.96818289999999996</v>
      </c>
      <c r="Y3073">
        <v>-0.15854679999999999</v>
      </c>
      <c r="Z3073">
        <v>1.4310979999999999E-2</v>
      </c>
      <c r="AA3073">
        <v>0.98724780000000001</v>
      </c>
      <c r="AB3073">
        <v>26</v>
      </c>
      <c r="AC3073">
        <v>8.8013999999999992</v>
      </c>
      <c r="AD3073">
        <v>-1.1125075777869999</v>
      </c>
      <c r="AE3073">
        <v>-42.265899999999903</v>
      </c>
      <c r="AF3073">
        <v>-6.8645099232424096</v>
      </c>
      <c r="AG3073">
        <v>-1.1125075777869999</v>
      </c>
      <c r="AH3073">
        <v>42.594325507645102</v>
      </c>
      <c r="AI3073">
        <v>91.477099505812902</v>
      </c>
      <c r="AJ3073">
        <v>99.155080331950202</v>
      </c>
      <c r="AK3073">
        <v>43.158263809474001</v>
      </c>
      <c r="AL3073">
        <v>78.764185031065395</v>
      </c>
      <c r="AM3073">
        <v>99.212224043536594</v>
      </c>
      <c r="AN3073">
        <v>1.0000000121281001</v>
      </c>
    </row>
    <row r="3074" spans="1:40" x14ac:dyDescent="0.25">
      <c r="A3074" t="str">
        <f>"20190304155652489"</f>
        <v>20190304155652489</v>
      </c>
      <c r="B3074" t="str">
        <f>"1551686212477778"</f>
        <v>1551686212477778</v>
      </c>
      <c r="C3074" t="s">
        <v>40</v>
      </c>
      <c r="D3074">
        <v>4.396083</v>
      </c>
      <c r="E3074">
        <v>0.49636469999999999</v>
      </c>
      <c r="F3074" t="s">
        <v>41</v>
      </c>
      <c r="G3074">
        <v>-483.28809999999999</v>
      </c>
      <c r="H3074" s="1">
        <v>-3.4131899999999999E-6</v>
      </c>
      <c r="I3074">
        <v>194.43010000000001</v>
      </c>
      <c r="J3074">
        <v>-492.2713</v>
      </c>
      <c r="K3074">
        <v>1.112611</v>
      </c>
      <c r="L3074">
        <v>237.10839999999999</v>
      </c>
      <c r="M3074">
        <v>4.8525829999999999E-2</v>
      </c>
      <c r="N3074">
        <v>-1.148913E-2</v>
      </c>
      <c r="O3074">
        <v>-0.99875590000000003</v>
      </c>
      <c r="P3074">
        <v>0.20538110000000001</v>
      </c>
      <c r="Q3074">
        <v>0.1856312</v>
      </c>
      <c r="R3074">
        <v>-0.9609162</v>
      </c>
      <c r="S3074">
        <v>0.62948609999999905</v>
      </c>
      <c r="T3074">
        <v>-7.7841640000000004E-2</v>
      </c>
      <c r="U3074">
        <v>-3.001846</v>
      </c>
      <c r="V3074">
        <v>-0.1596931</v>
      </c>
      <c r="W3074">
        <v>0.19579920000000001</v>
      </c>
      <c r="X3074">
        <v>0.96755400000000003</v>
      </c>
      <c r="Y3074">
        <v>-0.1574448</v>
      </c>
      <c r="Z3074">
        <v>1.400937E-2</v>
      </c>
      <c r="AA3074">
        <v>0.98742839999999998</v>
      </c>
      <c r="AB3074">
        <v>26</v>
      </c>
      <c r="AC3074">
        <v>8.9832000000000001</v>
      </c>
      <c r="AD3074">
        <v>-1.11261441319</v>
      </c>
      <c r="AE3074">
        <v>-42.678299999999901</v>
      </c>
      <c r="AF3074">
        <v>-6.8969906581873603</v>
      </c>
      <c r="AG3074">
        <v>-1.11261441319</v>
      </c>
      <c r="AH3074">
        <v>43.035953412583403</v>
      </c>
      <c r="AI3074">
        <v>91.462294558822293</v>
      </c>
      <c r="AJ3074">
        <v>99.104864688989295</v>
      </c>
      <c r="AK3074">
        <v>43.599308218154199</v>
      </c>
      <c r="AL3074">
        <v>78.7085853408866</v>
      </c>
      <c r="AM3074">
        <v>99.372076645834298</v>
      </c>
      <c r="AN3074">
        <v>0.99999997791212403</v>
      </c>
    </row>
    <row r="3075" spans="1:40" x14ac:dyDescent="0.25">
      <c r="A3075" t="str">
        <f>"20190304155652503"</f>
        <v>20190304155652503</v>
      </c>
      <c r="B3075" t="str">
        <f>"1551686212498271"</f>
        <v>1551686212498271</v>
      </c>
      <c r="C3075" t="s">
        <v>40</v>
      </c>
      <c r="D3075">
        <v>4.4007630000000004</v>
      </c>
      <c r="E3075">
        <v>0.50822650000000003</v>
      </c>
      <c r="F3075" t="s">
        <v>41</v>
      </c>
      <c r="G3075">
        <v>-482.64980000000003</v>
      </c>
      <c r="H3075" s="1">
        <v>-2.9145199999999999E-6</v>
      </c>
      <c r="I3075">
        <v>192.46559999999999</v>
      </c>
      <c r="J3075">
        <v>-492.26139999999998</v>
      </c>
      <c r="K3075">
        <v>1.1126849999999999</v>
      </c>
      <c r="L3075">
        <v>236.95320000000001</v>
      </c>
      <c r="M3075">
        <v>5.0715879999999998E-2</v>
      </c>
      <c r="N3075">
        <v>-1.1497749999999999E-2</v>
      </c>
      <c r="O3075">
        <v>-0.99864719999999996</v>
      </c>
      <c r="P3075">
        <v>0.20887639999999999</v>
      </c>
      <c r="Q3075">
        <v>0.1857086</v>
      </c>
      <c r="R3075">
        <v>-0.96014759999999999</v>
      </c>
      <c r="S3075">
        <v>0.6462097</v>
      </c>
      <c r="T3075">
        <v>-7.4726699999999993E-2</v>
      </c>
      <c r="U3075">
        <v>-2.9983520000000001</v>
      </c>
      <c r="V3075">
        <v>-0.16113129999999901</v>
      </c>
      <c r="W3075">
        <v>0.19584499999999999</v>
      </c>
      <c r="X3075">
        <v>0.96730629999999995</v>
      </c>
      <c r="Y3075">
        <v>-0.1607816</v>
      </c>
      <c r="Z3075">
        <v>1.2990659999999999E-2</v>
      </c>
      <c r="AA3075">
        <v>0.98690449999999996</v>
      </c>
      <c r="AB3075">
        <v>26</v>
      </c>
      <c r="AC3075">
        <v>9.6115999999999495</v>
      </c>
      <c r="AD3075">
        <v>-1.1126879145199999</v>
      </c>
      <c r="AE3075">
        <v>-44.4876</v>
      </c>
      <c r="AF3075">
        <v>-7.33846715214617</v>
      </c>
      <c r="AG3075">
        <v>-1.1126879145199999</v>
      </c>
      <c r="AH3075">
        <v>44.891005529716303</v>
      </c>
      <c r="AI3075">
        <v>91.401274871891104</v>
      </c>
      <c r="AJ3075">
        <v>99.284192169591506</v>
      </c>
      <c r="AK3075">
        <v>45.5004785909695</v>
      </c>
      <c r="AL3075">
        <v>78.705909855627397</v>
      </c>
      <c r="AM3075">
        <v>99.457341819845098</v>
      </c>
      <c r="AN3075">
        <v>1.00000001894218</v>
      </c>
    </row>
    <row r="3076" spans="1:40" x14ac:dyDescent="0.25">
      <c r="A3076" t="str">
        <f>"20190304155652518"</f>
        <v>20190304155652518</v>
      </c>
      <c r="B3076" t="str">
        <f>"1551686212508031"</f>
        <v>1551686212508031</v>
      </c>
      <c r="C3076" t="s">
        <v>40</v>
      </c>
      <c r="D3076">
        <v>4.3739990000000004</v>
      </c>
      <c r="E3076">
        <v>0.50901669999999999</v>
      </c>
      <c r="F3076" t="s">
        <v>41</v>
      </c>
      <c r="G3076">
        <v>-485.1087</v>
      </c>
      <c r="H3076" s="1">
        <v>-4.7490709999999998E-6</v>
      </c>
      <c r="I3076">
        <v>198.68049999999999</v>
      </c>
      <c r="J3076">
        <v>-492.24919999999997</v>
      </c>
      <c r="K3076">
        <v>1.1127860000000001</v>
      </c>
      <c r="L3076">
        <v>236.76689999999999</v>
      </c>
      <c r="M3076">
        <v>5.3414990000000002E-2</v>
      </c>
      <c r="N3076">
        <v>-1.151025E-2</v>
      </c>
      <c r="O3076">
        <v>-0.998506</v>
      </c>
      <c r="P3076">
        <v>0.2129277</v>
      </c>
      <c r="Q3076">
        <v>0.18570490000000001</v>
      </c>
      <c r="R3076">
        <v>-0.95925769999999999</v>
      </c>
      <c r="S3076">
        <v>0.56417850000000003</v>
      </c>
      <c r="T3076">
        <v>-8.7764620000000002E-2</v>
      </c>
      <c r="U3076">
        <v>-3.018799</v>
      </c>
      <c r="V3076">
        <v>-0.16264629999999999</v>
      </c>
      <c r="W3076">
        <v>0.19580529999999999</v>
      </c>
      <c r="X3076">
        <v>0.9670607</v>
      </c>
      <c r="Y3076">
        <v>-0.130879</v>
      </c>
      <c r="Z3076">
        <v>1.7175200000000002E-2</v>
      </c>
      <c r="AA3076">
        <v>0.99124959999999995</v>
      </c>
      <c r="AB3076">
        <v>26</v>
      </c>
      <c r="AC3076">
        <v>7.1404999999999701</v>
      </c>
      <c r="AD3076">
        <v>-1.1127907490710001</v>
      </c>
      <c r="AE3076">
        <v>-38.086399999999998</v>
      </c>
      <c r="AF3076">
        <v>-5.0915863802303001</v>
      </c>
      <c r="AG3076">
        <v>-1.1127907490710001</v>
      </c>
      <c r="AH3076">
        <v>38.381803072257298</v>
      </c>
      <c r="AI3076">
        <v>91.646277994009793</v>
      </c>
      <c r="AJ3076">
        <v>97.556524064525405</v>
      </c>
      <c r="AK3076">
        <v>38.734033642213198</v>
      </c>
      <c r="AL3076">
        <v>78.708228801001894</v>
      </c>
      <c r="AM3076">
        <v>99.547013131808995</v>
      </c>
      <c r="AN3076">
        <v>0.99999996594813401</v>
      </c>
    </row>
    <row r="3077" spans="1:40" x14ac:dyDescent="0.25">
      <c r="A3077" t="str">
        <f>"20190304155652537"</f>
        <v>20190304155652537</v>
      </c>
      <c r="B3077" t="str">
        <f>"1551686212527551"</f>
        <v>1551686212527551</v>
      </c>
      <c r="C3077" t="s">
        <v>40</v>
      </c>
      <c r="D3077">
        <v>4.4073029999999997</v>
      </c>
      <c r="E3077">
        <v>0.50998100000000002</v>
      </c>
      <c r="F3077" t="s">
        <v>41</v>
      </c>
      <c r="G3077">
        <v>-484.91539999999998</v>
      </c>
      <c r="H3077" s="1">
        <v>-4.4882020000000001E-6</v>
      </c>
      <c r="I3077">
        <v>197.99250000000001</v>
      </c>
      <c r="J3077">
        <v>-492.23469999999998</v>
      </c>
      <c r="K3077">
        <v>1.112894</v>
      </c>
      <c r="L3077">
        <v>236.55770000000001</v>
      </c>
      <c r="M3077">
        <v>5.6554180000000003E-2</v>
      </c>
      <c r="N3077">
        <v>-1.15266E-2</v>
      </c>
      <c r="O3077">
        <v>-0.99833309999999997</v>
      </c>
      <c r="P3077">
        <v>0.2188088</v>
      </c>
      <c r="Q3077">
        <v>0.18598909999999999</v>
      </c>
      <c r="R3077">
        <v>-0.95787820000000001</v>
      </c>
      <c r="S3077">
        <v>0.57073969999999996</v>
      </c>
      <c r="T3077">
        <v>-8.6600419999999997E-2</v>
      </c>
      <c r="U3077">
        <v>-3.0175320000000001</v>
      </c>
      <c r="V3077">
        <v>-0.16559989999999999</v>
      </c>
      <c r="W3077">
        <v>0.19603809999999999</v>
      </c>
      <c r="X3077">
        <v>0.96651209999999999</v>
      </c>
      <c r="Y3077">
        <v>-0.12992039999999999</v>
      </c>
      <c r="Z3077">
        <v>1.6783929999999999E-2</v>
      </c>
      <c r="AA3077">
        <v>0.9913824</v>
      </c>
      <c r="AB3077">
        <v>26</v>
      </c>
      <c r="AC3077">
        <v>7.3192999999999904</v>
      </c>
      <c r="AD3077">
        <v>-1.1128984882019901</v>
      </c>
      <c r="AE3077">
        <v>-38.565199999999997</v>
      </c>
      <c r="AF3077">
        <v>-5.1222988689527202</v>
      </c>
      <c r="AG3077">
        <v>-1.1128984882019901</v>
      </c>
      <c r="AH3077">
        <v>38.886176916573703</v>
      </c>
      <c r="AI3077">
        <v>91.625290111829898</v>
      </c>
      <c r="AJ3077">
        <v>97.504108202272505</v>
      </c>
      <c r="AK3077">
        <v>39.2378802171446</v>
      </c>
      <c r="AL3077">
        <v>78.694626563020094</v>
      </c>
      <c r="AM3077">
        <v>99.7225170970991</v>
      </c>
      <c r="AN3077">
        <v>0.99999995148901299</v>
      </c>
    </row>
    <row r="3078" spans="1:40" x14ac:dyDescent="0.25">
      <c r="A3078" t="str">
        <f>"20190304155652557"</f>
        <v>20190304155652557</v>
      </c>
      <c r="B3078" t="str">
        <f>"1551686212548060"</f>
        <v>1551686212548060</v>
      </c>
      <c r="C3078" t="s">
        <v>40</v>
      </c>
      <c r="D3078">
        <v>4.8533019999999896</v>
      </c>
      <c r="E3078">
        <v>0.50079010000000002</v>
      </c>
      <c r="F3078" t="s">
        <v>41</v>
      </c>
      <c r="G3078">
        <v>-484.44839999999999</v>
      </c>
      <c r="H3078" s="1">
        <v>-3.789175E-6</v>
      </c>
      <c r="I3078">
        <v>196.16990000000001</v>
      </c>
      <c r="J3078">
        <v>-492.2165</v>
      </c>
      <c r="K3078">
        <v>1.113019</v>
      </c>
      <c r="L3078">
        <v>236.31030000000001</v>
      </c>
      <c r="M3078">
        <v>6.0416520000000001E-2</v>
      </c>
      <c r="N3078">
        <v>-1.1546509999999999E-2</v>
      </c>
      <c r="O3078">
        <v>-0.99810670000000001</v>
      </c>
      <c r="P3078">
        <v>0.22538420000000001</v>
      </c>
      <c r="Q3078">
        <v>0.18601400000000001</v>
      </c>
      <c r="R3078">
        <v>-0.95634779999999997</v>
      </c>
      <c r="S3078">
        <v>0.5812988</v>
      </c>
      <c r="T3078">
        <v>-8.3085660000000006E-2</v>
      </c>
      <c r="U3078">
        <v>-3.015228</v>
      </c>
      <c r="V3078">
        <v>-0.16856689999999999</v>
      </c>
      <c r="W3078">
        <v>0.19600490000000001</v>
      </c>
      <c r="X3078">
        <v>0.96600589999999997</v>
      </c>
      <c r="Y3078">
        <v>-0.1295762</v>
      </c>
      <c r="Z3078">
        <v>1.5626569999999999E-2</v>
      </c>
      <c r="AA3078">
        <v>0.9914463</v>
      </c>
      <c r="AB3078">
        <v>26</v>
      </c>
      <c r="AC3078">
        <v>7.7680999999999996</v>
      </c>
      <c r="AD3078">
        <v>-1.113022789175</v>
      </c>
      <c r="AE3078">
        <v>-40.1404</v>
      </c>
      <c r="AF3078">
        <v>-5.3246572610459104</v>
      </c>
      <c r="AG3078">
        <v>-1.113022789175</v>
      </c>
      <c r="AH3078">
        <v>40.506397357875798</v>
      </c>
      <c r="AI3078">
        <v>91.560542038806403</v>
      </c>
      <c r="AJ3078">
        <v>97.488722101326204</v>
      </c>
      <c r="AK3078">
        <v>40.870025955349703</v>
      </c>
      <c r="AL3078">
        <v>78.696567656414203</v>
      </c>
      <c r="AM3078">
        <v>99.898381514212701</v>
      </c>
      <c r="AN3078">
        <v>1.0000000597172101</v>
      </c>
    </row>
    <row r="3079" spans="1:40" x14ac:dyDescent="0.25">
      <c r="A3079" t="str">
        <f>"20190304155652580"</f>
        <v>20190304155652580</v>
      </c>
      <c r="B3079" t="str">
        <f>"1551686212577328"</f>
        <v>1551686212577328</v>
      </c>
      <c r="C3079" t="s">
        <v>40</v>
      </c>
      <c r="D3079">
        <v>4.2687549999999996</v>
      </c>
      <c r="E3079">
        <v>0.42817339999999998</v>
      </c>
      <c r="F3079" t="s">
        <v>41</v>
      </c>
      <c r="G3079">
        <v>-483.82130000000001</v>
      </c>
      <c r="H3079" s="1">
        <v>-5.0848909999999998E-6</v>
      </c>
      <c r="I3079">
        <v>198.93100000000001</v>
      </c>
      <c r="J3079">
        <v>-492.1961</v>
      </c>
      <c r="K3079">
        <v>1.113156</v>
      </c>
      <c r="L3079">
        <v>236.04929999999999</v>
      </c>
      <c r="M3079">
        <v>6.4657010000000001E-2</v>
      </c>
      <c r="N3079">
        <v>-1.156657E-2</v>
      </c>
      <c r="O3079">
        <v>-0.99784059999999997</v>
      </c>
      <c r="P3079">
        <v>0.23217779999999999</v>
      </c>
      <c r="Q3079">
        <v>0.1861641</v>
      </c>
      <c r="R3079">
        <v>-0.95469199999999999</v>
      </c>
      <c r="S3079">
        <v>0.672821</v>
      </c>
      <c r="T3079">
        <v>-8.9201329999999995E-2</v>
      </c>
      <c r="U3079">
        <v>-2.9956969999999998</v>
      </c>
      <c r="V3079">
        <v>-0.171401</v>
      </c>
      <c r="W3079">
        <v>0.19609470000000001</v>
      </c>
      <c r="X3079">
        <v>0.96548880000000004</v>
      </c>
      <c r="Y3079">
        <v>-0.1555184</v>
      </c>
      <c r="Z3079">
        <v>1.7645790000000001E-2</v>
      </c>
      <c r="AA3079">
        <v>0.98767539999999998</v>
      </c>
      <c r="AB3079">
        <v>26</v>
      </c>
      <c r="AC3079">
        <v>8.3747999999999898</v>
      </c>
      <c r="AD3079">
        <v>-1.1131610848909901</v>
      </c>
      <c r="AE3079">
        <v>-37.118299999999998</v>
      </c>
      <c r="AF3079">
        <v>-5.9520613222321703</v>
      </c>
      <c r="AG3079">
        <v>-1.1131610848909901</v>
      </c>
      <c r="AH3079">
        <v>37.550011431161899</v>
      </c>
      <c r="AI3079">
        <v>91.677096296409005</v>
      </c>
      <c r="AJ3079">
        <v>99.007031264011502</v>
      </c>
      <c r="AK3079">
        <v>38.0351090449984</v>
      </c>
      <c r="AL3079">
        <v>78.691320315307095</v>
      </c>
      <c r="AM3079">
        <v>100.06670761499301</v>
      </c>
      <c r="AN3079">
        <v>1.0000000285472599</v>
      </c>
    </row>
    <row r="3080" spans="1:40" x14ac:dyDescent="0.25">
      <c r="A3080" t="str">
        <f>"20190304155652602"</f>
        <v>20190304155652602</v>
      </c>
      <c r="B3080" t="str">
        <f>"1551686212597823"</f>
        <v>1551686212597823</v>
      </c>
      <c r="C3080" t="s">
        <v>40</v>
      </c>
      <c r="D3080">
        <v>4.2401849999999897</v>
      </c>
      <c r="E3080">
        <v>0.42727910000000002</v>
      </c>
      <c r="F3080" t="s">
        <v>53</v>
      </c>
      <c r="G3080">
        <v>-480.02409999999998</v>
      </c>
      <c r="H3080" s="1">
        <v>1.1651179999999999E-6</v>
      </c>
      <c r="I3080">
        <v>208.3716</v>
      </c>
      <c r="J3080">
        <v>-492.17439999999999</v>
      </c>
      <c r="K3080">
        <v>1.113281</v>
      </c>
      <c r="L3080">
        <v>235.78809999999999</v>
      </c>
      <c r="M3080">
        <v>6.9070870000000006E-2</v>
      </c>
      <c r="N3080">
        <v>-1.1586040000000001E-2</v>
      </c>
      <c r="O3080">
        <v>-0.9975446</v>
      </c>
      <c r="P3080">
        <v>0.23893590000000001</v>
      </c>
      <c r="Q3080">
        <v>0.18607119999999999</v>
      </c>
      <c r="R3080">
        <v>-0.95304129999999998</v>
      </c>
      <c r="S3080">
        <v>1.2573240000000001</v>
      </c>
      <c r="T3080">
        <v>-0.114985199999999</v>
      </c>
      <c r="U3080">
        <v>-2.8590089999999999</v>
      </c>
      <c r="V3080">
        <v>-0.1740331</v>
      </c>
      <c r="W3080">
        <v>0.1959437</v>
      </c>
      <c r="X3080">
        <v>0.96504849999999998</v>
      </c>
      <c r="Y3080">
        <v>-0.33815119999999999</v>
      </c>
      <c r="Z3080">
        <v>2.573253E-2</v>
      </c>
      <c r="AA3080">
        <v>0.94073989999999996</v>
      </c>
      <c r="AB3080">
        <v>26</v>
      </c>
      <c r="AC3080">
        <v>12.1503</v>
      </c>
      <c r="AD3080">
        <v>-1.1132798348820001</v>
      </c>
      <c r="AE3080">
        <v>-27.4164999999999</v>
      </c>
      <c r="AF3080">
        <v>-10.2133939124707</v>
      </c>
      <c r="AG3080">
        <v>-1.1132798348820001</v>
      </c>
      <c r="AH3080">
        <v>28.151504010863299</v>
      </c>
      <c r="AI3080">
        <v>92.128993060984499</v>
      </c>
      <c r="AJ3080">
        <v>109.940822381947</v>
      </c>
      <c r="AK3080">
        <v>29.967648978118099</v>
      </c>
      <c r="AL3080">
        <v>78.700143161368899</v>
      </c>
      <c r="AM3080">
        <v>100.222626379068</v>
      </c>
      <c r="AN3080">
        <v>1.0000000304087699</v>
      </c>
    </row>
    <row r="3081" spans="1:40" x14ac:dyDescent="0.25">
      <c r="A3081" t="str">
        <f>"20190304155652615"</f>
        <v>20190304155652615</v>
      </c>
      <c r="B3081" t="str">
        <f>"1551686212607584"</f>
        <v>1551686212607584</v>
      </c>
      <c r="C3081" t="s">
        <v>40</v>
      </c>
      <c r="D3081">
        <v>4.2251589999999997</v>
      </c>
      <c r="E3081">
        <v>0.42720599999999997</v>
      </c>
      <c r="F3081" t="s">
        <v>53</v>
      </c>
      <c r="G3081">
        <v>-479.60599999999999</v>
      </c>
      <c r="H3081" s="1">
        <v>1.269397E-6</v>
      </c>
      <c r="I3081">
        <v>207.90899999999999</v>
      </c>
      <c r="J3081">
        <v>-492.16129999999998</v>
      </c>
      <c r="K3081">
        <v>1.1133500000000001</v>
      </c>
      <c r="L3081">
        <v>235.63720000000001</v>
      </c>
      <c r="M3081">
        <v>7.1701529999999999E-2</v>
      </c>
      <c r="N3081">
        <v>-1.1597349999999999E-2</v>
      </c>
      <c r="O3081">
        <v>-0.99735870000000004</v>
      </c>
      <c r="P3081">
        <v>0.2426837</v>
      </c>
      <c r="Q3081">
        <v>0.18586269999999999</v>
      </c>
      <c r="R3081">
        <v>-0.95213429999999999</v>
      </c>
      <c r="S3081">
        <v>1.2839969999999901</v>
      </c>
      <c r="T3081">
        <v>-0.11373320000000001</v>
      </c>
      <c r="U3081">
        <v>-2.8481450000000001</v>
      </c>
      <c r="V3081">
        <v>-0.17531759999999999</v>
      </c>
      <c r="W3081">
        <v>0.1957043</v>
      </c>
      <c r="X3081">
        <v>0.96486459999999996</v>
      </c>
      <c r="Y3081">
        <v>-0.34433399999999997</v>
      </c>
      <c r="Z3081">
        <v>2.5335509999999999E-2</v>
      </c>
      <c r="AA3081">
        <v>0.93850529999999999</v>
      </c>
      <c r="AB3081">
        <v>26</v>
      </c>
      <c r="AC3081">
        <v>12.5552999999999</v>
      </c>
      <c r="AD3081">
        <v>-1.1133487306029901</v>
      </c>
      <c r="AE3081">
        <v>-27.728199999999902</v>
      </c>
      <c r="AF3081">
        <v>-10.520616388126999</v>
      </c>
      <c r="AG3081">
        <v>-1.1133487306029901</v>
      </c>
      <c r="AH3081">
        <v>28.518961054711699</v>
      </c>
      <c r="AI3081">
        <v>92.097588867146996</v>
      </c>
      <c r="AJ3081">
        <v>110.248967600958</v>
      </c>
      <c r="AK3081">
        <v>30.417988990434999</v>
      </c>
      <c r="AL3081">
        <v>78.714130977101703</v>
      </c>
      <c r="AM3081">
        <v>100.298389543971</v>
      </c>
      <c r="AN3081">
        <v>1.0000000651206999</v>
      </c>
    </row>
    <row r="3082" spans="1:40" x14ac:dyDescent="0.25">
      <c r="A3082" t="str">
        <f>"20190304155652628"</f>
        <v>20190304155652628</v>
      </c>
      <c r="B3082" t="str">
        <f>"1551686212617343"</f>
        <v>1551686212617343</v>
      </c>
      <c r="C3082" t="s">
        <v>40</v>
      </c>
      <c r="D3082">
        <v>4.263433</v>
      </c>
      <c r="E3082">
        <v>0.42714809999999998</v>
      </c>
      <c r="F3082" t="s">
        <v>53</v>
      </c>
      <c r="G3082">
        <v>-479.61329999999998</v>
      </c>
      <c r="H3082" s="1">
        <v>1.2929900000000001E-6</v>
      </c>
      <c r="I3082">
        <v>208.114</v>
      </c>
      <c r="J3082">
        <v>-492.14729999999997</v>
      </c>
      <c r="K3082">
        <v>1.1134250000000001</v>
      </c>
      <c r="L3082">
        <v>235.48179999999999</v>
      </c>
      <c r="M3082">
        <v>7.4470149999999999E-2</v>
      </c>
      <c r="N3082">
        <v>-1.160913E-2</v>
      </c>
      <c r="O3082">
        <v>-0.99715569999999998</v>
      </c>
      <c r="P3082">
        <v>0.2464259</v>
      </c>
      <c r="Q3082">
        <v>0.1856836</v>
      </c>
      <c r="R3082">
        <v>-0.95120749999999998</v>
      </c>
      <c r="S3082">
        <v>1.296082</v>
      </c>
      <c r="T3082">
        <v>-0.114998</v>
      </c>
      <c r="U3082">
        <v>-2.8428800000000001</v>
      </c>
      <c r="V3082">
        <v>-0.17646689999999901</v>
      </c>
      <c r="W3082">
        <v>0.1954938</v>
      </c>
      <c r="X3082">
        <v>0.96469769999999999</v>
      </c>
      <c r="Y3082">
        <v>-0.34568100000000002</v>
      </c>
      <c r="Z3082">
        <v>2.5751240000000002E-2</v>
      </c>
      <c r="AA3082">
        <v>0.93799869999999996</v>
      </c>
      <c r="AB3082">
        <v>26</v>
      </c>
      <c r="AC3082">
        <v>12.533999999999899</v>
      </c>
      <c r="AD3082">
        <v>-1.1134237070099999</v>
      </c>
      <c r="AE3082">
        <v>-27.3677999999999</v>
      </c>
      <c r="AF3082">
        <v>-10.4466769546584</v>
      </c>
      <c r="AG3082">
        <v>-1.1134237070099999</v>
      </c>
      <c r="AH3082">
        <v>28.1867030345167</v>
      </c>
      <c r="AI3082">
        <v>92.121245329987303</v>
      </c>
      <c r="AJ3082">
        <v>110.335929623225</v>
      </c>
      <c r="AK3082">
        <v>30.080940804807899</v>
      </c>
      <c r="AL3082">
        <v>78.726428806091903</v>
      </c>
      <c r="AM3082">
        <v>100.366196661277</v>
      </c>
      <c r="AN3082">
        <v>1.0000000225096599</v>
      </c>
    </row>
    <row r="3083" spans="1:40" x14ac:dyDescent="0.25">
      <c r="A3083" t="str">
        <f>"20190304155652646"</f>
        <v>20190304155652646</v>
      </c>
      <c r="B3083" t="str">
        <f>"1551686212637842"</f>
        <v>1551686212637842</v>
      </c>
      <c r="C3083" t="s">
        <v>40</v>
      </c>
      <c r="D3083">
        <v>4.2719420000000001</v>
      </c>
      <c r="E3083">
        <v>0.42723509999999998</v>
      </c>
      <c r="F3083" t="s">
        <v>53</v>
      </c>
      <c r="G3083">
        <v>-479.52159999999998</v>
      </c>
      <c r="H3083" s="1">
        <v>1.3334819999999999E-6</v>
      </c>
      <c r="I3083">
        <v>208.08250000000001</v>
      </c>
      <c r="J3083">
        <v>-492.12759999999997</v>
      </c>
      <c r="K3083">
        <v>1.1135330000000001</v>
      </c>
      <c r="L3083">
        <v>235.2732</v>
      </c>
      <c r="M3083">
        <v>7.8311729999999996E-2</v>
      </c>
      <c r="N3083">
        <v>-1.1625369999999999E-2</v>
      </c>
      <c r="O3083">
        <v>-0.99686129999999995</v>
      </c>
      <c r="P3083">
        <v>0.25237080000000001</v>
      </c>
      <c r="Q3083">
        <v>0.18549969999999999</v>
      </c>
      <c r="R3083">
        <v>-0.94968370000000002</v>
      </c>
      <c r="S3083">
        <v>1.3075870000000001</v>
      </c>
      <c r="T3083">
        <v>-0.1153129</v>
      </c>
      <c r="U3083">
        <v>-2.837631</v>
      </c>
      <c r="V3083">
        <v>-0.17883389999999999</v>
      </c>
      <c r="W3083">
        <v>0.19525719999999999</v>
      </c>
      <c r="X3083">
        <v>0.96430959999999999</v>
      </c>
      <c r="Y3083">
        <v>-0.34586070000000002</v>
      </c>
      <c r="Z3083">
        <v>2.5862880000000001E-2</v>
      </c>
      <c r="AA3083">
        <v>0.93792940000000002</v>
      </c>
      <c r="AB3083">
        <v>26</v>
      </c>
      <c r="AC3083">
        <v>12.6059999999999</v>
      </c>
      <c r="AD3083">
        <v>-1.113531666518</v>
      </c>
      <c r="AE3083">
        <v>-27.1907</v>
      </c>
      <c r="AF3083">
        <v>-10.4233978033661</v>
      </c>
      <c r="AG3083">
        <v>-1.113531666518</v>
      </c>
      <c r="AH3083">
        <v>28.0557195718984</v>
      </c>
      <c r="AI3083">
        <v>92.130720719156898</v>
      </c>
      <c r="AJ3083">
        <v>110.381284079808</v>
      </c>
      <c r="AK3083">
        <v>29.950134811659201</v>
      </c>
      <c r="AL3083">
        <v>78.740250784407294</v>
      </c>
      <c r="AM3083">
        <v>100.506300222085</v>
      </c>
      <c r="AN3083">
        <v>0.99999997129660401</v>
      </c>
    </row>
    <row r="3084" spans="1:40" x14ac:dyDescent="0.25">
      <c r="A3084" t="str">
        <f>"20190304155652661"</f>
        <v>20190304155652661</v>
      </c>
      <c r="B3084" t="str">
        <f>"1551686212657359"</f>
        <v>1551686212657359</v>
      </c>
      <c r="C3084" t="s">
        <v>40</v>
      </c>
      <c r="D3084">
        <v>4.3498029999999996</v>
      </c>
      <c r="E3084">
        <v>0.42761510000000003</v>
      </c>
      <c r="F3084" t="s">
        <v>53</v>
      </c>
      <c r="G3084">
        <v>-479.49259999999998</v>
      </c>
      <c r="H3084" s="1">
        <v>1.374586E-6</v>
      </c>
      <c r="I3084">
        <v>208.2859</v>
      </c>
      <c r="J3084">
        <v>-492.11160000000001</v>
      </c>
      <c r="K3084">
        <v>1.113621</v>
      </c>
      <c r="L3084">
        <v>235.1103</v>
      </c>
      <c r="M3084">
        <v>8.1406060000000002E-2</v>
      </c>
      <c r="N3084">
        <v>-1.1640869999999999E-2</v>
      </c>
      <c r="O3084">
        <v>-0.99661310000000003</v>
      </c>
      <c r="P3084">
        <v>0.25636959999999998</v>
      </c>
      <c r="Q3084">
        <v>0.18569340000000001</v>
      </c>
      <c r="R3084">
        <v>-0.94857380000000002</v>
      </c>
      <c r="S3084">
        <v>1.324829</v>
      </c>
      <c r="T3084">
        <v>-0.1167575</v>
      </c>
      <c r="U3084">
        <v>-2.8297119999999998</v>
      </c>
      <c r="V3084">
        <v>-0.17995169999999999</v>
      </c>
      <c r="W3084">
        <v>0.1954157</v>
      </c>
      <c r="X3084">
        <v>0.96406950000000002</v>
      </c>
      <c r="Y3084">
        <v>-0.34863529999999998</v>
      </c>
      <c r="Z3084">
        <v>2.6340059999999998E-2</v>
      </c>
      <c r="AA3084">
        <v>0.93688830000000001</v>
      </c>
      <c r="AB3084">
        <v>26</v>
      </c>
      <c r="AC3084">
        <v>12.619</v>
      </c>
      <c r="AD3084">
        <v>-1.1136196254140001</v>
      </c>
      <c r="AE3084">
        <v>-26.824400000000001</v>
      </c>
      <c r="AF3084">
        <v>-10.378649158620201</v>
      </c>
      <c r="AG3084">
        <v>-1.1136196254140001</v>
      </c>
      <c r="AH3084">
        <v>27.723567250791401</v>
      </c>
      <c r="AI3084">
        <v>92.154394596060399</v>
      </c>
      <c r="AJ3084">
        <v>110.52398886093</v>
      </c>
      <c r="AK3084">
        <v>29.6235157963566</v>
      </c>
      <c r="AL3084">
        <v>78.730990845254098</v>
      </c>
      <c r="AM3084">
        <v>100.573067423263</v>
      </c>
      <c r="AN3084">
        <v>0.99999995548481402</v>
      </c>
    </row>
    <row r="3085" spans="1:40" x14ac:dyDescent="0.25">
      <c r="A3085" t="str">
        <f>"20190304155652681"</f>
        <v>20190304155652681</v>
      </c>
      <c r="B3085" t="str">
        <f>"1551686212677855"</f>
        <v>1551686212677855</v>
      </c>
      <c r="C3085" t="s">
        <v>40</v>
      </c>
      <c r="D3085">
        <v>4.3576199999999998</v>
      </c>
      <c r="E3085">
        <v>0.4281161</v>
      </c>
      <c r="F3085" t="s">
        <v>53</v>
      </c>
      <c r="G3085">
        <v>-479.49149999999997</v>
      </c>
      <c r="H3085" s="1">
        <v>1.3876310000000001E-6</v>
      </c>
      <c r="I3085">
        <v>208.38050000000001</v>
      </c>
      <c r="J3085">
        <v>-492.08629999999999</v>
      </c>
      <c r="K3085">
        <v>1.1137549999999901</v>
      </c>
      <c r="L3085">
        <v>234.86449999999999</v>
      </c>
      <c r="M3085">
        <v>8.6206420000000006E-2</v>
      </c>
      <c r="N3085">
        <v>-1.1668009999999999E-2</v>
      </c>
      <c r="O3085">
        <v>-0.99620889999999995</v>
      </c>
      <c r="P3085">
        <v>0.2628317</v>
      </c>
      <c r="Q3085">
        <v>0.1860021</v>
      </c>
      <c r="R3085">
        <v>-0.94674320000000001</v>
      </c>
      <c r="S3085">
        <v>1.3338620000000001</v>
      </c>
      <c r="T3085">
        <v>-0.1177026</v>
      </c>
      <c r="U3085">
        <v>-2.8251650000000001</v>
      </c>
      <c r="V3085">
        <v>-0.1819578</v>
      </c>
      <c r="W3085">
        <v>0.19566919999999999</v>
      </c>
      <c r="X3085">
        <v>0.96364150000000004</v>
      </c>
      <c r="Y3085">
        <v>-0.34714729999999999</v>
      </c>
      <c r="Z3085">
        <v>2.6650739999999999E-2</v>
      </c>
      <c r="AA3085">
        <v>0.93743189999999998</v>
      </c>
      <c r="AB3085">
        <v>26</v>
      </c>
      <c r="AC3085">
        <v>12.594799999999999</v>
      </c>
      <c r="AD3085">
        <v>-1.11375361236899</v>
      </c>
      <c r="AE3085">
        <v>-26.483999999999899</v>
      </c>
      <c r="AF3085">
        <v>-10.2498768039793</v>
      </c>
      <c r="AG3085">
        <v>-1.11375361236899</v>
      </c>
      <c r="AH3085">
        <v>27.431655644825401</v>
      </c>
      <c r="AI3085">
        <v>92.178067414081298</v>
      </c>
      <c r="AJ3085">
        <v>110.488272931232</v>
      </c>
      <c r="AK3085">
        <v>29.305223988601401</v>
      </c>
      <c r="AL3085">
        <v>78.716181061308006</v>
      </c>
      <c r="AM3085">
        <v>100.692872539654</v>
      </c>
      <c r="AN3085">
        <v>1.00000000866586</v>
      </c>
    </row>
    <row r="3086" spans="1:40" x14ac:dyDescent="0.25">
      <c r="A3086" t="str">
        <f>"20190304155652706"</f>
        <v>20190304155652706</v>
      </c>
      <c r="B3086" t="str">
        <f>"1551686212698351"</f>
        <v>1551686212698351</v>
      </c>
      <c r="C3086" t="s">
        <v>40</v>
      </c>
      <c r="D3086">
        <v>4.2986979999999999</v>
      </c>
      <c r="E3086">
        <v>0.42887989999999998</v>
      </c>
      <c r="F3086" t="s">
        <v>53</v>
      </c>
      <c r="G3086">
        <v>-479.4742</v>
      </c>
      <c r="H3086" s="1">
        <v>1.4164169999999999E-6</v>
      </c>
      <c r="I3086">
        <v>208.5343</v>
      </c>
      <c r="J3086">
        <v>-492.05540000000002</v>
      </c>
      <c r="K3086">
        <v>1.113912</v>
      </c>
      <c r="L3086">
        <v>234.57980000000001</v>
      </c>
      <c r="M3086">
        <v>9.1968629999999996E-2</v>
      </c>
      <c r="N3086">
        <v>-1.1702000000000001E-2</v>
      </c>
      <c r="O3086">
        <v>-0.9956933</v>
      </c>
      <c r="P3086">
        <v>0.26997349999999998</v>
      </c>
      <c r="Q3086">
        <v>0.1865791</v>
      </c>
      <c r="R3086">
        <v>-0.94461799999999996</v>
      </c>
      <c r="S3086">
        <v>1.3495790000000001</v>
      </c>
      <c r="T3086">
        <v>-0.1191791</v>
      </c>
      <c r="U3086">
        <v>-2.8175050000000001</v>
      </c>
      <c r="V3086">
        <v>-0.18375349999999999</v>
      </c>
      <c r="W3086">
        <v>0.19618820000000001</v>
      </c>
      <c r="X3086">
        <v>0.96319509999999997</v>
      </c>
      <c r="Y3086">
        <v>-0.34696120000000003</v>
      </c>
      <c r="Z3086">
        <v>2.7134149999999999E-2</v>
      </c>
      <c r="AA3086">
        <v>0.93748690000000001</v>
      </c>
      <c r="AB3086">
        <v>26</v>
      </c>
      <c r="AC3086">
        <v>12.581200000000001</v>
      </c>
      <c r="AD3086">
        <v>-1.1139105835830001</v>
      </c>
      <c r="AE3086">
        <v>-26.045500000000001</v>
      </c>
      <c r="AF3086">
        <v>-10.1173353076134</v>
      </c>
      <c r="AG3086">
        <v>-1.1139105835830001</v>
      </c>
      <c r="AH3086">
        <v>27.052136809586099</v>
      </c>
      <c r="AI3086">
        <v>92.208656890308802</v>
      </c>
      <c r="AJ3086">
        <v>110.505492332765</v>
      </c>
      <c r="AK3086">
        <v>28.903622203444701</v>
      </c>
      <c r="AL3086">
        <v>78.685856478440499</v>
      </c>
      <c r="AM3086">
        <v>100.800815484224</v>
      </c>
      <c r="AN3086">
        <v>0.999999979622749</v>
      </c>
    </row>
    <row r="3087" spans="1:40" x14ac:dyDescent="0.25">
      <c r="A3087" t="str">
        <f>"20190304155652727"</f>
        <v>20190304155652727</v>
      </c>
      <c r="B3087" t="str">
        <f>"1551686212717872"</f>
        <v>1551686212717872</v>
      </c>
      <c r="C3087" t="s">
        <v>40</v>
      </c>
      <c r="D3087">
        <v>4.3238469999999998</v>
      </c>
      <c r="E3087">
        <v>0.42960860000000001</v>
      </c>
      <c r="F3087" t="s">
        <v>53</v>
      </c>
      <c r="G3087">
        <v>-479.39269999999999</v>
      </c>
      <c r="H3087" s="1">
        <v>1.4542209999999999E-6</v>
      </c>
      <c r="I3087">
        <v>208.5198</v>
      </c>
      <c r="J3087">
        <v>-492.02749999999997</v>
      </c>
      <c r="K3087">
        <v>1.114034</v>
      </c>
      <c r="L3087">
        <v>234.3372</v>
      </c>
      <c r="M3087">
        <v>9.7051020000000002E-2</v>
      </c>
      <c r="N3087">
        <v>-1.1729440000000001E-2</v>
      </c>
      <c r="O3087">
        <v>-0.99521029999999999</v>
      </c>
      <c r="P3087">
        <v>0.27641480000000002</v>
      </c>
      <c r="Q3087">
        <v>0.18687329999999999</v>
      </c>
      <c r="R3087">
        <v>-0.94269480000000005</v>
      </c>
      <c r="S3087">
        <v>1.365143</v>
      </c>
      <c r="T3087">
        <v>-0.1200886</v>
      </c>
      <c r="U3087">
        <v>-2.8094790000000001</v>
      </c>
      <c r="V3087">
        <v>-0.18548139999999999</v>
      </c>
      <c r="W3087">
        <v>0.1964332</v>
      </c>
      <c r="X3087">
        <v>0.9628139</v>
      </c>
      <c r="Y3087">
        <v>-0.34742190000000001</v>
      </c>
      <c r="Z3087">
        <v>2.744123E-2</v>
      </c>
      <c r="AA3087">
        <v>0.93730729999999995</v>
      </c>
      <c r="AB3087">
        <v>26</v>
      </c>
      <c r="AC3087">
        <v>12.634799999999901</v>
      </c>
      <c r="AD3087">
        <v>-1.1140325457789999</v>
      </c>
      <c r="AE3087">
        <v>-25.8173999999999</v>
      </c>
      <c r="AF3087">
        <v>-10.0542673256887</v>
      </c>
      <c r="AG3087">
        <v>-1.1140325457789999</v>
      </c>
      <c r="AH3087">
        <v>26.8814335011106</v>
      </c>
      <c r="AI3087">
        <v>92.222890484867904</v>
      </c>
      <c r="AJ3087">
        <v>110.506939648312</v>
      </c>
      <c r="AK3087">
        <v>28.721783145273101</v>
      </c>
      <c r="AL3087">
        <v>78.671540439040797</v>
      </c>
      <c r="AM3087">
        <v>100.90416962424401</v>
      </c>
      <c r="AN3087">
        <v>0.99999997892070402</v>
      </c>
    </row>
    <row r="3088" spans="1:40" x14ac:dyDescent="0.25">
      <c r="A3088" t="str">
        <f>"20190304155652749"</f>
        <v>20190304155652749</v>
      </c>
      <c r="B3088" t="str">
        <f>"1551686212737390"</f>
        <v>1551686212737390</v>
      </c>
      <c r="C3088" t="s">
        <v>40</v>
      </c>
      <c r="D3088">
        <v>4.273396</v>
      </c>
      <c r="E3088">
        <v>0.43018859999999998</v>
      </c>
      <c r="F3088" t="s">
        <v>53</v>
      </c>
      <c r="G3088">
        <v>-479.33030000000002</v>
      </c>
      <c r="H3088" s="1">
        <v>1.486151E-6</v>
      </c>
      <c r="I3088">
        <v>208.53139999999999</v>
      </c>
      <c r="J3088">
        <v>-491.9957</v>
      </c>
      <c r="K3088">
        <v>1.1141650000000001</v>
      </c>
      <c r="L3088">
        <v>234.07400000000001</v>
      </c>
      <c r="M3088">
        <v>0.10273400000000001</v>
      </c>
      <c r="N3088">
        <v>-1.175735E-2</v>
      </c>
      <c r="O3088">
        <v>-0.99463950000000001</v>
      </c>
      <c r="P3088">
        <v>0.28368910000000003</v>
      </c>
      <c r="Q3088">
        <v>0.18668689999999999</v>
      </c>
      <c r="R3088">
        <v>-0.94056830000000002</v>
      </c>
      <c r="S3088">
        <v>1.3786929999999999</v>
      </c>
      <c r="T3088">
        <v>-0.1209645</v>
      </c>
      <c r="U3088">
        <v>-2.802063</v>
      </c>
      <c r="V3088">
        <v>-0.18747900000000001</v>
      </c>
      <c r="W3088">
        <v>0.19619429999999999</v>
      </c>
      <c r="X3088">
        <v>0.96247570000000005</v>
      </c>
      <c r="Y3088">
        <v>-0.34669260000000002</v>
      </c>
      <c r="Z3088">
        <v>2.7740299999999999E-2</v>
      </c>
      <c r="AA3088">
        <v>0.93756850000000003</v>
      </c>
      <c r="AB3088">
        <v>26</v>
      </c>
      <c r="AC3088">
        <v>12.665399999999901</v>
      </c>
      <c r="AD3088">
        <v>-1.114163513849</v>
      </c>
      <c r="AE3088">
        <v>-25.5426</v>
      </c>
      <c r="AF3088">
        <v>-9.9588926711195001</v>
      </c>
      <c r="AG3088">
        <v>-1.114163513849</v>
      </c>
      <c r="AH3088">
        <v>26.6679617491335</v>
      </c>
      <c r="AI3088">
        <v>92.241356954789893</v>
      </c>
      <c r="AJ3088">
        <v>110.477660305349</v>
      </c>
      <c r="AK3088">
        <v>28.488613294151701</v>
      </c>
      <c r="AL3088">
        <v>78.685500578167293</v>
      </c>
      <c r="AM3088">
        <v>101.022523042023</v>
      </c>
      <c r="AN3088">
        <v>1.0000000259419799</v>
      </c>
    </row>
    <row r="3089" spans="1:40" x14ac:dyDescent="0.25">
      <c r="A3089" t="str">
        <f>"20190304155652770"</f>
        <v>20190304155652770</v>
      </c>
      <c r="B3089" t="str">
        <f>"1551686212767647"</f>
        <v>1551686212767647</v>
      </c>
      <c r="C3089" t="s">
        <v>40</v>
      </c>
      <c r="D3089">
        <v>4.2901490000000004</v>
      </c>
      <c r="E3089">
        <v>0.43098570000000003</v>
      </c>
      <c r="F3089" t="s">
        <v>53</v>
      </c>
      <c r="G3089">
        <v>-479.31599999999997</v>
      </c>
      <c r="H3089" s="1">
        <v>1.514161E-6</v>
      </c>
      <c r="I3089">
        <v>208.69040000000001</v>
      </c>
      <c r="J3089">
        <v>-491.96449999999999</v>
      </c>
      <c r="K3089">
        <v>1.1142840000000001</v>
      </c>
      <c r="L3089">
        <v>233.8287</v>
      </c>
      <c r="M3089">
        <v>0.1081975</v>
      </c>
      <c r="N3089">
        <v>-1.1782920000000001E-2</v>
      </c>
      <c r="O3089">
        <v>-0.99405960000000004</v>
      </c>
      <c r="P3089">
        <v>0.29060269999999999</v>
      </c>
      <c r="Q3089">
        <v>0.18630650000000001</v>
      </c>
      <c r="R3089">
        <v>-0.93853070000000005</v>
      </c>
      <c r="S3089">
        <v>1.395203</v>
      </c>
      <c r="T3089">
        <v>-0.1225965</v>
      </c>
      <c r="U3089">
        <v>-2.7930760000000001</v>
      </c>
      <c r="V3089">
        <v>-0.1893186</v>
      </c>
      <c r="W3089">
        <v>0.195766</v>
      </c>
      <c r="X3089">
        <v>0.96220280000000002</v>
      </c>
      <c r="Y3089">
        <v>-0.34717100000000001</v>
      </c>
      <c r="Z3089">
        <v>2.828835E-2</v>
      </c>
      <c r="AA3089">
        <v>0.93737510000000002</v>
      </c>
      <c r="AB3089">
        <v>26</v>
      </c>
      <c r="AC3089">
        <v>12.6485</v>
      </c>
      <c r="AD3089">
        <v>-1.1142824858389999</v>
      </c>
      <c r="AE3089">
        <v>-25.138299999999902</v>
      </c>
      <c r="AF3089">
        <v>-9.8387197675243208</v>
      </c>
      <c r="AG3089">
        <v>-1.1142824858389999</v>
      </c>
      <c r="AH3089">
        <v>26.318070778389401</v>
      </c>
      <c r="AI3089">
        <v>92.271069880941099</v>
      </c>
      <c r="AJ3089">
        <v>110.497700861987</v>
      </c>
      <c r="AK3089">
        <v>28.119083939887499</v>
      </c>
      <c r="AL3089">
        <v>78.7105258527627</v>
      </c>
      <c r="AM3089">
        <v>101.13106982121801</v>
      </c>
      <c r="AN3089">
        <v>1.0000000436948899</v>
      </c>
    </row>
    <row r="3090" spans="1:40" x14ac:dyDescent="0.25">
      <c r="A3090" t="str">
        <f>"20190304155652783"</f>
        <v>20190304155652783</v>
      </c>
      <c r="B3090" t="str">
        <f>"1551686212777407"</f>
        <v>1551686212777407</v>
      </c>
      <c r="C3090" t="s">
        <v>40</v>
      </c>
      <c r="D3090">
        <v>4.3144450000000001</v>
      </c>
      <c r="E3090">
        <v>0.43118869999999998</v>
      </c>
      <c r="F3090" t="s">
        <v>53</v>
      </c>
      <c r="G3090">
        <v>-479.43560000000002</v>
      </c>
      <c r="H3090" s="1">
        <v>1.5055790000000001E-6</v>
      </c>
      <c r="I3090">
        <v>209.06569999999999</v>
      </c>
      <c r="J3090">
        <v>-491.94279999999998</v>
      </c>
      <c r="K3090">
        <v>1.114355</v>
      </c>
      <c r="L3090">
        <v>233.66659999999999</v>
      </c>
      <c r="M3090">
        <v>0.1119038</v>
      </c>
      <c r="N3090">
        <v>-1.1799830000000001E-2</v>
      </c>
      <c r="O3090">
        <v>-0.99364909999999995</v>
      </c>
      <c r="P3090">
        <v>0.2949949</v>
      </c>
      <c r="Q3090">
        <v>0.18626999999999999</v>
      </c>
      <c r="R3090">
        <v>-0.93716690000000002</v>
      </c>
      <c r="S3090">
        <v>1.4090879999999999</v>
      </c>
      <c r="T3090">
        <v>-0.1253204</v>
      </c>
      <c r="U3090">
        <v>-2.785034</v>
      </c>
      <c r="V3090">
        <v>-0.1902721</v>
      </c>
      <c r="W3090">
        <v>0.19570100000000001</v>
      </c>
      <c r="X3090">
        <v>0.96202790000000005</v>
      </c>
      <c r="Y3090">
        <v>-0.34846949999999999</v>
      </c>
      <c r="Z3090">
        <v>2.9193770000000001E-2</v>
      </c>
      <c r="AA3090">
        <v>0.93686539999999996</v>
      </c>
      <c r="AB3090">
        <v>27</v>
      </c>
      <c r="AC3090">
        <v>12.5071999999999</v>
      </c>
      <c r="AD3090">
        <v>-1.1143534944210001</v>
      </c>
      <c r="AE3090">
        <v>-24.600899999999999</v>
      </c>
      <c r="AF3090">
        <v>-9.6597568692804501</v>
      </c>
      <c r="AG3090">
        <v>-1.1143534944210001</v>
      </c>
      <c r="AH3090">
        <v>25.803990450403699</v>
      </c>
      <c r="AI3090">
        <v>92.316024935868498</v>
      </c>
      <c r="AJ3090">
        <v>110.523451852254</v>
      </c>
      <c r="AK3090">
        <v>27.575326102308601</v>
      </c>
      <c r="AL3090">
        <v>78.714323230112598</v>
      </c>
      <c r="AM3090">
        <v>101.187703321684</v>
      </c>
      <c r="AN3090">
        <v>1.0000000169089001</v>
      </c>
    </row>
    <row r="3091" spans="1:40" x14ac:dyDescent="0.25">
      <c r="A3091" t="str">
        <f>"20190304155652803"</f>
        <v>20190304155652803</v>
      </c>
      <c r="B3091" t="str">
        <f>"1551686212797903"</f>
        <v>1551686212797903</v>
      </c>
      <c r="C3091" t="s">
        <v>40</v>
      </c>
      <c r="D3091">
        <v>4.3086799999999998</v>
      </c>
      <c r="E3091">
        <v>0.4315542</v>
      </c>
      <c r="F3091" t="s">
        <v>53</v>
      </c>
      <c r="G3091">
        <v>-479.37599999999998</v>
      </c>
      <c r="H3091" s="1">
        <v>1.5341540000000001E-6</v>
      </c>
      <c r="I3091">
        <v>209.07550000000001</v>
      </c>
      <c r="J3091">
        <v>-491.91160000000002</v>
      </c>
      <c r="K3091">
        <v>1.1144499999999999</v>
      </c>
      <c r="L3091">
        <v>233.43950000000001</v>
      </c>
      <c r="M3091">
        <v>0.1171701</v>
      </c>
      <c r="N3091">
        <v>-1.182246E-2</v>
      </c>
      <c r="O3091">
        <v>-0.99304150000000002</v>
      </c>
      <c r="P3091">
        <v>0.30138090000000001</v>
      </c>
      <c r="Q3091">
        <v>0.1858609</v>
      </c>
      <c r="R3091">
        <v>-0.93521399999999999</v>
      </c>
      <c r="S3091">
        <v>1.4202269999999999</v>
      </c>
      <c r="T3091">
        <v>-0.1259371</v>
      </c>
      <c r="U3091">
        <v>-2.7791290000000002</v>
      </c>
      <c r="V3091">
        <v>-0.1917683</v>
      </c>
      <c r="W3091">
        <v>0.19525300000000001</v>
      </c>
      <c r="X3091">
        <v>0.96182179999999995</v>
      </c>
      <c r="Y3091">
        <v>-0.34728120000000001</v>
      </c>
      <c r="Z3091">
        <v>2.9402569999999999E-2</v>
      </c>
      <c r="AA3091">
        <v>0.93730000000000002</v>
      </c>
      <c r="AB3091">
        <v>27</v>
      </c>
      <c r="AC3091">
        <v>12.535600000000001</v>
      </c>
      <c r="AD3091">
        <v>-1.1144484658460001</v>
      </c>
      <c r="AE3091">
        <v>-24.364000000000001</v>
      </c>
      <c r="AF3091">
        <v>-9.57846300294994</v>
      </c>
      <c r="AG3091">
        <v>-1.1144484658460001</v>
      </c>
      <c r="AH3091">
        <v>25.6226651542589</v>
      </c>
      <c r="AI3091">
        <v>92.332995746953699</v>
      </c>
      <c r="AJ3091">
        <v>110.49713766242699</v>
      </c>
      <c r="AK3091">
        <v>27.3771787898092</v>
      </c>
      <c r="AL3091">
        <v>78.740496418870293</v>
      </c>
      <c r="AM3091">
        <v>101.27578674693601</v>
      </c>
      <c r="AN3091">
        <v>0.99999999492456504</v>
      </c>
    </row>
    <row r="3092" spans="1:40" x14ac:dyDescent="0.25">
      <c r="A3092" t="str">
        <f>"20190304155652818"</f>
        <v>20190304155652818</v>
      </c>
      <c r="B3092" t="str">
        <f>"1551686212807664"</f>
        <v>1551686212807664</v>
      </c>
      <c r="C3092" t="s">
        <v>40</v>
      </c>
      <c r="D3092">
        <v>4.2952050000000002</v>
      </c>
      <c r="E3092">
        <v>0.4317416</v>
      </c>
      <c r="F3092" t="s">
        <v>53</v>
      </c>
      <c r="G3092">
        <v>-479.36439999999999</v>
      </c>
      <c r="H3092" s="1">
        <v>1.553968E-6</v>
      </c>
      <c r="I3092">
        <v>209.24119999999999</v>
      </c>
      <c r="J3092">
        <v>-491.88690000000003</v>
      </c>
      <c r="K3092">
        <v>1.1145179999999999</v>
      </c>
      <c r="L3092">
        <v>233.26650000000001</v>
      </c>
      <c r="M3092">
        <v>0.12124939999999999</v>
      </c>
      <c r="N3092">
        <v>-1.183872E-2</v>
      </c>
      <c r="O3092">
        <v>-0.99255150000000003</v>
      </c>
      <c r="P3092">
        <v>0.30602190000000001</v>
      </c>
      <c r="Q3092">
        <v>0.18567649999999999</v>
      </c>
      <c r="R3092">
        <v>-0.93374270000000004</v>
      </c>
      <c r="S3092">
        <v>1.4364319999999999</v>
      </c>
      <c r="T3092">
        <v>-0.12758430000000001</v>
      </c>
      <c r="U3092">
        <v>-2.7702640000000001</v>
      </c>
      <c r="V3092">
        <v>-0.19262029999999999</v>
      </c>
      <c r="W3092">
        <v>0.19504299999999999</v>
      </c>
      <c r="X3092">
        <v>0.96169420000000005</v>
      </c>
      <c r="Y3092">
        <v>-0.34896460000000001</v>
      </c>
      <c r="Z3092">
        <v>2.9957359999999999E-2</v>
      </c>
      <c r="AA3092">
        <v>0.93665699999999996</v>
      </c>
      <c r="AB3092">
        <v>27</v>
      </c>
      <c r="AC3092">
        <v>12.522500000000001</v>
      </c>
      <c r="AD3092">
        <v>-1.1145164460320001</v>
      </c>
      <c r="AE3092">
        <v>-24.025300000000001</v>
      </c>
      <c r="AF3092">
        <v>-9.5007621317357902</v>
      </c>
      <c r="AG3092">
        <v>-1.1145164460320001</v>
      </c>
      <c r="AH3092">
        <v>25.323616709488199</v>
      </c>
      <c r="AI3092">
        <v>92.359616738525602</v>
      </c>
      <c r="AJ3092">
        <v>110.56478419309801</v>
      </c>
      <c r="AK3092">
        <v>27.070134673498899</v>
      </c>
      <c r="AL3092">
        <v>78.752764947767702</v>
      </c>
      <c r="AM3092">
        <v>101.326055424701</v>
      </c>
      <c r="AN3092">
        <v>1.0000000430673599</v>
      </c>
    </row>
    <row r="3093" spans="1:40" x14ac:dyDescent="0.25">
      <c r="A3093" t="str">
        <f>"20190304155652844"</f>
        <v>20190304155652844</v>
      </c>
      <c r="B3093" t="str">
        <f>"1551686212837920"</f>
        <v>1551686212837920</v>
      </c>
      <c r="C3093" t="s">
        <v>40</v>
      </c>
      <c r="D3093">
        <v>4.274521</v>
      </c>
      <c r="E3093">
        <v>0.43218719999999999</v>
      </c>
      <c r="F3093" t="s">
        <v>53</v>
      </c>
      <c r="G3093">
        <v>-479.3</v>
      </c>
      <c r="H3093" s="1">
        <v>1.583955E-6</v>
      </c>
      <c r="I3093">
        <v>209.25749999999999</v>
      </c>
      <c r="J3093">
        <v>-491.84100000000001</v>
      </c>
      <c r="K3093">
        <v>1.114635</v>
      </c>
      <c r="L3093">
        <v>232.9588</v>
      </c>
      <c r="M3093">
        <v>0.12865689999999999</v>
      </c>
      <c r="N3093">
        <v>-1.186597E-2</v>
      </c>
      <c r="O3093">
        <v>-0.99161829999999995</v>
      </c>
      <c r="P3093">
        <v>0.31408570000000002</v>
      </c>
      <c r="Q3093">
        <v>0.18563650000000001</v>
      </c>
      <c r="R3093">
        <v>-0.93106929999999999</v>
      </c>
      <c r="S3093">
        <v>1.4488219999999901</v>
      </c>
      <c r="T3093">
        <v>-0.12828709999999999</v>
      </c>
      <c r="U3093">
        <v>-2.7635649999999998</v>
      </c>
      <c r="V3093">
        <v>-0.19381390000000001</v>
      </c>
      <c r="W3093">
        <v>0.1949593</v>
      </c>
      <c r="X3093">
        <v>0.96147130000000003</v>
      </c>
      <c r="Y3093">
        <v>-0.34619070000000002</v>
      </c>
      <c r="Z3093">
        <v>3.0194740000000001E-2</v>
      </c>
      <c r="AA3093">
        <v>0.93767809999999996</v>
      </c>
      <c r="AB3093">
        <v>27</v>
      </c>
      <c r="AC3093">
        <v>12.540999999999899</v>
      </c>
      <c r="AD3093">
        <v>-1.114633416045</v>
      </c>
      <c r="AE3093">
        <v>-23.7013</v>
      </c>
      <c r="AF3093">
        <v>-9.3710168594013403</v>
      </c>
      <c r="AG3093">
        <v>-1.114633416045</v>
      </c>
      <c r="AH3093">
        <v>25.0745679097869</v>
      </c>
      <c r="AI3093">
        <v>92.384408447596101</v>
      </c>
      <c r="AJ3093">
        <v>110.49202074917901</v>
      </c>
      <c r="AK3093">
        <v>26.7916464685145</v>
      </c>
      <c r="AL3093">
        <v>78.757654075891693</v>
      </c>
      <c r="AM3093">
        <v>101.39698098909101</v>
      </c>
      <c r="AN3093">
        <v>1.00000000860669</v>
      </c>
    </row>
    <row r="3094" spans="1:40" x14ac:dyDescent="0.25">
      <c r="A3094" t="str">
        <f>"20190304155652859"</f>
        <v>20190304155652859</v>
      </c>
      <c r="B3094" t="str">
        <f>"1551686212847679"</f>
        <v>1551686212847679</v>
      </c>
      <c r="C3094" t="s">
        <v>40</v>
      </c>
      <c r="D3094">
        <v>4.2794379999999999</v>
      </c>
      <c r="E3094">
        <v>0.43236530000000001</v>
      </c>
      <c r="F3094" t="s">
        <v>53</v>
      </c>
      <c r="G3094">
        <v>-479.06349999999998</v>
      </c>
      <c r="H3094" s="1">
        <v>1.6686119999999999E-6</v>
      </c>
      <c r="I3094">
        <v>209.0291</v>
      </c>
      <c r="J3094">
        <v>-491.81439999999998</v>
      </c>
      <c r="K3094">
        <v>1.1146940000000001</v>
      </c>
      <c r="L3094">
        <v>232.7877</v>
      </c>
      <c r="M3094">
        <v>0.13286529999999999</v>
      </c>
      <c r="N3094">
        <v>-1.188084E-2</v>
      </c>
      <c r="O3094">
        <v>-0.99106289999999997</v>
      </c>
      <c r="P3094">
        <v>0.31899189999999999</v>
      </c>
      <c r="Q3094">
        <v>0.18564030000000001</v>
      </c>
      <c r="R3094">
        <v>-0.92939879999999997</v>
      </c>
      <c r="S3094">
        <v>1.469452</v>
      </c>
      <c r="T3094">
        <v>-0.1281861</v>
      </c>
      <c r="U3094">
        <v>-2.7519840000000002</v>
      </c>
      <c r="V3094">
        <v>-0.19483629999999999</v>
      </c>
      <c r="W3094">
        <v>0.1949331</v>
      </c>
      <c r="X3094">
        <v>0.96126999999999996</v>
      </c>
      <c r="Y3094">
        <v>-0.3493136</v>
      </c>
      <c r="Z3094">
        <v>3.0191140000000002E-2</v>
      </c>
      <c r="AA3094">
        <v>0.9365194</v>
      </c>
      <c r="AB3094">
        <v>27</v>
      </c>
      <c r="AC3094">
        <v>12.7509</v>
      </c>
      <c r="AD3094">
        <v>-1.1146923313879999</v>
      </c>
      <c r="AE3094">
        <v>-23.758600000000001</v>
      </c>
      <c r="AF3094">
        <v>-9.4647442684986292</v>
      </c>
      <c r="AG3094">
        <v>-1.1146923313879999</v>
      </c>
      <c r="AH3094">
        <v>25.199135277299501</v>
      </c>
      <c r="AI3094">
        <v>92.371303094442595</v>
      </c>
      <c r="AJ3094">
        <v>110.58607691548799</v>
      </c>
      <c r="AK3094">
        <v>26.941053093473698</v>
      </c>
      <c r="AL3094">
        <v>78.759185119119195</v>
      </c>
      <c r="AM3094">
        <v>101.45785194137299</v>
      </c>
      <c r="AN3094">
        <v>1.0000000550866399</v>
      </c>
    </row>
    <row r="3095" spans="1:40" x14ac:dyDescent="0.25">
      <c r="A3095" t="str">
        <f>"20190304155652881"</f>
        <v>20190304155652881</v>
      </c>
      <c r="B3095" t="str">
        <f>"1551686212877935"</f>
        <v>1551686212877935</v>
      </c>
      <c r="C3095" t="s">
        <v>40</v>
      </c>
      <c r="D3095">
        <v>4.2426009999999996</v>
      </c>
      <c r="E3095">
        <v>0.43256119999999998</v>
      </c>
      <c r="F3095" t="s">
        <v>53</v>
      </c>
      <c r="G3095">
        <v>-478.90789999999998</v>
      </c>
      <c r="H3095" s="1">
        <v>1.7253569999999999E-6</v>
      </c>
      <c r="I3095">
        <v>208.8905</v>
      </c>
      <c r="J3095">
        <v>-491.77370000000002</v>
      </c>
      <c r="K3095">
        <v>1.1147860000000001</v>
      </c>
      <c r="L3095">
        <v>232.53559999999999</v>
      </c>
      <c r="M3095">
        <v>0.13917299999999999</v>
      </c>
      <c r="N3095">
        <v>-1.190249E-2</v>
      </c>
      <c r="O3095">
        <v>-0.99019679999999999</v>
      </c>
      <c r="P3095">
        <v>0.32579089999999999</v>
      </c>
      <c r="Q3095">
        <v>0.1852239</v>
      </c>
      <c r="R3095">
        <v>-0.92712070000000002</v>
      </c>
      <c r="S3095">
        <v>1.482361</v>
      </c>
      <c r="T3095">
        <v>-0.12802659999999999</v>
      </c>
      <c r="U3095">
        <v>-2.7446899999999999</v>
      </c>
      <c r="V3095">
        <v>-0.19578880000000001</v>
      </c>
      <c r="W3095">
        <v>0.19448029999999999</v>
      </c>
      <c r="X3095">
        <v>0.96116809999999997</v>
      </c>
      <c r="Y3095">
        <v>-0.34779860000000001</v>
      </c>
      <c r="Z3095">
        <v>3.0151520000000001E-2</v>
      </c>
      <c r="AA3095">
        <v>0.93708429999999998</v>
      </c>
      <c r="AB3095">
        <v>27</v>
      </c>
      <c r="AC3095">
        <v>12.8658</v>
      </c>
      <c r="AD3095">
        <v>-1.1147842746429999</v>
      </c>
      <c r="AE3095">
        <v>-23.6450999999999</v>
      </c>
      <c r="AF3095">
        <v>-9.4334029601525096</v>
      </c>
      <c r="AG3095">
        <v>-1.1147842746429999</v>
      </c>
      <c r="AH3095">
        <v>25.162499154921701</v>
      </c>
      <c r="AI3095">
        <v>92.375492621924494</v>
      </c>
      <c r="AJ3095">
        <v>110.55098598088</v>
      </c>
      <c r="AK3095">
        <v>26.895784039678801</v>
      </c>
      <c r="AL3095">
        <v>78.785633989126595</v>
      </c>
      <c r="AM3095">
        <v>101.513562071059</v>
      </c>
      <c r="AN3095">
        <v>0.99999997887556902</v>
      </c>
    </row>
    <row r="3096" spans="1:40" x14ac:dyDescent="0.25">
      <c r="A3096" t="str">
        <f>"20190304155652894"</f>
        <v>20190304155652894</v>
      </c>
      <c r="B3096" t="str">
        <f>"1551686212887695"</f>
        <v>1551686212887695</v>
      </c>
      <c r="C3096" t="s">
        <v>40</v>
      </c>
      <c r="D3096">
        <v>4.1978960000000001</v>
      </c>
      <c r="E3096">
        <v>0.4326411</v>
      </c>
      <c r="F3096" t="s">
        <v>53</v>
      </c>
      <c r="G3096">
        <v>-478.94060000000002</v>
      </c>
      <c r="H3096" s="1">
        <v>1.735272E-6</v>
      </c>
      <c r="I3096">
        <v>209.16630000000001</v>
      </c>
      <c r="J3096">
        <v>-491.74790000000002</v>
      </c>
      <c r="K3096">
        <v>1.1148469999999999</v>
      </c>
      <c r="L3096">
        <v>232.38140000000001</v>
      </c>
      <c r="M3096">
        <v>0.14309069999999999</v>
      </c>
      <c r="N3096">
        <v>-1.1915480000000001E-2</v>
      </c>
      <c r="O3096">
        <v>-0.98963800000000002</v>
      </c>
      <c r="P3096">
        <v>0.32955200000000001</v>
      </c>
      <c r="Q3096">
        <v>0.18529329999999999</v>
      </c>
      <c r="R3096">
        <v>-0.92577670000000001</v>
      </c>
      <c r="S3096">
        <v>1.501495</v>
      </c>
      <c r="T3096">
        <v>-0.13043189999999999</v>
      </c>
      <c r="U3096">
        <v>-2.7342529999999998</v>
      </c>
      <c r="V3096">
        <v>-0.1959187</v>
      </c>
      <c r="W3096">
        <v>0.19453129999999999</v>
      </c>
      <c r="X3096">
        <v>0.96113130000000002</v>
      </c>
      <c r="Y3096">
        <v>-0.35062009999999899</v>
      </c>
      <c r="Z3096">
        <v>3.0953419999999999E-2</v>
      </c>
      <c r="AA3096">
        <v>0.93600609999999995</v>
      </c>
      <c r="AB3096">
        <v>27</v>
      </c>
      <c r="AC3096">
        <v>12.8072999999999</v>
      </c>
      <c r="AD3096">
        <v>-1.1148452647279901</v>
      </c>
      <c r="AE3096">
        <v>-23.2151</v>
      </c>
      <c r="AF3096">
        <v>-9.3368804263535505</v>
      </c>
      <c r="AG3096">
        <v>-1.1148452647279901</v>
      </c>
      <c r="AH3096">
        <v>24.765122292824401</v>
      </c>
      <c r="AI3096">
        <v>92.4120151138371</v>
      </c>
      <c r="AJ3096">
        <v>110.657312590627</v>
      </c>
      <c r="AK3096">
        <v>26.490215141422699</v>
      </c>
      <c r="AL3096">
        <v>78.7826549063508</v>
      </c>
      <c r="AM3096">
        <v>101.521426112299</v>
      </c>
      <c r="AN3096">
        <v>0.99999996976453398</v>
      </c>
    </row>
    <row r="3097" spans="1:40" x14ac:dyDescent="0.25">
      <c r="A3097" t="str">
        <f>"20190304155652917"</f>
        <v>20190304155652917</v>
      </c>
      <c r="B3097" t="str">
        <f>"1551686212908192"</f>
        <v>1551686212908192</v>
      </c>
      <c r="C3097" t="s">
        <v>40</v>
      </c>
      <c r="D3097">
        <v>4.2518000000000002</v>
      </c>
      <c r="E3097">
        <v>0.43278919999999999</v>
      </c>
      <c r="F3097" t="s">
        <v>53</v>
      </c>
      <c r="G3097">
        <v>-478.85419999999999</v>
      </c>
      <c r="H3097" s="1">
        <v>1.769365E-6</v>
      </c>
      <c r="I3097">
        <v>209.1189</v>
      </c>
      <c r="J3097">
        <v>-491.70359999999999</v>
      </c>
      <c r="K3097">
        <v>1.1149439999999999</v>
      </c>
      <c r="L3097">
        <v>232.12530000000001</v>
      </c>
      <c r="M3097">
        <v>0.1497125</v>
      </c>
      <c r="N3097">
        <v>-1.193658E-2</v>
      </c>
      <c r="O3097">
        <v>-0.98865769999999997</v>
      </c>
      <c r="P3097">
        <v>0.3366209</v>
      </c>
      <c r="Q3097">
        <v>0.1850038</v>
      </c>
      <c r="R3097">
        <v>-0.923288</v>
      </c>
      <c r="S3097">
        <v>1.512238</v>
      </c>
      <c r="T3097">
        <v>-0.13075490000000001</v>
      </c>
      <c r="U3097">
        <v>-2.728348</v>
      </c>
      <c r="V3097">
        <v>-0.1968713</v>
      </c>
      <c r="W3097">
        <v>0.19420209999999999</v>
      </c>
      <c r="X3097">
        <v>0.96100319999999995</v>
      </c>
      <c r="Y3097">
        <v>-0.34802680000000003</v>
      </c>
      <c r="Z3097">
        <v>3.1061479999999999E-2</v>
      </c>
      <c r="AA3097">
        <v>0.93696990000000002</v>
      </c>
      <c r="AB3097">
        <v>27</v>
      </c>
      <c r="AC3097">
        <v>12.849399999999999</v>
      </c>
      <c r="AD3097">
        <v>-1.1149422306350001</v>
      </c>
      <c r="AE3097">
        <v>-23.006399999999999</v>
      </c>
      <c r="AF3097">
        <v>-9.2434233340570593</v>
      </c>
      <c r="AG3097">
        <v>-1.1149422306350001</v>
      </c>
      <c r="AH3097">
        <v>24.626837275418001</v>
      </c>
      <c r="AI3097">
        <v>92.427093748733199</v>
      </c>
      <c r="AJ3097">
        <v>110.573094083282</v>
      </c>
      <c r="AK3097">
        <v>26.328028511458299</v>
      </c>
      <c r="AL3097">
        <v>78.801883244978796</v>
      </c>
      <c r="AM3097">
        <v>101.57743866219801</v>
      </c>
      <c r="AN3097">
        <v>0.99999995740916903</v>
      </c>
    </row>
    <row r="3098" spans="1:40" x14ac:dyDescent="0.25">
      <c r="A3098" t="str">
        <f>"20190304155652941"</f>
        <v>20190304155652941</v>
      </c>
      <c r="B3098" t="str">
        <f>"1551686212937472"</f>
        <v>1551686212937472</v>
      </c>
      <c r="C3098" t="s">
        <v>40</v>
      </c>
      <c r="D3098">
        <v>4.2520530000000001</v>
      </c>
      <c r="E3098">
        <v>0.43710359999999998</v>
      </c>
      <c r="F3098" t="s">
        <v>53</v>
      </c>
      <c r="G3098">
        <v>-478.80470000000003</v>
      </c>
      <c r="H3098" s="1">
        <v>1.8035679999999999E-6</v>
      </c>
      <c r="I3098">
        <v>209.25729999999999</v>
      </c>
      <c r="J3098">
        <v>-491.65370000000001</v>
      </c>
      <c r="K3098">
        <v>1.115048</v>
      </c>
      <c r="L3098">
        <v>231.84960000000001</v>
      </c>
      <c r="M3098">
        <v>0.15698809999999999</v>
      </c>
      <c r="N3098">
        <v>-1.195835E-2</v>
      </c>
      <c r="O3098">
        <v>-0.98752810000000002</v>
      </c>
      <c r="P3098">
        <v>0.34388649999999998</v>
      </c>
      <c r="Q3098">
        <v>0.1848081</v>
      </c>
      <c r="R3098">
        <v>-0.92064579999999996</v>
      </c>
      <c r="S3098">
        <v>1.532562</v>
      </c>
      <c r="T3098">
        <v>-0.132470799999999</v>
      </c>
      <c r="U3098">
        <v>-2.717041</v>
      </c>
      <c r="V3098">
        <v>-0.19741059999999999</v>
      </c>
      <c r="W3098">
        <v>0.193971</v>
      </c>
      <c r="X3098">
        <v>0.96093930000000005</v>
      </c>
      <c r="Y3098">
        <v>-0.34810029999999997</v>
      </c>
      <c r="Z3098">
        <v>3.163436E-2</v>
      </c>
      <c r="AA3098">
        <v>0.93692339999999996</v>
      </c>
      <c r="AB3098">
        <v>27</v>
      </c>
      <c r="AC3098">
        <v>12.848999999999901</v>
      </c>
      <c r="AD3098">
        <v>-1.115046196432</v>
      </c>
      <c r="AE3098">
        <v>-22.592300000000002</v>
      </c>
      <c r="AF3098">
        <v>-9.1258830583894799</v>
      </c>
      <c r="AG3098">
        <v>-1.115046196432</v>
      </c>
      <c r="AH3098">
        <v>24.284712705294599</v>
      </c>
      <c r="AI3098">
        <v>92.461112016089899</v>
      </c>
      <c r="AJ3098">
        <v>110.59557520647201</v>
      </c>
      <c r="AK3098">
        <v>25.966754529480099</v>
      </c>
      <c r="AL3098">
        <v>78.815381631847302</v>
      </c>
      <c r="AM3098">
        <v>101.609044663191</v>
      </c>
      <c r="AN3098">
        <v>1.00000001605892</v>
      </c>
    </row>
    <row r="3099" spans="1:40" x14ac:dyDescent="0.25">
      <c r="A3099" t="str">
        <f>"20190304155652958"</f>
        <v>20190304155652958</v>
      </c>
      <c r="B3099" t="str">
        <f>"1551686212948207"</f>
        <v>1551686212948207</v>
      </c>
      <c r="C3099" t="s">
        <v>40</v>
      </c>
      <c r="D3099">
        <v>4.3345159999999998</v>
      </c>
      <c r="E3099">
        <v>0.43654500000000002</v>
      </c>
      <c r="F3099" t="s">
        <v>53</v>
      </c>
      <c r="G3099">
        <v>-481.07240000000002</v>
      </c>
      <c r="H3099" s="1">
        <v>1.666483E-6</v>
      </c>
      <c r="I3099">
        <v>212.9273</v>
      </c>
      <c r="J3099">
        <v>-491.61309999999997</v>
      </c>
      <c r="K3099">
        <v>1.115124</v>
      </c>
      <c r="L3099">
        <v>231.63390000000001</v>
      </c>
      <c r="M3099">
        <v>0.16278290000000001</v>
      </c>
      <c r="N3099">
        <v>-1.1974759999999999E-2</v>
      </c>
      <c r="O3099">
        <v>-0.9865893</v>
      </c>
      <c r="P3099">
        <v>0.34991719999999998</v>
      </c>
      <c r="Q3099">
        <v>0.1846131</v>
      </c>
      <c r="R3099">
        <v>-0.91840960000000005</v>
      </c>
      <c r="S3099">
        <v>1.5222169999999999</v>
      </c>
      <c r="T3099">
        <v>-0.16041059999999999</v>
      </c>
      <c r="U3099">
        <v>-2.722153</v>
      </c>
      <c r="V3099">
        <v>-0.1981019</v>
      </c>
      <c r="W3099">
        <v>0.19374459999999999</v>
      </c>
      <c r="X3099">
        <v>0.96084270000000005</v>
      </c>
      <c r="Y3099">
        <v>-0.33894550000000001</v>
      </c>
      <c r="Z3099">
        <v>4.0679119999999999E-2</v>
      </c>
      <c r="AA3099">
        <v>0.93992609999999999</v>
      </c>
      <c r="AB3099">
        <v>27</v>
      </c>
      <c r="AC3099">
        <v>10.5406999999999</v>
      </c>
      <c r="AD3099">
        <v>-1.115122333517</v>
      </c>
      <c r="AE3099">
        <v>-18.706600000000002</v>
      </c>
      <c r="AF3099">
        <v>-7.3349707155984003</v>
      </c>
      <c r="AG3099">
        <v>-1.115122333517</v>
      </c>
      <c r="AH3099">
        <v>20.118759271192999</v>
      </c>
      <c r="AI3099">
        <v>92.980931480176295</v>
      </c>
      <c r="AJ3099">
        <v>110.031028763797</v>
      </c>
      <c r="AK3099">
        <v>21.443175320591202</v>
      </c>
      <c r="AL3099">
        <v>78.828604204466302</v>
      </c>
      <c r="AM3099">
        <v>101.649727622428</v>
      </c>
      <c r="AN3099">
        <v>1.00000001347803</v>
      </c>
    </row>
    <row r="3100" spans="1:40" x14ac:dyDescent="0.25">
      <c r="A3100" t="str">
        <f>"20190304155652983"</f>
        <v>20190304155652983</v>
      </c>
      <c r="B3100" t="str">
        <f>"1551686212977488"</f>
        <v>1551686212977488</v>
      </c>
      <c r="C3100" t="s">
        <v>40</v>
      </c>
      <c r="D3100">
        <v>4.182061</v>
      </c>
      <c r="E3100">
        <v>0.43494969999999999</v>
      </c>
      <c r="F3100" t="s">
        <v>53</v>
      </c>
      <c r="G3100">
        <v>-480.35219999999998</v>
      </c>
      <c r="H3100" s="1">
        <v>1.4929759999999999E-6</v>
      </c>
      <c r="I3100">
        <v>211.88059999999999</v>
      </c>
      <c r="J3100">
        <v>-491.55950000000001</v>
      </c>
      <c r="K3100">
        <v>1.115227</v>
      </c>
      <c r="L3100">
        <v>231.36009999999999</v>
      </c>
      <c r="M3100">
        <v>0.1702745</v>
      </c>
      <c r="N3100">
        <v>-1.199515E-2</v>
      </c>
      <c r="O3100">
        <v>-0.98532379999999997</v>
      </c>
      <c r="P3100">
        <v>0.35780669999999998</v>
      </c>
      <c r="Q3100">
        <v>0.1845637</v>
      </c>
      <c r="R3100">
        <v>-0.91537469999999999</v>
      </c>
      <c r="S3100">
        <v>1.544281</v>
      </c>
      <c r="T3100">
        <v>-0.15292430000000001</v>
      </c>
      <c r="U3100">
        <v>-2.7088930000000002</v>
      </c>
      <c r="V3100">
        <v>-0.19911619999999999</v>
      </c>
      <c r="W3100">
        <v>0.19365189999999999</v>
      </c>
      <c r="X3100">
        <v>0.9606517</v>
      </c>
      <c r="Y3100">
        <v>-0.33960509999999999</v>
      </c>
      <c r="Z3100">
        <v>3.8278640000000003E-2</v>
      </c>
      <c r="AA3100">
        <v>0.93978890000000004</v>
      </c>
      <c r="AB3100">
        <v>27</v>
      </c>
      <c r="AC3100">
        <v>11.2073</v>
      </c>
      <c r="AD3100">
        <v>-1.115225507024</v>
      </c>
      <c r="AE3100">
        <v>-19.479500000000002</v>
      </c>
      <c r="AF3100">
        <v>-7.7075318252855602</v>
      </c>
      <c r="AG3100">
        <v>-1.115225507024</v>
      </c>
      <c r="AH3100">
        <v>21.0516068040838</v>
      </c>
      <c r="AI3100">
        <v>92.847911584995799</v>
      </c>
      <c r="AJ3100">
        <v>110.108970930064</v>
      </c>
      <c r="AK3100">
        <v>22.4459333466678</v>
      </c>
      <c r="AL3100">
        <v>78.834017949117296</v>
      </c>
      <c r="AM3100">
        <v>101.70999625716701</v>
      </c>
      <c r="AN3100">
        <v>1.0000000040944601</v>
      </c>
    </row>
    <row r="3101" spans="1:40" x14ac:dyDescent="0.25">
      <c r="A3101" t="str">
        <f>"20190304155653003"</f>
        <v>20190304155653003</v>
      </c>
      <c r="B3101" t="str">
        <f>"1551686212997984"</f>
        <v>1551686212997984</v>
      </c>
      <c r="C3101" t="s">
        <v>40</v>
      </c>
      <c r="D3101">
        <v>3.981198</v>
      </c>
      <c r="E3101">
        <v>0.40869919999999998</v>
      </c>
      <c r="F3101" t="s">
        <v>53</v>
      </c>
      <c r="G3101">
        <v>-479.81549999999999</v>
      </c>
      <c r="H3101" s="1">
        <v>1.4628359999999999E-6</v>
      </c>
      <c r="I3101">
        <v>211.34819999999999</v>
      </c>
      <c r="J3101">
        <v>-491.5104</v>
      </c>
      <c r="K3101">
        <v>1.115318</v>
      </c>
      <c r="L3101">
        <v>231.1189</v>
      </c>
      <c r="M3101">
        <v>0.17700869999999999</v>
      </c>
      <c r="N3101">
        <v>-1.2013380000000001E-2</v>
      </c>
      <c r="O3101">
        <v>-0.98413600000000001</v>
      </c>
      <c r="P3101">
        <v>0.36492669999999999</v>
      </c>
      <c r="Q3101">
        <v>0.1842258</v>
      </c>
      <c r="R3101">
        <v>-0.91262779999999999</v>
      </c>
      <c r="S3101">
        <v>1.5788879999999901</v>
      </c>
      <c r="T3101">
        <v>-0.1499326</v>
      </c>
      <c r="U3101">
        <v>-2.6904300000000001</v>
      </c>
      <c r="V3101">
        <v>-0.2000593</v>
      </c>
      <c r="W3101">
        <v>0.19327440000000001</v>
      </c>
      <c r="X3101">
        <v>0.96053180000000005</v>
      </c>
      <c r="Y3101">
        <v>-0.34499869999999999</v>
      </c>
      <c r="Z3101">
        <v>3.7328600000000003E-2</v>
      </c>
      <c r="AA3101">
        <v>0.93786049999999999</v>
      </c>
      <c r="AB3101">
        <v>27</v>
      </c>
      <c r="AC3101">
        <v>11.694900000000001</v>
      </c>
      <c r="AD3101">
        <v>-1.1153165371639999</v>
      </c>
      <c r="AE3101">
        <v>-19.770700000000001</v>
      </c>
      <c r="AF3101">
        <v>-7.9915240703564399</v>
      </c>
      <c r="AG3101">
        <v>-1.1153165371639999</v>
      </c>
      <c r="AH3101">
        <v>21.4780752316735</v>
      </c>
      <c r="AI3101">
        <v>92.786296826460898</v>
      </c>
      <c r="AJ3101">
        <v>110.40913797775001</v>
      </c>
      <c r="AK3101">
        <v>22.943759578643199</v>
      </c>
      <c r="AL3101">
        <v>78.856063872457298</v>
      </c>
      <c r="AM3101">
        <v>101.76534518494</v>
      </c>
      <c r="AN3101">
        <v>1.00000002801154</v>
      </c>
    </row>
    <row r="3102" spans="1:40" x14ac:dyDescent="0.25">
      <c r="A3102" t="str">
        <f>"20190304155653033"</f>
        <v>20190304155653033</v>
      </c>
      <c r="B3102" t="str">
        <f>"1551686213028241"</f>
        <v>1551686213028241</v>
      </c>
      <c r="C3102" t="s">
        <v>40</v>
      </c>
      <c r="D3102">
        <v>3.958968</v>
      </c>
      <c r="E3102">
        <v>0.40785490000000002</v>
      </c>
      <c r="F3102" t="s">
        <v>67</v>
      </c>
      <c r="G3102">
        <v>-468.03460000000001</v>
      </c>
      <c r="H3102">
        <v>0.85447119999999999</v>
      </c>
      <c r="I3102">
        <v>197.345</v>
      </c>
      <c r="J3102">
        <v>-491.44080000000002</v>
      </c>
      <c r="K3102">
        <v>1.115448</v>
      </c>
      <c r="L3102">
        <v>230.7912</v>
      </c>
      <c r="M3102">
        <v>0.18635699999999999</v>
      </c>
      <c r="N3102">
        <v>-1.203888E-2</v>
      </c>
      <c r="O3102">
        <v>-0.98240839999999996</v>
      </c>
      <c r="P3102">
        <v>0.37434089999999998</v>
      </c>
      <c r="Q3102">
        <v>0.18354380000000001</v>
      </c>
      <c r="R3102">
        <v>-0.90894489999999994</v>
      </c>
      <c r="S3102">
        <v>1.7901609999999999</v>
      </c>
      <c r="T3102">
        <v>-1.9888280000000001E-2</v>
      </c>
      <c r="U3102">
        <v>-2.5754389999999998</v>
      </c>
      <c r="V3102">
        <v>-0.2008847</v>
      </c>
      <c r="W3102">
        <v>0.19254360000000001</v>
      </c>
      <c r="X3102">
        <v>0.96050630000000004</v>
      </c>
      <c r="Y3102">
        <v>-0.40767179999999997</v>
      </c>
      <c r="Z3102">
        <v>-4.8683490000000001E-3</v>
      </c>
      <c r="AA3102">
        <v>0.91311560000000003</v>
      </c>
      <c r="AB3102">
        <v>27</v>
      </c>
      <c r="AC3102">
        <v>23.406199999999998</v>
      </c>
      <c r="AD3102">
        <v>-0.26097680000000001</v>
      </c>
      <c r="AE3102">
        <v>-33.446199999999997</v>
      </c>
      <c r="AF3102">
        <v>-16.762042643376802</v>
      </c>
      <c r="AG3102">
        <v>-0.26097680000000001</v>
      </c>
      <c r="AH3102">
        <v>37.220910922109397</v>
      </c>
      <c r="AI3102">
        <v>90.366297457024004</v>
      </c>
      <c r="AJ3102">
        <v>114.243914667217</v>
      </c>
      <c r="AK3102">
        <v>40.8219351861242</v>
      </c>
      <c r="AL3102">
        <v>78.898737158138104</v>
      </c>
      <c r="AM3102">
        <v>101.81282999237099</v>
      </c>
      <c r="AN3102">
        <v>1.0000000264673601</v>
      </c>
    </row>
    <row r="3103" spans="1:40" x14ac:dyDescent="0.25">
      <c r="A3103" t="str">
        <f>"20190304155653050"</f>
        <v>20190304155653050</v>
      </c>
      <c r="B3103" t="str">
        <f>"1551686213047760"</f>
        <v>1551686213047760</v>
      </c>
      <c r="C3103" t="s">
        <v>40</v>
      </c>
      <c r="D3103">
        <v>4.1685650000000001</v>
      </c>
      <c r="E3103">
        <v>0.41057539999999998</v>
      </c>
      <c r="F3103" t="s">
        <v>67</v>
      </c>
      <c r="G3103">
        <v>-467.56169999999997</v>
      </c>
      <c r="H3103">
        <v>0.9076514</v>
      </c>
      <c r="I3103">
        <v>197.345</v>
      </c>
      <c r="J3103">
        <v>-491.39670000000001</v>
      </c>
      <c r="K3103">
        <v>1.1155299999999999</v>
      </c>
      <c r="L3103">
        <v>230.5917</v>
      </c>
      <c r="M3103">
        <v>0.192166</v>
      </c>
      <c r="N3103">
        <v>-1.205473E-2</v>
      </c>
      <c r="O3103">
        <v>-0.98128859999999996</v>
      </c>
      <c r="P3103">
        <v>0.38148500000000002</v>
      </c>
      <c r="Q3103">
        <v>0.18200520000000001</v>
      </c>
      <c r="R3103">
        <v>-0.90628019999999998</v>
      </c>
      <c r="S3103">
        <v>1.822784</v>
      </c>
      <c r="T3103">
        <v>-1.585901E-2</v>
      </c>
      <c r="U3103">
        <v>-2.55307</v>
      </c>
      <c r="V3103">
        <v>-0.2027274</v>
      </c>
      <c r="W3103">
        <v>0.19095429999999999</v>
      </c>
      <c r="X3103">
        <v>0.96043639999999997</v>
      </c>
      <c r="Y3103">
        <v>-0.41377219999999998</v>
      </c>
      <c r="Z3103">
        <v>-6.1566759999999998E-3</v>
      </c>
      <c r="AA3103">
        <v>0.91035960000000005</v>
      </c>
      <c r="AB3103">
        <v>27</v>
      </c>
      <c r="AC3103">
        <v>23.835000000000001</v>
      </c>
      <c r="AD3103">
        <v>-0.207878599999999</v>
      </c>
      <c r="AE3103">
        <v>-33.246699999999997</v>
      </c>
      <c r="AF3103">
        <v>-17.0009213087557</v>
      </c>
      <c r="AG3103">
        <v>-0.207878599999999</v>
      </c>
      <c r="AH3103">
        <v>37.206619530218099</v>
      </c>
      <c r="AI3103">
        <v>90.2911611891397</v>
      </c>
      <c r="AJ3103">
        <v>114.557211034088</v>
      </c>
      <c r="AK3103">
        <v>40.907298563034601</v>
      </c>
      <c r="AL3103">
        <v>78.991518835140596</v>
      </c>
      <c r="AM3103">
        <v>101.918945506493</v>
      </c>
      <c r="AN3103">
        <v>1.0000000109220999</v>
      </c>
    </row>
    <row r="3104" spans="1:40" x14ac:dyDescent="0.25">
      <c r="A3104" t="str">
        <f>"20190304155653072"</f>
        <v>20190304155653072</v>
      </c>
      <c r="B3104" t="str">
        <f>"1551686213067279"</f>
        <v>1551686213067279</v>
      </c>
      <c r="C3104" t="s">
        <v>40</v>
      </c>
      <c r="D3104">
        <v>4.0317210000000001</v>
      </c>
      <c r="E3104">
        <v>0.41148200000000001</v>
      </c>
      <c r="F3104" t="s">
        <v>67</v>
      </c>
      <c r="G3104">
        <v>-467.6234</v>
      </c>
      <c r="H3104">
        <v>0.67943949999999997</v>
      </c>
      <c r="I3104">
        <v>197.345</v>
      </c>
      <c r="J3104">
        <v>-491.34010000000001</v>
      </c>
      <c r="K3104">
        <v>1.115623</v>
      </c>
      <c r="L3104">
        <v>230.34469999999999</v>
      </c>
      <c r="M3104">
        <v>0.1994736</v>
      </c>
      <c r="N3104">
        <v>-1.2073759999999999E-2</v>
      </c>
      <c r="O3104">
        <v>-0.97982899999999995</v>
      </c>
      <c r="P3104">
        <v>0.3889418</v>
      </c>
      <c r="Q3104">
        <v>0.1817223</v>
      </c>
      <c r="R3104">
        <v>-0.90316189999999996</v>
      </c>
      <c r="S3104">
        <v>1.8230900000000001</v>
      </c>
      <c r="T3104">
        <v>-3.3439280000000002E-2</v>
      </c>
      <c r="U3104">
        <v>-2.5495610000000002</v>
      </c>
      <c r="V3104">
        <v>-0.20351749999999999</v>
      </c>
      <c r="W3104">
        <v>0.1906313</v>
      </c>
      <c r="X3104">
        <v>0.96033349999999995</v>
      </c>
      <c r="Y3104">
        <v>-0.40764230000000001</v>
      </c>
      <c r="Z3104">
        <v>-4.1054539999999998E-4</v>
      </c>
      <c r="AA3104">
        <v>0.9131416</v>
      </c>
      <c r="AB3104">
        <v>27</v>
      </c>
      <c r="AC3104">
        <v>23.716699999999999</v>
      </c>
      <c r="AD3104">
        <v>-0.4361835</v>
      </c>
      <c r="AE3104">
        <v>-32.999699999999898</v>
      </c>
      <c r="AF3104">
        <v>-16.6550338679342</v>
      </c>
      <c r="AG3104">
        <v>-0.4361835</v>
      </c>
      <c r="AH3104">
        <v>37.063343878981499</v>
      </c>
      <c r="AI3104">
        <v>90.615022372669301</v>
      </c>
      <c r="AJ3104">
        <v>114.197564905666</v>
      </c>
      <c r="AK3104">
        <v>40.6358446285954</v>
      </c>
      <c r="AL3104">
        <v>79.010372108254501</v>
      </c>
      <c r="AM3104">
        <v>101.965306749212</v>
      </c>
      <c r="AN3104">
        <v>1.0000000482840901</v>
      </c>
    </row>
    <row r="3105" spans="1:40" x14ac:dyDescent="0.25">
      <c r="A3105" t="str">
        <f>"20190304155653095"</f>
        <v>20190304155653095</v>
      </c>
      <c r="B3105" t="str">
        <f>"1551686213087776"</f>
        <v>1551686213087776</v>
      </c>
      <c r="C3105" t="s">
        <v>40</v>
      </c>
      <c r="D3105">
        <v>4.0656629999999998</v>
      </c>
      <c r="E3105">
        <v>0.41213509999999998</v>
      </c>
      <c r="F3105" t="s">
        <v>67</v>
      </c>
      <c r="G3105">
        <v>-467.44600000000003</v>
      </c>
      <c r="H3105">
        <v>0.61486339999999995</v>
      </c>
      <c r="I3105">
        <v>197.345</v>
      </c>
      <c r="J3105">
        <v>-491.27550000000002</v>
      </c>
      <c r="K3105">
        <v>1.115726</v>
      </c>
      <c r="L3105">
        <v>230.07329999999999</v>
      </c>
      <c r="M3105">
        <v>0.20765900000000001</v>
      </c>
      <c r="N3105">
        <v>-1.2093639999999999E-2</v>
      </c>
      <c r="O3105">
        <v>-0.97812670000000002</v>
      </c>
      <c r="P3105">
        <v>0.3968546</v>
      </c>
      <c r="Q3105">
        <v>0.18124599999999999</v>
      </c>
      <c r="R3105">
        <v>-0.89980919999999898</v>
      </c>
      <c r="S3105">
        <v>1.8377079999999999</v>
      </c>
      <c r="T3105">
        <v>-3.8510919999999997E-2</v>
      </c>
      <c r="U3105">
        <v>-2.5380099999999999</v>
      </c>
      <c r="V3105">
        <v>-0.20394119999999999</v>
      </c>
      <c r="W3105">
        <v>0.1901168</v>
      </c>
      <c r="X3105">
        <v>0.96034560000000002</v>
      </c>
      <c r="Y3105">
        <v>-0.40542549999999999</v>
      </c>
      <c r="Z3105">
        <v>1.2641009999999999E-3</v>
      </c>
      <c r="AA3105">
        <v>0.91412720000000003</v>
      </c>
      <c r="AB3105">
        <v>27</v>
      </c>
      <c r="AC3105">
        <v>23.829499999999999</v>
      </c>
      <c r="AD3105">
        <v>-0.50086260000000005</v>
      </c>
      <c r="AE3105">
        <v>-32.728299999999898</v>
      </c>
      <c r="AF3105">
        <v>-16.5106216972612</v>
      </c>
      <c r="AG3105">
        <v>-0.50086260000000005</v>
      </c>
      <c r="AH3105">
        <v>36.957874002568303</v>
      </c>
      <c r="AI3105">
        <v>90.708920977316296</v>
      </c>
      <c r="AJ3105">
        <v>114.07230496117501</v>
      </c>
      <c r="AK3105">
        <v>40.4813036223374</v>
      </c>
      <c r="AL3105">
        <v>79.040399865923305</v>
      </c>
      <c r="AM3105">
        <v>101.98935031780699</v>
      </c>
      <c r="AN3105">
        <v>1.00000004106951</v>
      </c>
    </row>
    <row r="3106" spans="1:40" x14ac:dyDescent="0.25">
      <c r="A3106" t="str">
        <f>"20190304155653121"</f>
        <v>20190304155653121</v>
      </c>
      <c r="B3106" t="str">
        <f>"1551686213118032"</f>
        <v>1551686213118032</v>
      </c>
      <c r="C3106" t="s">
        <v>40</v>
      </c>
      <c r="D3106">
        <v>4.1217879999999996</v>
      </c>
      <c r="E3106">
        <v>0.41338469999999999</v>
      </c>
      <c r="F3106" t="s">
        <v>67</v>
      </c>
      <c r="G3106">
        <v>-467.21019999999999</v>
      </c>
      <c r="H3106">
        <v>0.57056240000000003</v>
      </c>
      <c r="I3106">
        <v>197.345</v>
      </c>
      <c r="J3106">
        <v>-491.20119999999997</v>
      </c>
      <c r="K3106">
        <v>1.1158509999999999</v>
      </c>
      <c r="L3106">
        <v>229.77359999999999</v>
      </c>
      <c r="M3106">
        <v>0.21689079999999999</v>
      </c>
      <c r="N3106">
        <v>-1.2116139999999999E-2</v>
      </c>
      <c r="O3106">
        <v>-0.97612069999999995</v>
      </c>
      <c r="P3106">
        <v>0.40580889999999997</v>
      </c>
      <c r="Q3106">
        <v>0.1813784</v>
      </c>
      <c r="R3106">
        <v>-0.89577960000000001</v>
      </c>
      <c r="S3106">
        <v>1.8559270000000001</v>
      </c>
      <c r="T3106">
        <v>-4.2039989999999999E-2</v>
      </c>
      <c r="U3106">
        <v>-2.5240019999999999</v>
      </c>
      <c r="V3106">
        <v>-0.20451059999999999</v>
      </c>
      <c r="W3106">
        <v>0.1902025</v>
      </c>
      <c r="X3106">
        <v>0.96020749999999999</v>
      </c>
      <c r="Y3106">
        <v>-0.4034875</v>
      </c>
      <c r="Z3106">
        <v>2.4378450000000001E-3</v>
      </c>
      <c r="AA3106">
        <v>0.91498190000000001</v>
      </c>
      <c r="AB3106">
        <v>27</v>
      </c>
      <c r="AC3106">
        <v>23.9909999999999</v>
      </c>
      <c r="AD3106">
        <v>-0.54528859999999901</v>
      </c>
      <c r="AE3106">
        <v>-32.428599999999904</v>
      </c>
      <c r="AF3106">
        <v>-16.382855467712101</v>
      </c>
      <c r="AG3106">
        <v>-0.54528859999999901</v>
      </c>
      <c r="AH3106">
        <v>36.853625457082799</v>
      </c>
      <c r="AI3106">
        <v>90.774611344018197</v>
      </c>
      <c r="AJ3106">
        <v>113.966989012428</v>
      </c>
      <c r="AK3106">
        <v>40.334662540601201</v>
      </c>
      <c r="AL3106">
        <v>79.035398008936397</v>
      </c>
      <c r="AM3106">
        <v>102.023530515167</v>
      </c>
      <c r="AN3106">
        <v>1.00000000978743</v>
      </c>
    </row>
    <row r="3107" spans="1:40" x14ac:dyDescent="0.25">
      <c r="A3107" t="str">
        <f>"20190304155653141"</f>
        <v>20190304155653141</v>
      </c>
      <c r="B3107" t="str">
        <f>"1551686213137551"</f>
        <v>1551686213137551</v>
      </c>
      <c r="C3107" t="s">
        <v>40</v>
      </c>
      <c r="D3107">
        <v>4.1843360000000001</v>
      </c>
      <c r="E3107">
        <v>0.41461690000000001</v>
      </c>
      <c r="F3107" t="s">
        <v>67</v>
      </c>
      <c r="G3107">
        <v>-466.99619999999999</v>
      </c>
      <c r="H3107">
        <v>0.50711729999999999</v>
      </c>
      <c r="I3107">
        <v>197.345</v>
      </c>
      <c r="J3107">
        <v>-491.14620000000002</v>
      </c>
      <c r="K3107">
        <v>1.11595</v>
      </c>
      <c r="L3107">
        <v>229.55950000000001</v>
      </c>
      <c r="M3107">
        <v>0.22362099999999999</v>
      </c>
      <c r="N3107">
        <v>-1.213348E-2</v>
      </c>
      <c r="O3107">
        <v>-0.97460080000000004</v>
      </c>
      <c r="P3107">
        <v>0.41250940000000003</v>
      </c>
      <c r="Q3107">
        <v>0.18098159999999999</v>
      </c>
      <c r="R3107">
        <v>-0.89279459999999999</v>
      </c>
      <c r="S3107">
        <v>1.873383</v>
      </c>
      <c r="T3107">
        <v>-4.7110680000000002E-2</v>
      </c>
      <c r="U3107">
        <v>-2.5098419999999999</v>
      </c>
      <c r="V3107">
        <v>-0.2051</v>
      </c>
      <c r="W3107">
        <v>0.1897681</v>
      </c>
      <c r="X3107">
        <v>0.96016780000000002</v>
      </c>
      <c r="Y3107">
        <v>-0.40372629999999998</v>
      </c>
      <c r="Z3107">
        <v>4.1151419999999996E-3</v>
      </c>
      <c r="AA3107">
        <v>0.91487059999999998</v>
      </c>
      <c r="AB3107">
        <v>27</v>
      </c>
      <c r="AC3107">
        <v>24.15</v>
      </c>
      <c r="AD3107">
        <v>-0.60883269999999901</v>
      </c>
      <c r="AE3107">
        <v>-32.214500000000001</v>
      </c>
      <c r="AF3107">
        <v>-16.3302363512644</v>
      </c>
      <c r="AG3107">
        <v>-0.60883269999999901</v>
      </c>
      <c r="AH3107">
        <v>36.791015080617001</v>
      </c>
      <c r="AI3107">
        <v>90.866554230404802</v>
      </c>
      <c r="AJ3107">
        <v>113.93474970263399</v>
      </c>
      <c r="AK3107">
        <v>40.257000474537797</v>
      </c>
      <c r="AL3107">
        <v>79.060749714713296</v>
      </c>
      <c r="AM3107">
        <v>102.057653695152</v>
      </c>
      <c r="AN3107">
        <v>1.00000007296722</v>
      </c>
    </row>
    <row r="3108" spans="1:40" x14ac:dyDescent="0.25">
      <c r="A3108" t="str">
        <f>"20190304155653163"</f>
        <v>20190304155653163</v>
      </c>
      <c r="B3108" t="str">
        <f>"1551686213158048"</f>
        <v>1551686213158048</v>
      </c>
      <c r="C3108" t="s">
        <v>40</v>
      </c>
      <c r="D3108">
        <v>4.1771929999999999</v>
      </c>
      <c r="E3108">
        <v>0.4152537</v>
      </c>
      <c r="F3108" t="s">
        <v>67</v>
      </c>
      <c r="G3108">
        <v>-466.8775</v>
      </c>
      <c r="H3108">
        <v>0.42818119999999998</v>
      </c>
      <c r="I3108">
        <v>197.345</v>
      </c>
      <c r="J3108">
        <v>-491.07650000000001</v>
      </c>
      <c r="K3108">
        <v>1.116077</v>
      </c>
      <c r="L3108">
        <v>229.2972</v>
      </c>
      <c r="M3108">
        <v>0.23202999999999999</v>
      </c>
      <c r="N3108">
        <v>-1.2156419999999999E-2</v>
      </c>
      <c r="O3108">
        <v>-0.97263279999999996</v>
      </c>
      <c r="P3108">
        <v>0.4203865</v>
      </c>
      <c r="Q3108">
        <v>0.18102589999999999</v>
      </c>
      <c r="R3108">
        <v>-0.88910349999999905</v>
      </c>
      <c r="S3108">
        <v>1.8838200000000001</v>
      </c>
      <c r="T3108">
        <v>-5.3384069999999999E-2</v>
      </c>
      <c r="U3108">
        <v>-2.5005950000000001</v>
      </c>
      <c r="V3108">
        <v>-0.2053577</v>
      </c>
      <c r="W3108">
        <v>0.18976850000000001</v>
      </c>
      <c r="X3108">
        <v>0.96011259999999998</v>
      </c>
      <c r="Y3108">
        <v>-0.39987129999999999</v>
      </c>
      <c r="Z3108">
        <v>6.1736919999999997E-3</v>
      </c>
      <c r="AA3108">
        <v>0.91655050000000005</v>
      </c>
      <c r="AB3108">
        <v>27</v>
      </c>
      <c r="AC3108">
        <v>24.199000000000002</v>
      </c>
      <c r="AD3108">
        <v>-0.68789579999999995</v>
      </c>
      <c r="AE3108">
        <v>-31.952200000000001</v>
      </c>
      <c r="AF3108">
        <v>-16.119313577195101</v>
      </c>
      <c r="AG3108">
        <v>-0.68789579999999995</v>
      </c>
      <c r="AH3108">
        <v>36.684553048287803</v>
      </c>
      <c r="AI3108">
        <v>90.983525169880295</v>
      </c>
      <c r="AJ3108">
        <v>113.720844984485</v>
      </c>
      <c r="AK3108">
        <v>40.0757021546004</v>
      </c>
      <c r="AL3108">
        <v>79.060725969620805</v>
      </c>
      <c r="AM3108">
        <v>102.07303321128499</v>
      </c>
      <c r="AN3108">
        <v>1.00000003661014</v>
      </c>
    </row>
    <row r="3109" spans="1:40" x14ac:dyDescent="0.25">
      <c r="A3109" t="str">
        <f>"20190304155653184"</f>
        <v>20190304155653184</v>
      </c>
      <c r="B3109" t="str">
        <f>"1551686213177568"</f>
        <v>1551686213177568</v>
      </c>
      <c r="C3109" t="s">
        <v>40</v>
      </c>
      <c r="D3109">
        <v>4.5084419999999996</v>
      </c>
      <c r="E3109">
        <v>0.41577639999999999</v>
      </c>
      <c r="F3109" t="s">
        <v>67</v>
      </c>
      <c r="G3109">
        <v>-466.63260000000002</v>
      </c>
      <c r="H3109">
        <v>0.39614579999999999</v>
      </c>
      <c r="I3109">
        <v>197.345</v>
      </c>
      <c r="J3109">
        <v>-491.01229999999998</v>
      </c>
      <c r="K3109">
        <v>1.116195</v>
      </c>
      <c r="L3109">
        <v>229.06389999999999</v>
      </c>
      <c r="M3109">
        <v>0.23967479999999999</v>
      </c>
      <c r="N3109">
        <v>-1.21783E-2</v>
      </c>
      <c r="O3109">
        <v>-0.9707768</v>
      </c>
      <c r="P3109">
        <v>0.426929</v>
      </c>
      <c r="Q3109">
        <v>0.181115</v>
      </c>
      <c r="R3109">
        <v>-0.88596249999999999</v>
      </c>
      <c r="S3109">
        <v>1.902069</v>
      </c>
      <c r="T3109">
        <v>-5.6017520000000001E-2</v>
      </c>
      <c r="U3109">
        <v>-2.486313</v>
      </c>
      <c r="V3109">
        <v>-0.20494190000000001</v>
      </c>
      <c r="W3109">
        <v>0.1898261</v>
      </c>
      <c r="X3109">
        <v>0.96018999999999999</v>
      </c>
      <c r="Y3109">
        <v>-0.39943879999999998</v>
      </c>
      <c r="Z3109">
        <v>7.0496990000000004E-3</v>
      </c>
      <c r="AA3109">
        <v>0.91673280000000001</v>
      </c>
      <c r="AB3109">
        <v>27</v>
      </c>
      <c r="AC3109">
        <v>24.3796999999999</v>
      </c>
      <c r="AD3109">
        <v>-0.72004919999999994</v>
      </c>
      <c r="AE3109">
        <v>-31.718899999999898</v>
      </c>
      <c r="AF3109">
        <v>-16.0610152637746</v>
      </c>
      <c r="AG3109">
        <v>-0.72004919999999994</v>
      </c>
      <c r="AH3109">
        <v>36.626025445802597</v>
      </c>
      <c r="AI3109">
        <v>91.031469422328399</v>
      </c>
      <c r="AJ3109">
        <v>113.67811105179</v>
      </c>
      <c r="AK3109">
        <v>39.999255269444802</v>
      </c>
      <c r="AL3109">
        <v>79.057364044955094</v>
      </c>
      <c r="AM3109">
        <v>102.04836039926499</v>
      </c>
      <c r="AN3109">
        <v>0.99999998335840901</v>
      </c>
    </row>
    <row r="3110" spans="1:40" x14ac:dyDescent="0.25">
      <c r="A3110" t="str">
        <f>"20190304155653206"</f>
        <v>20190304155653206</v>
      </c>
      <c r="B3110" t="str">
        <f>"1551686213198064"</f>
        <v>1551686213198064</v>
      </c>
      <c r="C3110" t="s">
        <v>40</v>
      </c>
      <c r="D3110">
        <v>4.2364199999999999</v>
      </c>
      <c r="E3110">
        <v>0.41635539999999999</v>
      </c>
      <c r="F3110" t="s">
        <v>67</v>
      </c>
      <c r="G3110">
        <v>-466.42450000000002</v>
      </c>
      <c r="H3110">
        <v>0.36457299999999998</v>
      </c>
      <c r="I3110">
        <v>197.345</v>
      </c>
      <c r="J3110">
        <v>-490.94310000000002</v>
      </c>
      <c r="K3110">
        <v>1.1163259999999999</v>
      </c>
      <c r="L3110">
        <v>228.82060000000001</v>
      </c>
      <c r="M3110">
        <v>0.24781010000000001</v>
      </c>
      <c r="N3110">
        <v>-1.220195E-2</v>
      </c>
      <c r="O3110">
        <v>-0.96873189999999998</v>
      </c>
      <c r="P3110">
        <v>0.43404799999999899</v>
      </c>
      <c r="Q3110">
        <v>0.18188650000000001</v>
      </c>
      <c r="R3110">
        <v>-0.88233760000000006</v>
      </c>
      <c r="S3110">
        <v>1.917786</v>
      </c>
      <c r="T3110">
        <v>-5.8621529999999998E-2</v>
      </c>
      <c r="U3110">
        <v>-2.4739840000000002</v>
      </c>
      <c r="V3110">
        <v>-0.2047283</v>
      </c>
      <c r="W3110">
        <v>0.19055830000000001</v>
      </c>
      <c r="X3110">
        <v>0.96009060000000002</v>
      </c>
      <c r="Y3110">
        <v>-0.39759149999999999</v>
      </c>
      <c r="Z3110">
        <v>7.9089039999999996E-3</v>
      </c>
      <c r="AA3110">
        <v>0.91752849999999997</v>
      </c>
      <c r="AB3110">
        <v>27</v>
      </c>
      <c r="AC3110">
        <v>24.5185999999999</v>
      </c>
      <c r="AD3110">
        <v>-0.75175299999999901</v>
      </c>
      <c r="AE3110">
        <v>-31.4756</v>
      </c>
      <c r="AF3110">
        <v>-15.947502691888101</v>
      </c>
      <c r="AG3110">
        <v>-0.75175299999999901</v>
      </c>
      <c r="AH3110">
        <v>36.5571147065193</v>
      </c>
      <c r="AI3110">
        <v>91.079806735255005</v>
      </c>
      <c r="AJ3110">
        <v>113.56852736150699</v>
      </c>
      <c r="AK3110">
        <v>39.891234755850803</v>
      </c>
      <c r="AL3110">
        <v>79.0146328378882</v>
      </c>
      <c r="AM3110">
        <v>102.03737919048601</v>
      </c>
      <c r="AN3110">
        <v>1.0000000513640599</v>
      </c>
    </row>
    <row r="3111" spans="1:40" x14ac:dyDescent="0.25">
      <c r="A3111" t="str">
        <f>"20190304155653232"</f>
        <v>20190304155653232</v>
      </c>
      <c r="B3111" t="str">
        <f>"1551686213227344"</f>
        <v>1551686213227344</v>
      </c>
      <c r="C3111" t="s">
        <v>40</v>
      </c>
      <c r="D3111">
        <v>4.2143230000000003</v>
      </c>
      <c r="E3111">
        <v>0.41689340000000003</v>
      </c>
      <c r="F3111" t="s">
        <v>67</v>
      </c>
      <c r="G3111">
        <v>-466.2072</v>
      </c>
      <c r="H3111">
        <v>0.35402009999999901</v>
      </c>
      <c r="I3111">
        <v>197.345</v>
      </c>
      <c r="J3111">
        <v>-490.85730000000001</v>
      </c>
      <c r="K3111">
        <v>1.1164810000000001</v>
      </c>
      <c r="L3111">
        <v>228.53039999999999</v>
      </c>
      <c r="M3111">
        <v>0.25773479999999999</v>
      </c>
      <c r="N3111">
        <v>-1.2230660000000001E-2</v>
      </c>
      <c r="O3111">
        <v>-0.96613839999999995</v>
      </c>
      <c r="P3111">
        <v>0.44276529999999997</v>
      </c>
      <c r="Q3111">
        <v>0.1820157</v>
      </c>
      <c r="R3111">
        <v>-0.87796890000000005</v>
      </c>
      <c r="S3111">
        <v>1.9339900000000001</v>
      </c>
      <c r="T3111">
        <v>-5.9598329999999998E-2</v>
      </c>
      <c r="U3111">
        <v>-2.4609380000000001</v>
      </c>
      <c r="V3111">
        <v>-0.2044685</v>
      </c>
      <c r="W3111">
        <v>0.19064349999999999</v>
      </c>
      <c r="X3111">
        <v>0.96012900000000001</v>
      </c>
      <c r="Y3111">
        <v>-0.3942717</v>
      </c>
      <c r="Z3111">
        <v>8.2342560000000006E-3</v>
      </c>
      <c r="AA3111">
        <v>0.91895700000000002</v>
      </c>
      <c r="AB3111">
        <v>27</v>
      </c>
      <c r="AC3111">
        <v>24.650099999999998</v>
      </c>
      <c r="AD3111">
        <v>-0.7624609</v>
      </c>
      <c r="AE3111">
        <v>-31.185399999999898</v>
      </c>
      <c r="AF3111">
        <v>-15.773220764305901</v>
      </c>
      <c r="AG3111">
        <v>-0.7624609</v>
      </c>
      <c r="AH3111">
        <v>36.471907791721101</v>
      </c>
      <c r="AI3111">
        <v>91.099250327823995</v>
      </c>
      <c r="AJ3111">
        <v>113.387318674939</v>
      </c>
      <c r="AK3111">
        <v>39.743878747190301</v>
      </c>
      <c r="AL3111">
        <v>79.009659549334103</v>
      </c>
      <c r="AM3111">
        <v>102.02208164204301</v>
      </c>
      <c r="AN3111">
        <v>1.0000000041127499</v>
      </c>
    </row>
    <row r="3112" spans="1:40" x14ac:dyDescent="0.25">
      <c r="A3112" t="str">
        <f>"20190304155653250"</f>
        <v>20190304155653250</v>
      </c>
      <c r="B3112" t="str">
        <f>"1551686213247840"</f>
        <v>1551686213247840</v>
      </c>
      <c r="C3112" t="s">
        <v>40</v>
      </c>
      <c r="D3112">
        <v>4.3137160000000003</v>
      </c>
      <c r="E3112">
        <v>0.4172225</v>
      </c>
      <c r="F3112" t="s">
        <v>67</v>
      </c>
      <c r="G3112">
        <v>-465.90609999999998</v>
      </c>
      <c r="H3112">
        <v>0.31849959999999899</v>
      </c>
      <c r="I3112">
        <v>197.345</v>
      </c>
      <c r="J3112">
        <v>-490.79219999999998</v>
      </c>
      <c r="K3112">
        <v>1.1165860000000001</v>
      </c>
      <c r="L3112">
        <v>228.3176</v>
      </c>
      <c r="M3112">
        <v>0.26516269999999997</v>
      </c>
      <c r="N3112">
        <v>-1.2251730000000001E-2</v>
      </c>
      <c r="O3112">
        <v>-0.96412609999999999</v>
      </c>
      <c r="P3112">
        <v>0.44909900000000003</v>
      </c>
      <c r="Q3112">
        <v>0.18169940000000001</v>
      </c>
      <c r="R3112">
        <v>-0.87481200000000003</v>
      </c>
      <c r="S3112">
        <v>1.955322</v>
      </c>
      <c r="T3112">
        <v>-6.2531470000000006E-2</v>
      </c>
      <c r="U3112">
        <v>-2.4438629999999999</v>
      </c>
      <c r="V3112">
        <v>-0.2040449</v>
      </c>
      <c r="W3112">
        <v>0.19030359999999999</v>
      </c>
      <c r="X3112">
        <v>0.96028650000000004</v>
      </c>
      <c r="Y3112">
        <v>-0.3952136</v>
      </c>
      <c r="Z3112">
        <v>9.2087620000000005E-3</v>
      </c>
      <c r="AA3112">
        <v>0.918543</v>
      </c>
      <c r="AB3112">
        <v>27</v>
      </c>
      <c r="AC3112">
        <v>24.886099999999999</v>
      </c>
      <c r="AD3112">
        <v>-0.79808639999999997</v>
      </c>
      <c r="AE3112">
        <v>-30.9726</v>
      </c>
      <c r="AF3112">
        <v>-15.7753758075688</v>
      </c>
      <c r="AG3112">
        <v>-0.79808639999999997</v>
      </c>
      <c r="AH3112">
        <v>36.448378960689602</v>
      </c>
      <c r="AI3112">
        <v>91.151199255077998</v>
      </c>
      <c r="AJ3112">
        <v>113.40364599015101</v>
      </c>
      <c r="AK3112">
        <v>39.723843628656297</v>
      </c>
      <c r="AL3112">
        <v>79.029497213245705</v>
      </c>
      <c r="AM3112">
        <v>101.995986976146</v>
      </c>
      <c r="AN3112">
        <v>0.99999997173560895</v>
      </c>
    </row>
    <row r="3113" spans="1:40" x14ac:dyDescent="0.25">
      <c r="A3113" t="str">
        <f>"20190304155653273"</f>
        <v>20190304155653273</v>
      </c>
      <c r="B3113" t="str">
        <f>"1551686213267360"</f>
        <v>1551686213267360</v>
      </c>
      <c r="C3113" t="s">
        <v>40</v>
      </c>
      <c r="D3113">
        <v>4.2075849999999999</v>
      </c>
      <c r="E3113">
        <v>0.41740549999999998</v>
      </c>
      <c r="F3113" t="s">
        <v>67</v>
      </c>
      <c r="G3113">
        <v>-465.67700000000002</v>
      </c>
      <c r="H3113">
        <v>0.28469420000000001</v>
      </c>
      <c r="I3113">
        <v>197.345</v>
      </c>
      <c r="J3113">
        <v>-490.7122</v>
      </c>
      <c r="K3113">
        <v>1.1166879999999999</v>
      </c>
      <c r="L3113">
        <v>228.06489999999999</v>
      </c>
      <c r="M3113">
        <v>0.27413179999999998</v>
      </c>
      <c r="N3113">
        <v>-1.2275599999999999E-2</v>
      </c>
      <c r="O3113">
        <v>-0.96161379999999996</v>
      </c>
      <c r="P3113">
        <v>0.45684979999999997</v>
      </c>
      <c r="Q3113">
        <v>0.1806218</v>
      </c>
      <c r="R3113">
        <v>-0.87101329999999999</v>
      </c>
      <c r="S3113">
        <v>1.9711909999999999</v>
      </c>
      <c r="T3113">
        <v>-6.5288659999999998E-2</v>
      </c>
      <c r="U3113">
        <v>-2.4309080000000001</v>
      </c>
      <c r="V3113">
        <v>-0.20359849999999999</v>
      </c>
      <c r="W3113">
        <v>0.18920580000000001</v>
      </c>
      <c r="X3113">
        <v>0.96059819999999996</v>
      </c>
      <c r="Y3113">
        <v>-0.39266060000000003</v>
      </c>
      <c r="Z3113">
        <v>1.011161E-2</v>
      </c>
      <c r="AA3113">
        <v>0.91962790000000005</v>
      </c>
      <c r="AB3113">
        <v>27</v>
      </c>
      <c r="AC3113">
        <v>25.0352</v>
      </c>
      <c r="AD3113">
        <v>-0.83199379999999901</v>
      </c>
      <c r="AE3113">
        <v>-30.719899999999999</v>
      </c>
      <c r="AF3113">
        <v>-15.6471747901219</v>
      </c>
      <c r="AG3113">
        <v>-0.83199379999999901</v>
      </c>
      <c r="AH3113">
        <v>36.390327060211497</v>
      </c>
      <c r="AI3113">
        <v>91.203247438453005</v>
      </c>
      <c r="AJ3113">
        <v>113.26682003778799</v>
      </c>
      <c r="AK3113">
        <v>39.620476980281602</v>
      </c>
      <c r="AL3113">
        <v>79.093561242238096</v>
      </c>
      <c r="AM3113">
        <v>101.966728305993</v>
      </c>
      <c r="AN3113">
        <v>1.0000000428995599</v>
      </c>
    </row>
    <row r="3114" spans="1:40" x14ac:dyDescent="0.25">
      <c r="A3114" t="str">
        <f>"20190304155653295"</f>
        <v>20190304155653295</v>
      </c>
      <c r="B3114" t="str">
        <f>"1551686213287856"</f>
        <v>1551686213287856</v>
      </c>
      <c r="C3114" t="s">
        <v>40</v>
      </c>
      <c r="D3114">
        <v>4.1583509999999997</v>
      </c>
      <c r="E3114">
        <v>0.4177921</v>
      </c>
      <c r="F3114" t="s">
        <v>67</v>
      </c>
      <c r="G3114">
        <v>-465.35840000000002</v>
      </c>
      <c r="H3114">
        <v>0.23306180000000001</v>
      </c>
      <c r="I3114">
        <v>197.345</v>
      </c>
      <c r="J3114">
        <v>-490.63029999999998</v>
      </c>
      <c r="K3114">
        <v>1.116778</v>
      </c>
      <c r="L3114">
        <v>227.81479999999999</v>
      </c>
      <c r="M3114">
        <v>0.28314600000000001</v>
      </c>
      <c r="N3114">
        <v>-1.229732E-2</v>
      </c>
      <c r="O3114">
        <v>-0.95899800000000002</v>
      </c>
      <c r="P3114">
        <v>0.46460800000000002</v>
      </c>
      <c r="Q3114">
        <v>0.17966849999999901</v>
      </c>
      <c r="R3114">
        <v>-0.86709789999999998</v>
      </c>
      <c r="S3114">
        <v>1.992157</v>
      </c>
      <c r="T3114">
        <v>-6.9427249999999996E-2</v>
      </c>
      <c r="U3114">
        <v>-2.4137879999999998</v>
      </c>
      <c r="V3114">
        <v>-0.20312939999999999</v>
      </c>
      <c r="W3114">
        <v>0.1882383</v>
      </c>
      <c r="X3114">
        <v>0.96088750000000001</v>
      </c>
      <c r="Y3114">
        <v>-0.39196910000000001</v>
      </c>
      <c r="Z3114">
        <v>1.1470889999999999E-2</v>
      </c>
      <c r="AA3114">
        <v>0.91990689999999997</v>
      </c>
      <c r="AB3114">
        <v>27</v>
      </c>
      <c r="AC3114">
        <v>25.271899999999899</v>
      </c>
      <c r="AD3114">
        <v>-0.88371619999999995</v>
      </c>
      <c r="AE3114">
        <v>-30.4697999999999</v>
      </c>
      <c r="AF3114">
        <v>-15.601704399122699</v>
      </c>
      <c r="AG3114">
        <v>-0.88371619999999995</v>
      </c>
      <c r="AH3114">
        <v>36.360744211859803</v>
      </c>
      <c r="AI3114">
        <v>91.279482554507496</v>
      </c>
      <c r="AJ3114">
        <v>113.223251678031</v>
      </c>
      <c r="AK3114">
        <v>39.576481072981302</v>
      </c>
      <c r="AL3114">
        <v>79.150008768999001</v>
      </c>
      <c r="AM3114">
        <v>101.936456941413</v>
      </c>
      <c r="AN3114">
        <v>0.99999999919374905</v>
      </c>
    </row>
    <row r="3115" spans="1:40" x14ac:dyDescent="0.25">
      <c r="A3115" t="str">
        <f>"20190304155653321"</f>
        <v>20190304155653321</v>
      </c>
      <c r="B3115" t="str">
        <f>"1551686213318112"</f>
        <v>1551686213318112</v>
      </c>
      <c r="C3115" t="s">
        <v>40</v>
      </c>
      <c r="D3115">
        <v>4.212726</v>
      </c>
      <c r="E3115">
        <v>0.41830349999999999</v>
      </c>
      <c r="F3115" t="s">
        <v>67</v>
      </c>
      <c r="G3115">
        <v>-465.07470000000001</v>
      </c>
      <c r="H3115">
        <v>0.1705952</v>
      </c>
      <c r="I3115">
        <v>197.345</v>
      </c>
      <c r="J3115">
        <v>-490.53870000000001</v>
      </c>
      <c r="K3115">
        <v>1.116859</v>
      </c>
      <c r="L3115">
        <v>227.54409999999999</v>
      </c>
      <c r="M3115">
        <v>0.29304999999999998</v>
      </c>
      <c r="N3115">
        <v>-1.232016E-2</v>
      </c>
      <c r="O3115">
        <v>-0.95601789999999998</v>
      </c>
      <c r="P3115">
        <v>0.47350429999999999</v>
      </c>
      <c r="Q3115">
        <v>0.17890200000000001</v>
      </c>
      <c r="R3115">
        <v>-0.86243130000000001</v>
      </c>
      <c r="S3115">
        <v>2.0109859999999999</v>
      </c>
      <c r="T3115">
        <v>-7.4452519999999994E-2</v>
      </c>
      <c r="U3115">
        <v>-2.397675</v>
      </c>
      <c r="V3115">
        <v>-0.20306160000000001</v>
      </c>
      <c r="W3115">
        <v>0.18745010000000001</v>
      </c>
      <c r="X3115">
        <v>0.96105589999999996</v>
      </c>
      <c r="Y3115">
        <v>-0.38972010000000001</v>
      </c>
      <c r="Z3115">
        <v>1.3110210000000001E-2</v>
      </c>
      <c r="AA3115">
        <v>0.92083999999999999</v>
      </c>
      <c r="AB3115">
        <v>27</v>
      </c>
      <c r="AC3115">
        <v>25.463999999999999</v>
      </c>
      <c r="AD3115">
        <v>-0.94626379999999999</v>
      </c>
      <c r="AE3115">
        <v>-30.199099999999898</v>
      </c>
      <c r="AF3115">
        <v>-15.486480445717699</v>
      </c>
      <c r="AG3115">
        <v>-0.94626379999999999</v>
      </c>
      <c r="AH3115">
        <v>36.315018520489403</v>
      </c>
      <c r="AI3115">
        <v>91.373038623071096</v>
      </c>
      <c r="AJ3115">
        <v>113.095744788199</v>
      </c>
      <c r="AK3115">
        <v>39.490594600718197</v>
      </c>
      <c r="AL3115">
        <v>79.195987772341795</v>
      </c>
      <c r="AM3115">
        <v>101.93055609487701</v>
      </c>
      <c r="AN3115">
        <v>0.99999999815468998</v>
      </c>
    </row>
    <row r="3116" spans="1:40" x14ac:dyDescent="0.25">
      <c r="A3116" t="str">
        <f>"20190304155653341"</f>
        <v>20190304155653341</v>
      </c>
      <c r="B3116" t="str">
        <f>"1551686213337632"</f>
        <v>1551686213337632</v>
      </c>
      <c r="C3116" t="s">
        <v>40</v>
      </c>
      <c r="D3116">
        <v>4.1411930000000003</v>
      </c>
      <c r="E3116">
        <v>0.41867130000000002</v>
      </c>
      <c r="F3116" t="s">
        <v>67</v>
      </c>
      <c r="G3116">
        <v>-464.81470000000002</v>
      </c>
      <c r="H3116">
        <v>0.10896019999999899</v>
      </c>
      <c r="I3116">
        <v>197.4375</v>
      </c>
      <c r="J3116">
        <v>-490.4579</v>
      </c>
      <c r="K3116">
        <v>1.116938</v>
      </c>
      <c r="L3116">
        <v>227.31290000000001</v>
      </c>
      <c r="M3116">
        <v>0.30162240000000001</v>
      </c>
      <c r="N3116">
        <v>-1.234001E-2</v>
      </c>
      <c r="O3116">
        <v>-0.95334779999999997</v>
      </c>
      <c r="P3116">
        <v>0.48101969999999999</v>
      </c>
      <c r="Q3116">
        <v>0.17798429999999901</v>
      </c>
      <c r="R3116">
        <v>-0.85845319999999903</v>
      </c>
      <c r="S3116">
        <v>2.032715</v>
      </c>
      <c r="T3116">
        <v>-7.9641100000000006E-2</v>
      </c>
      <c r="U3116">
        <v>-2.379013</v>
      </c>
      <c r="V3116">
        <v>-0.2027902</v>
      </c>
      <c r="W3116">
        <v>0.18651980000000001</v>
      </c>
      <c r="X3116">
        <v>0.96129419999999999</v>
      </c>
      <c r="Y3116">
        <v>-0.38985999999999998</v>
      </c>
      <c r="Z3116">
        <v>1.4808460000000001E-2</v>
      </c>
      <c r="AA3116">
        <v>0.92075510000000005</v>
      </c>
      <c r="AB3116">
        <v>27</v>
      </c>
      <c r="AC3116">
        <v>25.643199999999901</v>
      </c>
      <c r="AD3116">
        <v>-1.0079777999999999</v>
      </c>
      <c r="AE3116">
        <v>-29.875399999999999</v>
      </c>
      <c r="AF3116">
        <v>-15.426859428473101</v>
      </c>
      <c r="AG3116">
        <v>-1.0079777999999999</v>
      </c>
      <c r="AH3116">
        <v>36.195237216843502</v>
      </c>
      <c r="AI3116">
        <v>91.467511350596993</v>
      </c>
      <c r="AJ3116">
        <v>113.084304819016</v>
      </c>
      <c r="AK3116">
        <v>39.358597640855201</v>
      </c>
      <c r="AL3116">
        <v>79.250247258136298</v>
      </c>
      <c r="AM3116">
        <v>101.912197191936</v>
      </c>
      <c r="AN3116">
        <v>1.0000000199808501</v>
      </c>
    </row>
    <row r="3117" spans="1:40" x14ac:dyDescent="0.25">
      <c r="A3117" t="str">
        <f>"20190304155653363"</f>
        <v>20190304155653363</v>
      </c>
      <c r="B3117" t="str">
        <f>"1551686213358128"</f>
        <v>1551686213358128</v>
      </c>
      <c r="C3117" t="s">
        <v>40</v>
      </c>
      <c r="D3117">
        <v>4.3083720000000003</v>
      </c>
      <c r="E3117">
        <v>0.41902129999999999</v>
      </c>
      <c r="F3117" t="s">
        <v>44</v>
      </c>
      <c r="G3117">
        <v>-461.90030000000002</v>
      </c>
      <c r="H3117">
        <v>-0.05</v>
      </c>
      <c r="I3117">
        <v>194.42660000000001</v>
      </c>
      <c r="J3117">
        <v>-490.37049999999999</v>
      </c>
      <c r="K3117">
        <v>1.11702099999999</v>
      </c>
      <c r="L3117">
        <v>227.07050000000001</v>
      </c>
      <c r="M3117">
        <v>0.31072230000000001</v>
      </c>
      <c r="N3117">
        <v>-1.236116E-2</v>
      </c>
      <c r="O3117">
        <v>-0.95042059999999995</v>
      </c>
      <c r="P3117">
        <v>0.48897489999999999</v>
      </c>
      <c r="Q3117">
        <v>0.17758650000000001</v>
      </c>
      <c r="R3117">
        <v>-0.85402999999999996</v>
      </c>
      <c r="S3117">
        <v>2.0515140000000001</v>
      </c>
      <c r="T3117">
        <v>-8.3830479999999999E-2</v>
      </c>
      <c r="U3117">
        <v>-2.3624879999999999</v>
      </c>
      <c r="V3117">
        <v>-0.20253769999999999</v>
      </c>
      <c r="W3117">
        <v>0.18610699999999999</v>
      </c>
      <c r="X3117">
        <v>0.96142740000000004</v>
      </c>
      <c r="Y3117">
        <v>-0.38840429999999998</v>
      </c>
      <c r="Z3117">
        <v>1.61692999999999E-2</v>
      </c>
      <c r="AA3117">
        <v>0.92134720000000003</v>
      </c>
      <c r="AB3117">
        <v>27</v>
      </c>
      <c r="AC3117">
        <v>28.470199999999899</v>
      </c>
      <c r="AD3117">
        <v>-1.1670210000000001</v>
      </c>
      <c r="AE3117">
        <v>-32.643900000000002</v>
      </c>
      <c r="AF3117">
        <v>-16.904494271079901</v>
      </c>
      <c r="AG3117">
        <v>-1.1670210000000001</v>
      </c>
      <c r="AH3117">
        <v>39.845873760419501</v>
      </c>
      <c r="AI3117">
        <v>91.544451934803106</v>
      </c>
      <c r="AJ3117">
        <v>112.988941258216</v>
      </c>
      <c r="AK3117">
        <v>43.299163043951602</v>
      </c>
      <c r="AL3117">
        <v>79.274320147946995</v>
      </c>
      <c r="AM3117">
        <v>101.896186544447</v>
      </c>
      <c r="AN3117">
        <v>0.99999999042052501</v>
      </c>
    </row>
    <row r="3118" spans="1:40" x14ac:dyDescent="0.25">
      <c r="A3118" t="str">
        <f>"20190304155653384"</f>
        <v>20190304155653384</v>
      </c>
      <c r="B3118" t="str">
        <f>"1551686213377647"</f>
        <v>1551686213377647</v>
      </c>
      <c r="C3118" t="s">
        <v>40</v>
      </c>
      <c r="D3118">
        <v>4.3367069999999996</v>
      </c>
      <c r="E3118">
        <v>0.42670039999999998</v>
      </c>
      <c r="F3118" t="s">
        <v>44</v>
      </c>
      <c r="G3118">
        <v>-462.51499999999999</v>
      </c>
      <c r="H3118">
        <v>-0.05</v>
      </c>
      <c r="I3118">
        <v>195.55160000000001</v>
      </c>
      <c r="J3118">
        <v>-490.28289999999998</v>
      </c>
      <c r="K3118">
        <v>1.1171059999999999</v>
      </c>
      <c r="L3118">
        <v>226.8347</v>
      </c>
      <c r="M3118">
        <v>0.31967820000000002</v>
      </c>
      <c r="N3118">
        <v>-1.2381649999999999E-2</v>
      </c>
      <c r="O3118">
        <v>-0.94744539999999999</v>
      </c>
      <c r="P3118">
        <v>0.49675380000000002</v>
      </c>
      <c r="Q3118">
        <v>0.17732229999999999</v>
      </c>
      <c r="R3118">
        <v>-0.84958400000000001</v>
      </c>
      <c r="S3118">
        <v>2.0719910000000001</v>
      </c>
      <c r="T3118">
        <v>-8.6807129999999996E-2</v>
      </c>
      <c r="U3118">
        <v>-2.3444820000000002</v>
      </c>
      <c r="V3118">
        <v>-0.2022602</v>
      </c>
      <c r="W3118">
        <v>0.1858273</v>
      </c>
      <c r="X3118">
        <v>0.9615399</v>
      </c>
      <c r="Y3118">
        <v>-0.38772400000000001</v>
      </c>
      <c r="Z3118">
        <v>1.7136829999999999E-2</v>
      </c>
      <c r="AA3118">
        <v>0.9216162</v>
      </c>
      <c r="AB3118">
        <v>27</v>
      </c>
      <c r="AC3118">
        <v>27.767900000000001</v>
      </c>
      <c r="AD3118">
        <v>-1.167106</v>
      </c>
      <c r="AE3118">
        <v>-31.283099999999902</v>
      </c>
      <c r="AF3118">
        <v>-16.296605299354301</v>
      </c>
      <c r="AG3118">
        <v>-1.167106</v>
      </c>
      <c r="AH3118">
        <v>38.4888058646427</v>
      </c>
      <c r="AI3118">
        <v>91.5994758292874</v>
      </c>
      <c r="AJ3118">
        <v>112.948360849683</v>
      </c>
      <c r="AK3118">
        <v>41.813032150088397</v>
      </c>
      <c r="AL3118">
        <v>79.2906301428295</v>
      </c>
      <c r="AM3118">
        <v>101.879000377433</v>
      </c>
      <c r="AN3118">
        <v>0.99999997661066897</v>
      </c>
    </row>
    <row r="3119" spans="1:40" x14ac:dyDescent="0.25">
      <c r="A3119" t="str">
        <f>"20190304155653407"</f>
        <v>20190304155653407</v>
      </c>
      <c r="B3119" t="str">
        <f>"1551686213398147"</f>
        <v>1551686213398147</v>
      </c>
      <c r="C3119" t="s">
        <v>40</v>
      </c>
      <c r="D3119">
        <v>4.3191800000000002</v>
      </c>
      <c r="E3119">
        <v>0.42696840000000003</v>
      </c>
      <c r="F3119" t="s">
        <v>53</v>
      </c>
      <c r="G3119">
        <v>-475.37349999999998</v>
      </c>
      <c r="H3119">
        <v>6.8396129999999999E-2</v>
      </c>
      <c r="I3119">
        <v>209.5977</v>
      </c>
      <c r="J3119">
        <v>-490.18540000000002</v>
      </c>
      <c r="K3119">
        <v>1.1171960000000001</v>
      </c>
      <c r="L3119">
        <v>226.5804</v>
      </c>
      <c r="M3119">
        <v>0.3294531</v>
      </c>
      <c r="N3119">
        <v>-1.2403569999999999E-2</v>
      </c>
      <c r="O3119">
        <v>-0.94409069999999995</v>
      </c>
      <c r="P3119">
        <v>0.50516070000000002</v>
      </c>
      <c r="Q3119">
        <v>0.17701900000000001</v>
      </c>
      <c r="R3119">
        <v>-0.84467559999999997</v>
      </c>
      <c r="S3119">
        <v>2.0456539999999999</v>
      </c>
      <c r="T3119">
        <v>-0.14388899999999999</v>
      </c>
      <c r="U3119">
        <v>-2.365021</v>
      </c>
      <c r="V3119">
        <v>-0.2018797</v>
      </c>
      <c r="W3119">
        <v>0.1855088</v>
      </c>
      <c r="X3119">
        <v>0.96168140000000002</v>
      </c>
      <c r="Y3119">
        <v>-0.3679307</v>
      </c>
      <c r="Z3119">
        <v>3.5368190000000001E-2</v>
      </c>
      <c r="AA3119">
        <v>0.92918029999999996</v>
      </c>
      <c r="AB3119">
        <v>27</v>
      </c>
      <c r="AC3119">
        <v>14.8119</v>
      </c>
      <c r="AD3119">
        <v>-1.0487998700000001</v>
      </c>
      <c r="AE3119">
        <v>-16.982699999999902</v>
      </c>
      <c r="AF3119">
        <v>-8.3712839274641802</v>
      </c>
      <c r="AG3119">
        <v>-1.0487998700000001</v>
      </c>
      <c r="AH3119">
        <v>20.869433426840999</v>
      </c>
      <c r="AI3119">
        <v>92.670496892103202</v>
      </c>
      <c r="AJ3119">
        <v>111.857031676434</v>
      </c>
      <c r="AK3119">
        <v>22.510256047386001</v>
      </c>
      <c r="AL3119">
        <v>79.309202249635007</v>
      </c>
      <c r="AM3119">
        <v>101.855591025763</v>
      </c>
      <c r="AN3119">
        <v>1.00000002162774</v>
      </c>
    </row>
    <row r="3120" spans="1:40" x14ac:dyDescent="0.25">
      <c r="A3120" t="str">
        <f>"20190304155653429"</f>
        <v>20190304155653429</v>
      </c>
      <c r="B3120" t="str">
        <f>"1551686213417668"</f>
        <v>1551686213417668</v>
      </c>
      <c r="C3120" t="s">
        <v>40</v>
      </c>
      <c r="D3120">
        <v>4.3030140000000001</v>
      </c>
      <c r="E3120">
        <v>0.42706110000000003</v>
      </c>
      <c r="F3120" t="s">
        <v>53</v>
      </c>
      <c r="G3120">
        <v>-475.21510000000001</v>
      </c>
      <c r="H3120">
        <v>6.3918429999999998E-2</v>
      </c>
      <c r="I3120">
        <v>209.60220000000001</v>
      </c>
      <c r="J3120">
        <v>-490.09339999999997</v>
      </c>
      <c r="K3120">
        <v>1.1172740000000001</v>
      </c>
      <c r="L3120">
        <v>226.3475</v>
      </c>
      <c r="M3120">
        <v>0.338518599999999</v>
      </c>
      <c r="N3120">
        <v>-1.242354E-2</v>
      </c>
      <c r="O3120">
        <v>-0.94087779999999999</v>
      </c>
      <c r="P3120">
        <v>0.51310119999999904</v>
      </c>
      <c r="Q3120">
        <v>0.17646149999999999</v>
      </c>
      <c r="R3120">
        <v>-0.83999330000000005</v>
      </c>
      <c r="S3120">
        <v>2.0680239999999999</v>
      </c>
      <c r="T3120">
        <v>-0.14550189999999999</v>
      </c>
      <c r="U3120">
        <v>-2.3453979999999999</v>
      </c>
      <c r="V3120">
        <v>-0.20168349999999999</v>
      </c>
      <c r="W3120">
        <v>0.18493560000000001</v>
      </c>
      <c r="X3120">
        <v>0.96183289999999999</v>
      </c>
      <c r="Y3120">
        <v>-0.36781639999999999</v>
      </c>
      <c r="Z3120">
        <v>3.5860910000000003E-2</v>
      </c>
      <c r="AA3120">
        <v>0.92920670000000005</v>
      </c>
      <c r="AB3120">
        <v>27</v>
      </c>
      <c r="AC3120">
        <v>14.8782999999999</v>
      </c>
      <c r="AD3120">
        <v>-1.0533555699999999</v>
      </c>
      <c r="AE3120">
        <v>-16.745299999999901</v>
      </c>
      <c r="AF3120">
        <v>-8.3123276695077806</v>
      </c>
      <c r="AG3120">
        <v>-1.0533555699999999</v>
      </c>
      <c r="AH3120">
        <v>20.747585758626101</v>
      </c>
      <c r="AI3120">
        <v>92.698260229751099</v>
      </c>
      <c r="AJ3120">
        <v>111.833049455644</v>
      </c>
      <c r="AK3120">
        <v>22.375581870728102</v>
      </c>
      <c r="AL3120">
        <v>79.342621903220902</v>
      </c>
      <c r="AM3120">
        <v>101.842581653937</v>
      </c>
      <c r="AN3120">
        <v>0.99999996892100895</v>
      </c>
    </row>
    <row r="3121" spans="1:40" x14ac:dyDescent="0.25">
      <c r="A3121" t="str">
        <f>"20190304155653453"</f>
        <v>20190304155653453</v>
      </c>
      <c r="B3121" t="str">
        <f>"1551686213447920"</f>
        <v>1551686213447920</v>
      </c>
      <c r="C3121" t="s">
        <v>40</v>
      </c>
      <c r="D3121">
        <v>4.3109739999999999</v>
      </c>
      <c r="E3121">
        <v>0.42748839999999999</v>
      </c>
      <c r="F3121" t="s">
        <v>53</v>
      </c>
      <c r="G3121">
        <v>-475.04930000000002</v>
      </c>
      <c r="H3121">
        <v>5.9512759999999998E-2</v>
      </c>
      <c r="I3121">
        <v>209.60679999999999</v>
      </c>
      <c r="J3121">
        <v>-489.98930000000001</v>
      </c>
      <c r="K3121">
        <v>1.1173580000000001</v>
      </c>
      <c r="L3121">
        <v>226.0926</v>
      </c>
      <c r="M3121">
        <v>0.3485665</v>
      </c>
      <c r="N3121">
        <v>-1.244522E-2</v>
      </c>
      <c r="O3121">
        <v>-0.93720139999999996</v>
      </c>
      <c r="P3121">
        <v>0.52222800000000003</v>
      </c>
      <c r="Q3121">
        <v>0.17521120000000001</v>
      </c>
      <c r="R3121">
        <v>-0.834613099999999</v>
      </c>
      <c r="S3121">
        <v>2.089966</v>
      </c>
      <c r="T3121">
        <v>-0.14694740000000001</v>
      </c>
      <c r="U3121">
        <v>-2.3256679999999998</v>
      </c>
      <c r="V3121">
        <v>-0.2018045</v>
      </c>
      <c r="W3121">
        <v>0.1836642</v>
      </c>
      <c r="X3121">
        <v>0.9620512</v>
      </c>
      <c r="Y3121">
        <v>-0.36662420000000001</v>
      </c>
      <c r="Z3121">
        <v>3.6281069999999999E-2</v>
      </c>
      <c r="AA3121">
        <v>0.92966150000000003</v>
      </c>
      <c r="AB3121">
        <v>27</v>
      </c>
      <c r="AC3121">
        <v>14.9399999999999</v>
      </c>
      <c r="AD3121">
        <v>-1.05784524</v>
      </c>
      <c r="AE3121">
        <v>-16.485800000000001</v>
      </c>
      <c r="AF3121">
        <v>-8.2374081923988296</v>
      </c>
      <c r="AG3121">
        <v>-1.05784524</v>
      </c>
      <c r="AH3121">
        <v>20.6130978160108</v>
      </c>
      <c r="AI3121">
        <v>92.728355439745698</v>
      </c>
      <c r="AJ3121">
        <v>111.782642617287</v>
      </c>
      <c r="AK3121">
        <v>22.223270053086601</v>
      </c>
      <c r="AL3121">
        <v>79.416738258969104</v>
      </c>
      <c r="AM3121">
        <v>101.846873012393</v>
      </c>
      <c r="AN3121">
        <v>1.0000000530016599</v>
      </c>
    </row>
    <row r="3122" spans="1:40" x14ac:dyDescent="0.25">
      <c r="A3122" t="str">
        <f>"20190304155653474"</f>
        <v>20190304155653474</v>
      </c>
      <c r="B3122" t="str">
        <f>"1551686213467439"</f>
        <v>1551686213467439</v>
      </c>
      <c r="C3122" t="s">
        <v>40</v>
      </c>
      <c r="D3122">
        <v>4.2852880000000004</v>
      </c>
      <c r="E3122">
        <v>0.42776710000000001</v>
      </c>
      <c r="F3122" t="s">
        <v>53</v>
      </c>
      <c r="G3122">
        <v>-474.88350000000003</v>
      </c>
      <c r="H3122">
        <v>2.6536130000000002E-2</v>
      </c>
      <c r="I3122">
        <v>209.6163</v>
      </c>
      <c r="J3122">
        <v>-489.89150000000001</v>
      </c>
      <c r="K3122">
        <v>1.1174249999999999</v>
      </c>
      <c r="L3122">
        <v>225.86009999999999</v>
      </c>
      <c r="M3122">
        <v>0.3578307</v>
      </c>
      <c r="N3122">
        <v>-1.246469E-2</v>
      </c>
      <c r="O3122">
        <v>-0.93370339999999996</v>
      </c>
      <c r="P3122">
        <v>0.5297752</v>
      </c>
      <c r="Q3122">
        <v>0.1739154</v>
      </c>
      <c r="R3122">
        <v>-0.83011559999999995</v>
      </c>
      <c r="S3122">
        <v>2.1128230000000001</v>
      </c>
      <c r="T3122">
        <v>-0.1525716</v>
      </c>
      <c r="U3122">
        <v>-2.3045040000000001</v>
      </c>
      <c r="V3122">
        <v>-0.20091310000000001</v>
      </c>
      <c r="W3122">
        <v>0.18237120000000001</v>
      </c>
      <c r="X3122">
        <v>0.96248359999999999</v>
      </c>
      <c r="Y3122">
        <v>-0.36662270000000002</v>
      </c>
      <c r="Z3122">
        <v>3.8050010000000002E-2</v>
      </c>
      <c r="AA3122">
        <v>0.92959130000000001</v>
      </c>
      <c r="AB3122">
        <v>27</v>
      </c>
      <c r="AC3122">
        <v>15.0079999999999</v>
      </c>
      <c r="AD3122">
        <v>-1.0908888699999999</v>
      </c>
      <c r="AE3122">
        <v>-16.243799999999901</v>
      </c>
      <c r="AF3122">
        <v>-8.1812206945258108</v>
      </c>
      <c r="AG3122">
        <v>-1.0908888699999999</v>
      </c>
      <c r="AH3122">
        <v>20.4889558478677</v>
      </c>
      <c r="AI3122">
        <v>92.830776983394898</v>
      </c>
      <c r="AJ3122">
        <v>111.766779372158</v>
      </c>
      <c r="AK3122">
        <v>22.088904959619398</v>
      </c>
      <c r="AL3122">
        <v>79.492093981864599</v>
      </c>
      <c r="AM3122">
        <v>101.790861937833</v>
      </c>
      <c r="AN3122">
        <v>1.0000000043049999</v>
      </c>
    </row>
    <row r="3123" spans="1:40" x14ac:dyDescent="0.25">
      <c r="A3123" t="str">
        <f>"20190304155653496"</f>
        <v>20190304155653496</v>
      </c>
      <c r="B3123" t="str">
        <f>"1551686213487936"</f>
        <v>1551686213487936</v>
      </c>
      <c r="C3123" t="s">
        <v>40</v>
      </c>
      <c r="D3123">
        <v>4.3399590000000003</v>
      </c>
      <c r="E3123">
        <v>0.42803829999999998</v>
      </c>
      <c r="F3123" t="s">
        <v>53</v>
      </c>
      <c r="G3123">
        <v>-474.7407</v>
      </c>
      <c r="H3123" s="1">
        <v>3.6375770000000001E-6</v>
      </c>
      <c r="I3123">
        <v>209.6165</v>
      </c>
      <c r="J3123">
        <v>-489.79</v>
      </c>
      <c r="K3123">
        <v>1.1174850000000001</v>
      </c>
      <c r="L3123">
        <v>225.62569999999999</v>
      </c>
      <c r="M3123">
        <v>0.36725829999999998</v>
      </c>
      <c r="N3123">
        <v>-1.2484830000000001E-2</v>
      </c>
      <c r="O3123">
        <v>-0.93003519999999895</v>
      </c>
      <c r="P3123">
        <v>0.53781840000000003</v>
      </c>
      <c r="Q3123">
        <v>0.1722408</v>
      </c>
      <c r="R3123">
        <v>-0.82527870000000003</v>
      </c>
      <c r="S3123">
        <v>2.1322939999999999</v>
      </c>
      <c r="T3123">
        <v>-0.15726409999999999</v>
      </c>
      <c r="U3123">
        <v>-2.2861020000000001</v>
      </c>
      <c r="V3123">
        <v>-0.20040089999999999</v>
      </c>
      <c r="W3123">
        <v>0.1806982</v>
      </c>
      <c r="X3123">
        <v>0.96290580000000003</v>
      </c>
      <c r="Y3123">
        <v>-0.36513299999999999</v>
      </c>
      <c r="Z3123">
        <v>3.9491390000000001E-2</v>
      </c>
      <c r="AA3123">
        <v>0.93011739999999998</v>
      </c>
      <c r="AB3123">
        <v>27</v>
      </c>
      <c r="AC3123">
        <v>15.049300000000001</v>
      </c>
      <c r="AD3123">
        <v>-1.117481362423</v>
      </c>
      <c r="AE3123">
        <v>-16.0091999999999</v>
      </c>
      <c r="AF3123">
        <v>-8.0965569826869004</v>
      </c>
      <c r="AG3123">
        <v>-1.117481362423</v>
      </c>
      <c r="AH3123">
        <v>20.365014312385298</v>
      </c>
      <c r="AI3123">
        <v>92.919013232768194</v>
      </c>
      <c r="AJ3123">
        <v>111.681377133852</v>
      </c>
      <c r="AK3123">
        <v>21.943946944725202</v>
      </c>
      <c r="AL3123">
        <v>79.589569071045005</v>
      </c>
      <c r="AM3123">
        <v>101.756627672345</v>
      </c>
      <c r="AN3123">
        <v>0.99999996993884399</v>
      </c>
    </row>
    <row r="3124" spans="1:40" x14ac:dyDescent="0.25">
      <c r="A3124" t="str">
        <f>"20190304155653521"</f>
        <v>20190304155653521</v>
      </c>
      <c r="B3124" t="str">
        <f>"1551686213518193"</f>
        <v>1551686213518193</v>
      </c>
      <c r="C3124" t="s">
        <v>40</v>
      </c>
      <c r="D3124">
        <v>4.3931820000000004</v>
      </c>
      <c r="E3124">
        <v>0.42815150000000002</v>
      </c>
      <c r="F3124" t="s">
        <v>53</v>
      </c>
      <c r="G3124">
        <v>-475.03680000000003</v>
      </c>
      <c r="H3124" s="1">
        <v>3.5273850000000001E-6</v>
      </c>
      <c r="I3124">
        <v>210.09889999999999</v>
      </c>
      <c r="J3124">
        <v>-489.67090000000002</v>
      </c>
      <c r="K3124">
        <v>1.117542</v>
      </c>
      <c r="L3124">
        <v>225.3587</v>
      </c>
      <c r="M3124">
        <v>0.37809959999999998</v>
      </c>
      <c r="N3124">
        <v>-1.2512499999999999E-2</v>
      </c>
      <c r="O3124">
        <v>-0.92568050000000002</v>
      </c>
      <c r="P3124">
        <v>0.54684080000000002</v>
      </c>
      <c r="Q3124">
        <v>0.17050709999999999</v>
      </c>
      <c r="R3124">
        <v>-0.819690699999999</v>
      </c>
      <c r="S3124">
        <v>2.1531370000000001</v>
      </c>
      <c r="T3124">
        <v>-0.1630886</v>
      </c>
      <c r="U3124">
        <v>-2.266022</v>
      </c>
      <c r="V3124">
        <v>-0.19957569999999999</v>
      </c>
      <c r="W3124">
        <v>0.1789791</v>
      </c>
      <c r="X3124">
        <v>0.96339819999999998</v>
      </c>
      <c r="Y3124">
        <v>-0.3628111</v>
      </c>
      <c r="Z3124">
        <v>4.125848E-2</v>
      </c>
      <c r="AA3124">
        <v>0.93094889999999997</v>
      </c>
      <c r="AB3124">
        <v>27</v>
      </c>
      <c r="AC3124">
        <v>14.634099999999901</v>
      </c>
      <c r="AD3124">
        <v>-1.1175384726149999</v>
      </c>
      <c r="AE3124">
        <v>-15.2598</v>
      </c>
      <c r="AF3124">
        <v>-7.7557164386034501</v>
      </c>
      <c r="AG3124">
        <v>-1.1175384726149999</v>
      </c>
      <c r="AH3124">
        <v>19.605608524342902</v>
      </c>
      <c r="AI3124">
        <v>93.034085823838396</v>
      </c>
      <c r="AJ3124">
        <v>111.58308866689801</v>
      </c>
      <c r="AK3124">
        <v>21.1135007832331</v>
      </c>
      <c r="AL3124">
        <v>79.689699443086596</v>
      </c>
      <c r="AM3124">
        <v>101.703736578555</v>
      </c>
      <c r="AN3124">
        <v>1.00000003501526</v>
      </c>
    </row>
    <row r="3125" spans="1:40" x14ac:dyDescent="0.25">
      <c r="A3125" t="str">
        <f>"20190304155653542"</f>
        <v>20190304155653542</v>
      </c>
      <c r="B3125" t="str">
        <f>"1551686213537712"</f>
        <v>1551686213537712</v>
      </c>
      <c r="C3125" t="s">
        <v>40</v>
      </c>
      <c r="D3125">
        <v>4.3442220000000002</v>
      </c>
      <c r="E3125">
        <v>0.42834810000000001</v>
      </c>
      <c r="F3125" t="s">
        <v>53</v>
      </c>
      <c r="G3125">
        <v>-475.19940000000003</v>
      </c>
      <c r="H3125" s="1">
        <v>3.470843E-6</v>
      </c>
      <c r="I3125">
        <v>210.45519999999999</v>
      </c>
      <c r="J3125">
        <v>-489.56670000000003</v>
      </c>
      <c r="K3125">
        <v>1.117597</v>
      </c>
      <c r="L3125">
        <v>225.1318</v>
      </c>
      <c r="M3125">
        <v>0.38740010000000002</v>
      </c>
      <c r="N3125">
        <v>-1.253864E-2</v>
      </c>
      <c r="O3125">
        <v>-0.92182649999999999</v>
      </c>
      <c r="P3125">
        <v>0.55481769999999997</v>
      </c>
      <c r="Q3125">
        <v>0.168841299999999</v>
      </c>
      <c r="R3125">
        <v>-0.81465949999999998</v>
      </c>
      <c r="S3125">
        <v>2.1773380000000002</v>
      </c>
      <c r="T3125">
        <v>-0.1681414</v>
      </c>
      <c r="U3125">
        <v>-2.2423250000000001</v>
      </c>
      <c r="V3125">
        <v>-0.19914200000000001</v>
      </c>
      <c r="W3125">
        <v>0.1773237</v>
      </c>
      <c r="X3125">
        <v>0.96379389999999998</v>
      </c>
      <c r="Y3125">
        <v>-0.36346489999999998</v>
      </c>
      <c r="Z3125">
        <v>4.2814289999999998E-2</v>
      </c>
      <c r="AA3125">
        <v>0.9306236</v>
      </c>
      <c r="AB3125">
        <v>27</v>
      </c>
      <c r="AC3125">
        <v>14.3673</v>
      </c>
      <c r="AD3125">
        <v>-1.1175935291570001</v>
      </c>
      <c r="AE3125">
        <v>-14.676600000000001</v>
      </c>
      <c r="AF3125">
        <v>-7.5367189876820504</v>
      </c>
      <c r="AG3125">
        <v>-1.1175935291570001</v>
      </c>
      <c r="AH3125">
        <v>19.040293709001901</v>
      </c>
      <c r="AI3125">
        <v>93.123887330808898</v>
      </c>
      <c r="AJ3125">
        <v>111.595144108002</v>
      </c>
      <c r="AK3125">
        <v>20.508143088070099</v>
      </c>
      <c r="AL3125">
        <v>79.7860880040853</v>
      </c>
      <c r="AM3125">
        <v>101.674339118143</v>
      </c>
      <c r="AN3125">
        <v>0.99999995621144899</v>
      </c>
    </row>
    <row r="3126" spans="1:40" x14ac:dyDescent="0.25">
      <c r="A3126" t="str">
        <f>"20190304155653565"</f>
        <v>20190304155653565</v>
      </c>
      <c r="B3126" t="str">
        <f>"1551686213558208"</f>
        <v>1551686213558208</v>
      </c>
      <c r="C3126" t="s">
        <v>40</v>
      </c>
      <c r="D3126">
        <v>4.363486</v>
      </c>
      <c r="E3126">
        <v>0.42840650000000002</v>
      </c>
      <c r="F3126" t="s">
        <v>53</v>
      </c>
      <c r="G3126">
        <v>-475.44080000000002</v>
      </c>
      <c r="H3126" s="1">
        <v>3.3810069999999999E-6</v>
      </c>
      <c r="I3126">
        <v>210.84909999999999</v>
      </c>
      <c r="J3126">
        <v>-489.45499999999998</v>
      </c>
      <c r="K3126">
        <v>1.1176539999999999</v>
      </c>
      <c r="L3126">
        <v>224.8955</v>
      </c>
      <c r="M3126">
        <v>0.397177</v>
      </c>
      <c r="N3126">
        <v>-1.2566519999999999E-2</v>
      </c>
      <c r="O3126">
        <v>-0.91765589999999997</v>
      </c>
      <c r="P3126">
        <v>0.56333299999999997</v>
      </c>
      <c r="Q3126">
        <v>0.167326</v>
      </c>
      <c r="R3126">
        <v>-0.80910930000000003</v>
      </c>
      <c r="S3126">
        <v>2.19754</v>
      </c>
      <c r="T3126">
        <v>-0.1738625</v>
      </c>
      <c r="U3126">
        <v>-2.2219389999999999</v>
      </c>
      <c r="V3126">
        <v>-0.19888239999999999</v>
      </c>
      <c r="W3126">
        <v>0.17581329999999901</v>
      </c>
      <c r="X3126">
        <v>0.96412419999999999</v>
      </c>
      <c r="Y3126">
        <v>-0.36204730000000002</v>
      </c>
      <c r="Z3126">
        <v>4.453766E-2</v>
      </c>
      <c r="AA3126">
        <v>0.93109509999999995</v>
      </c>
      <c r="AB3126">
        <v>27</v>
      </c>
      <c r="AC3126">
        <v>14.014199999999899</v>
      </c>
      <c r="AD3126">
        <v>-1.117650618993</v>
      </c>
      <c r="AE3126">
        <v>-14.0464</v>
      </c>
      <c r="AF3126">
        <v>-7.2588507392219803</v>
      </c>
      <c r="AG3126">
        <v>-1.117650618993</v>
      </c>
      <c r="AH3126">
        <v>18.3989617807499</v>
      </c>
      <c r="AI3126">
        <v>93.234153451215207</v>
      </c>
      <c r="AJ3126">
        <v>111.530474716762</v>
      </c>
      <c r="AK3126">
        <v>19.8106499532432</v>
      </c>
      <c r="AL3126">
        <v>79.874009385810197</v>
      </c>
      <c r="AM3126">
        <v>101.655652341447</v>
      </c>
      <c r="AN3126">
        <v>0.99999999925614502</v>
      </c>
    </row>
    <row r="3127" spans="1:40" x14ac:dyDescent="0.25">
      <c r="A3127" t="str">
        <f>"20190304155653586"</f>
        <v>20190304155653586</v>
      </c>
      <c r="B3127" t="str">
        <f>"1551686213577728"</f>
        <v>1551686213577728</v>
      </c>
      <c r="C3127" t="s">
        <v>40</v>
      </c>
      <c r="D3127">
        <v>4.3516370000000002</v>
      </c>
      <c r="E3127">
        <v>0.43074170000000001</v>
      </c>
      <c r="F3127" t="s">
        <v>53</v>
      </c>
      <c r="G3127">
        <v>-475.58109999999999</v>
      </c>
      <c r="H3127" s="1">
        <v>3.3318769999999998E-6</v>
      </c>
      <c r="I3127">
        <v>211.149</v>
      </c>
      <c r="J3127">
        <v>-489.34550000000002</v>
      </c>
      <c r="K3127">
        <v>1.1177079999999999</v>
      </c>
      <c r="L3127">
        <v>224.66980000000001</v>
      </c>
      <c r="M3127">
        <v>0.4066032</v>
      </c>
      <c r="N3127">
        <v>-1.259322E-2</v>
      </c>
      <c r="O3127">
        <v>-0.9135181</v>
      </c>
      <c r="P3127">
        <v>0.57107719999999995</v>
      </c>
      <c r="Q3127">
        <v>0.1648985</v>
      </c>
      <c r="R3127">
        <v>-0.80416359999999998</v>
      </c>
      <c r="S3127">
        <v>2.2196959999999999</v>
      </c>
      <c r="T3127">
        <v>-0.17881420000000001</v>
      </c>
      <c r="U3127">
        <v>-2.1993100000000001</v>
      </c>
      <c r="V3127">
        <v>-0.19799410000000001</v>
      </c>
      <c r="W3127">
        <v>0.17340329999999901</v>
      </c>
      <c r="X3127">
        <v>0.96474329999999997</v>
      </c>
      <c r="Y3127">
        <v>-0.36183189999999998</v>
      </c>
      <c r="Z3127">
        <v>4.6023509999999997E-2</v>
      </c>
      <c r="AA3127">
        <v>0.93110660000000001</v>
      </c>
      <c r="AB3127">
        <v>27</v>
      </c>
      <c r="AC3127">
        <v>13.7644</v>
      </c>
      <c r="AD3127">
        <v>-1.1177046681229901</v>
      </c>
      <c r="AE3127">
        <v>-13.520799999999999</v>
      </c>
      <c r="AF3127">
        <v>-7.0533194454662302</v>
      </c>
      <c r="AG3127">
        <v>-1.1177046681229901</v>
      </c>
      <c r="AH3127">
        <v>17.889533759286799</v>
      </c>
      <c r="AI3127">
        <v>93.326494856307207</v>
      </c>
      <c r="AJ3127">
        <v>111.51786604164499</v>
      </c>
      <c r="AK3127">
        <v>19.262242783476701</v>
      </c>
      <c r="AL3127">
        <v>80.014246602093607</v>
      </c>
      <c r="AM3127">
        <v>101.597762666766</v>
      </c>
      <c r="AN3127">
        <v>1.0000000014902899</v>
      </c>
    </row>
    <row r="3128" spans="1:40" x14ac:dyDescent="0.25">
      <c r="A3128" t="str">
        <f>"20190304155653609"</f>
        <v>20190304155653609</v>
      </c>
      <c r="B3128" t="str">
        <f>"1551686213598227"</f>
        <v>1551686213598227</v>
      </c>
      <c r="C3128" t="s">
        <v>40</v>
      </c>
      <c r="D3128">
        <v>4.3249029999999999</v>
      </c>
      <c r="E3128">
        <v>0.43068329999999999</v>
      </c>
      <c r="F3128" t="s">
        <v>53</v>
      </c>
      <c r="G3128">
        <v>-476.70409999999998</v>
      </c>
      <c r="H3128" s="1">
        <v>2.881297E-6</v>
      </c>
      <c r="I3128">
        <v>212.23320000000001</v>
      </c>
      <c r="J3128">
        <v>-489.22329999999999</v>
      </c>
      <c r="K3128">
        <v>1.117774</v>
      </c>
      <c r="L3128">
        <v>224.42500000000001</v>
      </c>
      <c r="M3128">
        <v>0.41692709999999999</v>
      </c>
      <c r="N3128">
        <v>-1.262226E-2</v>
      </c>
      <c r="O3128">
        <v>-0.90885249999999995</v>
      </c>
      <c r="P3128">
        <v>0.57976549999999905</v>
      </c>
      <c r="Q3128">
        <v>0.16317419999999999</v>
      </c>
      <c r="R3128">
        <v>-0.79827709999999996</v>
      </c>
      <c r="S3128">
        <v>2.2261350000000002</v>
      </c>
      <c r="T3128">
        <v>-0.19682659999999999</v>
      </c>
      <c r="U3128">
        <v>-2.1900789999999999</v>
      </c>
      <c r="V3128">
        <v>-0.19737940000000001</v>
      </c>
      <c r="W3128">
        <v>0.17168659999999999</v>
      </c>
      <c r="X3128">
        <v>0.96517620000000004</v>
      </c>
      <c r="Y3128">
        <v>-0.35435080000000002</v>
      </c>
      <c r="Z3128">
        <v>5.1499650000000001E-2</v>
      </c>
      <c r="AA3128">
        <v>0.93369329999999995</v>
      </c>
      <c r="AB3128">
        <v>27</v>
      </c>
      <c r="AC3128">
        <v>12.5192</v>
      </c>
      <c r="AD3128">
        <v>-1.1177711187029999</v>
      </c>
      <c r="AE3128">
        <v>-12.191800000000001</v>
      </c>
      <c r="AF3128">
        <v>-6.26986175921071</v>
      </c>
      <c r="AG3128">
        <v>-1.1177711187029999</v>
      </c>
      <c r="AH3128">
        <v>16.235012084968499</v>
      </c>
      <c r="AI3128">
        <v>93.674847000523599</v>
      </c>
      <c r="AJ3128">
        <v>111.11625398084099</v>
      </c>
      <c r="AK3128">
        <v>17.4395010293441</v>
      </c>
      <c r="AL3128">
        <v>80.114104027673903</v>
      </c>
      <c r="AM3128">
        <v>101.55768041306401</v>
      </c>
      <c r="AN3128">
        <v>1.00000000660518</v>
      </c>
    </row>
    <row r="3129" spans="1:40" x14ac:dyDescent="0.25">
      <c r="A3129" t="str">
        <f>"20190304155653632"</f>
        <v>20190304155653632</v>
      </c>
      <c r="B3129" t="str">
        <f>"1551686213627505"</f>
        <v>1551686213627505</v>
      </c>
      <c r="C3129" t="s">
        <v>40</v>
      </c>
      <c r="D3129">
        <v>4.3021029999999998</v>
      </c>
      <c r="E3129">
        <v>0.43100100000000002</v>
      </c>
      <c r="F3129" t="s">
        <v>53</v>
      </c>
      <c r="G3129">
        <v>-476.67090000000002</v>
      </c>
      <c r="H3129" s="1">
        <v>2.9009219999999998E-6</v>
      </c>
      <c r="I3129">
        <v>212.346</v>
      </c>
      <c r="J3129">
        <v>-489.10739999999998</v>
      </c>
      <c r="K3129">
        <v>1.1178429999999999</v>
      </c>
      <c r="L3129">
        <v>224.1996</v>
      </c>
      <c r="M3129">
        <v>0.42653960000000002</v>
      </c>
      <c r="N3129">
        <v>-1.264885E-2</v>
      </c>
      <c r="O3129">
        <v>-0.90438070000000004</v>
      </c>
      <c r="P3129">
        <v>0.58754300000000004</v>
      </c>
      <c r="Q3129">
        <v>0.16209560000000001</v>
      </c>
      <c r="R3129">
        <v>-0.79279160000000004</v>
      </c>
      <c r="S3129">
        <v>2.249908</v>
      </c>
      <c r="T3129">
        <v>-0.20035140000000001</v>
      </c>
      <c r="U3129">
        <v>-2.165054</v>
      </c>
      <c r="V3129">
        <v>-0.19649810000000001</v>
      </c>
      <c r="W3129">
        <v>0.17061970000000001</v>
      </c>
      <c r="X3129">
        <v>0.96554510000000004</v>
      </c>
      <c r="Y3129">
        <v>-0.354713</v>
      </c>
      <c r="Z3129">
        <v>5.25049E-2</v>
      </c>
      <c r="AA3129">
        <v>0.93349990000000005</v>
      </c>
      <c r="AB3129">
        <v>27</v>
      </c>
      <c r="AC3129">
        <v>12.436499999999899</v>
      </c>
      <c r="AD3129">
        <v>-1.117840099078</v>
      </c>
      <c r="AE3129">
        <v>-11.8536</v>
      </c>
      <c r="AF3129">
        <v>-6.1656933166788299</v>
      </c>
      <c r="AG3129">
        <v>-1.117840099078</v>
      </c>
      <c r="AH3129">
        <v>15.9585475056242</v>
      </c>
      <c r="AI3129">
        <v>93.738356623002801</v>
      </c>
      <c r="AJ3129">
        <v>111.124378232341</v>
      </c>
      <c r="AK3129">
        <v>17.144695361881102</v>
      </c>
      <c r="AL3129">
        <v>80.176147962057698</v>
      </c>
      <c r="AM3129">
        <v>101.503175509767</v>
      </c>
      <c r="AN3129">
        <v>0.99999996273285396</v>
      </c>
    </row>
    <row r="3130" spans="1:40" x14ac:dyDescent="0.25">
      <c r="A3130" t="str">
        <f>"20190304155653654"</f>
        <v>20190304155653654</v>
      </c>
      <c r="B3130" t="str">
        <f>"1551686213648001"</f>
        <v>1551686213648001</v>
      </c>
      <c r="C3130" t="s">
        <v>40</v>
      </c>
      <c r="D3130">
        <v>4.301488</v>
      </c>
      <c r="E3130">
        <v>0.43093130000000002</v>
      </c>
      <c r="F3130" t="s">
        <v>53</v>
      </c>
      <c r="G3130">
        <v>-476.58760000000001</v>
      </c>
      <c r="H3130" s="1">
        <v>2.9389200000000001E-6</v>
      </c>
      <c r="I3130">
        <v>212.37029999999999</v>
      </c>
      <c r="J3130">
        <v>-488.97910000000002</v>
      </c>
      <c r="K3130">
        <v>1.1179239999999999</v>
      </c>
      <c r="L3130">
        <v>223.9572</v>
      </c>
      <c r="M3130">
        <v>0.43699090000000002</v>
      </c>
      <c r="N3130">
        <v>-1.2677040000000001E-2</v>
      </c>
      <c r="O3130">
        <v>-0.89937659999999997</v>
      </c>
      <c r="P3130">
        <v>0.59636630000000002</v>
      </c>
      <c r="Q3130">
        <v>0.1615567</v>
      </c>
      <c r="R3130">
        <v>-0.7862865</v>
      </c>
      <c r="S3130">
        <v>2.2690429999999999</v>
      </c>
      <c r="T3130">
        <v>-0.20259360000000001</v>
      </c>
      <c r="U3130">
        <v>-2.1439059999999999</v>
      </c>
      <c r="V3130">
        <v>-0.19607369999999999</v>
      </c>
      <c r="W3130">
        <v>0.17008119999999999</v>
      </c>
      <c r="X3130">
        <v>0.96572639999999998</v>
      </c>
      <c r="Y3130">
        <v>-0.35237800000000002</v>
      </c>
      <c r="Z3130">
        <v>5.3043559999999997E-2</v>
      </c>
      <c r="AA3130">
        <v>0.9343534</v>
      </c>
      <c r="AB3130">
        <v>27</v>
      </c>
      <c r="AC3130">
        <v>12.391500000000001</v>
      </c>
      <c r="AD3130">
        <v>-1.1179210610799999</v>
      </c>
      <c r="AE3130">
        <v>-11.5869</v>
      </c>
      <c r="AF3130">
        <v>-6.0554491426679098</v>
      </c>
      <c r="AG3130">
        <v>-1.1179210610799999</v>
      </c>
      <c r="AH3130">
        <v>15.768758709932801</v>
      </c>
      <c r="AI3130">
        <v>93.786457518307699</v>
      </c>
      <c r="AJ3130">
        <v>111.007567763437</v>
      </c>
      <c r="AK3130">
        <v>16.928436521732401</v>
      </c>
      <c r="AL3130">
        <v>80.207459722800706</v>
      </c>
      <c r="AM3130">
        <v>101.47689312977</v>
      </c>
      <c r="AN3130">
        <v>0.99999999504104498</v>
      </c>
    </row>
    <row r="3131" spans="1:40" x14ac:dyDescent="0.25">
      <c r="A3131" t="str">
        <f>"20190304155653677"</f>
        <v>20190304155653677</v>
      </c>
      <c r="B3131" t="str">
        <f>"1551686213667521"</f>
        <v>1551686213667521</v>
      </c>
      <c r="C3131" t="s">
        <v>40</v>
      </c>
      <c r="D3131">
        <v>4.2724390000000003</v>
      </c>
      <c r="E3131">
        <v>0.43103920000000001</v>
      </c>
      <c r="F3131" t="s">
        <v>53</v>
      </c>
      <c r="G3131">
        <v>-476.29390000000001</v>
      </c>
      <c r="H3131" s="1">
        <v>3.0636409999999998E-6</v>
      </c>
      <c r="I3131">
        <v>212.24350000000001</v>
      </c>
      <c r="J3131">
        <v>-488.85750000000002</v>
      </c>
      <c r="K3131">
        <v>1.117985</v>
      </c>
      <c r="L3131">
        <v>223.73339999999999</v>
      </c>
      <c r="M3131">
        <v>0.4467274</v>
      </c>
      <c r="N3131">
        <v>-1.2701789999999999E-2</v>
      </c>
      <c r="O3131">
        <v>-0.89458009999999999</v>
      </c>
      <c r="P3131">
        <v>0.60446</v>
      </c>
      <c r="Q3131">
        <v>0.16037109999999999</v>
      </c>
      <c r="R3131">
        <v>-0.78032669999999904</v>
      </c>
      <c r="S3131">
        <v>2.2932130000000002</v>
      </c>
      <c r="T3131">
        <v>-0.20209589999999999</v>
      </c>
      <c r="U3131">
        <v>-2.1175839999999999</v>
      </c>
      <c r="V3131">
        <v>-0.19546640000000001</v>
      </c>
      <c r="W3131">
        <v>0.168904</v>
      </c>
      <c r="X3131">
        <v>0.96605600000000003</v>
      </c>
      <c r="Y3131">
        <v>-0.35292689999999999</v>
      </c>
      <c r="Z3131">
        <v>5.2773050000000002E-2</v>
      </c>
      <c r="AA3131">
        <v>0.93416149999999998</v>
      </c>
      <c r="AB3131">
        <v>27</v>
      </c>
      <c r="AC3131">
        <v>12.563599999999999</v>
      </c>
      <c r="AD3131">
        <v>-1.117981936359</v>
      </c>
      <c r="AE3131">
        <v>-11.489899999999899</v>
      </c>
      <c r="AF3131">
        <v>-6.0805658496277299</v>
      </c>
      <c r="AG3131">
        <v>-1.117981936359</v>
      </c>
      <c r="AH3131">
        <v>15.8241863842805</v>
      </c>
      <c r="AI3131">
        <v>93.773132923565697</v>
      </c>
      <c r="AJ3131">
        <v>111.01965723876999</v>
      </c>
      <c r="AK3131">
        <v>16.989056459560398</v>
      </c>
      <c r="AL3131">
        <v>80.275897938657906</v>
      </c>
      <c r="AM3131">
        <v>101.438483752632</v>
      </c>
      <c r="AN3131">
        <v>0.99999993494047701</v>
      </c>
    </row>
    <row r="3132" spans="1:40" x14ac:dyDescent="0.25">
      <c r="A3132" t="str">
        <f>"20190304155653700"</f>
        <v>20190304155653700</v>
      </c>
      <c r="B3132" t="str">
        <f>"1551686213697776"</f>
        <v>1551686213697776</v>
      </c>
      <c r="C3132" t="s">
        <v>40</v>
      </c>
      <c r="D3132">
        <v>4.301088</v>
      </c>
      <c r="E3132">
        <v>0.43087829999999999</v>
      </c>
      <c r="F3132" t="s">
        <v>53</v>
      </c>
      <c r="G3132">
        <v>-476.15609999999998</v>
      </c>
      <c r="H3132" s="1">
        <v>3.1245680000000001E-6</v>
      </c>
      <c r="I3132">
        <v>212.2398</v>
      </c>
      <c r="J3132">
        <v>-488.72129999999999</v>
      </c>
      <c r="K3132">
        <v>1.118047</v>
      </c>
      <c r="L3132">
        <v>223.4897</v>
      </c>
      <c r="M3132">
        <v>0.45743089999999997</v>
      </c>
      <c r="N3132">
        <v>-1.272709E-2</v>
      </c>
      <c r="O3132">
        <v>-0.88915429999999995</v>
      </c>
      <c r="P3132">
        <v>0.61359799999999998</v>
      </c>
      <c r="Q3132">
        <v>0.15898039999999999</v>
      </c>
      <c r="R3132">
        <v>-0.77344889999999999</v>
      </c>
      <c r="S3132">
        <v>2.3140260000000001</v>
      </c>
      <c r="T3132">
        <v>-0.20368240000000001</v>
      </c>
      <c r="U3132">
        <v>-2.0939939999999999</v>
      </c>
      <c r="V3132">
        <v>-0.1951069</v>
      </c>
      <c r="W3132">
        <v>0.1675169</v>
      </c>
      <c r="X3132">
        <v>0.96637019999999996</v>
      </c>
      <c r="Y3132">
        <v>-0.35109679999999999</v>
      </c>
      <c r="Z3132">
        <v>5.3089610000000002E-2</v>
      </c>
      <c r="AA3132">
        <v>0.93483289999999997</v>
      </c>
      <c r="AB3132">
        <v>27</v>
      </c>
      <c r="AC3132">
        <v>12.565200000000001</v>
      </c>
      <c r="AD3132">
        <v>-1.1180438754319999</v>
      </c>
      <c r="AE3132">
        <v>-11.249899999999901</v>
      </c>
      <c r="AF3132">
        <v>-6.0004670231526598</v>
      </c>
      <c r="AG3132">
        <v>-1.1180438754319999</v>
      </c>
      <c r="AH3132">
        <v>15.6829600641639</v>
      </c>
      <c r="AI3132">
        <v>93.809311798718795</v>
      </c>
      <c r="AJ3132">
        <v>110.937381291115</v>
      </c>
      <c r="AK3132">
        <v>16.828869925740499</v>
      </c>
      <c r="AL3132">
        <v>80.356522251269396</v>
      </c>
      <c r="AM3132">
        <v>101.41438433953201</v>
      </c>
      <c r="AN3132">
        <v>0.99999998883062902</v>
      </c>
    </row>
    <row r="3133" spans="1:40" x14ac:dyDescent="0.25">
      <c r="A3133" t="str">
        <f>"20190304155653724"</f>
        <v>20190304155653724</v>
      </c>
      <c r="B3133" t="str">
        <f>"1551686213718272"</f>
        <v>1551686213718272</v>
      </c>
      <c r="C3133" t="s">
        <v>40</v>
      </c>
      <c r="D3133">
        <v>4.3009570000000004</v>
      </c>
      <c r="E3133">
        <v>0.43094579999999999</v>
      </c>
      <c r="F3133" t="s">
        <v>53</v>
      </c>
      <c r="G3133">
        <v>-475.88839999999999</v>
      </c>
      <c r="H3133" s="1">
        <v>3.2397020000000001E-6</v>
      </c>
      <c r="I3133">
        <v>212.15770000000001</v>
      </c>
      <c r="J3133">
        <v>-488.5856</v>
      </c>
      <c r="K3133">
        <v>1.118106</v>
      </c>
      <c r="L3133">
        <v>223.25370000000001</v>
      </c>
      <c r="M3133">
        <v>0.4678889</v>
      </c>
      <c r="N3133">
        <v>-1.275069E-2</v>
      </c>
      <c r="O3133">
        <v>-0.88369560000000003</v>
      </c>
      <c r="P3133">
        <v>0.62209539999999997</v>
      </c>
      <c r="Q3133">
        <v>0.15801589999999999</v>
      </c>
      <c r="R3133">
        <v>-0.76683049999999997</v>
      </c>
      <c r="S3133">
        <v>2.3387449999999999</v>
      </c>
      <c r="T3133">
        <v>-0.2037601</v>
      </c>
      <c r="U3133">
        <v>-2.0652159999999999</v>
      </c>
      <c r="V3133">
        <v>-0.19428239999999999</v>
      </c>
      <c r="W3133">
        <v>0.16656489999999999</v>
      </c>
      <c r="X3133">
        <v>0.96670080000000003</v>
      </c>
      <c r="Y3133">
        <v>-0.35141699999999998</v>
      </c>
      <c r="Z3133">
        <v>5.2978450000000003E-2</v>
      </c>
      <c r="AA3133">
        <v>0.93471890000000002</v>
      </c>
      <c r="AB3133">
        <v>27</v>
      </c>
      <c r="AC3133">
        <v>12.6972</v>
      </c>
      <c r="AD3133">
        <v>-1.118102760298</v>
      </c>
      <c r="AE3133">
        <v>-11.096</v>
      </c>
      <c r="AF3133">
        <v>-6.0028604349467098</v>
      </c>
      <c r="AG3133">
        <v>-1.118102760298</v>
      </c>
      <c r="AH3133">
        <v>15.678707100133799</v>
      </c>
      <c r="AI3133">
        <v>93.810216909336802</v>
      </c>
      <c r="AJ3133">
        <v>110.950196856806</v>
      </c>
      <c r="AK3133">
        <v>16.825764277316502</v>
      </c>
      <c r="AL3133">
        <v>80.411845007954199</v>
      </c>
      <c r="AM3133">
        <v>101.363620474258</v>
      </c>
      <c r="AN3133">
        <v>0.999999976791204</v>
      </c>
    </row>
    <row r="3134" spans="1:40" x14ac:dyDescent="0.25">
      <c r="A3134" t="str">
        <f>"20190304155653745"</f>
        <v>20190304155653745</v>
      </c>
      <c r="B3134" t="str">
        <f>"1551686213737792"</f>
        <v>1551686213737792</v>
      </c>
      <c r="C3134" t="s">
        <v>40</v>
      </c>
      <c r="D3134">
        <v>4.3108019999999998</v>
      </c>
      <c r="E3134">
        <v>0.43100830000000001</v>
      </c>
      <c r="F3134" t="s">
        <v>53</v>
      </c>
      <c r="G3134">
        <v>-475.66250000000002</v>
      </c>
      <c r="H3134" s="1">
        <v>3.3372180000000001E-6</v>
      </c>
      <c r="I3134">
        <v>212.09710000000001</v>
      </c>
      <c r="J3134">
        <v>-488.45530000000002</v>
      </c>
      <c r="K3134">
        <v>1.118169</v>
      </c>
      <c r="L3134">
        <v>223.03299999999999</v>
      </c>
      <c r="M3134">
        <v>0.47776629999999998</v>
      </c>
      <c r="N3134">
        <v>-1.277299E-2</v>
      </c>
      <c r="O3134">
        <v>-0.87839439999999902</v>
      </c>
      <c r="P3134">
        <v>0.63003769999999903</v>
      </c>
      <c r="Q3134">
        <v>0.1565455</v>
      </c>
      <c r="R3134">
        <v>-0.76062229999999997</v>
      </c>
      <c r="S3134">
        <v>2.3614199999999999</v>
      </c>
      <c r="T3134">
        <v>-0.20430960000000001</v>
      </c>
      <c r="U3134">
        <v>-2.0386350000000002</v>
      </c>
      <c r="V3134">
        <v>-0.1933493</v>
      </c>
      <c r="W3134">
        <v>0.16511139999999999</v>
      </c>
      <c r="X3134">
        <v>0.96713720000000003</v>
      </c>
      <c r="Y3134">
        <v>-0.35138560000000002</v>
      </c>
      <c r="Z3134">
        <v>5.2999699999999997E-2</v>
      </c>
      <c r="AA3134">
        <v>0.93472949999999999</v>
      </c>
      <c r="AB3134">
        <v>27</v>
      </c>
      <c r="AC3134">
        <v>12.7928</v>
      </c>
      <c r="AD3134">
        <v>-1.118165662782</v>
      </c>
      <c r="AE3134">
        <v>-10.935899999999901</v>
      </c>
      <c r="AF3134">
        <v>-5.98638383988503</v>
      </c>
      <c r="AG3134">
        <v>-1.118165662782</v>
      </c>
      <c r="AH3134">
        <v>15.650198726096599</v>
      </c>
      <c r="AI3134">
        <v>93.817802725261501</v>
      </c>
      <c r="AJ3134">
        <v>110.93243644444701</v>
      </c>
      <c r="AK3134">
        <v>16.7933262367578</v>
      </c>
      <c r="AL3134">
        <v>80.496294450874103</v>
      </c>
      <c r="AM3134">
        <v>101.305481230456</v>
      </c>
      <c r="AN3134">
        <v>1.00000004492214</v>
      </c>
    </row>
    <row r="3135" spans="1:40" x14ac:dyDescent="0.25">
      <c r="A3135" t="str">
        <f>"20190304155653767"</f>
        <v>20190304155653767</v>
      </c>
      <c r="B3135" t="str">
        <f>"1551686213757312"</f>
        <v>1551686213757312</v>
      </c>
      <c r="C3135" t="s">
        <v>40</v>
      </c>
      <c r="D3135">
        <v>4.3074180000000002</v>
      </c>
      <c r="E3135">
        <v>0.4311372</v>
      </c>
      <c r="F3135" t="s">
        <v>53</v>
      </c>
      <c r="G3135">
        <v>-475.57069999999999</v>
      </c>
      <c r="H3135" s="1">
        <v>3.3799520000000002E-6</v>
      </c>
      <c r="I3135">
        <v>212.14349999999999</v>
      </c>
      <c r="J3135">
        <v>-488.32920000000001</v>
      </c>
      <c r="K3135">
        <v>1.118225</v>
      </c>
      <c r="L3135">
        <v>222.82480000000001</v>
      </c>
      <c r="M3135">
        <v>0.48716779999999998</v>
      </c>
      <c r="N3135">
        <v>-1.279426E-2</v>
      </c>
      <c r="O3135">
        <v>-0.87321489999999902</v>
      </c>
      <c r="P3135">
        <v>0.63790669999999905</v>
      </c>
      <c r="Q3135">
        <v>0.1547327</v>
      </c>
      <c r="R3135">
        <v>-0.75440909999999906</v>
      </c>
      <c r="S3135">
        <v>2.382263</v>
      </c>
      <c r="T3135">
        <v>-0.20674120000000001</v>
      </c>
      <c r="U3135">
        <v>-2.0133969999999999</v>
      </c>
      <c r="V3135">
        <v>-0.1928223</v>
      </c>
      <c r="W3135">
        <v>0.16330620000000001</v>
      </c>
      <c r="X3135">
        <v>0.96754879999999999</v>
      </c>
      <c r="Y3135">
        <v>-0.3511127</v>
      </c>
      <c r="Z3135">
        <v>5.359568E-2</v>
      </c>
      <c r="AA3135">
        <v>0.93479809999999997</v>
      </c>
      <c r="AB3135">
        <v>27</v>
      </c>
      <c r="AC3135">
        <v>12.7585</v>
      </c>
      <c r="AD3135">
        <v>-1.118221620048</v>
      </c>
      <c r="AE3135">
        <v>-10.6813</v>
      </c>
      <c r="AF3135">
        <v>-5.9111154012779803</v>
      </c>
      <c r="AG3135">
        <v>-1.118221620048</v>
      </c>
      <c r="AH3135">
        <v>15.473984869834499</v>
      </c>
      <c r="AI3135">
        <v>93.861993391243203</v>
      </c>
      <c r="AJ3135">
        <v>110.907028730741</v>
      </c>
      <c r="AK3135">
        <v>16.6022863675651</v>
      </c>
      <c r="AL3135">
        <v>80.601147866952701</v>
      </c>
      <c r="AM3135">
        <v>101.270783252933</v>
      </c>
      <c r="AN3135">
        <v>1.0000000173585799</v>
      </c>
    </row>
    <row r="3136" spans="1:40" x14ac:dyDescent="0.25">
      <c r="A3136" t="str">
        <f>"20190304155653789"</f>
        <v>20190304155653789</v>
      </c>
      <c r="B3136" t="str">
        <f>"1551686213777811"</f>
        <v>1551686213777811</v>
      </c>
      <c r="C3136" t="s">
        <v>40</v>
      </c>
      <c r="D3136">
        <v>4.5436969999999999</v>
      </c>
      <c r="E3136">
        <v>0.43125059999999898</v>
      </c>
      <c r="F3136" t="s">
        <v>53</v>
      </c>
      <c r="G3136">
        <v>-475.61590000000001</v>
      </c>
      <c r="H3136" s="1">
        <v>3.366635E-6</v>
      </c>
      <c r="I3136">
        <v>212.29669999999999</v>
      </c>
      <c r="J3136">
        <v>-488.19290000000001</v>
      </c>
      <c r="K3136">
        <v>1.1182829999999999</v>
      </c>
      <c r="L3136">
        <v>222.60550000000001</v>
      </c>
      <c r="M3136">
        <v>0.49715480000000001</v>
      </c>
      <c r="N3136">
        <v>-1.28167E-2</v>
      </c>
      <c r="O3136">
        <v>-0.86756739999999999</v>
      </c>
      <c r="P3136">
        <v>0.64614159999999998</v>
      </c>
      <c r="Q3136">
        <v>0.15333229999999901</v>
      </c>
      <c r="R3136">
        <v>-0.74765669999999995</v>
      </c>
      <c r="S3136">
        <v>2.4018250000000001</v>
      </c>
      <c r="T3136">
        <v>-0.21125720000000001</v>
      </c>
      <c r="U3136">
        <v>-1.988998</v>
      </c>
      <c r="V3136">
        <v>-0.19218750000000001</v>
      </c>
      <c r="W3136">
        <v>0.1619121</v>
      </c>
      <c r="X3136">
        <v>0.96790929999999997</v>
      </c>
      <c r="Y3136">
        <v>-0.3496802</v>
      </c>
      <c r="Z3136">
        <v>5.4782169999999998E-2</v>
      </c>
      <c r="AA3136">
        <v>0.93526609999999999</v>
      </c>
      <c r="AB3136">
        <v>27</v>
      </c>
      <c r="AC3136">
        <v>12.5769999999999</v>
      </c>
      <c r="AD3136">
        <v>-1.118279633365</v>
      </c>
      <c r="AE3136">
        <v>-10.3088</v>
      </c>
      <c r="AF3136">
        <v>-5.7595640808824404</v>
      </c>
      <c r="AG3136">
        <v>-1.118279633365</v>
      </c>
      <c r="AH3136">
        <v>15.1260120011294</v>
      </c>
      <c r="AI3136">
        <v>93.952379296086406</v>
      </c>
      <c r="AJ3136">
        <v>110.845439629241</v>
      </c>
      <c r="AK3136">
        <v>16.224036698630201</v>
      </c>
      <c r="AL3136">
        <v>80.682101089978204</v>
      </c>
      <c r="AM3136">
        <v>101.230545435677</v>
      </c>
      <c r="AN3136">
        <v>0.99999998815457403</v>
      </c>
    </row>
    <row r="3137" spans="1:40" x14ac:dyDescent="0.25">
      <c r="A3137" t="str">
        <f>"20190304155653810"</f>
        <v>20190304155653810</v>
      </c>
      <c r="B3137" t="str">
        <f>"1551686213808064"</f>
        <v>1551686213808064</v>
      </c>
      <c r="C3137" t="s">
        <v>40</v>
      </c>
      <c r="D3137">
        <v>4.3077360000000002</v>
      </c>
      <c r="E3137">
        <v>0.43106270000000002</v>
      </c>
      <c r="F3137" t="s">
        <v>53</v>
      </c>
      <c r="G3137">
        <v>-475.49849999999998</v>
      </c>
      <c r="H3137" s="1">
        <v>3.4196779999999999E-6</v>
      </c>
      <c r="I3137">
        <v>212.31970000000001</v>
      </c>
      <c r="J3137">
        <v>-488.05520000000001</v>
      </c>
      <c r="K3137">
        <v>1.1183399999999999</v>
      </c>
      <c r="L3137">
        <v>222.3896</v>
      </c>
      <c r="M3137">
        <v>0.50708540000000002</v>
      </c>
      <c r="N3137">
        <v>-1.2838840000000001E-2</v>
      </c>
      <c r="O3137">
        <v>-0.86180029999999996</v>
      </c>
      <c r="P3137">
        <v>0.65420599999999995</v>
      </c>
      <c r="Q3137">
        <v>0.15197479999999999</v>
      </c>
      <c r="R3137">
        <v>-0.74089039999999995</v>
      </c>
      <c r="S3137">
        <v>2.4224239999999999</v>
      </c>
      <c r="T3137">
        <v>-0.2133979</v>
      </c>
      <c r="U3137">
        <v>-1.962799</v>
      </c>
      <c r="V3137">
        <v>-0.19141830000000001</v>
      </c>
      <c r="W3137">
        <v>0.16056289999999901</v>
      </c>
      <c r="X3137">
        <v>0.96828639999999999</v>
      </c>
      <c r="Y3137">
        <v>-0.34888970000000002</v>
      </c>
      <c r="Z3137">
        <v>5.524101E-2</v>
      </c>
      <c r="AA3137">
        <v>0.93553430000000004</v>
      </c>
      <c r="AB3137">
        <v>27</v>
      </c>
      <c r="AC3137">
        <v>12.556699999999999</v>
      </c>
      <c r="AD3137">
        <v>-1.11833658032199</v>
      </c>
      <c r="AE3137">
        <v>-10.069899999999899</v>
      </c>
      <c r="AF3137">
        <v>-5.6880798986433998</v>
      </c>
      <c r="AG3137">
        <v>-1.11833658032199</v>
      </c>
      <c r="AH3137">
        <v>14.9745113968753</v>
      </c>
      <c r="AI3137">
        <v>93.993658850662399</v>
      </c>
      <c r="AJ3137">
        <v>110.799319976969</v>
      </c>
      <c r="AK3137">
        <v>16.057425734388001</v>
      </c>
      <c r="AL3137">
        <v>80.760429377245998</v>
      </c>
      <c r="AM3137">
        <v>101.18248591273399</v>
      </c>
      <c r="AN3137">
        <v>0.99999998142812896</v>
      </c>
    </row>
    <row r="3138" spans="1:40" x14ac:dyDescent="0.25">
      <c r="A3138" t="str">
        <f>"20190304155653833"</f>
        <v>20190304155653833</v>
      </c>
      <c r="B3138" t="str">
        <f>"1551686213827584"</f>
        <v>1551686213827584</v>
      </c>
      <c r="C3138" t="s">
        <v>40</v>
      </c>
      <c r="D3138">
        <v>4.3533229999999996</v>
      </c>
      <c r="E3138">
        <v>0.43074679999999999</v>
      </c>
      <c r="F3138" t="s">
        <v>53</v>
      </c>
      <c r="G3138">
        <v>-475.21660000000003</v>
      </c>
      <c r="H3138" s="1">
        <v>3.5407689999999998E-6</v>
      </c>
      <c r="I3138">
        <v>212.2295</v>
      </c>
      <c r="J3138">
        <v>-487.90949999999998</v>
      </c>
      <c r="K3138">
        <v>1.1184080000000001</v>
      </c>
      <c r="L3138">
        <v>222.1677</v>
      </c>
      <c r="M3138">
        <v>0.51740799999999998</v>
      </c>
      <c r="N3138">
        <v>-1.2861910000000001E-2</v>
      </c>
      <c r="O3138">
        <v>-0.85564219999999902</v>
      </c>
      <c r="P3138">
        <v>0.66228500000000001</v>
      </c>
      <c r="Q3138">
        <v>0.15026439999999999</v>
      </c>
      <c r="R3138">
        <v>-0.73402939999999905</v>
      </c>
      <c r="S3138">
        <v>2.4444270000000001</v>
      </c>
      <c r="T3138">
        <v>-0.21292810000000001</v>
      </c>
      <c r="U3138">
        <v>-1.9344479999999999</v>
      </c>
      <c r="V3138">
        <v>-0.19020020000000001</v>
      </c>
      <c r="W3138">
        <v>0.1588706</v>
      </c>
      <c r="X3138">
        <v>0.96880540000000004</v>
      </c>
      <c r="Y3138">
        <v>-0.34840769999999999</v>
      </c>
      <c r="Z3138">
        <v>5.4891280000000001E-2</v>
      </c>
      <c r="AA3138">
        <v>0.93573450000000002</v>
      </c>
      <c r="AB3138">
        <v>27</v>
      </c>
      <c r="AC3138">
        <v>12.6928999999999</v>
      </c>
      <c r="AD3138">
        <v>-1.1184044592309901</v>
      </c>
      <c r="AE3138">
        <v>-9.9381999999999895</v>
      </c>
      <c r="AF3138">
        <v>-5.6915553468526303</v>
      </c>
      <c r="AG3138">
        <v>-1.1184044592309901</v>
      </c>
      <c r="AH3138">
        <v>15.0000005453743</v>
      </c>
      <c r="AI3138">
        <v>93.9876813317358</v>
      </c>
      <c r="AJ3138">
        <v>110.778598931156</v>
      </c>
      <c r="AK3138">
        <v>16.082432874473401</v>
      </c>
      <c r="AL3138">
        <v>80.858651582813096</v>
      </c>
      <c r="AM3138">
        <v>101.107297057888</v>
      </c>
      <c r="AN3138">
        <v>0.999999943346778</v>
      </c>
    </row>
    <row r="3139" spans="1:40" x14ac:dyDescent="0.25">
      <c r="A3139" t="str">
        <f>"20190304155653856"</f>
        <v>20190304155653856</v>
      </c>
      <c r="B3139" t="str">
        <f>"1551686213848081"</f>
        <v>1551686213848081</v>
      </c>
      <c r="C3139" t="s">
        <v>40</v>
      </c>
      <c r="D3139">
        <v>4.3644299999999996</v>
      </c>
      <c r="E3139">
        <v>0.43044919999999998</v>
      </c>
      <c r="F3139" t="s">
        <v>53</v>
      </c>
      <c r="G3139">
        <v>-474.976</v>
      </c>
      <c r="H3139" s="1">
        <v>3.6454779999999999E-6</v>
      </c>
      <c r="I3139">
        <v>212.184</v>
      </c>
      <c r="J3139">
        <v>-487.76049999999998</v>
      </c>
      <c r="K3139">
        <v>1.1184730000000001</v>
      </c>
      <c r="L3139">
        <v>221.94659999999999</v>
      </c>
      <c r="M3139">
        <v>0.52777989999999997</v>
      </c>
      <c r="N3139">
        <v>-1.2884369999999999E-2</v>
      </c>
      <c r="O3139">
        <v>-0.84928340000000002</v>
      </c>
      <c r="P3139">
        <v>0.67017499999999997</v>
      </c>
      <c r="Q3139">
        <v>0.1494346</v>
      </c>
      <c r="R3139">
        <v>-0.72700399999999998</v>
      </c>
      <c r="S3139">
        <v>2.4673159999999998</v>
      </c>
      <c r="T3139">
        <v>-0.21335699999999999</v>
      </c>
      <c r="U3139">
        <v>-1.9045719999999999</v>
      </c>
      <c r="V3139">
        <v>-0.1887955</v>
      </c>
      <c r="W3139">
        <v>0.1580646</v>
      </c>
      <c r="X3139">
        <v>0.96921199999999996</v>
      </c>
      <c r="Y3139">
        <v>-0.34830220000000001</v>
      </c>
      <c r="Z3139">
        <v>5.480877E-2</v>
      </c>
      <c r="AA3139">
        <v>0.93577860000000002</v>
      </c>
      <c r="AB3139">
        <v>27</v>
      </c>
      <c r="AC3139">
        <v>12.7844999999999</v>
      </c>
      <c r="AD3139">
        <v>-1.1184693545219999</v>
      </c>
      <c r="AE3139">
        <v>-9.76259999999996</v>
      </c>
      <c r="AF3139">
        <v>-5.6781813968270196</v>
      </c>
      <c r="AG3139">
        <v>-1.1184693545219999</v>
      </c>
      <c r="AH3139">
        <v>14.9675026451752</v>
      </c>
      <c r="AI3139">
        <v>93.996634690460297</v>
      </c>
      <c r="AJ3139">
        <v>110.77510856991</v>
      </c>
      <c r="AK3139">
        <v>16.047393966174202</v>
      </c>
      <c r="AL3139">
        <v>80.905423772862804</v>
      </c>
      <c r="AM3139">
        <v>101.022770659345</v>
      </c>
      <c r="AN3139">
        <v>1.0000000297686999</v>
      </c>
    </row>
    <row r="3140" spans="1:40" x14ac:dyDescent="0.25">
      <c r="A3140" t="str">
        <f>"20190304155653878"</f>
        <v>20190304155653878</v>
      </c>
      <c r="B3140" t="str">
        <f>"1551686213868576"</f>
        <v>1551686213868576</v>
      </c>
      <c r="C3140" t="s">
        <v>40</v>
      </c>
      <c r="D3140">
        <v>4.3358470000000002</v>
      </c>
      <c r="E3140">
        <v>0.43028280000000002</v>
      </c>
      <c r="F3140" t="s">
        <v>53</v>
      </c>
      <c r="G3140">
        <v>-474.59399999999999</v>
      </c>
      <c r="H3140" s="1">
        <v>3.8080549999999998E-6</v>
      </c>
      <c r="I3140">
        <v>212.02789999999999</v>
      </c>
      <c r="J3140">
        <v>-487.61189999999999</v>
      </c>
      <c r="K3140">
        <v>1.11854599999999</v>
      </c>
      <c r="L3140">
        <v>221.7319</v>
      </c>
      <c r="M3140">
        <v>0.53794219999999904</v>
      </c>
      <c r="N3140">
        <v>-1.2905079999999999E-2</v>
      </c>
      <c r="O3140">
        <v>-0.84288299999999905</v>
      </c>
      <c r="P3140">
        <v>0.67790119999999998</v>
      </c>
      <c r="Q3140">
        <v>0.1499952</v>
      </c>
      <c r="R3140">
        <v>-0.7196882</v>
      </c>
      <c r="S3140">
        <v>2.4893489999999998</v>
      </c>
      <c r="T3140">
        <v>-0.2114654</v>
      </c>
      <c r="U3140">
        <v>-1.875305</v>
      </c>
      <c r="V3140">
        <v>-0.1876034</v>
      </c>
      <c r="W3140">
        <v>0.1586428</v>
      </c>
      <c r="X3140">
        <v>0.96934900000000002</v>
      </c>
      <c r="Y3140">
        <v>-0.34808</v>
      </c>
      <c r="Z3140">
        <v>5.4019409999999997E-2</v>
      </c>
      <c r="AA3140">
        <v>0.93590720000000005</v>
      </c>
      <c r="AB3140">
        <v>27</v>
      </c>
      <c r="AC3140">
        <v>13.0178999999999</v>
      </c>
      <c r="AD3140">
        <v>-1.11854219194499</v>
      </c>
      <c r="AE3140">
        <v>-9.7040000000000006</v>
      </c>
      <c r="AF3140">
        <v>-5.7256816369177299</v>
      </c>
      <c r="AG3140">
        <v>-1.11854219194499</v>
      </c>
      <c r="AH3140">
        <v>15.1117614331111</v>
      </c>
      <c r="AI3140">
        <v>93.959486787736196</v>
      </c>
      <c r="AJ3140">
        <v>110.75115177300501</v>
      </c>
      <c r="AK3140">
        <v>16.198762312404</v>
      </c>
      <c r="AL3140">
        <v>80.871872003241407</v>
      </c>
      <c r="AM3140">
        <v>100.95334845491</v>
      </c>
      <c r="AN3140">
        <v>1.00000002874219</v>
      </c>
    </row>
    <row r="3141" spans="1:40" x14ac:dyDescent="0.25">
      <c r="A3141" t="str">
        <f>"20190304155653899"</f>
        <v>20190304155653899</v>
      </c>
      <c r="B3141" t="str">
        <f>"1551686213888100"</f>
        <v>1551686213888100</v>
      </c>
      <c r="C3141" t="s">
        <v>40</v>
      </c>
      <c r="D3141">
        <v>4.3418979999999996</v>
      </c>
      <c r="E3141">
        <v>0.43012600000000001</v>
      </c>
      <c r="F3141" t="s">
        <v>53</v>
      </c>
      <c r="G3141">
        <v>-474.07459999999998</v>
      </c>
      <c r="H3141" s="1">
        <v>4.0271690000000004E-6</v>
      </c>
      <c r="I3141">
        <v>211.7715</v>
      </c>
      <c r="J3141">
        <v>-487.46640000000002</v>
      </c>
      <c r="K3141">
        <v>1.118606</v>
      </c>
      <c r="L3141">
        <v>221.52690000000001</v>
      </c>
      <c r="M3141">
        <v>0.54773689999999997</v>
      </c>
      <c r="N3141">
        <v>-1.2924690000000001E-2</v>
      </c>
      <c r="O3141">
        <v>-0.83655100000000004</v>
      </c>
      <c r="P3141">
        <v>0.68523319999999999</v>
      </c>
      <c r="Q3141">
        <v>0.15005729999999901</v>
      </c>
      <c r="R3141">
        <v>-0.71269839999999995</v>
      </c>
      <c r="S3141">
        <v>2.5103759999999999</v>
      </c>
      <c r="T3141">
        <v>-0.2074242</v>
      </c>
      <c r="U3141">
        <v>-1.8470759999999999</v>
      </c>
      <c r="V3141">
        <v>-0.18625</v>
      </c>
      <c r="W3141">
        <v>0.15872749999999999</v>
      </c>
      <c r="X3141">
        <v>0.96959600000000001</v>
      </c>
      <c r="Y3141">
        <v>-0.3477865</v>
      </c>
      <c r="Z3141">
        <v>5.2586590000000002E-2</v>
      </c>
      <c r="AA3141">
        <v>0.93609790000000004</v>
      </c>
      <c r="AB3141">
        <v>27</v>
      </c>
      <c r="AC3141">
        <v>13.3918</v>
      </c>
      <c r="AD3141">
        <v>-1.1186019728309999</v>
      </c>
      <c r="AE3141">
        <v>-9.7553999999999998</v>
      </c>
      <c r="AF3141">
        <v>-5.83342952256152</v>
      </c>
      <c r="AG3141">
        <v>-1.1186019728309999</v>
      </c>
      <c r="AH3141">
        <v>15.4270445315194</v>
      </c>
      <c r="AI3141">
        <v>93.879994773636795</v>
      </c>
      <c r="AJ3141">
        <v>110.713112912849</v>
      </c>
      <c r="AK3141">
        <v>16.530997348792798</v>
      </c>
      <c r="AL3141">
        <v>80.866955976597893</v>
      </c>
      <c r="AM3141">
        <v>100.873515887604</v>
      </c>
      <c r="AN3141">
        <v>0.99999994248612301</v>
      </c>
    </row>
    <row r="3142" spans="1:40" x14ac:dyDescent="0.25">
      <c r="A3142" t="str">
        <f>"20190304155653923"</f>
        <v>20190304155653923</v>
      </c>
      <c r="B3142" t="str">
        <f>"1551686213917377"</f>
        <v>1551686213917377</v>
      </c>
      <c r="C3142" t="s">
        <v>40</v>
      </c>
      <c r="D3142">
        <v>4.3103759999999998</v>
      </c>
      <c r="E3142">
        <v>0.43000719999999998</v>
      </c>
      <c r="F3142" t="s">
        <v>53</v>
      </c>
      <c r="G3142">
        <v>-473.67860000000002</v>
      </c>
      <c r="H3142" s="1">
        <v>4.1955830000000003E-6</v>
      </c>
      <c r="I3142">
        <v>211.60720000000001</v>
      </c>
      <c r="J3142">
        <v>-487.30810000000002</v>
      </c>
      <c r="K3142">
        <v>1.1186700000000001</v>
      </c>
      <c r="L3142">
        <v>221.30969999999999</v>
      </c>
      <c r="M3142">
        <v>0.55820380000000003</v>
      </c>
      <c r="N3142">
        <v>-1.2946320000000001E-2</v>
      </c>
      <c r="O3142">
        <v>-0.82960330000000004</v>
      </c>
      <c r="P3142">
        <v>0.69310249999999995</v>
      </c>
      <c r="Q3142">
        <v>0.1506847</v>
      </c>
      <c r="R3142">
        <v>-0.70491419999999905</v>
      </c>
      <c r="S3142">
        <v>2.5299070000000001</v>
      </c>
      <c r="T3142">
        <v>-0.20525209999999999</v>
      </c>
      <c r="U3142">
        <v>-1.82016</v>
      </c>
      <c r="V3142">
        <v>-0.1849431</v>
      </c>
      <c r="W3142">
        <v>0.1593753</v>
      </c>
      <c r="X3142">
        <v>0.96973989999999999</v>
      </c>
      <c r="Y3142">
        <v>-0.34603929999999999</v>
      </c>
      <c r="Z3142">
        <v>5.1662279999999998E-2</v>
      </c>
      <c r="AA3142">
        <v>0.93679650000000003</v>
      </c>
      <c r="AB3142">
        <v>27</v>
      </c>
      <c r="AC3142">
        <v>13.6295</v>
      </c>
      <c r="AD3142">
        <v>-1.1186658044169999</v>
      </c>
      <c r="AE3142">
        <v>-9.7024999999999793</v>
      </c>
      <c r="AF3142">
        <v>-5.8653739228362198</v>
      </c>
      <c r="AG3142">
        <v>-1.1186658044169999</v>
      </c>
      <c r="AH3142">
        <v>15.588875014374601</v>
      </c>
      <c r="AI3142">
        <v>93.842428289889895</v>
      </c>
      <c r="AJ3142">
        <v>110.61900150448901</v>
      </c>
      <c r="AK3142">
        <v>16.693323475283599</v>
      </c>
      <c r="AL3142">
        <v>80.8293613139911</v>
      </c>
      <c r="AM3142">
        <v>100.797452843527</v>
      </c>
      <c r="AN3142">
        <v>0.99999995506985395</v>
      </c>
    </row>
    <row r="3143" spans="1:40" x14ac:dyDescent="0.25">
      <c r="A3143" t="str">
        <f>"20190304155653946"</f>
        <v>20190304155653946</v>
      </c>
      <c r="B3143" t="str">
        <f>"1551686213937872"</f>
        <v>1551686213937872</v>
      </c>
      <c r="C3143" t="s">
        <v>40</v>
      </c>
      <c r="D3143">
        <v>4.3485880000000003</v>
      </c>
      <c r="E3143">
        <v>0.42997289999999999</v>
      </c>
      <c r="F3143" t="s">
        <v>53</v>
      </c>
      <c r="G3143">
        <v>-473.10250000000002</v>
      </c>
      <c r="H3143" s="1">
        <v>4.4392849999999998E-6</v>
      </c>
      <c r="I3143">
        <v>211.3372</v>
      </c>
      <c r="J3143">
        <v>-487.14699999999999</v>
      </c>
      <c r="K3143">
        <v>1.118746</v>
      </c>
      <c r="L3143">
        <v>221.09450000000001</v>
      </c>
      <c r="M3143">
        <v>0.56867990000000002</v>
      </c>
      <c r="N3143">
        <v>-1.2968729999999999E-2</v>
      </c>
      <c r="O3143">
        <v>-0.82245679999999999</v>
      </c>
      <c r="P3143">
        <v>0.70099060000000002</v>
      </c>
      <c r="Q3143">
        <v>0.15123829999999999</v>
      </c>
      <c r="R3143">
        <v>-0.69695010000000002</v>
      </c>
      <c r="S3143">
        <v>2.5508120000000001</v>
      </c>
      <c r="T3143">
        <v>-0.20087160000000001</v>
      </c>
      <c r="U3143">
        <v>-1.79070999999999</v>
      </c>
      <c r="V3143">
        <v>-0.1836624</v>
      </c>
      <c r="W3143">
        <v>0.15994820000000001</v>
      </c>
      <c r="X3143">
        <v>0.969889</v>
      </c>
      <c r="Y3143">
        <v>-0.34507149999999998</v>
      </c>
      <c r="Z3143">
        <v>5.0100560000000002E-2</v>
      </c>
      <c r="AA3143">
        <v>0.93723829999999997</v>
      </c>
      <c r="AB3143">
        <v>27</v>
      </c>
      <c r="AC3143">
        <v>14.0444999999999</v>
      </c>
      <c r="AD3143">
        <v>-1.118741560715</v>
      </c>
      <c r="AE3143">
        <v>-9.7573000000000096</v>
      </c>
      <c r="AF3143">
        <v>-5.9771385501300598</v>
      </c>
      <c r="AG3143">
        <v>-1.118741560715</v>
      </c>
      <c r="AH3143">
        <v>15.9448897947532</v>
      </c>
      <c r="AI3143">
        <v>93.758853581181697</v>
      </c>
      <c r="AJ3143">
        <v>110.54912951043001</v>
      </c>
      <c r="AK3143">
        <v>17.0650894663329</v>
      </c>
      <c r="AL3143">
        <v>80.796110311374306</v>
      </c>
      <c r="AM3143">
        <v>100.72281188438301</v>
      </c>
      <c r="AN3143">
        <v>0.99999998808899904</v>
      </c>
    </row>
    <row r="3144" spans="1:40" x14ac:dyDescent="0.25">
      <c r="A3144" t="str">
        <f>"20190304155653970"</f>
        <v>20190304155653970</v>
      </c>
      <c r="B3144" t="str">
        <f>"1551686213958369"</f>
        <v>1551686213958369</v>
      </c>
      <c r="C3144" t="s">
        <v>40</v>
      </c>
      <c r="D3144">
        <v>4.3722019999999997</v>
      </c>
      <c r="E3144">
        <v>0.43001410000000001</v>
      </c>
      <c r="F3144" t="s">
        <v>53</v>
      </c>
      <c r="G3144">
        <v>-472.62880000000001</v>
      </c>
      <c r="H3144" s="1">
        <v>4.6409970000000002E-6</v>
      </c>
      <c r="I3144">
        <v>211.1463</v>
      </c>
      <c r="J3144">
        <v>-486.9796</v>
      </c>
      <c r="K3144">
        <v>1.118825</v>
      </c>
      <c r="L3144">
        <v>220.87649999999999</v>
      </c>
      <c r="M3144">
        <v>0.5793855</v>
      </c>
      <c r="N3144">
        <v>-1.2991600000000001E-2</v>
      </c>
      <c r="O3144">
        <v>-0.81495010000000001</v>
      </c>
      <c r="P3144">
        <v>0.70920969999999905</v>
      </c>
      <c r="Q3144">
        <v>0.15181720000000001</v>
      </c>
      <c r="R3144">
        <v>-0.68845730000000005</v>
      </c>
      <c r="S3144">
        <v>2.5709230000000001</v>
      </c>
      <c r="T3144">
        <v>-0.19810939999999999</v>
      </c>
      <c r="U3144">
        <v>-1.7616419999999999</v>
      </c>
      <c r="V3144">
        <v>-0.18260119999999999</v>
      </c>
      <c r="W3144">
        <v>0.160540299999999</v>
      </c>
      <c r="X3144">
        <v>0.96999159999999995</v>
      </c>
      <c r="Y3144">
        <v>-0.3434798</v>
      </c>
      <c r="Z3144">
        <v>4.899825E-2</v>
      </c>
      <c r="AA3144">
        <v>0.93788110000000002</v>
      </c>
      <c r="AB3144">
        <v>27</v>
      </c>
      <c r="AC3144">
        <v>14.3507999999999</v>
      </c>
      <c r="AD3144">
        <v>-1.1188203590029999</v>
      </c>
      <c r="AE3144">
        <v>-9.7301999999999893</v>
      </c>
      <c r="AF3144">
        <v>-6.0330394306115904</v>
      </c>
      <c r="AG3144">
        <v>-1.1188203590029999</v>
      </c>
      <c r="AH3144">
        <v>16.1782792696767</v>
      </c>
      <c r="AI3144">
        <v>93.707407459241495</v>
      </c>
      <c r="AJ3144">
        <v>110.45098007587301</v>
      </c>
      <c r="AK3144">
        <v>17.302775612446801</v>
      </c>
      <c r="AL3144">
        <v>80.761741874158403</v>
      </c>
      <c r="AM3144">
        <v>100.66117809131001</v>
      </c>
      <c r="AN3144">
        <v>1.00000004511804</v>
      </c>
    </row>
    <row r="3145" spans="1:40" x14ac:dyDescent="0.25">
      <c r="A3145" t="str">
        <f>"20190304155653991"</f>
        <v>20190304155653991</v>
      </c>
      <c r="B3145" t="str">
        <f>"1551686213987649"</f>
        <v>1551686213987649</v>
      </c>
      <c r="C3145" t="s">
        <v>40</v>
      </c>
      <c r="D3145">
        <v>4.3372199999999896</v>
      </c>
      <c r="E3145">
        <v>0.4300658</v>
      </c>
      <c r="F3145" t="s">
        <v>53</v>
      </c>
      <c r="G3145">
        <v>-472.13099999999997</v>
      </c>
      <c r="H3145" s="1">
        <v>4.8534769999999998E-6</v>
      </c>
      <c r="I3145">
        <v>210.95699999999999</v>
      </c>
      <c r="J3145">
        <v>-486.8297</v>
      </c>
      <c r="K3145">
        <v>1.1188979999999999</v>
      </c>
      <c r="L3145">
        <v>220.68680000000001</v>
      </c>
      <c r="M3145">
        <v>0.58879759999999903</v>
      </c>
      <c r="N3145">
        <v>-1.3011699999999999E-2</v>
      </c>
      <c r="O3145">
        <v>-0.80817600000000001</v>
      </c>
      <c r="P3145">
        <v>0.71642019999999995</v>
      </c>
      <c r="Q3145">
        <v>0.15202789999999999</v>
      </c>
      <c r="R3145">
        <v>-0.68090390000000001</v>
      </c>
      <c r="S3145">
        <v>2.59137</v>
      </c>
      <c r="T3145">
        <v>-0.1952566</v>
      </c>
      <c r="U3145">
        <v>-1.731155</v>
      </c>
      <c r="V3145">
        <v>-0.18162310000000001</v>
      </c>
      <c r="W3145">
        <v>0.16076480000000001</v>
      </c>
      <c r="X3145">
        <v>0.97013799999999994</v>
      </c>
      <c r="Y3145">
        <v>-0.3436843</v>
      </c>
      <c r="Z3145">
        <v>4.7945990000000001E-2</v>
      </c>
      <c r="AA3145">
        <v>0.93786049999999999</v>
      </c>
      <c r="AB3145">
        <v>27</v>
      </c>
      <c r="AC3145">
        <v>14.698700000000001</v>
      </c>
      <c r="AD3145">
        <v>-1.1188931465230001</v>
      </c>
      <c r="AE3145">
        <v>-9.7298000000000098</v>
      </c>
      <c r="AF3145">
        <v>-6.1260906904844603</v>
      </c>
      <c r="AG3145">
        <v>-1.1188931465230001</v>
      </c>
      <c r="AH3145">
        <v>16.453054739651801</v>
      </c>
      <c r="AI3145">
        <v>93.646577416982097</v>
      </c>
      <c r="AJ3145">
        <v>110.42219016004</v>
      </c>
      <c r="AK3145">
        <v>17.592155049548499</v>
      </c>
      <c r="AL3145">
        <v>80.748709325113794</v>
      </c>
      <c r="AM3145">
        <v>100.60380638520699</v>
      </c>
      <c r="AN3145">
        <v>1.00000000520832</v>
      </c>
    </row>
    <row r="3146" spans="1:40" x14ac:dyDescent="0.25">
      <c r="A3146" t="str">
        <f>"20190304155654012"</f>
        <v>20190304155654012</v>
      </c>
      <c r="B3146" t="str">
        <f>"1551686214007168"</f>
        <v>1551686214007168</v>
      </c>
      <c r="C3146" t="s">
        <v>40</v>
      </c>
      <c r="D3146">
        <v>4.2499650000000004</v>
      </c>
      <c r="E3146">
        <v>0.43013200000000001</v>
      </c>
      <c r="F3146" t="s">
        <v>53</v>
      </c>
      <c r="G3146">
        <v>-471.70979999999997</v>
      </c>
      <c r="H3146" s="1">
        <v>5.0342589999999997E-6</v>
      </c>
      <c r="I3146">
        <v>210.81960000000001</v>
      </c>
      <c r="J3146">
        <v>-486.67250000000001</v>
      </c>
      <c r="K3146">
        <v>1.1189659999999999</v>
      </c>
      <c r="L3146">
        <v>220.49299999999999</v>
      </c>
      <c r="M3146">
        <v>0.59850159999999997</v>
      </c>
      <c r="N3146">
        <v>-1.3031930000000001E-2</v>
      </c>
      <c r="O3146">
        <v>-0.801015699999999</v>
      </c>
      <c r="P3146">
        <v>0.72388580000000002</v>
      </c>
      <c r="Q3146">
        <v>0.15196779999999999</v>
      </c>
      <c r="R3146">
        <v>-0.67297469999999904</v>
      </c>
      <c r="S3146">
        <v>2.6097410000000001</v>
      </c>
      <c r="T3146">
        <v>-0.19312489999999999</v>
      </c>
      <c r="U3146">
        <v>-1.7031099999999999</v>
      </c>
      <c r="V3146">
        <v>-0.18063670000000001</v>
      </c>
      <c r="W3146">
        <v>0.16071959999999999</v>
      </c>
      <c r="X3146">
        <v>0.97032960000000001</v>
      </c>
      <c r="Y3146">
        <v>-0.34248810000000002</v>
      </c>
      <c r="Z3146">
        <v>4.7062300000000001E-2</v>
      </c>
      <c r="AA3146">
        <v>0.93834269999999997</v>
      </c>
      <c r="AB3146">
        <v>27</v>
      </c>
      <c r="AC3146">
        <v>14.9627</v>
      </c>
      <c r="AD3146">
        <v>-1.118960965741</v>
      </c>
      <c r="AE3146">
        <v>-9.6733999999999796</v>
      </c>
      <c r="AF3146">
        <v>-6.1719951701579099</v>
      </c>
      <c r="AG3146">
        <v>-1.118960965741</v>
      </c>
      <c r="AH3146">
        <v>16.6395349834686</v>
      </c>
      <c r="AI3146">
        <v>93.607697438468804</v>
      </c>
      <c r="AJ3146">
        <v>110.351002746378</v>
      </c>
      <c r="AK3146">
        <v>17.7825679385565</v>
      </c>
      <c r="AL3146">
        <v>80.7513328850699</v>
      </c>
      <c r="AM3146">
        <v>100.545476549909</v>
      </c>
      <c r="AN3146">
        <v>0.99999996992360396</v>
      </c>
    </row>
    <row r="3147" spans="1:40" x14ac:dyDescent="0.25">
      <c r="A3147" t="str">
        <f>"20190304155654035"</f>
        <v>20190304155654035</v>
      </c>
      <c r="B3147" t="str">
        <f>"1551686214027665"</f>
        <v>1551686214027665</v>
      </c>
      <c r="C3147" t="s">
        <v>40</v>
      </c>
      <c r="D3147">
        <v>4.3107430000000004</v>
      </c>
      <c r="E3147">
        <v>0.43025580000000002</v>
      </c>
      <c r="F3147" t="s">
        <v>53</v>
      </c>
      <c r="G3147">
        <v>-471.37329999999997</v>
      </c>
      <c r="H3147" s="1">
        <v>5.1805569999999999E-6</v>
      </c>
      <c r="I3147">
        <v>210.75219999999999</v>
      </c>
      <c r="J3147">
        <v>-486.49759999999998</v>
      </c>
      <c r="K3147">
        <v>1.1190279999999999</v>
      </c>
      <c r="L3147">
        <v>220.28290000000001</v>
      </c>
      <c r="M3147">
        <v>0.60910249999999999</v>
      </c>
      <c r="N3147">
        <v>-1.3052869999999999E-2</v>
      </c>
      <c r="O3147">
        <v>-0.79298429999999998</v>
      </c>
      <c r="P3147">
        <v>0.7325313</v>
      </c>
      <c r="Q3147">
        <v>0.15186079999999999</v>
      </c>
      <c r="R3147">
        <v>-0.66357869999999997</v>
      </c>
      <c r="S3147">
        <v>2.6287229999999999</v>
      </c>
      <c r="T3147">
        <v>-0.19225999999999999</v>
      </c>
      <c r="U3147">
        <v>-1.6736599999999999</v>
      </c>
      <c r="V3147">
        <v>-0.18029049999999999</v>
      </c>
      <c r="W3147">
        <v>0.16061420000000001</v>
      </c>
      <c r="X3147">
        <v>0.97041149999999998</v>
      </c>
      <c r="Y3147">
        <v>-0.34056449999999999</v>
      </c>
      <c r="Z3147">
        <v>4.6499390000000002E-2</v>
      </c>
      <c r="AA3147">
        <v>0.93907059999999998</v>
      </c>
      <c r="AB3147">
        <v>27</v>
      </c>
      <c r="AC3147">
        <v>15.1243</v>
      </c>
      <c r="AD3147">
        <v>-1.1190228194429901</v>
      </c>
      <c r="AE3147">
        <v>-9.5307000000000208</v>
      </c>
      <c r="AF3147">
        <v>-6.1645308360651896</v>
      </c>
      <c r="AG3147">
        <v>-1.1190228194429901</v>
      </c>
      <c r="AH3147">
        <v>16.705911276900601</v>
      </c>
      <c r="AI3147">
        <v>93.595839793508205</v>
      </c>
      <c r="AJ3147">
        <v>110.25421046648</v>
      </c>
      <c r="AK3147">
        <v>17.8421165810256</v>
      </c>
      <c r="AL3147">
        <v>80.757451930548498</v>
      </c>
      <c r="AM3147">
        <v>100.524849172489</v>
      </c>
      <c r="AN3147">
        <v>1.0000000324820599</v>
      </c>
    </row>
    <row r="3148" spans="1:40" x14ac:dyDescent="0.25">
      <c r="A3148" t="str">
        <f>"20190304155654056"</f>
        <v>20190304155654056</v>
      </c>
      <c r="B3148" t="str">
        <f>"1551686214047184"</f>
        <v>1551686214047184</v>
      </c>
      <c r="C3148" t="s">
        <v>40</v>
      </c>
      <c r="D3148">
        <v>4.2341059999999997</v>
      </c>
      <c r="E3148">
        <v>0.43038769999999998</v>
      </c>
      <c r="F3148" t="s">
        <v>53</v>
      </c>
      <c r="G3148">
        <v>-471.09320000000002</v>
      </c>
      <c r="H3148" s="1">
        <v>5.3046879999999999E-6</v>
      </c>
      <c r="I3148">
        <v>210.75059999999999</v>
      </c>
      <c r="J3148">
        <v>-486.33580000000001</v>
      </c>
      <c r="K3148">
        <v>1.1190719999999901</v>
      </c>
      <c r="L3148">
        <v>220.09350000000001</v>
      </c>
      <c r="M3148">
        <v>0.61872150000000004</v>
      </c>
      <c r="N3148">
        <v>-1.307035E-2</v>
      </c>
      <c r="O3148">
        <v>-0.78550169999999997</v>
      </c>
      <c r="P3148">
        <v>0.74083390000000005</v>
      </c>
      <c r="Q3148">
        <v>0.15215909999999999</v>
      </c>
      <c r="R3148">
        <v>-0.65422709999999995</v>
      </c>
      <c r="S3148">
        <v>2.649902</v>
      </c>
      <c r="T3148">
        <v>-0.1924971</v>
      </c>
      <c r="U3148">
        <v>-1.6397710000000001</v>
      </c>
      <c r="V3148">
        <v>-0.18076049999999999</v>
      </c>
      <c r="W3148">
        <v>0.16089609999999999</v>
      </c>
      <c r="X3148">
        <v>0.97027730000000001</v>
      </c>
      <c r="Y3148">
        <v>-0.34115180000000001</v>
      </c>
      <c r="Z3148">
        <v>4.6334889999999997E-2</v>
      </c>
      <c r="AA3148">
        <v>0.93886550000000002</v>
      </c>
      <c r="AB3148">
        <v>27</v>
      </c>
      <c r="AC3148">
        <v>15.2425999999999</v>
      </c>
      <c r="AD3148">
        <v>-1.1190666953120001</v>
      </c>
      <c r="AE3148">
        <v>-9.3429000000000109</v>
      </c>
      <c r="AF3148">
        <v>-6.1687943750829204</v>
      </c>
      <c r="AG3148">
        <v>-1.1190666953120001</v>
      </c>
      <c r="AH3148">
        <v>16.705766485785801</v>
      </c>
      <c r="AI3148">
        <v>93.595710420267494</v>
      </c>
      <c r="AJ3148">
        <v>110.26724086871501</v>
      </c>
      <c r="AK3148">
        <v>17.8434572935913</v>
      </c>
      <c r="AL3148">
        <v>80.741086892742999</v>
      </c>
      <c r="AM3148">
        <v>100.55309767563701</v>
      </c>
      <c r="AN3148">
        <v>0.99999997612537395</v>
      </c>
    </row>
    <row r="3149" spans="1:40" x14ac:dyDescent="0.25">
      <c r="A3149" t="str">
        <f>"20190304155654080"</f>
        <v>20190304155654080</v>
      </c>
      <c r="B3149" t="str">
        <f>"1551686214077441"</f>
        <v>1551686214077441</v>
      </c>
      <c r="C3149" t="s">
        <v>40</v>
      </c>
      <c r="D3149">
        <v>4.2976419999999997</v>
      </c>
      <c r="E3149">
        <v>0.4307088</v>
      </c>
      <c r="F3149" t="s">
        <v>53</v>
      </c>
      <c r="G3149">
        <v>-470.78649999999999</v>
      </c>
      <c r="H3149" s="1">
        <v>5.4400289999999997E-6</v>
      </c>
      <c r="I3149">
        <v>210.73599999999999</v>
      </c>
      <c r="J3149">
        <v>-486.15789999999998</v>
      </c>
      <c r="K3149">
        <v>1.119119</v>
      </c>
      <c r="L3149">
        <v>219.89070000000001</v>
      </c>
      <c r="M3149">
        <v>0.62908920000000002</v>
      </c>
      <c r="N3149">
        <v>-1.308788E-2</v>
      </c>
      <c r="O3149">
        <v>-0.7772232</v>
      </c>
      <c r="P3149">
        <v>0.74938579999999999</v>
      </c>
      <c r="Q3149">
        <v>0.15248249999999999</v>
      </c>
      <c r="R3149">
        <v>-0.64433739999999995</v>
      </c>
      <c r="S3149">
        <v>2.670013</v>
      </c>
      <c r="T3149">
        <v>-0.1921592</v>
      </c>
      <c r="U3149">
        <v>-1.6068119999999999</v>
      </c>
      <c r="V3149">
        <v>-0.18073800000000001</v>
      </c>
      <c r="W3149">
        <v>0.16121659999999999</v>
      </c>
      <c r="X3149">
        <v>0.97022830000000004</v>
      </c>
      <c r="Y3149">
        <v>-0.34032659999999998</v>
      </c>
      <c r="Z3149">
        <v>4.5940399999999999E-2</v>
      </c>
      <c r="AA3149">
        <v>0.93918440000000003</v>
      </c>
      <c r="AB3149">
        <v>27</v>
      </c>
      <c r="AC3149">
        <v>15.3713999999999</v>
      </c>
      <c r="AD3149">
        <v>-1.119113559971</v>
      </c>
      <c r="AE3149">
        <v>-9.1547000000000196</v>
      </c>
      <c r="AF3149">
        <v>-6.1642954100434704</v>
      </c>
      <c r="AG3149">
        <v>-1.119113559971</v>
      </c>
      <c r="AH3149">
        <v>16.721235795818199</v>
      </c>
      <c r="AI3149">
        <v>93.593253344763497</v>
      </c>
      <c r="AJ3149">
        <v>110.23644426174999</v>
      </c>
      <c r="AK3149">
        <v>17.856390441568699</v>
      </c>
      <c r="AL3149">
        <v>80.722480782091594</v>
      </c>
      <c r="AM3149">
        <v>100.552334526143</v>
      </c>
      <c r="AN3149">
        <v>0.99999998544022495</v>
      </c>
    </row>
    <row r="3150" spans="1:40" x14ac:dyDescent="0.25">
      <c r="A3150" t="str">
        <f>"20190304155654112"</f>
        <v>20190304155654112</v>
      </c>
      <c r="B3150" t="str">
        <f>"1551686214107696"</f>
        <v>1551686214107696</v>
      </c>
      <c r="C3150" t="s">
        <v>40</v>
      </c>
      <c r="D3150">
        <v>4.3968030000000002</v>
      </c>
      <c r="E3150">
        <v>0.43112709999999999</v>
      </c>
      <c r="F3150" t="s">
        <v>53</v>
      </c>
      <c r="G3150">
        <v>-470.4753</v>
      </c>
      <c r="H3150" s="1">
        <v>5.5773860000000002E-6</v>
      </c>
      <c r="I3150">
        <v>210.72069999999999</v>
      </c>
      <c r="J3150">
        <v>-485.90789999999998</v>
      </c>
      <c r="K3150">
        <v>1.1191739999999999</v>
      </c>
      <c r="L3150">
        <v>219.61429999999999</v>
      </c>
      <c r="M3150">
        <v>0.64329729999999996</v>
      </c>
      <c r="N3150">
        <v>-1.3109620000000001E-2</v>
      </c>
      <c r="O3150">
        <v>-0.76550419999999997</v>
      </c>
      <c r="P3150">
        <v>0.76154239999999995</v>
      </c>
      <c r="Q3150">
        <v>0.15273680000000001</v>
      </c>
      <c r="R3150">
        <v>-0.629861</v>
      </c>
      <c r="S3150">
        <v>2.6899109999999999</v>
      </c>
      <c r="T3150">
        <v>-0.19195280000000001</v>
      </c>
      <c r="U3150">
        <v>-1.5728610000000001</v>
      </c>
      <c r="V3150">
        <v>-0.18144560000000001</v>
      </c>
      <c r="W3150">
        <v>0.16145279999999901</v>
      </c>
      <c r="X3150">
        <v>0.97005699999999995</v>
      </c>
      <c r="Y3150">
        <v>-0.33488469999999998</v>
      </c>
      <c r="Z3150">
        <v>4.5347289999999998E-2</v>
      </c>
      <c r="AA3150">
        <v>0.94116730000000004</v>
      </c>
      <c r="AB3150">
        <v>27</v>
      </c>
      <c r="AC3150">
        <v>15.4325999999999</v>
      </c>
      <c r="AD3150">
        <v>-1.119168422614</v>
      </c>
      <c r="AE3150">
        <v>-8.8935999999999904</v>
      </c>
      <c r="AF3150">
        <v>-6.0690545323851701</v>
      </c>
      <c r="AG3150">
        <v>-1.119168422614</v>
      </c>
      <c r="AH3150">
        <v>16.671458308333399</v>
      </c>
      <c r="AI3150">
        <v>93.609488840842801</v>
      </c>
      <c r="AJ3150">
        <v>110.003459358247</v>
      </c>
      <c r="AK3150">
        <v>17.777049333388799</v>
      </c>
      <c r="AL3150">
        <v>80.708768460926095</v>
      </c>
      <c r="AM3150">
        <v>100.594542532427</v>
      </c>
      <c r="AN3150">
        <v>1.0000000478180899</v>
      </c>
    </row>
    <row r="3151" spans="1:40" x14ac:dyDescent="0.25">
      <c r="A3151" t="str">
        <f>"20190304155654136"</f>
        <v>20190304155654136</v>
      </c>
      <c r="B3151" t="str">
        <f>"1551686214127217"</f>
        <v>1551686214127217</v>
      </c>
      <c r="C3151" t="s">
        <v>40</v>
      </c>
      <c r="D3151">
        <v>4.3153079999999999</v>
      </c>
      <c r="E3151">
        <v>0.43145810000000001</v>
      </c>
      <c r="F3151" t="s">
        <v>55</v>
      </c>
      <c r="G3151">
        <v>-469.94650000000001</v>
      </c>
      <c r="H3151" s="1">
        <v>3.928756E-6</v>
      </c>
      <c r="I3151">
        <v>210.6696</v>
      </c>
      <c r="J3151">
        <v>-485.71199999999999</v>
      </c>
      <c r="K3151">
        <v>1.1191960000000001</v>
      </c>
      <c r="L3151">
        <v>219.40539999999999</v>
      </c>
      <c r="M3151">
        <v>0.65410749999999995</v>
      </c>
      <c r="N3151">
        <v>-1.312347E-2</v>
      </c>
      <c r="O3151">
        <v>-0.75628779999999995</v>
      </c>
      <c r="P3151">
        <v>0.77061999999999997</v>
      </c>
      <c r="Q3151">
        <v>0.1527231</v>
      </c>
      <c r="R3151">
        <v>-0.61872459999999996</v>
      </c>
      <c r="S3151">
        <v>2.7178960000000001</v>
      </c>
      <c r="T3151">
        <v>-0.1905713</v>
      </c>
      <c r="U3151">
        <v>-1.523102</v>
      </c>
      <c r="V3151">
        <v>-0.1817773</v>
      </c>
      <c r="W3151">
        <v>0.16143350000000001</v>
      </c>
      <c r="X3151">
        <v>0.96999809999999997</v>
      </c>
      <c r="Y3151">
        <v>-0.33876319999999999</v>
      </c>
      <c r="Z3151">
        <v>4.4758449999999998E-2</v>
      </c>
      <c r="AA3151">
        <v>0.93980649999999999</v>
      </c>
      <c r="AB3151">
        <v>27</v>
      </c>
      <c r="AC3151">
        <v>15.7654999999999</v>
      </c>
      <c r="AD3151">
        <v>-1.11919207124399</v>
      </c>
      <c r="AE3151">
        <v>-8.7357999999999798</v>
      </c>
      <c r="AF3151">
        <v>-6.1857868113475201</v>
      </c>
      <c r="AG3151">
        <v>-1.11919207124399</v>
      </c>
      <c r="AH3151">
        <v>16.855576716289399</v>
      </c>
      <c r="AI3151">
        <v>93.5668547625</v>
      </c>
      <c r="AJ3151">
        <v>110.152508172569</v>
      </c>
      <c r="AK3151">
        <v>17.9896363444761</v>
      </c>
      <c r="AL3151">
        <v>80.7098888748897</v>
      </c>
      <c r="AM3151">
        <v>100.614100560838</v>
      </c>
      <c r="AN3151">
        <v>1.00000003786057</v>
      </c>
    </row>
    <row r="3152" spans="1:40" x14ac:dyDescent="0.25">
      <c r="A3152" t="str">
        <f>"20190304155654160"</f>
        <v>20190304155654160</v>
      </c>
      <c r="B3152" t="str">
        <f>"1551686214147713"</f>
        <v>1551686214147713</v>
      </c>
      <c r="C3152" t="s">
        <v>40</v>
      </c>
      <c r="D3152">
        <v>4.3077629999999996</v>
      </c>
      <c r="E3152">
        <v>0.43189179999999999</v>
      </c>
      <c r="F3152" t="s">
        <v>55</v>
      </c>
      <c r="G3152">
        <v>-469.63150000000002</v>
      </c>
      <c r="H3152" s="1">
        <v>3.7605639999999999E-6</v>
      </c>
      <c r="I3152">
        <v>210.68260000000001</v>
      </c>
      <c r="J3152">
        <v>-485.52670000000001</v>
      </c>
      <c r="K3152">
        <v>1.11921</v>
      </c>
      <c r="L3152">
        <v>219.21289999999999</v>
      </c>
      <c r="M3152">
        <v>0.6640855</v>
      </c>
      <c r="N3152">
        <v>-1.3134150000000001E-2</v>
      </c>
      <c r="O3152">
        <v>-0.74754119999999902</v>
      </c>
      <c r="P3152">
        <v>0.77927570000000002</v>
      </c>
      <c r="Q3152">
        <v>0.15241389999999999</v>
      </c>
      <c r="R3152">
        <v>-0.60786470000000004</v>
      </c>
      <c r="S3152">
        <v>2.7382200000000001</v>
      </c>
      <c r="T3152">
        <v>-0.19057830000000001</v>
      </c>
      <c r="U3152">
        <v>-1.4853209999999999</v>
      </c>
      <c r="V3152">
        <v>-0.18254570000000001</v>
      </c>
      <c r="W3152">
        <v>0.1611088</v>
      </c>
      <c r="X3152">
        <v>0.96990779999999999</v>
      </c>
      <c r="Y3152">
        <v>-0.339227099999999</v>
      </c>
      <c r="Z3152">
        <v>4.4483929999999998E-2</v>
      </c>
      <c r="AA3152">
        <v>0.93965209999999999</v>
      </c>
      <c r="AB3152">
        <v>27</v>
      </c>
      <c r="AC3152">
        <v>15.8951999999999</v>
      </c>
      <c r="AD3152">
        <v>-1.1192062394360001</v>
      </c>
      <c r="AE3152">
        <v>-8.5302999999999791</v>
      </c>
      <c r="AF3152">
        <v>-6.19416236384843</v>
      </c>
      <c r="AG3152">
        <v>-1.1192062394360001</v>
      </c>
      <c r="AH3152">
        <v>16.8690515282664</v>
      </c>
      <c r="AI3152">
        <v>93.563824094413107</v>
      </c>
      <c r="AJ3152">
        <v>110.162776103798</v>
      </c>
      <c r="AK3152">
        <v>18.005142861399801</v>
      </c>
      <c r="AL3152">
        <v>80.728739767044004</v>
      </c>
      <c r="AM3152">
        <v>100.658911720037</v>
      </c>
      <c r="AN3152">
        <v>1.00000005926338</v>
      </c>
    </row>
    <row r="3153" spans="1:40" x14ac:dyDescent="0.25">
      <c r="A3153" t="str">
        <f>"20190304155654180"</f>
        <v>20190304155654180</v>
      </c>
      <c r="B3153" t="str">
        <f>"1551686214177969"</f>
        <v>1551686214177969</v>
      </c>
      <c r="C3153" t="s">
        <v>40</v>
      </c>
      <c r="D3153">
        <v>4.3094570000000001</v>
      </c>
      <c r="E3153">
        <v>0.44633200000000001</v>
      </c>
      <c r="F3153" t="s">
        <v>55</v>
      </c>
      <c r="G3153">
        <v>-469.46980000000002</v>
      </c>
      <c r="H3153" s="1">
        <v>3.6706859999999999E-6</v>
      </c>
      <c r="I3153">
        <v>210.7704</v>
      </c>
      <c r="J3153">
        <v>-485.35669999999999</v>
      </c>
      <c r="K3153">
        <v>1.119216</v>
      </c>
      <c r="L3153">
        <v>219.04079999999999</v>
      </c>
      <c r="M3153">
        <v>0.67303040000000003</v>
      </c>
      <c r="N3153">
        <v>-1.314217E-2</v>
      </c>
      <c r="O3153">
        <v>-0.73949819999999999</v>
      </c>
      <c r="P3153">
        <v>0.78679219999999905</v>
      </c>
      <c r="Q3153">
        <v>0.15288689999999999</v>
      </c>
      <c r="R3153">
        <v>-0.59798319999999905</v>
      </c>
      <c r="S3153">
        <v>2.7567140000000001</v>
      </c>
      <c r="T3153">
        <v>-0.1921496</v>
      </c>
      <c r="U3153">
        <v>-1.4494479999999901</v>
      </c>
      <c r="V3153">
        <v>-0.18306349999999999</v>
      </c>
      <c r="W3153">
        <v>0.1615724</v>
      </c>
      <c r="X3153">
        <v>0.96973299999999996</v>
      </c>
      <c r="Y3153">
        <v>-0.34006799999999998</v>
      </c>
      <c r="Z3153">
        <v>4.467368E-2</v>
      </c>
      <c r="AA3153">
        <v>0.93933920000000004</v>
      </c>
      <c r="AB3153">
        <v>27</v>
      </c>
      <c r="AC3153">
        <v>15.886899999999899</v>
      </c>
      <c r="AD3153">
        <v>-1.1192123293139999</v>
      </c>
      <c r="AE3153">
        <v>-8.2703999999999898</v>
      </c>
      <c r="AF3153">
        <v>-6.1585884669811799</v>
      </c>
      <c r="AG3153">
        <v>-1.1192123293139999</v>
      </c>
      <c r="AH3153">
        <v>16.744378796526899</v>
      </c>
      <c r="AI3153">
        <v>93.589602885656106</v>
      </c>
      <c r="AJ3153">
        <v>110.19354003222701</v>
      </c>
      <c r="AK3153">
        <v>17.876103306517901</v>
      </c>
      <c r="AL3153">
        <v>80.701824161658706</v>
      </c>
      <c r="AM3153">
        <v>100.690332876336</v>
      </c>
      <c r="AN3153">
        <v>0.99999998838150495</v>
      </c>
    </row>
    <row r="3154" spans="1:40" x14ac:dyDescent="0.25">
      <c r="A3154" t="str">
        <f>"20190304155654203"</f>
        <v>20190304155654203</v>
      </c>
      <c r="B3154" t="str">
        <f>"1551686214197489"</f>
        <v>1551686214197489</v>
      </c>
      <c r="C3154" t="s">
        <v>40</v>
      </c>
      <c r="D3154">
        <v>4.3053679999999996</v>
      </c>
      <c r="E3154">
        <v>0.4474458</v>
      </c>
      <c r="F3154" t="s">
        <v>53</v>
      </c>
      <c r="G3154">
        <v>-471.10480000000001</v>
      </c>
      <c r="H3154" s="1">
        <v>5.3148380000000001E-6</v>
      </c>
      <c r="I3154">
        <v>211.10059999999999</v>
      </c>
      <c r="J3154">
        <v>-485.16559999999998</v>
      </c>
      <c r="K3154">
        <v>1.1192200000000001</v>
      </c>
      <c r="L3154">
        <v>218.852</v>
      </c>
      <c r="M3154">
        <v>0.68284829999999996</v>
      </c>
      <c r="N3154">
        <v>-1.314974E-2</v>
      </c>
      <c r="O3154">
        <v>-0.73044189999999998</v>
      </c>
      <c r="P3154">
        <v>0.79484379999999999</v>
      </c>
      <c r="Q3154">
        <v>0.15363850000000001</v>
      </c>
      <c r="R3154">
        <v>-0.58704230000000002</v>
      </c>
      <c r="S3154">
        <v>2.7077640000000001</v>
      </c>
      <c r="T3154">
        <v>-0.21264179999999999</v>
      </c>
      <c r="U3154">
        <v>-1.508575</v>
      </c>
      <c r="V3154">
        <v>-0.18343789999999999</v>
      </c>
      <c r="W3154">
        <v>0.16231870000000001</v>
      </c>
      <c r="X3154">
        <v>0.9695376</v>
      </c>
      <c r="Y3154">
        <v>-0.30425099999999999</v>
      </c>
      <c r="Z3154">
        <v>4.9123510000000002E-2</v>
      </c>
      <c r="AA3154">
        <v>0.95132450000000002</v>
      </c>
      <c r="AB3154">
        <v>27</v>
      </c>
      <c r="AC3154">
        <v>14.060799999999899</v>
      </c>
      <c r="AD3154">
        <v>-1.119214685162</v>
      </c>
      <c r="AE3154">
        <v>-7.7514000000000101</v>
      </c>
      <c r="AF3154">
        <v>-4.9539254840812701</v>
      </c>
      <c r="AG3154">
        <v>-1.119214685162</v>
      </c>
      <c r="AH3154">
        <v>15.190845289163899</v>
      </c>
      <c r="AI3154">
        <v>94.006813769387506</v>
      </c>
      <c r="AJ3154">
        <v>108.061798033226</v>
      </c>
      <c r="AK3154">
        <v>16.017359327074701</v>
      </c>
      <c r="AL3154">
        <v>80.658492347940495</v>
      </c>
      <c r="AM3154">
        <v>100.71380011206701</v>
      </c>
      <c r="AN3154">
        <v>0.99999999066992995</v>
      </c>
    </row>
    <row r="3155" spans="1:40" x14ac:dyDescent="0.25">
      <c r="A3155" t="str">
        <f>"20190304155654225"</f>
        <v>20190304155654225</v>
      </c>
      <c r="B3155" t="str">
        <f>"1551686214217985"</f>
        <v>1551686214217985</v>
      </c>
      <c r="C3155" t="s">
        <v>40</v>
      </c>
      <c r="D3155">
        <v>4.263471</v>
      </c>
      <c r="E3155">
        <v>0.44834800000000002</v>
      </c>
      <c r="F3155" t="s">
        <v>53</v>
      </c>
      <c r="G3155">
        <v>-470.86399999999998</v>
      </c>
      <c r="H3155" s="1">
        <v>5.4210899999999998E-6</v>
      </c>
      <c r="I3155">
        <v>211.08789999999999</v>
      </c>
      <c r="J3155">
        <v>-484.97859999999997</v>
      </c>
      <c r="K3155">
        <v>1.1192139999999999</v>
      </c>
      <c r="L3155">
        <v>218.67189999999999</v>
      </c>
      <c r="M3155">
        <v>0.6922218</v>
      </c>
      <c r="N3155">
        <v>-1.315559E-2</v>
      </c>
      <c r="O3155">
        <v>-0.72156500000000001</v>
      </c>
      <c r="P3155">
        <v>0.80263779999999996</v>
      </c>
      <c r="Q3155">
        <v>0.153804</v>
      </c>
      <c r="R3155">
        <v>-0.57629619999999904</v>
      </c>
      <c r="S3155">
        <v>2.7235109999999998</v>
      </c>
      <c r="T3155">
        <v>-0.21313489999999999</v>
      </c>
      <c r="U3155">
        <v>-1.478531</v>
      </c>
      <c r="V3155">
        <v>-0.18394659999999999</v>
      </c>
      <c r="W3155">
        <v>0.16247629999999999</v>
      </c>
      <c r="X3155">
        <v>0.96941480000000002</v>
      </c>
      <c r="Y3155">
        <v>-0.30236879999999999</v>
      </c>
      <c r="Z3155">
        <v>4.8835040000000003E-2</v>
      </c>
      <c r="AA3155">
        <v>0.95193919999999999</v>
      </c>
      <c r="AB3155">
        <v>27</v>
      </c>
      <c r="AC3155">
        <v>14.1145999999999</v>
      </c>
      <c r="AD3155">
        <v>-1.1192085789099999</v>
      </c>
      <c r="AE3155">
        <v>-7.5839999999999996</v>
      </c>
      <c r="AF3155">
        <v>-4.9112559751384399</v>
      </c>
      <c r="AG3155">
        <v>-1.1192085789099999</v>
      </c>
      <c r="AH3155">
        <v>15.1700861684964</v>
      </c>
      <c r="AI3155">
        <v>94.015039474104</v>
      </c>
      <c r="AJ3155">
        <v>107.939157093029</v>
      </c>
      <c r="AK3155">
        <v>15.9845105479037</v>
      </c>
      <c r="AL3155">
        <v>80.649340925231996</v>
      </c>
      <c r="AM3155">
        <v>100.74414967155499</v>
      </c>
      <c r="AN3155">
        <v>0.99999997708614397</v>
      </c>
    </row>
    <row r="3156" spans="1:40" x14ac:dyDescent="0.25">
      <c r="A3156" t="str">
        <f>"20190304155654247"</f>
        <v>20190304155654247</v>
      </c>
      <c r="B3156" t="str">
        <f>"1551686214237504"</f>
        <v>1551686214237504</v>
      </c>
      <c r="C3156" t="s">
        <v>40</v>
      </c>
      <c r="D3156">
        <v>4.2761319999999996</v>
      </c>
      <c r="E3156">
        <v>0.44889820000000002</v>
      </c>
      <c r="F3156" t="s">
        <v>53</v>
      </c>
      <c r="G3156">
        <v>-470.59059999999999</v>
      </c>
      <c r="H3156" s="1">
        <v>5.5414559999999999E-6</v>
      </c>
      <c r="I3156">
        <v>211.06880000000001</v>
      </c>
      <c r="J3156">
        <v>-484.79860000000002</v>
      </c>
      <c r="K3156">
        <v>1.1192089999999999</v>
      </c>
      <c r="L3156">
        <v>218.50299999999999</v>
      </c>
      <c r="M3156">
        <v>0.70101669999999905</v>
      </c>
      <c r="N3156">
        <v>-1.3159840000000001E-2</v>
      </c>
      <c r="O3156">
        <v>-0.71302359999999998</v>
      </c>
      <c r="P3156">
        <v>0.80999699999999997</v>
      </c>
      <c r="Q3156">
        <v>0.1550859</v>
      </c>
      <c r="R3156">
        <v>-0.56555580000000005</v>
      </c>
      <c r="S3156">
        <v>2.739166</v>
      </c>
      <c r="T3156">
        <v>-0.21307400000000001</v>
      </c>
      <c r="U3156">
        <v>-1.447479</v>
      </c>
      <c r="V3156">
        <v>-0.18482589999999999</v>
      </c>
      <c r="W3156">
        <v>0.16373940000000001</v>
      </c>
      <c r="X3156">
        <v>0.96903499999999998</v>
      </c>
      <c r="Y3156">
        <v>-0.30137589999999997</v>
      </c>
      <c r="Z3156">
        <v>4.8439309999999999E-2</v>
      </c>
      <c r="AA3156">
        <v>0.95227419999999996</v>
      </c>
      <c r="AB3156">
        <v>27</v>
      </c>
      <c r="AC3156">
        <v>14.208</v>
      </c>
      <c r="AD3156">
        <v>-1.1192034585439901</v>
      </c>
      <c r="AE3156">
        <v>-7.4341999999999704</v>
      </c>
      <c r="AF3156">
        <v>-4.8957171472163203</v>
      </c>
      <c r="AG3156">
        <v>-1.1192034585439901</v>
      </c>
      <c r="AH3156">
        <v>15.188136898707301</v>
      </c>
      <c r="AI3156">
        <v>94.011911443768895</v>
      </c>
      <c r="AJ3156">
        <v>107.866115361315</v>
      </c>
      <c r="AK3156">
        <v>15.996879858930001</v>
      </c>
      <c r="AL3156">
        <v>80.575988686095499</v>
      </c>
      <c r="AM3156">
        <v>100.79843608915699</v>
      </c>
      <c r="AN3156">
        <v>1.00000001782408</v>
      </c>
    </row>
    <row r="3157" spans="1:40" x14ac:dyDescent="0.25">
      <c r="A3157" t="str">
        <f>"20190304155654269"</f>
        <v>20190304155654269</v>
      </c>
      <c r="B3157" t="str">
        <f>"1551686214258004"</f>
        <v>1551686214258004</v>
      </c>
      <c r="C3157" t="s">
        <v>40</v>
      </c>
      <c r="D3157">
        <v>4.2871110000000003</v>
      </c>
      <c r="E3157">
        <v>0.45656849999999999</v>
      </c>
      <c r="F3157" t="s">
        <v>53</v>
      </c>
      <c r="G3157">
        <v>-470.15480000000002</v>
      </c>
      <c r="H3157" s="1">
        <v>5.7307330000000003E-6</v>
      </c>
      <c r="I3157">
        <v>210.9777</v>
      </c>
      <c r="J3157">
        <v>-484.60509999999999</v>
      </c>
      <c r="K3157">
        <v>1.119202</v>
      </c>
      <c r="L3157">
        <v>218.32579999999999</v>
      </c>
      <c r="M3157">
        <v>0.71023649999999905</v>
      </c>
      <c r="N3157">
        <v>-1.3162419999999999E-2</v>
      </c>
      <c r="O3157">
        <v>-0.70383999999999902</v>
      </c>
      <c r="P3157">
        <v>0.81753799999999999</v>
      </c>
      <c r="Q3157">
        <v>0.15632950000000001</v>
      </c>
      <c r="R3157">
        <v>-0.55424989999999996</v>
      </c>
      <c r="S3157">
        <v>2.7553709999999998</v>
      </c>
      <c r="T3157">
        <v>-0.21058859999999999</v>
      </c>
      <c r="U3157">
        <v>-1.4159550000000001</v>
      </c>
      <c r="V3157">
        <v>-0.185534</v>
      </c>
      <c r="W3157">
        <v>0.1649698</v>
      </c>
      <c r="X3157">
        <v>0.96869090000000002</v>
      </c>
      <c r="Y3157">
        <v>-0.29991640000000003</v>
      </c>
      <c r="Z3157">
        <v>4.735371E-2</v>
      </c>
      <c r="AA3157">
        <v>0.95278949999999996</v>
      </c>
      <c r="AB3157">
        <v>27</v>
      </c>
      <c r="AC3157">
        <v>14.450299999999899</v>
      </c>
      <c r="AD3157">
        <v>-1.1191962692669899</v>
      </c>
      <c r="AE3157">
        <v>-7.3480999999999801</v>
      </c>
      <c r="AF3157">
        <v>-4.9287479359472401</v>
      </c>
      <c r="AG3157">
        <v>-1.1191962692669899</v>
      </c>
      <c r="AH3157">
        <v>15.3631306838925</v>
      </c>
      <c r="AI3157">
        <v>93.968088696221798</v>
      </c>
      <c r="AJ3157">
        <v>107.787105239206</v>
      </c>
      <c r="AK3157">
        <v>16.173154946255998</v>
      </c>
      <c r="AL3157">
        <v>80.504519713233194</v>
      </c>
      <c r="AM3157">
        <v>100.842587536214</v>
      </c>
      <c r="AN3157">
        <v>0.999999979905424</v>
      </c>
    </row>
    <row r="3158" spans="1:40" x14ac:dyDescent="0.25">
      <c r="A3158" t="str">
        <f>"20190304155654292"</f>
        <v>20190304155654292</v>
      </c>
      <c r="B3158" t="str">
        <f>"1551686214287280"</f>
        <v>1551686214287280</v>
      </c>
      <c r="C3158" t="s">
        <v>40</v>
      </c>
      <c r="D3158">
        <v>4.3029789999999997</v>
      </c>
      <c r="E3158">
        <v>0.45926450000000002</v>
      </c>
      <c r="F3158" t="s">
        <v>55</v>
      </c>
      <c r="G3158">
        <v>-469.68060000000003</v>
      </c>
      <c r="H3158" s="1">
        <v>3.7931179999999998E-6</v>
      </c>
      <c r="I3158">
        <v>210.536</v>
      </c>
      <c r="J3158">
        <v>-484.40660000000003</v>
      </c>
      <c r="K3158">
        <v>1.1191799999999901</v>
      </c>
      <c r="L3158">
        <v>218.149</v>
      </c>
      <c r="M3158">
        <v>0.71942899999999999</v>
      </c>
      <c r="N3158">
        <v>-1.316267E-2</v>
      </c>
      <c r="O3158">
        <v>-0.69444130000000004</v>
      </c>
      <c r="P3158">
        <v>0.82472869999999998</v>
      </c>
      <c r="Q3158">
        <v>0.15655069999999999</v>
      </c>
      <c r="R3158">
        <v>-0.54342880000000005</v>
      </c>
      <c r="S3158">
        <v>2.739471</v>
      </c>
      <c r="T3158">
        <v>-0.20543520000000001</v>
      </c>
      <c r="U3158">
        <v>-1.4298550000000001</v>
      </c>
      <c r="V3158">
        <v>-0.1855309</v>
      </c>
      <c r="W3158">
        <v>0.16519979999999901</v>
      </c>
      <c r="X3158">
        <v>0.96865230000000002</v>
      </c>
      <c r="Y3158">
        <v>-0.28138239999999998</v>
      </c>
      <c r="Z3158">
        <v>4.5186589999999999E-2</v>
      </c>
      <c r="AA3158">
        <v>0.95853120000000003</v>
      </c>
      <c r="AB3158">
        <v>27</v>
      </c>
      <c r="AC3158">
        <v>14.726000000000001</v>
      </c>
      <c r="AD3158">
        <v>-1.1191762068819999</v>
      </c>
      <c r="AE3158">
        <v>-7.61300000000002</v>
      </c>
      <c r="AF3158">
        <v>-4.7281905624142304</v>
      </c>
      <c r="AG3158">
        <v>-1.1191762068819999</v>
      </c>
      <c r="AH3158">
        <v>15.8104070669555</v>
      </c>
      <c r="AI3158">
        <v>93.879832860684203</v>
      </c>
      <c r="AJ3158">
        <v>106.64958831876299</v>
      </c>
      <c r="AK3158">
        <v>16.540172701619198</v>
      </c>
      <c r="AL3158">
        <v>80.491158392345397</v>
      </c>
      <c r="AM3158">
        <v>100.842832486118</v>
      </c>
      <c r="AN3158">
        <v>0.99999998353506903</v>
      </c>
    </row>
    <row r="3159" spans="1:40" x14ac:dyDescent="0.25">
      <c r="A3159" t="str">
        <f>"20190304155654314"</f>
        <v>20190304155654314</v>
      </c>
      <c r="B3159" t="str">
        <f>"1551686214307777"</f>
        <v>1551686214307777</v>
      </c>
      <c r="C3159" t="s">
        <v>40</v>
      </c>
      <c r="D3159">
        <v>4.2789679999999999</v>
      </c>
      <c r="E3159">
        <v>0.46076859999999997</v>
      </c>
      <c r="F3159" t="s">
        <v>55</v>
      </c>
      <c r="G3159">
        <v>-469.40100000000001</v>
      </c>
      <c r="H3159" s="1">
        <v>3.648727E-6</v>
      </c>
      <c r="I3159">
        <v>210.4349</v>
      </c>
      <c r="J3159">
        <v>-484.21170000000001</v>
      </c>
      <c r="K3159">
        <v>1.119156</v>
      </c>
      <c r="L3159">
        <v>217.97989999999999</v>
      </c>
      <c r="M3159">
        <v>0.72820209999999996</v>
      </c>
      <c r="N3159">
        <v>-1.316081E-2</v>
      </c>
      <c r="O3159">
        <v>-0.68523619999999996</v>
      </c>
      <c r="P3159">
        <v>0.83099339999999999</v>
      </c>
      <c r="Q3159">
        <v>0.1562906</v>
      </c>
      <c r="R3159">
        <v>-0.53387549999999995</v>
      </c>
      <c r="S3159">
        <v>2.7461850000000001</v>
      </c>
      <c r="T3159">
        <v>-0.20482130000000001</v>
      </c>
      <c r="U3159">
        <v>-1.4117580000000001</v>
      </c>
      <c r="V3159">
        <v>-0.1844047</v>
      </c>
      <c r="W3159">
        <v>0.16497829999999999</v>
      </c>
      <c r="X3159">
        <v>0.96890509999999996</v>
      </c>
      <c r="Y3159">
        <v>-0.27514729999999998</v>
      </c>
      <c r="Z3159">
        <v>4.4490490000000001E-2</v>
      </c>
      <c r="AA3159">
        <v>0.96037209999999995</v>
      </c>
      <c r="AB3159">
        <v>27</v>
      </c>
      <c r="AC3159">
        <v>14.810699999999899</v>
      </c>
      <c r="AD3159">
        <v>-1.1191523512729999</v>
      </c>
      <c r="AE3159">
        <v>-7.5449999999999804</v>
      </c>
      <c r="AF3159">
        <v>-4.6339382924321999</v>
      </c>
      <c r="AG3159">
        <v>-1.1191523512729999</v>
      </c>
      <c r="AH3159">
        <v>15.884659369055401</v>
      </c>
      <c r="AI3159">
        <v>93.869345703589303</v>
      </c>
      <c r="AJ3159">
        <v>106.26323847005899</v>
      </c>
      <c r="AK3159">
        <v>16.5845798666818</v>
      </c>
      <c r="AL3159">
        <v>80.504026248819301</v>
      </c>
      <c r="AM3159">
        <v>100.775814898291</v>
      </c>
      <c r="AN3159">
        <v>1.0000000128294899</v>
      </c>
    </row>
    <row r="3160" spans="1:40" x14ac:dyDescent="0.25">
      <c r="A3160" t="str">
        <f>"20190304155654338"</f>
        <v>20190304155654338</v>
      </c>
      <c r="B3160" t="str">
        <f>"1551686214327296"</f>
        <v>1551686214327296</v>
      </c>
      <c r="C3160" t="s">
        <v>40</v>
      </c>
      <c r="D3160">
        <v>4.3119199999999998</v>
      </c>
      <c r="E3160">
        <v>0.46096809999999999</v>
      </c>
      <c r="F3160" t="s">
        <v>55</v>
      </c>
      <c r="G3160">
        <v>-469.21839999999997</v>
      </c>
      <c r="H3160" s="1">
        <v>3.552166E-6</v>
      </c>
      <c r="I3160">
        <v>210.4212</v>
      </c>
      <c r="J3160">
        <v>-484.00020000000001</v>
      </c>
      <c r="K3160">
        <v>1.1191230000000001</v>
      </c>
      <c r="L3160">
        <v>217.80109999999999</v>
      </c>
      <c r="M3160">
        <v>0.73746040000000002</v>
      </c>
      <c r="N3160">
        <v>-1.315734E-2</v>
      </c>
      <c r="O3160">
        <v>-0.67526189999999997</v>
      </c>
      <c r="P3160">
        <v>0.83768209999999999</v>
      </c>
      <c r="Q3160">
        <v>0.1563312</v>
      </c>
      <c r="R3160">
        <v>-0.5233061</v>
      </c>
      <c r="S3160">
        <v>2.7561650000000002</v>
      </c>
      <c r="T3160">
        <v>-0.20572960000000001</v>
      </c>
      <c r="U3160">
        <v>-1.389481</v>
      </c>
      <c r="V3160">
        <v>-0.18347279999999999</v>
      </c>
      <c r="W3160">
        <v>0.16505220000000001</v>
      </c>
      <c r="X3160">
        <v>0.96906939999999997</v>
      </c>
      <c r="Y3160">
        <v>-0.26965060000000002</v>
      </c>
      <c r="Z3160">
        <v>4.4143929999999998E-2</v>
      </c>
      <c r="AA3160">
        <v>0.96194590000000002</v>
      </c>
      <c r="AB3160">
        <v>27</v>
      </c>
      <c r="AC3160">
        <v>14.7818</v>
      </c>
      <c r="AD3160">
        <v>-1.1191194478340001</v>
      </c>
      <c r="AE3160">
        <v>-7.3798999999999904</v>
      </c>
      <c r="AF3160">
        <v>-4.5188625793792099</v>
      </c>
      <c r="AG3160">
        <v>-1.1191194478340001</v>
      </c>
      <c r="AH3160">
        <v>15.8131810223407</v>
      </c>
      <c r="AI3160">
        <v>93.892826701180695</v>
      </c>
      <c r="AJ3160">
        <v>105.948112108171</v>
      </c>
      <c r="AK3160">
        <v>16.4842118827425</v>
      </c>
      <c r="AL3160">
        <v>80.499733110529903</v>
      </c>
      <c r="AM3160">
        <v>100.720848568026</v>
      </c>
      <c r="AN3160">
        <v>0.99999999954051999</v>
      </c>
    </row>
    <row r="3161" spans="1:40" x14ac:dyDescent="0.25">
      <c r="A3161" t="str">
        <f>"20190304155654361"</f>
        <v>20190304155654361</v>
      </c>
      <c r="B3161" t="str">
        <f>"1551686214357554"</f>
        <v>1551686214357554</v>
      </c>
      <c r="C3161" t="s">
        <v>40</v>
      </c>
      <c r="D3161">
        <v>4.3112519999999996</v>
      </c>
      <c r="E3161">
        <v>0.46998010000000001</v>
      </c>
      <c r="F3161" t="s">
        <v>55</v>
      </c>
      <c r="G3161">
        <v>-468.88900000000001</v>
      </c>
      <c r="H3161" s="1">
        <v>3.3771740000000002E-6</v>
      </c>
      <c r="I3161">
        <v>210.41460000000001</v>
      </c>
      <c r="J3161">
        <v>-483.79629999999997</v>
      </c>
      <c r="K3161">
        <v>1.1190960000000001</v>
      </c>
      <c r="L3161">
        <v>217.63310000000001</v>
      </c>
      <c r="M3161">
        <v>0.74613269999999998</v>
      </c>
      <c r="N3161">
        <v>-1.3153349999999999E-2</v>
      </c>
      <c r="O3161">
        <v>-0.66566749999999997</v>
      </c>
      <c r="P3161">
        <v>0.84370590000000001</v>
      </c>
      <c r="Q3161">
        <v>0.15655150000000001</v>
      </c>
      <c r="R3161">
        <v>-0.51347089999999995</v>
      </c>
      <c r="S3161">
        <v>2.7729189999999999</v>
      </c>
      <c r="T3161">
        <v>-0.20535970000000001</v>
      </c>
      <c r="U3161">
        <v>-1.3554379999999999</v>
      </c>
      <c r="V3161">
        <v>-0.1822377</v>
      </c>
      <c r="W3161">
        <v>0.16531319999999999</v>
      </c>
      <c r="X3161">
        <v>0.96925799999999995</v>
      </c>
      <c r="Y3161">
        <v>-0.26903929999999998</v>
      </c>
      <c r="Z3161">
        <v>4.3620560000000003E-2</v>
      </c>
      <c r="AA3161">
        <v>0.96214089999999997</v>
      </c>
      <c r="AB3161">
        <v>27</v>
      </c>
      <c r="AC3161">
        <v>14.9072999999999</v>
      </c>
      <c r="AD3161">
        <v>-1.1190926228260001</v>
      </c>
      <c r="AE3161">
        <v>-7.2184999999999997</v>
      </c>
      <c r="AF3161">
        <v>-4.5171170777463798</v>
      </c>
      <c r="AG3161">
        <v>-1.1190926228260001</v>
      </c>
      <c r="AH3161">
        <v>15.856932240048501</v>
      </c>
      <c r="AI3161">
        <v>93.882943638135501</v>
      </c>
      <c r="AJ3161">
        <v>105.90050501601</v>
      </c>
      <c r="AK3161">
        <v>16.525707702183901</v>
      </c>
      <c r="AL3161">
        <v>80.484571128348605</v>
      </c>
      <c r="AM3161">
        <v>100.648309513942</v>
      </c>
      <c r="AN3161">
        <v>1.0000000519797601</v>
      </c>
    </row>
    <row r="3162" spans="1:40" x14ac:dyDescent="0.25">
      <c r="A3162" t="str">
        <f>"20190304155654382"</f>
        <v>20190304155654382</v>
      </c>
      <c r="B3162" t="str">
        <f>"1551686214378049"</f>
        <v>1551686214378049</v>
      </c>
      <c r="C3162" t="s">
        <v>40</v>
      </c>
      <c r="D3162">
        <v>4.2638040000000004</v>
      </c>
      <c r="E3162">
        <v>0.47045979999999998</v>
      </c>
      <c r="F3162" t="s">
        <v>55</v>
      </c>
      <c r="G3162">
        <v>-469.28199999999998</v>
      </c>
      <c r="H3162" s="1">
        <v>3.5897659999999998E-6</v>
      </c>
      <c r="I3162">
        <v>210.3356</v>
      </c>
      <c r="J3162">
        <v>-483.5994</v>
      </c>
      <c r="K3162">
        <v>1.1190610000000001</v>
      </c>
      <c r="L3162">
        <v>217.47499999999999</v>
      </c>
      <c r="M3162">
        <v>0.75427129999999998</v>
      </c>
      <c r="N3162">
        <v>-1.314864E-2</v>
      </c>
      <c r="O3162">
        <v>-0.6564314</v>
      </c>
      <c r="P3162">
        <v>0.84931639999999997</v>
      </c>
      <c r="Q3162">
        <v>0.15629189999999901</v>
      </c>
      <c r="R3162">
        <v>-0.50421700000000003</v>
      </c>
      <c r="S3162">
        <v>2.752777</v>
      </c>
      <c r="T3162">
        <v>-0.21224779999999999</v>
      </c>
      <c r="U3162">
        <v>-1.3840479999999999</v>
      </c>
      <c r="V3162">
        <v>-0.1809103</v>
      </c>
      <c r="W3162">
        <v>0.16509589999999999</v>
      </c>
      <c r="X3162">
        <v>0.96954359999999995</v>
      </c>
      <c r="Y3162">
        <v>-0.24627089999999999</v>
      </c>
      <c r="Z3162">
        <v>4.4257810000000002E-2</v>
      </c>
      <c r="AA3162">
        <v>0.96819</v>
      </c>
      <c r="AB3162">
        <v>27</v>
      </c>
      <c r="AC3162">
        <v>14.317399999999999</v>
      </c>
      <c r="AD3162">
        <v>-1.1190574102339901</v>
      </c>
      <c r="AE3162">
        <v>-7.1393999999999904</v>
      </c>
      <c r="AF3162">
        <v>-3.9941513056676099</v>
      </c>
      <c r="AG3162">
        <v>-1.1190574102339901</v>
      </c>
      <c r="AH3162">
        <v>15.4116648337027</v>
      </c>
      <c r="AI3162">
        <v>94.020645213570006</v>
      </c>
      <c r="AJ3162">
        <v>104.529349821628</v>
      </c>
      <c r="AK3162">
        <v>15.960104858250601</v>
      </c>
      <c r="AL3162">
        <v>80.497194390796295</v>
      </c>
      <c r="AM3162">
        <v>100.56945903078901</v>
      </c>
      <c r="AN3162">
        <v>0.99999999257192895</v>
      </c>
    </row>
    <row r="3163" spans="1:40" x14ac:dyDescent="0.25">
      <c r="A3163" t="str">
        <f>"20190304155654403"</f>
        <v>20190304155654403</v>
      </c>
      <c r="B3163" t="str">
        <f>"1551686214397568"</f>
        <v>1551686214397568</v>
      </c>
      <c r="C3163" t="s">
        <v>40</v>
      </c>
      <c r="D3163">
        <v>4.2569900000000001</v>
      </c>
      <c r="E3163">
        <v>0.476993</v>
      </c>
      <c r="F3163" t="s">
        <v>55</v>
      </c>
      <c r="G3163">
        <v>-469.24680000000001</v>
      </c>
      <c r="H3163" s="1">
        <v>3.5664529999999998E-6</v>
      </c>
      <c r="I3163">
        <v>210.4402</v>
      </c>
      <c r="J3163">
        <v>-483.40859999999998</v>
      </c>
      <c r="K3163">
        <v>1.1190260000000001</v>
      </c>
      <c r="L3163">
        <v>217.32550000000001</v>
      </c>
      <c r="M3163">
        <v>0.76194319999999904</v>
      </c>
      <c r="N3163">
        <v>-1.3143230000000001E-2</v>
      </c>
      <c r="O3163">
        <v>-0.64751049999999999</v>
      </c>
      <c r="P3163">
        <v>0.85493960000000002</v>
      </c>
      <c r="Q3163">
        <v>0.15634139999999999</v>
      </c>
      <c r="R3163">
        <v>-0.49460680000000001</v>
      </c>
      <c r="S3163">
        <v>2.7668759999999999</v>
      </c>
      <c r="T3163">
        <v>-0.21573139999999999</v>
      </c>
      <c r="U3163">
        <v>-1.356155</v>
      </c>
      <c r="V3163">
        <v>-0.1804172</v>
      </c>
      <c r="W3163">
        <v>0.16516639999999999</v>
      </c>
      <c r="X3163">
        <v>0.96962340000000002</v>
      </c>
      <c r="Y3163">
        <v>-0.2446507</v>
      </c>
      <c r="Z3163">
        <v>4.462232E-2</v>
      </c>
      <c r="AA3163">
        <v>0.96858390000000005</v>
      </c>
      <c r="AB3163">
        <v>27</v>
      </c>
      <c r="AC3163">
        <v>14.1617999999999</v>
      </c>
      <c r="AD3163">
        <v>-1.119022433547</v>
      </c>
      <c r="AE3163">
        <v>-6.8853</v>
      </c>
      <c r="AF3163">
        <v>-3.90432880865092</v>
      </c>
      <c r="AG3163">
        <v>-1.119022433547</v>
      </c>
      <c r="AH3163">
        <v>15.173482574344201</v>
      </c>
      <c r="AI3163">
        <v>94.085243881146397</v>
      </c>
      <c r="AJ3163">
        <v>104.429897081213</v>
      </c>
      <c r="AK3163">
        <v>15.7076595356142</v>
      </c>
      <c r="AL3163">
        <v>80.493098133447106</v>
      </c>
      <c r="AM3163">
        <v>100.540448728941</v>
      </c>
      <c r="AN3163">
        <v>0.99999992178617603</v>
      </c>
    </row>
    <row r="3164" spans="1:40" x14ac:dyDescent="0.25">
      <c r="A3164" t="str">
        <f>"20190304155654425"</f>
        <v>20190304155654425</v>
      </c>
      <c r="B3164" t="str">
        <f>"1551686214418065"</f>
        <v>1551686214418065</v>
      </c>
      <c r="C3164" t="s">
        <v>40</v>
      </c>
      <c r="D3164">
        <v>4.2681659999999999</v>
      </c>
      <c r="E3164">
        <v>0.47797820000000002</v>
      </c>
      <c r="F3164" t="s">
        <v>55</v>
      </c>
      <c r="G3164">
        <v>-469.37349999999998</v>
      </c>
      <c r="H3164" s="1">
        <v>3.6377229999999999E-6</v>
      </c>
      <c r="I3164">
        <v>210.35169999999999</v>
      </c>
      <c r="J3164">
        <v>-483.2029</v>
      </c>
      <c r="K3164">
        <v>1.119</v>
      </c>
      <c r="L3164">
        <v>217.16810000000001</v>
      </c>
      <c r="M3164">
        <v>0.77</v>
      </c>
      <c r="N3164">
        <v>-1.3136780000000001E-2</v>
      </c>
      <c r="O3164">
        <v>-0.63790880000000005</v>
      </c>
      <c r="P3164">
        <v>0.86080429999999997</v>
      </c>
      <c r="Q3164">
        <v>0.15612789999999999</v>
      </c>
      <c r="R3164">
        <v>-0.4843964</v>
      </c>
      <c r="S3164">
        <v>2.7567750000000002</v>
      </c>
      <c r="T3164">
        <v>-0.21979770000000001</v>
      </c>
      <c r="U3164">
        <v>-1.3697809999999999</v>
      </c>
      <c r="V3164">
        <v>-0.179809</v>
      </c>
      <c r="W3164">
        <v>0.1649755</v>
      </c>
      <c r="X3164">
        <v>0.96976890000000004</v>
      </c>
      <c r="Y3164">
        <v>-0.22719690000000001</v>
      </c>
      <c r="Z3164">
        <v>4.4586760000000003E-2</v>
      </c>
      <c r="AA3164">
        <v>0.97282760000000001</v>
      </c>
      <c r="AB3164">
        <v>27</v>
      </c>
      <c r="AC3164">
        <v>13.8294</v>
      </c>
      <c r="AD3164">
        <v>-1.1189963622770001</v>
      </c>
      <c r="AE3164">
        <v>-6.8164000000000096</v>
      </c>
      <c r="AF3164">
        <v>-3.5548509817399498</v>
      </c>
      <c r="AG3164">
        <v>-1.1189963622770001</v>
      </c>
      <c r="AH3164">
        <v>14.919584141755401</v>
      </c>
      <c r="AI3164">
        <v>94.172873766275501</v>
      </c>
      <c r="AJ3164">
        <v>103.401834018215</v>
      </c>
      <c r="AK3164">
        <v>15.378007326181301</v>
      </c>
      <c r="AL3164">
        <v>80.504188358729394</v>
      </c>
      <c r="AM3164">
        <v>100.504167305083</v>
      </c>
      <c r="AN3164">
        <v>0.99999995574422895</v>
      </c>
    </row>
    <row r="3165" spans="1:40" x14ac:dyDescent="0.25">
      <c r="A3165" t="str">
        <f>"20190304155654448"</f>
        <v>20190304155654448</v>
      </c>
      <c r="B3165" t="str">
        <f>"1551686214437584"</f>
        <v>1551686214437584</v>
      </c>
      <c r="C3165" t="s">
        <v>40</v>
      </c>
      <c r="D3165">
        <v>4.2750430000000001</v>
      </c>
      <c r="E3165">
        <v>0.47858879999999998</v>
      </c>
      <c r="F3165" t="s">
        <v>55</v>
      </c>
      <c r="G3165">
        <v>-469.21030000000002</v>
      </c>
      <c r="H3165" s="1">
        <v>3.5495160000000001E-6</v>
      </c>
      <c r="I3165">
        <v>210.3827</v>
      </c>
      <c r="J3165">
        <v>-482.99549999999999</v>
      </c>
      <c r="K3165">
        <v>1.1189709999999999</v>
      </c>
      <c r="L3165">
        <v>217.01349999999999</v>
      </c>
      <c r="M3165">
        <v>0.77789830000000004</v>
      </c>
      <c r="N3165">
        <v>-1.3130559999999999E-2</v>
      </c>
      <c r="O3165">
        <v>-0.62825299999999995</v>
      </c>
      <c r="P3165">
        <v>0.86644359999999998</v>
      </c>
      <c r="Q3165">
        <v>0.1572141</v>
      </c>
      <c r="R3165">
        <v>-0.47387659999999998</v>
      </c>
      <c r="S3165">
        <v>2.7695310000000002</v>
      </c>
      <c r="T3165">
        <v>-0.22148139999999999</v>
      </c>
      <c r="U3165">
        <v>-1.343018</v>
      </c>
      <c r="V3165">
        <v>-0.1794096</v>
      </c>
      <c r="W3165">
        <v>0.16607539999999901</v>
      </c>
      <c r="X3165">
        <v>0.96965520000000005</v>
      </c>
      <c r="Y3165">
        <v>-0.22441159999999999</v>
      </c>
      <c r="Z3165">
        <v>4.4406689999999999E-2</v>
      </c>
      <c r="AA3165">
        <v>0.97348210000000002</v>
      </c>
      <c r="AB3165">
        <v>27</v>
      </c>
      <c r="AC3165">
        <v>13.7851999999999</v>
      </c>
      <c r="AD3165">
        <v>-1.1189674504839999</v>
      </c>
      <c r="AE3165">
        <v>-6.63079999999999</v>
      </c>
      <c r="AF3165">
        <v>-3.4841640288938298</v>
      </c>
      <c r="AG3165">
        <v>-1.1189674504839999</v>
      </c>
      <c r="AH3165">
        <v>14.811334478922801</v>
      </c>
      <c r="AI3165">
        <v>94.206001262628604</v>
      </c>
      <c r="AJ3165">
        <v>103.23738281105599</v>
      </c>
      <c r="AK3165">
        <v>15.256707252287701</v>
      </c>
      <c r="AL3165">
        <v>80.440287909687996</v>
      </c>
      <c r="AM3165">
        <v>100.482554374941</v>
      </c>
      <c r="AN3165">
        <v>1.0000000249721701</v>
      </c>
    </row>
    <row r="3166" spans="1:40" x14ac:dyDescent="0.25">
      <c r="A3166" t="str">
        <f>"20190304155654470"</f>
        <v>20190304155654470</v>
      </c>
      <c r="B3166" t="str">
        <f>"1551686214467841"</f>
        <v>1551686214467841</v>
      </c>
      <c r="C3166" t="s">
        <v>40</v>
      </c>
      <c r="D3166">
        <v>4.319655</v>
      </c>
      <c r="E3166">
        <v>0.4790954</v>
      </c>
      <c r="F3166" t="s">
        <v>55</v>
      </c>
      <c r="G3166">
        <v>-468.74529999999999</v>
      </c>
      <c r="H3166" s="1">
        <v>3.3061520000000002E-6</v>
      </c>
      <c r="I3166">
        <v>210.28989999999999</v>
      </c>
      <c r="J3166">
        <v>-482.78449999999998</v>
      </c>
      <c r="K3166">
        <v>1.1189499999999999</v>
      </c>
      <c r="L3166">
        <v>216.86019999999999</v>
      </c>
      <c r="M3166">
        <v>0.78572120000000001</v>
      </c>
      <c r="N3166">
        <v>-1.312514E-2</v>
      </c>
      <c r="O3166">
        <v>-0.61844180000000004</v>
      </c>
      <c r="P3166">
        <v>0.87164279999999905</v>
      </c>
      <c r="Q3166">
        <v>0.15783939999999999</v>
      </c>
      <c r="R3166">
        <v>-0.46403220000000001</v>
      </c>
      <c r="S3166">
        <v>2.783722</v>
      </c>
      <c r="T3166">
        <v>-0.21858620000000001</v>
      </c>
      <c r="U3166">
        <v>-1.313431</v>
      </c>
      <c r="V3166">
        <v>-0.17815719999999999</v>
      </c>
      <c r="W3166">
        <v>0.16673370000000001</v>
      </c>
      <c r="X3166">
        <v>0.96977310000000005</v>
      </c>
      <c r="Y3166">
        <v>-0.22262190000000001</v>
      </c>
      <c r="Z3166">
        <v>4.3184880000000002E-2</v>
      </c>
      <c r="AA3166">
        <v>0.97394789999999998</v>
      </c>
      <c r="AB3166">
        <v>27</v>
      </c>
      <c r="AC3166">
        <v>14.0391999999999</v>
      </c>
      <c r="AD3166">
        <v>-1.1189466938479999</v>
      </c>
      <c r="AE3166">
        <v>-6.5702999999999996</v>
      </c>
      <c r="AF3166">
        <v>-3.5020574665153399</v>
      </c>
      <c r="AG3166">
        <v>-1.1189466938479999</v>
      </c>
      <c r="AH3166">
        <v>15.0172876032586</v>
      </c>
      <c r="AI3166">
        <v>94.150312540829006</v>
      </c>
      <c r="AJ3166">
        <v>103.12687117739399</v>
      </c>
      <c r="AK3166">
        <v>15.4607689058932</v>
      </c>
      <c r="AL3166">
        <v>80.4020364462</v>
      </c>
      <c r="AM3166">
        <v>100.409746547247</v>
      </c>
      <c r="AN3166">
        <v>0.99999999005557005</v>
      </c>
    </row>
    <row r="3167" spans="1:40" x14ac:dyDescent="0.25">
      <c r="A3167" t="str">
        <f>"20190304155654492"</f>
        <v>20190304155654492</v>
      </c>
      <c r="B3167" t="str">
        <f>"1551686214487361"</f>
        <v>1551686214487361</v>
      </c>
      <c r="C3167" t="s">
        <v>40</v>
      </c>
      <c r="D3167">
        <v>4.2371569999999998</v>
      </c>
      <c r="E3167">
        <v>0.45505760000000001</v>
      </c>
      <c r="F3167" t="s">
        <v>55</v>
      </c>
      <c r="G3167">
        <v>-468.577</v>
      </c>
      <c r="H3167" s="1">
        <v>3.2144940000000001E-6</v>
      </c>
      <c r="I3167">
        <v>210.3374</v>
      </c>
      <c r="J3167">
        <v>-482.57389999999998</v>
      </c>
      <c r="K3167">
        <v>1.1189450000000001</v>
      </c>
      <c r="L3167">
        <v>216.7114</v>
      </c>
      <c r="M3167">
        <v>0.79332139999999995</v>
      </c>
      <c r="N3167">
        <v>-1.312084E-2</v>
      </c>
      <c r="O3167">
        <v>-0.60866180000000003</v>
      </c>
      <c r="P3167">
        <v>0.87708770000000003</v>
      </c>
      <c r="Q3167">
        <v>0.15741479999999999</v>
      </c>
      <c r="R3167">
        <v>-0.45380389999999998</v>
      </c>
      <c r="S3167">
        <v>2.797882</v>
      </c>
      <c r="T3167">
        <v>-0.2203531</v>
      </c>
      <c r="U3167">
        <v>-1.2845310000000001</v>
      </c>
      <c r="V3167">
        <v>-0.17751889999999901</v>
      </c>
      <c r="W3167">
        <v>0.166327</v>
      </c>
      <c r="X3167">
        <v>0.96996000000000004</v>
      </c>
      <c r="Y3167">
        <v>-0.22071959999999999</v>
      </c>
      <c r="Z3167">
        <v>4.3016819999999997E-2</v>
      </c>
      <c r="AA3167">
        <v>0.97438820000000004</v>
      </c>
      <c r="AB3167">
        <v>27</v>
      </c>
      <c r="AC3167">
        <v>13.996899999999901</v>
      </c>
      <c r="AD3167">
        <v>-1.118941785506</v>
      </c>
      <c r="AE3167">
        <v>-6.3739999999999899</v>
      </c>
      <c r="AF3167">
        <v>-3.4448118644594601</v>
      </c>
      <c r="AG3167">
        <v>-1.118941785506</v>
      </c>
      <c r="AH3167">
        <v>14.9060402956259</v>
      </c>
      <c r="AI3167">
        <v>94.183087306860401</v>
      </c>
      <c r="AJ3167">
        <v>103.012703634443</v>
      </c>
      <c r="AK3167">
        <v>15.339778251190401</v>
      </c>
      <c r="AL3167">
        <v>80.425668884816105</v>
      </c>
      <c r="AM3167">
        <v>100.37130625111099</v>
      </c>
      <c r="AN3167">
        <v>1.0000000161931</v>
      </c>
    </row>
    <row r="3168" spans="1:40" x14ac:dyDescent="0.25">
      <c r="A3168" t="str">
        <f>"20190304155654514"</f>
        <v>20190304155654514</v>
      </c>
      <c r="B3168" t="str">
        <f>"1551686214507857"</f>
        <v>1551686214507857</v>
      </c>
      <c r="C3168" t="s">
        <v>40</v>
      </c>
      <c r="D3168">
        <v>4.2560289999999998</v>
      </c>
      <c r="E3168">
        <v>0.44854769999999999</v>
      </c>
      <c r="F3168" t="s">
        <v>55</v>
      </c>
      <c r="G3168">
        <v>-468.94279999999998</v>
      </c>
      <c r="H3168" s="1">
        <v>3.3527239999999999E-6</v>
      </c>
      <c r="I3168">
        <v>211.62880000000001</v>
      </c>
      <c r="J3168">
        <v>-482.35469999999998</v>
      </c>
      <c r="K3168">
        <v>1.1189389999999999</v>
      </c>
      <c r="L3168">
        <v>216.56059999999999</v>
      </c>
      <c r="M3168">
        <v>0.80102850000000003</v>
      </c>
      <c r="N3168">
        <v>-1.311706E-2</v>
      </c>
      <c r="O3168">
        <v>-0.59848269999999903</v>
      </c>
      <c r="P3168">
        <v>0.88230109999999995</v>
      </c>
      <c r="Q3168">
        <v>0.15831389999999901</v>
      </c>
      <c r="R3168">
        <v>-0.44326260000000001</v>
      </c>
      <c r="S3168">
        <v>2.9031069999999999</v>
      </c>
      <c r="T3168">
        <v>-0.23830870000000001</v>
      </c>
      <c r="U3168">
        <v>-1.082489</v>
      </c>
      <c r="V3168">
        <v>-0.17667369999999999</v>
      </c>
      <c r="W3168">
        <v>0.16724520000000001</v>
      </c>
      <c r="X3168">
        <v>0.96995640000000005</v>
      </c>
      <c r="Y3168">
        <v>-0.27904319999999999</v>
      </c>
      <c r="Z3168">
        <v>4.8362040000000002E-2</v>
      </c>
      <c r="AA3168">
        <v>0.95906000000000002</v>
      </c>
      <c r="AB3168">
        <v>27</v>
      </c>
      <c r="AC3168">
        <v>13.411899999999999</v>
      </c>
      <c r="AD3168">
        <v>-1.1189356472759999</v>
      </c>
      <c r="AE3168">
        <v>-4.9317999999999804</v>
      </c>
      <c r="AF3168">
        <v>-4.0517853524574896</v>
      </c>
      <c r="AG3168">
        <v>-1.1189356472759999</v>
      </c>
      <c r="AH3168">
        <v>13.6126249082262</v>
      </c>
      <c r="AI3168">
        <v>94.504603792505605</v>
      </c>
      <c r="AJ3168">
        <v>106.575588736502</v>
      </c>
      <c r="AK3168">
        <v>14.2468431035509</v>
      </c>
      <c r="AL3168">
        <v>80.372312244167105</v>
      </c>
      <c r="AM3168">
        <v>100.32302820731699</v>
      </c>
      <c r="AN3168">
        <v>0.99999998554784497</v>
      </c>
    </row>
    <row r="3169" spans="1:40" x14ac:dyDescent="0.25">
      <c r="A3169" t="str">
        <f>"20190304155654539"</f>
        <v>20190304155654539</v>
      </c>
      <c r="B3169" t="str">
        <f>"1551686214527377"</f>
        <v>1551686214527377</v>
      </c>
      <c r="C3169" t="s">
        <v>40</v>
      </c>
      <c r="D3169">
        <v>4.3061879999999997</v>
      </c>
      <c r="E3169">
        <v>0.44602360000000002</v>
      </c>
      <c r="F3169" t="s">
        <v>55</v>
      </c>
      <c r="G3169">
        <v>-467.1635</v>
      </c>
      <c r="H3169" s="1">
        <v>2.4166599999999998E-6</v>
      </c>
      <c r="I3169">
        <v>211.38229999999999</v>
      </c>
      <c r="J3169">
        <v>-482.12349999999998</v>
      </c>
      <c r="K3169">
        <v>1.11894</v>
      </c>
      <c r="L3169">
        <v>216.40600000000001</v>
      </c>
      <c r="M3169">
        <v>0.80893809999999999</v>
      </c>
      <c r="N3169">
        <v>-1.3115969999999999E-2</v>
      </c>
      <c r="O3169">
        <v>-0.58774759999999904</v>
      </c>
      <c r="P3169">
        <v>0.88749169999999999</v>
      </c>
      <c r="Q3169">
        <v>0.15902849999999999</v>
      </c>
      <c r="R3169">
        <v>-0.43251430000000002</v>
      </c>
      <c r="S3169">
        <v>2.9361269999999999</v>
      </c>
      <c r="T3169">
        <v>-0.21626699999999999</v>
      </c>
      <c r="U3169">
        <v>-1.0008539999999999</v>
      </c>
      <c r="V3169">
        <v>-0.175455</v>
      </c>
      <c r="W3169">
        <v>0.1679889</v>
      </c>
      <c r="X3169">
        <v>0.9700491</v>
      </c>
      <c r="Y3169">
        <v>-0.29377609999999998</v>
      </c>
      <c r="Z3169">
        <v>4.3271280000000002E-2</v>
      </c>
      <c r="AA3169">
        <v>0.95489440000000003</v>
      </c>
      <c r="AB3169">
        <v>27</v>
      </c>
      <c r="AC3169">
        <v>14.9599999999999</v>
      </c>
      <c r="AD3169">
        <v>-1.1189375833399999</v>
      </c>
      <c r="AE3169">
        <v>-5.0236999999999901</v>
      </c>
      <c r="AF3169">
        <v>-4.7055913561850398</v>
      </c>
      <c r="AG3169">
        <v>-1.1189375833399999</v>
      </c>
      <c r="AH3169">
        <v>14.9803633642018</v>
      </c>
      <c r="AI3169">
        <v>94.076045851967294</v>
      </c>
      <c r="AJ3169">
        <v>107.438406237373</v>
      </c>
      <c r="AK3169">
        <v>15.7418517922871</v>
      </c>
      <c r="AL3169">
        <v>80.329089931705994</v>
      </c>
      <c r="AM3169">
        <v>100.252376277015</v>
      </c>
      <c r="AN3169">
        <v>0.99999999197950995</v>
      </c>
    </row>
    <row r="3170" spans="1:40" x14ac:dyDescent="0.25">
      <c r="A3170" t="str">
        <f>"20190304155654562"</f>
        <v>20190304155654562</v>
      </c>
      <c r="B3170" t="str">
        <f>"1551686214557633"</f>
        <v>1551686214557633</v>
      </c>
      <c r="C3170" t="s">
        <v>40</v>
      </c>
      <c r="D3170">
        <v>4.2670450000000004</v>
      </c>
      <c r="E3170">
        <v>0.44540020000000002</v>
      </c>
      <c r="F3170" t="s">
        <v>55</v>
      </c>
      <c r="G3170">
        <v>-465.3596</v>
      </c>
      <c r="H3170" s="1">
        <v>1.4717799999999999E-6</v>
      </c>
      <c r="I3170">
        <v>211.03729999999999</v>
      </c>
      <c r="J3170">
        <v>-481.90159999999997</v>
      </c>
      <c r="K3170">
        <v>1.1189309999999999</v>
      </c>
      <c r="L3170">
        <v>216.26150000000001</v>
      </c>
      <c r="M3170">
        <v>0.81633389999999995</v>
      </c>
      <c r="N3170">
        <v>-1.312077E-2</v>
      </c>
      <c r="O3170">
        <v>-0.57743120000000003</v>
      </c>
      <c r="P3170">
        <v>0.89253130000000003</v>
      </c>
      <c r="Q3170">
        <v>0.1592567</v>
      </c>
      <c r="R3170">
        <v>-0.42193049999999999</v>
      </c>
      <c r="S3170">
        <v>2.954529</v>
      </c>
      <c r="T3170">
        <v>-0.1972054</v>
      </c>
      <c r="U3170">
        <v>-0.94619750000000002</v>
      </c>
      <c r="V3170">
        <v>-0.17465449999999999</v>
      </c>
      <c r="W3170">
        <v>0.16824229999999901</v>
      </c>
      <c r="X3170">
        <v>0.97014959999999995</v>
      </c>
      <c r="Y3170">
        <v>-0.29967830000000001</v>
      </c>
      <c r="Z3170">
        <v>3.8685560000000001E-2</v>
      </c>
      <c r="AA3170">
        <v>0.95325570000000004</v>
      </c>
      <c r="AB3170">
        <v>27</v>
      </c>
      <c r="AC3170">
        <v>16.541999999999899</v>
      </c>
      <c r="AD3170">
        <v>-1.11892952821999</v>
      </c>
      <c r="AE3170">
        <v>-5.2242000000000202</v>
      </c>
      <c r="AF3170">
        <v>-5.2657228051388003</v>
      </c>
      <c r="AG3170">
        <v>-1.11892952821999</v>
      </c>
      <c r="AH3170">
        <v>16.4533804077643</v>
      </c>
      <c r="AI3170">
        <v>93.705864252983204</v>
      </c>
      <c r="AJ3170">
        <v>107.746696657492</v>
      </c>
      <c r="AK3170">
        <v>17.311659850871699</v>
      </c>
      <c r="AL3170">
        <v>80.314361205707897</v>
      </c>
      <c r="AM3170">
        <v>100.205550977212</v>
      </c>
      <c r="AN3170">
        <v>0.99999995612984804</v>
      </c>
    </row>
    <row r="3171" spans="1:40" x14ac:dyDescent="0.25">
      <c r="A3171" t="str">
        <f>"20190304155654583"</f>
        <v>20190304155654583</v>
      </c>
      <c r="B3171" t="str">
        <f>"1551686214577997"</f>
        <v>1551686214577997</v>
      </c>
      <c r="C3171" t="s">
        <v>40</v>
      </c>
      <c r="D3171">
        <v>4.2668429999999997</v>
      </c>
      <c r="E3171">
        <v>0.44576070000000001</v>
      </c>
      <c r="F3171" t="s">
        <v>55</v>
      </c>
      <c r="G3171">
        <v>-464.05799999999999</v>
      </c>
      <c r="H3171" s="1">
        <v>7.8903939999999997E-7</v>
      </c>
      <c r="I3171">
        <v>210.81039999999999</v>
      </c>
      <c r="J3171">
        <v>-481.6902</v>
      </c>
      <c r="K3171">
        <v>1.1189249999999999</v>
      </c>
      <c r="L3171">
        <v>216.1276</v>
      </c>
      <c r="M3171">
        <v>0.823200499999999</v>
      </c>
      <c r="N3171">
        <v>-1.3131139999999999E-2</v>
      </c>
      <c r="O3171">
        <v>-0.56759939999999998</v>
      </c>
      <c r="P3171">
        <v>0.89747069999999995</v>
      </c>
      <c r="Q3171">
        <v>0.1588628</v>
      </c>
      <c r="R3171">
        <v>-0.411472</v>
      </c>
      <c r="S3171">
        <v>2.9660950000000001</v>
      </c>
      <c r="T3171">
        <v>-0.1859971</v>
      </c>
      <c r="U3171">
        <v>-0.90612789999999999</v>
      </c>
      <c r="V3171">
        <v>-0.17438499999999901</v>
      </c>
      <c r="W3171">
        <v>0.16786719999999999</v>
      </c>
      <c r="X3171">
        <v>0.97026310000000004</v>
      </c>
      <c r="Y3171">
        <v>-0.30121300000000001</v>
      </c>
      <c r="Z3171">
        <v>3.5829399999999997E-2</v>
      </c>
      <c r="AA3171">
        <v>0.95288349999999999</v>
      </c>
      <c r="AB3171">
        <v>27</v>
      </c>
      <c r="AC3171">
        <v>17.632199999999902</v>
      </c>
      <c r="AD3171">
        <v>-1.1189242109605999</v>
      </c>
      <c r="AE3171">
        <v>-5.3172000000000104</v>
      </c>
      <c r="AF3171">
        <v>-5.6106772738178599</v>
      </c>
      <c r="AG3171">
        <v>-1.1189242109605999</v>
      </c>
      <c r="AH3171">
        <v>17.4698943097921</v>
      </c>
      <c r="AI3171">
        <v>93.489628312152405</v>
      </c>
      <c r="AJ3171">
        <v>107.805077583168</v>
      </c>
      <c r="AK3171">
        <v>18.382842491195898</v>
      </c>
      <c r="AL3171">
        <v>80.336163393538001</v>
      </c>
      <c r="AM3171">
        <v>100.188966513864</v>
      </c>
      <c r="AN3171">
        <v>1.00000000414122</v>
      </c>
    </row>
    <row r="3172" spans="1:40" x14ac:dyDescent="0.25">
      <c r="A3172" t="str">
        <f>"20190304155654605"</f>
        <v>20190304155654605</v>
      </c>
      <c r="B3172" t="str">
        <f>"1551686214597517"</f>
        <v>1551686214597517</v>
      </c>
      <c r="C3172" t="s">
        <v>40</v>
      </c>
      <c r="D3172">
        <v>4.2678529999999997</v>
      </c>
      <c r="E3172">
        <v>0.44637369999999998</v>
      </c>
      <c r="F3172" t="s">
        <v>55</v>
      </c>
      <c r="G3172">
        <v>-463.75290000000001</v>
      </c>
      <c r="H3172" s="1">
        <v>6.2470240000000005E-7</v>
      </c>
      <c r="I3172">
        <v>210.8553</v>
      </c>
      <c r="J3172">
        <v>-481.47160000000002</v>
      </c>
      <c r="K3172">
        <v>1.1189229999999999</v>
      </c>
      <c r="L3172">
        <v>215.99279999999999</v>
      </c>
      <c r="M3172">
        <v>0.83012839999999999</v>
      </c>
      <c r="N3172">
        <v>-1.315035E-2</v>
      </c>
      <c r="O3172">
        <v>-0.5574173</v>
      </c>
      <c r="P3172">
        <v>0.90255019999999997</v>
      </c>
      <c r="Q3172">
        <v>0.1585645</v>
      </c>
      <c r="R3172">
        <v>-0.4003253</v>
      </c>
      <c r="S3172">
        <v>2.974701</v>
      </c>
      <c r="T3172">
        <v>-0.18556030000000001</v>
      </c>
      <c r="U3172">
        <v>-0.87434389999999995</v>
      </c>
      <c r="V3172">
        <v>-0.17447299999999999</v>
      </c>
      <c r="W3172">
        <v>0.1675874</v>
      </c>
      <c r="X3172">
        <v>0.97029569999999998</v>
      </c>
      <c r="Y3172">
        <v>-0.29960239999999999</v>
      </c>
      <c r="Z3172">
        <v>3.5286169999999999E-2</v>
      </c>
      <c r="AA3172">
        <v>0.95341140000000002</v>
      </c>
      <c r="AB3172">
        <v>27</v>
      </c>
      <c r="AC3172">
        <v>17.718699999999998</v>
      </c>
      <c r="AD3172">
        <v>-1.1189223752976001</v>
      </c>
      <c r="AE3172">
        <v>-5.1374999999999797</v>
      </c>
      <c r="AF3172">
        <v>-5.59184019975174</v>
      </c>
      <c r="AG3172">
        <v>-1.1189223752976001</v>
      </c>
      <c r="AH3172">
        <v>17.509635452131398</v>
      </c>
      <c r="AI3172">
        <v>93.483542979709199</v>
      </c>
      <c r="AJ3172">
        <v>107.711292493058</v>
      </c>
      <c r="AK3172">
        <v>18.414885222776601</v>
      </c>
      <c r="AL3172">
        <v>80.352425620002805</v>
      </c>
      <c r="AM3172">
        <v>100.193665066058</v>
      </c>
      <c r="AN3172">
        <v>1.0000000549031201</v>
      </c>
    </row>
    <row r="3173" spans="1:40" x14ac:dyDescent="0.25">
      <c r="A3173" t="str">
        <f>"20190304155654626"</f>
        <v>20190304155654626</v>
      </c>
      <c r="B3173" t="str">
        <f>"1551686214618013"</f>
        <v>1551686214618013</v>
      </c>
      <c r="C3173" t="s">
        <v>40</v>
      </c>
      <c r="D3173">
        <v>4.3062930000000001</v>
      </c>
      <c r="E3173">
        <v>0.44710329999999898</v>
      </c>
      <c r="F3173" t="s">
        <v>55</v>
      </c>
      <c r="G3173">
        <v>-463.43740000000003</v>
      </c>
      <c r="H3173" s="1">
        <v>4.5497670000000001E-7</v>
      </c>
      <c r="I3173">
        <v>210.89769999999999</v>
      </c>
      <c r="J3173">
        <v>-481.25450000000001</v>
      </c>
      <c r="K3173">
        <v>1.1189309999999999</v>
      </c>
      <c r="L3173">
        <v>215.86250000000001</v>
      </c>
      <c r="M3173">
        <v>0.83683069999999904</v>
      </c>
      <c r="N3173">
        <v>-1.3179379999999999E-2</v>
      </c>
      <c r="O3173">
        <v>-0.54730330000000005</v>
      </c>
      <c r="P3173">
        <v>0.90732570000000001</v>
      </c>
      <c r="Q3173">
        <v>0.15873860000000001</v>
      </c>
      <c r="R3173">
        <v>-0.3893102</v>
      </c>
      <c r="S3173">
        <v>2.9826969999999999</v>
      </c>
      <c r="T3173">
        <v>-0.18506049999999999</v>
      </c>
      <c r="U3173">
        <v>-0.84268189999999998</v>
      </c>
      <c r="V3173">
        <v>-0.17449600000000001</v>
      </c>
      <c r="W3173">
        <v>0.167791</v>
      </c>
      <c r="X3173">
        <v>0.97025629999999996</v>
      </c>
      <c r="Y3173">
        <v>-0.29808319999999999</v>
      </c>
      <c r="Z3173">
        <v>3.4733340000000001E-2</v>
      </c>
      <c r="AA3173">
        <v>0.95390779999999997</v>
      </c>
      <c r="AB3173">
        <v>27</v>
      </c>
      <c r="AC3173">
        <v>17.8170999999999</v>
      </c>
      <c r="AD3173">
        <v>-1.11893054502329</v>
      </c>
      <c r="AE3173">
        <v>-4.9648000000000199</v>
      </c>
      <c r="AF3173">
        <v>-5.5767364310987899</v>
      </c>
      <c r="AG3173">
        <v>-1.11893054502329</v>
      </c>
      <c r="AH3173">
        <v>17.5643949663379</v>
      </c>
      <c r="AI3173">
        <v>93.474593391764103</v>
      </c>
      <c r="AJ3173">
        <v>107.61476488283</v>
      </c>
      <c r="AK3173">
        <v>18.462393271730601</v>
      </c>
      <c r="AL3173">
        <v>80.340591920256998</v>
      </c>
      <c r="AM3173">
        <v>100.19538598080401</v>
      </c>
      <c r="AN3173">
        <v>0.99999998069334395</v>
      </c>
    </row>
    <row r="3174" spans="1:40" x14ac:dyDescent="0.25">
      <c r="A3174" t="str">
        <f>"20190304155654652"</f>
        <v>20190304155654652</v>
      </c>
      <c r="B3174" t="str">
        <f>"1551686214648269"</f>
        <v>1551686214648269</v>
      </c>
      <c r="C3174" t="s">
        <v>40</v>
      </c>
      <c r="D3174">
        <v>4.3659819999999998</v>
      </c>
      <c r="E3174">
        <v>0.4482448</v>
      </c>
      <c r="F3174" t="s">
        <v>55</v>
      </c>
      <c r="G3174">
        <v>-463.28870000000001</v>
      </c>
      <c r="H3174" s="1">
        <v>3.7260129999999999E-7</v>
      </c>
      <c r="I3174">
        <v>210.97200000000001</v>
      </c>
      <c r="J3174">
        <v>-481.01310000000001</v>
      </c>
      <c r="K3174">
        <v>1.1189420000000001</v>
      </c>
      <c r="L3174">
        <v>215.7218</v>
      </c>
      <c r="M3174">
        <v>0.84408280000000002</v>
      </c>
      <c r="N3174">
        <v>-1.322808E-2</v>
      </c>
      <c r="O3174">
        <v>-0.53605000000000003</v>
      </c>
      <c r="P3174">
        <v>0.91206299999999996</v>
      </c>
      <c r="Q3174">
        <v>0.15892149999999999</v>
      </c>
      <c r="R3174">
        <v>-0.37800149999999999</v>
      </c>
      <c r="S3174">
        <v>2.9898380000000002</v>
      </c>
      <c r="T3174">
        <v>-0.1862105</v>
      </c>
      <c r="U3174">
        <v>-0.81387330000000002</v>
      </c>
      <c r="V3174">
        <v>-0.1735495</v>
      </c>
      <c r="W3174">
        <v>0.1680458</v>
      </c>
      <c r="X3174">
        <v>0.97038199999999997</v>
      </c>
      <c r="Y3174">
        <v>-0.29443750000000002</v>
      </c>
      <c r="Z3174">
        <v>3.4407130000000001E-2</v>
      </c>
      <c r="AA3174">
        <v>0.95505110000000004</v>
      </c>
      <c r="AB3174">
        <v>27</v>
      </c>
      <c r="AC3174">
        <v>17.724399999999999</v>
      </c>
      <c r="AD3174">
        <v>-1.1189416273987001</v>
      </c>
      <c r="AE3174">
        <v>-4.7497999999999898</v>
      </c>
      <c r="AF3174">
        <v>-5.47207252886591</v>
      </c>
      <c r="AG3174">
        <v>-1.1189416273987001</v>
      </c>
      <c r="AH3174">
        <v>17.4436582893698</v>
      </c>
      <c r="AI3174">
        <v>93.502428765440698</v>
      </c>
      <c r="AJ3174">
        <v>107.416631967649</v>
      </c>
      <c r="AK3174">
        <v>18.316026387920299</v>
      </c>
      <c r="AL3174">
        <v>80.325783089459804</v>
      </c>
      <c r="AM3174">
        <v>100.13994865312</v>
      </c>
      <c r="AN3174">
        <v>1.00000002288594</v>
      </c>
    </row>
    <row r="3175" spans="1:40" x14ac:dyDescent="0.25">
      <c r="A3175" t="str">
        <f>"20190304155654673"</f>
        <v>20190304155654673</v>
      </c>
      <c r="B3175" t="str">
        <f>"1551686214667788"</f>
        <v>1551686214667788</v>
      </c>
      <c r="C3175" t="s">
        <v>40</v>
      </c>
      <c r="D3175">
        <v>4.3043430000000003</v>
      </c>
      <c r="E3175">
        <v>0.4602695</v>
      </c>
      <c r="F3175" t="s">
        <v>55</v>
      </c>
      <c r="G3175">
        <v>-463.00349999999997</v>
      </c>
      <c r="H3175" s="1">
        <v>2.197672E-7</v>
      </c>
      <c r="I3175">
        <v>210.99619999999999</v>
      </c>
      <c r="J3175">
        <v>-480.78440000000001</v>
      </c>
      <c r="K3175">
        <v>1.1189480000000001</v>
      </c>
      <c r="L3175">
        <v>215.59280000000001</v>
      </c>
      <c r="M3175">
        <v>0.85076229999999997</v>
      </c>
      <c r="N3175">
        <v>-1.3294210000000001E-2</v>
      </c>
      <c r="O3175">
        <v>-0.52538249999999997</v>
      </c>
      <c r="P3175">
        <v>0.91625809999999996</v>
      </c>
      <c r="Q3175">
        <v>0.15947839999999999</v>
      </c>
      <c r="R3175">
        <v>-0.36747479999999999</v>
      </c>
      <c r="S3175">
        <v>2.9958800000000001</v>
      </c>
      <c r="T3175">
        <v>-0.18613479999999999</v>
      </c>
      <c r="U3175">
        <v>-0.78610230000000003</v>
      </c>
      <c r="V3175">
        <v>-0.1724658</v>
      </c>
      <c r="W3175">
        <v>0.16869489999999901</v>
      </c>
      <c r="X3175">
        <v>0.97046259999999995</v>
      </c>
      <c r="Y3175">
        <v>-0.29117749999999998</v>
      </c>
      <c r="Z3175">
        <v>3.384765E-2</v>
      </c>
      <c r="AA3175">
        <v>0.95607010000000003</v>
      </c>
      <c r="AB3175">
        <v>26</v>
      </c>
      <c r="AC3175">
        <v>17.780899999999999</v>
      </c>
      <c r="AD3175">
        <v>-1.1189477802328001</v>
      </c>
      <c r="AE3175">
        <v>-4.59660000000002</v>
      </c>
      <c r="AF3175">
        <v>-5.4115516042285403</v>
      </c>
      <c r="AG3175">
        <v>-1.1189477802328001</v>
      </c>
      <c r="AH3175">
        <v>17.478959686035601</v>
      </c>
      <c r="AI3175">
        <v>93.499451069544804</v>
      </c>
      <c r="AJ3175">
        <v>107.202721348125</v>
      </c>
      <c r="AK3175">
        <v>18.3316929552667</v>
      </c>
      <c r="AL3175">
        <v>80.2880539332251</v>
      </c>
      <c r="AM3175">
        <v>100.077113479594</v>
      </c>
      <c r="AN3175">
        <v>1.0000000397272</v>
      </c>
    </row>
    <row r="3176" spans="1:40" x14ac:dyDescent="0.25">
      <c r="A3176" t="str">
        <f>"20190304155654696"</f>
        <v>20190304155654696</v>
      </c>
      <c r="B3176" t="str">
        <f>"1551686214688285"</f>
        <v>1551686214688285</v>
      </c>
      <c r="C3176" t="s">
        <v>40</v>
      </c>
      <c r="D3176">
        <v>4.30762</v>
      </c>
      <c r="E3176">
        <v>0.46172619999999998</v>
      </c>
      <c r="F3176" t="s">
        <v>55</v>
      </c>
      <c r="G3176">
        <v>-462.17849999999999</v>
      </c>
      <c r="H3176" s="1">
        <v>-1.898327E-7</v>
      </c>
      <c r="I3176">
        <v>210.3229</v>
      </c>
      <c r="J3176">
        <v>-480.55619999999999</v>
      </c>
      <c r="K3176">
        <v>1.1189549999999999</v>
      </c>
      <c r="L3176">
        <v>215.4676</v>
      </c>
      <c r="M3176">
        <v>0.85724829999999996</v>
      </c>
      <c r="N3176">
        <v>-1.336919E-2</v>
      </c>
      <c r="O3176">
        <v>-0.51472959999999901</v>
      </c>
      <c r="P3176">
        <v>0.92046799999999995</v>
      </c>
      <c r="Q3176">
        <v>0.15977089999999999</v>
      </c>
      <c r="R3176">
        <v>-0.35666819999999999</v>
      </c>
      <c r="S3176">
        <v>2.9681090000000001</v>
      </c>
      <c r="T3176">
        <v>-0.17850070000000001</v>
      </c>
      <c r="U3176">
        <v>-0.84068299999999996</v>
      </c>
      <c r="V3176">
        <v>-0.17175879999999999</v>
      </c>
      <c r="W3176">
        <v>0.16907929999999999</v>
      </c>
      <c r="X3176">
        <v>0.97052099999999997</v>
      </c>
      <c r="Y3176">
        <v>-0.26070739999999998</v>
      </c>
      <c r="Z3176">
        <v>3.09743E-2</v>
      </c>
      <c r="AA3176">
        <v>0.96492080000000002</v>
      </c>
      <c r="AB3176">
        <v>26</v>
      </c>
      <c r="AC3176">
        <v>18.377700000000001</v>
      </c>
      <c r="AD3176">
        <v>-1.1189551898326999</v>
      </c>
      <c r="AE3176">
        <v>-5.1447000000000003</v>
      </c>
      <c r="AF3176">
        <v>-5.0324120340758496</v>
      </c>
      <c r="AG3176">
        <v>-1.1189551898326999</v>
      </c>
      <c r="AH3176">
        <v>18.340974810540601</v>
      </c>
      <c r="AI3176">
        <v>93.367059613834499</v>
      </c>
      <c r="AJ3176">
        <v>105.34326485008501</v>
      </c>
      <c r="AK3176">
        <v>19.0517345299175</v>
      </c>
      <c r="AL3176">
        <v>80.265707602547295</v>
      </c>
      <c r="AM3176">
        <v>100.036053635472</v>
      </c>
      <c r="AN3176">
        <v>0.99999995325346303</v>
      </c>
    </row>
    <row r="3177" spans="1:40" x14ac:dyDescent="0.25">
      <c r="A3177" t="str">
        <f>"20190304155654720"</f>
        <v>20190304155654720</v>
      </c>
      <c r="B3177" t="str">
        <f>"1551686214707805"</f>
        <v>1551686214707805</v>
      </c>
      <c r="C3177" t="s">
        <v>40</v>
      </c>
      <c r="D3177">
        <v>4.351496</v>
      </c>
      <c r="E3177">
        <v>0.46326010000000001</v>
      </c>
      <c r="F3177" t="s">
        <v>55</v>
      </c>
      <c r="G3177">
        <v>-462.05520000000001</v>
      </c>
      <c r="H3177" s="1">
        <v>-2.5801080000000001E-7</v>
      </c>
      <c r="I3177">
        <v>210.38220000000001</v>
      </c>
      <c r="J3177">
        <v>-480.31599999999997</v>
      </c>
      <c r="K3177">
        <v>1.118965</v>
      </c>
      <c r="L3177">
        <v>215.3399</v>
      </c>
      <c r="M3177">
        <v>0.86388659999999995</v>
      </c>
      <c r="N3177">
        <v>-1.346237E-2</v>
      </c>
      <c r="O3177">
        <v>-0.50350649999999997</v>
      </c>
      <c r="P3177">
        <v>0.92474820000000002</v>
      </c>
      <c r="Q3177">
        <v>0.15918679999999999</v>
      </c>
      <c r="R3177">
        <v>-0.34568860000000001</v>
      </c>
      <c r="S3177">
        <v>2.9737550000000001</v>
      </c>
      <c r="T3177">
        <v>-0.17985570000000001</v>
      </c>
      <c r="U3177">
        <v>-0.81741330000000001</v>
      </c>
      <c r="V3177">
        <v>-0.17068820000000001</v>
      </c>
      <c r="W3177">
        <v>0.1686145</v>
      </c>
      <c r="X3177">
        <v>0.97079070000000001</v>
      </c>
      <c r="Y3177">
        <v>-0.25560579999999999</v>
      </c>
      <c r="Z3177">
        <v>3.0616040000000001E-2</v>
      </c>
      <c r="AA3177">
        <v>0.96629620000000005</v>
      </c>
      <c r="AB3177">
        <v>26</v>
      </c>
      <c r="AC3177">
        <v>18.2607999999999</v>
      </c>
      <c r="AD3177">
        <v>-1.1189652580108</v>
      </c>
      <c r="AE3177">
        <v>-4.9576999999999796</v>
      </c>
      <c r="AF3177">
        <v>-4.8948680128093303</v>
      </c>
      <c r="AG3177">
        <v>-1.1189652580108</v>
      </c>
      <c r="AH3177">
        <v>18.209469556666601</v>
      </c>
      <c r="AI3177">
        <v>93.396121484627798</v>
      </c>
      <c r="AJ3177">
        <v>105.045949655656</v>
      </c>
      <c r="AK3177">
        <v>18.889060263724801</v>
      </c>
      <c r="AL3177">
        <v>80.292726554376799</v>
      </c>
      <c r="AM3177">
        <v>99.972041959343201</v>
      </c>
      <c r="AN3177">
        <v>0.99999994721798802</v>
      </c>
    </row>
    <row r="3178" spans="1:40" x14ac:dyDescent="0.25">
      <c r="A3178" t="str">
        <f>"20190304155654741"</f>
        <v>20190304155654741</v>
      </c>
      <c r="B3178" t="str">
        <f>"1551686214738060"</f>
        <v>1551686214738060</v>
      </c>
      <c r="C3178" t="s">
        <v>40</v>
      </c>
      <c r="D3178">
        <v>4.3531219999999999</v>
      </c>
      <c r="E3178">
        <v>0.46512690000000001</v>
      </c>
      <c r="F3178" t="s">
        <v>55</v>
      </c>
      <c r="G3178">
        <v>-462.07310000000001</v>
      </c>
      <c r="H3178" s="1">
        <v>-2.5284770000000001E-7</v>
      </c>
      <c r="I3178">
        <v>210.48079999999999</v>
      </c>
      <c r="J3178">
        <v>-480.0883</v>
      </c>
      <c r="K3178">
        <v>1.118986</v>
      </c>
      <c r="L3178">
        <v>215.22239999999999</v>
      </c>
      <c r="M3178">
        <v>0.87000689999999903</v>
      </c>
      <c r="N3178">
        <v>-1.3574910000000001E-2</v>
      </c>
      <c r="O3178">
        <v>-0.49285269999999998</v>
      </c>
      <c r="P3178">
        <v>0.92847199999999996</v>
      </c>
      <c r="Q3178">
        <v>0.15929450000000001</v>
      </c>
      <c r="R3178">
        <v>-0.335507</v>
      </c>
      <c r="S3178">
        <v>2.9789729999999999</v>
      </c>
      <c r="T3178">
        <v>-0.18272099999999999</v>
      </c>
      <c r="U3178">
        <v>-0.79347230000000002</v>
      </c>
      <c r="V3178">
        <v>-0.16941700000000001</v>
      </c>
      <c r="W3178">
        <v>0.16886309999999999</v>
      </c>
      <c r="X3178">
        <v>0.97097020000000001</v>
      </c>
      <c r="Y3178">
        <v>-0.25137939999999998</v>
      </c>
      <c r="Z3178">
        <v>3.0588199999999999E-2</v>
      </c>
      <c r="AA3178">
        <v>0.96740519999999997</v>
      </c>
      <c r="AB3178">
        <v>26</v>
      </c>
      <c r="AC3178">
        <v>18.0152</v>
      </c>
      <c r="AD3178">
        <v>-1.1189862528476999</v>
      </c>
      <c r="AE3178">
        <v>-4.7416</v>
      </c>
      <c r="AF3178">
        <v>-4.7369615611591804</v>
      </c>
      <c r="AG3178">
        <v>-1.1189862528476999</v>
      </c>
      <c r="AH3178">
        <v>17.947162030150299</v>
      </c>
      <c r="AI3178">
        <v>93.449869272304497</v>
      </c>
      <c r="AJ3178">
        <v>104.78542684212699</v>
      </c>
      <c r="AK3178">
        <v>18.595471491802201</v>
      </c>
      <c r="AL3178">
        <v>80.278276104897103</v>
      </c>
      <c r="AM3178">
        <v>99.897455847621103</v>
      </c>
      <c r="AN3178">
        <v>0.99999999785932503</v>
      </c>
    </row>
    <row r="3179" spans="1:40" x14ac:dyDescent="0.25">
      <c r="A3179" t="str">
        <f>"20190304155654766"</f>
        <v>20190304155654766</v>
      </c>
      <c r="B3179" t="str">
        <f>"1551686214757580"</f>
        <v>1551686214757580</v>
      </c>
      <c r="C3179" t="s">
        <v>40</v>
      </c>
      <c r="D3179">
        <v>4.3481449999999997</v>
      </c>
      <c r="E3179">
        <v>0.46666669999999999</v>
      </c>
      <c r="F3179" t="s">
        <v>55</v>
      </c>
      <c r="G3179">
        <v>-461.65320000000003</v>
      </c>
      <c r="H3179" s="1">
        <v>-4.7442510000000001E-7</v>
      </c>
      <c r="I3179">
        <v>210.43899999999999</v>
      </c>
      <c r="J3179">
        <v>-479.84</v>
      </c>
      <c r="K3179">
        <v>1.1190290000000001</v>
      </c>
      <c r="L3179">
        <v>215.09829999999999</v>
      </c>
      <c r="M3179">
        <v>0.87650260000000002</v>
      </c>
      <c r="N3179">
        <v>-1.372906E-2</v>
      </c>
      <c r="O3179">
        <v>-0.48120109999999999</v>
      </c>
      <c r="P3179">
        <v>0.93239839999999996</v>
      </c>
      <c r="Q3179">
        <v>0.15977060000000001</v>
      </c>
      <c r="R3179">
        <v>-0.32420100000000002</v>
      </c>
      <c r="S3179">
        <v>2.9824830000000002</v>
      </c>
      <c r="T3179">
        <v>-0.18103359999999999</v>
      </c>
      <c r="U3179">
        <v>-0.77388000000000001</v>
      </c>
      <c r="V3179">
        <v>-0.16823379999999999</v>
      </c>
      <c r="W3179">
        <v>0.16951540000000001</v>
      </c>
      <c r="X3179">
        <v>0.97106219999999999</v>
      </c>
      <c r="Y3179">
        <v>-0.24473320000000001</v>
      </c>
      <c r="Z3179">
        <v>2.9532900000000001E-2</v>
      </c>
      <c r="AA3179">
        <v>0.96914060000000002</v>
      </c>
      <c r="AB3179">
        <v>26</v>
      </c>
      <c r="AC3179">
        <v>18.186799999999899</v>
      </c>
      <c r="AD3179">
        <v>-1.1190294744250999</v>
      </c>
      <c r="AE3179">
        <v>-4.6592999999999698</v>
      </c>
      <c r="AF3179">
        <v>-4.6515343849669097</v>
      </c>
      <c r="AG3179">
        <v>-1.1190294744250999</v>
      </c>
      <c r="AH3179">
        <v>18.1201773778022</v>
      </c>
      <c r="AI3179">
        <v>93.423157357116096</v>
      </c>
      <c r="AJ3179">
        <v>104.397222177868</v>
      </c>
      <c r="AK3179">
        <v>18.741126628412101</v>
      </c>
      <c r="AL3179">
        <v>80.240354808908904</v>
      </c>
      <c r="AM3179">
        <v>99.828772354066501</v>
      </c>
      <c r="AN3179">
        <v>0.99999993928421804</v>
      </c>
    </row>
    <row r="3180" spans="1:40" x14ac:dyDescent="0.25">
      <c r="A3180" t="str">
        <f>"20190304155654795"</f>
        <v>20190304155654795</v>
      </c>
      <c r="B3180" t="str">
        <f>"1551686214787836"</f>
        <v>1551686214787836</v>
      </c>
      <c r="C3180" t="s">
        <v>40</v>
      </c>
      <c r="D3180">
        <v>4.425332</v>
      </c>
      <c r="E3180">
        <v>0.46883570000000002</v>
      </c>
      <c r="F3180" t="s">
        <v>55</v>
      </c>
      <c r="G3180">
        <v>-461.33049999999997</v>
      </c>
      <c r="H3180" s="1">
        <v>-6.4718559999999999E-7</v>
      </c>
      <c r="I3180">
        <v>210.46279999999999</v>
      </c>
      <c r="J3180">
        <v>-479.52969999999999</v>
      </c>
      <c r="K3180">
        <v>1.1190960000000001</v>
      </c>
      <c r="L3180">
        <v>214.94929999999999</v>
      </c>
      <c r="M3180">
        <v>0.88438919999999999</v>
      </c>
      <c r="N3180">
        <v>-1.3947350000000001E-2</v>
      </c>
      <c r="O3180">
        <v>-0.46654210000000002</v>
      </c>
      <c r="P3180">
        <v>0.93695150000000005</v>
      </c>
      <c r="Q3180">
        <v>0.160521</v>
      </c>
      <c r="R3180">
        <v>-0.31041089999999999</v>
      </c>
      <c r="S3180">
        <v>2.9882200000000001</v>
      </c>
      <c r="T3180">
        <v>-0.18065970000000001</v>
      </c>
      <c r="U3180">
        <v>-0.74836729999999996</v>
      </c>
      <c r="V3180">
        <v>-0.1663606</v>
      </c>
      <c r="W3180">
        <v>0.17051160000000001</v>
      </c>
      <c r="X3180">
        <v>0.97121049999999998</v>
      </c>
      <c r="Y3180">
        <v>-0.23684250000000001</v>
      </c>
      <c r="Z3180">
        <v>2.8540639999999999E-2</v>
      </c>
      <c r="AA3180">
        <v>0.97112880000000001</v>
      </c>
      <c r="AB3180">
        <v>26</v>
      </c>
      <c r="AC3180">
        <v>18.199200000000001</v>
      </c>
      <c r="AD3180">
        <v>-1.1190966471856001</v>
      </c>
      <c r="AE3180">
        <v>-4.4865000000000004</v>
      </c>
      <c r="AF3180">
        <v>-4.5072536454719598</v>
      </c>
      <c r="AG3180">
        <v>-1.1190966471856001</v>
      </c>
      <c r="AH3180">
        <v>18.1254738441366</v>
      </c>
      <c r="AI3180">
        <v>93.428886569421394</v>
      </c>
      <c r="AJ3180">
        <v>103.964476596046</v>
      </c>
      <c r="AK3180">
        <v>18.710973112183201</v>
      </c>
      <c r="AL3180">
        <v>80.182433571522694</v>
      </c>
      <c r="AM3180">
        <v>99.719977437655103</v>
      </c>
      <c r="AN3180">
        <v>0.99999994513858304</v>
      </c>
    </row>
    <row r="3181" spans="1:40" x14ac:dyDescent="0.25">
      <c r="A3181" t="str">
        <f>"20190304155654818"</f>
        <v>20190304155654818</v>
      </c>
      <c r="B3181" t="str">
        <f>"1551686214808333"</f>
        <v>1551686214808333</v>
      </c>
      <c r="C3181" t="s">
        <v>40</v>
      </c>
      <c r="D3181">
        <v>4.3815489999999997</v>
      </c>
      <c r="E3181">
        <v>0.47950480000000001</v>
      </c>
      <c r="F3181" t="s">
        <v>55</v>
      </c>
      <c r="G3181">
        <v>-460.9624</v>
      </c>
      <c r="H3181" s="1">
        <v>-8.4402000000000001E-7</v>
      </c>
      <c r="I3181">
        <v>210.4836</v>
      </c>
      <c r="J3181">
        <v>-479.29129999999998</v>
      </c>
      <c r="K3181">
        <v>1.1191500000000001</v>
      </c>
      <c r="L3181">
        <v>214.83920000000001</v>
      </c>
      <c r="M3181">
        <v>0.89028850000000004</v>
      </c>
      <c r="N3181">
        <v>-1.4111759999999999E-2</v>
      </c>
      <c r="O3181">
        <v>-0.45517829999999898</v>
      </c>
      <c r="P3181">
        <v>0.94022609999999995</v>
      </c>
      <c r="Q3181">
        <v>0.16062670000000001</v>
      </c>
      <c r="R3181">
        <v>-0.30028969999999999</v>
      </c>
      <c r="S3181">
        <v>2.994202</v>
      </c>
      <c r="T3181">
        <v>-0.18046719999999999</v>
      </c>
      <c r="U3181">
        <v>-0.72015379999999996</v>
      </c>
      <c r="V3181">
        <v>-0.1644071</v>
      </c>
      <c r="W3181">
        <v>0.17080809999999999</v>
      </c>
      <c r="X3181">
        <v>0.97149099999999999</v>
      </c>
      <c r="Y3181">
        <v>-0.2335103</v>
      </c>
      <c r="Z3181">
        <v>2.7889939999999998E-2</v>
      </c>
      <c r="AA3181">
        <v>0.97195430000000005</v>
      </c>
      <c r="AB3181">
        <v>26</v>
      </c>
      <c r="AC3181">
        <v>18.328899999999901</v>
      </c>
      <c r="AD3181">
        <v>-1.11915084402</v>
      </c>
      <c r="AE3181">
        <v>-4.3556000000000097</v>
      </c>
      <c r="AF3181">
        <v>-4.4499179397407804</v>
      </c>
      <c r="AG3181">
        <v>-1.11915084402</v>
      </c>
      <c r="AH3181">
        <v>18.238044237754799</v>
      </c>
      <c r="AI3181">
        <v>93.411633329030295</v>
      </c>
      <c r="AJ3181">
        <v>103.711748060151</v>
      </c>
      <c r="AK3181">
        <v>18.806395877477399</v>
      </c>
      <c r="AL3181">
        <v>80.165192317257706</v>
      </c>
      <c r="AM3181">
        <v>99.605257520784306</v>
      </c>
      <c r="AN3181">
        <v>0.99999993231850703</v>
      </c>
    </row>
    <row r="3182" spans="1:40" x14ac:dyDescent="0.25">
      <c r="A3182" t="str">
        <f>"20190304155654840"</f>
        <v>20190304155654840</v>
      </c>
      <c r="B3182" t="str">
        <f>"1551686214837613"</f>
        <v>1551686214837613</v>
      </c>
      <c r="C3182" t="s">
        <v>40</v>
      </c>
      <c r="D3182">
        <v>4.3699690000000002</v>
      </c>
      <c r="E3182">
        <v>0.48179509999999998</v>
      </c>
      <c r="F3182" t="s">
        <v>55</v>
      </c>
      <c r="G3182">
        <v>-462.64420000000001</v>
      </c>
      <c r="H3182" s="1">
        <v>4.8440810000000002E-8</v>
      </c>
      <c r="I3182">
        <v>210.5419</v>
      </c>
      <c r="J3182">
        <v>-479.05340000000001</v>
      </c>
      <c r="K3182">
        <v>1.1192150000000001</v>
      </c>
      <c r="L3182">
        <v>214.73310000000001</v>
      </c>
      <c r="M3182">
        <v>0.89603429999999995</v>
      </c>
      <c r="N3182">
        <v>-1.4264819999999999E-2</v>
      </c>
      <c r="O3182">
        <v>-0.44375559999999997</v>
      </c>
      <c r="P3182">
        <v>0.94337329999999997</v>
      </c>
      <c r="Q3182">
        <v>0.1602683</v>
      </c>
      <c r="R3182">
        <v>-0.29044959999999997</v>
      </c>
      <c r="S3182">
        <v>2.979279</v>
      </c>
      <c r="T3182">
        <v>-0.20029159999999999</v>
      </c>
      <c r="U3182">
        <v>-0.76907349999999997</v>
      </c>
      <c r="V3182">
        <v>-0.16217229999999999</v>
      </c>
      <c r="W3182">
        <v>0.17063429999999999</v>
      </c>
      <c r="X3182">
        <v>0.97189709999999996</v>
      </c>
      <c r="Y3182">
        <v>-0.20470720000000001</v>
      </c>
      <c r="Z3182">
        <v>2.9878470000000001E-2</v>
      </c>
      <c r="AA3182">
        <v>0.97836710000000005</v>
      </c>
      <c r="AB3182">
        <v>26</v>
      </c>
      <c r="AC3182">
        <v>16.409199999999998</v>
      </c>
      <c r="AD3182">
        <v>-1.11921495155919</v>
      </c>
      <c r="AE3182">
        <v>-4.1912000000000003</v>
      </c>
      <c r="AF3182">
        <v>-3.5112399108900298</v>
      </c>
      <c r="AG3182">
        <v>-1.11921495155919</v>
      </c>
      <c r="AH3182">
        <v>16.492732605982599</v>
      </c>
      <c r="AI3182">
        <v>93.797356342528701</v>
      </c>
      <c r="AJ3182">
        <v>102.01861673378799</v>
      </c>
      <c r="AK3182">
        <v>16.899457879827501</v>
      </c>
      <c r="AL3182">
        <v>80.175298829144694</v>
      </c>
      <c r="AM3182">
        <v>99.473188565784596</v>
      </c>
      <c r="AN3182">
        <v>0.999999946106093</v>
      </c>
    </row>
    <row r="3183" spans="1:40" x14ac:dyDescent="0.25">
      <c r="A3183" t="str">
        <f>"20190304155654862"</f>
        <v>20190304155654862</v>
      </c>
      <c r="B3183" t="str">
        <f>"1551686214858109"</f>
        <v>1551686214858109</v>
      </c>
      <c r="C3183" t="s">
        <v>40</v>
      </c>
      <c r="D3183">
        <v>4.3483169999999998</v>
      </c>
      <c r="E3183">
        <v>0.4850508</v>
      </c>
      <c r="F3183" t="s">
        <v>55</v>
      </c>
      <c r="G3183">
        <v>-463.08850000000001</v>
      </c>
      <c r="H3183" s="1">
        <v>2.7831460000000002E-7</v>
      </c>
      <c r="I3183">
        <v>210.6918</v>
      </c>
      <c r="J3183">
        <v>-478.8245</v>
      </c>
      <c r="K3183">
        <v>1.1192740000000001</v>
      </c>
      <c r="L3183">
        <v>214.63460000000001</v>
      </c>
      <c r="M3183">
        <v>0.90143649999999997</v>
      </c>
      <c r="N3183">
        <v>-1.440074E-2</v>
      </c>
      <c r="O3183">
        <v>-0.43267169999999999</v>
      </c>
      <c r="P3183">
        <v>0.94617649999999998</v>
      </c>
      <c r="Q3183">
        <v>0.1591437</v>
      </c>
      <c r="R3183">
        <v>-0.2818214</v>
      </c>
      <c r="S3183">
        <v>2.9830930000000002</v>
      </c>
      <c r="T3183">
        <v>-0.20912910000000001</v>
      </c>
      <c r="U3183">
        <v>-0.75514219999999999</v>
      </c>
      <c r="V3183">
        <v>-0.15913749999999999</v>
      </c>
      <c r="W3183">
        <v>0.16969870000000001</v>
      </c>
      <c r="X3183">
        <v>0.97256240000000005</v>
      </c>
      <c r="Y3183">
        <v>-0.197157</v>
      </c>
      <c r="Z3183">
        <v>3.0528219999999998E-2</v>
      </c>
      <c r="AA3183">
        <v>0.97989649999999995</v>
      </c>
      <c r="AB3183">
        <v>26</v>
      </c>
      <c r="AC3183">
        <v>15.735999999999899</v>
      </c>
      <c r="AD3183">
        <v>-1.1192737216853901</v>
      </c>
      <c r="AE3183">
        <v>-3.9428000000000001</v>
      </c>
      <c r="AF3183">
        <v>-3.23925557534589</v>
      </c>
      <c r="AG3183">
        <v>-1.1192737216853901</v>
      </c>
      <c r="AH3183">
        <v>15.8172950259356</v>
      </c>
      <c r="AI3183">
        <v>93.9656205101643</v>
      </c>
      <c r="AJ3183">
        <v>101.573689191236</v>
      </c>
      <c r="AK3183">
        <v>16.184324894290501</v>
      </c>
      <c r="AL3183">
        <v>80.229698765888102</v>
      </c>
      <c r="AM3183">
        <v>99.292787938921506</v>
      </c>
      <c r="AN3183">
        <v>1.0000000072908499</v>
      </c>
    </row>
    <row r="3184" spans="1:40" x14ac:dyDescent="0.25">
      <c r="A3184" t="str">
        <f>"20190304155654886"</f>
        <v>20190304155654886</v>
      </c>
      <c r="B3184" t="str">
        <f>"1551686214877628"</f>
        <v>1551686214877628</v>
      </c>
      <c r="C3184" t="s">
        <v>40</v>
      </c>
      <c r="D3184">
        <v>4.3596719999999998</v>
      </c>
      <c r="E3184">
        <v>0.49625259999999999</v>
      </c>
      <c r="F3184" t="s">
        <v>55</v>
      </c>
      <c r="G3184">
        <v>-462.48500000000001</v>
      </c>
      <c r="H3184" s="1">
        <v>-3.5188829999999997E-8</v>
      </c>
      <c r="I3184">
        <v>210.5164</v>
      </c>
      <c r="J3184">
        <v>-478.57990000000001</v>
      </c>
      <c r="K3184">
        <v>1.1193379999999999</v>
      </c>
      <c r="L3184">
        <v>214.53309999999999</v>
      </c>
      <c r="M3184">
        <v>0.90707899999999997</v>
      </c>
      <c r="N3184">
        <v>-1.453466E-2</v>
      </c>
      <c r="O3184">
        <v>-0.42070970000000002</v>
      </c>
      <c r="P3184">
        <v>0.94914620000000005</v>
      </c>
      <c r="Q3184">
        <v>0.15778819999999999</v>
      </c>
      <c r="R3184">
        <v>-0.27244230000000003</v>
      </c>
      <c r="S3184">
        <v>2.9812620000000001</v>
      </c>
      <c r="T3184">
        <v>-0.20422009999999999</v>
      </c>
      <c r="U3184">
        <v>-0.75140379999999996</v>
      </c>
      <c r="V3184">
        <v>-0.15598190000000001</v>
      </c>
      <c r="W3184">
        <v>0.16853319999999999</v>
      </c>
      <c r="X3184">
        <v>0.97327600000000003</v>
      </c>
      <c r="Y3184">
        <v>-0.18528700000000001</v>
      </c>
      <c r="Z3184">
        <v>2.8659750000000001E-2</v>
      </c>
      <c r="AA3184">
        <v>0.98226639999999998</v>
      </c>
      <c r="AB3184">
        <v>26</v>
      </c>
      <c r="AC3184">
        <v>16.0948999999999</v>
      </c>
      <c r="AD3184">
        <v>-1.11933803518883</v>
      </c>
      <c r="AE3184">
        <v>-4.0166999999999797</v>
      </c>
      <c r="AF3184">
        <v>-3.1139682494901302</v>
      </c>
      <c r="AG3184">
        <v>-1.11933803518883</v>
      </c>
      <c r="AH3184">
        <v>16.217091662726201</v>
      </c>
      <c r="AI3184">
        <v>93.877794411438998</v>
      </c>
      <c r="AJ3184">
        <v>100.869502079695</v>
      </c>
      <c r="AK3184">
        <v>16.551247019276701</v>
      </c>
      <c r="AL3184">
        <v>80.297452676668101</v>
      </c>
      <c r="AM3184">
        <v>99.105070473374695</v>
      </c>
      <c r="AN3184">
        <v>0.99999998240292398</v>
      </c>
    </row>
    <row r="3185" spans="1:40" x14ac:dyDescent="0.25">
      <c r="A3185" t="str">
        <f>"20190304155654906"</f>
        <v>20190304155654906</v>
      </c>
      <c r="B3185" t="str">
        <f>"1551686214898125"</f>
        <v>1551686214898125</v>
      </c>
      <c r="C3185" t="s">
        <v>40</v>
      </c>
      <c r="D3185">
        <v>4.36782</v>
      </c>
      <c r="E3185">
        <v>0.49431609999999998</v>
      </c>
      <c r="F3185" t="s">
        <v>55</v>
      </c>
      <c r="G3185">
        <v>-460.52260000000001</v>
      </c>
      <c r="H3185">
        <v>5.1199469999999997E-3</v>
      </c>
      <c r="I3185">
        <v>209.6163</v>
      </c>
      <c r="J3185">
        <v>-478.35750000000002</v>
      </c>
      <c r="K3185">
        <v>1.1193919999999999</v>
      </c>
      <c r="L3185">
        <v>214.4443</v>
      </c>
      <c r="M3185">
        <v>0.91209289999999998</v>
      </c>
      <c r="N3185">
        <v>-1.4646070000000001E-2</v>
      </c>
      <c r="O3185">
        <v>-0.40972219999999998</v>
      </c>
      <c r="P3185">
        <v>0.95162190000000002</v>
      </c>
      <c r="Q3185">
        <v>0.1572828</v>
      </c>
      <c r="R3185">
        <v>-0.26396589999999998</v>
      </c>
      <c r="S3185">
        <v>2.9598080000000002</v>
      </c>
      <c r="T3185">
        <v>-0.1826334</v>
      </c>
      <c r="U3185">
        <v>-0.80592350000000001</v>
      </c>
      <c r="V3185">
        <v>-0.15294379999999999</v>
      </c>
      <c r="W3185">
        <v>0.16819529999999999</v>
      </c>
      <c r="X3185">
        <v>0.97381649999999997</v>
      </c>
      <c r="Y3185">
        <v>-0.15501139999999999</v>
      </c>
      <c r="Z3185">
        <v>2.364637E-2</v>
      </c>
      <c r="AA3185">
        <v>0.98762969999999894</v>
      </c>
      <c r="AB3185">
        <v>26</v>
      </c>
      <c r="AC3185">
        <v>17.834900000000001</v>
      </c>
      <c r="AD3185">
        <v>-1.1142720530000001</v>
      </c>
      <c r="AE3185">
        <v>-4.8280000000000003</v>
      </c>
      <c r="AF3185">
        <v>-2.8935575878905602</v>
      </c>
      <c r="AG3185">
        <v>-1.1142720530000001</v>
      </c>
      <c r="AH3185">
        <v>18.181057266218801</v>
      </c>
      <c r="AI3185">
        <v>93.463646249266105</v>
      </c>
      <c r="AJ3185">
        <v>99.042914942119594</v>
      </c>
      <c r="AK3185">
        <v>18.443565843948399</v>
      </c>
      <c r="AL3185">
        <v>80.317093664135101</v>
      </c>
      <c r="AM3185">
        <v>98.925737767841994</v>
      </c>
      <c r="AN3185">
        <v>1.0000000202863899</v>
      </c>
    </row>
    <row r="3186" spans="1:40" x14ac:dyDescent="0.25">
      <c r="A3186" t="str">
        <f>"20190304155654930"</f>
        <v>20190304155654930</v>
      </c>
      <c r="B3186" t="str">
        <f>"1551686214927405"</f>
        <v>1551686214927405</v>
      </c>
      <c r="C3186" t="s">
        <v>40</v>
      </c>
      <c r="D3186">
        <v>4.3892360000000004</v>
      </c>
      <c r="E3186">
        <v>0.46944459999999999</v>
      </c>
      <c r="F3186" t="s">
        <v>55</v>
      </c>
      <c r="G3186">
        <v>-461.46640000000002</v>
      </c>
      <c r="H3186" s="1">
        <v>-5.5911639999999996E-7</v>
      </c>
      <c r="I3186">
        <v>210.1019</v>
      </c>
      <c r="J3186">
        <v>-478.10849999999999</v>
      </c>
      <c r="K3186">
        <v>1.119445</v>
      </c>
      <c r="L3186">
        <v>214.3485</v>
      </c>
      <c r="M3186">
        <v>0.91757069999999996</v>
      </c>
      <c r="N3186">
        <v>-1.475977E-2</v>
      </c>
      <c r="O3186">
        <v>-0.39729890000000001</v>
      </c>
      <c r="P3186">
        <v>0.95416489999999998</v>
      </c>
      <c r="Q3186">
        <v>0.157381299999999</v>
      </c>
      <c r="R3186">
        <v>-0.25456010000000001</v>
      </c>
      <c r="S3186">
        <v>2.9730530000000002</v>
      </c>
      <c r="T3186">
        <v>-0.1970277</v>
      </c>
      <c r="U3186">
        <v>-0.76431269999999996</v>
      </c>
      <c r="V3186">
        <v>-0.1493409</v>
      </c>
      <c r="W3186">
        <v>0.1684763</v>
      </c>
      <c r="X3186">
        <v>0.97432700000000005</v>
      </c>
      <c r="Y3186">
        <v>-0.15551760000000001</v>
      </c>
      <c r="Z3186">
        <v>2.5275760000000001E-2</v>
      </c>
      <c r="AA3186">
        <v>0.98750970000000005</v>
      </c>
      <c r="AB3186">
        <v>26</v>
      </c>
      <c r="AC3186">
        <v>16.6420999999999</v>
      </c>
      <c r="AD3186">
        <v>-1.1194455591163901</v>
      </c>
      <c r="AE3186">
        <v>-4.2465999999999999</v>
      </c>
      <c r="AF3186">
        <v>-2.7041403164935498</v>
      </c>
      <c r="AG3186">
        <v>-1.1194455591163901</v>
      </c>
      <c r="AH3186">
        <v>16.887578068511001</v>
      </c>
      <c r="AI3186">
        <v>93.744912132767695</v>
      </c>
      <c r="AJ3186">
        <v>99.097315819719995</v>
      </c>
      <c r="AK3186">
        <v>17.139306468791698</v>
      </c>
      <c r="AL3186">
        <v>80.300760619946104</v>
      </c>
      <c r="AM3186">
        <v>98.714244837917803</v>
      </c>
      <c r="AN3186">
        <v>1.00000003550174</v>
      </c>
    </row>
    <row r="3187" spans="1:40" x14ac:dyDescent="0.25">
      <c r="A3187" t="str">
        <f>"20190304155654954"</f>
        <v>20190304155654954</v>
      </c>
      <c r="B3187" t="str">
        <f>"1551686214947901"</f>
        <v>1551686214947901</v>
      </c>
      <c r="C3187" t="s">
        <v>40</v>
      </c>
      <c r="D3187">
        <v>4.3149350000000002</v>
      </c>
      <c r="E3187">
        <v>0.45477410000000001</v>
      </c>
      <c r="F3187" t="s">
        <v>55</v>
      </c>
      <c r="G3187">
        <v>-460.6114</v>
      </c>
      <c r="H3187" s="1">
        <v>-1.0629809999999999E-6</v>
      </c>
      <c r="I3187">
        <v>211.21960000000001</v>
      </c>
      <c r="J3187">
        <v>-477.85770000000002</v>
      </c>
      <c r="K3187">
        <v>1.119483</v>
      </c>
      <c r="L3187">
        <v>214.25640000000001</v>
      </c>
      <c r="M3187">
        <v>0.92293910000000001</v>
      </c>
      <c r="N3187">
        <v>-1.48605E-2</v>
      </c>
      <c r="O3187">
        <v>-0.38465909999999998</v>
      </c>
      <c r="P3187">
        <v>0.95667800000000003</v>
      </c>
      <c r="Q3187">
        <v>0.15820149999999999</v>
      </c>
      <c r="R3187">
        <v>-0.24441669999999999</v>
      </c>
      <c r="S3187">
        <v>3.0314939999999999</v>
      </c>
      <c r="T3187">
        <v>-0.19395109999999999</v>
      </c>
      <c r="U3187">
        <v>-0.542099</v>
      </c>
      <c r="V3187">
        <v>-0.14627870000000001</v>
      </c>
      <c r="W3187">
        <v>0.16945579999999999</v>
      </c>
      <c r="X3187">
        <v>0.97462159999999998</v>
      </c>
      <c r="Y3187">
        <v>-0.21528610000000001</v>
      </c>
      <c r="Z3187">
        <v>2.630907E-2</v>
      </c>
      <c r="AA3187">
        <v>0.97619659999999997</v>
      </c>
      <c r="AB3187">
        <v>26</v>
      </c>
      <c r="AC3187">
        <v>17.246300000000002</v>
      </c>
      <c r="AD3187">
        <v>-1.1194840629809999</v>
      </c>
      <c r="AE3187">
        <v>-3.0367999999999902</v>
      </c>
      <c r="AF3187">
        <v>-3.8159926154902002</v>
      </c>
      <c r="AG3187">
        <v>-1.1194840629809999</v>
      </c>
      <c r="AH3187">
        <v>17.017755760284601</v>
      </c>
      <c r="AI3187">
        <v>93.6727379457041</v>
      </c>
      <c r="AJ3187">
        <v>102.63870920746599</v>
      </c>
      <c r="AK3187">
        <v>17.4762425974648</v>
      </c>
      <c r="AL3187">
        <v>80.243820312286502</v>
      </c>
      <c r="AM3187">
        <v>98.535678992559397</v>
      </c>
      <c r="AN3187">
        <v>0.99999999470694501</v>
      </c>
    </row>
    <row r="3188" spans="1:40" x14ac:dyDescent="0.25">
      <c r="A3188" t="str">
        <f>"20190304155654985"</f>
        <v>20190304155654985</v>
      </c>
      <c r="B3188" t="str">
        <f>"1551686214978157"</f>
        <v>1551686214978157</v>
      </c>
      <c r="C3188" t="s">
        <v>40</v>
      </c>
      <c r="D3188">
        <v>4.3270350000000004</v>
      </c>
      <c r="E3188">
        <v>0.44648900000000002</v>
      </c>
      <c r="F3188" t="s">
        <v>55</v>
      </c>
      <c r="G3188">
        <v>-456.40690000000001</v>
      </c>
      <c r="H3188" s="1">
        <v>2.0094269999999999E-6</v>
      </c>
      <c r="I3188">
        <v>211.4871</v>
      </c>
      <c r="J3188">
        <v>-477.50670000000002</v>
      </c>
      <c r="K3188">
        <v>1.1195360000000001</v>
      </c>
      <c r="L3188">
        <v>214.13409999999999</v>
      </c>
      <c r="M3188">
        <v>0.93017119999999998</v>
      </c>
      <c r="N3188">
        <v>-1.4980250000000001E-2</v>
      </c>
      <c r="O3188">
        <v>-0.3668208</v>
      </c>
      <c r="P3188">
        <v>0.96033020000000002</v>
      </c>
      <c r="Q3188">
        <v>0.1608502</v>
      </c>
      <c r="R3188">
        <v>-0.2278009</v>
      </c>
      <c r="S3188">
        <v>3.0613100000000002</v>
      </c>
      <c r="T3188">
        <v>-0.15976489999999999</v>
      </c>
      <c r="U3188">
        <v>-0.39521790000000001</v>
      </c>
      <c r="V3188">
        <v>-0.1443168</v>
      </c>
      <c r="W3188">
        <v>0.17225270000000001</v>
      </c>
      <c r="X3188">
        <v>0.97442379999999995</v>
      </c>
      <c r="Y3188">
        <v>-0.2440891</v>
      </c>
      <c r="Z3188">
        <v>2.117132E-2</v>
      </c>
      <c r="AA3188">
        <v>0.96952169999999904</v>
      </c>
      <c r="AB3188">
        <v>26</v>
      </c>
      <c r="AC3188">
        <v>21.099799999999998</v>
      </c>
      <c r="AD3188">
        <v>-1.119533990573</v>
      </c>
      <c r="AE3188">
        <v>-2.64699999999999</v>
      </c>
      <c r="AF3188">
        <v>-5.2636846362895398</v>
      </c>
      <c r="AG3188">
        <v>-1.119533990573</v>
      </c>
      <c r="AH3188">
        <v>20.5427715642195</v>
      </c>
      <c r="AI3188">
        <v>93.021967430971202</v>
      </c>
      <c r="AJ3188">
        <v>104.37173027395001</v>
      </c>
      <c r="AK3188">
        <v>21.235941133984799</v>
      </c>
      <c r="AL3188">
        <v>80.081178669978996</v>
      </c>
      <c r="AM3188">
        <v>98.424536263350703</v>
      </c>
      <c r="AN3188">
        <v>1.00000003671298</v>
      </c>
    </row>
    <row r="3189" spans="1:40" x14ac:dyDescent="0.25">
      <c r="A3189" t="str">
        <f>"20190304155655008"</f>
        <v>20190304155655008</v>
      </c>
      <c r="B3189" t="str">
        <f>"1551686214997677"</f>
        <v>1551686214997677</v>
      </c>
      <c r="C3189" t="s">
        <v>40</v>
      </c>
      <c r="D3189">
        <v>4.3303989999999999</v>
      </c>
      <c r="E3189">
        <v>0.44422590000000001</v>
      </c>
      <c r="F3189" t="s">
        <v>55</v>
      </c>
      <c r="G3189">
        <v>-449.37630000000001</v>
      </c>
      <c r="H3189" s="1">
        <v>3.5852029999999999E-6</v>
      </c>
      <c r="I3189">
        <v>211.58779999999999</v>
      </c>
      <c r="J3189">
        <v>-477.26949999999999</v>
      </c>
      <c r="K3189">
        <v>1.1195469999999901</v>
      </c>
      <c r="L3189">
        <v>214.0557</v>
      </c>
      <c r="M3189">
        <v>0.93486219999999998</v>
      </c>
      <c r="N3189">
        <v>-1.5047609999999999E-2</v>
      </c>
      <c r="O3189">
        <v>-0.35469200000000001</v>
      </c>
      <c r="P3189">
        <v>0.96303570000000005</v>
      </c>
      <c r="Q3189">
        <v>0.16176009999999999</v>
      </c>
      <c r="R3189">
        <v>-0.21539720000000001</v>
      </c>
      <c r="S3189">
        <v>3.0783390000000002</v>
      </c>
      <c r="T3189">
        <v>-0.12251190000000001</v>
      </c>
      <c r="U3189">
        <v>-0.27864070000000002</v>
      </c>
      <c r="V3189">
        <v>-0.14418029999999901</v>
      </c>
      <c r="W3189">
        <v>0.17322770000000001</v>
      </c>
      <c r="X3189">
        <v>0.97427109999999995</v>
      </c>
      <c r="Y3189">
        <v>-0.26861829999999998</v>
      </c>
      <c r="Z3189">
        <v>1.5711309999999999E-2</v>
      </c>
      <c r="AA3189">
        <v>0.96311860000000005</v>
      </c>
      <c r="AB3189">
        <v>26</v>
      </c>
      <c r="AC3189">
        <v>27.893199999999901</v>
      </c>
      <c r="AD3189">
        <v>-1.11954341479699</v>
      </c>
      <c r="AE3189">
        <v>-2.46790000000001</v>
      </c>
      <c r="AF3189">
        <v>-7.5750984238190897</v>
      </c>
      <c r="AG3189">
        <v>-1.11954341479699</v>
      </c>
      <c r="AH3189">
        <v>26.911675220970199</v>
      </c>
      <c r="AI3189">
        <v>92.293156298403304</v>
      </c>
      <c r="AJ3189">
        <v>105.72084929780399</v>
      </c>
      <c r="AK3189">
        <v>27.979881286151699</v>
      </c>
      <c r="AL3189">
        <v>80.024462182479795</v>
      </c>
      <c r="AM3189">
        <v>98.417982494227005</v>
      </c>
      <c r="AN3189">
        <v>0.99999998562529402</v>
      </c>
    </row>
    <row r="3190" spans="1:40" x14ac:dyDescent="0.25">
      <c r="A3190" t="str">
        <f>"20190304155655030"</f>
        <v>20190304155655030</v>
      </c>
      <c r="B3190" t="str">
        <f>"1551686215027933"</f>
        <v>1551686215027933</v>
      </c>
      <c r="C3190" t="s">
        <v>40</v>
      </c>
      <c r="D3190">
        <v>4.4575740000000001</v>
      </c>
      <c r="E3190">
        <v>0.44334499999999999</v>
      </c>
      <c r="F3190" t="s">
        <v>55</v>
      </c>
      <c r="G3190">
        <v>-446.78640000000001</v>
      </c>
      <c r="H3190" s="1">
        <v>2.1953840000000002E-6</v>
      </c>
      <c r="I3190">
        <v>211.8535</v>
      </c>
      <c r="J3190">
        <v>-477.02519999999998</v>
      </c>
      <c r="K3190">
        <v>1.119543</v>
      </c>
      <c r="L3190">
        <v>213.9785</v>
      </c>
      <c r="M3190">
        <v>0.93952349999999996</v>
      </c>
      <c r="N3190">
        <v>-1.5106049999999999E-2</v>
      </c>
      <c r="O3190">
        <v>-0.34215129999999999</v>
      </c>
      <c r="P3190">
        <v>0.96592100000000003</v>
      </c>
      <c r="Q3190">
        <v>0.16025829999999999</v>
      </c>
      <c r="R3190">
        <v>-0.20325850000000001</v>
      </c>
      <c r="S3190">
        <v>3.0843509999999998</v>
      </c>
      <c r="T3190">
        <v>-0.1132782</v>
      </c>
      <c r="U3190">
        <v>-0.2228241</v>
      </c>
      <c r="V3190">
        <v>-0.143456</v>
      </c>
      <c r="W3190">
        <v>0.1718064</v>
      </c>
      <c r="X3190">
        <v>0.97462959999999998</v>
      </c>
      <c r="Y3190">
        <v>-0.27326780000000001</v>
      </c>
      <c r="Z3190">
        <v>1.413204E-2</v>
      </c>
      <c r="AA3190">
        <v>0.96183419999999997</v>
      </c>
      <c r="AB3190">
        <v>26</v>
      </c>
      <c r="AC3190">
        <v>30.238799999999902</v>
      </c>
      <c r="AD3190">
        <v>-1.119540804616</v>
      </c>
      <c r="AE3190">
        <v>-2.125</v>
      </c>
      <c r="AF3190">
        <v>-8.3393348934920493</v>
      </c>
      <c r="AG3190">
        <v>-1.119540804616</v>
      </c>
      <c r="AH3190">
        <v>29.100764941776799</v>
      </c>
      <c r="AI3190">
        <v>92.117982514639493</v>
      </c>
      <c r="AJ3190">
        <v>105.990584420525</v>
      </c>
      <c r="AK3190">
        <v>30.292777988747801</v>
      </c>
      <c r="AL3190">
        <v>80.107135998901001</v>
      </c>
      <c r="AM3190">
        <v>98.373258232320097</v>
      </c>
      <c r="AN3190">
        <v>0.999999960106559</v>
      </c>
    </row>
    <row r="3191" spans="1:40" x14ac:dyDescent="0.25">
      <c r="A3191" t="str">
        <f>"20190304155655053"</f>
        <v>20190304155655053</v>
      </c>
      <c r="B3191" t="str">
        <f>"1551686215047453"</f>
        <v>1551686215047453</v>
      </c>
      <c r="C3191" t="s">
        <v>40</v>
      </c>
      <c r="D3191">
        <v>4.4553789999999998</v>
      </c>
      <c r="E3191">
        <v>0.44306390000000001</v>
      </c>
      <c r="F3191" t="s">
        <v>55</v>
      </c>
      <c r="G3191">
        <v>-448.60759999999999</v>
      </c>
      <c r="H3191" s="1">
        <v>3.143121E-6</v>
      </c>
      <c r="I3191">
        <v>212.34350000000001</v>
      </c>
      <c r="J3191">
        <v>-476.78309999999999</v>
      </c>
      <c r="K3191">
        <v>1.119524</v>
      </c>
      <c r="L3191">
        <v>213.9058</v>
      </c>
      <c r="M3191">
        <v>0.94396570000000002</v>
      </c>
      <c r="N3191">
        <v>-1.515415E-2</v>
      </c>
      <c r="O3191">
        <v>-0.32969599999999999</v>
      </c>
      <c r="P3191">
        <v>0.96817850000000005</v>
      </c>
      <c r="Q3191">
        <v>0.15995619999999999</v>
      </c>
      <c r="R3191">
        <v>-0.19247059999999999</v>
      </c>
      <c r="S3191">
        <v>3.088654</v>
      </c>
      <c r="T3191">
        <v>-0.1216807</v>
      </c>
      <c r="U3191">
        <v>-0.1777039</v>
      </c>
      <c r="V3191">
        <v>-0.14143720000000001</v>
      </c>
      <c r="W3191">
        <v>0.17160719999999999</v>
      </c>
      <c r="X3191">
        <v>0.97495969999999998</v>
      </c>
      <c r="Y3191">
        <v>-0.27458290000000002</v>
      </c>
      <c r="Z3191">
        <v>1.5166509999999999E-2</v>
      </c>
      <c r="AA3191">
        <v>0.96144379999999996</v>
      </c>
      <c r="AB3191">
        <v>26</v>
      </c>
      <c r="AC3191">
        <v>28.1755</v>
      </c>
      <c r="AD3191">
        <v>-1.119520856879</v>
      </c>
      <c r="AE3191">
        <v>-1.56229999999999</v>
      </c>
      <c r="AF3191">
        <v>-7.8032063800973797</v>
      </c>
      <c r="AG3191">
        <v>-1.119520856879</v>
      </c>
      <c r="AH3191">
        <v>27.0722884776489</v>
      </c>
      <c r="AI3191">
        <v>92.275470348895496</v>
      </c>
      <c r="AJ3191">
        <v>106.078882461757</v>
      </c>
      <c r="AK3191">
        <v>28.196669309980901</v>
      </c>
      <c r="AL3191">
        <v>80.118721428815206</v>
      </c>
      <c r="AM3191">
        <v>98.254303582820498</v>
      </c>
      <c r="AN3191">
        <v>0.99999996462988405</v>
      </c>
    </row>
    <row r="3192" spans="1:40" x14ac:dyDescent="0.25">
      <c r="A3192" t="str">
        <f>"20190304155655075"</f>
        <v>20190304155655075</v>
      </c>
      <c r="B3192" t="str">
        <f>"1551686215067949"</f>
        <v>1551686215067949</v>
      </c>
      <c r="C3192" t="s">
        <v>40</v>
      </c>
      <c r="D3192">
        <v>4.444928</v>
      </c>
      <c r="E3192">
        <v>0.44302599999999998</v>
      </c>
      <c r="F3192" t="s">
        <v>55</v>
      </c>
      <c r="G3192">
        <v>-449.1499</v>
      </c>
      <c r="H3192" s="1">
        <v>3.4183509999999999E-6</v>
      </c>
      <c r="I3192">
        <v>212.6482</v>
      </c>
      <c r="J3192">
        <v>-476.53919999999999</v>
      </c>
      <c r="K3192">
        <v>1.1195079999999999</v>
      </c>
      <c r="L3192">
        <v>213.83609999999999</v>
      </c>
      <c r="M3192">
        <v>0.94825800000000005</v>
      </c>
      <c r="N3192">
        <v>-1.5194289999999999E-2</v>
      </c>
      <c r="O3192">
        <v>-0.3171369</v>
      </c>
      <c r="P3192">
        <v>0.97016199999999997</v>
      </c>
      <c r="Q3192">
        <v>0.160241299999999</v>
      </c>
      <c r="R3192">
        <v>-0.18195729999999999</v>
      </c>
      <c r="S3192">
        <v>3.0913089999999999</v>
      </c>
      <c r="T3192">
        <v>-0.12524009999999999</v>
      </c>
      <c r="U3192">
        <v>-0.14068599999999901</v>
      </c>
      <c r="V3192">
        <v>-0.139047799999999</v>
      </c>
      <c r="W3192">
        <v>0.1719985</v>
      </c>
      <c r="X3192">
        <v>0.97523439999999995</v>
      </c>
      <c r="Y3192">
        <v>-0.27333089999999999</v>
      </c>
      <c r="Z3192">
        <v>1.536612E-2</v>
      </c>
      <c r="AA3192">
        <v>0.96179729999999997</v>
      </c>
      <c r="AB3192">
        <v>26</v>
      </c>
      <c r="AC3192">
        <v>27.389299999999899</v>
      </c>
      <c r="AD3192">
        <v>-1.1195045816489999</v>
      </c>
      <c r="AE3192">
        <v>-1.18789999999998</v>
      </c>
      <c r="AF3192">
        <v>-7.5480086021801203</v>
      </c>
      <c r="AG3192">
        <v>-1.1195045816489999</v>
      </c>
      <c r="AH3192">
        <v>26.308023525408601</v>
      </c>
      <c r="AI3192">
        <v>92.342292144655801</v>
      </c>
      <c r="AJ3192">
        <v>106.008661560137</v>
      </c>
      <c r="AK3192">
        <v>27.392295014846201</v>
      </c>
      <c r="AL3192">
        <v>80.095963107115097</v>
      </c>
      <c r="AM3192">
        <v>98.114475683847999</v>
      </c>
      <c r="AN3192">
        <v>0.99999995481522297</v>
      </c>
    </row>
    <row r="3193" spans="1:40" x14ac:dyDescent="0.25">
      <c r="A3193" t="str">
        <f>"20190304155655097"</f>
        <v>20190304155655097</v>
      </c>
      <c r="B3193" t="str">
        <f>"1551686215087468"</f>
        <v>1551686215087468</v>
      </c>
      <c r="C3193" t="s">
        <v>40</v>
      </c>
      <c r="D3193">
        <v>4.3857169999999996</v>
      </c>
      <c r="E3193">
        <v>0.44346999999999998</v>
      </c>
      <c r="F3193" t="s">
        <v>55</v>
      </c>
      <c r="G3193">
        <v>-449.02800000000002</v>
      </c>
      <c r="H3193" s="1">
        <v>3.3428450000000002E-6</v>
      </c>
      <c r="I3193">
        <v>212.8914</v>
      </c>
      <c r="J3193">
        <v>-476.30759999999998</v>
      </c>
      <c r="K3193">
        <v>1.1194850000000001</v>
      </c>
      <c r="L3193">
        <v>213.773</v>
      </c>
      <c r="M3193">
        <v>0.95216699999999999</v>
      </c>
      <c r="N3193">
        <v>-1.522566E-2</v>
      </c>
      <c r="O3193">
        <v>-0.30519879999999999</v>
      </c>
      <c r="P3193">
        <v>0.97194100000000005</v>
      </c>
      <c r="Q3193">
        <v>0.1603676</v>
      </c>
      <c r="R3193">
        <v>-0.17208470000000001</v>
      </c>
      <c r="S3193">
        <v>3.09314</v>
      </c>
      <c r="T3193">
        <v>-0.1258678</v>
      </c>
      <c r="U3193">
        <v>-0.1062164</v>
      </c>
      <c r="V3193">
        <v>-0.13668939999999999</v>
      </c>
      <c r="W3193">
        <v>0.1722226</v>
      </c>
      <c r="X3193">
        <v>0.97552819999999996</v>
      </c>
      <c r="Y3193">
        <v>-0.2719743</v>
      </c>
      <c r="Z3193">
        <v>1.5137340000000001E-2</v>
      </c>
      <c r="AA3193">
        <v>0.96218539999999997</v>
      </c>
      <c r="AB3193">
        <v>26</v>
      </c>
      <c r="AC3193">
        <v>27.279599999999899</v>
      </c>
      <c r="AD3193">
        <v>-1.1194816571549999</v>
      </c>
      <c r="AE3193">
        <v>-0.88159999999999095</v>
      </c>
      <c r="AF3193">
        <v>-7.4745636869947703</v>
      </c>
      <c r="AG3193">
        <v>-1.1194816571549999</v>
      </c>
      <c r="AH3193">
        <v>26.202757963238199</v>
      </c>
      <c r="AI3193">
        <v>92.352668662262005</v>
      </c>
      <c r="AJ3193">
        <v>105.9212579135</v>
      </c>
      <c r="AK3193">
        <v>27.270989464478401</v>
      </c>
      <c r="AL3193">
        <v>80.082928493681607</v>
      </c>
      <c r="AM3193">
        <v>97.976260788368904</v>
      </c>
      <c r="AN3193">
        <v>0.99999994250917801</v>
      </c>
    </row>
    <row r="3194" spans="1:40" x14ac:dyDescent="0.25">
      <c r="A3194" t="str">
        <f>"20190304155655121"</f>
        <v>20190304155655121</v>
      </c>
      <c r="B3194" t="str">
        <f>"1551686215117724"</f>
        <v>1551686215117724</v>
      </c>
      <c r="C3194" t="s">
        <v>40</v>
      </c>
      <c r="D3194">
        <v>4.3854100000000003</v>
      </c>
      <c r="E3194">
        <v>0.44470880000000002</v>
      </c>
      <c r="F3194" t="s">
        <v>55</v>
      </c>
      <c r="G3194">
        <v>-448.81349999999998</v>
      </c>
      <c r="H3194" s="1">
        <v>3.2202410000000002E-6</v>
      </c>
      <c r="I3194">
        <v>213.0856</v>
      </c>
      <c r="J3194">
        <v>-476.0446</v>
      </c>
      <c r="K3194">
        <v>1.1194489999999999</v>
      </c>
      <c r="L3194">
        <v>213.70519999999999</v>
      </c>
      <c r="M3194">
        <v>0.95639819999999998</v>
      </c>
      <c r="N3194">
        <v>-1.5253249999999999E-2</v>
      </c>
      <c r="O3194">
        <v>-0.29166720000000002</v>
      </c>
      <c r="P3194">
        <v>0.97366070000000005</v>
      </c>
      <c r="Q3194">
        <v>0.16180050000000001</v>
      </c>
      <c r="R3194">
        <v>-0.16064030000000001</v>
      </c>
      <c r="S3194">
        <v>3.0936889999999999</v>
      </c>
      <c r="T3194">
        <v>-0.12596650000000001</v>
      </c>
      <c r="U3194">
        <v>-7.7346799999999993E-2</v>
      </c>
      <c r="V3194">
        <v>-0.13427159999999999</v>
      </c>
      <c r="W3194">
        <v>0.17375179999999901</v>
      </c>
      <c r="X3194">
        <v>0.97559289999999999</v>
      </c>
      <c r="Y3194">
        <v>-0.26731240000000001</v>
      </c>
      <c r="Z3194">
        <v>1.47049E-2</v>
      </c>
      <c r="AA3194">
        <v>0.96349770000000001</v>
      </c>
      <c r="AB3194">
        <v>26</v>
      </c>
      <c r="AC3194">
        <v>27.231100000000001</v>
      </c>
      <c r="AD3194">
        <v>-1.1194457797589901</v>
      </c>
      <c r="AE3194">
        <v>-0.61959999999999105</v>
      </c>
      <c r="AF3194">
        <v>-7.3382947802681597</v>
      </c>
      <c r="AG3194">
        <v>-1.1194457797589901</v>
      </c>
      <c r="AH3194">
        <v>26.183318337770299</v>
      </c>
      <c r="AI3194">
        <v>92.357414188735206</v>
      </c>
      <c r="AJ3194">
        <v>105.656379948034</v>
      </c>
      <c r="AK3194">
        <v>27.215251024250101</v>
      </c>
      <c r="AL3194">
        <v>79.993971520644493</v>
      </c>
      <c r="AM3194">
        <v>97.836429804242897</v>
      </c>
      <c r="AN3194">
        <v>1.0000000285501001</v>
      </c>
    </row>
    <row r="3195" spans="1:40" x14ac:dyDescent="0.25">
      <c r="A3195" t="str">
        <f>"20190304155655143"</f>
        <v>20190304155655143</v>
      </c>
      <c r="B3195" t="str">
        <f>"1551686215138222"</f>
        <v>1551686215138222</v>
      </c>
      <c r="C3195" t="s">
        <v>40</v>
      </c>
      <c r="D3195">
        <v>4.3412179999999996</v>
      </c>
      <c r="E3195">
        <v>0.44557439999999998</v>
      </c>
      <c r="F3195" t="s">
        <v>55</v>
      </c>
      <c r="G3195">
        <v>-447.38720000000001</v>
      </c>
      <c r="H3195" s="1">
        <v>2.4548659999999999E-6</v>
      </c>
      <c r="I3195">
        <v>213.23159999999999</v>
      </c>
      <c r="J3195">
        <v>-475.80860000000001</v>
      </c>
      <c r="K3195">
        <v>1.119408</v>
      </c>
      <c r="L3195">
        <v>213.64760000000001</v>
      </c>
      <c r="M3195">
        <v>0.96000810000000003</v>
      </c>
      <c r="N3195">
        <v>-1.527094E-2</v>
      </c>
      <c r="O3195">
        <v>-0.27955590000000002</v>
      </c>
      <c r="P3195">
        <v>0.97480279999999997</v>
      </c>
      <c r="Q3195">
        <v>0.16402809999999901</v>
      </c>
      <c r="R3195">
        <v>-0.15117659999999999</v>
      </c>
      <c r="S3195">
        <v>3.0928040000000001</v>
      </c>
      <c r="T3195">
        <v>-0.12081459999999999</v>
      </c>
      <c r="U3195">
        <v>-5.111694E-2</v>
      </c>
      <c r="V3195">
        <v>-0.13133300000000001</v>
      </c>
      <c r="W3195">
        <v>0.17607809999999999</v>
      </c>
      <c r="X3195">
        <v>0.97557579999999999</v>
      </c>
      <c r="Y3195">
        <v>-0.26333179999999901</v>
      </c>
      <c r="Z3195">
        <v>1.3637069999999999E-2</v>
      </c>
      <c r="AA3195">
        <v>0.96460900000000005</v>
      </c>
      <c r="AB3195">
        <v>26</v>
      </c>
      <c r="AC3195">
        <v>28.421399999999998</v>
      </c>
      <c r="AD3195">
        <v>-1.1194055451339999</v>
      </c>
      <c r="AE3195">
        <v>-0.41600000000002502</v>
      </c>
      <c r="AF3195">
        <v>-7.5351992162060597</v>
      </c>
      <c r="AG3195">
        <v>-1.1194055451339999</v>
      </c>
      <c r="AH3195">
        <v>27.361825366723998</v>
      </c>
      <c r="AI3195">
        <v>92.258739128029802</v>
      </c>
      <c r="AJ3195">
        <v>105.397074330658</v>
      </c>
      <c r="AK3195">
        <v>28.402496076955799</v>
      </c>
      <c r="AL3195">
        <v>79.858597014373402</v>
      </c>
      <c r="AM3195">
        <v>97.667120862893896</v>
      </c>
      <c r="AN3195">
        <v>0.99999999786712401</v>
      </c>
    </row>
    <row r="3196" spans="1:40" x14ac:dyDescent="0.25">
      <c r="A3196" t="str">
        <f>"20190304155655178"</f>
        <v>20190304155655178</v>
      </c>
      <c r="B3196" t="str">
        <f>"1551686215167501"</f>
        <v>1551686215167501</v>
      </c>
      <c r="C3196" t="s">
        <v>40</v>
      </c>
      <c r="D3196">
        <v>4.2969939999999998</v>
      </c>
      <c r="E3196">
        <v>0.46182820000000002</v>
      </c>
      <c r="F3196" t="s">
        <v>55</v>
      </c>
      <c r="G3196">
        <v>-445.9477</v>
      </c>
      <c r="H3196" s="1">
        <v>1.683484E-6</v>
      </c>
      <c r="I3196">
        <v>213.35290000000001</v>
      </c>
      <c r="J3196">
        <v>-475.42320000000001</v>
      </c>
      <c r="K3196">
        <v>1.1192959999999901</v>
      </c>
      <c r="L3196">
        <v>213.56030000000001</v>
      </c>
      <c r="M3196">
        <v>0.96551129999999996</v>
      </c>
      <c r="N3196">
        <v>-1.5284870000000001E-2</v>
      </c>
      <c r="O3196">
        <v>-0.25991199999999998</v>
      </c>
      <c r="P3196">
        <v>0.97742240000000002</v>
      </c>
      <c r="Q3196">
        <v>0.16239770000000001</v>
      </c>
      <c r="R3196">
        <v>-0.13517609999999999</v>
      </c>
      <c r="S3196">
        <v>3.0923159999999998</v>
      </c>
      <c r="T3196">
        <v>-0.1159225</v>
      </c>
      <c r="U3196">
        <v>-3.0517579999999999E-2</v>
      </c>
      <c r="V3196">
        <v>-0.12739619999999999</v>
      </c>
      <c r="W3196">
        <v>0.17459549999999999</v>
      </c>
      <c r="X3196">
        <v>0.97636400000000001</v>
      </c>
      <c r="Y3196">
        <v>-0.25009379999999998</v>
      </c>
      <c r="Z3196">
        <v>1.2241719999999999E-2</v>
      </c>
      <c r="AA3196">
        <v>0.96814420000000001</v>
      </c>
      <c r="AB3196">
        <v>26</v>
      </c>
      <c r="AC3196">
        <v>29.4755</v>
      </c>
      <c r="AD3196">
        <v>-1.1192943165160001</v>
      </c>
      <c r="AE3196">
        <v>-0.207400000000006</v>
      </c>
      <c r="AF3196">
        <v>-7.4509172757027304</v>
      </c>
      <c r="AG3196">
        <v>-1.1192943165160001</v>
      </c>
      <c r="AH3196">
        <v>28.4751069579779</v>
      </c>
      <c r="AI3196">
        <v>92.177767733890704</v>
      </c>
      <c r="AJ3196">
        <v>104.663496199086</v>
      </c>
      <c r="AK3196">
        <v>29.455062455962199</v>
      </c>
      <c r="AL3196">
        <v>79.944880633702695</v>
      </c>
      <c r="AM3196">
        <v>97.433968380891599</v>
      </c>
      <c r="AN3196">
        <v>1.0000000204453401</v>
      </c>
    </row>
    <row r="3197" spans="1:40" x14ac:dyDescent="0.25">
      <c r="A3197" t="str">
        <f>"20190304155655198"</f>
        <v>20190304155655198</v>
      </c>
      <c r="B3197" t="str">
        <f>"1551686215187997"</f>
        <v>1551686215187997</v>
      </c>
      <c r="C3197" t="s">
        <v>40</v>
      </c>
      <c r="D3197">
        <v>4.3048900000000003</v>
      </c>
      <c r="E3197">
        <v>0.46508240000000001</v>
      </c>
      <c r="F3197" t="s">
        <v>55</v>
      </c>
      <c r="G3197">
        <v>-449.2663</v>
      </c>
      <c r="H3197" s="1">
        <v>3.4811E-6</v>
      </c>
      <c r="I3197">
        <v>212.6301</v>
      </c>
      <c r="J3197">
        <v>-475.19420000000002</v>
      </c>
      <c r="K3197">
        <v>1.119208</v>
      </c>
      <c r="L3197">
        <v>213.5121</v>
      </c>
      <c r="M3197">
        <v>0.96855150000000001</v>
      </c>
      <c r="N3197">
        <v>-1.5284829999999999E-2</v>
      </c>
      <c r="O3197">
        <v>-0.24834339999999999</v>
      </c>
      <c r="P3197">
        <v>0.97898079999999998</v>
      </c>
      <c r="Q3197">
        <v>0.1597876</v>
      </c>
      <c r="R3197">
        <v>-0.1267462</v>
      </c>
      <c r="S3197">
        <v>3.0760800000000001</v>
      </c>
      <c r="T3197">
        <v>-0.13162989999999999</v>
      </c>
      <c r="U3197">
        <v>-0.1093903</v>
      </c>
      <c r="V3197">
        <v>-0.1241352</v>
      </c>
      <c r="W3197">
        <v>0.17209579999999999</v>
      </c>
      <c r="X3197">
        <v>0.97722739999999997</v>
      </c>
      <c r="Y3197">
        <v>-0.21343690000000001</v>
      </c>
      <c r="Z3197">
        <v>1.2890260000000001E-2</v>
      </c>
      <c r="AA3197">
        <v>0.97687179999999996</v>
      </c>
      <c r="AB3197">
        <v>26</v>
      </c>
      <c r="AC3197">
        <v>25.927900000000001</v>
      </c>
      <c r="AD3197">
        <v>-1.1192045188999999</v>
      </c>
      <c r="AE3197">
        <v>-0.882000000000005</v>
      </c>
      <c r="AF3197">
        <v>-5.5750366922215902</v>
      </c>
      <c r="AG3197">
        <v>-1.1192045188999999</v>
      </c>
      <c r="AH3197">
        <v>25.2874401118066</v>
      </c>
      <c r="AI3197">
        <v>92.474861688584994</v>
      </c>
      <c r="AJ3197">
        <v>102.432917655797</v>
      </c>
      <c r="AK3197">
        <v>25.918878839235099</v>
      </c>
      <c r="AL3197">
        <v>80.090303810230694</v>
      </c>
      <c r="AM3197">
        <v>97.239393427283602</v>
      </c>
      <c r="AN3197">
        <v>0.99999995178371803</v>
      </c>
    </row>
    <row r="3198" spans="1:40" x14ac:dyDescent="0.25">
      <c r="A3198" t="str">
        <f>"20190304155655220"</f>
        <v>20190304155655220</v>
      </c>
      <c r="B3198" t="str">
        <f>"1551686215207517"</f>
        <v>1551686215207517</v>
      </c>
      <c r="C3198" t="s">
        <v>40</v>
      </c>
      <c r="D3198">
        <v>4.3600289999999999</v>
      </c>
      <c r="E3198">
        <v>0.46531499999999998</v>
      </c>
      <c r="F3198" t="s">
        <v>55</v>
      </c>
      <c r="G3198">
        <v>-448.93759999999997</v>
      </c>
      <c r="H3198" s="1">
        <v>3.307926E-6</v>
      </c>
      <c r="I3198">
        <v>212.58949999999999</v>
      </c>
      <c r="J3198">
        <v>-474.96</v>
      </c>
      <c r="K3198">
        <v>1.1191089999999999</v>
      </c>
      <c r="L3198">
        <v>213.4658</v>
      </c>
      <c r="M3198">
        <v>0.97148630000000002</v>
      </c>
      <c r="N3198">
        <v>-1.5279859999999999E-2</v>
      </c>
      <c r="O3198">
        <v>-0.23660349999999999</v>
      </c>
      <c r="P3198">
        <v>0.98018570000000005</v>
      </c>
      <c r="Q3198">
        <v>0.1589236</v>
      </c>
      <c r="R3198">
        <v>-0.1182346</v>
      </c>
      <c r="S3198">
        <v>3.0718079999999999</v>
      </c>
      <c r="T3198">
        <v>-0.13093750000000001</v>
      </c>
      <c r="U3198">
        <v>-0.1079407</v>
      </c>
      <c r="V3198">
        <v>-0.120763</v>
      </c>
      <c r="W3198">
        <v>0.17133709999999999</v>
      </c>
      <c r="X3198">
        <v>0.97778310000000002</v>
      </c>
      <c r="Y3198">
        <v>-0.2020324</v>
      </c>
      <c r="Z3198">
        <v>1.2199130000000001E-2</v>
      </c>
      <c r="AA3198">
        <v>0.97930289999999998</v>
      </c>
      <c r="AB3198">
        <v>26</v>
      </c>
      <c r="AC3198">
        <v>26.022400000000001</v>
      </c>
      <c r="AD3198">
        <v>-1.1191056920739999</v>
      </c>
      <c r="AE3198">
        <v>-0.87630000000001396</v>
      </c>
      <c r="AF3198">
        <v>-5.2965114501060802</v>
      </c>
      <c r="AG3198">
        <v>-1.1191056920739999</v>
      </c>
      <c r="AH3198">
        <v>25.443708430555901</v>
      </c>
      <c r="AI3198">
        <v>92.465662561693804</v>
      </c>
      <c r="AJ3198">
        <v>101.75909226390399</v>
      </c>
      <c r="AK3198">
        <v>26.013222210835</v>
      </c>
      <c r="AL3198">
        <v>80.134429502394894</v>
      </c>
      <c r="AM3198">
        <v>97.040771061949798</v>
      </c>
      <c r="AN3198">
        <v>0.99999994732550801</v>
      </c>
    </row>
    <row r="3199" spans="1:40" x14ac:dyDescent="0.25">
      <c r="A3199" t="str">
        <f>"20190304155655242"</f>
        <v>20190304155655242</v>
      </c>
      <c r="B3199" t="str">
        <f>"1551686215237774"</f>
        <v>1551686215237774</v>
      </c>
      <c r="C3199" t="s">
        <v>40</v>
      </c>
      <c r="D3199">
        <v>4.4211799999999997</v>
      </c>
      <c r="E3199">
        <v>0.46552490000000002</v>
      </c>
      <c r="F3199" t="s">
        <v>55</v>
      </c>
      <c r="G3199">
        <v>-449.42509999999999</v>
      </c>
      <c r="H3199" s="1">
        <v>3.5592019999999998E-6</v>
      </c>
      <c r="I3199">
        <v>212.77629999999999</v>
      </c>
      <c r="J3199">
        <v>-474.71679999999998</v>
      </c>
      <c r="K3199">
        <v>1.118987</v>
      </c>
      <c r="L3199">
        <v>213.42060000000001</v>
      </c>
      <c r="M3199">
        <v>0.97434679999999996</v>
      </c>
      <c r="N3199">
        <v>-1.527042E-2</v>
      </c>
      <c r="O3199">
        <v>-0.2245336</v>
      </c>
      <c r="P3199">
        <v>0.98120390000000002</v>
      </c>
      <c r="Q3199">
        <v>0.1589091</v>
      </c>
      <c r="R3199">
        <v>-0.1094868</v>
      </c>
      <c r="S3199">
        <v>3.0724490000000002</v>
      </c>
      <c r="T3199">
        <v>-0.13465450000000001</v>
      </c>
      <c r="U3199">
        <v>-8.2962040000000001E-2</v>
      </c>
      <c r="V3199">
        <v>-0.1172976</v>
      </c>
      <c r="W3199">
        <v>0.17142639999999901</v>
      </c>
      <c r="X3199">
        <v>0.97818930000000004</v>
      </c>
      <c r="Y3199">
        <v>-0.1978319</v>
      </c>
      <c r="Z3199">
        <v>1.2155040000000001E-2</v>
      </c>
      <c r="AA3199">
        <v>0.98016060000000005</v>
      </c>
      <c r="AB3199">
        <v>26</v>
      </c>
      <c r="AC3199">
        <v>25.291699999999899</v>
      </c>
      <c r="AD3199">
        <v>-1.1189834407979999</v>
      </c>
      <c r="AE3199">
        <v>-0.64430000000001497</v>
      </c>
      <c r="AF3199">
        <v>-5.0417906324819102</v>
      </c>
      <c r="AG3199">
        <v>-1.1189834407979999</v>
      </c>
      <c r="AH3199">
        <v>24.742041947848801</v>
      </c>
      <c r="AI3199">
        <v>92.537418320851103</v>
      </c>
      <c r="AJ3199">
        <v>101.51771118544001</v>
      </c>
      <c r="AK3199">
        <v>25.2752926090218</v>
      </c>
      <c r="AL3199">
        <v>80.129236897368202</v>
      </c>
      <c r="AM3199">
        <v>96.837858609127693</v>
      </c>
      <c r="AN3199">
        <v>1.0000000221086001</v>
      </c>
    </row>
    <row r="3200" spans="1:40" x14ac:dyDescent="0.25">
      <c r="A3200" t="str">
        <f>"20190304155655265"</f>
        <v>20190304155655265</v>
      </c>
      <c r="B3200" t="str">
        <f>"1551686215258269"</f>
        <v>1551686215258269</v>
      </c>
      <c r="C3200" t="s">
        <v>40</v>
      </c>
      <c r="D3200">
        <v>4.404598</v>
      </c>
      <c r="E3200">
        <v>0.46572330000000001</v>
      </c>
      <c r="F3200" t="s">
        <v>55</v>
      </c>
      <c r="G3200">
        <v>-450.23180000000002</v>
      </c>
      <c r="H3200" s="1">
        <v>-1.341193E-6</v>
      </c>
      <c r="I3200">
        <v>212.9632</v>
      </c>
      <c r="J3200">
        <v>-474.47340000000003</v>
      </c>
      <c r="K3200">
        <v>1.1188610000000001</v>
      </c>
      <c r="L3200">
        <v>213.3784</v>
      </c>
      <c r="M3200">
        <v>0.9770221</v>
      </c>
      <c r="N3200">
        <v>-1.525613E-2</v>
      </c>
      <c r="O3200">
        <v>-0.21259140000000001</v>
      </c>
      <c r="P3200">
        <v>0.98215799999999998</v>
      </c>
      <c r="Q3200">
        <v>0.15879409999999999</v>
      </c>
      <c r="R3200">
        <v>-0.10074660000000001</v>
      </c>
      <c r="S3200">
        <v>3.0737920000000001</v>
      </c>
      <c r="T3200">
        <v>-0.14047519999999999</v>
      </c>
      <c r="U3200">
        <v>-5.7418820000000002E-2</v>
      </c>
      <c r="V3200">
        <v>-0.1139744</v>
      </c>
      <c r="W3200">
        <v>0.17140710000000001</v>
      </c>
      <c r="X3200">
        <v>0.97858540000000005</v>
      </c>
      <c r="Y3200">
        <v>-0.19396450000000001</v>
      </c>
      <c r="Z3200">
        <v>1.229657E-2</v>
      </c>
      <c r="AA3200">
        <v>0.98093149999999996</v>
      </c>
      <c r="AB3200">
        <v>25</v>
      </c>
      <c r="AC3200">
        <v>24.241599999999998</v>
      </c>
      <c r="AD3200">
        <v>-1.1188623411929901</v>
      </c>
      <c r="AE3200">
        <v>-0.41519999999999802</v>
      </c>
      <c r="AF3200">
        <v>-4.7383577203158396</v>
      </c>
      <c r="AG3200">
        <v>-1.1188623411929901</v>
      </c>
      <c r="AH3200">
        <v>23.725087926572598</v>
      </c>
      <c r="AI3200">
        <v>92.647822662710794</v>
      </c>
      <c r="AJ3200">
        <v>101.294466747629</v>
      </c>
      <c r="AK3200">
        <v>24.219489754076498</v>
      </c>
      <c r="AL3200">
        <v>80.130358814202296</v>
      </c>
      <c r="AM3200">
        <v>96.643224665426303</v>
      </c>
      <c r="AN3200">
        <v>0.99999997143946395</v>
      </c>
    </row>
    <row r="3201" spans="1:40" x14ac:dyDescent="0.25">
      <c r="A3201" t="str">
        <f>"20190304155655287"</f>
        <v>20190304155655287</v>
      </c>
      <c r="B3201" t="str">
        <f>"1551686215277789"</f>
        <v>1551686215277789</v>
      </c>
      <c r="C3201" t="s">
        <v>40</v>
      </c>
      <c r="D3201">
        <v>4.3554409999999999</v>
      </c>
      <c r="E3201">
        <v>0.4675668</v>
      </c>
      <c r="F3201" t="s">
        <v>55</v>
      </c>
      <c r="G3201">
        <v>-450.6268</v>
      </c>
      <c r="H3201" s="1">
        <v>-1.1386129999999999E-6</v>
      </c>
      <c r="I3201">
        <v>213.13740000000001</v>
      </c>
      <c r="J3201">
        <v>-474.22669999999999</v>
      </c>
      <c r="K3201">
        <v>1.1187290000000001</v>
      </c>
      <c r="L3201">
        <v>213.33840000000001</v>
      </c>
      <c r="M3201">
        <v>0.97954980000000003</v>
      </c>
      <c r="N3201">
        <v>-1.5237469999999999E-2</v>
      </c>
      <c r="O3201">
        <v>-0.200624</v>
      </c>
      <c r="P3201">
        <v>0.98302409999999996</v>
      </c>
      <c r="Q3201">
        <v>0.1589342</v>
      </c>
      <c r="R3201">
        <v>-9.1669070000000005E-2</v>
      </c>
      <c r="S3201">
        <v>3.0746769999999999</v>
      </c>
      <c r="T3201">
        <v>-0.14426059999999999</v>
      </c>
      <c r="U3201">
        <v>-3.106689E-2</v>
      </c>
      <c r="V3201">
        <v>-0.1109798</v>
      </c>
      <c r="W3201">
        <v>0.171629799999999</v>
      </c>
      <c r="X3201">
        <v>0.9788905</v>
      </c>
      <c r="Y3201">
        <v>-0.19036400000000001</v>
      </c>
      <c r="Z3201">
        <v>1.219928E-2</v>
      </c>
      <c r="AA3201">
        <v>0.9816378</v>
      </c>
      <c r="AB3201">
        <v>25</v>
      </c>
      <c r="AC3201">
        <v>23.599899999999899</v>
      </c>
      <c r="AD3201">
        <v>-1.118730138613</v>
      </c>
      <c r="AE3201">
        <v>-0.20099999999999299</v>
      </c>
      <c r="AF3201">
        <v>-4.5281690630442801</v>
      </c>
      <c r="AG3201">
        <v>-1.118730138613</v>
      </c>
      <c r="AH3201">
        <v>23.108367816869301</v>
      </c>
      <c r="AI3201">
        <v>92.720009272293893</v>
      </c>
      <c r="AJ3201">
        <v>101.086838204177</v>
      </c>
      <c r="AK3201">
        <v>23.574404241598</v>
      </c>
      <c r="AL3201">
        <v>80.117406973309102</v>
      </c>
      <c r="AM3201">
        <v>96.468178735691396</v>
      </c>
      <c r="AN3201">
        <v>0.99999995762316396</v>
      </c>
    </row>
    <row r="3202" spans="1:40" x14ac:dyDescent="0.25">
      <c r="A3202" t="str">
        <f>"20190304155655308"</f>
        <v>20190304155655308</v>
      </c>
      <c r="B3202" t="str">
        <f>"1551686215298285"</f>
        <v>1551686215298285</v>
      </c>
      <c r="C3202" t="s">
        <v>40</v>
      </c>
      <c r="D3202">
        <v>4.3571070000000001</v>
      </c>
      <c r="E3202">
        <v>0.46859079999999897</v>
      </c>
      <c r="F3202" t="s">
        <v>55</v>
      </c>
      <c r="G3202">
        <v>-449.38780000000003</v>
      </c>
      <c r="H3202" s="1">
        <v>3.520406E-6</v>
      </c>
      <c r="I3202">
        <v>213.20949999999999</v>
      </c>
      <c r="J3202">
        <v>-473.99090000000001</v>
      </c>
      <c r="K3202">
        <v>1.118619</v>
      </c>
      <c r="L3202">
        <v>213.303</v>
      </c>
      <c r="M3202">
        <v>0.9817979</v>
      </c>
      <c r="N3202">
        <v>-1.521716E-2</v>
      </c>
      <c r="O3202">
        <v>-0.18931770000000001</v>
      </c>
      <c r="P3202">
        <v>0.98349509999999996</v>
      </c>
      <c r="Q3202">
        <v>0.16073200000000001</v>
      </c>
      <c r="R3202">
        <v>-8.3082740000000002E-2</v>
      </c>
      <c r="S3202">
        <v>3.0727229999999999</v>
      </c>
      <c r="T3202">
        <v>-0.13839270000000001</v>
      </c>
      <c r="U3202">
        <v>-1.594543E-2</v>
      </c>
      <c r="V3202">
        <v>-0.1081638</v>
      </c>
      <c r="W3202">
        <v>0.17349719999999999</v>
      </c>
      <c r="X3202">
        <v>0.97887650000000004</v>
      </c>
      <c r="Y3202">
        <v>-0.1839104</v>
      </c>
      <c r="Z3202">
        <v>1.1128600000000001E-2</v>
      </c>
      <c r="AA3202">
        <v>0.98287999999999998</v>
      </c>
      <c r="AB3202">
        <v>25</v>
      </c>
      <c r="AC3202">
        <v>24.603099999999898</v>
      </c>
      <c r="AD3202">
        <v>-1.118615479594</v>
      </c>
      <c r="AE3202">
        <v>-9.3500000000005898E-2</v>
      </c>
      <c r="AF3202">
        <v>-4.5571129297989703</v>
      </c>
      <c r="AG3202">
        <v>-1.118615479594</v>
      </c>
      <c r="AH3202">
        <v>24.125901662616201</v>
      </c>
      <c r="AI3202">
        <v>92.608597660809494</v>
      </c>
      <c r="AJ3202">
        <v>100.696506542484</v>
      </c>
      <c r="AK3202">
        <v>24.577992389134501</v>
      </c>
      <c r="AL3202">
        <v>80.008783146750702</v>
      </c>
      <c r="AM3202">
        <v>96.305483612184105</v>
      </c>
      <c r="AN3202">
        <v>0.99999994414526305</v>
      </c>
    </row>
    <row r="3203" spans="1:40" x14ac:dyDescent="0.25">
      <c r="A3203" t="str">
        <f>"20190304155655331"</f>
        <v>20190304155655331</v>
      </c>
      <c r="B3203" t="str">
        <f>"1551686215327565"</f>
        <v>1551686215327565</v>
      </c>
      <c r="C3203" t="s">
        <v>40</v>
      </c>
      <c r="D3203">
        <v>4.3346689999999999</v>
      </c>
      <c r="E3203">
        <v>0.4635184</v>
      </c>
      <c r="F3203" t="s">
        <v>55</v>
      </c>
      <c r="G3203">
        <v>-447.42500000000001</v>
      </c>
      <c r="H3203" s="1">
        <v>2.470472E-6</v>
      </c>
      <c r="I3203">
        <v>213.33439999999999</v>
      </c>
      <c r="J3203">
        <v>-473.74040000000002</v>
      </c>
      <c r="K3203">
        <v>1.1185080000000001</v>
      </c>
      <c r="L3203">
        <v>213.26830000000001</v>
      </c>
      <c r="M3203">
        <v>0.98401240000000001</v>
      </c>
      <c r="N3203">
        <v>-1.5194020000000001E-2</v>
      </c>
      <c r="O3203">
        <v>-0.17745079999999999</v>
      </c>
      <c r="P3203">
        <v>0.98376439999999998</v>
      </c>
      <c r="Q3203">
        <v>0.16344620000000001</v>
      </c>
      <c r="R3203">
        <v>-7.4113940000000003E-2</v>
      </c>
      <c r="S3203">
        <v>3.071777</v>
      </c>
      <c r="T3203">
        <v>-0.12934399999999999</v>
      </c>
      <c r="U3203">
        <v>3.6315919999999999E-3</v>
      </c>
      <c r="V3203">
        <v>-0.1051821</v>
      </c>
      <c r="W3203">
        <v>0.1762785</v>
      </c>
      <c r="X3203">
        <v>0.97870460000000004</v>
      </c>
      <c r="Y3203">
        <v>-0.17835699999999999</v>
      </c>
      <c r="Z3203">
        <v>9.8419289999999993E-3</v>
      </c>
      <c r="AA3203">
        <v>0.98391660000000003</v>
      </c>
      <c r="AB3203">
        <v>25</v>
      </c>
      <c r="AC3203">
        <v>26.3154</v>
      </c>
      <c r="AD3203">
        <v>-1.118505529528</v>
      </c>
      <c r="AE3203">
        <v>6.6099999999977399E-2</v>
      </c>
      <c r="AF3203">
        <v>-4.7267393472300201</v>
      </c>
      <c r="AG3203">
        <v>-1.118505529528</v>
      </c>
      <c r="AH3203">
        <v>25.8392576579338</v>
      </c>
      <c r="AI3203">
        <v>92.438209552989406</v>
      </c>
      <c r="AJ3203">
        <v>100.36642102882099</v>
      </c>
      <c r="AK3203">
        <v>26.291830590305601</v>
      </c>
      <c r="AL3203">
        <v>79.846932907679999</v>
      </c>
      <c r="AM3203">
        <v>96.1340755729139</v>
      </c>
      <c r="AN3203">
        <v>1.0000000388918999</v>
      </c>
    </row>
    <row r="3204" spans="1:40" x14ac:dyDescent="0.25">
      <c r="A3204" t="str">
        <f>"20190304155655356"</f>
        <v>20190304155655356</v>
      </c>
      <c r="B3204" t="str">
        <f>"1551686215348061"</f>
        <v>1551686215348061</v>
      </c>
      <c r="C3204" t="s">
        <v>40</v>
      </c>
      <c r="D3204">
        <v>4.3435189999999997</v>
      </c>
      <c r="E3204">
        <v>0.46137669999999997</v>
      </c>
      <c r="F3204" t="s">
        <v>64</v>
      </c>
      <c r="G3204">
        <v>-433.52280000000002</v>
      </c>
      <c r="H3204" s="1">
        <v>3.8138490000000001E-6</v>
      </c>
      <c r="I3204">
        <v>214.2201</v>
      </c>
      <c r="J3204">
        <v>-473.45749999999998</v>
      </c>
      <c r="K3204">
        <v>1.1183799999999999</v>
      </c>
      <c r="L3204">
        <v>213.233</v>
      </c>
      <c r="M3204">
        <v>0.98630569999999895</v>
      </c>
      <c r="N3204">
        <v>-1.516619E-2</v>
      </c>
      <c r="O3204">
        <v>-0.16422970000000001</v>
      </c>
      <c r="P3204">
        <v>0.98439149999999997</v>
      </c>
      <c r="Q3204">
        <v>0.16388220000000001</v>
      </c>
      <c r="R3204">
        <v>-6.4159880000000002E-2</v>
      </c>
      <c r="S3204">
        <v>3.0691220000000001</v>
      </c>
      <c r="T3204">
        <v>-8.5356349999999998E-2</v>
      </c>
      <c r="U3204">
        <v>7.2631840000000003E-2</v>
      </c>
      <c r="V3204">
        <v>-0.1018767</v>
      </c>
      <c r="W3204">
        <v>0.17679010000000001</v>
      </c>
      <c r="X3204">
        <v>0.97896190000000005</v>
      </c>
      <c r="Y3204">
        <v>-0.18741550000000001</v>
      </c>
      <c r="Z3204">
        <v>6.0820780000000003E-3</v>
      </c>
      <c r="AA3204">
        <v>0.98226190000000002</v>
      </c>
      <c r="AB3204">
        <v>25</v>
      </c>
      <c r="AC3204">
        <v>39.9346999999999</v>
      </c>
      <c r="AD3204">
        <v>-1.118376186151</v>
      </c>
      <c r="AE3204">
        <v>0.98709999999999798</v>
      </c>
      <c r="AF3204">
        <v>-7.5270115232477499</v>
      </c>
      <c r="AG3204">
        <v>-1.118376186151</v>
      </c>
      <c r="AH3204">
        <v>39.199491520304001</v>
      </c>
      <c r="AI3204">
        <v>91.604922810841899</v>
      </c>
      <c r="AJ3204">
        <v>100.869525012982</v>
      </c>
      <c r="AK3204">
        <v>39.931276002843198</v>
      </c>
      <c r="AL3204">
        <v>79.817152289667206</v>
      </c>
      <c r="AM3204">
        <v>95.941160080192404</v>
      </c>
      <c r="AN3204">
        <v>1.00000000155625</v>
      </c>
    </row>
    <row r="3205" spans="1:40" x14ac:dyDescent="0.25">
      <c r="A3205" t="str">
        <f>"20190304155655378"</f>
        <v>20190304155655378</v>
      </c>
      <c r="B3205" t="str">
        <f>"1551686215367581"</f>
        <v>1551686215367581</v>
      </c>
      <c r="C3205" t="s">
        <v>40</v>
      </c>
      <c r="D3205">
        <v>4.3850309999999997</v>
      </c>
      <c r="E3205">
        <v>0.46199990000000002</v>
      </c>
      <c r="F3205" t="s">
        <v>64</v>
      </c>
      <c r="G3205">
        <v>-429.2097</v>
      </c>
      <c r="H3205" s="1">
        <v>2.298572E-6</v>
      </c>
      <c r="I3205">
        <v>214.98670000000001</v>
      </c>
      <c r="J3205">
        <v>-473.22219999999999</v>
      </c>
      <c r="K3205">
        <v>1.1182840000000001</v>
      </c>
      <c r="L3205">
        <v>213.2062</v>
      </c>
      <c r="M3205">
        <v>0.98805699999999996</v>
      </c>
      <c r="N3205">
        <v>-1.5142890000000001E-2</v>
      </c>
      <c r="O3205">
        <v>-0.1533428</v>
      </c>
      <c r="P3205">
        <v>0.98458429999999997</v>
      </c>
      <c r="Q3205">
        <v>0.16585039999999901</v>
      </c>
      <c r="R3205">
        <v>-5.5563670000000003E-2</v>
      </c>
      <c r="S3205">
        <v>3.06839</v>
      </c>
      <c r="T3205">
        <v>-7.7554700000000004E-2</v>
      </c>
      <c r="U3205">
        <v>0.1216125</v>
      </c>
      <c r="V3205">
        <v>-9.9563509999999994E-2</v>
      </c>
      <c r="W3205">
        <v>0.17880309999999999</v>
      </c>
      <c r="X3205">
        <v>0.97883430000000005</v>
      </c>
      <c r="Y3205">
        <v>-0.192269</v>
      </c>
      <c r="Z3205">
        <v>5.4240819999999898E-3</v>
      </c>
      <c r="AA3205">
        <v>0.98132730000000001</v>
      </c>
      <c r="AB3205">
        <v>25</v>
      </c>
      <c r="AC3205">
        <v>44.012499999999903</v>
      </c>
      <c r="AD3205">
        <v>-1.118281701428</v>
      </c>
      <c r="AE3205">
        <v>1.78050000000001</v>
      </c>
      <c r="AF3205">
        <v>-8.5037304528938495</v>
      </c>
      <c r="AG3205">
        <v>-1.118281701428</v>
      </c>
      <c r="AH3205">
        <v>43.190950590638302</v>
      </c>
      <c r="AI3205">
        <v>91.455221671873304</v>
      </c>
      <c r="AJ3205">
        <v>101.138320597787</v>
      </c>
      <c r="AK3205">
        <v>44.034329772374001</v>
      </c>
      <c r="AL3205">
        <v>79.699948614997197</v>
      </c>
      <c r="AM3205">
        <v>95.807945798055798</v>
      </c>
      <c r="AN3205">
        <v>1.00000001397481</v>
      </c>
    </row>
    <row r="3206" spans="1:40" x14ac:dyDescent="0.25">
      <c r="A3206" t="str">
        <f>"20190304155655398"</f>
        <v>20190304155655398</v>
      </c>
      <c r="B3206" t="str">
        <f>"1551686215388077"</f>
        <v>1551686215388077</v>
      </c>
      <c r="C3206" t="s">
        <v>40</v>
      </c>
      <c r="D3206">
        <v>4.3902359999999998</v>
      </c>
      <c r="E3206">
        <v>0.46211419999999997</v>
      </c>
      <c r="F3206" t="s">
        <v>64</v>
      </c>
      <c r="G3206">
        <v>-425.7989</v>
      </c>
      <c r="H3206" s="1">
        <v>2.8648589999999998E-6</v>
      </c>
      <c r="I3206">
        <v>215.4297</v>
      </c>
      <c r="J3206">
        <v>-472.98750000000001</v>
      </c>
      <c r="K3206">
        <v>1.118193</v>
      </c>
      <c r="L3206">
        <v>213.18199999999999</v>
      </c>
      <c r="M3206">
        <v>0.98966560000000003</v>
      </c>
      <c r="N3206">
        <v>-1.5119530000000001E-2</v>
      </c>
      <c r="O3206">
        <v>-0.14259669999999999</v>
      </c>
      <c r="P3206">
        <v>0.98460150000000002</v>
      </c>
      <c r="Q3206">
        <v>0.16839999999999999</v>
      </c>
      <c r="R3206">
        <v>-4.692437E-2</v>
      </c>
      <c r="S3206">
        <v>3.067291</v>
      </c>
      <c r="T3206">
        <v>-7.2329279999999996E-2</v>
      </c>
      <c r="U3206">
        <v>0.1438141</v>
      </c>
      <c r="V3206">
        <v>-9.7450529999999994E-2</v>
      </c>
      <c r="W3206">
        <v>0.18139079999999999</v>
      </c>
      <c r="X3206">
        <v>0.97857079999999996</v>
      </c>
      <c r="Y3206">
        <v>-0.1887219</v>
      </c>
      <c r="Z3206">
        <v>4.8473149999999996E-3</v>
      </c>
      <c r="AA3206">
        <v>0.98201859999999996</v>
      </c>
      <c r="AB3206">
        <v>25</v>
      </c>
      <c r="AC3206">
        <v>47.188600000000001</v>
      </c>
      <c r="AD3206">
        <v>-1.118190135141</v>
      </c>
      <c r="AE3206">
        <v>2.24769999999998</v>
      </c>
      <c r="AF3206">
        <v>-8.9494178741868993</v>
      </c>
      <c r="AG3206">
        <v>-1.118190135141</v>
      </c>
      <c r="AH3206">
        <v>46.3597395001186</v>
      </c>
      <c r="AI3206">
        <v>91.356660404036006</v>
      </c>
      <c r="AJ3206">
        <v>100.926142702021</v>
      </c>
      <c r="AK3206">
        <v>47.228888151045901</v>
      </c>
      <c r="AL3206">
        <v>79.549219749388698</v>
      </c>
      <c r="AM3206">
        <v>95.687024156210398</v>
      </c>
      <c r="AN3206">
        <v>1.00000001936728</v>
      </c>
    </row>
    <row r="3207" spans="1:40" x14ac:dyDescent="0.25">
      <c r="A3207" t="str">
        <f>"20190304155655421"</f>
        <v>20190304155655421</v>
      </c>
      <c r="B3207" t="str">
        <f>"1551686215418333"</f>
        <v>1551686215418333</v>
      </c>
      <c r="C3207" t="s">
        <v>40</v>
      </c>
      <c r="D3207">
        <v>4.5109839999999997</v>
      </c>
      <c r="E3207">
        <v>0.4727555</v>
      </c>
      <c r="F3207" t="s">
        <v>64</v>
      </c>
      <c r="G3207">
        <v>-426.33539999999999</v>
      </c>
      <c r="H3207" s="1">
        <v>2.7412469999999999E-6</v>
      </c>
      <c r="I3207">
        <v>215.7551</v>
      </c>
      <c r="J3207">
        <v>-472.74959999999999</v>
      </c>
      <c r="K3207">
        <v>1.118082</v>
      </c>
      <c r="L3207">
        <v>213.16</v>
      </c>
      <c r="M3207">
        <v>0.99115660000000005</v>
      </c>
      <c r="N3207">
        <v>-1.509399E-2</v>
      </c>
      <c r="O3207">
        <v>-0.13183639999999999</v>
      </c>
      <c r="P3207">
        <v>0.98471470000000005</v>
      </c>
      <c r="Q3207">
        <v>0.1699099</v>
      </c>
      <c r="R3207">
        <v>-3.8310520000000001E-2</v>
      </c>
      <c r="S3207">
        <v>3.0675659999999998</v>
      </c>
      <c r="T3207">
        <v>-7.3525549999999995E-2</v>
      </c>
      <c r="U3207">
        <v>0.16918949999999999</v>
      </c>
      <c r="V3207">
        <v>-9.531568E-2</v>
      </c>
      <c r="W3207">
        <v>0.18294089999999999</v>
      </c>
      <c r="X3207">
        <v>0.97849249999999999</v>
      </c>
      <c r="Y3207">
        <v>-0.18614919999999999</v>
      </c>
      <c r="Z3207">
        <v>4.7972630000000004E-3</v>
      </c>
      <c r="AA3207">
        <v>0.98250979999999999</v>
      </c>
      <c r="AB3207">
        <v>25</v>
      </c>
      <c r="AC3207">
        <v>46.414200000000001</v>
      </c>
      <c r="AD3207">
        <v>-1.118079258753</v>
      </c>
      <c r="AE3207">
        <v>2.5951</v>
      </c>
      <c r="AF3207">
        <v>-8.6871960829872794</v>
      </c>
      <c r="AG3207">
        <v>-1.118079258753</v>
      </c>
      <c r="AH3207">
        <v>45.640410769507199</v>
      </c>
      <c r="AI3207">
        <v>91.378586184229803</v>
      </c>
      <c r="AJ3207">
        <v>100.77676809482</v>
      </c>
      <c r="AK3207">
        <v>46.473267285854398</v>
      </c>
      <c r="AL3207">
        <v>79.458894132955905</v>
      </c>
      <c r="AM3207">
        <v>95.563671058747204</v>
      </c>
      <c r="AN3207">
        <v>1.0000000121514601</v>
      </c>
    </row>
    <row r="3208" spans="1:40" x14ac:dyDescent="0.25">
      <c r="A3208" t="str">
        <f>"20190304155655442"</f>
        <v>20190304155655442</v>
      </c>
      <c r="B3208" t="str">
        <f>"1551686215437853"</f>
        <v>1551686215437853</v>
      </c>
      <c r="C3208" t="s">
        <v>40</v>
      </c>
      <c r="D3208">
        <v>4.4993210000000001</v>
      </c>
      <c r="E3208">
        <v>0.46732839999999998</v>
      </c>
      <c r="F3208" t="s">
        <v>64</v>
      </c>
      <c r="G3208">
        <v>-430.0779</v>
      </c>
      <c r="H3208" s="1">
        <v>2.2454050000000001E-6</v>
      </c>
      <c r="I3208">
        <v>214.6867</v>
      </c>
      <c r="J3208">
        <v>-472.51299999999998</v>
      </c>
      <c r="K3208">
        <v>1.1179410000000001</v>
      </c>
      <c r="L3208">
        <v>213.1405</v>
      </c>
      <c r="M3208">
        <v>0.99250249999999995</v>
      </c>
      <c r="N3208">
        <v>-1.506497E-2</v>
      </c>
      <c r="O3208">
        <v>-0.1212934</v>
      </c>
      <c r="P3208">
        <v>0.98508759999999995</v>
      </c>
      <c r="Q3208">
        <v>0.16917409999999999</v>
      </c>
      <c r="R3208">
        <v>-3.1349479999999999E-2</v>
      </c>
      <c r="S3208">
        <v>3.0647280000000001</v>
      </c>
      <c r="T3208">
        <v>-8.030176E-2</v>
      </c>
      <c r="U3208">
        <v>0.1096497</v>
      </c>
      <c r="V3208">
        <v>-9.1763709999999998E-2</v>
      </c>
      <c r="W3208">
        <v>0.18227889999999999</v>
      </c>
      <c r="X3208">
        <v>0.97895549999999998</v>
      </c>
      <c r="Y3208">
        <v>-0.15662879999999901</v>
      </c>
      <c r="Z3208">
        <v>4.5748799999999999E-3</v>
      </c>
      <c r="AA3208">
        <v>0.98764689999999999</v>
      </c>
      <c r="AB3208">
        <v>25</v>
      </c>
      <c r="AC3208">
        <v>42.435099999999998</v>
      </c>
      <c r="AD3208">
        <v>-1.1179387545949999</v>
      </c>
      <c r="AE3208">
        <v>1.54619999999999</v>
      </c>
      <c r="AF3208">
        <v>-6.6778338691442896</v>
      </c>
      <c r="AG3208">
        <v>-1.1179387545949999</v>
      </c>
      <c r="AH3208">
        <v>41.905107129217903</v>
      </c>
      <c r="AI3208">
        <v>91.509133909754397</v>
      </c>
      <c r="AJ3208">
        <v>99.054300675120203</v>
      </c>
      <c r="AK3208">
        <v>42.448571892987701</v>
      </c>
      <c r="AL3208">
        <v>79.497472738969705</v>
      </c>
      <c r="AM3208">
        <v>95.355049456132406</v>
      </c>
      <c r="AN3208">
        <v>1.0000000234192099</v>
      </c>
    </row>
    <row r="3209" spans="1:40" x14ac:dyDescent="0.25">
      <c r="A3209" t="str">
        <f>"20190304155655465"</f>
        <v>20190304155655465</v>
      </c>
      <c r="B3209" t="str">
        <f>"1551686215458349"</f>
        <v>1551686215458349</v>
      </c>
      <c r="C3209" t="s">
        <v>40</v>
      </c>
      <c r="D3209">
        <v>4.500089</v>
      </c>
      <c r="E3209">
        <v>0.46875459999999902</v>
      </c>
      <c r="F3209" t="s">
        <v>55</v>
      </c>
      <c r="G3209">
        <v>-445.01339999999999</v>
      </c>
      <c r="H3209" s="1">
        <v>1.127437E-6</v>
      </c>
      <c r="I3209">
        <v>214.7</v>
      </c>
      <c r="J3209">
        <v>-472.25850000000003</v>
      </c>
      <c r="K3209">
        <v>1.117766</v>
      </c>
      <c r="L3209">
        <v>213.12209999999999</v>
      </c>
      <c r="M3209">
        <v>0.99380119999999905</v>
      </c>
      <c r="N3209">
        <v>-1.502948E-2</v>
      </c>
      <c r="O3209">
        <v>-0.1101507</v>
      </c>
      <c r="P3209">
        <v>0.98566670000000001</v>
      </c>
      <c r="Q3209">
        <v>0.1668026</v>
      </c>
      <c r="R3209">
        <v>-2.526198E-2</v>
      </c>
      <c r="S3209">
        <v>3.0724179999999999</v>
      </c>
      <c r="T3209">
        <v>-0.12490270000000001</v>
      </c>
      <c r="U3209">
        <v>0.17424010000000001</v>
      </c>
      <c r="V3209">
        <v>-8.6742E-2</v>
      </c>
      <c r="W3209">
        <v>0.18001249999999999</v>
      </c>
      <c r="X3209">
        <v>0.97983229999999999</v>
      </c>
      <c r="Y3209">
        <v>-0.16603860000000001</v>
      </c>
      <c r="Z3209">
        <v>7.4344889999999999E-3</v>
      </c>
      <c r="AA3209">
        <v>0.98609119999999995</v>
      </c>
      <c r="AB3209">
        <v>25</v>
      </c>
      <c r="AC3209">
        <v>27.245100000000001</v>
      </c>
      <c r="AD3209">
        <v>-1.1177648725630001</v>
      </c>
      <c r="AE3209">
        <v>1.5778999999999901</v>
      </c>
      <c r="AF3209">
        <v>-4.5620491848408298</v>
      </c>
      <c r="AG3209">
        <v>-1.1177648725630001</v>
      </c>
      <c r="AH3209">
        <v>26.860387687133901</v>
      </c>
      <c r="AI3209">
        <v>92.349319070525496</v>
      </c>
      <c r="AJ3209">
        <v>99.639303062169304</v>
      </c>
      <c r="AK3209">
        <v>27.267968713829301</v>
      </c>
      <c r="AL3209">
        <v>79.629512161112501</v>
      </c>
      <c r="AM3209">
        <v>95.059057438365699</v>
      </c>
      <c r="AN3209">
        <v>1.0000000054217699</v>
      </c>
    </row>
    <row r="3210" spans="1:40" x14ac:dyDescent="0.25">
      <c r="A3210" t="str">
        <f>"20190304155655487"</f>
        <v>20190304155655487</v>
      </c>
      <c r="B3210" t="str">
        <f>"1551686215477869"</f>
        <v>1551686215477869</v>
      </c>
      <c r="C3210" t="s">
        <v>40</v>
      </c>
      <c r="D3210">
        <v>4.4986730000000001</v>
      </c>
      <c r="E3210">
        <v>0.48043609999999998</v>
      </c>
      <c r="F3210" t="s">
        <v>55</v>
      </c>
      <c r="G3210">
        <v>-445.6782</v>
      </c>
      <c r="H3210" s="1">
        <v>1.4818210000000001E-6</v>
      </c>
      <c r="I3210">
        <v>214.68559999999999</v>
      </c>
      <c r="J3210">
        <v>-472.02</v>
      </c>
      <c r="K3210">
        <v>1.1175820000000001</v>
      </c>
      <c r="L3210">
        <v>213.10720000000001</v>
      </c>
      <c r="M3210">
        <v>0.99488160000000003</v>
      </c>
      <c r="N3210">
        <v>-1.4992510000000001E-2</v>
      </c>
      <c r="O3210">
        <v>-9.9929439999999994E-2</v>
      </c>
      <c r="P3210">
        <v>0.98569379999999995</v>
      </c>
      <c r="Q3210">
        <v>0.1673251</v>
      </c>
      <c r="R3210">
        <v>-2.0251080000000001E-2</v>
      </c>
      <c r="S3210">
        <v>3.070068</v>
      </c>
      <c r="T3210">
        <v>-0.12910339999999901</v>
      </c>
      <c r="U3210">
        <v>0.18058779999999999</v>
      </c>
      <c r="V3210">
        <v>-8.1555970000000005E-2</v>
      </c>
      <c r="W3210">
        <v>0.18063199999999999</v>
      </c>
      <c r="X3210">
        <v>0.98016360000000002</v>
      </c>
      <c r="Y3210">
        <v>-0.15796949999999901</v>
      </c>
      <c r="Z3210">
        <v>7.2003969999999999E-3</v>
      </c>
      <c r="AA3210">
        <v>0.98741780000000001</v>
      </c>
      <c r="AB3210">
        <v>25</v>
      </c>
      <c r="AC3210">
        <v>26.3417999999999</v>
      </c>
      <c r="AD3210">
        <v>-1.1175805181789999</v>
      </c>
      <c r="AE3210">
        <v>1.57839999999998</v>
      </c>
      <c r="AF3210">
        <v>-4.1955897615302797</v>
      </c>
      <c r="AG3210">
        <v>-1.1175805181789999</v>
      </c>
      <c r="AH3210">
        <v>26.0055288774597</v>
      </c>
      <c r="AI3210">
        <v>92.429380896767299</v>
      </c>
      <c r="AJ3210">
        <v>99.164815668367496</v>
      </c>
      <c r="AK3210">
        <v>26.3654981340778</v>
      </c>
      <c r="AL3210">
        <v>79.593425713590605</v>
      </c>
      <c r="AM3210">
        <v>94.756423987142995</v>
      </c>
      <c r="AN3210">
        <v>0.99999998921580002</v>
      </c>
    </row>
    <row r="3211" spans="1:40" x14ac:dyDescent="0.25">
      <c r="A3211" t="str">
        <f>"20190304155655510"</f>
        <v>20190304155655510</v>
      </c>
      <c r="B3211" t="str">
        <f>"1551686215508125"</f>
        <v>1551686215508125</v>
      </c>
      <c r="C3211" t="s">
        <v>40</v>
      </c>
      <c r="D3211">
        <v>4.5406250000000004</v>
      </c>
      <c r="E3211">
        <v>0.48233179999999998</v>
      </c>
      <c r="F3211" t="s">
        <v>64</v>
      </c>
      <c r="G3211">
        <v>-439.40230000000003</v>
      </c>
      <c r="H3211" s="1">
        <v>6.425179E-6</v>
      </c>
      <c r="I3211">
        <v>214.1738</v>
      </c>
      <c r="J3211">
        <v>-471.76749999999998</v>
      </c>
      <c r="K3211">
        <v>1.1173679999999999</v>
      </c>
      <c r="L3211">
        <v>213.09379999999999</v>
      </c>
      <c r="M3211">
        <v>0.99588520000000003</v>
      </c>
      <c r="N3211">
        <v>-1.4950110000000001E-2</v>
      </c>
      <c r="O3211">
        <v>-8.9383669999999998E-2</v>
      </c>
      <c r="P3211">
        <v>0.98554299999999995</v>
      </c>
      <c r="Q3211">
        <v>0.168673499999999</v>
      </c>
      <c r="R3211">
        <v>-1.5956600000000001E-2</v>
      </c>
      <c r="S3211">
        <v>3.0634459999999999</v>
      </c>
      <c r="T3211">
        <v>-0.10496220000000001</v>
      </c>
      <c r="U3211">
        <v>0.100174</v>
      </c>
      <c r="V3211">
        <v>-7.5329339999999995E-2</v>
      </c>
      <c r="W3211">
        <v>0.1820909</v>
      </c>
      <c r="X3211">
        <v>0.98039200000000004</v>
      </c>
      <c r="Y3211">
        <v>-0.1217782</v>
      </c>
      <c r="Z3211">
        <v>4.718262E-3</v>
      </c>
      <c r="AA3211">
        <v>0.99254609999999999</v>
      </c>
      <c r="AB3211">
        <v>25</v>
      </c>
      <c r="AC3211">
        <v>32.365199999999902</v>
      </c>
      <c r="AD3211">
        <v>-1.117361574821</v>
      </c>
      <c r="AE3211">
        <v>1.0800000000000101</v>
      </c>
      <c r="AF3211">
        <v>-3.9641998067233599</v>
      </c>
      <c r="AG3211">
        <v>-1.117361574821</v>
      </c>
      <c r="AH3211">
        <v>32.100859011553702</v>
      </c>
      <c r="AI3211">
        <v>91.978520164464499</v>
      </c>
      <c r="AJ3211">
        <v>97.039928769750802</v>
      </c>
      <c r="AK3211">
        <v>32.364000467744397</v>
      </c>
      <c r="AL3211">
        <v>79.508427854649199</v>
      </c>
      <c r="AM3211">
        <v>94.3937420604897</v>
      </c>
      <c r="AN3211">
        <v>1.0000000394958199</v>
      </c>
    </row>
    <row r="3212" spans="1:40" x14ac:dyDescent="0.25">
      <c r="A3212" t="str">
        <f>"20190304155655531"</f>
        <v>20190304155655531</v>
      </c>
      <c r="B3212" t="str">
        <f>"1551686215527645"</f>
        <v>1551686215527645</v>
      </c>
      <c r="C3212" t="s">
        <v>40</v>
      </c>
      <c r="D3212">
        <v>4.5570329999999997</v>
      </c>
      <c r="E3212">
        <v>0.48335440000000002</v>
      </c>
      <c r="F3212" t="s">
        <v>64</v>
      </c>
      <c r="G3212">
        <v>-437.38119999999998</v>
      </c>
      <c r="H3212" s="1">
        <v>5.5299049999999997E-6</v>
      </c>
      <c r="I3212">
        <v>214.16249999999999</v>
      </c>
      <c r="J3212">
        <v>-471.53019999999998</v>
      </c>
      <c r="K3212">
        <v>1.1171439999999999</v>
      </c>
      <c r="L3212">
        <v>213.08340000000001</v>
      </c>
      <c r="M3212">
        <v>0.99669949999999996</v>
      </c>
      <c r="N3212">
        <v>-1.4905979999999999E-2</v>
      </c>
      <c r="O3212">
        <v>-7.9800869999999996E-2</v>
      </c>
      <c r="P3212">
        <v>0.9852223</v>
      </c>
      <c r="Q3212">
        <v>0.17078380000000001</v>
      </c>
      <c r="R3212">
        <v>-1.3055229999999999E-2</v>
      </c>
      <c r="S3212">
        <v>3.062592</v>
      </c>
      <c r="T3212">
        <v>-9.9517110000000006E-2</v>
      </c>
      <c r="U3212">
        <v>9.5184329999999998E-2</v>
      </c>
      <c r="V3212">
        <v>-6.867028E-2</v>
      </c>
      <c r="W3212">
        <v>0.18431</v>
      </c>
      <c r="X3212">
        <v>0.98046630000000001</v>
      </c>
      <c r="Y3212">
        <v>-0.1106394</v>
      </c>
      <c r="Z3212">
        <v>4.0226339999999998E-3</v>
      </c>
      <c r="AA3212">
        <v>0.99385250000000003</v>
      </c>
      <c r="AB3212">
        <v>25</v>
      </c>
      <c r="AC3212">
        <v>34.149000000000001</v>
      </c>
      <c r="AD3212">
        <v>-1.117138470095</v>
      </c>
      <c r="AE3212">
        <v>1.07909999999998</v>
      </c>
      <c r="AF3212">
        <v>-3.7970206929288302</v>
      </c>
      <c r="AG3212">
        <v>-1.117138470095</v>
      </c>
      <c r="AH3212">
        <v>33.917684060225703</v>
      </c>
      <c r="AI3212">
        <v>91.874752579608796</v>
      </c>
      <c r="AJ3212">
        <v>96.387559163525495</v>
      </c>
      <c r="AK3212">
        <v>34.147835312259303</v>
      </c>
      <c r="AL3212">
        <v>79.379093163949406</v>
      </c>
      <c r="AM3212">
        <v>94.006361730378202</v>
      </c>
      <c r="AN3212">
        <v>0.99999997444548305</v>
      </c>
    </row>
    <row r="3213" spans="1:40" x14ac:dyDescent="0.25">
      <c r="A3213" t="str">
        <f>"20190304155655555"</f>
        <v>20190304155655555</v>
      </c>
      <c r="B3213" t="str">
        <f>"1551686215548141"</f>
        <v>1551686215548141</v>
      </c>
      <c r="C3213" t="s">
        <v>40</v>
      </c>
      <c r="D3213">
        <v>4.562138</v>
      </c>
      <c r="E3213">
        <v>0.4841955</v>
      </c>
      <c r="F3213" t="s">
        <v>64</v>
      </c>
      <c r="G3213">
        <v>-434.37830000000002</v>
      </c>
      <c r="H3213" s="1">
        <v>4.19285E-6</v>
      </c>
      <c r="I3213">
        <v>214.2242</v>
      </c>
      <c r="J3213">
        <v>-471.26990000000001</v>
      </c>
      <c r="K3213">
        <v>1.1169169999999999</v>
      </c>
      <c r="L3213">
        <v>213.0744</v>
      </c>
      <c r="M3213">
        <v>0.99746449999999998</v>
      </c>
      <c r="N3213">
        <v>-1.48559E-2</v>
      </c>
      <c r="O3213">
        <v>-6.9597909999999999E-2</v>
      </c>
      <c r="P3213">
        <v>0.98484740000000004</v>
      </c>
      <c r="Q3213">
        <v>0.17320450000000001</v>
      </c>
      <c r="R3213">
        <v>-8.710588E-3</v>
      </c>
      <c r="S3213">
        <v>3.0622250000000002</v>
      </c>
      <c r="T3213">
        <v>-9.2079519999999998E-2</v>
      </c>
      <c r="U3213">
        <v>9.4024659999999996E-2</v>
      </c>
      <c r="V3213">
        <v>-6.2843460000000004E-2</v>
      </c>
      <c r="W3213">
        <v>0.18681300000000001</v>
      </c>
      <c r="X3213">
        <v>0.98038340000000002</v>
      </c>
      <c r="Y3213">
        <v>-0.10011299999999999</v>
      </c>
      <c r="Z3213">
        <v>3.30569E-3</v>
      </c>
      <c r="AA3213">
        <v>0.99497060000000004</v>
      </c>
      <c r="AB3213">
        <v>25</v>
      </c>
      <c r="AC3213">
        <v>36.891599999999897</v>
      </c>
      <c r="AD3213">
        <v>-1.1169128071500001</v>
      </c>
      <c r="AE3213">
        <v>1.1497999999999899</v>
      </c>
      <c r="AF3213">
        <v>-3.7114742365994502</v>
      </c>
      <c r="AG3213">
        <v>-1.1169128071500001</v>
      </c>
      <c r="AH3213">
        <v>36.688493891598903</v>
      </c>
      <c r="AI3213">
        <v>91.734875593288706</v>
      </c>
      <c r="AJ3213">
        <v>95.776492932993307</v>
      </c>
      <c r="AK3213">
        <v>36.892656711893302</v>
      </c>
      <c r="AL3213">
        <v>79.233147409185406</v>
      </c>
      <c r="AM3213">
        <v>93.667693199469298</v>
      </c>
      <c r="AN3213">
        <v>1.00000000421466</v>
      </c>
    </row>
    <row r="3214" spans="1:40" x14ac:dyDescent="0.25">
      <c r="A3214" t="str">
        <f>"20190304155655579"</f>
        <v>20190304155655579</v>
      </c>
      <c r="B3214" t="str">
        <f>"1551686215567662"</f>
        <v>1551686215567662</v>
      </c>
      <c r="C3214" t="s">
        <v>40</v>
      </c>
      <c r="D3214">
        <v>4.5878920000000001</v>
      </c>
      <c r="E3214">
        <v>0.4880852</v>
      </c>
      <c r="F3214" t="s">
        <v>64</v>
      </c>
      <c r="G3214">
        <v>-430.81119999999999</v>
      </c>
      <c r="H3214" s="1">
        <v>2.5959769999999998E-6</v>
      </c>
      <c r="I3214">
        <v>214.39580000000001</v>
      </c>
      <c r="J3214">
        <v>-471.00760000000002</v>
      </c>
      <c r="K3214">
        <v>1.1166689999999999</v>
      </c>
      <c r="L3214">
        <v>213.0676</v>
      </c>
      <c r="M3214">
        <v>0.99810900000000002</v>
      </c>
      <c r="N3214">
        <v>-1.480622E-2</v>
      </c>
      <c r="O3214">
        <v>-5.96613E-2</v>
      </c>
      <c r="P3214">
        <v>0.98448500000000005</v>
      </c>
      <c r="Q3214">
        <v>0.17543829999999999</v>
      </c>
      <c r="R3214">
        <v>-3.3014849999999998E-3</v>
      </c>
      <c r="S3214">
        <v>3.0619510000000001</v>
      </c>
      <c r="T3214">
        <v>-8.4528919999999994E-2</v>
      </c>
      <c r="U3214">
        <v>0.1000061</v>
      </c>
      <c r="V3214">
        <v>-5.8353269999999999E-2</v>
      </c>
      <c r="W3214">
        <v>0.18909989999999999</v>
      </c>
      <c r="X3214">
        <v>0.9802225</v>
      </c>
      <c r="Y3214">
        <v>-9.2162610000000006E-2</v>
      </c>
      <c r="Z3214">
        <v>2.7169249999999998E-3</v>
      </c>
      <c r="AA3214">
        <v>0.99574019999999996</v>
      </c>
      <c r="AB3214">
        <v>25</v>
      </c>
      <c r="AC3214">
        <v>40.196399999999997</v>
      </c>
      <c r="AD3214">
        <v>-1.1166664040230001</v>
      </c>
      <c r="AE3214">
        <v>1.3282</v>
      </c>
      <c r="AF3214">
        <v>-3.72139676687646</v>
      </c>
      <c r="AG3214">
        <v>-1.1166664040230001</v>
      </c>
      <c r="AH3214">
        <v>40.014683397942797</v>
      </c>
      <c r="AI3214">
        <v>91.591640205382404</v>
      </c>
      <c r="AJ3214">
        <v>95.313268945073602</v>
      </c>
      <c r="AK3214">
        <v>40.202868370204499</v>
      </c>
      <c r="AL3214">
        <v>79.099740082574002</v>
      </c>
      <c r="AM3214">
        <v>93.406833569389406</v>
      </c>
      <c r="AN3214">
        <v>1.00000001290297</v>
      </c>
    </row>
    <row r="3215" spans="1:40" x14ac:dyDescent="0.25">
      <c r="A3215" t="str">
        <f>"20190304155655600"</f>
        <v>20190304155655600</v>
      </c>
      <c r="B3215" t="str">
        <f>"1551686215588158"</f>
        <v>1551686215588158</v>
      </c>
      <c r="C3215" t="s">
        <v>40</v>
      </c>
      <c r="D3215">
        <v>4.5899519999999896</v>
      </c>
      <c r="E3215">
        <v>0.48853750000000001</v>
      </c>
      <c r="F3215" t="s">
        <v>64</v>
      </c>
      <c r="G3215">
        <v>-428.13850000000002</v>
      </c>
      <c r="H3215" s="1">
        <v>2.5543650000000001E-6</v>
      </c>
      <c r="I3215">
        <v>214.23429999999999</v>
      </c>
      <c r="J3215">
        <v>-470.77449999999999</v>
      </c>
      <c r="K3215">
        <v>1.116436</v>
      </c>
      <c r="L3215">
        <v>213.0633</v>
      </c>
      <c r="M3215">
        <v>0.99858040000000003</v>
      </c>
      <c r="N3215">
        <v>-1.476043E-2</v>
      </c>
      <c r="O3215">
        <v>-5.1183020000000003E-2</v>
      </c>
      <c r="P3215">
        <v>0.98438539999999997</v>
      </c>
      <c r="Q3215">
        <v>0.17602699999999999</v>
      </c>
      <c r="R3215">
        <v>5.3058010000000004E-4</v>
      </c>
      <c r="S3215">
        <v>3.0617679999999998</v>
      </c>
      <c r="T3215">
        <v>-7.9753879999999999E-2</v>
      </c>
      <c r="U3215">
        <v>8.3328250000000006E-2</v>
      </c>
      <c r="V3215">
        <v>-5.3728789999999998E-2</v>
      </c>
      <c r="W3215">
        <v>0.1897451</v>
      </c>
      <c r="X3215">
        <v>0.98036219999999996</v>
      </c>
      <c r="Y3215">
        <v>-7.8294790000000003E-2</v>
      </c>
      <c r="Z3215">
        <v>2.1745940000000002E-3</v>
      </c>
      <c r="AA3215">
        <v>0.99692789999999998</v>
      </c>
      <c r="AB3215">
        <v>25</v>
      </c>
      <c r="AC3215">
        <v>42.635999999999903</v>
      </c>
      <c r="AD3215">
        <v>-1.116433445635</v>
      </c>
      <c r="AE3215">
        <v>1.17099999999999</v>
      </c>
      <c r="AF3215">
        <v>-3.3496463961364502</v>
      </c>
      <c r="AG3215">
        <v>-1.116433445635</v>
      </c>
      <c r="AH3215">
        <v>42.491049861878402</v>
      </c>
      <c r="AI3215">
        <v>91.500422061857293</v>
      </c>
      <c r="AJ3215">
        <v>94.507408435443907</v>
      </c>
      <c r="AK3215">
        <v>42.637493746494002</v>
      </c>
      <c r="AL3215">
        <v>79.062091256368603</v>
      </c>
      <c r="AM3215">
        <v>93.136959308131793</v>
      </c>
      <c r="AN3215">
        <v>1.0000000145188499</v>
      </c>
    </row>
    <row r="3216" spans="1:40" x14ac:dyDescent="0.25">
      <c r="A3216" t="str">
        <f>"20190304155655621"</f>
        <v>20190304155655621</v>
      </c>
      <c r="B3216" t="str">
        <f>"1551686215617438"</f>
        <v>1551686215617438</v>
      </c>
      <c r="C3216" t="s">
        <v>40</v>
      </c>
      <c r="D3216">
        <v>4.625705</v>
      </c>
      <c r="E3216">
        <v>0.48938110000000001</v>
      </c>
      <c r="F3216" t="s">
        <v>64</v>
      </c>
      <c r="G3216">
        <v>-427.87479999999999</v>
      </c>
      <c r="H3216" s="1">
        <v>2.5955439999999999E-6</v>
      </c>
      <c r="I3216">
        <v>214.29839999999999</v>
      </c>
      <c r="J3216">
        <v>-470.54129999999998</v>
      </c>
      <c r="K3216">
        <v>1.1161760000000001</v>
      </c>
      <c r="L3216">
        <v>213.0607</v>
      </c>
      <c r="M3216">
        <v>0.9989633</v>
      </c>
      <c r="N3216">
        <v>-1.4710000000000001E-2</v>
      </c>
      <c r="O3216">
        <v>-4.3082240000000001E-2</v>
      </c>
      <c r="P3216">
        <v>0.98478940000000004</v>
      </c>
      <c r="Q3216">
        <v>0.17370450000000001</v>
      </c>
      <c r="R3216">
        <v>4.0970859999999998E-3</v>
      </c>
      <c r="S3216">
        <v>3.0618289999999999</v>
      </c>
      <c r="T3216">
        <v>-7.9681749999999996E-2</v>
      </c>
      <c r="U3216">
        <v>8.8150019999999996E-2</v>
      </c>
      <c r="V3216">
        <v>-4.9179050000000002E-2</v>
      </c>
      <c r="W3216">
        <v>0.18748000000000001</v>
      </c>
      <c r="X3216">
        <v>0.98103649999999998</v>
      </c>
      <c r="Y3216">
        <v>-7.1779620000000002E-2</v>
      </c>
      <c r="Z3216">
        <v>1.9488999999999999E-3</v>
      </c>
      <c r="AA3216">
        <v>0.99741860000000004</v>
      </c>
      <c r="AB3216">
        <v>25</v>
      </c>
      <c r="AC3216">
        <v>42.6664999999999</v>
      </c>
      <c r="AD3216">
        <v>-1.1161734044560001</v>
      </c>
      <c r="AE3216">
        <v>1.23769999999998</v>
      </c>
      <c r="AF3216">
        <v>-3.0728165891397698</v>
      </c>
      <c r="AG3216">
        <v>-1.1161734044560001</v>
      </c>
      <c r="AH3216">
        <v>42.5444566186505</v>
      </c>
      <c r="AI3216">
        <v>91.498933621328206</v>
      </c>
      <c r="AJ3216">
        <v>94.131072452244794</v>
      </c>
      <c r="AK3216">
        <v>42.669882046187404</v>
      </c>
      <c r="AL3216">
        <v>79.194243420791295</v>
      </c>
      <c r="AM3216">
        <v>92.869817009754797</v>
      </c>
      <c r="AN3216">
        <v>0.99999997184557499</v>
      </c>
    </row>
    <row r="3217" spans="1:40" x14ac:dyDescent="0.25">
      <c r="A3217" t="str">
        <f>"20190304155655643"</f>
        <v>20190304155655643</v>
      </c>
      <c r="B3217" t="str">
        <f>"1551686215637934"</f>
        <v>1551686215637934</v>
      </c>
      <c r="C3217" t="s">
        <v>40</v>
      </c>
      <c r="D3217">
        <v>4.6222430000000001</v>
      </c>
      <c r="E3217">
        <v>0.48978339999999998</v>
      </c>
      <c r="F3217" t="s">
        <v>64</v>
      </c>
      <c r="G3217">
        <v>-433.03070000000002</v>
      </c>
      <c r="H3217" s="1">
        <v>3.5999809999999999E-6</v>
      </c>
      <c r="I3217">
        <v>214.17</v>
      </c>
      <c r="J3217">
        <v>-470.29809999999998</v>
      </c>
      <c r="K3217">
        <v>1.115845</v>
      </c>
      <c r="L3217">
        <v>213.05940000000001</v>
      </c>
      <c r="M3217">
        <v>0.99927659999999996</v>
      </c>
      <c r="N3217">
        <v>-1.465209E-2</v>
      </c>
      <c r="O3217">
        <v>-3.5096700000000002E-2</v>
      </c>
      <c r="P3217">
        <v>0.98490009999999995</v>
      </c>
      <c r="Q3217">
        <v>0.17297299999999999</v>
      </c>
      <c r="R3217">
        <v>7.2191629999999998E-3</v>
      </c>
      <c r="S3217">
        <v>3.0620419999999999</v>
      </c>
      <c r="T3217">
        <v>-9.1114639999999997E-2</v>
      </c>
      <c r="U3217">
        <v>9.0560909999999994E-2</v>
      </c>
      <c r="V3217">
        <v>-4.4278070000000003E-2</v>
      </c>
      <c r="W3217">
        <v>0.18679950000000001</v>
      </c>
      <c r="X3217">
        <v>0.98139969999999999</v>
      </c>
      <c r="Y3217">
        <v>-6.4582689999999998E-2</v>
      </c>
      <c r="Z3217">
        <v>1.9636139999999998E-3</v>
      </c>
      <c r="AA3217">
        <v>0.99791039999999998</v>
      </c>
      <c r="AB3217">
        <v>25</v>
      </c>
      <c r="AC3217">
        <v>37.267399999999903</v>
      </c>
      <c r="AD3217">
        <v>-1.115841400019</v>
      </c>
      <c r="AE3217">
        <v>1.1105999999999701</v>
      </c>
      <c r="AF3217">
        <v>-2.41585481948339</v>
      </c>
      <c r="AG3217">
        <v>-1.115841400019</v>
      </c>
      <c r="AH3217">
        <v>37.172157837060098</v>
      </c>
      <c r="AI3217">
        <v>91.715782454030204</v>
      </c>
      <c r="AJ3217">
        <v>93.718479113531103</v>
      </c>
      <c r="AK3217">
        <v>37.2672882673549</v>
      </c>
      <c r="AL3217">
        <v>79.233934562861293</v>
      </c>
      <c r="AM3217">
        <v>92.583276986892301</v>
      </c>
      <c r="AN3217">
        <v>0.99999998592163197</v>
      </c>
    </row>
    <row r="3218" spans="1:40" x14ac:dyDescent="0.25">
      <c r="A3218" t="str">
        <f>"20190304155655667"</f>
        <v>20190304155655667</v>
      </c>
      <c r="B3218" t="str">
        <f>"1551686215657454"</f>
        <v>1551686215657454</v>
      </c>
      <c r="C3218" t="s">
        <v>40</v>
      </c>
      <c r="D3218">
        <v>4.6230949999999904</v>
      </c>
      <c r="E3218">
        <v>0.49043409999999898</v>
      </c>
      <c r="F3218" t="s">
        <v>64</v>
      </c>
      <c r="G3218">
        <v>-434.45920000000001</v>
      </c>
      <c r="H3218" s="1">
        <v>4.2313340000000001E-6</v>
      </c>
      <c r="I3218">
        <v>214.19460000000001</v>
      </c>
      <c r="J3218">
        <v>-470.0471</v>
      </c>
      <c r="K3218">
        <v>1.115456</v>
      </c>
      <c r="L3218">
        <v>213.05959999999999</v>
      </c>
      <c r="M3218">
        <v>0.99951880000000004</v>
      </c>
      <c r="N3218">
        <v>-1.458952E-2</v>
      </c>
      <c r="O3218">
        <v>-2.7374760000000001E-2</v>
      </c>
      <c r="P3218">
        <v>0.98480699999999999</v>
      </c>
      <c r="Q3218">
        <v>0.17328299999999999</v>
      </c>
      <c r="R3218">
        <v>1.1330430000000001E-2</v>
      </c>
      <c r="S3218">
        <v>3.0619809999999998</v>
      </c>
      <c r="T3218">
        <v>-9.5334530000000001E-2</v>
      </c>
      <c r="U3218">
        <v>9.6984860000000006E-2</v>
      </c>
      <c r="V3218">
        <v>-4.0607200000000003E-2</v>
      </c>
      <c r="W3218">
        <v>0.18713440000000001</v>
      </c>
      <c r="X3218">
        <v>0.98149470000000005</v>
      </c>
      <c r="Y3218">
        <v>-5.8964419999999997E-2</v>
      </c>
      <c r="Z3218">
        <v>1.8005439999999901E-3</v>
      </c>
      <c r="AA3218">
        <v>0.99825850000000005</v>
      </c>
      <c r="AB3218">
        <v>25</v>
      </c>
      <c r="AC3218">
        <v>35.587899999999898</v>
      </c>
      <c r="AD3218">
        <v>-1.1154517686659999</v>
      </c>
      <c r="AE3218">
        <v>1.13500000000001</v>
      </c>
      <c r="AF3218">
        <v>-2.1068207693810201</v>
      </c>
      <c r="AG3218">
        <v>-1.1154517686659999</v>
      </c>
      <c r="AH3218">
        <v>35.5086376945046</v>
      </c>
      <c r="AI3218">
        <v>91.796114547038997</v>
      </c>
      <c r="AJ3218">
        <v>93.395528375512498</v>
      </c>
      <c r="AK3218">
        <v>35.588569475635197</v>
      </c>
      <c r="AL3218">
        <v>79.214402328768003</v>
      </c>
      <c r="AM3218">
        <v>92.369136623316393</v>
      </c>
      <c r="AN3218">
        <v>1.00000003724164</v>
      </c>
    </row>
    <row r="3219" spans="1:40" x14ac:dyDescent="0.25">
      <c r="A3219" t="str">
        <f>"20190304155655688"</f>
        <v>20190304155655688</v>
      </c>
      <c r="B3219" t="str">
        <f>"1551686215677950"</f>
        <v>1551686215677950</v>
      </c>
      <c r="C3219" t="s">
        <v>40</v>
      </c>
      <c r="D3219">
        <v>4.6574070000000001</v>
      </c>
      <c r="E3219">
        <v>0.49078529999999998</v>
      </c>
      <c r="F3219" t="s">
        <v>64</v>
      </c>
      <c r="G3219">
        <v>-433.96390000000002</v>
      </c>
      <c r="H3219" s="1">
        <v>4.0033539999999997E-6</v>
      </c>
      <c r="I3219">
        <v>214.28960000000001</v>
      </c>
      <c r="J3219">
        <v>-469.80329999999998</v>
      </c>
      <c r="K3219">
        <v>1.115051</v>
      </c>
      <c r="L3219">
        <v>213.06100000000001</v>
      </c>
      <c r="M3219">
        <v>0.99968610000000002</v>
      </c>
      <c r="N3219">
        <v>-1.452867E-2</v>
      </c>
      <c r="O3219">
        <v>-2.0420359999999999E-2</v>
      </c>
      <c r="P3219">
        <v>0.98471569999999997</v>
      </c>
      <c r="Q3219">
        <v>0.17352799999999999</v>
      </c>
      <c r="R3219">
        <v>1.49447E-2</v>
      </c>
      <c r="S3219">
        <v>3.0617369999999999</v>
      </c>
      <c r="T3219">
        <v>-9.4648360000000001E-2</v>
      </c>
      <c r="U3219">
        <v>0.10437009999999999</v>
      </c>
      <c r="V3219">
        <v>-3.7187629999999999E-2</v>
      </c>
      <c r="W3219">
        <v>0.18739810000000001</v>
      </c>
      <c r="X3219">
        <v>0.98157989999999995</v>
      </c>
      <c r="Y3219">
        <v>-5.4431359999999998E-2</v>
      </c>
      <c r="Z3219">
        <v>1.5709490000000001E-3</v>
      </c>
      <c r="AA3219">
        <v>0.99851630000000002</v>
      </c>
      <c r="AB3219">
        <v>25</v>
      </c>
      <c r="AC3219">
        <v>35.839399999999898</v>
      </c>
      <c r="AD3219">
        <v>-1.1150469966459999</v>
      </c>
      <c r="AE3219">
        <v>1.2286000000000199</v>
      </c>
      <c r="AF3219">
        <v>-1.9583808867119801</v>
      </c>
      <c r="AG3219">
        <v>-1.1150469966459999</v>
      </c>
      <c r="AH3219">
        <v>35.772248135592697</v>
      </c>
      <c r="AI3219">
        <v>91.782705293495198</v>
      </c>
      <c r="AJ3219">
        <v>93.1335761051985</v>
      </c>
      <c r="AK3219">
        <v>35.843162837235603</v>
      </c>
      <c r="AL3219">
        <v>79.199021293402495</v>
      </c>
      <c r="AM3219">
        <v>92.169640722967102</v>
      </c>
      <c r="AN3219">
        <v>1.00000003389631</v>
      </c>
    </row>
    <row r="3220" spans="1:40" x14ac:dyDescent="0.25">
      <c r="A3220" t="str">
        <f>"20190304155655713"</f>
        <v>20190304155655713</v>
      </c>
      <c r="B3220" t="str">
        <f>"1551686215708206"</f>
        <v>1551686215708206</v>
      </c>
      <c r="C3220" t="s">
        <v>40</v>
      </c>
      <c r="D3220">
        <v>4.6355570000000004</v>
      </c>
      <c r="E3220">
        <v>0.4971719</v>
      </c>
      <c r="F3220" t="s">
        <v>64</v>
      </c>
      <c r="G3220">
        <v>-433.69810000000001</v>
      </c>
      <c r="H3220" s="1">
        <v>3.8783919999999998E-6</v>
      </c>
      <c r="I3220">
        <v>214.37100000000001</v>
      </c>
      <c r="J3220">
        <v>-469.5446</v>
      </c>
      <c r="K3220">
        <v>1.114609</v>
      </c>
      <c r="L3220">
        <v>213.06370000000001</v>
      </c>
      <c r="M3220">
        <v>0.99980119999999895</v>
      </c>
      <c r="N3220">
        <v>-1.4464670000000001E-2</v>
      </c>
      <c r="O3220">
        <v>-1.372667E-2</v>
      </c>
      <c r="P3220">
        <v>0.98481830000000004</v>
      </c>
      <c r="Q3220">
        <v>0.1725892</v>
      </c>
      <c r="R3220">
        <v>1.8589109999999999E-2</v>
      </c>
      <c r="S3220">
        <v>3.0615839999999999</v>
      </c>
      <c r="T3220">
        <v>-9.4551800000000005E-2</v>
      </c>
      <c r="U3220">
        <v>0.111084</v>
      </c>
      <c r="V3220">
        <v>-3.4027639999999998E-2</v>
      </c>
      <c r="W3220">
        <v>0.18647059999999999</v>
      </c>
      <c r="X3220">
        <v>0.9818711</v>
      </c>
      <c r="Y3220">
        <v>-4.993819E-2</v>
      </c>
      <c r="Z3220">
        <v>1.3573610000000001E-3</v>
      </c>
      <c r="AA3220">
        <v>0.99875139999999996</v>
      </c>
      <c r="AB3220">
        <v>25</v>
      </c>
      <c r="AC3220">
        <v>35.846499999999899</v>
      </c>
      <c r="AD3220">
        <v>-1.114605121608</v>
      </c>
      <c r="AE3220">
        <v>1.3072999999999599</v>
      </c>
      <c r="AF3220">
        <v>-1.7975457382162101</v>
      </c>
      <c r="AG3220">
        <v>-1.114605121608</v>
      </c>
      <c r="AH3220">
        <v>35.790617900315503</v>
      </c>
      <c r="AI3220">
        <v>91.781506578796595</v>
      </c>
      <c r="AJ3220">
        <v>92.875203730669995</v>
      </c>
      <c r="AK3220">
        <v>35.853059073731501</v>
      </c>
      <c r="AL3220">
        <v>79.253116451785402</v>
      </c>
      <c r="AM3220">
        <v>91.984843218021297</v>
      </c>
      <c r="AN3220">
        <v>1.0000000109817599</v>
      </c>
    </row>
    <row r="3221" spans="1:40" x14ac:dyDescent="0.25">
      <c r="A3221" t="str">
        <f>"20190304155655735"</f>
        <v>20190304155655735</v>
      </c>
      <c r="B3221" t="str">
        <f>"1551686215727725"</f>
        <v>1551686215727725</v>
      </c>
      <c r="C3221" t="s">
        <v>40</v>
      </c>
      <c r="D3221">
        <v>4.635027</v>
      </c>
      <c r="E3221">
        <v>0.4979748</v>
      </c>
      <c r="F3221" t="s">
        <v>64</v>
      </c>
      <c r="G3221">
        <v>-435.0693</v>
      </c>
      <c r="H3221" s="1">
        <v>4.5319099999999996E-6</v>
      </c>
      <c r="I3221">
        <v>213.851</v>
      </c>
      <c r="J3221">
        <v>-469.29059999999998</v>
      </c>
      <c r="K3221">
        <v>1.1141810000000001</v>
      </c>
      <c r="L3221">
        <v>213.06729999999999</v>
      </c>
      <c r="M3221">
        <v>0.99986569999999997</v>
      </c>
      <c r="N3221">
        <v>-1.4402710000000001E-2</v>
      </c>
      <c r="O3221">
        <v>-7.8194179999999999E-3</v>
      </c>
      <c r="P3221">
        <v>0.98473960000000005</v>
      </c>
      <c r="Q3221">
        <v>0.17264779999999999</v>
      </c>
      <c r="R3221">
        <v>2.1928039999999999E-2</v>
      </c>
      <c r="S3221">
        <v>3.0623170000000002</v>
      </c>
      <c r="T3221">
        <v>-9.9006060000000007E-2</v>
      </c>
      <c r="U3221">
        <v>6.9931030000000005E-2</v>
      </c>
      <c r="V3221">
        <v>-3.1352379999999999E-2</v>
      </c>
      <c r="W3221">
        <v>0.18652820000000001</v>
      </c>
      <c r="X3221">
        <v>0.98194919999999997</v>
      </c>
      <c r="Y3221">
        <v>-3.0623149999999998E-2</v>
      </c>
      <c r="Z3221">
        <v>8.5560369999999897E-4</v>
      </c>
      <c r="AA3221">
        <v>0.99953060000000005</v>
      </c>
      <c r="AB3221">
        <v>25</v>
      </c>
      <c r="AC3221">
        <v>34.2212999999999</v>
      </c>
      <c r="AD3221">
        <v>-1.1141764680899999</v>
      </c>
      <c r="AE3221">
        <v>0.78370000000001006</v>
      </c>
      <c r="AF3221">
        <v>-1.0501818110080701</v>
      </c>
      <c r="AG3221">
        <v>-1.1141764680899999</v>
      </c>
      <c r="AH3221">
        <v>34.177914494661898</v>
      </c>
      <c r="AI3221">
        <v>91.866261538491401</v>
      </c>
      <c r="AJ3221">
        <v>91.759968694000804</v>
      </c>
      <c r="AK3221">
        <v>34.212192420869997</v>
      </c>
      <c r="AL3221">
        <v>79.249757009481698</v>
      </c>
      <c r="AM3221">
        <v>91.828759569424193</v>
      </c>
      <c r="AN3221">
        <v>0.99999998625377196</v>
      </c>
    </row>
    <row r="3222" spans="1:40" x14ac:dyDescent="0.25">
      <c r="A3222" t="str">
        <f>"20190304155655757"</f>
        <v>20190304155655757</v>
      </c>
      <c r="B3222" t="str">
        <f>"1551686215748222"</f>
        <v>1551686215748222</v>
      </c>
      <c r="C3222" t="s">
        <v>40</v>
      </c>
      <c r="D3222">
        <v>4.6975470000000001</v>
      </c>
      <c r="E3222">
        <v>0.4988399</v>
      </c>
      <c r="F3222" t="s">
        <v>64</v>
      </c>
      <c r="G3222">
        <v>-435.85019999999997</v>
      </c>
      <c r="H3222" s="1">
        <v>4.8767180000000003E-6</v>
      </c>
      <c r="I3222">
        <v>213.86799999999999</v>
      </c>
      <c r="J3222">
        <v>-469.05950000000001</v>
      </c>
      <c r="K3222">
        <v>1.1138440000000001</v>
      </c>
      <c r="L3222">
        <v>213.07130000000001</v>
      </c>
      <c r="M3222">
        <v>0.99989280000000003</v>
      </c>
      <c r="N3222">
        <v>-1.434937E-2</v>
      </c>
      <c r="O3222">
        <v>-2.9155769999999999E-3</v>
      </c>
      <c r="P3222">
        <v>0.98432229999999998</v>
      </c>
      <c r="Q3222">
        <v>0.1746856</v>
      </c>
      <c r="R3222">
        <v>2.4388380000000001E-2</v>
      </c>
      <c r="S3222">
        <v>3.0627749999999998</v>
      </c>
      <c r="T3222">
        <v>-0.1020464</v>
      </c>
      <c r="U3222">
        <v>7.3333739999999994E-2</v>
      </c>
      <c r="V3222">
        <v>-2.8841499999999999E-2</v>
      </c>
      <c r="W3222">
        <v>0.1885558</v>
      </c>
      <c r="X3222">
        <v>0.98163880000000003</v>
      </c>
      <c r="Y3222">
        <v>-2.6829829999999999E-2</v>
      </c>
      <c r="Z3222">
        <v>6.9465919999999999E-4</v>
      </c>
      <c r="AA3222">
        <v>0.99963970000000002</v>
      </c>
      <c r="AB3222">
        <v>25</v>
      </c>
      <c r="AC3222">
        <v>33.209299999999999</v>
      </c>
      <c r="AD3222">
        <v>-1.113839123282</v>
      </c>
      <c r="AE3222">
        <v>0.79669999999998697</v>
      </c>
      <c r="AF3222">
        <v>-0.89252740004931297</v>
      </c>
      <c r="AG3222">
        <v>-1.113839123282</v>
      </c>
      <c r="AH3222">
        <v>33.169543790262097</v>
      </c>
      <c r="AI3222">
        <v>91.922584303124097</v>
      </c>
      <c r="AJ3222">
        <v>91.541345179838899</v>
      </c>
      <c r="AK3222">
        <v>33.200239125742897</v>
      </c>
      <c r="AL3222">
        <v>79.1314848787123</v>
      </c>
      <c r="AM3222">
        <v>91.682921426814005</v>
      </c>
      <c r="AN3222">
        <v>0.99999992775066204</v>
      </c>
    </row>
    <row r="3223" spans="1:40" x14ac:dyDescent="0.25">
      <c r="A3223" t="str">
        <f>"20190304155655780"</f>
        <v>20190304155655780</v>
      </c>
      <c r="B3223" t="str">
        <f>"1551686215777501"</f>
        <v>1551686215777501</v>
      </c>
      <c r="C3223" t="s">
        <v>40</v>
      </c>
      <c r="D3223">
        <v>4.6707239999999999</v>
      </c>
      <c r="E3223">
        <v>0.49907950000000001</v>
      </c>
      <c r="F3223" t="s">
        <v>64</v>
      </c>
      <c r="G3223">
        <v>-432.68950000000001</v>
      </c>
      <c r="H3223" s="1">
        <v>3.4680629999999999E-6</v>
      </c>
      <c r="I3223">
        <v>213.9485</v>
      </c>
      <c r="J3223">
        <v>-468.80090000000001</v>
      </c>
      <c r="K3223">
        <v>1.1135010000000001</v>
      </c>
      <c r="L3223">
        <v>213.07650000000001</v>
      </c>
      <c r="M3223">
        <v>0.99989589999999995</v>
      </c>
      <c r="N3223">
        <v>-1.429328E-2</v>
      </c>
      <c r="O3223">
        <v>2.032486E-3</v>
      </c>
      <c r="P3223">
        <v>0.98386419999999997</v>
      </c>
      <c r="Q3223">
        <v>0.1768951</v>
      </c>
      <c r="R3223">
        <v>2.6821939999999999E-2</v>
      </c>
      <c r="S3223">
        <v>3.0625309999999999</v>
      </c>
      <c r="T3223">
        <v>-9.3790890000000002E-2</v>
      </c>
      <c r="U3223">
        <v>7.3867799999999997E-2</v>
      </c>
      <c r="V3223">
        <v>-2.6261240000000002E-2</v>
      </c>
      <c r="W3223">
        <v>0.1907478</v>
      </c>
      <c r="X3223">
        <v>0.98128769999999998</v>
      </c>
      <c r="Y3223">
        <v>-2.2065789999999998E-2</v>
      </c>
      <c r="Z3223">
        <v>4.6236219999999998E-4</v>
      </c>
      <c r="AA3223">
        <v>0.99975639999999999</v>
      </c>
      <c r="AB3223">
        <v>25</v>
      </c>
      <c r="AC3223">
        <v>36.111400000000003</v>
      </c>
      <c r="AD3223">
        <v>-1.113497531937</v>
      </c>
      <c r="AE3223">
        <v>0.87199999999998501</v>
      </c>
      <c r="AF3223">
        <v>-0.79783665168598905</v>
      </c>
      <c r="AG3223">
        <v>-1.113497531937</v>
      </c>
      <c r="AH3223">
        <v>36.0788141050405</v>
      </c>
      <c r="AI3223">
        <v>91.767322096454194</v>
      </c>
      <c r="AJ3223">
        <v>91.266816129786704</v>
      </c>
      <c r="AK3223">
        <v>36.104809199087001</v>
      </c>
      <c r="AL3223">
        <v>79.003571428959503</v>
      </c>
      <c r="AM3223">
        <v>91.532984828155193</v>
      </c>
      <c r="AN3223">
        <v>0.99999996305123295</v>
      </c>
    </row>
    <row r="3224" spans="1:40" x14ac:dyDescent="0.25">
      <c r="A3224" t="str">
        <f>"20190304155655801"</f>
        <v>20190304155655801</v>
      </c>
      <c r="B3224" t="str">
        <f>"1551686215797997"</f>
        <v>1551686215797997</v>
      </c>
      <c r="C3224" t="s">
        <v>40</v>
      </c>
      <c r="D3224">
        <v>4.6755319999999996</v>
      </c>
      <c r="E3224">
        <v>0.4996042</v>
      </c>
      <c r="F3224" t="s">
        <v>64</v>
      </c>
      <c r="G3224">
        <v>-429.10359999999997</v>
      </c>
      <c r="H3224" s="1">
        <v>2.3955359999999999E-6</v>
      </c>
      <c r="I3224">
        <v>214.09280000000001</v>
      </c>
      <c r="J3224">
        <v>-468.5634</v>
      </c>
      <c r="K3224">
        <v>1.113197</v>
      </c>
      <c r="L3224">
        <v>213.08199999999999</v>
      </c>
      <c r="M3224">
        <v>0.99988030000000006</v>
      </c>
      <c r="N3224">
        <v>-1.4244140000000001E-2</v>
      </c>
      <c r="O3224">
        <v>6.069306E-3</v>
      </c>
      <c r="P3224">
        <v>0.98369549999999994</v>
      </c>
      <c r="Q3224">
        <v>0.17772829999999901</v>
      </c>
      <c r="R3224">
        <v>2.7498999999999999E-2</v>
      </c>
      <c r="S3224">
        <v>3.0625309999999999</v>
      </c>
      <c r="T3224">
        <v>-8.5903289999999993E-2</v>
      </c>
      <c r="U3224">
        <v>7.8399659999999996E-2</v>
      </c>
      <c r="V3224">
        <v>-2.2826140000000002E-2</v>
      </c>
      <c r="W3224">
        <v>0.19157389999999999</v>
      </c>
      <c r="X3224">
        <v>0.98121270000000005</v>
      </c>
      <c r="Y3224">
        <v>-1.9511859999999999E-2</v>
      </c>
      <c r="Z3224">
        <v>3.2884750000000001E-4</v>
      </c>
      <c r="AA3224">
        <v>0.99980959999999997</v>
      </c>
      <c r="AB3224">
        <v>25</v>
      </c>
      <c r="AC3224">
        <v>39.459800000000001</v>
      </c>
      <c r="AD3224">
        <v>-1.113194604464</v>
      </c>
      <c r="AE3224">
        <v>1.0108000000000099</v>
      </c>
      <c r="AF3224">
        <v>-0.77065059790438695</v>
      </c>
      <c r="AG3224">
        <v>-1.113194604464</v>
      </c>
      <c r="AH3224">
        <v>39.4338456084893</v>
      </c>
      <c r="AI3224">
        <v>91.616688675418601</v>
      </c>
      <c r="AJ3224">
        <v>91.119581569076104</v>
      </c>
      <c r="AK3224">
        <v>39.457081544960097</v>
      </c>
      <c r="AL3224">
        <v>78.955350278301296</v>
      </c>
      <c r="AM3224">
        <v>91.332642389314501</v>
      </c>
      <c r="AN3224">
        <v>0.99999997723489897</v>
      </c>
    </row>
    <row r="3225" spans="1:40" x14ac:dyDescent="0.25">
      <c r="A3225" t="str">
        <f>"20190304155655825"</f>
        <v>20190304155655825</v>
      </c>
      <c r="B3225" t="str">
        <f>"1551686215817518"</f>
        <v>1551686215817518</v>
      </c>
      <c r="C3225" t="s">
        <v>40</v>
      </c>
      <c r="D3225">
        <v>4.6475770000000001</v>
      </c>
      <c r="E3225">
        <v>0.4998534</v>
      </c>
      <c r="F3225" t="s">
        <v>64</v>
      </c>
      <c r="G3225">
        <v>-426.79809999999998</v>
      </c>
      <c r="H3225" s="1">
        <v>2.8024730000000002E-6</v>
      </c>
      <c r="I3225">
        <v>214.11600000000001</v>
      </c>
      <c r="J3225">
        <v>-468.31349999999998</v>
      </c>
      <c r="K3225">
        <v>1.112852</v>
      </c>
      <c r="L3225">
        <v>213.0882</v>
      </c>
      <c r="M3225">
        <v>0.99985119999999905</v>
      </c>
      <c r="N3225">
        <v>-1.4194299999999899E-2</v>
      </c>
      <c r="O3225">
        <v>9.7992689999999993E-3</v>
      </c>
      <c r="P3225">
        <v>0.98359839999999998</v>
      </c>
      <c r="Q3225">
        <v>0.17832879999999901</v>
      </c>
      <c r="R3225">
        <v>2.7076639999999999E-2</v>
      </c>
      <c r="S3225">
        <v>3.0623469999999999</v>
      </c>
      <c r="T3225">
        <v>-8.1622360000000005E-2</v>
      </c>
      <c r="U3225">
        <v>7.582092E-2</v>
      </c>
      <c r="V3225">
        <v>-1.8575390000000001E-2</v>
      </c>
      <c r="W3225">
        <v>0.1921688</v>
      </c>
      <c r="X3225">
        <v>0.98118609999999995</v>
      </c>
      <c r="Y3225">
        <v>-1.4945689999999999E-2</v>
      </c>
      <c r="Z3225">
        <v>1.8322020000000001E-4</v>
      </c>
      <c r="AA3225">
        <v>0.99988829999999995</v>
      </c>
      <c r="AB3225">
        <v>25</v>
      </c>
      <c r="AC3225">
        <v>41.5154</v>
      </c>
      <c r="AD3225">
        <v>-1.1128491975269901</v>
      </c>
      <c r="AE3225">
        <v>1.0277999999999801</v>
      </c>
      <c r="AF3225">
        <v>-0.62044352131965197</v>
      </c>
      <c r="AG3225">
        <v>-1.1128491975269901</v>
      </c>
      <c r="AH3225">
        <v>41.493682152684897</v>
      </c>
      <c r="AI3225">
        <v>91.536117210599201</v>
      </c>
      <c r="AJ3225">
        <v>90.8566640589477</v>
      </c>
      <c r="AK3225">
        <v>41.513239359120398</v>
      </c>
      <c r="AL3225">
        <v>78.920620294567897</v>
      </c>
      <c r="AM3225">
        <v>91.084569306778903</v>
      </c>
      <c r="AN3225">
        <v>1.00000002782015</v>
      </c>
    </row>
    <row r="3226" spans="1:40" x14ac:dyDescent="0.25">
      <c r="A3226" t="str">
        <f>"20190304155655844"</f>
        <v>20190304155655844</v>
      </c>
      <c r="B3226" t="str">
        <f>"1551686215838014"</f>
        <v>1551686215838014</v>
      </c>
      <c r="C3226" t="s">
        <v>40</v>
      </c>
      <c r="D3226">
        <v>4.6819750000000004</v>
      </c>
      <c r="E3226">
        <v>0.50049120000000002</v>
      </c>
      <c r="F3226" t="s">
        <v>64</v>
      </c>
      <c r="G3226">
        <v>-425.71260000000001</v>
      </c>
      <c r="H3226" s="1">
        <v>2.9963410000000001E-6</v>
      </c>
      <c r="I3226">
        <v>214.10079999999999</v>
      </c>
      <c r="J3226">
        <v>-468.09769999999997</v>
      </c>
      <c r="K3226">
        <v>1.112549</v>
      </c>
      <c r="L3226">
        <v>213.09379999999999</v>
      </c>
      <c r="M3226">
        <v>0.99982059999999995</v>
      </c>
      <c r="N3226">
        <v>-1.4153850000000001E-2</v>
      </c>
      <c r="O3226">
        <v>1.258984E-2</v>
      </c>
      <c r="P3226">
        <v>0.98310900000000001</v>
      </c>
      <c r="Q3226">
        <v>0.18114140000000001</v>
      </c>
      <c r="R3226">
        <v>2.6171440000000001E-2</v>
      </c>
      <c r="S3226">
        <v>3.0625610000000001</v>
      </c>
      <c r="T3226">
        <v>-8.0002309999999993E-2</v>
      </c>
      <c r="U3226">
        <v>7.2799680000000005E-2</v>
      </c>
      <c r="V3226">
        <v>-1.479453E-2</v>
      </c>
      <c r="W3226">
        <v>0.19496820000000001</v>
      </c>
      <c r="X3226">
        <v>0.98069799999999996</v>
      </c>
      <c r="Y3226">
        <v>-1.1169739999999999E-2</v>
      </c>
      <c r="Z3226" s="1">
        <v>7.4345229999999996E-5</v>
      </c>
      <c r="AA3226">
        <v>0.99993759999999998</v>
      </c>
      <c r="AB3226">
        <v>25</v>
      </c>
      <c r="AC3226">
        <v>42.385099999999902</v>
      </c>
      <c r="AD3226">
        <v>-1.112546003659</v>
      </c>
      <c r="AE3226">
        <v>1.0069999999999999</v>
      </c>
      <c r="AF3226">
        <v>-0.47291945568874899</v>
      </c>
      <c r="AG3226">
        <v>-1.112546003659</v>
      </c>
      <c r="AH3226">
        <v>42.3652467900164</v>
      </c>
      <c r="AI3226">
        <v>91.504194584173604</v>
      </c>
      <c r="AJ3226">
        <v>90.639561090824401</v>
      </c>
      <c r="AK3226">
        <v>42.382491042891999</v>
      </c>
      <c r="AL3226">
        <v>78.7571343210724</v>
      </c>
      <c r="AM3226">
        <v>90.864282209408302</v>
      </c>
      <c r="AN3226">
        <v>1.0000000221665799</v>
      </c>
    </row>
    <row r="3227" spans="1:40" x14ac:dyDescent="0.25">
      <c r="A3227" t="str">
        <f>"20190304155655866"</f>
        <v>20190304155655866</v>
      </c>
      <c r="B3227" t="str">
        <f>"1551686215857534"</f>
        <v>1551686215857534</v>
      </c>
      <c r="C3227" t="s">
        <v>40</v>
      </c>
      <c r="D3227">
        <v>4.7162699999999997</v>
      </c>
      <c r="E3227">
        <v>0.50079479999999998</v>
      </c>
      <c r="F3227" t="s">
        <v>64</v>
      </c>
      <c r="G3227">
        <v>-420.50749999999999</v>
      </c>
      <c r="H3227" s="1">
        <v>3.9188310000000003E-6</v>
      </c>
      <c r="I3227">
        <v>214.11019999999999</v>
      </c>
      <c r="J3227">
        <v>-467.8614</v>
      </c>
      <c r="K3227">
        <v>1.112195</v>
      </c>
      <c r="L3227">
        <v>213.1002</v>
      </c>
      <c r="M3227">
        <v>0.99978460000000002</v>
      </c>
      <c r="N3227">
        <v>-1.4113280000000001E-2</v>
      </c>
      <c r="O3227">
        <v>1.521405E-2</v>
      </c>
      <c r="P3227">
        <v>0.98251999999999995</v>
      </c>
      <c r="Q3227">
        <v>0.1843957</v>
      </c>
      <c r="R3227">
        <v>2.554503E-2</v>
      </c>
      <c r="S3227">
        <v>3.0630190000000002</v>
      </c>
      <c r="T3227">
        <v>-7.1606039999999996E-2</v>
      </c>
      <c r="U3227">
        <v>6.5414429999999996E-2</v>
      </c>
      <c r="V3227">
        <v>-1.143723E-2</v>
      </c>
      <c r="W3227">
        <v>0.19820070000000001</v>
      </c>
      <c r="X3227">
        <v>0.98009469999999999</v>
      </c>
      <c r="Y3227">
        <v>-6.1347279999999999E-3</v>
      </c>
      <c r="Z3227" s="1">
        <v>-2.584766E-5</v>
      </c>
      <c r="AA3227">
        <v>0.99998120000000001</v>
      </c>
      <c r="AB3227">
        <v>25</v>
      </c>
      <c r="AC3227">
        <v>47.353900000000003</v>
      </c>
      <c r="AD3227">
        <v>-1.1121910811689999</v>
      </c>
      <c r="AE3227">
        <v>1.00999999999999</v>
      </c>
      <c r="AF3227">
        <v>-0.289207215920468</v>
      </c>
      <c r="AG3227">
        <v>-1.1121910811689999</v>
      </c>
      <c r="AH3227">
        <v>47.3376848927483</v>
      </c>
      <c r="AI3227">
        <v>91.345882146048893</v>
      </c>
      <c r="AJ3227">
        <v>90.350041341359002</v>
      </c>
      <c r="AK3227">
        <v>47.351631659531101</v>
      </c>
      <c r="AL3227">
        <v>78.568239149717002</v>
      </c>
      <c r="AM3227">
        <v>90.668583622377994</v>
      </c>
      <c r="AN3227">
        <v>0.99999997433932597</v>
      </c>
    </row>
    <row r="3228" spans="1:40" x14ac:dyDescent="0.25">
      <c r="A3228" t="str">
        <f>"20190304155655888"</f>
        <v>20190304155655888</v>
      </c>
      <c r="B3228" t="str">
        <f>"1551686215878030"</f>
        <v>1551686215878030</v>
      </c>
      <c r="C3228" t="s">
        <v>40</v>
      </c>
      <c r="D3228">
        <v>4.6782170000000001</v>
      </c>
      <c r="E3228">
        <v>0.5067625</v>
      </c>
      <c r="F3228" t="s">
        <v>64</v>
      </c>
      <c r="G3228">
        <v>-412.86200000000002</v>
      </c>
      <c r="H3228" s="1">
        <v>2.7515330000000001E-6</v>
      </c>
      <c r="I3228">
        <v>214.18029999999999</v>
      </c>
      <c r="J3228">
        <v>-467.61739999999998</v>
      </c>
      <c r="K3228">
        <v>1.111834</v>
      </c>
      <c r="L3228">
        <v>213.10679999999999</v>
      </c>
      <c r="M3228">
        <v>0.99974890000000005</v>
      </c>
      <c r="N3228">
        <v>-1.407573E-2</v>
      </c>
      <c r="O3228">
        <v>1.7441120000000001E-2</v>
      </c>
      <c r="P3228">
        <v>0.98261030000000005</v>
      </c>
      <c r="Q3228">
        <v>0.18406810000000001</v>
      </c>
      <c r="R3228">
        <v>2.4415550000000001E-2</v>
      </c>
      <c r="S3228">
        <v>3.0634459999999999</v>
      </c>
      <c r="T3228">
        <v>-6.1948660000000003E-2</v>
      </c>
      <c r="U3228">
        <v>6.0165410000000002E-2</v>
      </c>
      <c r="V3228">
        <v>-7.93683699999999E-3</v>
      </c>
      <c r="W3228">
        <v>0.19785949999999999</v>
      </c>
      <c r="X3228">
        <v>0.98019829999999997</v>
      </c>
      <c r="Y3228">
        <v>-2.1930909999999999E-3</v>
      </c>
      <c r="Z3228" s="1">
        <v>-6.9487130000000003E-5</v>
      </c>
      <c r="AA3228">
        <v>0.99999760000000004</v>
      </c>
      <c r="AB3228">
        <v>25</v>
      </c>
      <c r="AC3228">
        <v>54.755400000000002</v>
      </c>
      <c r="AD3228">
        <v>-1.1118312484669901</v>
      </c>
      <c r="AE3228">
        <v>1.0734999999999899</v>
      </c>
      <c r="AF3228">
        <v>-0.11819793034418601</v>
      </c>
      <c r="AG3228">
        <v>-1.1118312484669901</v>
      </c>
      <c r="AH3228">
        <v>54.743232009410903</v>
      </c>
      <c r="AI3228">
        <v>91.163510637179499</v>
      </c>
      <c r="AJ3228">
        <v>90.123709028195904</v>
      </c>
      <c r="AK3228">
        <v>54.754649029210299</v>
      </c>
      <c r="AL3228">
        <v>78.588184221933602</v>
      </c>
      <c r="AM3228">
        <v>90.463923804793296</v>
      </c>
      <c r="AN3228">
        <v>1.00000004122235</v>
      </c>
    </row>
    <row r="3229" spans="1:40" x14ac:dyDescent="0.25">
      <c r="A3229" t="str">
        <f>"20190304155655912"</f>
        <v>20190304155655912</v>
      </c>
      <c r="B3229" t="str">
        <f>"1551686215908286"</f>
        <v>1551686215908286</v>
      </c>
      <c r="C3229" t="s">
        <v>40</v>
      </c>
      <c r="D3229">
        <v>4.6355909999999998</v>
      </c>
      <c r="E3229">
        <v>0.50627359999999999</v>
      </c>
      <c r="F3229" t="s">
        <v>64</v>
      </c>
      <c r="G3229">
        <v>-422.41590000000002</v>
      </c>
      <c r="H3229" s="1">
        <v>3.6566170000000001E-6</v>
      </c>
      <c r="I3229">
        <v>213.23740000000001</v>
      </c>
      <c r="J3229">
        <v>-467.36829999999998</v>
      </c>
      <c r="K3229">
        <v>1.111472</v>
      </c>
      <c r="L3229">
        <v>213.11340000000001</v>
      </c>
      <c r="M3229">
        <v>0.99971759999999998</v>
      </c>
      <c r="N3229">
        <v>-1.404118E-2</v>
      </c>
      <c r="O3229">
        <v>1.9176519999999999E-2</v>
      </c>
      <c r="P3229">
        <v>0.98310019999999998</v>
      </c>
      <c r="Q3229">
        <v>0.1816806</v>
      </c>
      <c r="R3229">
        <v>2.2504099999999999E-2</v>
      </c>
      <c r="S3229">
        <v>3.0670169999999999</v>
      </c>
      <c r="T3229">
        <v>-7.5439930000000002E-2</v>
      </c>
      <c r="U3229">
        <v>8.8653559999999996E-3</v>
      </c>
      <c r="V3229">
        <v>-4.1318809999999996E-3</v>
      </c>
      <c r="W3229">
        <v>0.19546060000000001</v>
      </c>
      <c r="X3229">
        <v>0.98070290000000004</v>
      </c>
      <c r="Y3229">
        <v>1.627953E-2</v>
      </c>
      <c r="Z3229">
        <v>-5.1682970000000003E-4</v>
      </c>
      <c r="AA3229">
        <v>0.99986730000000001</v>
      </c>
      <c r="AB3229">
        <v>25</v>
      </c>
      <c r="AC3229">
        <v>44.952399999999898</v>
      </c>
      <c r="AD3229">
        <v>-1.1114683433829999</v>
      </c>
      <c r="AE3229">
        <v>0.123999999999995</v>
      </c>
      <c r="AF3229">
        <v>0.73768733838540801</v>
      </c>
      <c r="AG3229">
        <v>-1.1114683433829999</v>
      </c>
      <c r="AH3229">
        <v>44.919049402665799</v>
      </c>
      <c r="AI3229">
        <v>91.417235526208003</v>
      </c>
      <c r="AJ3229">
        <v>89.059139218282596</v>
      </c>
      <c r="AK3229">
        <v>44.938853386871003</v>
      </c>
      <c r="AL3229">
        <v>78.728368739821406</v>
      </c>
      <c r="AM3229">
        <v>90.241396188371994</v>
      </c>
      <c r="AN3229">
        <v>1.0000000483306799</v>
      </c>
    </row>
    <row r="3230" spans="1:40" x14ac:dyDescent="0.25">
      <c r="A3230" t="str">
        <f>"20190304155655934"</f>
        <v>20190304155655934</v>
      </c>
      <c r="B3230" t="str">
        <f>"1551686215927806"</f>
        <v>1551686215927806</v>
      </c>
      <c r="C3230" t="s">
        <v>40</v>
      </c>
      <c r="D3230">
        <v>4.6694550000000001</v>
      </c>
      <c r="E3230">
        <v>0.50691790000000003</v>
      </c>
      <c r="F3230" t="s">
        <v>64</v>
      </c>
      <c r="G3230">
        <v>-426.63389999999998</v>
      </c>
      <c r="H3230" s="1">
        <v>2.9107150000000001E-6</v>
      </c>
      <c r="I3230">
        <v>213.21090000000001</v>
      </c>
      <c r="J3230">
        <v>-467.11849999999998</v>
      </c>
      <c r="K3230">
        <v>1.1111439999999999</v>
      </c>
      <c r="L3230">
        <v>213.12</v>
      </c>
      <c r="M3230">
        <v>0.99969379999999997</v>
      </c>
      <c r="N3230">
        <v>-1.401021E-2</v>
      </c>
      <c r="O3230">
        <v>2.0401030000000001E-2</v>
      </c>
      <c r="P3230">
        <v>0.98323570000000005</v>
      </c>
      <c r="Q3230">
        <v>0.18112310000000001</v>
      </c>
      <c r="R3230">
        <v>2.1032240000000001E-2</v>
      </c>
      <c r="S3230">
        <v>3.0668639999999998</v>
      </c>
      <c r="T3230">
        <v>-8.3681820000000004E-2</v>
      </c>
      <c r="U3230">
        <v>7.339478E-3</v>
      </c>
      <c r="V3230">
        <v>-1.2976800000000001E-3</v>
      </c>
      <c r="W3230">
        <v>0.1948821</v>
      </c>
      <c r="X3230">
        <v>0.98082579999999997</v>
      </c>
      <c r="Y3230">
        <v>1.799839E-2</v>
      </c>
      <c r="Z3230">
        <v>-6.4232109999999999E-4</v>
      </c>
      <c r="AA3230">
        <v>0.9998378</v>
      </c>
      <c r="AB3230">
        <v>24</v>
      </c>
      <c r="AC3230">
        <v>40.4846</v>
      </c>
      <c r="AD3230">
        <v>-1.111141089285</v>
      </c>
      <c r="AE3230">
        <v>9.0900000000004796E-2</v>
      </c>
      <c r="AF3230">
        <v>0.73457411695128105</v>
      </c>
      <c r="AG3230">
        <v>-1.111141089285</v>
      </c>
      <c r="AH3230">
        <v>40.4475588765685</v>
      </c>
      <c r="AI3230">
        <v>91.573326066330907</v>
      </c>
      <c r="AJ3230">
        <v>88.959557227473496</v>
      </c>
      <c r="AK3230">
        <v>40.469485451721098</v>
      </c>
      <c r="AL3230">
        <v>78.762163524395405</v>
      </c>
      <c r="AM3230">
        <v>90.075805044866797</v>
      </c>
      <c r="AN3230">
        <v>0.99999998340971596</v>
      </c>
    </row>
    <row r="3231" spans="1:40" x14ac:dyDescent="0.25">
      <c r="A3231" t="str">
        <f>"20190304155655956"</f>
        <v>20190304155655956</v>
      </c>
      <c r="B3231" t="str">
        <f>"1551686215948301"</f>
        <v>1551686215948301</v>
      </c>
      <c r="C3231" t="s">
        <v>40</v>
      </c>
      <c r="D3231">
        <v>4.7722379999999998</v>
      </c>
      <c r="E3231">
        <v>0.50693929999999998</v>
      </c>
      <c r="F3231" t="s">
        <v>64</v>
      </c>
      <c r="G3231">
        <v>-427.06509999999997</v>
      </c>
      <c r="H3231" s="1">
        <v>2.8435910000000001E-6</v>
      </c>
      <c r="I3231">
        <v>213.10380000000001</v>
      </c>
      <c r="J3231">
        <v>-466.88499999999999</v>
      </c>
      <c r="K3231">
        <v>1.1108960000000001</v>
      </c>
      <c r="L3231">
        <v>213.1259</v>
      </c>
      <c r="M3231">
        <v>0.99967760000000006</v>
      </c>
      <c r="N3231">
        <v>-1.398456E-2</v>
      </c>
      <c r="O3231">
        <v>2.1195350000000002E-2</v>
      </c>
      <c r="P3231">
        <v>0.98300080000000001</v>
      </c>
      <c r="Q3231">
        <v>0.18244630000000001</v>
      </c>
      <c r="R3231">
        <v>2.056231E-2</v>
      </c>
      <c r="S3231">
        <v>3.0668030000000002</v>
      </c>
      <c r="T3231">
        <v>-8.5077639999999996E-2</v>
      </c>
      <c r="U3231">
        <v>-1.235962E-3</v>
      </c>
      <c r="V3231" s="1">
        <v>6.6125649999999999E-5</v>
      </c>
      <c r="W3231">
        <v>0.1961784</v>
      </c>
      <c r="X3231">
        <v>0.9805682</v>
      </c>
      <c r="Y3231">
        <v>2.158585E-2</v>
      </c>
      <c r="Z3231">
        <v>-7.4177420000000002E-4</v>
      </c>
      <c r="AA3231">
        <v>0.99976670000000001</v>
      </c>
      <c r="AB3231">
        <v>24</v>
      </c>
      <c r="AC3231">
        <v>39.819899999999997</v>
      </c>
      <c r="AD3231">
        <v>-1.1108931564090001</v>
      </c>
      <c r="AE3231">
        <v>-2.20999999999946E-2</v>
      </c>
      <c r="AF3231">
        <v>0.86550063019974099</v>
      </c>
      <c r="AG3231">
        <v>-1.1108931564090001</v>
      </c>
      <c r="AH3231">
        <v>39.779524184239001</v>
      </c>
      <c r="AI3231">
        <v>91.599262531369007</v>
      </c>
      <c r="AJ3231">
        <v>88.753587140258304</v>
      </c>
      <c r="AK3231">
        <v>39.804443461381197</v>
      </c>
      <c r="AL3231">
        <v>78.686429131194899</v>
      </c>
      <c r="AM3231">
        <v>89.996136198729602</v>
      </c>
      <c r="AN3231">
        <v>0.99999998192520001</v>
      </c>
    </row>
    <row r="3232" spans="1:40" x14ac:dyDescent="0.25">
      <c r="A3232" t="str">
        <f>"20190304155655980"</f>
        <v>20190304155655980</v>
      </c>
      <c r="B3232" t="str">
        <f>"1551686215977582"</f>
        <v>1551686215977582</v>
      </c>
      <c r="C3232" t="s">
        <v>40</v>
      </c>
      <c r="D3232">
        <v>4.7158509999999998</v>
      </c>
      <c r="E3232">
        <v>0.50805719999999999</v>
      </c>
      <c r="F3232" t="s">
        <v>64</v>
      </c>
      <c r="G3232">
        <v>-424.678</v>
      </c>
      <c r="H3232" s="1">
        <v>3.2678439999999998E-6</v>
      </c>
      <c r="I3232">
        <v>213.09440000000001</v>
      </c>
      <c r="J3232">
        <v>-466.62270000000001</v>
      </c>
      <c r="K3232">
        <v>1.1106659999999999</v>
      </c>
      <c r="L3232">
        <v>213.13239999999999</v>
      </c>
      <c r="M3232">
        <v>0.99966699999999997</v>
      </c>
      <c r="N3232">
        <v>-1.395864E-2</v>
      </c>
      <c r="O3232">
        <v>2.1705579999999999E-2</v>
      </c>
      <c r="P3232">
        <v>0.98275179999999995</v>
      </c>
      <c r="Q3232">
        <v>0.18364620000000001</v>
      </c>
      <c r="R3232">
        <v>2.174856E-2</v>
      </c>
      <c r="S3232">
        <v>3.0669559999999998</v>
      </c>
      <c r="T3232">
        <v>-8.072269E-2</v>
      </c>
      <c r="U3232">
        <v>-2.2888180000000002E-3</v>
      </c>
      <c r="V3232">
        <v>-5.1169669999999998E-4</v>
      </c>
      <c r="W3232">
        <v>0.1973491</v>
      </c>
      <c r="X3232">
        <v>0.98033309999999996</v>
      </c>
      <c r="Y3232">
        <v>2.244024E-2</v>
      </c>
      <c r="Z3232">
        <v>-7.2010539999999902E-4</v>
      </c>
      <c r="AA3232">
        <v>0.99974790000000002</v>
      </c>
      <c r="AB3232">
        <v>24</v>
      </c>
      <c r="AC3232">
        <v>41.944699999999898</v>
      </c>
      <c r="AD3232">
        <v>-1.1106627321560001</v>
      </c>
      <c r="AE3232">
        <v>-3.7999999999982402E-2</v>
      </c>
      <c r="AF3232">
        <v>0.94784917393243495</v>
      </c>
      <c r="AG3232">
        <v>-1.1106627321560001</v>
      </c>
      <c r="AH3232">
        <v>41.904609924811297</v>
      </c>
      <c r="AI3232">
        <v>91.517855211867897</v>
      </c>
      <c r="AJ3232">
        <v>88.704235681489706</v>
      </c>
      <c r="AK3232">
        <v>41.9300408145726</v>
      </c>
      <c r="AL3232">
        <v>78.618015258604103</v>
      </c>
      <c r="AM3232">
        <v>90.0299062213019</v>
      </c>
      <c r="AN3232">
        <v>0.999999958029965</v>
      </c>
    </row>
    <row r="3233" spans="1:40" x14ac:dyDescent="0.25">
      <c r="A3233" t="str">
        <f>"20190304155656002"</f>
        <v>20190304155656002</v>
      </c>
      <c r="B3233" t="str">
        <f>"1551686215998077"</f>
        <v>1551686215998077</v>
      </c>
      <c r="C3233" t="s">
        <v>40</v>
      </c>
      <c r="D3233">
        <v>4.6351329999999997</v>
      </c>
      <c r="E3233">
        <v>0.50915869999999996</v>
      </c>
      <c r="F3233" t="s">
        <v>64</v>
      </c>
      <c r="G3233">
        <v>-421.54640000000001</v>
      </c>
      <c r="H3233" s="1">
        <v>3.8308379999999996E-6</v>
      </c>
      <c r="I3233">
        <v>213.0086</v>
      </c>
      <c r="J3233">
        <v>-466.37610000000001</v>
      </c>
      <c r="K3233">
        <v>1.110471</v>
      </c>
      <c r="L3233">
        <v>213.13829999999999</v>
      </c>
      <c r="M3233">
        <v>0.99966429999999995</v>
      </c>
      <c r="N3233">
        <v>-1.3937039999999999E-2</v>
      </c>
      <c r="O3233">
        <v>2.1847100000000001E-2</v>
      </c>
      <c r="P3233">
        <v>0.98269930000000005</v>
      </c>
      <c r="Q3233">
        <v>0.1838526</v>
      </c>
      <c r="R3233">
        <v>2.2378849999999999E-2</v>
      </c>
      <c r="S3233">
        <v>3.0669559999999998</v>
      </c>
      <c r="T3233">
        <v>-7.5568679999999999E-2</v>
      </c>
      <c r="U3233">
        <v>-8.4228519999999998E-3</v>
      </c>
      <c r="V3233">
        <v>-9.0760020000000001E-4</v>
      </c>
      <c r="W3233">
        <v>0.19753409999999999</v>
      </c>
      <c r="X3233">
        <v>0.98029560000000004</v>
      </c>
      <c r="Y3233">
        <v>2.4581860000000001E-2</v>
      </c>
      <c r="Z3233">
        <v>-7.0784609999999997E-4</v>
      </c>
      <c r="AA3233">
        <v>0.99969759999999996</v>
      </c>
      <c r="AB3233">
        <v>24</v>
      </c>
      <c r="AC3233">
        <v>44.829700000000003</v>
      </c>
      <c r="AD3233">
        <v>-1.1104671691620001</v>
      </c>
      <c r="AE3233">
        <v>-0.12969999999998499</v>
      </c>
      <c r="AF3233">
        <v>1.10848283725607</v>
      </c>
      <c r="AG3233">
        <v>-1.1104671691620001</v>
      </c>
      <c r="AH3233">
        <v>44.788682536634198</v>
      </c>
      <c r="AI3233">
        <v>91.419836021028004</v>
      </c>
      <c r="AJ3233">
        <v>88.582266277099905</v>
      </c>
      <c r="AK3233">
        <v>44.816157297359602</v>
      </c>
      <c r="AL3233">
        <v>78.607203219191803</v>
      </c>
      <c r="AM3233">
        <v>90.053046903492003</v>
      </c>
      <c r="AN3233">
        <v>1.00000000389014</v>
      </c>
    </row>
    <row r="3234" spans="1:40" x14ac:dyDescent="0.25">
      <c r="A3234" t="str">
        <f>"20190304155656025"</f>
        <v>20190304155656025</v>
      </c>
      <c r="B3234" t="str">
        <f>"1551686216017597"</f>
        <v>1551686216017597</v>
      </c>
      <c r="C3234" t="s">
        <v>40</v>
      </c>
      <c r="D3234">
        <v>4.6321729999999999</v>
      </c>
      <c r="E3234">
        <v>0.50995779999999902</v>
      </c>
      <c r="F3234" t="s">
        <v>64</v>
      </c>
      <c r="G3234">
        <v>-421.64280000000002</v>
      </c>
      <c r="H3234" s="1">
        <v>3.821848E-6</v>
      </c>
      <c r="I3234">
        <v>212.916</v>
      </c>
      <c r="J3234">
        <v>-466.13529999999997</v>
      </c>
      <c r="K3234">
        <v>1.1102909999999999</v>
      </c>
      <c r="L3234">
        <v>213.1437</v>
      </c>
      <c r="M3234">
        <v>0.99966770000000005</v>
      </c>
      <c r="N3234">
        <v>-1.3918929999999999E-2</v>
      </c>
      <c r="O3234">
        <v>2.1698039999999998E-2</v>
      </c>
      <c r="P3234">
        <v>0.98280999999999996</v>
      </c>
      <c r="Q3234">
        <v>0.18333949999999999</v>
      </c>
      <c r="R3234">
        <v>2.17182E-2</v>
      </c>
      <c r="S3234">
        <v>3.067383</v>
      </c>
      <c r="T3234">
        <v>-7.6145290000000004E-2</v>
      </c>
      <c r="U3234">
        <v>-1.524353E-2</v>
      </c>
      <c r="V3234">
        <v>-2.9995869999999998E-4</v>
      </c>
      <c r="W3234">
        <v>0.19700500000000001</v>
      </c>
      <c r="X3234">
        <v>0.98040240000000001</v>
      </c>
      <c r="Y3234">
        <v>2.66541E-2</v>
      </c>
      <c r="Z3234">
        <v>-7.5283929999999896E-4</v>
      </c>
      <c r="AA3234">
        <v>0.99964450000000005</v>
      </c>
      <c r="AB3234">
        <v>24</v>
      </c>
      <c r="AC3234">
        <v>44.4924999999999</v>
      </c>
      <c r="AD3234">
        <v>-1.1102871781519901</v>
      </c>
      <c r="AE3234">
        <v>-0.22769999999999799</v>
      </c>
      <c r="AF3234">
        <v>1.1923974145427401</v>
      </c>
      <c r="AG3234">
        <v>-1.1102871781519901</v>
      </c>
      <c r="AH3234">
        <v>44.449402894891897</v>
      </c>
      <c r="AI3234">
        <v>91.430360740490698</v>
      </c>
      <c r="AJ3234">
        <v>88.463354877023903</v>
      </c>
      <c r="AK3234">
        <v>44.479253219052602</v>
      </c>
      <c r="AL3234">
        <v>78.638125601334494</v>
      </c>
      <c r="AM3234">
        <v>90.017529911189499</v>
      </c>
      <c r="AN3234">
        <v>0.99999996296298999</v>
      </c>
    </row>
    <row r="3235" spans="1:40" x14ac:dyDescent="0.25">
      <c r="A3235" t="str">
        <f>"20190304155656044"</f>
        <v>20190304155656044</v>
      </c>
      <c r="B3235" t="str">
        <f>"1551686216038094"</f>
        <v>1551686216038094</v>
      </c>
      <c r="C3235" t="s">
        <v>40</v>
      </c>
      <c r="D3235">
        <v>4.6784879999999998</v>
      </c>
      <c r="E3235">
        <v>0.52006339999999995</v>
      </c>
      <c r="F3235" t="s">
        <v>64</v>
      </c>
      <c r="G3235">
        <v>-423.11099999999999</v>
      </c>
      <c r="H3235" s="1">
        <v>3.5697240000000001E-6</v>
      </c>
      <c r="I3235">
        <v>212.821</v>
      </c>
      <c r="J3235">
        <v>-465.91579999999999</v>
      </c>
      <c r="K3235">
        <v>1.1101219999999901</v>
      </c>
      <c r="L3235">
        <v>213.14830000000001</v>
      </c>
      <c r="M3235">
        <v>0.99967600000000001</v>
      </c>
      <c r="N3235">
        <v>-1.390504E-2</v>
      </c>
      <c r="O3235">
        <v>2.1325009999999998E-2</v>
      </c>
      <c r="P3235">
        <v>0.98271549999999996</v>
      </c>
      <c r="Q3235">
        <v>0.18387490000000001</v>
      </c>
      <c r="R3235">
        <v>2.1458379999999999E-2</v>
      </c>
      <c r="S3235">
        <v>3.0677490000000001</v>
      </c>
      <c r="T3235">
        <v>-7.9166410000000006E-2</v>
      </c>
      <c r="U3235">
        <v>-2.3010249999999999E-2</v>
      </c>
      <c r="V3235">
        <v>-3.237661E-4</v>
      </c>
      <c r="W3235">
        <v>0.1975257</v>
      </c>
      <c r="X3235">
        <v>0.98029759999999999</v>
      </c>
      <c r="Y3235">
        <v>2.8808980000000001E-2</v>
      </c>
      <c r="Z3235">
        <v>-8.2568520000000001E-4</v>
      </c>
      <c r="AA3235">
        <v>0.99958460000000005</v>
      </c>
      <c r="AB3235">
        <v>24</v>
      </c>
      <c r="AC3235">
        <v>42.8048</v>
      </c>
      <c r="AD3235">
        <v>-1.1101184302760001</v>
      </c>
      <c r="AE3235">
        <v>-0.32730000000000797</v>
      </c>
      <c r="AF3235">
        <v>1.2392930133678299</v>
      </c>
      <c r="AG3235">
        <v>-1.1101184302760001</v>
      </c>
      <c r="AH3235">
        <v>42.759325761393697</v>
      </c>
      <c r="AI3235">
        <v>91.486556094434107</v>
      </c>
      <c r="AJ3235">
        <v>88.339861868194006</v>
      </c>
      <c r="AK3235">
        <v>42.7916831834319</v>
      </c>
      <c r="AL3235">
        <v>78.607693506223598</v>
      </c>
      <c r="AM3235">
        <v>90.018923264123998</v>
      </c>
      <c r="AN3235">
        <v>0.99999994577536699</v>
      </c>
    </row>
    <row r="3236" spans="1:40" x14ac:dyDescent="0.25">
      <c r="A3236" t="str">
        <f>"20190304155656068"</f>
        <v>20190304155656068</v>
      </c>
      <c r="B3236" t="str">
        <f>"1551686216057614"</f>
        <v>1551686216057614</v>
      </c>
      <c r="C3236" t="s">
        <v>40</v>
      </c>
      <c r="D3236">
        <v>4.5982570000000003</v>
      </c>
      <c r="E3236">
        <v>0.51931679999999902</v>
      </c>
      <c r="F3236" t="s">
        <v>64</v>
      </c>
      <c r="G3236">
        <v>-431.98700000000002</v>
      </c>
      <c r="H3236" s="1">
        <v>3.326835E-6</v>
      </c>
      <c r="I3236">
        <v>212.00040000000001</v>
      </c>
      <c r="J3236">
        <v>-465.6694</v>
      </c>
      <c r="K3236">
        <v>1.1099319999999999</v>
      </c>
      <c r="L3236">
        <v>213.15299999999999</v>
      </c>
      <c r="M3236">
        <v>0.99968990000000002</v>
      </c>
      <c r="N3236">
        <v>-1.389203E-2</v>
      </c>
      <c r="O3236">
        <v>2.0665670000000001E-2</v>
      </c>
      <c r="P3236">
        <v>0.98247779999999996</v>
      </c>
      <c r="Q3236">
        <v>0.18507560000000001</v>
      </c>
      <c r="R3236">
        <v>2.2002589999999999E-2</v>
      </c>
      <c r="S3236">
        <v>3.0738219999999998</v>
      </c>
      <c r="T3236">
        <v>-0.1005727</v>
      </c>
      <c r="U3236">
        <v>-0.1039886</v>
      </c>
      <c r="V3236">
        <v>-1.4247120000000001E-3</v>
      </c>
      <c r="W3236">
        <v>0.198712</v>
      </c>
      <c r="X3236">
        <v>0.98005690000000001</v>
      </c>
      <c r="Y3236">
        <v>5.4414579999999997E-2</v>
      </c>
      <c r="Z3236">
        <v>-1.6567859999999999E-3</v>
      </c>
      <c r="AA3236">
        <v>0.99851699999999999</v>
      </c>
      <c r="AB3236">
        <v>24</v>
      </c>
      <c r="AC3236">
        <v>33.682400000000001</v>
      </c>
      <c r="AD3236">
        <v>-1.109928673165</v>
      </c>
      <c r="AE3236">
        <v>-1.1525999999999701</v>
      </c>
      <c r="AF3236">
        <v>1.8464876320210599</v>
      </c>
      <c r="AG3236">
        <v>-1.109928673165</v>
      </c>
      <c r="AH3236">
        <v>33.614924652390599</v>
      </c>
      <c r="AI3236">
        <v>91.8883133052353</v>
      </c>
      <c r="AJ3236">
        <v>86.855868842026894</v>
      </c>
      <c r="AK3236">
        <v>33.6838925544631</v>
      </c>
      <c r="AL3236">
        <v>78.538349690167706</v>
      </c>
      <c r="AM3236">
        <v>90.083291008022201</v>
      </c>
      <c r="AN3236">
        <v>1.0000000079929401</v>
      </c>
    </row>
    <row r="3237" spans="1:40" x14ac:dyDescent="0.25">
      <c r="A3237" t="str">
        <f>"20190304155656091"</f>
        <v>20190304155656091</v>
      </c>
      <c r="B3237" t="str">
        <f>"1551686216087870"</f>
        <v>1551686216087870</v>
      </c>
      <c r="C3237" t="s">
        <v>40</v>
      </c>
      <c r="D3237">
        <v>4.5972580000000001</v>
      </c>
      <c r="E3237">
        <v>0.51935540000000002</v>
      </c>
      <c r="F3237" t="s">
        <v>64</v>
      </c>
      <c r="G3237">
        <v>-427.69240000000002</v>
      </c>
      <c r="H3237" s="1">
        <v>2.83336E-6</v>
      </c>
      <c r="I3237">
        <v>211.94810000000001</v>
      </c>
      <c r="J3237">
        <v>-465.41489999999999</v>
      </c>
      <c r="K3237">
        <v>1.109748</v>
      </c>
      <c r="L3237">
        <v>213.1574</v>
      </c>
      <c r="M3237">
        <v>0.99970910000000002</v>
      </c>
      <c r="N3237">
        <v>-1.3881050000000001E-2</v>
      </c>
      <c r="O3237">
        <v>1.9723480000000002E-2</v>
      </c>
      <c r="P3237">
        <v>0.98236020000000002</v>
      </c>
      <c r="Q3237">
        <v>0.18572169999999999</v>
      </c>
      <c r="R3237">
        <v>2.1807630000000001E-2</v>
      </c>
      <c r="S3237">
        <v>3.0726010000000001</v>
      </c>
      <c r="T3237">
        <v>-8.9801069999999997E-2</v>
      </c>
      <c r="U3237">
        <v>-9.7488400000000003E-2</v>
      </c>
      <c r="V3237">
        <v>-2.0674819999999998E-3</v>
      </c>
      <c r="W3237">
        <v>0.19934750000000001</v>
      </c>
      <c r="X3237">
        <v>0.97992670000000004</v>
      </c>
      <c r="Y3237">
        <v>5.1386960000000002E-2</v>
      </c>
      <c r="Z3237">
        <v>-1.40995799999999E-3</v>
      </c>
      <c r="AA3237">
        <v>0.99867779999999995</v>
      </c>
      <c r="AB3237">
        <v>24</v>
      </c>
      <c r="AC3237">
        <v>37.722499999999897</v>
      </c>
      <c r="AD3237">
        <v>-1.10974516664</v>
      </c>
      <c r="AE3237">
        <v>-1.2092999999999801</v>
      </c>
      <c r="AF3237">
        <v>1.95146820596633</v>
      </c>
      <c r="AG3237">
        <v>-1.10974516664</v>
      </c>
      <c r="AH3237">
        <v>37.658748073603498</v>
      </c>
      <c r="AI3237">
        <v>91.685669255527003</v>
      </c>
      <c r="AJ3237">
        <v>87.033598376163994</v>
      </c>
      <c r="AK3237">
        <v>37.725602300889904</v>
      </c>
      <c r="AL3237">
        <v>78.501195008314497</v>
      </c>
      <c r="AM3237">
        <v>90.120884365179407</v>
      </c>
      <c r="AN3237">
        <v>1.0000000188054801</v>
      </c>
    </row>
    <row r="3238" spans="1:40" x14ac:dyDescent="0.25">
      <c r="A3238" t="str">
        <f>"20190304155656112"</f>
        <v>20190304155656112</v>
      </c>
      <c r="B3238" t="str">
        <f>"1551686216107390"</f>
        <v>1551686216107390</v>
      </c>
      <c r="C3238" t="s">
        <v>40</v>
      </c>
      <c r="D3238">
        <v>4.600708</v>
      </c>
      <c r="E3238">
        <v>0.51941729999999997</v>
      </c>
      <c r="F3238" t="s">
        <v>64</v>
      </c>
      <c r="G3238">
        <v>-424.8698</v>
      </c>
      <c r="H3238" s="1">
        <v>3.3428559999999998E-6</v>
      </c>
      <c r="I3238">
        <v>211.84729999999999</v>
      </c>
      <c r="J3238">
        <v>-465.18889999999999</v>
      </c>
      <c r="K3238">
        <v>1.10961</v>
      </c>
      <c r="L3238">
        <v>213.16069999999999</v>
      </c>
      <c r="M3238">
        <v>0.99972919999999998</v>
      </c>
      <c r="N3238">
        <v>-1.3872890000000001E-2</v>
      </c>
      <c r="O3238">
        <v>1.8684840000000001E-2</v>
      </c>
      <c r="P3238">
        <v>0.98244229999999999</v>
      </c>
      <c r="Q3238">
        <v>0.1853853</v>
      </c>
      <c r="R3238">
        <v>2.0961190000000001E-2</v>
      </c>
      <c r="S3238">
        <v>3.07193</v>
      </c>
      <c r="T3238">
        <v>-8.4080699999999994E-2</v>
      </c>
      <c r="U3238">
        <v>-9.925842E-2</v>
      </c>
      <c r="V3238">
        <v>-2.1746389999999999E-3</v>
      </c>
      <c r="W3238">
        <v>0.1990055</v>
      </c>
      <c r="X3238">
        <v>0.97999599999999998</v>
      </c>
      <c r="Y3238">
        <v>5.0935389999999997E-2</v>
      </c>
      <c r="Z3238">
        <v>-1.3023519999999999E-3</v>
      </c>
      <c r="AA3238">
        <v>0.99870110000000001</v>
      </c>
      <c r="AB3238">
        <v>24</v>
      </c>
      <c r="AC3238">
        <v>40.319099999999899</v>
      </c>
      <c r="AD3238">
        <v>-1.109606657144</v>
      </c>
      <c r="AE3238">
        <v>-1.3133999999999999</v>
      </c>
      <c r="AF3238">
        <v>2.06503671461769</v>
      </c>
      <c r="AG3238">
        <v>-1.109606657144</v>
      </c>
      <c r="AH3238">
        <v>40.257059078192498</v>
      </c>
      <c r="AI3238">
        <v>91.576773652328299</v>
      </c>
      <c r="AJ3238">
        <v>87.063514383675596</v>
      </c>
      <c r="AK3238">
        <v>40.325257707687101</v>
      </c>
      <c r="AL3238">
        <v>78.521191043363601</v>
      </c>
      <c r="AM3238">
        <v>90.127140755834901</v>
      </c>
      <c r="AN3238">
        <v>1.0000000390505099</v>
      </c>
    </row>
    <row r="3239" spans="1:40" x14ac:dyDescent="0.25">
      <c r="A3239" t="str">
        <f>"20190304155656135"</f>
        <v>20190304155656135</v>
      </c>
      <c r="B3239" t="str">
        <f>"1551686216127886"</f>
        <v>1551686216127886</v>
      </c>
      <c r="C3239" t="s">
        <v>40</v>
      </c>
      <c r="D3239">
        <v>4.6138750000000002</v>
      </c>
      <c r="E3239">
        <v>0.51953629999999995</v>
      </c>
      <c r="F3239" t="s">
        <v>64</v>
      </c>
      <c r="G3239">
        <v>-424.6155</v>
      </c>
      <c r="H3239" s="1">
        <v>3.3912459999999998E-6</v>
      </c>
      <c r="I3239">
        <v>211.80969999999999</v>
      </c>
      <c r="J3239">
        <v>-464.94170000000003</v>
      </c>
      <c r="K3239">
        <v>1.1094999999999999</v>
      </c>
      <c r="L3239">
        <v>213.16390000000001</v>
      </c>
      <c r="M3239">
        <v>0.9997528</v>
      </c>
      <c r="N3239">
        <v>-1.3864659999999999E-2</v>
      </c>
      <c r="O3239">
        <v>1.7381210000000001E-2</v>
      </c>
      <c r="P3239">
        <v>0.9826066</v>
      </c>
      <c r="Q3239">
        <v>0.18463879999999999</v>
      </c>
      <c r="R3239">
        <v>1.9815269999999999E-2</v>
      </c>
      <c r="S3239">
        <v>3.0715940000000002</v>
      </c>
      <c r="T3239">
        <v>-8.4002380000000001E-2</v>
      </c>
      <c r="U3239">
        <v>-0.1022797</v>
      </c>
      <c r="V3239">
        <v>-2.2581699999999999E-3</v>
      </c>
      <c r="W3239">
        <v>0.1982535</v>
      </c>
      <c r="X3239">
        <v>0.98014820000000002</v>
      </c>
      <c r="Y3239">
        <v>5.0618249999999997E-2</v>
      </c>
      <c r="Z3239">
        <v>-1.2771919999999999E-3</v>
      </c>
      <c r="AA3239">
        <v>0.99871719999999997</v>
      </c>
      <c r="AB3239">
        <v>24</v>
      </c>
      <c r="AC3239">
        <v>40.3262</v>
      </c>
      <c r="AD3239">
        <v>-1.1094966087539999</v>
      </c>
      <c r="AE3239">
        <v>-1.3542000000000201</v>
      </c>
      <c r="AF3239">
        <v>2.0534282909047601</v>
      </c>
      <c r="AG3239">
        <v>-1.1094966087539999</v>
      </c>
      <c r="AH3239">
        <v>40.266121248088197</v>
      </c>
      <c r="AI3239">
        <v>91.576286798459805</v>
      </c>
      <c r="AJ3239">
        <v>87.080648963791901</v>
      </c>
      <c r="AK3239">
        <v>40.333708865370397</v>
      </c>
      <c r="AL3239">
        <v>78.565153234818297</v>
      </c>
      <c r="AM3239">
        <v>90.132003896453199</v>
      </c>
      <c r="AN3239">
        <v>1.00000002177861</v>
      </c>
    </row>
    <row r="3240" spans="1:40" x14ac:dyDescent="0.25">
      <c r="A3240" t="str">
        <f>"20190304155656158"</f>
        <v>20190304155656158</v>
      </c>
      <c r="B3240" t="str">
        <f>"1551686216147406"</f>
        <v>1551686216147406</v>
      </c>
      <c r="C3240" t="s">
        <v>40</v>
      </c>
      <c r="D3240">
        <v>4.6202589999999999</v>
      </c>
      <c r="E3240">
        <v>0.51953879999999997</v>
      </c>
      <c r="F3240" t="s">
        <v>64</v>
      </c>
      <c r="G3240">
        <v>-424.7285</v>
      </c>
      <c r="H3240" s="1">
        <v>3.3748089999999999E-6</v>
      </c>
      <c r="I3240">
        <v>211.76849999999999</v>
      </c>
      <c r="J3240">
        <v>-464.69529999999997</v>
      </c>
      <c r="K3240">
        <v>1.109421</v>
      </c>
      <c r="L3240">
        <v>213.16659999999999</v>
      </c>
      <c r="M3240">
        <v>0.99977700000000003</v>
      </c>
      <c r="N3240">
        <v>-1.385722E-2</v>
      </c>
      <c r="O3240">
        <v>1.5940220000000001E-2</v>
      </c>
      <c r="P3240">
        <v>0.98264410000000002</v>
      </c>
      <c r="Q3240">
        <v>0.18454190000000001</v>
      </c>
      <c r="R3240">
        <v>1.8844240000000002E-2</v>
      </c>
      <c r="S3240">
        <v>3.0711059999999999</v>
      </c>
      <c r="T3240">
        <v>-8.4732890000000005E-2</v>
      </c>
      <c r="U3240">
        <v>-0.10656740000000001</v>
      </c>
      <c r="V3240">
        <v>-2.6713819999999999E-3</v>
      </c>
      <c r="W3240">
        <v>0.19815070000000001</v>
      </c>
      <c r="X3240">
        <v>0.98016789999999998</v>
      </c>
      <c r="Y3240">
        <v>5.0576490000000002E-2</v>
      </c>
      <c r="Z3240">
        <v>-1.2668110000000001E-3</v>
      </c>
      <c r="AA3240">
        <v>0.99871940000000003</v>
      </c>
      <c r="AB3240">
        <v>24</v>
      </c>
      <c r="AC3240">
        <v>39.9667999999999</v>
      </c>
      <c r="AD3240">
        <v>-1.109417625191</v>
      </c>
      <c r="AE3240">
        <v>-1.3980999999999899</v>
      </c>
      <c r="AF3240">
        <v>2.0334980782420802</v>
      </c>
      <c r="AG3240">
        <v>-1.109417625191</v>
      </c>
      <c r="AH3240">
        <v>39.9087195387837</v>
      </c>
      <c r="AI3240">
        <v>91.590286274947402</v>
      </c>
      <c r="AJ3240">
        <v>87.083089010159298</v>
      </c>
      <c r="AK3240">
        <v>39.975890448201298</v>
      </c>
      <c r="AL3240">
        <v>78.571161905530801</v>
      </c>
      <c r="AM3240">
        <v>90.1561554251019</v>
      </c>
      <c r="AN3240">
        <v>0.99999997419134401</v>
      </c>
    </row>
    <row r="3241" spans="1:40" x14ac:dyDescent="0.25">
      <c r="A3241" t="str">
        <f>"20190304155656181"</f>
        <v>20190304155656181</v>
      </c>
      <c r="B3241" t="str">
        <f>"1551686216177662"</f>
        <v>1551686216177662</v>
      </c>
      <c r="C3241" t="s">
        <v>40</v>
      </c>
      <c r="D3241">
        <v>4.5879529999999997</v>
      </c>
      <c r="E3241">
        <v>0.51951610000000004</v>
      </c>
      <c r="F3241" t="s">
        <v>64</v>
      </c>
      <c r="G3241">
        <v>-423.95139999999998</v>
      </c>
      <c r="H3241" s="1">
        <v>3.5174840000000002E-6</v>
      </c>
      <c r="I3241">
        <v>211.7132</v>
      </c>
      <c r="J3241">
        <v>-464.4418</v>
      </c>
      <c r="K3241">
        <v>1.1093820000000001</v>
      </c>
      <c r="L3241">
        <v>213.16890000000001</v>
      </c>
      <c r="M3241">
        <v>0.9998013</v>
      </c>
      <c r="N3241">
        <v>-1.385044E-2</v>
      </c>
      <c r="O3241">
        <v>1.434798E-2</v>
      </c>
      <c r="P3241">
        <v>0.98252119999999998</v>
      </c>
      <c r="Q3241">
        <v>0.18525069999999999</v>
      </c>
      <c r="R3241">
        <v>1.8296E-2</v>
      </c>
      <c r="S3241">
        <v>3.07077</v>
      </c>
      <c r="T3241">
        <v>-8.3614229999999998E-2</v>
      </c>
      <c r="U3241">
        <v>-0.1095428</v>
      </c>
      <c r="V3241">
        <v>-3.6691720000000001E-3</v>
      </c>
      <c r="W3241">
        <v>0.198854</v>
      </c>
      <c r="X3241">
        <v>0.98002230000000001</v>
      </c>
      <c r="Y3241">
        <v>4.995745E-2</v>
      </c>
      <c r="Z3241">
        <v>-1.217849E-3</v>
      </c>
      <c r="AA3241">
        <v>0.99875060000000004</v>
      </c>
      <c r="AB3241">
        <v>24</v>
      </c>
      <c r="AC3241">
        <v>40.490400000000001</v>
      </c>
      <c r="AD3241">
        <v>-1.10937848251599</v>
      </c>
      <c r="AE3241">
        <v>-1.4557</v>
      </c>
      <c r="AF3241">
        <v>2.03503551757565</v>
      </c>
      <c r="AG3241">
        <v>-1.10937848251599</v>
      </c>
      <c r="AH3241">
        <v>40.435028244707603</v>
      </c>
      <c r="AI3241">
        <v>91.569591471455297</v>
      </c>
      <c r="AJ3241">
        <v>87.118818661356002</v>
      </c>
      <c r="AK3241">
        <v>40.501402436527599</v>
      </c>
      <c r="AL3241">
        <v>78.530048416500804</v>
      </c>
      <c r="AM3241">
        <v>90.214512555111696</v>
      </c>
      <c r="AN3241">
        <v>1.00000004231822</v>
      </c>
    </row>
    <row r="3242" spans="1:40" x14ac:dyDescent="0.25">
      <c r="A3242" t="str">
        <f>"20190304155656204"</f>
        <v>20190304155656204</v>
      </c>
      <c r="B3242" t="str">
        <f>"1551686216198158"</f>
        <v>1551686216198158</v>
      </c>
      <c r="C3242" t="s">
        <v>40</v>
      </c>
      <c r="D3242">
        <v>4.5799529999999997</v>
      </c>
      <c r="E3242">
        <v>0.51959719999999998</v>
      </c>
      <c r="F3242" t="s">
        <v>64</v>
      </c>
      <c r="G3242">
        <v>-422.62560000000002</v>
      </c>
      <c r="H3242" s="1">
        <v>3.7574689999999998E-6</v>
      </c>
      <c r="I3242">
        <v>211.65809999999999</v>
      </c>
      <c r="J3242">
        <v>-464.19490000000002</v>
      </c>
      <c r="K3242">
        <v>1.109359</v>
      </c>
      <c r="L3242">
        <v>213.17070000000001</v>
      </c>
      <c r="M3242">
        <v>0.99982320000000002</v>
      </c>
      <c r="N3242">
        <v>-1.384461E-2</v>
      </c>
      <c r="O3242">
        <v>1.273052E-2</v>
      </c>
      <c r="P3242">
        <v>0.98253690000000005</v>
      </c>
      <c r="Q3242">
        <v>0.18522</v>
      </c>
      <c r="R3242">
        <v>1.7756839999999999E-2</v>
      </c>
      <c r="S3242">
        <v>3.07077</v>
      </c>
      <c r="T3242">
        <v>-8.1467269999999994E-2</v>
      </c>
      <c r="U3242">
        <v>-0.110946699999999</v>
      </c>
      <c r="V3242">
        <v>-4.7075679999999996E-3</v>
      </c>
      <c r="W3242">
        <v>0.19882040000000001</v>
      </c>
      <c r="X3242">
        <v>0.98002460000000002</v>
      </c>
      <c r="Y3242">
        <v>4.8799729999999999E-2</v>
      </c>
      <c r="Z3242">
        <v>-1.146429E-3</v>
      </c>
      <c r="AA3242">
        <v>0.99880789999999997</v>
      </c>
      <c r="AB3242">
        <v>24</v>
      </c>
      <c r="AC3242">
        <v>41.569299999999998</v>
      </c>
      <c r="AD3242">
        <v>-1.10935524253099</v>
      </c>
      <c r="AE3242">
        <v>-1.5126000000000199</v>
      </c>
      <c r="AF3242">
        <v>2.04027574216606</v>
      </c>
      <c r="AG3242">
        <v>-1.10935524253099</v>
      </c>
      <c r="AH3242">
        <v>41.517143705742399</v>
      </c>
      <c r="AI3242">
        <v>91.528758699914704</v>
      </c>
      <c r="AJ3242">
        <v>87.1865786108023</v>
      </c>
      <c r="AK3242">
        <v>41.582046794758199</v>
      </c>
      <c r="AL3242">
        <v>78.5320118748959</v>
      </c>
      <c r="AM3242">
        <v>90.275219319679707</v>
      </c>
      <c r="AN3242">
        <v>0.99999996462889595</v>
      </c>
    </row>
    <row r="3243" spans="1:40" x14ac:dyDescent="0.25">
      <c r="A3243" t="str">
        <f>"20190304155656224"</f>
        <v>20190304155656224</v>
      </c>
      <c r="B3243" t="str">
        <f>"1551686216217678"</f>
        <v>1551686216217678</v>
      </c>
      <c r="C3243" t="s">
        <v>40</v>
      </c>
      <c r="D3243">
        <v>4.5743169999999997</v>
      </c>
      <c r="E3243">
        <v>0.51967259999999904</v>
      </c>
      <c r="F3243" t="s">
        <v>64</v>
      </c>
      <c r="G3243">
        <v>-421.92410000000001</v>
      </c>
      <c r="H3243" s="1">
        <v>3.8858540000000004E-6</v>
      </c>
      <c r="I3243">
        <v>211.6131</v>
      </c>
      <c r="J3243">
        <v>-463.97770000000003</v>
      </c>
      <c r="K3243">
        <v>1.1093409999999999</v>
      </c>
      <c r="L3243">
        <v>213.17189999999999</v>
      </c>
      <c r="M3243">
        <v>0.99984070000000003</v>
      </c>
      <c r="N3243">
        <v>-1.3839890000000001E-2</v>
      </c>
      <c r="O3243">
        <v>1.128227E-2</v>
      </c>
      <c r="P3243">
        <v>0.98269830000000002</v>
      </c>
      <c r="Q3243">
        <v>0.18437139999999999</v>
      </c>
      <c r="R3243">
        <v>1.765102E-2</v>
      </c>
      <c r="S3243">
        <v>3.0705260000000001</v>
      </c>
      <c r="T3243">
        <v>-8.0582860000000006E-2</v>
      </c>
      <c r="U3243">
        <v>-0.11314390000000001</v>
      </c>
      <c r="V3243">
        <v>-6.0189600000000003E-3</v>
      </c>
      <c r="W3243">
        <v>0.19797310000000001</v>
      </c>
      <c r="X3243">
        <v>0.98018899999999998</v>
      </c>
      <c r="Y3243">
        <v>4.8070620000000001E-2</v>
      </c>
      <c r="Z3243">
        <v>-1.103192E-3</v>
      </c>
      <c r="AA3243">
        <v>0.99884329999999999</v>
      </c>
      <c r="AB3243">
        <v>24</v>
      </c>
      <c r="AC3243">
        <v>42.053600000000003</v>
      </c>
      <c r="AD3243">
        <v>-1.109337114146</v>
      </c>
      <c r="AE3243">
        <v>-1.55879999999999</v>
      </c>
      <c r="AF3243">
        <v>2.0317943222950601</v>
      </c>
      <c r="AG3243">
        <v>-1.109337114146</v>
      </c>
      <c r="AH3243">
        <v>42.004145601306199</v>
      </c>
      <c r="AI3243">
        <v>91.511074336280899</v>
      </c>
      <c r="AJ3243">
        <v>87.230688274461798</v>
      </c>
      <c r="AK3243">
        <v>42.067886382568098</v>
      </c>
      <c r="AL3243">
        <v>78.581543895756695</v>
      </c>
      <c r="AM3243">
        <v>90.351826709527799</v>
      </c>
      <c r="AN3243">
        <v>1.0000000259620401</v>
      </c>
    </row>
    <row r="3244" spans="1:40" x14ac:dyDescent="0.25">
      <c r="A3244" t="str">
        <f>"20190304155656247"</f>
        <v>20190304155656247</v>
      </c>
      <c r="B3244" t="str">
        <f>"1551686216238174"</f>
        <v>1551686216238174</v>
      </c>
      <c r="C3244" t="s">
        <v>40</v>
      </c>
      <c r="D3244">
        <v>4.5941150000000004</v>
      </c>
      <c r="E3244">
        <v>0.51984049999999904</v>
      </c>
      <c r="F3244" t="s">
        <v>64</v>
      </c>
      <c r="G3244">
        <v>-422.91210000000001</v>
      </c>
      <c r="H3244" s="1">
        <v>3.7073769999999999E-6</v>
      </c>
      <c r="I3244">
        <v>211.6499</v>
      </c>
      <c r="J3244">
        <v>-463.7296</v>
      </c>
      <c r="K3244">
        <v>1.109335</v>
      </c>
      <c r="L3244">
        <v>213.1728</v>
      </c>
      <c r="M3244">
        <v>0.99985800000000002</v>
      </c>
      <c r="N3244">
        <v>-1.383472E-2</v>
      </c>
      <c r="O3244">
        <v>9.6237509999999998E-3</v>
      </c>
      <c r="P3244">
        <v>0.98286240000000002</v>
      </c>
      <c r="Q3244">
        <v>0.18350140000000001</v>
      </c>
      <c r="R3244">
        <v>1.7570220000000001E-2</v>
      </c>
      <c r="S3244">
        <v>3.0704349999999998</v>
      </c>
      <c r="T3244">
        <v>-8.2944149999999994E-2</v>
      </c>
      <c r="U3244">
        <v>-0.1138</v>
      </c>
      <c r="V3244">
        <v>-7.567364E-3</v>
      </c>
      <c r="W3244">
        <v>0.197105</v>
      </c>
      <c r="X3244">
        <v>0.98035320000000004</v>
      </c>
      <c r="Y3244">
        <v>4.6627559999999998E-2</v>
      </c>
      <c r="Z3244">
        <v>-1.078978E-3</v>
      </c>
      <c r="AA3244">
        <v>0.99891169999999996</v>
      </c>
      <c r="AB3244">
        <v>24</v>
      </c>
      <c r="AC3244">
        <v>40.817500000000003</v>
      </c>
      <c r="AD3244">
        <v>-1.1093312926229999</v>
      </c>
      <c r="AE3244">
        <v>-1.5228999999999899</v>
      </c>
      <c r="AF3244">
        <v>1.91427252657564</v>
      </c>
      <c r="AG3244">
        <v>-1.1093312926229999</v>
      </c>
      <c r="AH3244">
        <v>40.7708790680433</v>
      </c>
      <c r="AI3244">
        <v>91.556857082276693</v>
      </c>
      <c r="AJ3244">
        <v>87.311825260325804</v>
      </c>
      <c r="AK3244">
        <v>40.830866206875903</v>
      </c>
      <c r="AL3244">
        <v>78.632282106252006</v>
      </c>
      <c r="AM3244">
        <v>90.442258369962403</v>
      </c>
      <c r="AN3244">
        <v>1.0000000213865701</v>
      </c>
    </row>
    <row r="3245" spans="1:40" x14ac:dyDescent="0.25">
      <c r="A3245" t="str">
        <f>"20190304155656269"</f>
        <v>20190304155656269</v>
      </c>
      <c r="B3245" t="str">
        <f>"1551686216257697"</f>
        <v>1551686216257697</v>
      </c>
      <c r="C3245" t="s">
        <v>40</v>
      </c>
      <c r="D3245">
        <v>4.570373</v>
      </c>
      <c r="E3245">
        <v>0.52004269999999997</v>
      </c>
      <c r="F3245" t="s">
        <v>64</v>
      </c>
      <c r="G3245">
        <v>-423.63139999999999</v>
      </c>
      <c r="H3245" s="1">
        <v>3.5787519999999999E-6</v>
      </c>
      <c r="I3245">
        <v>211.6617</v>
      </c>
      <c r="J3245">
        <v>-463.49799999999999</v>
      </c>
      <c r="K3245">
        <v>1.1093390000000001</v>
      </c>
      <c r="L3245">
        <v>213.17330000000001</v>
      </c>
      <c r="M3245">
        <v>0.99987190000000004</v>
      </c>
      <c r="N3245">
        <v>-1.3829839999999999E-2</v>
      </c>
      <c r="O3245">
        <v>8.0777490000000004E-3</v>
      </c>
      <c r="P3245">
        <v>0.98308530000000005</v>
      </c>
      <c r="Q3245">
        <v>0.1822281</v>
      </c>
      <c r="R3245">
        <v>1.8347249999999999E-2</v>
      </c>
      <c r="S3245">
        <v>3.0702820000000002</v>
      </c>
      <c r="T3245">
        <v>-8.4940429999999997E-2</v>
      </c>
      <c r="U3245">
        <v>-0.1157074</v>
      </c>
      <c r="V3245">
        <v>-9.869849E-3</v>
      </c>
      <c r="W3245">
        <v>0.1958357</v>
      </c>
      <c r="X3245">
        <v>0.98058710000000004</v>
      </c>
      <c r="Y3245">
        <v>4.5704099999999998E-2</v>
      </c>
      <c r="Z3245">
        <v>-1.0598160000000001E-3</v>
      </c>
      <c r="AA3245">
        <v>0.99895449999999997</v>
      </c>
      <c r="AB3245">
        <v>24</v>
      </c>
      <c r="AC3245">
        <v>39.866599999999998</v>
      </c>
      <c r="AD3245">
        <v>-1.10933542124799</v>
      </c>
      <c r="AE3245">
        <v>-1.51160000000001</v>
      </c>
      <c r="AF3245">
        <v>1.8321971824275001</v>
      </c>
      <c r="AG3245">
        <v>-1.10933542124799</v>
      </c>
      <c r="AH3245">
        <v>39.822297585823001</v>
      </c>
      <c r="AI3245">
        <v>91.5939986513023</v>
      </c>
      <c r="AJ3245">
        <v>87.365717395544394</v>
      </c>
      <c r="AK3245">
        <v>39.879856526898102</v>
      </c>
      <c r="AL3245">
        <v>78.706453560832401</v>
      </c>
      <c r="AM3245">
        <v>90.576676560903394</v>
      </c>
      <c r="AN3245">
        <v>1.0000000480000899</v>
      </c>
    </row>
    <row r="3246" spans="1:40" x14ac:dyDescent="0.25">
      <c r="A3246" t="str">
        <f>"20190304155656292"</f>
        <v>20190304155656292</v>
      </c>
      <c r="B3246" t="str">
        <f>"1551686216287480"</f>
        <v>1551686216287480</v>
      </c>
      <c r="C3246" t="s">
        <v>40</v>
      </c>
      <c r="D3246">
        <v>4.5671569999999999</v>
      </c>
      <c r="E3246">
        <v>0.52025519999999903</v>
      </c>
      <c r="F3246" t="s">
        <v>64</v>
      </c>
      <c r="G3246">
        <v>-424.92899999999997</v>
      </c>
      <c r="H3246" s="1">
        <v>3.3427319999999998E-6</v>
      </c>
      <c r="I3246">
        <v>211.7287</v>
      </c>
      <c r="J3246">
        <v>-463.2484</v>
      </c>
      <c r="K3246">
        <v>1.1093500000000001</v>
      </c>
      <c r="L3246">
        <v>213.17339999999999</v>
      </c>
      <c r="M3246">
        <v>0.9998842</v>
      </c>
      <c r="N3246">
        <v>-1.379676E-2</v>
      </c>
      <c r="O3246">
        <v>6.4143789999999996E-3</v>
      </c>
      <c r="P3246">
        <v>0.98327920000000002</v>
      </c>
      <c r="Q3246">
        <v>0.1811403</v>
      </c>
      <c r="R3246">
        <v>1.8719820000000002E-2</v>
      </c>
      <c r="S3246">
        <v>3.0701290000000001</v>
      </c>
      <c r="T3246">
        <v>-8.830404E-2</v>
      </c>
      <c r="U3246">
        <v>-0.1149902</v>
      </c>
      <c r="V3246">
        <v>-1.188732E-2</v>
      </c>
      <c r="W3246">
        <v>0.19472310000000001</v>
      </c>
      <c r="X3246">
        <v>0.98078620000000005</v>
      </c>
      <c r="Y3246">
        <v>4.3810509999999997E-2</v>
      </c>
      <c r="Z3246">
        <v>-1.0280650000000001E-3</v>
      </c>
      <c r="AA3246">
        <v>0.99903940000000002</v>
      </c>
      <c r="AB3246">
        <v>24</v>
      </c>
      <c r="AC3246">
        <v>38.319399999999902</v>
      </c>
      <c r="AD3246">
        <v>-1.109346657268</v>
      </c>
      <c r="AE3246">
        <v>-1.4446999999999799</v>
      </c>
      <c r="AF3246">
        <v>1.6890752274465399</v>
      </c>
      <c r="AG3246">
        <v>-1.109346657268</v>
      </c>
      <c r="AH3246">
        <v>38.277309018666799</v>
      </c>
      <c r="AI3246">
        <v>91.658459140808105</v>
      </c>
      <c r="AJ3246">
        <v>87.473329702056901</v>
      </c>
      <c r="AK3246">
        <v>38.330614537735698</v>
      </c>
      <c r="AL3246">
        <v>78.7714514728453</v>
      </c>
      <c r="AM3246">
        <v>90.694402019514499</v>
      </c>
      <c r="AN3246">
        <v>0.99999998208041596</v>
      </c>
    </row>
    <row r="3247" spans="1:40" x14ac:dyDescent="0.25">
      <c r="A3247" t="str">
        <f>"20190304155656313"</f>
        <v>20190304155656313</v>
      </c>
      <c r="B3247" t="str">
        <f>"1551686216307976"</f>
        <v>1551686216307976</v>
      </c>
      <c r="C3247" t="s">
        <v>40</v>
      </c>
      <c r="D3247">
        <v>4.545642</v>
      </c>
      <c r="E3247">
        <v>0.52029780000000003</v>
      </c>
      <c r="F3247" t="s">
        <v>64</v>
      </c>
      <c r="G3247">
        <v>-425.67829999999998</v>
      </c>
      <c r="H3247" s="1">
        <v>3.207138E-6</v>
      </c>
      <c r="I3247">
        <v>211.75919999999999</v>
      </c>
      <c r="J3247">
        <v>-463.01859999999999</v>
      </c>
      <c r="K3247">
        <v>1.1093440000000001</v>
      </c>
      <c r="L3247">
        <v>213.17310000000001</v>
      </c>
      <c r="M3247">
        <v>0.9998939</v>
      </c>
      <c r="N3247">
        <v>-1.372512E-2</v>
      </c>
      <c r="O3247">
        <v>4.8875539999999997E-3</v>
      </c>
      <c r="P3247">
        <v>0.9834619</v>
      </c>
      <c r="Q3247">
        <v>0.18006639999999999</v>
      </c>
      <c r="R3247">
        <v>1.9466959999999998E-2</v>
      </c>
      <c r="S3247">
        <v>3.0699160000000001</v>
      </c>
      <c r="T3247">
        <v>-9.0646740000000003E-2</v>
      </c>
      <c r="U3247">
        <v>-0.1155548</v>
      </c>
      <c r="V3247">
        <v>-1.414518E-2</v>
      </c>
      <c r="W3247">
        <v>0.19358739999999999</v>
      </c>
      <c r="X3247">
        <v>0.98098110000000005</v>
      </c>
      <c r="Y3247">
        <v>4.2470809999999998E-2</v>
      </c>
      <c r="Z3247">
        <v>-9.9552189999999995E-4</v>
      </c>
      <c r="AA3247">
        <v>0.99909720000000002</v>
      </c>
      <c r="AB3247">
        <v>24</v>
      </c>
      <c r="AC3247">
        <v>37.340299999999999</v>
      </c>
      <c r="AD3247">
        <v>-1.109340792862</v>
      </c>
      <c r="AE3247">
        <v>-1.4139000000000099</v>
      </c>
      <c r="AF3247">
        <v>1.59499726383588</v>
      </c>
      <c r="AG3247">
        <v>-1.109340792862</v>
      </c>
      <c r="AH3247">
        <v>37.300068057752199</v>
      </c>
      <c r="AI3247">
        <v>91.701976382802897</v>
      </c>
      <c r="AJ3247">
        <v>87.551452947092102</v>
      </c>
      <c r="AK3247">
        <v>37.350632262109002</v>
      </c>
      <c r="AL3247">
        <v>78.837785248895301</v>
      </c>
      <c r="AM3247">
        <v>90.826114745040201</v>
      </c>
      <c r="AN3247">
        <v>1.0000000430566001</v>
      </c>
    </row>
    <row r="3248" spans="1:40" x14ac:dyDescent="0.25">
      <c r="A3248" t="str">
        <f>"20190304155656336"</f>
        <v>20190304155656336</v>
      </c>
      <c r="B3248" t="str">
        <f>"1551686216327497"</f>
        <v>1551686216327497</v>
      </c>
      <c r="C3248" t="s">
        <v>40</v>
      </c>
      <c r="D3248">
        <v>4.5552619999999999</v>
      </c>
      <c r="E3248">
        <v>0.52023580000000003</v>
      </c>
      <c r="F3248" t="s">
        <v>64</v>
      </c>
      <c r="G3248">
        <v>-426.65929999999997</v>
      </c>
      <c r="H3248" s="1">
        <v>3.02803E-6</v>
      </c>
      <c r="I3248">
        <v>211.81739999999999</v>
      </c>
      <c r="J3248">
        <v>-462.78410000000002</v>
      </c>
      <c r="K3248">
        <v>1.109334</v>
      </c>
      <c r="L3248">
        <v>213.17240000000001</v>
      </c>
      <c r="M3248">
        <v>0.9999015</v>
      </c>
      <c r="N3248">
        <v>-1.3632740000000001E-2</v>
      </c>
      <c r="O3248">
        <v>3.342636E-3</v>
      </c>
      <c r="P3248">
        <v>0.98370449999999998</v>
      </c>
      <c r="Q3248">
        <v>0.17866029999999999</v>
      </c>
      <c r="R3248">
        <v>2.015109E-2</v>
      </c>
      <c r="S3248">
        <v>3.0698240000000001</v>
      </c>
      <c r="T3248">
        <v>-9.3662019999999999E-2</v>
      </c>
      <c r="U3248">
        <v>-0.11445619999999999</v>
      </c>
      <c r="V3248">
        <v>-1.6358830000000001E-2</v>
      </c>
      <c r="W3248">
        <v>0.19209860000000001</v>
      </c>
      <c r="X3248">
        <v>0.98123930000000004</v>
      </c>
      <c r="Y3248">
        <v>4.0571040000000003E-2</v>
      </c>
      <c r="Z3248">
        <v>-9.5169180000000001E-4</v>
      </c>
      <c r="AA3248">
        <v>0.99917619999999896</v>
      </c>
      <c r="AB3248">
        <v>24</v>
      </c>
      <c r="AC3248">
        <v>36.1248</v>
      </c>
      <c r="AD3248">
        <v>-1.10933097197</v>
      </c>
      <c r="AE3248">
        <v>-1.35500000000001</v>
      </c>
      <c r="AF3248">
        <v>1.4743673321017099</v>
      </c>
      <c r="AG3248">
        <v>-1.10933097197</v>
      </c>
      <c r="AH3248">
        <v>36.086087107860898</v>
      </c>
      <c r="AI3248">
        <v>91.759321766259205</v>
      </c>
      <c r="AJ3248">
        <v>87.660370660010003</v>
      </c>
      <c r="AK3248">
        <v>36.133226495726397</v>
      </c>
      <c r="AL3248">
        <v>78.924718772027006</v>
      </c>
      <c r="AM3248">
        <v>90.955123886260495</v>
      </c>
      <c r="AN3248">
        <v>1.0000000236527</v>
      </c>
    </row>
    <row r="3249" spans="1:40" x14ac:dyDescent="0.25">
      <c r="A3249" t="str">
        <f>"20190304155656358"</f>
        <v>20190304155656358</v>
      </c>
      <c r="B3249" t="str">
        <f>"1551686216347993"</f>
        <v>1551686216347993</v>
      </c>
      <c r="C3249" t="s">
        <v>40</v>
      </c>
      <c r="D3249">
        <v>4.6345020000000003</v>
      </c>
      <c r="E3249">
        <v>0.52014749999999998</v>
      </c>
      <c r="F3249" t="s">
        <v>64</v>
      </c>
      <c r="G3249">
        <v>-428.42039999999997</v>
      </c>
      <c r="H3249" s="1">
        <v>2.7077159999999999E-6</v>
      </c>
      <c r="I3249">
        <v>211.90819999999999</v>
      </c>
      <c r="J3249">
        <v>-462.54169999999999</v>
      </c>
      <c r="K3249">
        <v>1.1093200000000001</v>
      </c>
      <c r="L3249">
        <v>213.17140000000001</v>
      </c>
      <c r="M3249">
        <v>0.99990710000000005</v>
      </c>
      <c r="N3249">
        <v>-1.3530439999999999E-2</v>
      </c>
      <c r="O3249">
        <v>1.7567959999999999E-3</v>
      </c>
      <c r="P3249">
        <v>0.98389389999999999</v>
      </c>
      <c r="Q3249">
        <v>0.17755190000000001</v>
      </c>
      <c r="R3249">
        <v>2.0696849999999999E-2</v>
      </c>
      <c r="S3249">
        <v>3.0700069999999999</v>
      </c>
      <c r="T3249">
        <v>-9.9105949999999998E-2</v>
      </c>
      <c r="U3249">
        <v>-0.11294559999999999</v>
      </c>
      <c r="V3249">
        <v>-1.8474330000000001E-2</v>
      </c>
      <c r="W3249">
        <v>0.1908967</v>
      </c>
      <c r="X3249">
        <v>0.98143630000000004</v>
      </c>
      <c r="Y3249">
        <v>3.849209E-2</v>
      </c>
      <c r="Z3249">
        <v>-9.1445260000000005E-4</v>
      </c>
      <c r="AA3249">
        <v>0.99925850000000005</v>
      </c>
      <c r="AB3249">
        <v>24</v>
      </c>
      <c r="AC3249">
        <v>34.121299999999998</v>
      </c>
      <c r="AD3249">
        <v>-1.109317292284</v>
      </c>
      <c r="AE3249">
        <v>-1.2632000000000101</v>
      </c>
      <c r="AF3249">
        <v>1.32175255694708</v>
      </c>
      <c r="AG3249">
        <v>-1.109317292284</v>
      </c>
      <c r="AH3249">
        <v>34.083052674820301</v>
      </c>
      <c r="AI3249">
        <v>91.862775637739503</v>
      </c>
      <c r="AJ3249">
        <v>87.779162748098202</v>
      </c>
      <c r="AK3249">
        <v>34.126706467389099</v>
      </c>
      <c r="AL3249">
        <v>78.9948811422651</v>
      </c>
      <c r="AM3249">
        <v>91.078395147833902</v>
      </c>
      <c r="AN3249">
        <v>1.00000003094876</v>
      </c>
    </row>
    <row r="3250" spans="1:40" x14ac:dyDescent="0.25">
      <c r="A3250" t="str">
        <f>"20190304155656426"</f>
        <v>20190304155656426</v>
      </c>
      <c r="B3250" t="str">
        <f>"1551686216418265"</f>
        <v>1551686216418265</v>
      </c>
      <c r="C3250" t="s">
        <v>40</v>
      </c>
      <c r="D3250">
        <v>4.4356910000000003</v>
      </c>
      <c r="E3250">
        <v>0.51884220000000003</v>
      </c>
      <c r="F3250" t="s">
        <v>64</v>
      </c>
      <c r="G3250">
        <v>-429.1157</v>
      </c>
      <c r="H3250" s="1">
        <v>2.5797539999999998E-6</v>
      </c>
      <c r="I3250">
        <v>211.96119999999999</v>
      </c>
      <c r="J3250">
        <v>-461.82060000000001</v>
      </c>
      <c r="K3250">
        <v>1.109316</v>
      </c>
      <c r="L3250">
        <v>213.1661</v>
      </c>
      <c r="M3250">
        <v>0.99990869999999998</v>
      </c>
      <c r="N3250">
        <v>-1.319881E-2</v>
      </c>
      <c r="O3250">
        <v>-2.905272E-3</v>
      </c>
      <c r="P3250">
        <v>0.98377219999999999</v>
      </c>
      <c r="Q3250">
        <v>0.1780524</v>
      </c>
      <c r="R3250">
        <v>2.2132059999999999E-2</v>
      </c>
      <c r="S3250">
        <v>3.0698240000000001</v>
      </c>
      <c r="T3250">
        <v>-0.1018791</v>
      </c>
      <c r="U3250">
        <v>-0.11114499999999999</v>
      </c>
      <c r="V3250">
        <v>-2.4517529999999999E-2</v>
      </c>
      <c r="W3250">
        <v>0.191082</v>
      </c>
      <c r="X3250">
        <v>0.98126780000000002</v>
      </c>
      <c r="Y3250">
        <v>3.3253190000000002E-2</v>
      </c>
      <c r="Z3250">
        <v>-7.1304699999999996E-4</v>
      </c>
      <c r="AA3250">
        <v>0.99944670000000002</v>
      </c>
      <c r="AB3250">
        <v>24</v>
      </c>
      <c r="AC3250">
        <v>32.704900000000002</v>
      </c>
      <c r="AD3250">
        <v>-1.109313420246</v>
      </c>
      <c r="AE3250">
        <v>-1.2049000000000001</v>
      </c>
      <c r="AF3250">
        <v>1.1085963088497</v>
      </c>
      <c r="AG3250">
        <v>-1.109313420246</v>
      </c>
      <c r="AH3250">
        <v>32.6707264193398</v>
      </c>
      <c r="AI3250">
        <v>91.9435763384393</v>
      </c>
      <c r="AJ3250">
        <v>88.056562093034501</v>
      </c>
      <c r="AK3250">
        <v>32.708346439520298</v>
      </c>
      <c r="AL3250">
        <v>78.984064428841194</v>
      </c>
      <c r="AM3250">
        <v>91.431269612581005</v>
      </c>
      <c r="AN3250">
        <v>0.99999996765906896</v>
      </c>
    </row>
    <row r="3251" spans="1:40" x14ac:dyDescent="0.25">
      <c r="A3251" t="str">
        <f>"20190304155656447"</f>
        <v>20190304155656447</v>
      </c>
      <c r="B3251" t="str">
        <f>"1551686216437785"</f>
        <v>1551686216437785</v>
      </c>
      <c r="C3251" t="s">
        <v>40</v>
      </c>
      <c r="D3251">
        <v>4.4596150000000003</v>
      </c>
      <c r="E3251">
        <v>0.51698829999999996</v>
      </c>
      <c r="F3251" t="s">
        <v>64</v>
      </c>
      <c r="G3251">
        <v>-433.30360000000002</v>
      </c>
      <c r="H3251" s="1">
        <v>3.8888620000000004E-6</v>
      </c>
      <c r="I3251">
        <v>212.25020000000001</v>
      </c>
      <c r="J3251">
        <v>-461.5958</v>
      </c>
      <c r="K3251">
        <v>1.109318</v>
      </c>
      <c r="L3251">
        <v>213.16380000000001</v>
      </c>
      <c r="M3251">
        <v>0.99990500000000004</v>
      </c>
      <c r="N3251">
        <v>-1.30933E-2</v>
      </c>
      <c r="O3251">
        <v>-4.3307679999999996E-3</v>
      </c>
      <c r="P3251">
        <v>0.98374019999999995</v>
      </c>
      <c r="Q3251">
        <v>0.178115299999999</v>
      </c>
      <c r="R3251">
        <v>2.3027220000000001E-2</v>
      </c>
      <c r="S3251">
        <v>3.0733030000000001</v>
      </c>
      <c r="T3251">
        <v>-0.1195519</v>
      </c>
      <c r="U3251">
        <v>-9.8709110000000003E-2</v>
      </c>
      <c r="V3251">
        <v>-2.6822559999999999E-2</v>
      </c>
      <c r="W3251">
        <v>0.1910451</v>
      </c>
      <c r="X3251">
        <v>0.9812147</v>
      </c>
      <c r="Y3251">
        <v>2.77459E-2</v>
      </c>
      <c r="Z3251">
        <v>-6.0942730000000005E-4</v>
      </c>
      <c r="AA3251">
        <v>0.99961480000000003</v>
      </c>
      <c r="AB3251">
        <v>24</v>
      </c>
      <c r="AC3251">
        <v>28.292199999999902</v>
      </c>
      <c r="AD3251">
        <v>-1.109314111138</v>
      </c>
      <c r="AE3251">
        <v>-0.91360000000000197</v>
      </c>
      <c r="AF3251">
        <v>0.78984097948610299</v>
      </c>
      <c r="AG3251">
        <v>-1.109314111138</v>
      </c>
      <c r="AH3251">
        <v>28.252502534422199</v>
      </c>
      <c r="AI3251">
        <v>92.247645112787197</v>
      </c>
      <c r="AJ3251">
        <v>88.398627863875404</v>
      </c>
      <c r="AK3251">
        <v>28.285302296909901</v>
      </c>
      <c r="AL3251">
        <v>78.986218502113502</v>
      </c>
      <c r="AM3251">
        <v>91.565851850247</v>
      </c>
      <c r="AN3251">
        <v>0.99999998372752597</v>
      </c>
    </row>
    <row r="3252" spans="1:40" x14ac:dyDescent="0.25">
      <c r="A3252" t="str">
        <f>"20190304155656470"</f>
        <v>20190304155656470</v>
      </c>
      <c r="B3252" t="str">
        <f>"1551686216468041"</f>
        <v>1551686216468041</v>
      </c>
      <c r="C3252" t="s">
        <v>40</v>
      </c>
      <c r="D3252">
        <v>4.4252989999999999</v>
      </c>
      <c r="E3252">
        <v>0.51509579999999999</v>
      </c>
      <c r="F3252" t="s">
        <v>64</v>
      </c>
      <c r="G3252">
        <v>-433.74259999999998</v>
      </c>
      <c r="H3252" s="1">
        <v>4.0688260000000002E-6</v>
      </c>
      <c r="I3252">
        <v>212.41810000000001</v>
      </c>
      <c r="J3252">
        <v>-461.34440000000001</v>
      </c>
      <c r="K3252">
        <v>1.109321</v>
      </c>
      <c r="L3252">
        <v>213.1609</v>
      </c>
      <c r="M3252">
        <v>0.99989859999999997</v>
      </c>
      <c r="N3252">
        <v>-1.297249E-2</v>
      </c>
      <c r="O3252">
        <v>-5.896816E-3</v>
      </c>
      <c r="P3252">
        <v>0.98390569999999999</v>
      </c>
      <c r="Q3252">
        <v>0.1771259</v>
      </c>
      <c r="R3252">
        <v>2.3589539999999999E-2</v>
      </c>
      <c r="S3252">
        <v>3.0737000000000001</v>
      </c>
      <c r="T3252">
        <v>-0.12241639999999999</v>
      </c>
      <c r="U3252">
        <v>-8.2290650000000007E-2</v>
      </c>
      <c r="V3252">
        <v>-2.8940339999999998E-2</v>
      </c>
      <c r="W3252">
        <v>0.18994220000000001</v>
      </c>
      <c r="X3252">
        <v>0.98136869999999998</v>
      </c>
      <c r="Y3252">
        <v>2.0847480000000002E-2</v>
      </c>
      <c r="Z3252">
        <v>-3.919859E-4</v>
      </c>
      <c r="AA3252">
        <v>0.99978259999999997</v>
      </c>
      <c r="AB3252">
        <v>24</v>
      </c>
      <c r="AC3252">
        <v>27.601800000000001</v>
      </c>
      <c r="AD3252">
        <v>-1.1093169311740001</v>
      </c>
      <c r="AE3252">
        <v>-0.74279999999998803</v>
      </c>
      <c r="AF3252">
        <v>0.57907600360959999</v>
      </c>
      <c r="AG3252">
        <v>-1.1093169311740001</v>
      </c>
      <c r="AH3252">
        <v>27.5612148480215</v>
      </c>
      <c r="AI3252">
        <v>92.304357355079304</v>
      </c>
      <c r="AJ3252">
        <v>88.796361831401796</v>
      </c>
      <c r="AK3252">
        <v>27.589608133689499</v>
      </c>
      <c r="AL3252">
        <v>79.050589521131101</v>
      </c>
      <c r="AM3252">
        <v>91.689149979404903</v>
      </c>
      <c r="AN3252">
        <v>1.0000000539799201</v>
      </c>
    </row>
    <row r="3253" spans="1:40" x14ac:dyDescent="0.25">
      <c r="A3253" t="str">
        <f>"20190304155656492"</f>
        <v>20190304155656492</v>
      </c>
      <c r="B3253" t="str">
        <f>"1551686216487561"</f>
        <v>1551686216487561</v>
      </c>
      <c r="C3253" t="s">
        <v>40</v>
      </c>
      <c r="D3253">
        <v>4.4055710000000001</v>
      </c>
      <c r="E3253">
        <v>0.51370070000000001</v>
      </c>
      <c r="F3253" t="s">
        <v>64</v>
      </c>
      <c r="G3253">
        <v>-432.46570000000003</v>
      </c>
      <c r="H3253" s="1">
        <v>3.491433E-6</v>
      </c>
      <c r="I3253">
        <v>212.54580000000001</v>
      </c>
      <c r="J3253">
        <v>-461.11360000000002</v>
      </c>
      <c r="K3253">
        <v>1.1093329999999999</v>
      </c>
      <c r="L3253">
        <v>213.15790000000001</v>
      </c>
      <c r="M3253">
        <v>0.99989070000000002</v>
      </c>
      <c r="N3253">
        <v>-1.2865329999999999E-2</v>
      </c>
      <c r="O3253">
        <v>-7.2936219999999996E-3</v>
      </c>
      <c r="P3253">
        <v>0.98422779999999999</v>
      </c>
      <c r="Q3253">
        <v>0.17525460000000001</v>
      </c>
      <c r="R3253">
        <v>2.412102E-2</v>
      </c>
      <c r="S3253">
        <v>3.0718380000000001</v>
      </c>
      <c r="T3253">
        <v>-0.1179984</v>
      </c>
      <c r="U3253">
        <v>-6.5429689999999999E-2</v>
      </c>
      <c r="V3253">
        <v>-3.0865670000000001E-2</v>
      </c>
      <c r="W3253">
        <v>0.18797179999999999</v>
      </c>
      <c r="X3253">
        <v>0.98168929999999999</v>
      </c>
      <c r="Y3253">
        <v>1.399049E-2</v>
      </c>
      <c r="Z3253">
        <v>-1.72413E-4</v>
      </c>
      <c r="AA3253">
        <v>0.99990210000000002</v>
      </c>
      <c r="AB3253">
        <v>24</v>
      </c>
      <c r="AC3253">
        <v>28.6479</v>
      </c>
      <c r="AD3253">
        <v>-1.1093295085670001</v>
      </c>
      <c r="AE3253">
        <v>-0.61209999999999798</v>
      </c>
      <c r="AF3253">
        <v>0.40251619889863499</v>
      </c>
      <c r="AG3253">
        <v>-1.1093295085670001</v>
      </c>
      <c r="AH3253">
        <v>28.608724540222099</v>
      </c>
      <c r="AI3253">
        <v>92.220364324743599</v>
      </c>
      <c r="AJ3253">
        <v>89.193918703305897</v>
      </c>
      <c r="AK3253">
        <v>28.633053470897199</v>
      </c>
      <c r="AL3253">
        <v>79.165555460922505</v>
      </c>
      <c r="AM3253">
        <v>91.800865325504702</v>
      </c>
      <c r="AN3253">
        <v>0.999999984457139</v>
      </c>
    </row>
    <row r="3254" spans="1:40" x14ac:dyDescent="0.25">
      <c r="A3254" t="str">
        <f>"20190304155656514"</f>
        <v>20190304155656514</v>
      </c>
      <c r="B3254" t="str">
        <f>"1551686216508057"</f>
        <v>1551686216508057</v>
      </c>
      <c r="C3254" t="s">
        <v>40</v>
      </c>
      <c r="D3254">
        <v>4.4446269999999997</v>
      </c>
      <c r="E3254">
        <v>0.5126946</v>
      </c>
      <c r="F3254" t="s">
        <v>64</v>
      </c>
      <c r="G3254">
        <v>-433.21030000000002</v>
      </c>
      <c r="H3254" s="1">
        <v>3.8101249999999998E-6</v>
      </c>
      <c r="I3254">
        <v>212.67750000000001</v>
      </c>
      <c r="J3254">
        <v>-460.87139999999999</v>
      </c>
      <c r="K3254">
        <v>1.1093519999999999</v>
      </c>
      <c r="L3254">
        <v>213.15450000000001</v>
      </c>
      <c r="M3254">
        <v>0.99988060000000001</v>
      </c>
      <c r="N3254">
        <v>-1.2761720000000001E-2</v>
      </c>
      <c r="O3254">
        <v>-8.7191300000000003E-3</v>
      </c>
      <c r="P3254">
        <v>0.98443789999999998</v>
      </c>
      <c r="Q3254">
        <v>0.17401900000000001</v>
      </c>
      <c r="R3254">
        <v>2.448212E-2</v>
      </c>
      <c r="S3254">
        <v>3.0711059999999999</v>
      </c>
      <c r="T3254">
        <v>-0.1220956</v>
      </c>
      <c r="U3254">
        <v>-5.2871700000000001E-2</v>
      </c>
      <c r="V3254">
        <v>-3.2649589999999999E-2</v>
      </c>
      <c r="W3254">
        <v>0.18663830000000001</v>
      </c>
      <c r="X3254">
        <v>0.98188600000000004</v>
      </c>
      <c r="Y3254">
        <v>8.4884160000000004E-3</v>
      </c>
      <c r="Z3254" s="1">
        <v>1.237436E-5</v>
      </c>
      <c r="AA3254">
        <v>0.99996399999999996</v>
      </c>
      <c r="AB3254">
        <v>24</v>
      </c>
      <c r="AC3254">
        <v>27.661099999999902</v>
      </c>
      <c r="AD3254">
        <v>-1.1093481898749999</v>
      </c>
      <c r="AE3254">
        <v>-0.47700000000000298</v>
      </c>
      <c r="AF3254">
        <v>0.23540299627138001</v>
      </c>
      <c r="AG3254">
        <v>-1.1093481898749999</v>
      </c>
      <c r="AH3254">
        <v>27.6197969678771</v>
      </c>
      <c r="AI3254">
        <v>92.2999632586301</v>
      </c>
      <c r="AJ3254">
        <v>89.511681001279598</v>
      </c>
      <c r="AK3254">
        <v>27.6430687971467</v>
      </c>
      <c r="AL3254">
        <v>79.243335959555694</v>
      </c>
      <c r="AM3254">
        <v>91.904492681974901</v>
      </c>
      <c r="AN3254">
        <v>0.99999998387502897</v>
      </c>
    </row>
    <row r="3255" spans="1:40" x14ac:dyDescent="0.25">
      <c r="A3255" t="str">
        <f>"20190304155656537"</f>
        <v>20190304155656537</v>
      </c>
      <c r="B3255" t="str">
        <f>"1551686216527577"</f>
        <v>1551686216527577</v>
      </c>
      <c r="C3255" t="s">
        <v>40</v>
      </c>
      <c r="D3255">
        <v>4.423165</v>
      </c>
      <c r="E3255">
        <v>0.51172529999999905</v>
      </c>
      <c r="F3255" t="s">
        <v>64</v>
      </c>
      <c r="G3255">
        <v>-433.49549999999999</v>
      </c>
      <c r="H3255" s="1">
        <v>3.9291189999999997E-6</v>
      </c>
      <c r="I3255">
        <v>212.7628</v>
      </c>
      <c r="J3255">
        <v>-460.63310000000001</v>
      </c>
      <c r="K3255">
        <v>1.1093729999999999</v>
      </c>
      <c r="L3255">
        <v>213.1508</v>
      </c>
      <c r="M3255">
        <v>0.99986929999999996</v>
      </c>
      <c r="N3255">
        <v>-1.266454E-2</v>
      </c>
      <c r="O3255">
        <v>-1.0063900000000001E-2</v>
      </c>
      <c r="P3255">
        <v>0.98458029999999996</v>
      </c>
      <c r="Q3255">
        <v>0.17308889999999999</v>
      </c>
      <c r="R3255">
        <v>2.5344350000000002E-2</v>
      </c>
      <c r="S3255">
        <v>3.070557</v>
      </c>
      <c r="T3255">
        <v>-0.1244273</v>
      </c>
      <c r="U3255">
        <v>-4.3930049999999998E-2</v>
      </c>
      <c r="V3255">
        <v>-3.4856449999999997E-2</v>
      </c>
      <c r="W3255">
        <v>0.18561510000000001</v>
      </c>
      <c r="X3255">
        <v>0.98200410000000005</v>
      </c>
      <c r="Y3255">
        <v>4.2403420000000002E-3</v>
      </c>
      <c r="Z3255">
        <v>1.6745139999999999E-4</v>
      </c>
      <c r="AA3255">
        <v>0.99999099999999996</v>
      </c>
      <c r="AB3255">
        <v>24</v>
      </c>
      <c r="AC3255">
        <v>27.137599999999999</v>
      </c>
      <c r="AD3255">
        <v>-1.109369070881</v>
      </c>
      <c r="AE3255">
        <v>-0.38800000000000501</v>
      </c>
      <c r="AF3255">
        <v>0.114656822934965</v>
      </c>
      <c r="AG3255">
        <v>-1.109369070881</v>
      </c>
      <c r="AH3255">
        <v>27.0948608981695</v>
      </c>
      <c r="AI3255">
        <v>92.344581685453505</v>
      </c>
      <c r="AJ3255">
        <v>89.757543954223706</v>
      </c>
      <c r="AK3255">
        <v>27.117804723347898</v>
      </c>
      <c r="AL3255">
        <v>79.303003772908099</v>
      </c>
      <c r="AM3255">
        <v>92.032872747984499</v>
      </c>
      <c r="AN3255">
        <v>0.99999999493571101</v>
      </c>
    </row>
    <row r="3256" spans="1:40" x14ac:dyDescent="0.25">
      <c r="A3256" t="str">
        <f>"20190304155656558"</f>
        <v>20190304155656558</v>
      </c>
      <c r="B3256" t="str">
        <f>"1551686216548076"</f>
        <v>1551686216548076</v>
      </c>
      <c r="C3256" t="s">
        <v>40</v>
      </c>
      <c r="D3256">
        <v>4.4402369999999998</v>
      </c>
      <c r="E3256">
        <v>0.5108587</v>
      </c>
      <c r="F3256" t="s">
        <v>64</v>
      </c>
      <c r="G3256">
        <v>-433.77300000000002</v>
      </c>
      <c r="H3256" s="1">
        <v>4.0445419999999999E-6</v>
      </c>
      <c r="I3256">
        <v>212.85050000000001</v>
      </c>
      <c r="J3256">
        <v>-460.40109999999999</v>
      </c>
      <c r="K3256">
        <v>1.109415</v>
      </c>
      <c r="L3256">
        <v>213.14699999999999</v>
      </c>
      <c r="M3256">
        <v>0.9998572</v>
      </c>
      <c r="N3256">
        <v>-1.2574739999999999E-2</v>
      </c>
      <c r="O3256">
        <v>-1.129051E-2</v>
      </c>
      <c r="P3256">
        <v>0.98468180000000005</v>
      </c>
      <c r="Q3256">
        <v>0.17242729999999901</v>
      </c>
      <c r="R3256">
        <v>2.58969E-2</v>
      </c>
      <c r="S3256">
        <v>3.0701900000000002</v>
      </c>
      <c r="T3256">
        <v>-0.12680439999999901</v>
      </c>
      <c r="U3256">
        <v>-3.4317019999999997E-2</v>
      </c>
      <c r="V3256">
        <v>-3.66415E-2</v>
      </c>
      <c r="W3256">
        <v>0.18486540000000001</v>
      </c>
      <c r="X3256">
        <v>0.98208050000000002</v>
      </c>
      <c r="Y3256">
        <v>-1.098467E-4</v>
      </c>
      <c r="Z3256">
        <v>3.2710999999999998E-4</v>
      </c>
      <c r="AA3256">
        <v>0.99999990000000005</v>
      </c>
      <c r="AB3256">
        <v>24</v>
      </c>
      <c r="AC3256">
        <v>26.6280999999999</v>
      </c>
      <c r="AD3256">
        <v>-1.1094109554580001</v>
      </c>
      <c r="AE3256">
        <v>-0.29650000000000798</v>
      </c>
      <c r="AF3256">
        <v>-4.1802453228999004E-3</v>
      </c>
      <c r="AG3256">
        <v>-1.1094109554580001</v>
      </c>
      <c r="AH3256">
        <v>26.583611732760701</v>
      </c>
      <c r="AI3256">
        <v>92.389731756126693</v>
      </c>
      <c r="AJ3256">
        <v>90.009009701720103</v>
      </c>
      <c r="AK3256">
        <v>26.6067514533569</v>
      </c>
      <c r="AL3256">
        <v>79.346714563126795</v>
      </c>
      <c r="AM3256">
        <v>92.136718899714097</v>
      </c>
      <c r="AN3256">
        <v>0.999999962059829</v>
      </c>
    </row>
    <row r="3257" spans="1:40" x14ac:dyDescent="0.25">
      <c r="A3257" t="str">
        <f>"20190304155656583"</f>
        <v>20190304155656583</v>
      </c>
      <c r="B3257" t="str">
        <f>"1551686216577353"</f>
        <v>1551686216577353</v>
      </c>
      <c r="C3257" t="s">
        <v>40</v>
      </c>
      <c r="D3257">
        <v>4.4297550000000001</v>
      </c>
      <c r="E3257">
        <v>0.50960190000000005</v>
      </c>
      <c r="F3257" t="s">
        <v>64</v>
      </c>
      <c r="G3257">
        <v>-433.83429999999998</v>
      </c>
      <c r="H3257" s="1">
        <v>4.0658070000000001E-6</v>
      </c>
      <c r="I3257">
        <v>212.91820000000001</v>
      </c>
      <c r="J3257">
        <v>-460.14589999999998</v>
      </c>
      <c r="K3257">
        <v>1.109488</v>
      </c>
      <c r="L3257">
        <v>213.14259999999999</v>
      </c>
      <c r="M3257">
        <v>0.99984390000000001</v>
      </c>
      <c r="N3257">
        <v>-1.2485049999999999E-2</v>
      </c>
      <c r="O3257">
        <v>-1.251212E-2</v>
      </c>
      <c r="P3257">
        <v>0.98483849999999995</v>
      </c>
      <c r="Q3257">
        <v>0.17144579999999901</v>
      </c>
      <c r="R3257">
        <v>2.6450810000000002E-2</v>
      </c>
      <c r="S3257">
        <v>3.069855</v>
      </c>
      <c r="T3257">
        <v>-0.128194899999999</v>
      </c>
      <c r="U3257">
        <v>-2.6443479999999998E-2</v>
      </c>
      <c r="V3257">
        <v>-3.8437249999999999E-2</v>
      </c>
      <c r="W3257">
        <v>0.1837935</v>
      </c>
      <c r="X3257">
        <v>0.98221309999999995</v>
      </c>
      <c r="Y3257">
        <v>-3.8899410000000001E-3</v>
      </c>
      <c r="Z3257">
        <v>4.7154940000000001E-4</v>
      </c>
      <c r="AA3257">
        <v>0.99999229999999995</v>
      </c>
      <c r="AB3257">
        <v>24</v>
      </c>
      <c r="AC3257">
        <v>26.311599999999999</v>
      </c>
      <c r="AD3257">
        <v>-1.1094839341930001</v>
      </c>
      <c r="AE3257">
        <v>-0.22439999999997401</v>
      </c>
      <c r="AF3257">
        <v>-0.10467098657677</v>
      </c>
      <c r="AG3257">
        <v>-1.1094839341930001</v>
      </c>
      <c r="AH3257">
        <v>26.2656493322886</v>
      </c>
      <c r="AI3257">
        <v>92.418766589038299</v>
      </c>
      <c r="AJ3257">
        <v>90.228327651285198</v>
      </c>
      <c r="AK3257">
        <v>26.289280048384999</v>
      </c>
      <c r="AL3257">
        <v>79.409201300595001</v>
      </c>
      <c r="AM3257">
        <v>92.241030000978697</v>
      </c>
      <c r="AN3257">
        <v>1.00000002332071</v>
      </c>
    </row>
    <row r="3258" spans="1:40" x14ac:dyDescent="0.25">
      <c r="A3258" t="str">
        <f>"20190304155656605"</f>
        <v>20190304155656605</v>
      </c>
      <c r="B3258" t="str">
        <f>"1551686216597851"</f>
        <v>1551686216597851</v>
      </c>
      <c r="C3258" t="s">
        <v>40</v>
      </c>
      <c r="D3258">
        <v>4.4558749999999998</v>
      </c>
      <c r="E3258">
        <v>0.50880340000000002</v>
      </c>
      <c r="F3258" t="s">
        <v>64</v>
      </c>
      <c r="G3258">
        <v>-434.59480000000002</v>
      </c>
      <c r="H3258" s="1">
        <v>4.3947210000000004E-6</v>
      </c>
      <c r="I3258">
        <v>213.0137</v>
      </c>
      <c r="J3258">
        <v>-459.899</v>
      </c>
      <c r="K3258">
        <v>1.109583</v>
      </c>
      <c r="L3258">
        <v>213.13829999999999</v>
      </c>
      <c r="M3258">
        <v>0.99983140000000004</v>
      </c>
      <c r="N3258">
        <v>-1.2408270000000001E-2</v>
      </c>
      <c r="O3258">
        <v>-1.353974E-2</v>
      </c>
      <c r="P3258">
        <v>0.98513329999999999</v>
      </c>
      <c r="Q3258">
        <v>0.16974500000000001</v>
      </c>
      <c r="R3258">
        <v>2.6447849999999998E-2</v>
      </c>
      <c r="S3258">
        <v>3.0697939999999999</v>
      </c>
      <c r="T3258">
        <v>-0.13329730000000001</v>
      </c>
      <c r="U3258">
        <v>-1.548767E-2</v>
      </c>
      <c r="V3258">
        <v>-3.9499180000000002E-2</v>
      </c>
      <c r="W3258">
        <v>0.1820126</v>
      </c>
      <c r="X3258">
        <v>0.98250249999999995</v>
      </c>
      <c r="Y3258">
        <v>-8.4791759999999997E-3</v>
      </c>
      <c r="Z3258">
        <v>6.5631269999999995E-4</v>
      </c>
      <c r="AA3258">
        <v>0.99996379999999996</v>
      </c>
      <c r="AB3258">
        <v>24</v>
      </c>
      <c r="AC3258">
        <v>25.304199999999899</v>
      </c>
      <c r="AD3258">
        <v>-1.109578605279</v>
      </c>
      <c r="AE3258">
        <v>-0.124599999999986</v>
      </c>
      <c r="AF3258">
        <v>-0.21763162142560799</v>
      </c>
      <c r="AG3258">
        <v>-1.109578605279</v>
      </c>
      <c r="AH3258">
        <v>25.255008481058699</v>
      </c>
      <c r="AI3258">
        <v>92.515578535171599</v>
      </c>
      <c r="AJ3258">
        <v>90.493726413320204</v>
      </c>
      <c r="AK3258">
        <v>25.2803081781509</v>
      </c>
      <c r="AL3258">
        <v>79.5129895908712</v>
      </c>
      <c r="AM3258">
        <v>92.302200985481207</v>
      </c>
      <c r="AN3258">
        <v>0.99999996714284001</v>
      </c>
    </row>
    <row r="3259" spans="1:40" x14ac:dyDescent="0.25">
      <c r="A3259" t="str">
        <f>"20190304155656626"</f>
        <v>20190304155656626</v>
      </c>
      <c r="B3259" t="str">
        <f>"1551686216618345"</f>
        <v>1551686216618345</v>
      </c>
      <c r="C3259" t="s">
        <v>40</v>
      </c>
      <c r="D3259">
        <v>4.4677480000000003</v>
      </c>
      <c r="E3259">
        <v>0.50811759999999995</v>
      </c>
      <c r="F3259" t="s">
        <v>64</v>
      </c>
      <c r="G3259">
        <v>-435.48379999999997</v>
      </c>
      <c r="H3259" s="1">
        <v>4.7843540000000003E-6</v>
      </c>
      <c r="I3259">
        <v>213.0659</v>
      </c>
      <c r="J3259">
        <v>-459.67899999999997</v>
      </c>
      <c r="K3259">
        <v>1.1096760000000001</v>
      </c>
      <c r="L3259">
        <v>213.1343</v>
      </c>
      <c r="M3259">
        <v>0.99982150000000003</v>
      </c>
      <c r="N3259">
        <v>-1.234351E-2</v>
      </c>
      <c r="O3259">
        <v>-1.4301670000000001E-2</v>
      </c>
      <c r="P3259">
        <v>0.98539160000000003</v>
      </c>
      <c r="Q3259">
        <v>0.16820350000000001</v>
      </c>
      <c r="R3259">
        <v>2.666263E-2</v>
      </c>
      <c r="S3259">
        <v>3.0695190000000001</v>
      </c>
      <c r="T3259">
        <v>-0.13949790000000001</v>
      </c>
      <c r="U3259">
        <v>-9.0942379999999993E-3</v>
      </c>
      <c r="V3259">
        <v>-4.0518650000000003E-2</v>
      </c>
      <c r="W3259">
        <v>0.18040129999999999</v>
      </c>
      <c r="X3259">
        <v>0.98275820000000003</v>
      </c>
      <c r="Y3259">
        <v>-1.1317570000000001E-2</v>
      </c>
      <c r="Z3259">
        <v>8.0005569999999995E-4</v>
      </c>
      <c r="AA3259">
        <v>0.99993560000000004</v>
      </c>
      <c r="AB3259">
        <v>24</v>
      </c>
      <c r="AC3259">
        <v>24.1952</v>
      </c>
      <c r="AD3259">
        <v>-1.109671215646</v>
      </c>
      <c r="AE3259">
        <v>-6.8399999999996894E-2</v>
      </c>
      <c r="AF3259">
        <v>-0.27708231701192099</v>
      </c>
      <c r="AG3259">
        <v>-1.109671215646</v>
      </c>
      <c r="AH3259">
        <v>24.142920600462102</v>
      </c>
      <c r="AI3259">
        <v>92.6314373985104</v>
      </c>
      <c r="AJ3259">
        <v>90.657540594840796</v>
      </c>
      <c r="AK3259">
        <v>24.169997102553602</v>
      </c>
      <c r="AL3259">
        <v>79.606865105096304</v>
      </c>
      <c r="AM3259">
        <v>92.360940392959904</v>
      </c>
      <c r="AN3259">
        <v>1.00000003485337</v>
      </c>
    </row>
    <row r="3260" spans="1:40" x14ac:dyDescent="0.25">
      <c r="A3260" t="str">
        <f>"20190304155656649"</f>
        <v>20190304155656649</v>
      </c>
      <c r="B3260" t="str">
        <f>"1551686216637866"</f>
        <v>1551686216637866</v>
      </c>
      <c r="C3260" t="s">
        <v>40</v>
      </c>
      <c r="D3260">
        <v>4.4830249999999996</v>
      </c>
      <c r="E3260">
        <v>0.50744509999999998</v>
      </c>
      <c r="F3260" t="s">
        <v>64</v>
      </c>
      <c r="G3260">
        <v>-436.24650000000003</v>
      </c>
      <c r="H3260" s="1">
        <v>5.1182280000000003E-6</v>
      </c>
      <c r="I3260">
        <v>213.11590000000001</v>
      </c>
      <c r="J3260">
        <v>-459.43110000000001</v>
      </c>
      <c r="K3260">
        <v>1.1097999999999999</v>
      </c>
      <c r="L3260">
        <v>213.12989999999999</v>
      </c>
      <c r="M3260">
        <v>0.9998127</v>
      </c>
      <c r="N3260">
        <v>-1.226792E-2</v>
      </c>
      <c r="O3260">
        <v>-1.497336E-2</v>
      </c>
      <c r="P3260">
        <v>0.98562380000000005</v>
      </c>
      <c r="Q3260">
        <v>0.1668808</v>
      </c>
      <c r="R3260">
        <v>2.6394580000000001E-2</v>
      </c>
      <c r="S3260">
        <v>3.069366</v>
      </c>
      <c r="T3260">
        <v>-0.14535329999999999</v>
      </c>
      <c r="U3260">
        <v>-2.4108889999999998E-3</v>
      </c>
      <c r="V3260">
        <v>-4.0977819999999998E-2</v>
      </c>
      <c r="W3260">
        <v>0.17899309999999999</v>
      </c>
      <c r="X3260">
        <v>0.9829966</v>
      </c>
      <c r="Y3260">
        <v>-1.415991E-2</v>
      </c>
      <c r="Z3260">
        <v>9.4704640000000003E-4</v>
      </c>
      <c r="AA3260">
        <v>0.99989930000000005</v>
      </c>
      <c r="AB3260">
        <v>24</v>
      </c>
      <c r="AC3260">
        <v>23.1845999999999</v>
      </c>
      <c r="AD3260">
        <v>-1.10979488177199</v>
      </c>
      <c r="AE3260">
        <v>-1.3999999999981499E-2</v>
      </c>
      <c r="AF3260">
        <v>-0.33241735926771898</v>
      </c>
      <c r="AG3260">
        <v>-1.10979488177199</v>
      </c>
      <c r="AH3260">
        <v>23.1292136267327</v>
      </c>
      <c r="AI3260">
        <v>92.746798114852794</v>
      </c>
      <c r="AJ3260">
        <v>90.823408906425399</v>
      </c>
      <c r="AK3260">
        <v>23.1582095372545</v>
      </c>
      <c r="AL3260">
        <v>79.688883913027794</v>
      </c>
      <c r="AM3260">
        <v>92.387086120446597</v>
      </c>
      <c r="AN3260">
        <v>1.00000001359556</v>
      </c>
    </row>
    <row r="3261" spans="1:40" x14ac:dyDescent="0.25">
      <c r="A3261" t="str">
        <f>"20190304155656672"</f>
        <v>20190304155656672</v>
      </c>
      <c r="B3261" t="str">
        <f>"1551686216668121"</f>
        <v>1551686216668121</v>
      </c>
      <c r="C3261" t="s">
        <v>40</v>
      </c>
      <c r="D3261">
        <v>4.4473609999999999</v>
      </c>
      <c r="E3261">
        <v>0.50655760000000005</v>
      </c>
      <c r="F3261" t="s">
        <v>64</v>
      </c>
      <c r="G3261">
        <v>-436.79680000000002</v>
      </c>
      <c r="H3261" s="1">
        <v>5.3595889999999901E-6</v>
      </c>
      <c r="I3261">
        <v>213.14670000000001</v>
      </c>
      <c r="J3261">
        <v>-459.19580000000002</v>
      </c>
      <c r="K3261">
        <v>1.109926</v>
      </c>
      <c r="L3261">
        <v>213.1258</v>
      </c>
      <c r="M3261">
        <v>0.99980720000000001</v>
      </c>
      <c r="N3261">
        <v>-1.2191260000000001E-2</v>
      </c>
      <c r="O3261">
        <v>-1.538727E-2</v>
      </c>
      <c r="P3261">
        <v>0.98589610000000005</v>
      </c>
      <c r="Q3261">
        <v>0.165263299999999</v>
      </c>
      <c r="R3261">
        <v>2.639727E-2</v>
      </c>
      <c r="S3261">
        <v>3.069153</v>
      </c>
      <c r="T3261">
        <v>-0.1504856</v>
      </c>
      <c r="U3261">
        <v>2.27356E-3</v>
      </c>
      <c r="V3261">
        <v>-4.1454390000000001E-2</v>
      </c>
      <c r="W3261">
        <v>0.1772899</v>
      </c>
      <c r="X3261">
        <v>0.98328519999999997</v>
      </c>
      <c r="Y3261">
        <v>-1.6094520000000001E-2</v>
      </c>
      <c r="Z3261">
        <v>1.0589880000000001E-3</v>
      </c>
      <c r="AA3261">
        <v>0.99986989999999998</v>
      </c>
      <c r="AB3261">
        <v>24</v>
      </c>
      <c r="AC3261">
        <v>22.399000000000001</v>
      </c>
      <c r="AD3261">
        <v>-1.109920640411</v>
      </c>
      <c r="AE3261">
        <v>2.09000000000116E-2</v>
      </c>
      <c r="AF3261">
        <v>-0.36468716955570701</v>
      </c>
      <c r="AG3261">
        <v>-1.109920640411</v>
      </c>
      <c r="AH3261">
        <v>22.341169138697101</v>
      </c>
      <c r="AI3261">
        <v>92.843766838164001</v>
      </c>
      <c r="AJ3261">
        <v>90.935187408508597</v>
      </c>
      <c r="AK3261">
        <v>22.371695488798402</v>
      </c>
      <c r="AL3261">
        <v>79.788056023320806</v>
      </c>
      <c r="AM3261">
        <v>92.414107213362698</v>
      </c>
      <c r="AN3261">
        <v>0.99999997981566002</v>
      </c>
    </row>
    <row r="3262" spans="1:40" x14ac:dyDescent="0.25">
      <c r="A3262" t="str">
        <f>"20190304155656694"</f>
        <v>20190304155656694</v>
      </c>
      <c r="B3262" t="str">
        <f>"1551686216687641"</f>
        <v>1551686216687641</v>
      </c>
      <c r="C3262" t="s">
        <v>40</v>
      </c>
      <c r="D3262">
        <v>4.4666930000000002</v>
      </c>
      <c r="E3262">
        <v>0.50603909999999996</v>
      </c>
      <c r="F3262" t="s">
        <v>64</v>
      </c>
      <c r="G3262">
        <v>-437.47320000000002</v>
      </c>
      <c r="H3262" s="1">
        <v>5.6553949999999997E-6</v>
      </c>
      <c r="I3262">
        <v>213.19409999999999</v>
      </c>
      <c r="J3262">
        <v>-458.9547</v>
      </c>
      <c r="K3262">
        <v>1.11005</v>
      </c>
      <c r="L3262">
        <v>213.1217</v>
      </c>
      <c r="M3262">
        <v>0.9998049</v>
      </c>
      <c r="N3262">
        <v>-1.210962E-2</v>
      </c>
      <c r="O3262">
        <v>-1.5601719999999999E-2</v>
      </c>
      <c r="P3262">
        <v>0.98615489999999995</v>
      </c>
      <c r="Q3262">
        <v>0.1637419</v>
      </c>
      <c r="R3262">
        <v>2.6211180000000001E-2</v>
      </c>
      <c r="S3262">
        <v>3.0689090000000001</v>
      </c>
      <c r="T3262">
        <v>-0.15680659999999999</v>
      </c>
      <c r="U3262">
        <v>9.6588130000000005E-3</v>
      </c>
      <c r="V3262">
        <v>-4.1543950000000003E-2</v>
      </c>
      <c r="W3262">
        <v>0.17567769999999999</v>
      </c>
      <c r="X3262">
        <v>0.98357079999999997</v>
      </c>
      <c r="Y3262">
        <v>-1.8707660000000001E-2</v>
      </c>
      <c r="Z3262">
        <v>1.198775E-3</v>
      </c>
      <c r="AA3262">
        <v>0.9998243</v>
      </c>
      <c r="AB3262">
        <v>24</v>
      </c>
      <c r="AC3262">
        <v>21.481499999999901</v>
      </c>
      <c r="AD3262">
        <v>-1.1100443446049999</v>
      </c>
      <c r="AE3262">
        <v>7.2399999999987502E-2</v>
      </c>
      <c r="AF3262">
        <v>-0.40647874235496401</v>
      </c>
      <c r="AG3262">
        <v>-1.1100443446049999</v>
      </c>
      <c r="AH3262">
        <v>21.420557831979501</v>
      </c>
      <c r="AI3262">
        <v>92.965963732245697</v>
      </c>
      <c r="AJ3262">
        <v>91.087120219969805</v>
      </c>
      <c r="AK3262">
        <v>21.453151778891499</v>
      </c>
      <c r="AL3262">
        <v>79.881901908858893</v>
      </c>
      <c r="AM3262">
        <v>92.418614908863702</v>
      </c>
      <c r="AN3262">
        <v>1.00000003633576</v>
      </c>
    </row>
    <row r="3263" spans="1:40" x14ac:dyDescent="0.25">
      <c r="A3263" t="str">
        <f>"20190304155656716"</f>
        <v>20190304155656716</v>
      </c>
      <c r="B3263" t="str">
        <f>"1551686216708137"</f>
        <v>1551686216708137</v>
      </c>
      <c r="C3263" t="s">
        <v>40</v>
      </c>
      <c r="D3263">
        <v>4.477646</v>
      </c>
      <c r="E3263">
        <v>0.50556959999999995</v>
      </c>
      <c r="F3263" t="s">
        <v>64</v>
      </c>
      <c r="G3263">
        <v>-437.93610000000001</v>
      </c>
      <c r="H3263" s="1">
        <v>5.859049E-6</v>
      </c>
      <c r="I3263">
        <v>213.2123</v>
      </c>
      <c r="J3263">
        <v>-458.71300000000002</v>
      </c>
      <c r="K3263">
        <v>1.1101559999999999</v>
      </c>
      <c r="L3263">
        <v>213.11770000000001</v>
      </c>
      <c r="M3263">
        <v>0.99980519999999995</v>
      </c>
      <c r="N3263">
        <v>-1.203185E-2</v>
      </c>
      <c r="O3263">
        <v>-1.5647080000000001E-2</v>
      </c>
      <c r="P3263">
        <v>0.98633590000000004</v>
      </c>
      <c r="Q3263">
        <v>0.16272139999999999</v>
      </c>
      <c r="R3263">
        <v>2.575504E-2</v>
      </c>
      <c r="S3263">
        <v>3.0686650000000002</v>
      </c>
      <c r="T3263">
        <v>-0.1620636</v>
      </c>
      <c r="U3263">
        <v>1.3229370000000001E-2</v>
      </c>
      <c r="V3263">
        <v>-4.1184949999999998E-2</v>
      </c>
      <c r="W3263">
        <v>0.17457110000000001</v>
      </c>
      <c r="X3263">
        <v>0.98378290000000002</v>
      </c>
      <c r="Y3263">
        <v>-1.9911539999999998E-2</v>
      </c>
      <c r="Z3263">
        <v>1.2829040000000001E-3</v>
      </c>
      <c r="AA3263">
        <v>0.99980089999999999</v>
      </c>
      <c r="AB3263">
        <v>24</v>
      </c>
      <c r="AC3263">
        <v>20.776900000000001</v>
      </c>
      <c r="AD3263">
        <v>-1.110150140951</v>
      </c>
      <c r="AE3263">
        <v>9.4599999999985501E-2</v>
      </c>
      <c r="AF3263">
        <v>-0.41851493807293699</v>
      </c>
      <c r="AG3263">
        <v>-1.110150140951</v>
      </c>
      <c r="AH3263">
        <v>20.7137398067051</v>
      </c>
      <c r="AI3263">
        <v>93.067199807704895</v>
      </c>
      <c r="AJ3263">
        <v>91.157486655537497</v>
      </c>
      <c r="AK3263">
        <v>20.747689145269302</v>
      </c>
      <c r="AL3263">
        <v>79.946300570038005</v>
      </c>
      <c r="AM3263">
        <v>92.397222725781603</v>
      </c>
      <c r="AN3263">
        <v>1.0000000316970601</v>
      </c>
    </row>
    <row r="3264" spans="1:40" x14ac:dyDescent="0.25">
      <c r="A3264" t="str">
        <f>"20190304155656738"</f>
        <v>20190304155656738</v>
      </c>
      <c r="B3264" t="str">
        <f>"1551686216727657"</f>
        <v>1551686216727657</v>
      </c>
      <c r="C3264" t="s">
        <v>40</v>
      </c>
      <c r="D3264">
        <v>4.4925829999999998</v>
      </c>
      <c r="E3264">
        <v>0.50511289999999998</v>
      </c>
      <c r="F3264" t="s">
        <v>64</v>
      </c>
      <c r="G3264">
        <v>-438.16390000000001</v>
      </c>
      <c r="H3264" s="1">
        <v>5.9591909999999899E-6</v>
      </c>
      <c r="I3264">
        <v>213.2227</v>
      </c>
      <c r="J3264">
        <v>-458.47890000000001</v>
      </c>
      <c r="K3264">
        <v>1.1102399999999999</v>
      </c>
      <c r="L3264">
        <v>213.11410000000001</v>
      </c>
      <c r="M3264">
        <v>0.99980800000000003</v>
      </c>
      <c r="N3264">
        <v>-1.1961690000000001E-2</v>
      </c>
      <c r="O3264">
        <v>-1.5531639999999999E-2</v>
      </c>
      <c r="P3264">
        <v>0.98639849999999996</v>
      </c>
      <c r="Q3264">
        <v>0.162381</v>
      </c>
      <c r="R3264">
        <v>2.550554E-2</v>
      </c>
      <c r="S3264">
        <v>3.0685419999999999</v>
      </c>
      <c r="T3264">
        <v>-0.1657759</v>
      </c>
      <c r="U3264">
        <v>1.5670779999999999E-2</v>
      </c>
      <c r="V3264">
        <v>-4.0864810000000001E-2</v>
      </c>
      <c r="W3264">
        <v>0.174152799999999</v>
      </c>
      <c r="X3264">
        <v>0.98387040000000003</v>
      </c>
      <c r="Y3264">
        <v>-2.058836E-2</v>
      </c>
      <c r="Z3264">
        <v>1.3317419999999999E-3</v>
      </c>
      <c r="AA3264">
        <v>0.99978719999999999</v>
      </c>
      <c r="AB3264">
        <v>24</v>
      </c>
      <c r="AC3264">
        <v>20.315000000000001</v>
      </c>
      <c r="AD3264">
        <v>-1.1102340408089999</v>
      </c>
      <c r="AE3264">
        <v>0.10859999999999501</v>
      </c>
      <c r="AF3264">
        <v>-0.42287171913805899</v>
      </c>
      <c r="AG3264">
        <v>-1.1102340408089999</v>
      </c>
      <c r="AH3264">
        <v>20.2503817143958</v>
      </c>
      <c r="AI3264">
        <v>93.137436221461599</v>
      </c>
      <c r="AJ3264">
        <v>91.196285792327302</v>
      </c>
      <c r="AK3264">
        <v>20.285201495054299</v>
      </c>
      <c r="AL3264">
        <v>79.970640395385104</v>
      </c>
      <c r="AM3264">
        <v>92.378398756297102</v>
      </c>
      <c r="AN3264">
        <v>1.00000004722016</v>
      </c>
    </row>
    <row r="3265" spans="1:40" x14ac:dyDescent="0.25">
      <c r="A3265" t="str">
        <f>"20190304155656759"</f>
        <v>20190304155656759</v>
      </c>
      <c r="B3265" t="str">
        <f>"1551686216757913"</f>
        <v>1551686216757913</v>
      </c>
      <c r="C3265" t="s">
        <v>40</v>
      </c>
      <c r="D3265">
        <v>4.5071640000000004</v>
      </c>
      <c r="E3265">
        <v>0.50450079999999997</v>
      </c>
      <c r="F3265" t="s">
        <v>64</v>
      </c>
      <c r="G3265">
        <v>-438.10610000000003</v>
      </c>
      <c r="H3265" s="1">
        <v>5.9318499999999998E-6</v>
      </c>
      <c r="I3265">
        <v>213.24199999999999</v>
      </c>
      <c r="J3265">
        <v>-458.24880000000002</v>
      </c>
      <c r="K3265">
        <v>1.1103229999999999</v>
      </c>
      <c r="L3265">
        <v>213.11070000000001</v>
      </c>
      <c r="M3265">
        <v>0.99981299999999995</v>
      </c>
      <c r="N3265">
        <v>-1.1891799999999999E-2</v>
      </c>
      <c r="O3265">
        <v>-1.5256530000000001E-2</v>
      </c>
      <c r="P3265">
        <v>0.98635870000000003</v>
      </c>
      <c r="Q3265">
        <v>0.16265569999999999</v>
      </c>
      <c r="R3265">
        <v>2.5294859999999999E-2</v>
      </c>
      <c r="S3265">
        <v>3.06839</v>
      </c>
      <c r="T3265">
        <v>-0.16721459999999999</v>
      </c>
      <c r="U3265">
        <v>1.927185E-2</v>
      </c>
      <c r="V3265">
        <v>-4.0423779999999999E-2</v>
      </c>
      <c r="W3265">
        <v>0.174349</v>
      </c>
      <c r="X3265">
        <v>0.9838538</v>
      </c>
      <c r="Y3265">
        <v>-2.1484550000000002E-2</v>
      </c>
      <c r="Z3265">
        <v>1.362285E-3</v>
      </c>
      <c r="AA3265">
        <v>0.99976830000000005</v>
      </c>
      <c r="AB3265">
        <v>24</v>
      </c>
      <c r="AC3265">
        <v>20.142699999999898</v>
      </c>
      <c r="AD3265">
        <v>-1.1103170681500001</v>
      </c>
      <c r="AE3265">
        <v>0.13130000000000999</v>
      </c>
      <c r="AF3265">
        <v>-0.43728548797704803</v>
      </c>
      <c r="AG3265">
        <v>-1.1103170681500001</v>
      </c>
      <c r="AH3265">
        <v>20.0773496303573</v>
      </c>
      <c r="AI3265">
        <v>93.1645964913791</v>
      </c>
      <c r="AJ3265">
        <v>91.247707131246997</v>
      </c>
      <c r="AK3265">
        <v>20.112781776010799</v>
      </c>
      <c r="AL3265">
        <v>79.959223608158595</v>
      </c>
      <c r="AM3265">
        <v>92.352798743731796</v>
      </c>
      <c r="AN3265">
        <v>0.99999997778246397</v>
      </c>
    </row>
    <row r="3266" spans="1:40" x14ac:dyDescent="0.25">
      <c r="A3266" t="str">
        <f>"20190304155656783"</f>
        <v>20190304155656783</v>
      </c>
      <c r="B3266" t="str">
        <f>"1551686216777433"</f>
        <v>1551686216777433</v>
      </c>
      <c r="C3266" t="s">
        <v>40</v>
      </c>
      <c r="D3266">
        <v>4.5352189999999997</v>
      </c>
      <c r="E3266">
        <v>0.50407769999999996</v>
      </c>
      <c r="F3266" t="s">
        <v>64</v>
      </c>
      <c r="G3266">
        <v>-437.8186</v>
      </c>
      <c r="H3266" s="1">
        <v>5.8018390000000001E-6</v>
      </c>
      <c r="I3266">
        <v>213.27099999999999</v>
      </c>
      <c r="J3266">
        <v>-458.00029999999998</v>
      </c>
      <c r="K3266">
        <v>1.1104320000000001</v>
      </c>
      <c r="L3266">
        <v>213.10720000000001</v>
      </c>
      <c r="M3266">
        <v>0.99982090000000001</v>
      </c>
      <c r="N3266">
        <v>-1.1814079999999999E-2</v>
      </c>
      <c r="O3266">
        <v>-1.478604E-2</v>
      </c>
      <c r="P3266">
        <v>0.98624480000000003</v>
      </c>
      <c r="Q3266">
        <v>0.16332349999999901</v>
      </c>
      <c r="R3266">
        <v>2.543749E-2</v>
      </c>
      <c r="S3266">
        <v>3.0683590000000001</v>
      </c>
      <c r="T3266">
        <v>-0.1667556</v>
      </c>
      <c r="U3266">
        <v>2.4078370000000002E-2</v>
      </c>
      <c r="V3266">
        <v>-4.0149850000000001E-2</v>
      </c>
      <c r="W3266">
        <v>0.1749279</v>
      </c>
      <c r="X3266">
        <v>0.98376229999999998</v>
      </c>
      <c r="Y3266">
        <v>-2.2578899999999999E-2</v>
      </c>
      <c r="Z3266">
        <v>1.3749560000000001E-3</v>
      </c>
      <c r="AA3266">
        <v>0.99974410000000002</v>
      </c>
      <c r="AB3266">
        <v>24</v>
      </c>
      <c r="AC3266">
        <v>20.1816999999999</v>
      </c>
      <c r="AD3266">
        <v>-1.110426198161</v>
      </c>
      <c r="AE3266">
        <v>0.16379999999997999</v>
      </c>
      <c r="AF3266">
        <v>-0.46081537502325298</v>
      </c>
      <c r="AG3266">
        <v>-1.110426198161</v>
      </c>
      <c r="AH3266">
        <v>20.116176443203202</v>
      </c>
      <c r="AI3266">
        <v>93.158731214442795</v>
      </c>
      <c r="AJ3266">
        <v>91.312285128009506</v>
      </c>
      <c r="AK3266">
        <v>20.152070659004298</v>
      </c>
      <c r="AL3266">
        <v>79.925537859648898</v>
      </c>
      <c r="AM3266">
        <v>92.337089952690505</v>
      </c>
      <c r="AN3266">
        <v>1.0000000217773599</v>
      </c>
    </row>
    <row r="3267" spans="1:40" x14ac:dyDescent="0.25">
      <c r="A3267" t="str">
        <f>"20190304155656807"</f>
        <v>20190304155656807</v>
      </c>
      <c r="B3267" t="str">
        <f>"1551686216797930"</f>
        <v>1551686216797930</v>
      </c>
      <c r="C3267" t="s">
        <v>40</v>
      </c>
      <c r="D3267">
        <v>4.5169199999999998</v>
      </c>
      <c r="E3267">
        <v>0.50367580000000001</v>
      </c>
      <c r="F3267" t="s">
        <v>64</v>
      </c>
      <c r="G3267">
        <v>-437.32319999999999</v>
      </c>
      <c r="H3267" s="1">
        <v>5.5799459999999997E-6</v>
      </c>
      <c r="I3267">
        <v>213.2963</v>
      </c>
      <c r="J3267">
        <v>-457.73930000000001</v>
      </c>
      <c r="K3267">
        <v>1.1105560000000001</v>
      </c>
      <c r="L3267">
        <v>213.10400000000001</v>
      </c>
      <c r="M3267">
        <v>0.99983149999999998</v>
      </c>
      <c r="N3267">
        <v>-1.17333E-2</v>
      </c>
      <c r="O3267">
        <v>-1.4118E-2</v>
      </c>
      <c r="P3267">
        <v>0.98625609999999997</v>
      </c>
      <c r="Q3267">
        <v>0.16324469999999999</v>
      </c>
      <c r="R3267">
        <v>2.5498179999999999E-2</v>
      </c>
      <c r="S3267">
        <v>3.068451</v>
      </c>
      <c r="T3267">
        <v>-0.16478599999999999</v>
      </c>
      <c r="U3267">
        <v>2.8060910000000001E-2</v>
      </c>
      <c r="V3267">
        <v>-3.9607839999999998E-2</v>
      </c>
      <c r="W3267">
        <v>0.174758</v>
      </c>
      <c r="X3267">
        <v>0.98381439999999998</v>
      </c>
      <c r="Y3267">
        <v>-2.3208889999999999E-2</v>
      </c>
      <c r="Z3267">
        <v>1.351075E-3</v>
      </c>
      <c r="AA3267">
        <v>0.9997298</v>
      </c>
      <c r="AB3267">
        <v>24</v>
      </c>
      <c r="AC3267">
        <v>20.4161</v>
      </c>
      <c r="AD3267">
        <v>-1.110550420054</v>
      </c>
      <c r="AE3267">
        <v>0.19229999999998801</v>
      </c>
      <c r="AF3267">
        <v>-0.47911763439805899</v>
      </c>
      <c r="AG3267">
        <v>-1.110550420054</v>
      </c>
      <c r="AH3267">
        <v>20.351138154285099</v>
      </c>
      <c r="AI3267">
        <v>93.122637701354705</v>
      </c>
      <c r="AJ3267">
        <v>91.348639479302705</v>
      </c>
      <c r="AK3267">
        <v>20.387047361446701</v>
      </c>
      <c r="AL3267">
        <v>79.935424043243202</v>
      </c>
      <c r="AM3267">
        <v>92.305452308345394</v>
      </c>
      <c r="AN3267">
        <v>0.99999995660041097</v>
      </c>
    </row>
    <row r="3268" spans="1:40" x14ac:dyDescent="0.25">
      <c r="A3268" t="str">
        <f>"20190304155656830"</f>
        <v>20190304155656830</v>
      </c>
      <c r="B3268" t="str">
        <f>"1551686216828185"</f>
        <v>1551686216828185</v>
      </c>
      <c r="C3268" t="s">
        <v>40</v>
      </c>
      <c r="D3268">
        <v>4.5067209999999998</v>
      </c>
      <c r="E3268">
        <v>0.50308260000000005</v>
      </c>
      <c r="F3268" t="s">
        <v>64</v>
      </c>
      <c r="G3268">
        <v>-437.19510000000002</v>
      </c>
      <c r="H3268" s="1">
        <v>5.5213979999999997E-6</v>
      </c>
      <c r="I3268">
        <v>213.3158</v>
      </c>
      <c r="J3268">
        <v>-457.50319999999999</v>
      </c>
      <c r="K3268">
        <v>1.1106720000000001</v>
      </c>
      <c r="L3268">
        <v>213.10140000000001</v>
      </c>
      <c r="M3268">
        <v>0.99984269999999997</v>
      </c>
      <c r="N3268">
        <v>-1.166346E-2</v>
      </c>
      <c r="O3268">
        <v>-1.3362199999999999E-2</v>
      </c>
      <c r="P3268">
        <v>0.9862303</v>
      </c>
      <c r="Q3268">
        <v>0.16338529999999901</v>
      </c>
      <c r="R3268">
        <v>2.559283E-2</v>
      </c>
      <c r="S3268">
        <v>3.06839</v>
      </c>
      <c r="T3268">
        <v>-0.16586670000000001</v>
      </c>
      <c r="U3268">
        <v>3.1631470000000002E-2</v>
      </c>
      <c r="V3268">
        <v>-3.9005989999999997E-2</v>
      </c>
      <c r="W3268">
        <v>0.17481949999999999</v>
      </c>
      <c r="X3268">
        <v>0.98382760000000002</v>
      </c>
      <c r="Y3268">
        <v>-2.3615830000000001E-2</v>
      </c>
      <c r="Z3268">
        <v>1.3416680000000001E-3</v>
      </c>
      <c r="AA3268">
        <v>0.99972019999999995</v>
      </c>
      <c r="AB3268">
        <v>24</v>
      </c>
      <c r="AC3268">
        <v>20.3080999999999</v>
      </c>
      <c r="AD3268">
        <v>-1.110666478602</v>
      </c>
      <c r="AE3268">
        <v>0.21439999999998299</v>
      </c>
      <c r="AF3268">
        <v>-0.484311751910451</v>
      </c>
      <c r="AG3268">
        <v>-1.110666478602</v>
      </c>
      <c r="AH3268">
        <v>20.242880206796201</v>
      </c>
      <c r="AI3268">
        <v>93.1396030928112</v>
      </c>
      <c r="AJ3268">
        <v>91.3705424477116</v>
      </c>
      <c r="AK3268">
        <v>20.279110852461699</v>
      </c>
      <c r="AL3268">
        <v>79.931846065189106</v>
      </c>
      <c r="AM3268">
        <v>92.2704269577779</v>
      </c>
      <c r="AN3268">
        <v>1.00000003567894</v>
      </c>
    </row>
    <row r="3269" spans="1:40" x14ac:dyDescent="0.25">
      <c r="A3269" t="str">
        <f>"20190304155656849"</f>
        <v>20190304155656849</v>
      </c>
      <c r="B3269" t="str">
        <f>"1551686216837948"</f>
        <v>1551686216837948</v>
      </c>
      <c r="C3269" t="s">
        <v>40</v>
      </c>
      <c r="D3269">
        <v>4.5157339999999904</v>
      </c>
      <c r="E3269">
        <v>0.50290699999999999</v>
      </c>
      <c r="F3269" t="s">
        <v>64</v>
      </c>
      <c r="G3269">
        <v>-436.95260000000002</v>
      </c>
      <c r="H3269" s="1">
        <v>5.4118039999999997E-6</v>
      </c>
      <c r="I3269">
        <v>213.33969999999999</v>
      </c>
      <c r="J3269">
        <v>-457.29199999999997</v>
      </c>
      <c r="K3269">
        <v>1.110754</v>
      </c>
      <c r="L3269">
        <v>213.0994</v>
      </c>
      <c r="M3269">
        <v>0.99985400000000002</v>
      </c>
      <c r="N3269">
        <v>-1.160127E-2</v>
      </c>
      <c r="O3269">
        <v>-1.256355E-2</v>
      </c>
      <c r="P3269">
        <v>0.98613740000000005</v>
      </c>
      <c r="Q3269">
        <v>0.16383220000000001</v>
      </c>
      <c r="R3269">
        <v>2.6314000000000001E-2</v>
      </c>
      <c r="S3269">
        <v>3.0684809999999998</v>
      </c>
      <c r="T3269">
        <v>-0.16583809999999999</v>
      </c>
      <c r="U3269">
        <v>3.5583499999999997E-2</v>
      </c>
      <c r="V3269">
        <v>-3.8976599999999903E-2</v>
      </c>
      <c r="W3269">
        <v>0.17519599999999999</v>
      </c>
      <c r="X3269">
        <v>0.98376169999999996</v>
      </c>
      <c r="Y3269">
        <v>-2.4104270000000001E-2</v>
      </c>
      <c r="Z3269">
        <v>1.3236389999999999E-3</v>
      </c>
      <c r="AA3269">
        <v>0.99970859999999995</v>
      </c>
      <c r="AB3269">
        <v>24</v>
      </c>
      <c r="AC3269">
        <v>20.339399999999898</v>
      </c>
      <c r="AD3269">
        <v>-1.110748588196</v>
      </c>
      <c r="AE3269">
        <v>0.24029999999998999</v>
      </c>
      <c r="AF3269">
        <v>-0.49435910594110399</v>
      </c>
      <c r="AG3269">
        <v>-1.110748588196</v>
      </c>
      <c r="AH3269">
        <v>20.274319072711201</v>
      </c>
      <c r="AI3269">
        <v>93.134940964747898</v>
      </c>
      <c r="AJ3269">
        <v>91.396795556949002</v>
      </c>
      <c r="AK3269">
        <v>20.310740193649</v>
      </c>
      <c r="AL3269">
        <v>79.909935175926705</v>
      </c>
      <c r="AM3269">
        <v>92.268869855838801</v>
      </c>
      <c r="AN3269">
        <v>0.99999994807522297</v>
      </c>
    </row>
    <row r="3270" spans="1:40" x14ac:dyDescent="0.25">
      <c r="A3270" t="str">
        <f>"20190304155656871"</f>
        <v>20190304155656871</v>
      </c>
      <c r="B3270" t="str">
        <f>"1551686216868201"</f>
        <v>1551686216868201</v>
      </c>
      <c r="C3270" t="s">
        <v>40</v>
      </c>
      <c r="D3270">
        <v>4.512518</v>
      </c>
      <c r="E3270">
        <v>0.50242229999999999</v>
      </c>
      <c r="F3270" t="s">
        <v>64</v>
      </c>
      <c r="G3270">
        <v>-436.5702</v>
      </c>
      <c r="H3270" s="1">
        <v>5.2406820000000004E-6</v>
      </c>
      <c r="I3270">
        <v>213.3571</v>
      </c>
      <c r="J3270">
        <v>-457.06310000000002</v>
      </c>
      <c r="K3270">
        <v>1.110819</v>
      </c>
      <c r="L3270">
        <v>213.0976</v>
      </c>
      <c r="M3270">
        <v>0.99986640000000004</v>
      </c>
      <c r="N3270">
        <v>-1.1530159999999999E-2</v>
      </c>
      <c r="O3270">
        <v>-1.158709E-2</v>
      </c>
      <c r="P3270">
        <v>0.98602500000000004</v>
      </c>
      <c r="Q3270">
        <v>0.16430129999999901</v>
      </c>
      <c r="R3270">
        <v>2.756875E-2</v>
      </c>
      <c r="S3270">
        <v>3.0684809999999998</v>
      </c>
      <c r="T3270">
        <v>-0.16447989999999901</v>
      </c>
      <c r="U3270">
        <v>3.8162229999999998E-2</v>
      </c>
      <c r="V3270">
        <v>-3.9299849999999997E-2</v>
      </c>
      <c r="W3270">
        <v>0.17558660000000001</v>
      </c>
      <c r="X3270">
        <v>0.98367919999999998</v>
      </c>
      <c r="Y3270">
        <v>-2.396995E-2</v>
      </c>
      <c r="Z3270">
        <v>1.2673739999999999E-3</v>
      </c>
      <c r="AA3270">
        <v>0.99971189999999999</v>
      </c>
      <c r="AB3270">
        <v>24</v>
      </c>
      <c r="AC3270">
        <v>20.492899999999999</v>
      </c>
      <c r="AD3270">
        <v>-1.1108137593179901</v>
      </c>
      <c r="AE3270">
        <v>0.25950000000000201</v>
      </c>
      <c r="AF3270">
        <v>-0.495495822993262</v>
      </c>
      <c r="AG3270">
        <v>-1.1108137593179901</v>
      </c>
      <c r="AH3270">
        <v>20.428504404557099</v>
      </c>
      <c r="AI3270">
        <v>93.111518361219396</v>
      </c>
      <c r="AJ3270">
        <v>91.389443567672402</v>
      </c>
      <c r="AK3270">
        <v>20.464682150610201</v>
      </c>
      <c r="AL3270">
        <v>79.887203092065604</v>
      </c>
      <c r="AM3270">
        <v>92.287858336566501</v>
      </c>
      <c r="AN3270">
        <v>0.99999995041110901</v>
      </c>
    </row>
    <row r="3271" spans="1:40" x14ac:dyDescent="0.25">
      <c r="A3271" t="str">
        <f>"20190304155656895"</f>
        <v>20190304155656895</v>
      </c>
      <c r="B3271" t="str">
        <f>"1551686216887721"</f>
        <v>1551686216887721</v>
      </c>
      <c r="C3271" t="s">
        <v>40</v>
      </c>
      <c r="D3271">
        <v>4.5011429999999999</v>
      </c>
      <c r="E3271">
        <v>0.50211410000000001</v>
      </c>
      <c r="F3271" t="s">
        <v>64</v>
      </c>
      <c r="G3271">
        <v>-436.1388</v>
      </c>
      <c r="H3271" s="1">
        <v>5.0450349999999999E-6</v>
      </c>
      <c r="I3271">
        <v>213.4067</v>
      </c>
      <c r="J3271">
        <v>-456.80360000000002</v>
      </c>
      <c r="K3271">
        <v>1.110852</v>
      </c>
      <c r="L3271">
        <v>213.096</v>
      </c>
      <c r="M3271">
        <v>0.99988080000000001</v>
      </c>
      <c r="N3271">
        <v>-1.1444630000000001E-2</v>
      </c>
      <c r="O3271">
        <v>-1.037326E-2</v>
      </c>
      <c r="P3271">
        <v>0.98585579999999995</v>
      </c>
      <c r="Q3271">
        <v>0.1650228</v>
      </c>
      <c r="R3271">
        <v>2.925732E-2</v>
      </c>
      <c r="S3271">
        <v>3.0683590000000001</v>
      </c>
      <c r="T3271">
        <v>-0.16289089999999901</v>
      </c>
      <c r="U3271">
        <v>4.5318600000000001E-2</v>
      </c>
      <c r="V3271">
        <v>-3.9813580000000001E-2</v>
      </c>
      <c r="W3271">
        <v>0.1762165</v>
      </c>
      <c r="X3271">
        <v>0.98354600000000003</v>
      </c>
      <c r="Y3271">
        <v>-2.508813E-2</v>
      </c>
      <c r="Z3271">
        <v>1.2407480000000001E-3</v>
      </c>
      <c r="AA3271">
        <v>0.99968449999999998</v>
      </c>
      <c r="AB3271">
        <v>24</v>
      </c>
      <c r="AC3271">
        <v>20.6648</v>
      </c>
      <c r="AD3271">
        <v>-1.110846954965</v>
      </c>
      <c r="AE3271">
        <v>0.31070000000002501</v>
      </c>
      <c r="AF3271">
        <v>-0.52354611693785802</v>
      </c>
      <c r="AG3271">
        <v>-1.110846954965</v>
      </c>
      <c r="AH3271">
        <v>20.600948642026399</v>
      </c>
      <c r="AI3271">
        <v>93.085526808867399</v>
      </c>
      <c r="AJ3271">
        <v>91.4557838086385</v>
      </c>
      <c r="AK3271">
        <v>20.637518417807001</v>
      </c>
      <c r="AL3271">
        <v>79.850541904873594</v>
      </c>
      <c r="AM3271">
        <v>92.318046497285593</v>
      </c>
      <c r="AN3271">
        <v>1.0000000550703301</v>
      </c>
    </row>
    <row r="3272" spans="1:40" x14ac:dyDescent="0.25">
      <c r="A3272" t="str">
        <f>"20190304155656927"</f>
        <v>20190304155656927</v>
      </c>
      <c r="B3272" t="str">
        <f>"1551686216917977"</f>
        <v>1551686216917977</v>
      </c>
      <c r="C3272" t="s">
        <v>40</v>
      </c>
      <c r="D3272">
        <v>4.4807319999999997</v>
      </c>
      <c r="E3272">
        <v>0.50172850000000002</v>
      </c>
      <c r="F3272" t="s">
        <v>64</v>
      </c>
      <c r="G3272">
        <v>-435.56990000000002</v>
      </c>
      <c r="H3272" s="1">
        <v>4.7884520000000003E-6</v>
      </c>
      <c r="I3272">
        <v>213.4562</v>
      </c>
      <c r="J3272">
        <v>-456.45409999999998</v>
      </c>
      <c r="K3272">
        <v>1.11087</v>
      </c>
      <c r="L3272">
        <v>213.09440000000001</v>
      </c>
      <c r="M3272">
        <v>0.99989850000000002</v>
      </c>
      <c r="N3272">
        <v>-1.133549E-2</v>
      </c>
      <c r="O3272">
        <v>-8.6510930000000003E-3</v>
      </c>
      <c r="P3272">
        <v>0.98588200000000004</v>
      </c>
      <c r="Q3272">
        <v>0.1640721</v>
      </c>
      <c r="R3272">
        <v>3.3427970000000001E-2</v>
      </c>
      <c r="S3272">
        <v>3.06839</v>
      </c>
      <c r="T3272">
        <v>-0.160524</v>
      </c>
      <c r="U3272">
        <v>5.204773E-2</v>
      </c>
      <c r="V3272">
        <v>-4.2296960000000002E-2</v>
      </c>
      <c r="W3272">
        <v>0.17515139999999901</v>
      </c>
      <c r="X3272">
        <v>0.98363250000000002</v>
      </c>
      <c r="Y3272">
        <v>-2.5560090000000001E-2</v>
      </c>
      <c r="Z3272">
        <v>1.1673320000000001E-3</v>
      </c>
      <c r="AA3272">
        <v>0.99967260000000002</v>
      </c>
      <c r="AB3272">
        <v>24</v>
      </c>
      <c r="AC3272">
        <v>20.8841999999999</v>
      </c>
      <c r="AD3272">
        <v>-1.110865211548</v>
      </c>
      <c r="AE3272">
        <v>0.36179999999998802</v>
      </c>
      <c r="AF3272">
        <v>-0.54093914482123695</v>
      </c>
      <c r="AG3272">
        <v>-1.110865211548</v>
      </c>
      <c r="AH3272">
        <v>20.821394829263301</v>
      </c>
      <c r="AI3272">
        <v>93.052926737346297</v>
      </c>
      <c r="AJ3272">
        <v>91.488207679220196</v>
      </c>
      <c r="AK3272">
        <v>20.858022900378199</v>
      </c>
      <c r="AL3272">
        <v>79.912530928597803</v>
      </c>
      <c r="AM3272">
        <v>92.462246062607306</v>
      </c>
      <c r="AN3272">
        <v>0.99999997040172495</v>
      </c>
    </row>
    <row r="3273" spans="1:40" x14ac:dyDescent="0.25">
      <c r="A3273" t="str">
        <f>"20190304155656949"</f>
        <v>20190304155656949</v>
      </c>
      <c r="B3273" t="str">
        <f>"1551686216947257"</f>
        <v>1551686216947257</v>
      </c>
      <c r="C3273" t="s">
        <v>40</v>
      </c>
      <c r="D3273">
        <v>4.4979319999999996</v>
      </c>
      <c r="E3273">
        <v>0.50132169999999998</v>
      </c>
      <c r="F3273" t="s">
        <v>64</v>
      </c>
      <c r="G3273">
        <v>-435.59910000000002</v>
      </c>
      <c r="H3273" s="1">
        <v>4.7934489999999996E-6</v>
      </c>
      <c r="I3273">
        <v>213.54679999999999</v>
      </c>
      <c r="J3273">
        <v>-456.21890000000002</v>
      </c>
      <c r="K3273">
        <v>1.110854</v>
      </c>
      <c r="L3273">
        <v>213.09360000000001</v>
      </c>
      <c r="M3273">
        <v>0.99990869999999998</v>
      </c>
      <c r="N3273">
        <v>-1.1266409999999999E-2</v>
      </c>
      <c r="O3273">
        <v>-7.4733859999999899E-3</v>
      </c>
      <c r="P3273">
        <v>0.98583600000000005</v>
      </c>
      <c r="Q3273">
        <v>0.16370870000000001</v>
      </c>
      <c r="R3273">
        <v>3.6430829999999997E-2</v>
      </c>
      <c r="S3273">
        <v>3.0679020000000001</v>
      </c>
      <c r="T3273">
        <v>-0.16341510000000001</v>
      </c>
      <c r="U3273">
        <v>6.6558839999999994E-2</v>
      </c>
      <c r="V3273">
        <v>-4.413802E-2</v>
      </c>
      <c r="W3273">
        <v>0.17471619999999999</v>
      </c>
      <c r="X3273">
        <v>0.98362899999999998</v>
      </c>
      <c r="Y3273">
        <v>-2.910505E-2</v>
      </c>
      <c r="Z3273">
        <v>1.2522480000000001E-3</v>
      </c>
      <c r="AA3273">
        <v>0.99957560000000001</v>
      </c>
      <c r="AB3273">
        <v>24</v>
      </c>
      <c r="AC3273">
        <v>20.619800000000001</v>
      </c>
      <c r="AD3273">
        <v>-1.1108492065510001</v>
      </c>
      <c r="AE3273">
        <v>0.45319999999998101</v>
      </c>
      <c r="AF3273">
        <v>-0.60554022628829995</v>
      </c>
      <c r="AG3273">
        <v>-1.1108492065510001</v>
      </c>
      <c r="AH3273">
        <v>20.556205607762799</v>
      </c>
      <c r="AI3273">
        <v>93.091893913958799</v>
      </c>
      <c r="AJ3273">
        <v>91.687318639899701</v>
      </c>
      <c r="AK3273">
        <v>20.5951026682066</v>
      </c>
      <c r="AL3273">
        <v>79.937856488826</v>
      </c>
      <c r="AM3273">
        <v>92.569288763187203</v>
      </c>
      <c r="AN3273">
        <v>0.99999996249647904</v>
      </c>
    </row>
    <row r="3274" spans="1:40" x14ac:dyDescent="0.25">
      <c r="A3274" t="str">
        <f>"20190304155656972"</f>
        <v>20190304155656972</v>
      </c>
      <c r="B3274" t="str">
        <f>"1551686216967754"</f>
        <v>1551686216967754</v>
      </c>
      <c r="C3274" t="s">
        <v>40</v>
      </c>
      <c r="D3274">
        <v>4.3694610000000003</v>
      </c>
      <c r="E3274">
        <v>0.50108169999999996</v>
      </c>
      <c r="F3274" t="s">
        <v>64</v>
      </c>
      <c r="G3274">
        <v>-435.46789999999999</v>
      </c>
      <c r="H3274" s="1">
        <v>4.7288899999999999E-6</v>
      </c>
      <c r="I3274">
        <v>213.61959999999999</v>
      </c>
      <c r="J3274">
        <v>-455.98180000000002</v>
      </c>
      <c r="K3274">
        <v>1.1108340000000001</v>
      </c>
      <c r="L3274">
        <v>213.0932</v>
      </c>
      <c r="M3274">
        <v>0.99991770000000002</v>
      </c>
      <c r="N3274">
        <v>-1.118715E-2</v>
      </c>
      <c r="O3274">
        <v>-6.2947749999999998E-3</v>
      </c>
      <c r="P3274">
        <v>0.9856608</v>
      </c>
      <c r="Q3274">
        <v>0.1640094</v>
      </c>
      <c r="R3274">
        <v>3.967362E-2</v>
      </c>
      <c r="S3274">
        <v>3.0674739999999998</v>
      </c>
      <c r="T3274">
        <v>-0.16420879999999999</v>
      </c>
      <c r="U3274">
        <v>7.7758789999999994E-2</v>
      </c>
      <c r="V3274">
        <v>-4.6214379999999999E-2</v>
      </c>
      <c r="W3274">
        <v>0.17493399999999901</v>
      </c>
      <c r="X3274">
        <v>0.98349489999999995</v>
      </c>
      <c r="Y3274">
        <v>-3.157368E-2</v>
      </c>
      <c r="Z3274">
        <v>1.287474E-3</v>
      </c>
      <c r="AA3274">
        <v>0.99950059999999996</v>
      </c>
      <c r="AB3274">
        <v>24</v>
      </c>
      <c r="AC3274">
        <v>20.5139</v>
      </c>
      <c r="AD3274">
        <v>-1.1108292711100001</v>
      </c>
      <c r="AE3274">
        <v>0.52639999999999498</v>
      </c>
      <c r="AF3274">
        <v>-0.65361274147829496</v>
      </c>
      <c r="AG3274">
        <v>-1.1108292711100001</v>
      </c>
      <c r="AH3274">
        <v>20.450254337069801</v>
      </c>
      <c r="AI3274">
        <v>93.107587588995202</v>
      </c>
      <c r="AJ3274">
        <v>91.830613306419494</v>
      </c>
      <c r="AK3274">
        <v>20.490828527324599</v>
      </c>
      <c r="AL3274">
        <v>79.925182108452702</v>
      </c>
      <c r="AM3274">
        <v>92.690347056440501</v>
      </c>
      <c r="AN3274">
        <v>0.99999994580039497</v>
      </c>
    </row>
    <row r="3275" spans="1:40" x14ac:dyDescent="0.25">
      <c r="A3275" t="str">
        <f>"20190304155656997"</f>
        <v>20190304155656997</v>
      </c>
      <c r="B3275" t="str">
        <f>"1551686216988249"</f>
        <v>1551686216988249</v>
      </c>
      <c r="C3275" t="s">
        <v>40</v>
      </c>
      <c r="D3275">
        <v>4.4741910000000003</v>
      </c>
      <c r="E3275">
        <v>0.50084490000000004</v>
      </c>
      <c r="F3275" t="s">
        <v>64</v>
      </c>
      <c r="G3275">
        <v>-435.09550000000002</v>
      </c>
      <c r="H3275" s="1">
        <v>4.5569679999999997E-6</v>
      </c>
      <c r="I3275">
        <v>213.69739999999999</v>
      </c>
      <c r="J3275">
        <v>-455.71519999999998</v>
      </c>
      <c r="K3275">
        <v>1.110806</v>
      </c>
      <c r="L3275">
        <v>213.09299999999999</v>
      </c>
      <c r="M3275">
        <v>0.99992610000000004</v>
      </c>
      <c r="N3275">
        <v>-1.108757E-2</v>
      </c>
      <c r="O3275">
        <v>-4.9915569999999998E-3</v>
      </c>
      <c r="P3275">
        <v>0.9855353</v>
      </c>
      <c r="Q3275">
        <v>0.16417279999999901</v>
      </c>
      <c r="R3275">
        <v>4.204128E-2</v>
      </c>
      <c r="S3275">
        <v>3.0672000000000001</v>
      </c>
      <c r="T3275">
        <v>-0.16312779999999999</v>
      </c>
      <c r="U3275">
        <v>8.8729859999999994E-2</v>
      </c>
      <c r="V3275">
        <v>-4.7290560000000002E-2</v>
      </c>
      <c r="W3275">
        <v>0.1749984</v>
      </c>
      <c r="X3275">
        <v>0.98343239999999998</v>
      </c>
      <c r="Y3275">
        <v>-3.3843749999999999E-2</v>
      </c>
      <c r="Z3275">
        <v>1.29692E-3</v>
      </c>
      <c r="AA3275">
        <v>0.99942629999999999</v>
      </c>
      <c r="AB3275">
        <v>24</v>
      </c>
      <c r="AC3275">
        <v>20.619699999999899</v>
      </c>
      <c r="AD3275">
        <v>-1.1108014430319999</v>
      </c>
      <c r="AE3275">
        <v>0.60439999999999805</v>
      </c>
      <c r="AF3275">
        <v>-0.70527819052635798</v>
      </c>
      <c r="AG3275">
        <v>-1.1108014430319999</v>
      </c>
      <c r="AH3275">
        <v>20.5568198486345</v>
      </c>
      <c r="AI3275">
        <v>93.0911923084617</v>
      </c>
      <c r="AJ3275">
        <v>91.964974155359599</v>
      </c>
      <c r="AK3275">
        <v>20.5988868500481</v>
      </c>
      <c r="AL3275">
        <v>79.921435625720804</v>
      </c>
      <c r="AM3275">
        <v>92.753075743393794</v>
      </c>
      <c r="AN3275">
        <v>1.0000000612187101</v>
      </c>
    </row>
    <row r="3276" spans="1:40" x14ac:dyDescent="0.25">
      <c r="A3276" t="str">
        <f>"20190304155657020"</f>
        <v>20190304155657020</v>
      </c>
      <c r="B3276" t="str">
        <f>"1551686217007769"</f>
        <v>1551686217007769</v>
      </c>
      <c r="C3276" t="s">
        <v>40</v>
      </c>
      <c r="D3276">
        <v>4.4566049999999997</v>
      </c>
      <c r="E3276">
        <v>0.50065300000000001</v>
      </c>
      <c r="F3276" t="s">
        <v>64</v>
      </c>
      <c r="G3276">
        <v>-434.73430000000002</v>
      </c>
      <c r="H3276" s="1">
        <v>4.3915530000000002E-6</v>
      </c>
      <c r="I3276">
        <v>213.75729999999999</v>
      </c>
      <c r="J3276">
        <v>-455.45960000000002</v>
      </c>
      <c r="K3276">
        <v>1.1107769999999999</v>
      </c>
      <c r="L3276">
        <v>213.09309999999999</v>
      </c>
      <c r="M3276">
        <v>0.99993259999999995</v>
      </c>
      <c r="N3276">
        <v>-1.0994220000000001E-2</v>
      </c>
      <c r="O3276">
        <v>-3.7662009999999998E-3</v>
      </c>
      <c r="P3276">
        <v>0.98547289999999998</v>
      </c>
      <c r="Q3276">
        <v>0.1640431</v>
      </c>
      <c r="R3276">
        <v>4.3968229999999997E-2</v>
      </c>
      <c r="S3276">
        <v>3.0669249999999999</v>
      </c>
      <c r="T3276">
        <v>-0.16237370000000001</v>
      </c>
      <c r="U3276">
        <v>9.7106929999999994E-2</v>
      </c>
      <c r="V3276">
        <v>-4.8003839999999999E-2</v>
      </c>
      <c r="W3276">
        <v>0.17477679999999901</v>
      </c>
      <c r="X3276">
        <v>0.98343720000000001</v>
      </c>
      <c r="Y3276">
        <v>-3.5348039999999997E-2</v>
      </c>
      <c r="Z3276">
        <v>1.287201E-3</v>
      </c>
      <c r="AA3276">
        <v>0.99937419999999999</v>
      </c>
      <c r="AB3276">
        <v>24</v>
      </c>
      <c r="AC3276">
        <v>20.725300000000001</v>
      </c>
      <c r="AD3276">
        <v>-1.110772608447</v>
      </c>
      <c r="AE3276">
        <v>0.66419999999999302</v>
      </c>
      <c r="AF3276">
        <v>-0.74013185018396899</v>
      </c>
      <c r="AG3276">
        <v>-1.110772608447</v>
      </c>
      <c r="AH3276">
        <v>20.6633582877622</v>
      </c>
      <c r="AI3276">
        <v>93.075043104020693</v>
      </c>
      <c r="AJ3276">
        <v>92.051375641276096</v>
      </c>
      <c r="AK3276">
        <v>20.7064238020902</v>
      </c>
      <c r="AL3276">
        <v>79.934330613237606</v>
      </c>
      <c r="AM3276">
        <v>92.794521226564001</v>
      </c>
      <c r="AN3276">
        <v>1.0000000124084101</v>
      </c>
    </row>
    <row r="3277" spans="1:40" x14ac:dyDescent="0.25">
      <c r="A3277" t="str">
        <f>"20190304155657039"</f>
        <v>20190304155657039</v>
      </c>
      <c r="B3277" t="str">
        <f>"1551686217038026"</f>
        <v>1551686217038026</v>
      </c>
      <c r="C3277" t="s">
        <v>40</v>
      </c>
      <c r="D3277">
        <v>4.4435500000000001</v>
      </c>
      <c r="E3277">
        <v>0.50042880000000001</v>
      </c>
      <c r="F3277" t="s">
        <v>64</v>
      </c>
      <c r="G3277">
        <v>-434.49419999999998</v>
      </c>
      <c r="H3277" s="1">
        <v>4.2808429999999999E-6</v>
      </c>
      <c r="I3277">
        <v>213.8058</v>
      </c>
      <c r="J3277">
        <v>-455.24540000000002</v>
      </c>
      <c r="K3277">
        <v>1.1107590000000001</v>
      </c>
      <c r="L3277">
        <v>213.09350000000001</v>
      </c>
      <c r="M3277">
        <v>0.99993679999999996</v>
      </c>
      <c r="N3277">
        <v>-1.091665E-2</v>
      </c>
      <c r="O3277">
        <v>-2.755815E-3</v>
      </c>
      <c r="P3277">
        <v>0.98534259999999996</v>
      </c>
      <c r="Q3277">
        <v>0.16440489999999999</v>
      </c>
      <c r="R3277">
        <v>4.5508890000000003E-2</v>
      </c>
      <c r="S3277">
        <v>3.0666199999999999</v>
      </c>
      <c r="T3277">
        <v>-0.1624736</v>
      </c>
      <c r="U3277">
        <v>0.10424799999999999</v>
      </c>
      <c r="V3277">
        <v>-4.85453E-2</v>
      </c>
      <c r="W3277">
        <v>0.17506169999999999</v>
      </c>
      <c r="X3277">
        <v>0.98335989999999995</v>
      </c>
      <c r="Y3277">
        <v>-3.6664679999999998E-2</v>
      </c>
      <c r="Z3277">
        <v>1.2864759999999999E-3</v>
      </c>
      <c r="AA3277">
        <v>0.99932679999999996</v>
      </c>
      <c r="AB3277">
        <v>24</v>
      </c>
      <c r="AC3277">
        <v>20.751200000000001</v>
      </c>
      <c r="AD3277">
        <v>-1.110754719157</v>
      </c>
      <c r="AE3277">
        <v>0.71229999999999805</v>
      </c>
      <c r="AF3277">
        <v>-0.76729132998258998</v>
      </c>
      <c r="AG3277">
        <v>-1.110754719157</v>
      </c>
      <c r="AH3277">
        <v>20.689947723969699</v>
      </c>
      <c r="AI3277">
        <v>93.070908118889804</v>
      </c>
      <c r="AJ3277">
        <v>92.123853475286793</v>
      </c>
      <c r="AK3277">
        <v>20.733944363092</v>
      </c>
      <c r="AL3277">
        <v>79.917750998297294</v>
      </c>
      <c r="AM3277">
        <v>92.826213041890497</v>
      </c>
      <c r="AN3277">
        <v>0.99999996894349397</v>
      </c>
    </row>
    <row r="3278" spans="1:40" x14ac:dyDescent="0.25">
      <c r="A3278" t="str">
        <f>"20190304155657062"</f>
        <v>20190304155657062</v>
      </c>
      <c r="B3278" t="str">
        <f>"1551686217057545"</f>
        <v>1551686217057545</v>
      </c>
      <c r="C3278" t="s">
        <v>40</v>
      </c>
      <c r="D3278">
        <v>4.3960790000000003</v>
      </c>
      <c r="E3278">
        <v>0.5003225</v>
      </c>
      <c r="F3278" t="s">
        <v>64</v>
      </c>
      <c r="G3278">
        <v>-434.0265</v>
      </c>
      <c r="H3278" s="1">
        <v>4.0688839999999997E-6</v>
      </c>
      <c r="I3278">
        <v>213.858</v>
      </c>
      <c r="J3278">
        <v>-455.00959999999998</v>
      </c>
      <c r="K3278">
        <v>1.110741</v>
      </c>
      <c r="L3278">
        <v>213.0941</v>
      </c>
      <c r="M3278">
        <v>0.99994000000000005</v>
      </c>
      <c r="N3278">
        <v>-1.083105E-2</v>
      </c>
      <c r="O3278">
        <v>-1.6601719999999999E-3</v>
      </c>
      <c r="P3278">
        <v>0.98510580000000003</v>
      </c>
      <c r="Q3278">
        <v>0.16541420000000001</v>
      </c>
      <c r="R3278">
        <v>4.6951979999999997E-2</v>
      </c>
      <c r="S3278">
        <v>3.0663149999999999</v>
      </c>
      <c r="T3278">
        <v>-0.1605142</v>
      </c>
      <c r="U3278">
        <v>0.11047360000000001</v>
      </c>
      <c r="V3278">
        <v>-4.8904740000000002E-2</v>
      </c>
      <c r="W3278">
        <v>0.17598559999999999</v>
      </c>
      <c r="X3278">
        <v>0.98317719999999997</v>
      </c>
      <c r="Y3278">
        <v>-3.7600420000000002E-2</v>
      </c>
      <c r="Z3278">
        <v>1.255873E-3</v>
      </c>
      <c r="AA3278">
        <v>0.99929210000000002</v>
      </c>
      <c r="AB3278">
        <v>24</v>
      </c>
      <c r="AC3278">
        <v>20.983099999999901</v>
      </c>
      <c r="AD3278">
        <v>-1.110736931116</v>
      </c>
      <c r="AE3278">
        <v>0.76390000000000602</v>
      </c>
      <c r="AF3278">
        <v>-0.79650760727452297</v>
      </c>
      <c r="AG3278">
        <v>-1.110736931116</v>
      </c>
      <c r="AH3278">
        <v>20.923251427551602</v>
      </c>
      <c r="AI3278">
        <v>93.036570236326</v>
      </c>
      <c r="AJ3278">
        <v>92.180086513599505</v>
      </c>
      <c r="AK3278">
        <v>20.967847080688301</v>
      </c>
      <c r="AL3278">
        <v>79.863981028210304</v>
      </c>
      <c r="AM3278">
        <v>92.8476328319163</v>
      </c>
      <c r="AN3278">
        <v>1.00000000580083</v>
      </c>
    </row>
    <row r="3279" spans="1:40" x14ac:dyDescent="0.25">
      <c r="A3279" t="str">
        <f>"20190304155657083"</f>
        <v>20190304155657083</v>
      </c>
      <c r="B3279" t="str">
        <f>"1551686217078042"</f>
        <v>1551686217078042</v>
      </c>
      <c r="C3279" t="s">
        <v>40</v>
      </c>
      <c r="D3279">
        <v>4.4150369999999999</v>
      </c>
      <c r="E3279">
        <v>0.50022169999999999</v>
      </c>
      <c r="F3279" t="s">
        <v>64</v>
      </c>
      <c r="G3279">
        <v>-433.32229999999998</v>
      </c>
      <c r="H3279" s="1">
        <v>3.751422E-6</v>
      </c>
      <c r="I3279">
        <v>213.917</v>
      </c>
      <c r="J3279">
        <v>-454.76710000000003</v>
      </c>
      <c r="K3279">
        <v>1.1107199999999999</v>
      </c>
      <c r="L3279">
        <v>213.095</v>
      </c>
      <c r="M3279">
        <v>0.9999422</v>
      </c>
      <c r="N3279">
        <v>-1.074377E-2</v>
      </c>
      <c r="O3279">
        <v>-5.4867960000000004E-4</v>
      </c>
      <c r="P3279">
        <v>0.98492360000000001</v>
      </c>
      <c r="Q3279">
        <v>0.16608709999999999</v>
      </c>
      <c r="R3279">
        <v>4.8381420000000001E-2</v>
      </c>
      <c r="S3279">
        <v>3.0661619999999998</v>
      </c>
      <c r="T3279">
        <v>-0.15703629999999999</v>
      </c>
      <c r="U3279">
        <v>0.1163483</v>
      </c>
      <c r="V3279">
        <v>-4.9235149999999998E-2</v>
      </c>
      <c r="W3279">
        <v>0.17657229999999999</v>
      </c>
      <c r="X3279">
        <v>0.98305549999999997</v>
      </c>
      <c r="Y3279">
        <v>-3.8405630000000003E-2</v>
      </c>
      <c r="Z3279">
        <v>1.21123E-3</v>
      </c>
      <c r="AA3279">
        <v>0.99926150000000002</v>
      </c>
      <c r="AB3279">
        <v>24</v>
      </c>
      <c r="AC3279">
        <v>21.444800000000001</v>
      </c>
      <c r="AD3279">
        <v>-1.110716248578</v>
      </c>
      <c r="AE3279">
        <v>0.82200000000000195</v>
      </c>
      <c r="AF3279">
        <v>-0.83153943141884001</v>
      </c>
      <c r="AG3279">
        <v>-1.110716248578</v>
      </c>
      <c r="AH3279">
        <v>21.3870561514839</v>
      </c>
      <c r="AI3279">
        <v>92.970689954569295</v>
      </c>
      <c r="AJ3279">
        <v>92.226567031016401</v>
      </c>
      <c r="AK3279">
        <v>21.4320162196091</v>
      </c>
      <c r="AL3279">
        <v>79.829830715665693</v>
      </c>
      <c r="AM3279">
        <v>92.867194325227402</v>
      </c>
      <c r="AN3279">
        <v>0.99999999660153105</v>
      </c>
    </row>
    <row r="3280" spans="1:40" x14ac:dyDescent="0.25">
      <c r="A3280" t="str">
        <f>"20190304155657106"</f>
        <v>20190304155657106</v>
      </c>
      <c r="B3280" t="str">
        <f>"1551686217097561"</f>
        <v>1551686217097561</v>
      </c>
      <c r="C3280" t="s">
        <v>40</v>
      </c>
      <c r="D3280">
        <v>4.4314299999999998</v>
      </c>
      <c r="E3280">
        <v>0.50012900000000005</v>
      </c>
      <c r="F3280" t="s">
        <v>64</v>
      </c>
      <c r="G3280">
        <v>-432.7124</v>
      </c>
      <c r="H3280" s="1">
        <v>3.476657E-6</v>
      </c>
      <c r="I3280">
        <v>213.96639999999999</v>
      </c>
      <c r="J3280">
        <v>-454.52789999999999</v>
      </c>
      <c r="K3280">
        <v>1.1107009999999999</v>
      </c>
      <c r="L3280">
        <v>213.09610000000001</v>
      </c>
      <c r="M3280">
        <v>0.99994309999999997</v>
      </c>
      <c r="N3280">
        <v>-1.0660330000000001E-2</v>
      </c>
      <c r="O3280">
        <v>5.3149480000000003E-4</v>
      </c>
      <c r="P3280">
        <v>0.9846876</v>
      </c>
      <c r="Q3280">
        <v>0.16705819999999999</v>
      </c>
      <c r="R3280">
        <v>4.982031E-2</v>
      </c>
      <c r="S3280">
        <v>3.065979</v>
      </c>
      <c r="T3280">
        <v>-0.15440879999999901</v>
      </c>
      <c r="U3280">
        <v>0.1211395</v>
      </c>
      <c r="V3280">
        <v>-4.9605379999999998E-2</v>
      </c>
      <c r="W3280">
        <v>0.17746020000000001</v>
      </c>
      <c r="X3280">
        <v>0.982877</v>
      </c>
      <c r="Y3280">
        <v>-3.8889720000000003E-2</v>
      </c>
      <c r="Z3280">
        <v>1.1647370000000001E-3</v>
      </c>
      <c r="AA3280">
        <v>0.99924279999999999</v>
      </c>
      <c r="AB3280">
        <v>24</v>
      </c>
      <c r="AC3280">
        <v>21.815499999999901</v>
      </c>
      <c r="AD3280">
        <v>-1.1106975233430001</v>
      </c>
      <c r="AE3280">
        <v>0.87029999999998597</v>
      </c>
      <c r="AF3280">
        <v>-0.85648777129102005</v>
      </c>
      <c r="AG3280">
        <v>-1.1106975233430001</v>
      </c>
      <c r="AH3280">
        <v>21.759644719225001</v>
      </c>
      <c r="AI3280">
        <v>92.919807989649897</v>
      </c>
      <c r="AJ3280">
        <v>92.254072411347707</v>
      </c>
      <c r="AK3280">
        <v>21.804801273976999</v>
      </c>
      <c r="AL3280">
        <v>79.778141615904403</v>
      </c>
      <c r="AM3280">
        <v>92.8892419076046</v>
      </c>
      <c r="AN3280">
        <v>1.00000000671899</v>
      </c>
    </row>
    <row r="3281" spans="1:40" x14ac:dyDescent="0.25">
      <c r="A3281" t="str">
        <f>"20190304155657128"</f>
        <v>20190304155657128</v>
      </c>
      <c r="B3281" t="str">
        <f>"1551686217118057"</f>
        <v>1551686217118057</v>
      </c>
      <c r="C3281" t="s">
        <v>40</v>
      </c>
      <c r="D3281">
        <v>4.602233</v>
      </c>
      <c r="E3281">
        <v>0.50035209999999997</v>
      </c>
      <c r="F3281" t="s">
        <v>64</v>
      </c>
      <c r="G3281">
        <v>-431.96980000000002</v>
      </c>
      <c r="H3281" s="1">
        <v>3.1423730000000001E-6</v>
      </c>
      <c r="I3281">
        <v>214.0232</v>
      </c>
      <c r="J3281">
        <v>-454.28230000000002</v>
      </c>
      <c r="K3281">
        <v>1.1106799999999999</v>
      </c>
      <c r="L3281">
        <v>213.0975</v>
      </c>
      <c r="M3281">
        <v>0.99994280000000002</v>
      </c>
      <c r="N3281">
        <v>-1.0577049999999999E-2</v>
      </c>
      <c r="O3281">
        <v>1.6263849999999999E-3</v>
      </c>
      <c r="P3281">
        <v>0.98453939999999995</v>
      </c>
      <c r="Q3281">
        <v>0.16777899999999901</v>
      </c>
      <c r="R3281">
        <v>5.0322270000000002E-2</v>
      </c>
      <c r="S3281">
        <v>3.065887</v>
      </c>
      <c r="T3281">
        <v>-0.1509559</v>
      </c>
      <c r="U3281">
        <v>0.12600710000000001</v>
      </c>
      <c r="V3281">
        <v>-4.9025020000000002E-2</v>
      </c>
      <c r="W3281">
        <v>0.1781007</v>
      </c>
      <c r="X3281">
        <v>0.98279019999999995</v>
      </c>
      <c r="Y3281">
        <v>-3.9383210000000002E-2</v>
      </c>
      <c r="Z3281">
        <v>1.114283E-3</v>
      </c>
      <c r="AA3281">
        <v>0.99922350000000004</v>
      </c>
      <c r="AB3281">
        <v>24</v>
      </c>
      <c r="AC3281">
        <v>22.3125</v>
      </c>
      <c r="AD3281">
        <v>-1.1106768576270001</v>
      </c>
      <c r="AE3281">
        <v>0.92570000000000596</v>
      </c>
      <c r="AF3281">
        <v>-0.88721340809717597</v>
      </c>
      <c r="AG3281">
        <v>-1.1106768576270001</v>
      </c>
      <c r="AH3281">
        <v>22.258916128640799</v>
      </c>
      <c r="AI3281">
        <v>92.854316644520495</v>
      </c>
      <c r="AJ3281">
        <v>92.282532041974207</v>
      </c>
      <c r="AK3281">
        <v>22.304261878292301</v>
      </c>
      <c r="AL3281">
        <v>79.740848969157497</v>
      </c>
      <c r="AM3281">
        <v>92.855747169083898</v>
      </c>
      <c r="AN3281">
        <v>0.99999994457126296</v>
      </c>
    </row>
    <row r="3282" spans="1:40" x14ac:dyDescent="0.25">
      <c r="A3282" t="str">
        <f>"20190304155657151"</f>
        <v>20190304155657151</v>
      </c>
      <c r="B3282" t="str">
        <f>"1551686217148313"</f>
        <v>1551686217148313</v>
      </c>
      <c r="C3282" t="s">
        <v>40</v>
      </c>
      <c r="D3282">
        <v>4.4278250000000003</v>
      </c>
      <c r="E3282">
        <v>0.55371139999999996</v>
      </c>
      <c r="F3282" t="s">
        <v>64</v>
      </c>
      <c r="G3282">
        <v>-431.28539999999998</v>
      </c>
      <c r="H3282" s="1">
        <v>2.8373919999999999E-6</v>
      </c>
      <c r="I3282">
        <v>214.04</v>
      </c>
      <c r="J3282">
        <v>-454.04509999999999</v>
      </c>
      <c r="K3282">
        <v>1.110652</v>
      </c>
      <c r="L3282">
        <v>213.09899999999999</v>
      </c>
      <c r="M3282">
        <v>0.99994139999999998</v>
      </c>
      <c r="N3282">
        <v>-1.049463E-2</v>
      </c>
      <c r="O3282">
        <v>2.6705610000000001E-3</v>
      </c>
      <c r="P3282">
        <v>0.98447070000000003</v>
      </c>
      <c r="Q3282">
        <v>0.1682794</v>
      </c>
      <c r="R3282">
        <v>4.9994379999999998E-2</v>
      </c>
      <c r="S3282">
        <v>3.065979</v>
      </c>
      <c r="T3282">
        <v>-0.14807670000000001</v>
      </c>
      <c r="U3282">
        <v>0.12565609999999999</v>
      </c>
      <c r="V3282">
        <v>-4.7664100000000001E-2</v>
      </c>
      <c r="W3282">
        <v>0.17852399999999999</v>
      </c>
      <c r="X3282">
        <v>0.9827804</v>
      </c>
      <c r="Y3282">
        <v>-3.8228760000000001E-2</v>
      </c>
      <c r="Z3282">
        <v>1.0222219999999999E-3</v>
      </c>
      <c r="AA3282">
        <v>0.9992685</v>
      </c>
      <c r="AB3282">
        <v>24</v>
      </c>
      <c r="AC3282">
        <v>22.759699999999999</v>
      </c>
      <c r="AD3282">
        <v>-1.110649162608</v>
      </c>
      <c r="AE3282">
        <v>0.94099999999997397</v>
      </c>
      <c r="AF3282">
        <v>-0.878124590227508</v>
      </c>
      <c r="AG3282">
        <v>-1.110649162608</v>
      </c>
      <c r="AH3282">
        <v>22.7081485101737</v>
      </c>
      <c r="AI3282">
        <v>92.798001228068202</v>
      </c>
      <c r="AJ3282">
        <v>92.214525617754504</v>
      </c>
      <c r="AK3282">
        <v>22.7522450127118</v>
      </c>
      <c r="AL3282">
        <v>79.716201222810994</v>
      </c>
      <c r="AM3282">
        <v>92.776625942800095</v>
      </c>
      <c r="AN3282">
        <v>0.99999999981448495</v>
      </c>
    </row>
    <row r="3283" spans="1:40" x14ac:dyDescent="0.25">
      <c r="A3283" t="str">
        <f>"20190304155657172"</f>
        <v>20190304155657172</v>
      </c>
      <c r="B3283" t="str">
        <f>"1551686217167833"</f>
        <v>1551686217167833</v>
      </c>
      <c r="C3283" t="s">
        <v>40</v>
      </c>
      <c r="D3283">
        <v>4.3387890000000002</v>
      </c>
      <c r="E3283">
        <v>0.55830459999999904</v>
      </c>
      <c r="F3283" t="s">
        <v>68</v>
      </c>
      <c r="G3283">
        <v>-256.4674</v>
      </c>
      <c r="H3283">
        <v>1.3511709999999999</v>
      </c>
      <c r="I3283">
        <v>193.99760000000001</v>
      </c>
      <c r="J3283">
        <v>-453.8073</v>
      </c>
      <c r="K3283">
        <v>1.110627</v>
      </c>
      <c r="L3283">
        <v>213.10079999999999</v>
      </c>
      <c r="M3283">
        <v>0.99993900000000002</v>
      </c>
      <c r="N3283">
        <v>-1.041429E-2</v>
      </c>
      <c r="O3283">
        <v>3.7030629999999999E-3</v>
      </c>
      <c r="P3283">
        <v>0.98457240000000001</v>
      </c>
      <c r="Q3283">
        <v>0.16778309999999999</v>
      </c>
      <c r="R3283">
        <v>4.9660469999999998E-2</v>
      </c>
      <c r="S3283">
        <v>3.0617679999999998</v>
      </c>
      <c r="T3283">
        <v>3.7271980000000001E-3</v>
      </c>
      <c r="U3283">
        <v>-0.29600520000000002</v>
      </c>
      <c r="V3283">
        <v>-4.6307559999999998E-2</v>
      </c>
      <c r="W3283">
        <v>0.17795339999999901</v>
      </c>
      <c r="X3283">
        <v>0.98294870000000001</v>
      </c>
      <c r="Y3283">
        <v>9.9914959999999997E-2</v>
      </c>
      <c r="Z3283">
        <v>-4.1784899999999998E-4</v>
      </c>
      <c r="AA3283">
        <v>0.99499590000000004</v>
      </c>
      <c r="AB3283">
        <v>24</v>
      </c>
      <c r="AC3283">
        <v>197.3399</v>
      </c>
      <c r="AD3283">
        <v>0.24054399999999901</v>
      </c>
      <c r="AE3283">
        <v>-19.103199999999902</v>
      </c>
      <c r="AF3283">
        <v>19.833841462019102</v>
      </c>
      <c r="AG3283">
        <v>0.24054399999999901</v>
      </c>
      <c r="AH3283">
        <v>197.26751225818401</v>
      </c>
      <c r="AI3283">
        <v>89.930485198313093</v>
      </c>
      <c r="AJ3283">
        <v>84.258612431552905</v>
      </c>
      <c r="AK3283">
        <v>198.26222666229</v>
      </c>
      <c r="AL3283">
        <v>79.749425958056506</v>
      </c>
      <c r="AM3283">
        <v>92.697259246594598</v>
      </c>
      <c r="AN3283">
        <v>0.99999997475820102</v>
      </c>
    </row>
    <row r="3284" spans="1:40" x14ac:dyDescent="0.25">
      <c r="A3284" t="str">
        <f>"20190304155657195"</f>
        <v>20190304155657195</v>
      </c>
      <c r="B3284" t="str">
        <f>"1551686217188330"</f>
        <v>1551686217188330</v>
      </c>
      <c r="C3284" t="s">
        <v>40</v>
      </c>
      <c r="D3284">
        <v>4.3156540000000003</v>
      </c>
      <c r="E3284">
        <v>0.56014430000000004</v>
      </c>
      <c r="F3284" t="s">
        <v>69</v>
      </c>
      <c r="G3284">
        <v>-168.4194</v>
      </c>
      <c r="H3284">
        <v>2.426285</v>
      </c>
      <c r="I3284">
        <v>181.99940000000001</v>
      </c>
      <c r="J3284">
        <v>-453.55869999999999</v>
      </c>
      <c r="K3284">
        <v>1.1106069999999999</v>
      </c>
      <c r="L3284">
        <v>213.10300000000001</v>
      </c>
      <c r="M3284">
        <v>0.99993520000000002</v>
      </c>
      <c r="N3284">
        <v>-1.033711E-2</v>
      </c>
      <c r="O3284">
        <v>4.7711669999999998E-3</v>
      </c>
      <c r="P3284">
        <v>0.98469139999999999</v>
      </c>
      <c r="Q3284">
        <v>0.16711589999999901</v>
      </c>
      <c r="R3284">
        <v>4.9550629999999998E-2</v>
      </c>
      <c r="S3284">
        <v>3.0614319999999999</v>
      </c>
      <c r="T3284">
        <v>1.4113779999999999E-2</v>
      </c>
      <c r="U3284">
        <v>-0.33363340000000002</v>
      </c>
      <c r="V3284">
        <v>-4.5140470000000002E-2</v>
      </c>
      <c r="W3284">
        <v>0.17721479999999901</v>
      </c>
      <c r="X3284">
        <v>0.98313640000000002</v>
      </c>
      <c r="Y3284">
        <v>0.1130811</v>
      </c>
      <c r="Z3284">
        <v>-2.5520669999999998E-4</v>
      </c>
      <c r="AA3284">
        <v>0.99358570000000002</v>
      </c>
      <c r="AB3284">
        <v>24</v>
      </c>
      <c r="AC3284">
        <v>285.13929999999999</v>
      </c>
      <c r="AD3284">
        <v>1.3156779999999999</v>
      </c>
      <c r="AE3284">
        <v>-31.103599999999901</v>
      </c>
      <c r="AF3284">
        <v>32.463082805595</v>
      </c>
      <c r="AG3284">
        <v>1.3156779999999999</v>
      </c>
      <c r="AH3284">
        <v>284.981649732515</v>
      </c>
      <c r="AI3284">
        <v>89.737183459891199</v>
      </c>
      <c r="AJ3284">
        <v>83.501285087018005</v>
      </c>
      <c r="AK3284">
        <v>286.82768945502602</v>
      </c>
      <c r="AL3284">
        <v>79.792428006220504</v>
      </c>
      <c r="AM3284">
        <v>92.628875526950594</v>
      </c>
      <c r="AN3284">
        <v>0.99999996418790904</v>
      </c>
    </row>
    <row r="3285" spans="1:40" x14ac:dyDescent="0.25">
      <c r="A3285" t="str">
        <f>"20190304155657220"</f>
        <v>20190304155657220</v>
      </c>
      <c r="B3285" t="str">
        <f>"1551686217217611"</f>
        <v>1551686217217611</v>
      </c>
      <c r="C3285" t="s">
        <v>40</v>
      </c>
      <c r="D3285">
        <v>4.3419780000000001</v>
      </c>
      <c r="E3285">
        <v>0.56193919999999997</v>
      </c>
      <c r="F3285" t="s">
        <v>70</v>
      </c>
      <c r="G3285">
        <v>-253.10990000000001</v>
      </c>
      <c r="H3285">
        <v>2.228396</v>
      </c>
      <c r="I3285">
        <v>190.29580000000001</v>
      </c>
      <c r="J3285">
        <v>-453.28449999999998</v>
      </c>
      <c r="K3285">
        <v>1.110582</v>
      </c>
      <c r="L3285">
        <v>213.10560000000001</v>
      </c>
      <c r="M3285">
        <v>0.99992979999999998</v>
      </c>
      <c r="N3285">
        <v>-1.0255530000000001E-2</v>
      </c>
      <c r="O3285">
        <v>5.9381410000000001E-3</v>
      </c>
      <c r="P3285">
        <v>0.98472150000000003</v>
      </c>
      <c r="Q3285">
        <v>0.16687639999999901</v>
      </c>
      <c r="R3285">
        <v>4.9757860000000001E-2</v>
      </c>
      <c r="S3285">
        <v>3.0612789999999999</v>
      </c>
      <c r="T3285">
        <v>1.7072199999999999E-2</v>
      </c>
      <c r="U3285">
        <v>-0.34831240000000002</v>
      </c>
      <c r="V3285">
        <v>-4.4195100000000001E-2</v>
      </c>
      <c r="W3285">
        <v>0.17689849999999999</v>
      </c>
      <c r="X3285">
        <v>0.98323640000000001</v>
      </c>
      <c r="Y3285">
        <v>0.11894979999999999</v>
      </c>
      <c r="Z3285">
        <v>-1.875987E-4</v>
      </c>
      <c r="AA3285">
        <v>0.99290029999999996</v>
      </c>
      <c r="AB3285">
        <v>24</v>
      </c>
      <c r="AC3285">
        <v>200.1746</v>
      </c>
      <c r="AD3285">
        <v>1.1178139999999901</v>
      </c>
      <c r="AE3285">
        <v>-22.809799999999999</v>
      </c>
      <c r="AF3285">
        <v>23.997386564554301</v>
      </c>
      <c r="AG3285">
        <v>1.1178139999999901</v>
      </c>
      <c r="AH3285">
        <v>200.02945782654601</v>
      </c>
      <c r="AI3285">
        <v>89.682099858440097</v>
      </c>
      <c r="AJ3285">
        <v>83.1589627137446</v>
      </c>
      <c r="AK3285">
        <v>201.46689074994299</v>
      </c>
      <c r="AL3285">
        <v>79.8108424909923</v>
      </c>
      <c r="AM3285">
        <v>92.573632792409498</v>
      </c>
      <c r="AN3285">
        <v>1.0000000522256001</v>
      </c>
    </row>
    <row r="3286" spans="1:40" x14ac:dyDescent="0.25">
      <c r="A3286" t="str">
        <f>"20190304155657242"</f>
        <v>20190304155657242</v>
      </c>
      <c r="B3286" t="str">
        <f>"1551686217238105"</f>
        <v>1551686217238105</v>
      </c>
      <c r="C3286" t="s">
        <v>40</v>
      </c>
      <c r="D3286">
        <v>4.2922949999999904</v>
      </c>
      <c r="E3286">
        <v>0.56263019999999997</v>
      </c>
      <c r="F3286" t="s">
        <v>69</v>
      </c>
      <c r="G3286">
        <v>-168.4204</v>
      </c>
      <c r="H3286">
        <v>2.882412</v>
      </c>
      <c r="I3286">
        <v>179.41249999999999</v>
      </c>
      <c r="J3286">
        <v>-453.05169999999998</v>
      </c>
      <c r="K3286">
        <v>1.1105719999999999</v>
      </c>
      <c r="L3286">
        <v>213.10810000000001</v>
      </c>
      <c r="M3286">
        <v>0.99992420000000004</v>
      </c>
      <c r="N3286">
        <v>-1.0190299999999999E-2</v>
      </c>
      <c r="O3286">
        <v>6.92072E-3</v>
      </c>
      <c r="P3286">
        <v>0.98475109999999999</v>
      </c>
      <c r="Q3286">
        <v>0.16659979999999999</v>
      </c>
      <c r="R3286">
        <v>5.0097910000000002E-2</v>
      </c>
      <c r="S3286">
        <v>3.0616150000000002</v>
      </c>
      <c r="T3286">
        <v>1.9043330000000001E-2</v>
      </c>
      <c r="U3286">
        <v>-0.36212159999999999</v>
      </c>
      <c r="V3286">
        <v>-4.3565779999999998E-2</v>
      </c>
      <c r="W3286">
        <v>0.1765592</v>
      </c>
      <c r="X3286">
        <v>0.98332540000000002</v>
      </c>
      <c r="Y3286">
        <v>0.1243302</v>
      </c>
      <c r="Z3286">
        <v>-1.3719780000000001E-4</v>
      </c>
      <c r="AA3286">
        <v>0.99224089999999998</v>
      </c>
      <c r="AB3286">
        <v>25</v>
      </c>
      <c r="AC3286">
        <v>284.63130000000001</v>
      </c>
      <c r="AD3286">
        <v>1.7718400000000001</v>
      </c>
      <c r="AE3286">
        <v>-33.695599999999999</v>
      </c>
      <c r="AF3286">
        <v>35.663385737667603</v>
      </c>
      <c r="AG3286">
        <v>1.7718400000000001</v>
      </c>
      <c r="AH3286">
        <v>284.38040516658299</v>
      </c>
      <c r="AI3286">
        <v>89.645796021356901</v>
      </c>
      <c r="AJ3286">
        <v>82.852005878156703</v>
      </c>
      <c r="AK3286">
        <v>286.61338304756299</v>
      </c>
      <c r="AL3286">
        <v>79.830593154731602</v>
      </c>
      <c r="AM3286">
        <v>92.536804226814894</v>
      </c>
      <c r="AN3286">
        <v>0.99999998528840395</v>
      </c>
    </row>
    <row r="3287" spans="1:40" x14ac:dyDescent="0.25">
      <c r="A3287" t="str">
        <f>"20190304155657262"</f>
        <v>20190304155657262</v>
      </c>
      <c r="B3287" t="str">
        <f>"1551686217257626"</f>
        <v>1551686217257626</v>
      </c>
      <c r="C3287" t="s">
        <v>40</v>
      </c>
      <c r="D3287">
        <v>4.3120649999999996</v>
      </c>
      <c r="E3287">
        <v>0.56259490000000001</v>
      </c>
      <c r="F3287" t="s">
        <v>69</v>
      </c>
      <c r="G3287">
        <v>-168.42060000000001</v>
      </c>
      <c r="H3287">
        <v>3.05491</v>
      </c>
      <c r="I3287">
        <v>179.03469999999999</v>
      </c>
      <c r="J3287">
        <v>-452.82639999999998</v>
      </c>
      <c r="K3287">
        <v>1.1105640000000001</v>
      </c>
      <c r="L3287">
        <v>213.11070000000001</v>
      </c>
      <c r="M3287">
        <v>0.99991779999999997</v>
      </c>
      <c r="N3287">
        <v>-1.0133069999999999E-2</v>
      </c>
      <c r="O3287">
        <v>7.8654220000000004E-3</v>
      </c>
      <c r="P3287">
        <v>0.98471889999999995</v>
      </c>
      <c r="Q3287">
        <v>0.16669929999999999</v>
      </c>
      <c r="R3287">
        <v>5.040207E-2</v>
      </c>
      <c r="S3287">
        <v>3.0615540000000001</v>
      </c>
      <c r="T3287">
        <v>2.0914080000000002E-2</v>
      </c>
      <c r="U3287">
        <v>-0.36650090000000002</v>
      </c>
      <c r="V3287">
        <v>-4.2938999999999998E-2</v>
      </c>
      <c r="W3287">
        <v>0.17660379999999901</v>
      </c>
      <c r="X3287">
        <v>0.98334500000000002</v>
      </c>
      <c r="Y3287">
        <v>0.1266688</v>
      </c>
      <c r="Z3287" s="1">
        <v>-8.0009220000000001E-5</v>
      </c>
      <c r="AA3287">
        <v>0.99194510000000002</v>
      </c>
      <c r="AB3287">
        <v>25</v>
      </c>
      <c r="AC3287">
        <v>284.4058</v>
      </c>
      <c r="AD3287">
        <v>1.9443459999999999</v>
      </c>
      <c r="AE3287">
        <v>-34.076000000000001</v>
      </c>
      <c r="AF3287">
        <v>36.310359087471497</v>
      </c>
      <c r="AG3287">
        <v>1.9443459999999999</v>
      </c>
      <c r="AH3287">
        <v>284.11587465748198</v>
      </c>
      <c r="AI3287">
        <v>89.611065950186997</v>
      </c>
      <c r="AJ3287">
        <v>82.717008902173006</v>
      </c>
      <c r="AK3287">
        <v>286.43333062130603</v>
      </c>
      <c r="AL3287">
        <v>79.827997369177794</v>
      </c>
      <c r="AM3287">
        <v>92.500304157934096</v>
      </c>
      <c r="AN3287">
        <v>1.0000000244602101</v>
      </c>
    </row>
    <row r="3288" spans="1:40" x14ac:dyDescent="0.25">
      <c r="A3288" t="str">
        <f>"20190304155657284"</f>
        <v>20190304155657284</v>
      </c>
      <c r="B3288" t="str">
        <f>"1551686217278123"</f>
        <v>1551686217278123</v>
      </c>
      <c r="C3288" t="s">
        <v>40</v>
      </c>
      <c r="D3288">
        <v>4.2917639999999997</v>
      </c>
      <c r="E3288">
        <v>0.56324669999999999</v>
      </c>
      <c r="F3288" t="s">
        <v>69</v>
      </c>
      <c r="G3288">
        <v>-168.4205</v>
      </c>
      <c r="H3288">
        <v>2.9886910000000002</v>
      </c>
      <c r="I3288">
        <v>179.18780000000001</v>
      </c>
      <c r="J3288">
        <v>-452.57709999999997</v>
      </c>
      <c r="K3288">
        <v>1.110562</v>
      </c>
      <c r="L3288">
        <v>213.1138</v>
      </c>
      <c r="M3288">
        <v>0.99990970000000001</v>
      </c>
      <c r="N3288">
        <v>-1.007707E-2</v>
      </c>
      <c r="O3288">
        <v>8.9045840000000001E-3</v>
      </c>
      <c r="P3288">
        <v>0.98474799999999996</v>
      </c>
      <c r="Q3288">
        <v>0.1663666</v>
      </c>
      <c r="R3288">
        <v>5.092725E-2</v>
      </c>
      <c r="S3288">
        <v>3.0618289999999999</v>
      </c>
      <c r="T3288">
        <v>2.021968E-2</v>
      </c>
      <c r="U3288">
        <v>-0.36520390000000003</v>
      </c>
      <c r="V3288">
        <v>-4.243885E-2</v>
      </c>
      <c r="W3288">
        <v>0.17621789999999901</v>
      </c>
      <c r="X3288">
        <v>0.98343590000000003</v>
      </c>
      <c r="Y3288">
        <v>0.12727479999999999</v>
      </c>
      <c r="Z3288" s="1">
        <v>-7.6789060000000004E-5</v>
      </c>
      <c r="AA3288">
        <v>0.99186750000000001</v>
      </c>
      <c r="AB3288">
        <v>25</v>
      </c>
      <c r="AC3288">
        <v>284.15660000000003</v>
      </c>
      <c r="AD3288">
        <v>1.8781289999999999</v>
      </c>
      <c r="AE3288">
        <v>-33.925999999999902</v>
      </c>
      <c r="AF3288">
        <v>36.453509195117398</v>
      </c>
      <c r="AG3288">
        <v>1.8781289999999999</v>
      </c>
      <c r="AH3288">
        <v>283.830995815466</v>
      </c>
      <c r="AI3288">
        <v>89.623964093295697</v>
      </c>
      <c r="AJ3288">
        <v>82.6813476315195</v>
      </c>
      <c r="AK3288">
        <v>286.16851658905199</v>
      </c>
      <c r="AL3288">
        <v>79.850459715736505</v>
      </c>
      <c r="AM3288">
        <v>92.470989000366501</v>
      </c>
      <c r="AN3288">
        <v>0.99999998683927105</v>
      </c>
    </row>
    <row r="3289" spans="1:40" x14ac:dyDescent="0.25">
      <c r="A3289" t="str">
        <f>"20190304155657307"</f>
        <v>20190304155657307</v>
      </c>
      <c r="B3289" t="str">
        <f>"1551686217298147"</f>
        <v>1551686217298147</v>
      </c>
      <c r="C3289" t="s">
        <v>40</v>
      </c>
      <c r="D3289">
        <v>4.3127219999999999</v>
      </c>
      <c r="E3289">
        <v>0.56375209999999998</v>
      </c>
      <c r="F3289" t="s">
        <v>70</v>
      </c>
      <c r="G3289">
        <v>-252.3836</v>
      </c>
      <c r="H3289">
        <v>2.624978</v>
      </c>
      <c r="I3289">
        <v>189.04490000000001</v>
      </c>
      <c r="J3289">
        <v>-452.32530000000003</v>
      </c>
      <c r="K3289">
        <v>1.1105510000000001</v>
      </c>
      <c r="L3289">
        <v>213.1172</v>
      </c>
      <c r="M3289">
        <v>0.99990040000000002</v>
      </c>
      <c r="N3289">
        <v>-1.002724E-2</v>
      </c>
      <c r="O3289">
        <v>9.9448950000000005E-3</v>
      </c>
      <c r="P3289">
        <v>0.98461430000000005</v>
      </c>
      <c r="Q3289">
        <v>0.1669901</v>
      </c>
      <c r="R3289">
        <v>5.1474359999999997E-2</v>
      </c>
      <c r="S3289">
        <v>3.0615839999999999</v>
      </c>
      <c r="T3289">
        <v>2.3161290000000001E-2</v>
      </c>
      <c r="U3289">
        <v>-0.36808780000000002</v>
      </c>
      <c r="V3289">
        <v>-4.1961760000000001E-2</v>
      </c>
      <c r="W3289">
        <v>0.17679239999999999</v>
      </c>
      <c r="X3289">
        <v>0.98335329999999999</v>
      </c>
      <c r="Y3289">
        <v>0.1292363</v>
      </c>
      <c r="Z3289" s="1">
        <v>1.112605E-5</v>
      </c>
      <c r="AA3289">
        <v>0.99161379999999999</v>
      </c>
      <c r="AB3289">
        <v>25</v>
      </c>
      <c r="AC3289">
        <v>199.9417</v>
      </c>
      <c r="AD3289">
        <v>1.514427</v>
      </c>
      <c r="AE3289">
        <v>-24.072299999999899</v>
      </c>
      <c r="AF3289">
        <v>26.0581347800467</v>
      </c>
      <c r="AG3289">
        <v>1.514427</v>
      </c>
      <c r="AH3289">
        <v>199.68111089623801</v>
      </c>
      <c r="AI3289">
        <v>89.569117417163696</v>
      </c>
      <c r="AJ3289">
        <v>82.5649884748929</v>
      </c>
      <c r="AK3289">
        <v>201.37990447437701</v>
      </c>
      <c r="AL3289">
        <v>79.817018665451698</v>
      </c>
      <c r="AM3289">
        <v>92.443449414883901</v>
      </c>
      <c r="AN3289">
        <v>1.0000000273104701</v>
      </c>
    </row>
    <row r="3290" spans="1:40" x14ac:dyDescent="0.25">
      <c r="A3290" t="str">
        <f>"20190304155657329"</f>
        <v>20190304155657329</v>
      </c>
      <c r="B3290" t="str">
        <f>"1551686217317667"</f>
        <v>1551686217317667</v>
      </c>
      <c r="C3290" t="s">
        <v>40</v>
      </c>
      <c r="D3290">
        <v>4.2986050000000002</v>
      </c>
      <c r="E3290">
        <v>0.56434930000000005</v>
      </c>
      <c r="F3290" t="s">
        <v>70</v>
      </c>
      <c r="G3290">
        <v>-251.9632</v>
      </c>
      <c r="H3290">
        <v>3.030424</v>
      </c>
      <c r="I3290">
        <v>188.87360000000001</v>
      </c>
      <c r="J3290">
        <v>-452.08019999999999</v>
      </c>
      <c r="K3290">
        <v>1.110541</v>
      </c>
      <c r="L3290">
        <v>213.1208</v>
      </c>
      <c r="M3290">
        <v>0.99989030000000001</v>
      </c>
      <c r="N3290">
        <v>-9.9844449999999998E-3</v>
      </c>
      <c r="O3290">
        <v>1.0944499999999999E-2</v>
      </c>
      <c r="P3290">
        <v>0.98443539999999996</v>
      </c>
      <c r="Q3290">
        <v>0.1678974</v>
      </c>
      <c r="R3290">
        <v>5.1938400000000003E-2</v>
      </c>
      <c r="S3290">
        <v>3.0612490000000001</v>
      </c>
      <c r="T3290">
        <v>2.933407E-2</v>
      </c>
      <c r="U3290">
        <v>-0.37040709999999999</v>
      </c>
      <c r="V3290">
        <v>-4.1441270000000002E-2</v>
      </c>
      <c r="W3290">
        <v>0.1776578</v>
      </c>
      <c r="X3290">
        <v>0.98321939999999997</v>
      </c>
      <c r="Y3290">
        <v>0.1309794</v>
      </c>
      <c r="Z3290">
        <v>1.8234910000000001E-4</v>
      </c>
      <c r="AA3290">
        <v>0.99138510000000002</v>
      </c>
      <c r="AB3290">
        <v>25</v>
      </c>
      <c r="AC3290">
        <v>200.11699999999999</v>
      </c>
      <c r="AD3290">
        <v>1.919883</v>
      </c>
      <c r="AE3290">
        <v>-24.2471999999999</v>
      </c>
      <c r="AF3290">
        <v>26.433639435746201</v>
      </c>
      <c r="AG3290">
        <v>1.919883</v>
      </c>
      <c r="AH3290">
        <v>199.82150085634601</v>
      </c>
      <c r="AI3290">
        <v>89.454273667295098</v>
      </c>
      <c r="AJ3290">
        <v>82.464309551166494</v>
      </c>
      <c r="AK3290">
        <v>201.57146486801</v>
      </c>
      <c r="AL3290">
        <v>79.766637413544203</v>
      </c>
      <c r="AM3290">
        <v>92.413505387523799</v>
      </c>
      <c r="AN3290">
        <v>1.0000000306482</v>
      </c>
    </row>
    <row r="3291" spans="1:40" x14ac:dyDescent="0.25">
      <c r="A3291" t="str">
        <f>"20190304155657351"</f>
        <v>20190304155657351</v>
      </c>
      <c r="B3291" t="str">
        <f>"1551686217347923"</f>
        <v>1551686217347923</v>
      </c>
      <c r="C3291" t="s">
        <v>40</v>
      </c>
      <c r="D3291">
        <v>4.2606080000000004</v>
      </c>
      <c r="E3291">
        <v>0.565233599999999</v>
      </c>
      <c r="F3291" t="s">
        <v>70</v>
      </c>
      <c r="G3291">
        <v>-254.0909</v>
      </c>
      <c r="H3291">
        <v>3.3898990000000002</v>
      </c>
      <c r="I3291">
        <v>188.9513</v>
      </c>
      <c r="J3291">
        <v>-451.83909999999997</v>
      </c>
      <c r="K3291">
        <v>1.11053</v>
      </c>
      <c r="L3291">
        <v>213.12450000000001</v>
      </c>
      <c r="M3291">
        <v>0.99987979999999999</v>
      </c>
      <c r="N3291">
        <v>-9.9427509999999997E-3</v>
      </c>
      <c r="O3291">
        <v>1.19068E-2</v>
      </c>
      <c r="P3291">
        <v>0.98442269999999998</v>
      </c>
      <c r="Q3291">
        <v>0.1679525</v>
      </c>
      <c r="R3291">
        <v>5.2003140000000003E-2</v>
      </c>
      <c r="S3291">
        <v>3.0611570000000001</v>
      </c>
      <c r="T3291">
        <v>3.5242799999999998E-2</v>
      </c>
      <c r="U3291">
        <v>-0.37368770000000001</v>
      </c>
      <c r="V3291">
        <v>-4.055363E-2</v>
      </c>
      <c r="W3291">
        <v>0.17767469999999999</v>
      </c>
      <c r="X3291">
        <v>0.9832533</v>
      </c>
      <c r="Y3291">
        <v>0.13298170000000001</v>
      </c>
      <c r="Z3291">
        <v>3.53598E-4</v>
      </c>
      <c r="AA3291">
        <v>0.99111839999999995</v>
      </c>
      <c r="AB3291">
        <v>25</v>
      </c>
      <c r="AC3291">
        <v>197.7482</v>
      </c>
      <c r="AD3291">
        <v>2.279369</v>
      </c>
      <c r="AE3291">
        <v>-24.173200000000001</v>
      </c>
      <c r="AF3291">
        <v>26.5226786007964</v>
      </c>
      <c r="AG3291">
        <v>2.279369</v>
      </c>
      <c r="AH3291">
        <v>197.420497201469</v>
      </c>
      <c r="AI3291">
        <v>89.344395752670806</v>
      </c>
      <c r="AJ3291">
        <v>82.348349182743704</v>
      </c>
      <c r="AK3291">
        <v>199.20718038884701</v>
      </c>
      <c r="AL3291">
        <v>79.7656528744171</v>
      </c>
      <c r="AM3291">
        <v>92.361787810266307</v>
      </c>
      <c r="AN3291">
        <v>0.99999997394357798</v>
      </c>
    </row>
    <row r="3292" spans="1:40" x14ac:dyDescent="0.25">
      <c r="A3292" t="str">
        <f>"20190304155657374"</f>
        <v>20190304155657374</v>
      </c>
      <c r="B3292" t="str">
        <f>"1551686217368419"</f>
        <v>1551686217368419</v>
      </c>
      <c r="C3292" t="s">
        <v>40</v>
      </c>
      <c r="D3292">
        <v>4.3051209999999998</v>
      </c>
      <c r="E3292">
        <v>0.56578799999999996</v>
      </c>
      <c r="F3292" t="s">
        <v>70</v>
      </c>
      <c r="G3292">
        <v>-254.8057</v>
      </c>
      <c r="H3292">
        <v>3.7328809999999999</v>
      </c>
      <c r="I3292">
        <v>188.64769999999999</v>
      </c>
      <c r="J3292">
        <v>-451.59100000000001</v>
      </c>
      <c r="K3292">
        <v>1.1105080000000001</v>
      </c>
      <c r="L3292">
        <v>213.12860000000001</v>
      </c>
      <c r="M3292">
        <v>0.99986830000000004</v>
      </c>
      <c r="N3292">
        <v>-9.9002310000000007E-3</v>
      </c>
      <c r="O3292">
        <v>1.286648E-2</v>
      </c>
      <c r="P3292">
        <v>0.98434069999999996</v>
      </c>
      <c r="Q3292">
        <v>0.16839680000000001</v>
      </c>
      <c r="R3292">
        <v>5.2116419999999997E-2</v>
      </c>
      <c r="S3292">
        <v>3.0605769999999999</v>
      </c>
      <c r="T3292">
        <v>4.0734890000000003E-2</v>
      </c>
      <c r="U3292">
        <v>-0.38020320000000002</v>
      </c>
      <c r="V3292">
        <v>-3.9716090000000003E-2</v>
      </c>
      <c r="W3292">
        <v>0.17808009999999999</v>
      </c>
      <c r="X3292">
        <v>0.98321420000000004</v>
      </c>
      <c r="Y3292">
        <v>0.13603080000000001</v>
      </c>
      <c r="Z3292">
        <v>5.2325679999999999E-4</v>
      </c>
      <c r="AA3292">
        <v>0.99070449999999999</v>
      </c>
      <c r="AB3292">
        <v>25</v>
      </c>
      <c r="AC3292">
        <v>196.78530000000001</v>
      </c>
      <c r="AD3292">
        <v>2.6223730000000001</v>
      </c>
      <c r="AE3292">
        <v>-24.480899999999998</v>
      </c>
      <c r="AF3292">
        <v>27.006208573252302</v>
      </c>
      <c r="AG3292">
        <v>2.6223730000000001</v>
      </c>
      <c r="AH3292">
        <v>196.419661404013</v>
      </c>
      <c r="AI3292">
        <v>89.242225216794793</v>
      </c>
      <c r="AJ3292">
        <v>82.171351453964206</v>
      </c>
      <c r="AK3292">
        <v>198.284884768659</v>
      </c>
      <c r="AL3292">
        <v>79.742049285828102</v>
      </c>
      <c r="AM3292">
        <v>92.313156051788198</v>
      </c>
      <c r="AN3292">
        <v>1.0000000264512601</v>
      </c>
    </row>
    <row r="3293" spans="1:40" x14ac:dyDescent="0.25">
      <c r="A3293" t="str">
        <f>"20190304155657395"</f>
        <v>20190304155657395</v>
      </c>
      <c r="B3293" t="str">
        <f>"1551686217387939"</f>
        <v>1551686217387939</v>
      </c>
      <c r="C3293" t="s">
        <v>40</v>
      </c>
      <c r="D3293">
        <v>4.2850020000000004</v>
      </c>
      <c r="E3293">
        <v>0.56639779999999995</v>
      </c>
      <c r="F3293" t="s">
        <v>70</v>
      </c>
      <c r="G3293">
        <v>-255.0658</v>
      </c>
      <c r="H3293">
        <v>4.0255679999999998</v>
      </c>
      <c r="I3293">
        <v>188.43389999999999</v>
      </c>
      <c r="J3293">
        <v>-451.34949999999998</v>
      </c>
      <c r="K3293">
        <v>1.1104849999999999</v>
      </c>
      <c r="L3293">
        <v>213.1327</v>
      </c>
      <c r="M3293">
        <v>0.99985650000000004</v>
      </c>
      <c r="N3293">
        <v>-9.8629900000000003E-3</v>
      </c>
      <c r="O3293">
        <v>1.3772039999999999E-2</v>
      </c>
      <c r="P3293">
        <v>0.98427609999999999</v>
      </c>
      <c r="Q3293">
        <v>0.1686512</v>
      </c>
      <c r="R3293">
        <v>5.2511389999999998E-2</v>
      </c>
      <c r="S3293">
        <v>3.0603639999999999</v>
      </c>
      <c r="T3293">
        <v>4.5395489999999997E-2</v>
      </c>
      <c r="U3293">
        <v>-0.384552</v>
      </c>
      <c r="V3293">
        <v>-3.9211450000000002E-2</v>
      </c>
      <c r="W3293">
        <v>0.17830019999999999</v>
      </c>
      <c r="X3293">
        <v>0.98319449999999997</v>
      </c>
      <c r="Y3293">
        <v>0.13831959999999999</v>
      </c>
      <c r="Z3293">
        <v>6.7575670000000003E-4</v>
      </c>
      <c r="AA3293">
        <v>0.99038740000000003</v>
      </c>
      <c r="AB3293">
        <v>25</v>
      </c>
      <c r="AC3293">
        <v>196.28370000000001</v>
      </c>
      <c r="AD3293">
        <v>2.9150830000000001</v>
      </c>
      <c r="AE3293">
        <v>-24.698799999999999</v>
      </c>
      <c r="AF3293">
        <v>27.393867958694202</v>
      </c>
      <c r="AG3293">
        <v>2.9150830000000001</v>
      </c>
      <c r="AH3293">
        <v>195.88238236554699</v>
      </c>
      <c r="AI3293">
        <v>89.155614338449197</v>
      </c>
      <c r="AJ3293">
        <v>82.038900186295507</v>
      </c>
      <c r="AK3293">
        <v>197.81008425213699</v>
      </c>
      <c r="AL3293">
        <v>79.729232710900305</v>
      </c>
      <c r="AM3293">
        <v>92.283841695042099</v>
      </c>
      <c r="AN3293">
        <v>0.99999996198069496</v>
      </c>
    </row>
    <row r="3294" spans="1:40" x14ac:dyDescent="0.25">
      <c r="A3294" t="str">
        <f>"20190304155657420"</f>
        <v>20190304155657420</v>
      </c>
      <c r="B3294" t="str">
        <f>"1551686217418195"</f>
        <v>1551686217418195</v>
      </c>
      <c r="C3294" t="s">
        <v>40</v>
      </c>
      <c r="D3294">
        <v>4.232856</v>
      </c>
      <c r="E3294">
        <v>0.5761307</v>
      </c>
      <c r="F3294" t="s">
        <v>70</v>
      </c>
      <c r="G3294">
        <v>-255.31309999999999</v>
      </c>
      <c r="H3294">
        <v>4.3255410000000003</v>
      </c>
      <c r="I3294">
        <v>188.25370000000001</v>
      </c>
      <c r="J3294">
        <v>-451.07740000000001</v>
      </c>
      <c r="K3294">
        <v>1.110452</v>
      </c>
      <c r="L3294">
        <v>213.13749999999999</v>
      </c>
      <c r="M3294">
        <v>0.99984309999999998</v>
      </c>
      <c r="N3294">
        <v>-9.8271179999999993E-3</v>
      </c>
      <c r="O3294">
        <v>1.4745350000000001E-2</v>
      </c>
      <c r="P3294">
        <v>0.98425169999999995</v>
      </c>
      <c r="Q3294">
        <v>0.16851360000000001</v>
      </c>
      <c r="R3294">
        <v>5.3404420000000001E-2</v>
      </c>
      <c r="S3294">
        <v>3.0600589999999999</v>
      </c>
      <c r="T3294">
        <v>5.0186990000000001E-2</v>
      </c>
      <c r="U3294">
        <v>-0.38835140000000001</v>
      </c>
      <c r="V3294">
        <v>-3.9133910000000001E-2</v>
      </c>
      <c r="W3294">
        <v>0.17813029999999999</v>
      </c>
      <c r="X3294">
        <v>0.9832284</v>
      </c>
      <c r="Y3294">
        <v>0.14050270000000001</v>
      </c>
      <c r="Z3294">
        <v>8.3951429999999997E-4</v>
      </c>
      <c r="AA3294">
        <v>0.99007990000000001</v>
      </c>
      <c r="AB3294">
        <v>25</v>
      </c>
      <c r="AC3294">
        <v>195.76429999999999</v>
      </c>
      <c r="AD3294">
        <v>3.2150889999999999</v>
      </c>
      <c r="AE3294">
        <v>-24.883799999999901</v>
      </c>
      <c r="AF3294">
        <v>27.760478000464602</v>
      </c>
      <c r="AG3294">
        <v>3.2150889999999999</v>
      </c>
      <c r="AH3294">
        <v>195.324230836548</v>
      </c>
      <c r="AI3294">
        <v>89.066362032849099</v>
      </c>
      <c r="AJ3294">
        <v>81.911005337455293</v>
      </c>
      <c r="AK3294">
        <v>197.31329425049299</v>
      </c>
      <c r="AL3294">
        <v>79.739125786768298</v>
      </c>
      <c r="AM3294">
        <v>92.279251699196493</v>
      </c>
      <c r="AN3294">
        <v>0.99999997662826801</v>
      </c>
    </row>
    <row r="3295" spans="1:40" x14ac:dyDescent="0.25">
      <c r="A3295" t="str">
        <f>"20190304155657441"</f>
        <v>20190304155657441</v>
      </c>
      <c r="B3295" t="str">
        <f>"1551686217438691"</f>
        <v>1551686217438691</v>
      </c>
      <c r="C3295" t="s">
        <v>40</v>
      </c>
      <c r="D3295">
        <v>4.2341680000000004</v>
      </c>
      <c r="E3295">
        <v>0.57563279999999994</v>
      </c>
      <c r="F3295" t="s">
        <v>71</v>
      </c>
      <c r="G3295">
        <v>-346.37540000000001</v>
      </c>
      <c r="H3295">
        <v>4.5996499999999996</v>
      </c>
      <c r="I3295">
        <v>197.31970000000001</v>
      </c>
      <c r="J3295">
        <v>-450.84050000000002</v>
      </c>
      <c r="K3295">
        <v>1.1104179999999999</v>
      </c>
      <c r="L3295">
        <v>213.14189999999999</v>
      </c>
      <c r="M3295">
        <v>0.99983140000000004</v>
      </c>
      <c r="N3295">
        <v>-9.7996799999999998E-3</v>
      </c>
      <c r="O3295">
        <v>1.553883E-2</v>
      </c>
      <c r="P3295">
        <v>0.98422220000000005</v>
      </c>
      <c r="Q3295">
        <v>0.16861619999999999</v>
      </c>
      <c r="R3295">
        <v>5.3624650000000003E-2</v>
      </c>
      <c r="S3295">
        <v>3.0556030000000001</v>
      </c>
      <c r="T3295">
        <v>0.1018305</v>
      </c>
      <c r="U3295">
        <v>-0.46162409999999998</v>
      </c>
      <c r="V3295">
        <v>-3.8559019999999999E-2</v>
      </c>
      <c r="W3295">
        <v>0.17820910000000001</v>
      </c>
      <c r="X3295">
        <v>0.98323680000000002</v>
      </c>
      <c r="Y3295">
        <v>0.16464989999999999</v>
      </c>
      <c r="Z3295">
        <v>2.582085E-3</v>
      </c>
      <c r="AA3295">
        <v>0.98634869999999997</v>
      </c>
      <c r="AB3295">
        <v>25</v>
      </c>
      <c r="AC3295">
        <v>104.46510000000001</v>
      </c>
      <c r="AD3295">
        <v>3.4892319999999901</v>
      </c>
      <c r="AE3295">
        <v>-15.822199999999899</v>
      </c>
      <c r="AF3295">
        <v>17.424629274835102</v>
      </c>
      <c r="AG3295">
        <v>3.4892319999999901</v>
      </c>
      <c r="AH3295">
        <v>104.09309161133</v>
      </c>
      <c r="AI3295">
        <v>88.106473303503705</v>
      </c>
      <c r="AJ3295">
        <v>80.497098111899206</v>
      </c>
      <c r="AK3295">
        <v>105.59907275407301</v>
      </c>
      <c r="AL3295">
        <v>79.734537117246305</v>
      </c>
      <c r="AM3295">
        <v>92.245784115498694</v>
      </c>
      <c r="AN3295">
        <v>0.99999994311020302</v>
      </c>
    </row>
    <row r="3296" spans="1:40" x14ac:dyDescent="0.25">
      <c r="A3296" t="str">
        <f>"20190304155657464"</f>
        <v>20190304155657464</v>
      </c>
      <c r="B3296" t="str">
        <f>"1551686217458211"</f>
        <v>1551686217458211</v>
      </c>
      <c r="C3296" t="s">
        <v>40</v>
      </c>
      <c r="D3296">
        <v>4.2806009999999999</v>
      </c>
      <c r="E3296">
        <v>0.57673379999999996</v>
      </c>
      <c r="F3296" t="s">
        <v>71</v>
      </c>
      <c r="G3296">
        <v>-346.39620000000002</v>
      </c>
      <c r="H3296">
        <v>4.4647420000000002</v>
      </c>
      <c r="I3296">
        <v>197.51060000000001</v>
      </c>
      <c r="J3296">
        <v>-450.58839999999998</v>
      </c>
      <c r="K3296">
        <v>1.110374</v>
      </c>
      <c r="L3296">
        <v>213.14680000000001</v>
      </c>
      <c r="M3296">
        <v>0.99981920000000002</v>
      </c>
      <c r="N3296">
        <v>-9.7736439999999997E-3</v>
      </c>
      <c r="O3296">
        <v>1.6315610000000001E-2</v>
      </c>
      <c r="P3296">
        <v>0.98426720000000001</v>
      </c>
      <c r="Q3296">
        <v>0.16833879999999901</v>
      </c>
      <c r="R3296">
        <v>5.3668720000000003E-2</v>
      </c>
      <c r="S3296">
        <v>3.0562130000000001</v>
      </c>
      <c r="T3296">
        <v>9.8155500000000007E-2</v>
      </c>
      <c r="U3296">
        <v>-0.45739750000000001</v>
      </c>
      <c r="V3296">
        <v>-3.7818419999999998E-2</v>
      </c>
      <c r="W3296">
        <v>0.17791209999999999</v>
      </c>
      <c r="X3296">
        <v>0.98331939999999995</v>
      </c>
      <c r="Y3296">
        <v>0.1640588</v>
      </c>
      <c r="Z3296">
        <v>2.4925329999999999E-3</v>
      </c>
      <c r="AA3296">
        <v>0.98644739999999997</v>
      </c>
      <c r="AB3296">
        <v>25</v>
      </c>
      <c r="AC3296">
        <v>104.192199999999</v>
      </c>
      <c r="AD3296">
        <v>3.354368</v>
      </c>
      <c r="AE3296">
        <v>-15.636200000000001</v>
      </c>
      <c r="AF3296">
        <v>17.316606258971401</v>
      </c>
      <c r="AG3296">
        <v>3.354368</v>
      </c>
      <c r="AH3296">
        <v>103.817970692873</v>
      </c>
      <c r="AI3296">
        <v>88.174612870124903</v>
      </c>
      <c r="AJ3296">
        <v>80.530369157359502</v>
      </c>
      <c r="AK3296">
        <v>105.30568681602099</v>
      </c>
      <c r="AL3296">
        <v>79.751830859230694</v>
      </c>
      <c r="AM3296">
        <v>92.202507577402798</v>
      </c>
      <c r="AN3296">
        <v>0.99999999531703299</v>
      </c>
    </row>
    <row r="3297" spans="1:40" x14ac:dyDescent="0.25">
      <c r="A3297" t="str">
        <f>"20190304155657486"</f>
        <v>20190304155657486</v>
      </c>
      <c r="B3297" t="str">
        <f>"1551686217477731"</f>
        <v>1551686217477731</v>
      </c>
      <c r="C3297" t="s">
        <v>40</v>
      </c>
      <c r="D3297">
        <v>4.2292610000000002</v>
      </c>
      <c r="E3297">
        <v>0.57729569999999997</v>
      </c>
      <c r="F3297" t="s">
        <v>71</v>
      </c>
      <c r="G3297">
        <v>-346.3426</v>
      </c>
      <c r="H3297">
        <v>4.3454560000000004</v>
      </c>
      <c r="I3297">
        <v>197.2593</v>
      </c>
      <c r="J3297">
        <v>-450.3408</v>
      </c>
      <c r="K3297">
        <v>1.1103160000000001</v>
      </c>
      <c r="L3297">
        <v>213.1516</v>
      </c>
      <c r="M3297">
        <v>0.99980789999999997</v>
      </c>
      <c r="N3297">
        <v>-9.7511260000000006E-3</v>
      </c>
      <c r="O3297">
        <v>1.700312E-2</v>
      </c>
      <c r="P3297">
        <v>0.98423879999999997</v>
      </c>
      <c r="Q3297">
        <v>0.16850580000000001</v>
      </c>
      <c r="R3297">
        <v>5.3665499999999998E-2</v>
      </c>
      <c r="S3297">
        <v>3.0570979999999999</v>
      </c>
      <c r="T3297">
        <v>9.4874139999999996E-2</v>
      </c>
      <c r="U3297">
        <v>-0.46591189999999999</v>
      </c>
      <c r="V3297">
        <v>-3.7116870000000003E-2</v>
      </c>
      <c r="W3297">
        <v>0.17806229999999901</v>
      </c>
      <c r="X3297">
        <v>0.98331900000000005</v>
      </c>
      <c r="Y3297">
        <v>0.16738420000000001</v>
      </c>
      <c r="Z3297">
        <v>2.4502840000000001E-3</v>
      </c>
      <c r="AA3297">
        <v>0.98588869999999895</v>
      </c>
      <c r="AB3297">
        <v>25</v>
      </c>
      <c r="AC3297">
        <v>103.9982</v>
      </c>
      <c r="AD3297">
        <v>3.2351399999999901</v>
      </c>
      <c r="AE3297">
        <v>-15.892300000000001</v>
      </c>
      <c r="AF3297">
        <v>17.6416981910331</v>
      </c>
      <c r="AG3297">
        <v>3.2351399999999901</v>
      </c>
      <c r="AH3297">
        <v>103.61495393473901</v>
      </c>
      <c r="AI3297">
        <v>88.237006232671504</v>
      </c>
      <c r="AJ3297">
        <v>80.337360683109097</v>
      </c>
      <c r="AK3297">
        <v>105.155857301347</v>
      </c>
      <c r="AL3297">
        <v>79.743085961944303</v>
      </c>
      <c r="AM3297">
        <v>92.161690001160196</v>
      </c>
      <c r="AN3297">
        <v>1.00000005024044</v>
      </c>
    </row>
    <row r="3298" spans="1:40" x14ac:dyDescent="0.25">
      <c r="A3298" t="str">
        <f>"20190304155657507"</f>
        <v>20190304155657507</v>
      </c>
      <c r="B3298" t="str">
        <f>"1551686217498227"</f>
        <v>1551686217498227</v>
      </c>
      <c r="C3298" t="s">
        <v>40</v>
      </c>
      <c r="D3298">
        <v>4.2435859999999996</v>
      </c>
      <c r="E3298">
        <v>0.577071</v>
      </c>
      <c r="F3298" t="s">
        <v>71</v>
      </c>
      <c r="G3298">
        <v>-346.44900000000001</v>
      </c>
      <c r="H3298">
        <v>4.357799</v>
      </c>
      <c r="I3298">
        <v>197.16399999999999</v>
      </c>
      <c r="J3298">
        <v>-450.10320000000002</v>
      </c>
      <c r="K3298">
        <v>1.1102559999999999</v>
      </c>
      <c r="L3298">
        <v>213.15629999999999</v>
      </c>
      <c r="M3298">
        <v>0.99979799999999996</v>
      </c>
      <c r="N3298">
        <v>-9.7325050000000007E-3</v>
      </c>
      <c r="O3298">
        <v>1.75862E-2</v>
      </c>
      <c r="P3298">
        <v>0.98420419999999997</v>
      </c>
      <c r="Q3298">
        <v>0.168655</v>
      </c>
      <c r="R3298">
        <v>5.383069E-2</v>
      </c>
      <c r="S3298">
        <v>3.0572810000000001</v>
      </c>
      <c r="T3298">
        <v>9.5568059999999996E-2</v>
      </c>
      <c r="U3298">
        <v>-0.47047420000000001</v>
      </c>
      <c r="V3298">
        <v>-3.6685049999999997E-2</v>
      </c>
      <c r="W3298">
        <v>0.1781983</v>
      </c>
      <c r="X3298">
        <v>0.98331049999999998</v>
      </c>
      <c r="Y3298">
        <v>0.16938529999999999</v>
      </c>
      <c r="Z3298">
        <v>2.5186509999999998E-3</v>
      </c>
      <c r="AA3298">
        <v>0.9855467</v>
      </c>
      <c r="AB3298">
        <v>25</v>
      </c>
      <c r="AC3298">
        <v>103.6542</v>
      </c>
      <c r="AD3298">
        <v>3.2475429999999998</v>
      </c>
      <c r="AE3298">
        <v>-15.992299999999901</v>
      </c>
      <c r="AF3298">
        <v>17.795734163096402</v>
      </c>
      <c r="AG3298">
        <v>3.2475429999999998</v>
      </c>
      <c r="AH3298">
        <v>103.25790966390799</v>
      </c>
      <c r="AI3298">
        <v>88.224750344729898</v>
      </c>
      <c r="AJ3298">
        <v>80.221555648929595</v>
      </c>
      <c r="AK3298">
        <v>104.830485060884</v>
      </c>
      <c r="AL3298">
        <v>79.735166393591498</v>
      </c>
      <c r="AM3298">
        <v>92.136582660319206</v>
      </c>
      <c r="AN3298">
        <v>0.99999998321332095</v>
      </c>
    </row>
    <row r="3299" spans="1:40" x14ac:dyDescent="0.25">
      <c r="A3299" t="str">
        <f>"20190304155657530"</f>
        <v>20190304155657530</v>
      </c>
      <c r="B3299" t="str">
        <f>"1551686217528483"</f>
        <v>1551686217528483</v>
      </c>
      <c r="C3299" t="s">
        <v>40</v>
      </c>
      <c r="D3299">
        <v>4.2047650000000001</v>
      </c>
      <c r="E3299">
        <v>0.57747749999999998</v>
      </c>
      <c r="F3299" t="s">
        <v>71</v>
      </c>
      <c r="G3299">
        <v>-346.36939999999998</v>
      </c>
      <c r="H3299">
        <v>4.4463679999999997</v>
      </c>
      <c r="I3299">
        <v>197.27029999999999</v>
      </c>
      <c r="J3299">
        <v>-449.84469999999999</v>
      </c>
      <c r="K3299">
        <v>1.110193</v>
      </c>
      <c r="L3299">
        <v>213.16149999999999</v>
      </c>
      <c r="M3299">
        <v>0.99978840000000002</v>
      </c>
      <c r="N3299">
        <v>-9.71524E-3</v>
      </c>
      <c r="O3299">
        <v>1.813379E-2</v>
      </c>
      <c r="P3299">
        <v>0.98415560000000002</v>
      </c>
      <c r="Q3299">
        <v>0.16887469999999999</v>
      </c>
      <c r="R3299">
        <v>5.4027819999999997E-2</v>
      </c>
      <c r="S3299">
        <v>3.056915</v>
      </c>
      <c r="T3299">
        <v>9.8313929999999994E-2</v>
      </c>
      <c r="U3299">
        <v>-0.46813959999999999</v>
      </c>
      <c r="V3299">
        <v>-3.6317000000000002E-2</v>
      </c>
      <c r="W3299">
        <v>0.17840619999999999</v>
      </c>
      <c r="X3299">
        <v>0.98328649999999995</v>
      </c>
      <c r="Y3299">
        <v>0.169202399999999</v>
      </c>
      <c r="Z3299">
        <v>2.6324669999999999E-3</v>
      </c>
      <c r="AA3299">
        <v>0.98557779999999995</v>
      </c>
      <c r="AB3299">
        <v>25</v>
      </c>
      <c r="AC3299">
        <v>103.4753</v>
      </c>
      <c r="AD3299">
        <v>3.3361749999999999</v>
      </c>
      <c r="AE3299">
        <v>-15.8911999999999</v>
      </c>
      <c r="AF3299">
        <v>17.747051636689498</v>
      </c>
      <c r="AG3299">
        <v>3.3361749999999999</v>
      </c>
      <c r="AH3299">
        <v>103.06543475841799</v>
      </c>
      <c r="AI3299">
        <v>88.1728831137616</v>
      </c>
      <c r="AJ3299">
        <v>80.229929903053801</v>
      </c>
      <c r="AK3299">
        <v>104.63542300467699</v>
      </c>
      <c r="AL3299">
        <v>79.723060985544606</v>
      </c>
      <c r="AM3299">
        <v>92.115218122090596</v>
      </c>
      <c r="AN3299">
        <v>1.0000000188848399</v>
      </c>
    </row>
    <row r="3300" spans="1:40" x14ac:dyDescent="0.25">
      <c r="A3300" t="str">
        <f>"20190304155657552"</f>
        <v>20190304155657552</v>
      </c>
      <c r="B3300" t="str">
        <f>"1551686217548004"</f>
        <v>1551686217548004</v>
      </c>
      <c r="C3300" t="s">
        <v>40</v>
      </c>
      <c r="D3300">
        <v>4.4799829999999998</v>
      </c>
      <c r="E3300">
        <v>0.57718549999999902</v>
      </c>
      <c r="F3300" t="s">
        <v>71</v>
      </c>
      <c r="G3300">
        <v>-346.44209999999998</v>
      </c>
      <c r="H3300">
        <v>4.558567</v>
      </c>
      <c r="I3300">
        <v>197.2424</v>
      </c>
      <c r="J3300">
        <v>-449.59249999999997</v>
      </c>
      <c r="K3300">
        <v>1.1101289999999999</v>
      </c>
      <c r="L3300">
        <v>213.16669999999999</v>
      </c>
      <c r="M3300">
        <v>0.99978040000000001</v>
      </c>
      <c r="N3300">
        <v>-9.7011819999999992E-3</v>
      </c>
      <c r="O3300">
        <v>1.8572780000000001E-2</v>
      </c>
      <c r="P3300">
        <v>0.98431109999999999</v>
      </c>
      <c r="Q3300">
        <v>0.16781589999999999</v>
      </c>
      <c r="R3300">
        <v>5.4492150000000003E-2</v>
      </c>
      <c r="S3300">
        <v>3.0566710000000001</v>
      </c>
      <c r="T3300">
        <v>0.10193960000000001</v>
      </c>
      <c r="U3300">
        <v>-0.47058109999999997</v>
      </c>
      <c r="V3300">
        <v>-3.6319410000000003E-2</v>
      </c>
      <c r="W3300">
        <v>0.177341</v>
      </c>
      <c r="X3300">
        <v>0.98347910000000005</v>
      </c>
      <c r="Y3300">
        <v>0.17040859999999999</v>
      </c>
      <c r="Z3300">
        <v>2.7873440000000002E-3</v>
      </c>
      <c r="AA3300">
        <v>0.98536959999999996</v>
      </c>
      <c r="AB3300">
        <v>25</v>
      </c>
      <c r="AC3300">
        <v>103.1504</v>
      </c>
      <c r="AD3300">
        <v>3.4484379999999999</v>
      </c>
      <c r="AE3300">
        <v>-15.924299999999899</v>
      </c>
      <c r="AF3300">
        <v>17.817982331611201</v>
      </c>
      <c r="AG3300">
        <v>3.4484379999999999</v>
      </c>
      <c r="AH3300">
        <v>102.724696613538</v>
      </c>
      <c r="AI3300">
        <v>88.105585086827702</v>
      </c>
      <c r="AJ3300">
        <v>80.159738865797905</v>
      </c>
      <c r="AK3300">
        <v>104.315557388881</v>
      </c>
      <c r="AL3300">
        <v>79.785081637538198</v>
      </c>
      <c r="AM3300">
        <v>92.114944474911198</v>
      </c>
      <c r="AN3300">
        <v>1.00000003498027</v>
      </c>
    </row>
    <row r="3301" spans="1:40" x14ac:dyDescent="0.25">
      <c r="A3301" t="str">
        <f>"20190304155657574"</f>
        <v>20190304155657574</v>
      </c>
      <c r="B3301" t="str">
        <f>"1551686217567524"</f>
        <v>1551686217567524</v>
      </c>
      <c r="C3301" t="s">
        <v>40</v>
      </c>
      <c r="D3301">
        <v>4.5136699999999896</v>
      </c>
      <c r="E3301">
        <v>0.57478319999999905</v>
      </c>
      <c r="F3301" t="s">
        <v>71</v>
      </c>
      <c r="G3301">
        <v>-346.13279999999997</v>
      </c>
      <c r="H3301">
        <v>4.0895299999999999</v>
      </c>
      <c r="I3301">
        <v>197.36420000000001</v>
      </c>
      <c r="J3301">
        <v>-449.34519999999998</v>
      </c>
      <c r="K3301">
        <v>1.1100749999999999</v>
      </c>
      <c r="L3301">
        <v>213.17169999999999</v>
      </c>
      <c r="M3301">
        <v>0.99977380000000005</v>
      </c>
      <c r="N3301">
        <v>-9.6894689999999992E-3</v>
      </c>
      <c r="O3301">
        <v>1.8935879999999999E-2</v>
      </c>
      <c r="P3301">
        <v>0.98446250000000002</v>
      </c>
      <c r="Q3301">
        <v>0.1667527</v>
      </c>
      <c r="R3301">
        <v>5.5022290000000001E-2</v>
      </c>
      <c r="S3301">
        <v>3.0586549999999999</v>
      </c>
      <c r="T3301">
        <v>8.8084700000000002E-2</v>
      </c>
      <c r="U3301">
        <v>-0.46717829999999999</v>
      </c>
      <c r="V3301">
        <v>-3.6467680000000002E-2</v>
      </c>
      <c r="W3301">
        <v>0.17627190000000001</v>
      </c>
      <c r="X3301">
        <v>0.98366580000000003</v>
      </c>
      <c r="Y3301">
        <v>0.1696223</v>
      </c>
      <c r="Z3301">
        <v>2.3257759999999999E-3</v>
      </c>
      <c r="AA3301">
        <v>0.9855064</v>
      </c>
      <c r="AB3301">
        <v>25</v>
      </c>
      <c r="AC3301">
        <v>103.2124</v>
      </c>
      <c r="AD3301">
        <v>2.9794550000000002</v>
      </c>
      <c r="AE3301">
        <v>-15.8074999999999</v>
      </c>
      <c r="AF3301">
        <v>17.744726652736201</v>
      </c>
      <c r="AG3301">
        <v>2.9794550000000002</v>
      </c>
      <c r="AH3301">
        <v>102.81083893307</v>
      </c>
      <c r="AI3301">
        <v>88.364207003657796</v>
      </c>
      <c r="AJ3301">
        <v>80.207461951192002</v>
      </c>
      <c r="AK3301">
        <v>104.373469225657</v>
      </c>
      <c r="AL3301">
        <v>79.847317089477301</v>
      </c>
      <c r="AM3301">
        <v>92.123167929257207</v>
      </c>
      <c r="AN3301">
        <v>1.00000004025191</v>
      </c>
    </row>
    <row r="3302" spans="1:40" x14ac:dyDescent="0.25">
      <c r="A3302" t="str">
        <f>"20190304155657597"</f>
        <v>20190304155657597</v>
      </c>
      <c r="B3302" t="str">
        <f>"1551686217588019"</f>
        <v>1551686217588019</v>
      </c>
      <c r="C3302" t="s">
        <v>40</v>
      </c>
      <c r="D3302">
        <v>4.4794660000000004</v>
      </c>
      <c r="E3302">
        <v>0.57358419999999999</v>
      </c>
      <c r="F3302" t="s">
        <v>71</v>
      </c>
      <c r="G3302">
        <v>-345.04689999999999</v>
      </c>
      <c r="H3302">
        <v>3.1943640000000002</v>
      </c>
      <c r="I3302">
        <v>197.93049999999999</v>
      </c>
      <c r="J3302">
        <v>-449.09309999999999</v>
      </c>
      <c r="K3302">
        <v>1.1100289999999999</v>
      </c>
      <c r="L3302">
        <v>213.17679999999999</v>
      </c>
      <c r="M3302">
        <v>0.99976810000000005</v>
      </c>
      <c r="N3302">
        <v>-9.6794680000000001E-3</v>
      </c>
      <c r="O3302">
        <v>1.9241169999999998E-2</v>
      </c>
      <c r="P3302">
        <v>0.98449589999999998</v>
      </c>
      <c r="Q3302">
        <v>0.16620889999999999</v>
      </c>
      <c r="R3302">
        <v>5.605885E-2</v>
      </c>
      <c r="S3302">
        <v>3.0619809999999998</v>
      </c>
      <c r="T3302">
        <v>6.1192870000000003E-2</v>
      </c>
      <c r="U3302">
        <v>-0.44744869999999998</v>
      </c>
      <c r="V3302">
        <v>-3.7183870000000001E-2</v>
      </c>
      <c r="W3302">
        <v>0.1757222</v>
      </c>
      <c r="X3302">
        <v>0.98373730000000004</v>
      </c>
      <c r="Y3302">
        <v>0.16358329999999999</v>
      </c>
      <c r="Z3302">
        <v>1.397609E-3</v>
      </c>
      <c r="AA3302">
        <v>0.98652850000000003</v>
      </c>
      <c r="AB3302">
        <v>25</v>
      </c>
      <c r="AC3302">
        <v>104.0462</v>
      </c>
      <c r="AD3302">
        <v>2.0843349999999901</v>
      </c>
      <c r="AE3302">
        <v>-15.2462999999999</v>
      </c>
      <c r="AF3302">
        <v>17.238768749468701</v>
      </c>
      <c r="AG3302">
        <v>2.0843349999999901</v>
      </c>
      <c r="AH3302">
        <v>103.692827443206</v>
      </c>
      <c r="AI3302">
        <v>88.864036607512404</v>
      </c>
      <c r="AJ3302">
        <v>80.560995459879294</v>
      </c>
      <c r="AK3302">
        <v>105.136682768463</v>
      </c>
      <c r="AL3302">
        <v>79.879311621926206</v>
      </c>
      <c r="AM3302">
        <v>92.164668410769593</v>
      </c>
      <c r="AN3302">
        <v>1.00000000358615</v>
      </c>
    </row>
    <row r="3303" spans="1:40" x14ac:dyDescent="0.25">
      <c r="A3303" t="str">
        <f>"20190304155657622"</f>
        <v>20190304155657622</v>
      </c>
      <c r="B3303" t="str">
        <f>"1551686217618275"</f>
        <v>1551686217618275</v>
      </c>
      <c r="C3303" t="s">
        <v>40</v>
      </c>
      <c r="D3303">
        <v>4.4872420000000002</v>
      </c>
      <c r="E3303">
        <v>0.57289730000000005</v>
      </c>
      <c r="F3303" t="s">
        <v>72</v>
      </c>
      <c r="G3303">
        <v>-172.35980000000001</v>
      </c>
      <c r="H3303">
        <v>4.92</v>
      </c>
      <c r="I3303">
        <v>173.84360000000001</v>
      </c>
      <c r="J3303">
        <v>-448.80990000000003</v>
      </c>
      <c r="K3303">
        <v>1.1099810000000001</v>
      </c>
      <c r="L3303">
        <v>213.18260000000001</v>
      </c>
      <c r="M3303">
        <v>0.99976279999999995</v>
      </c>
      <c r="N3303">
        <v>-9.6703020000000004E-3</v>
      </c>
      <c r="O3303">
        <v>1.9512660000000001E-2</v>
      </c>
      <c r="P3303">
        <v>0.98462430000000001</v>
      </c>
      <c r="Q3303">
        <v>0.1651956</v>
      </c>
      <c r="R3303">
        <v>5.679352E-2</v>
      </c>
      <c r="S3303">
        <v>3.06488</v>
      </c>
      <c r="T3303">
        <v>4.219639E-2</v>
      </c>
      <c r="U3303">
        <v>-0.43562319999999999</v>
      </c>
      <c r="V3303">
        <v>-3.763031E-2</v>
      </c>
      <c r="W3303">
        <v>0.1747049</v>
      </c>
      <c r="X3303">
        <v>0.98390149999999998</v>
      </c>
      <c r="Y3303">
        <v>0.16000259999999999</v>
      </c>
      <c r="Z3303">
        <v>7.7339439999999998E-4</v>
      </c>
      <c r="AA3303">
        <v>0.98711629999999995</v>
      </c>
      <c r="AB3303">
        <v>25</v>
      </c>
      <c r="AC3303">
        <v>276.45010000000002</v>
      </c>
      <c r="AD3303">
        <v>3.810019</v>
      </c>
      <c r="AE3303">
        <v>-39.338999999999999</v>
      </c>
      <c r="AF3303">
        <v>44.717713634281601</v>
      </c>
      <c r="AG3303">
        <v>3.810019</v>
      </c>
      <c r="AH3303">
        <v>275.57851225071101</v>
      </c>
      <c r="AI3303">
        <v>89.218131483452595</v>
      </c>
      <c r="AJ3303">
        <v>80.783036593251396</v>
      </c>
      <c r="AK3303">
        <v>279.20907322609202</v>
      </c>
      <c r="AL3303">
        <v>79.938514446159402</v>
      </c>
      <c r="AM3303">
        <v>92.190267626495398</v>
      </c>
      <c r="AN3303">
        <v>1.0000000020084701</v>
      </c>
    </row>
    <row r="3304" spans="1:40" x14ac:dyDescent="0.25">
      <c r="A3304" t="str">
        <f>"20190304155657643"</f>
        <v>20190304155657643</v>
      </c>
      <c r="B3304" t="str">
        <f>"1551686217637795"</f>
        <v>1551686217637795</v>
      </c>
      <c r="C3304" t="s">
        <v>40</v>
      </c>
      <c r="D3304">
        <v>4.4566220000000003</v>
      </c>
      <c r="E3304">
        <v>0.57246019999999997</v>
      </c>
      <c r="F3304" t="s">
        <v>69</v>
      </c>
      <c r="G3304">
        <v>-169.4049</v>
      </c>
      <c r="H3304">
        <v>3.0379900000000002</v>
      </c>
      <c r="I3304">
        <v>174.16489999999999</v>
      </c>
      <c r="J3304">
        <v>-448.5702</v>
      </c>
      <c r="K3304">
        <v>1.109937</v>
      </c>
      <c r="L3304">
        <v>213.1876</v>
      </c>
      <c r="M3304">
        <v>0.99975959999999997</v>
      </c>
      <c r="N3304">
        <v>-9.6641320000000006E-3</v>
      </c>
      <c r="O3304">
        <v>1.9690099999999999E-2</v>
      </c>
      <c r="P3304">
        <v>0.9848365</v>
      </c>
      <c r="Q3304">
        <v>0.16370209999999999</v>
      </c>
      <c r="R3304">
        <v>5.743653E-2</v>
      </c>
      <c r="S3304">
        <v>3.0680239999999999</v>
      </c>
      <c r="T3304">
        <v>2.1170970000000001E-2</v>
      </c>
      <c r="U3304">
        <v>-0.42843629999999999</v>
      </c>
      <c r="V3304">
        <v>-3.807965E-2</v>
      </c>
      <c r="W3304">
        <v>0.1732108</v>
      </c>
      <c r="X3304">
        <v>0.98414829999999998</v>
      </c>
      <c r="Y3304">
        <v>0.15777749999999999</v>
      </c>
      <c r="Z3304">
        <v>1.002185E-4</v>
      </c>
      <c r="AA3304">
        <v>0.98747470000000004</v>
      </c>
      <c r="AB3304">
        <v>25</v>
      </c>
      <c r="AC3304">
        <v>279.1653</v>
      </c>
      <c r="AD3304">
        <v>1.92805299999999</v>
      </c>
      <c r="AE3304">
        <v>-39.0227</v>
      </c>
      <c r="AF3304">
        <v>44.510099993471002</v>
      </c>
      <c r="AG3304">
        <v>1.92805299999999</v>
      </c>
      <c r="AH3304">
        <v>278.32975511600699</v>
      </c>
      <c r="AI3304">
        <v>89.608085169184804</v>
      </c>
      <c r="AJ3304">
        <v>80.914271558416502</v>
      </c>
      <c r="AK3304">
        <v>281.87287732723701</v>
      </c>
      <c r="AL3304">
        <v>80.0254450718801</v>
      </c>
      <c r="AM3304">
        <v>92.215840214075001</v>
      </c>
      <c r="AN3304">
        <v>0.99999995868682501</v>
      </c>
    </row>
    <row r="3305" spans="1:40" x14ac:dyDescent="0.25">
      <c r="A3305" t="str">
        <f>"20190304155657666"</f>
        <v>20190304155657666</v>
      </c>
      <c r="B3305" t="str">
        <f>"1551686217658292"</f>
        <v>1551686217658292</v>
      </c>
      <c r="C3305" t="s">
        <v>40</v>
      </c>
      <c r="D3305">
        <v>4.5924809999999896</v>
      </c>
      <c r="E3305">
        <v>0.57229249999999998</v>
      </c>
      <c r="F3305" t="s">
        <v>69</v>
      </c>
      <c r="G3305">
        <v>-169.40430000000001</v>
      </c>
      <c r="H3305">
        <v>1.7880320000000001</v>
      </c>
      <c r="I3305">
        <v>174.6814</v>
      </c>
      <c r="J3305">
        <v>-448.31830000000002</v>
      </c>
      <c r="K3305">
        <v>1.1098969999999999</v>
      </c>
      <c r="L3305">
        <v>213.19280000000001</v>
      </c>
      <c r="M3305">
        <v>0.99975670000000005</v>
      </c>
      <c r="N3305">
        <v>-9.6590119999999998E-3</v>
      </c>
      <c r="O3305">
        <v>1.983495E-2</v>
      </c>
      <c r="P3305">
        <v>0.98510549999999997</v>
      </c>
      <c r="Q3305">
        <v>0.16192409999999999</v>
      </c>
      <c r="R3305">
        <v>5.7860170000000002E-2</v>
      </c>
      <c r="S3305">
        <v>3.0696110000000001</v>
      </c>
      <c r="T3305">
        <v>7.4564219999999999E-3</v>
      </c>
      <c r="U3305">
        <v>-0.42340090000000002</v>
      </c>
      <c r="V3305">
        <v>-3.8340930000000002E-2</v>
      </c>
      <c r="W3305">
        <v>0.1714339</v>
      </c>
      <c r="X3305">
        <v>0.98444929999999997</v>
      </c>
      <c r="Y3305">
        <v>0.15626219999999999</v>
      </c>
      <c r="Z3305">
        <v>-3.3074660000000002E-4</v>
      </c>
      <c r="AA3305">
        <v>0.98771549999999997</v>
      </c>
      <c r="AB3305">
        <v>25</v>
      </c>
      <c r="AC3305">
        <v>278.91399999999999</v>
      </c>
      <c r="AD3305">
        <v>0.67813500000000004</v>
      </c>
      <c r="AE3305">
        <v>-38.511400000000002</v>
      </c>
      <c r="AF3305">
        <v>44.036070256503997</v>
      </c>
      <c r="AG3305">
        <v>0.67813500000000004</v>
      </c>
      <c r="AH3305">
        <v>278.09360315578999</v>
      </c>
      <c r="AI3305">
        <v>89.862003140262999</v>
      </c>
      <c r="AJ3305">
        <v>81.001935417725093</v>
      </c>
      <c r="AK3305">
        <v>281.55938532907101</v>
      </c>
      <c r="AL3305">
        <v>80.128800667355407</v>
      </c>
      <c r="AM3305">
        <v>92.230347227101205</v>
      </c>
      <c r="AN3305">
        <v>1.00000001662648</v>
      </c>
    </row>
    <row r="3306" spans="1:40" x14ac:dyDescent="0.25">
      <c r="A3306" t="str">
        <f>"20190304155657688"</f>
        <v>20190304155657688</v>
      </c>
      <c r="B3306" t="str">
        <f>"1551686217677811"</f>
        <v>1551686217677811</v>
      </c>
      <c r="C3306" t="s">
        <v>40</v>
      </c>
      <c r="D3306">
        <v>4.6858069999999996</v>
      </c>
      <c r="E3306">
        <v>0.57170350000000003</v>
      </c>
      <c r="F3306" t="s">
        <v>56</v>
      </c>
      <c r="G3306">
        <v>-343.93239999999997</v>
      </c>
      <c r="H3306">
        <v>0.88303770000000004</v>
      </c>
      <c r="I3306">
        <v>198.8766</v>
      </c>
      <c r="J3306">
        <v>-448.06459999999998</v>
      </c>
      <c r="K3306">
        <v>1.109864</v>
      </c>
      <c r="L3306">
        <v>213.19800000000001</v>
      </c>
      <c r="M3306">
        <v>0.99975440000000004</v>
      </c>
      <c r="N3306">
        <v>-9.6550769999999998E-3</v>
      </c>
      <c r="O3306">
        <v>1.9946450000000001E-2</v>
      </c>
      <c r="P3306">
        <v>0.98526720000000001</v>
      </c>
      <c r="Q3306">
        <v>0.1608339</v>
      </c>
      <c r="R3306">
        <v>5.8146410000000003E-2</v>
      </c>
      <c r="S3306">
        <v>3.0711979999999999</v>
      </c>
      <c r="T3306">
        <v>-6.6741700000000001E-3</v>
      </c>
      <c r="U3306">
        <v>-0.42120360000000001</v>
      </c>
      <c r="V3306">
        <v>-3.8501819999999999E-2</v>
      </c>
      <c r="W3306">
        <v>0.17034389999999999</v>
      </c>
      <c r="X3306">
        <v>0.98463219999999996</v>
      </c>
      <c r="Y3306">
        <v>0.155607299999999</v>
      </c>
      <c r="Z3306">
        <v>-7.7453410000000004E-4</v>
      </c>
      <c r="AA3306">
        <v>0.98781870000000005</v>
      </c>
      <c r="AB3306">
        <v>25</v>
      </c>
      <c r="AC3306">
        <v>104.1322</v>
      </c>
      <c r="AD3306">
        <v>-0.22682629999999901</v>
      </c>
      <c r="AE3306">
        <v>-14.321399999999899</v>
      </c>
      <c r="AF3306">
        <v>16.395638739425099</v>
      </c>
      <c r="AG3306">
        <v>-0.22682629999999901</v>
      </c>
      <c r="AH3306">
        <v>103.825323045508</v>
      </c>
      <c r="AI3306">
        <v>90.123641258930206</v>
      </c>
      <c r="AJ3306">
        <v>81.026206795454101</v>
      </c>
      <c r="AK3306">
        <v>105.112159740671</v>
      </c>
      <c r="AL3306">
        <v>80.192185293723398</v>
      </c>
      <c r="AM3306">
        <v>92.239281308714993</v>
      </c>
      <c r="AN3306">
        <v>1.0000000018436801</v>
      </c>
    </row>
    <row r="3307" spans="1:40" x14ac:dyDescent="0.25">
      <c r="A3307" t="str">
        <f>"20190304155657711"</f>
        <v>20190304155657711</v>
      </c>
      <c r="B3307" t="str">
        <f>"1551686217708067"</f>
        <v>1551686217708067</v>
      </c>
      <c r="C3307" t="s">
        <v>40</v>
      </c>
      <c r="D3307">
        <v>4.6467980000000004</v>
      </c>
      <c r="E3307">
        <v>0.57113919999999996</v>
      </c>
      <c r="F3307" t="s">
        <v>56</v>
      </c>
      <c r="G3307">
        <v>-344.6019</v>
      </c>
      <c r="H3307">
        <v>0.44365120000000002</v>
      </c>
      <c r="I3307">
        <v>199.1865</v>
      </c>
      <c r="J3307">
        <v>-447.79860000000002</v>
      </c>
      <c r="K3307">
        <v>1.1098429999999999</v>
      </c>
      <c r="L3307">
        <v>213.20339999999999</v>
      </c>
      <c r="M3307">
        <v>0.99975270000000005</v>
      </c>
      <c r="N3307">
        <v>-9.6518620000000006E-3</v>
      </c>
      <c r="O3307">
        <v>2.0036999999999999E-2</v>
      </c>
      <c r="P3307">
        <v>0.985348</v>
      </c>
      <c r="Q3307">
        <v>0.16027649999999999</v>
      </c>
      <c r="R3307">
        <v>5.8314459999999999E-2</v>
      </c>
      <c r="S3307">
        <v>3.0726010000000001</v>
      </c>
      <c r="T3307">
        <v>-1.9784570000000001E-2</v>
      </c>
      <c r="U3307">
        <v>-0.41610720000000001</v>
      </c>
      <c r="V3307">
        <v>-3.857037E-2</v>
      </c>
      <c r="W3307">
        <v>0.1697861</v>
      </c>
      <c r="X3307">
        <v>0.98472579999999998</v>
      </c>
      <c r="Y3307">
        <v>0.15402170000000001</v>
      </c>
      <c r="Z3307">
        <v>-1.176332E-3</v>
      </c>
      <c r="AA3307">
        <v>0.98806669999999996</v>
      </c>
      <c r="AB3307">
        <v>25</v>
      </c>
      <c r="AC3307">
        <v>103.19670000000001</v>
      </c>
      <c r="AD3307">
        <v>-0.6661918</v>
      </c>
      <c r="AE3307">
        <v>-14.0168999999999</v>
      </c>
      <c r="AF3307">
        <v>16.081276154257498</v>
      </c>
      <c r="AG3307">
        <v>-0.6661918</v>
      </c>
      <c r="AH3307">
        <v>102.89090030318501</v>
      </c>
      <c r="AI3307">
        <v>90.366520536419699</v>
      </c>
      <c r="AJ3307">
        <v>81.116855046695306</v>
      </c>
      <c r="AK3307">
        <v>104.14215582300901</v>
      </c>
      <c r="AL3307">
        <v>80.224616782762894</v>
      </c>
      <c r="AM3307">
        <v>92.243051126161603</v>
      </c>
      <c r="AN3307">
        <v>0.99999994719039198</v>
      </c>
    </row>
    <row r="3308" spans="1:40" x14ac:dyDescent="0.25">
      <c r="A3308" t="str">
        <f>"20190304155657732"</f>
        <v>20190304155657732</v>
      </c>
      <c r="B3308" t="str">
        <f>"1551686217727587"</f>
        <v>1551686217727587</v>
      </c>
      <c r="C3308" t="s">
        <v>40</v>
      </c>
      <c r="D3308">
        <v>4.2622479999999996</v>
      </c>
      <c r="E3308">
        <v>0.57167539999999994</v>
      </c>
      <c r="F3308" t="s">
        <v>44</v>
      </c>
      <c r="G3308">
        <v>-339.36750000000001</v>
      </c>
      <c r="H3308">
        <v>-0.05</v>
      </c>
      <c r="I3308">
        <v>198.68819999999999</v>
      </c>
      <c r="J3308">
        <v>-447.56220000000002</v>
      </c>
      <c r="K3308">
        <v>1.109828</v>
      </c>
      <c r="L3308">
        <v>213.20820000000001</v>
      </c>
      <c r="M3308">
        <v>0.99975139999999996</v>
      </c>
      <c r="N3308">
        <v>-9.649866E-3</v>
      </c>
      <c r="O3308">
        <v>2.0103360000000001E-2</v>
      </c>
      <c r="P3308">
        <v>0.98536049999999997</v>
      </c>
      <c r="Q3308">
        <v>0.160222</v>
      </c>
      <c r="R3308">
        <v>5.8255050000000003E-2</v>
      </c>
      <c r="S3308">
        <v>3.0743100000000001</v>
      </c>
      <c r="T3308">
        <v>-3.28846E-2</v>
      </c>
      <c r="U3308">
        <v>-0.41154479999999999</v>
      </c>
      <c r="V3308">
        <v>-3.8441160000000002E-2</v>
      </c>
      <c r="W3308">
        <v>0.16973070000000001</v>
      </c>
      <c r="X3308">
        <v>0.98474039999999996</v>
      </c>
      <c r="Y3308">
        <v>0.15256549999999999</v>
      </c>
      <c r="Z3308">
        <v>-1.572817E-3</v>
      </c>
      <c r="AA3308">
        <v>0.98829210000000001</v>
      </c>
      <c r="AB3308">
        <v>25</v>
      </c>
      <c r="AC3308">
        <v>108.1947</v>
      </c>
      <c r="AD3308">
        <v>-1.1598280000000001</v>
      </c>
      <c r="AE3308">
        <v>-14.52</v>
      </c>
      <c r="AF3308">
        <v>16.6903594481788</v>
      </c>
      <c r="AG3308">
        <v>-1.1598280000000001</v>
      </c>
      <c r="AH3308">
        <v>107.86874182578499</v>
      </c>
      <c r="AI3308">
        <v>90.608789036168602</v>
      </c>
      <c r="AJ3308">
        <v>81.204463239668002</v>
      </c>
      <c r="AK3308">
        <v>109.158502933015</v>
      </c>
      <c r="AL3308">
        <v>80.227837690672899</v>
      </c>
      <c r="AM3308">
        <v>92.235511473527396</v>
      </c>
      <c r="AN3308">
        <v>0.99999994434839601</v>
      </c>
    </row>
    <row r="3309" spans="1:40" x14ac:dyDescent="0.25">
      <c r="A3309" t="str">
        <f>"20190304155657753"</f>
        <v>20190304155657753</v>
      </c>
      <c r="B3309" t="str">
        <f>"1551686217748083"</f>
        <v>1551686217748083</v>
      </c>
      <c r="C3309" t="s">
        <v>40</v>
      </c>
      <c r="D3309">
        <v>4.4946020000000004</v>
      </c>
      <c r="E3309">
        <v>0.57109399999999999</v>
      </c>
      <c r="F3309" t="s">
        <v>56</v>
      </c>
      <c r="G3309">
        <v>-349.24509999999998</v>
      </c>
      <c r="H3309">
        <v>0.14085719999999999</v>
      </c>
      <c r="I3309">
        <v>199.90719999999999</v>
      </c>
      <c r="J3309">
        <v>-447.31189999999998</v>
      </c>
      <c r="K3309">
        <v>1.1098209999999999</v>
      </c>
      <c r="L3309">
        <v>213.2133</v>
      </c>
      <c r="M3309">
        <v>0.99975020000000003</v>
      </c>
      <c r="N3309">
        <v>-9.6485189999999995E-3</v>
      </c>
      <c r="O3309">
        <v>2.0166570000000002E-2</v>
      </c>
      <c r="P3309">
        <v>0.98546160000000005</v>
      </c>
      <c r="Q3309">
        <v>0.1596282</v>
      </c>
      <c r="R3309">
        <v>5.8177039999999999E-2</v>
      </c>
      <c r="S3309">
        <v>3.074036</v>
      </c>
      <c r="T3309">
        <v>-3.0295969999999998E-2</v>
      </c>
      <c r="U3309">
        <v>-0.41587829999999898</v>
      </c>
      <c r="V3309">
        <v>-3.8297680000000001E-2</v>
      </c>
      <c r="W3309">
        <v>0.16913719999999999</v>
      </c>
      <c r="X3309">
        <v>0.9848481</v>
      </c>
      <c r="Y3309">
        <v>0.1540096</v>
      </c>
      <c r="Z3309">
        <v>-1.506119E-3</v>
      </c>
      <c r="AA3309">
        <v>0.98806819999999895</v>
      </c>
      <c r="AB3309">
        <v>26</v>
      </c>
      <c r="AC3309">
        <v>98.066800000000001</v>
      </c>
      <c r="AD3309">
        <v>-0.96896380000000004</v>
      </c>
      <c r="AE3309">
        <v>-13.306100000000001</v>
      </c>
      <c r="AF3309">
        <v>15.279691796568599</v>
      </c>
      <c r="AG3309">
        <v>-0.96896380000000004</v>
      </c>
      <c r="AH3309">
        <v>97.769131459469193</v>
      </c>
      <c r="AI3309">
        <v>90.561015124855103</v>
      </c>
      <c r="AJ3309">
        <v>81.117473063467301</v>
      </c>
      <c r="AK3309">
        <v>98.960653487043999</v>
      </c>
      <c r="AL3309">
        <v>80.262341592514602</v>
      </c>
      <c r="AM3309">
        <v>92.226932628054101</v>
      </c>
      <c r="AN3309">
        <v>0.99999994239541401</v>
      </c>
    </row>
    <row r="3310" spans="1:40" x14ac:dyDescent="0.25">
      <c r="A3310" t="str">
        <f>"20190304155657775"</f>
        <v>20190304155657775</v>
      </c>
      <c r="B3310" t="str">
        <f>"1551686217767604"</f>
        <v>1551686217767604</v>
      </c>
      <c r="C3310" t="s">
        <v>40</v>
      </c>
      <c r="D3310">
        <v>4.5206220000000004</v>
      </c>
      <c r="E3310">
        <v>0.52168409999999998</v>
      </c>
      <c r="F3310" t="s">
        <v>44</v>
      </c>
      <c r="G3310">
        <v>-335.08580000000001</v>
      </c>
      <c r="H3310">
        <v>-0.05</v>
      </c>
      <c r="I3310">
        <v>198.16829999999999</v>
      </c>
      <c r="J3310">
        <v>-447.06060000000002</v>
      </c>
      <c r="K3310">
        <v>1.109826</v>
      </c>
      <c r="L3310">
        <v>213.21850000000001</v>
      </c>
      <c r="M3310">
        <v>0.99974890000000005</v>
      </c>
      <c r="N3310">
        <v>-9.6478329999999998E-3</v>
      </c>
      <c r="O3310">
        <v>2.022817E-2</v>
      </c>
      <c r="P3310">
        <v>0.98528490000000002</v>
      </c>
      <c r="Q3310">
        <v>0.16060729999999901</v>
      </c>
      <c r="R3310">
        <v>5.8472860000000002E-2</v>
      </c>
      <c r="S3310">
        <v>3.0737299999999999</v>
      </c>
      <c r="T3310">
        <v>-3.1766059999999999E-2</v>
      </c>
      <c r="U3310">
        <v>-0.41206359999999997</v>
      </c>
      <c r="V3310">
        <v>-3.853765E-2</v>
      </c>
      <c r="W3310">
        <v>0.17011309999999999</v>
      </c>
      <c r="X3310">
        <v>0.98467070000000001</v>
      </c>
      <c r="Y3310">
        <v>0.15287800000000001</v>
      </c>
      <c r="Z3310">
        <v>-1.54118299999999E-3</v>
      </c>
      <c r="AA3310">
        <v>0.98824389999999995</v>
      </c>
      <c r="AB3310">
        <v>26</v>
      </c>
      <c r="AC3310">
        <v>111.9748</v>
      </c>
      <c r="AD3310">
        <v>-1.159826</v>
      </c>
      <c r="AE3310">
        <v>-15.0502</v>
      </c>
      <c r="AF3310">
        <v>17.310446639134099</v>
      </c>
      <c r="AG3310">
        <v>-1.159826</v>
      </c>
      <c r="AH3310">
        <v>111.635670037648</v>
      </c>
      <c r="AI3310">
        <v>90.5882174132865</v>
      </c>
      <c r="AJ3310">
        <v>81.185799869299402</v>
      </c>
      <c r="AK3310">
        <v>112.97574776894101</v>
      </c>
      <c r="AL3310">
        <v>80.205605030777903</v>
      </c>
      <c r="AM3310">
        <v>92.241275525041601</v>
      </c>
      <c r="AN3310">
        <v>1.00000000234881</v>
      </c>
    </row>
    <row r="3311" spans="1:40" x14ac:dyDescent="0.25">
      <c r="A3311" t="str">
        <f>"20190304155657797"</f>
        <v>20190304155657797</v>
      </c>
      <c r="B3311" t="str">
        <f>"1551686217788099"</f>
        <v>1551686217788099</v>
      </c>
      <c r="C3311" t="s">
        <v>40</v>
      </c>
      <c r="D3311">
        <v>4.4818170000000004</v>
      </c>
      <c r="E3311">
        <v>0.52177859999999998</v>
      </c>
      <c r="F3311" t="s">
        <v>64</v>
      </c>
      <c r="G3311">
        <v>-409.1053</v>
      </c>
      <c r="H3311" s="1">
        <v>4.7051589999999998E-6</v>
      </c>
      <c r="I3311">
        <v>212.9674</v>
      </c>
      <c r="J3311">
        <v>-446.80200000000002</v>
      </c>
      <c r="K3311">
        <v>1.1098330000000001</v>
      </c>
      <c r="L3311">
        <v>213.22380000000001</v>
      </c>
      <c r="M3311">
        <v>0.99974759999999996</v>
      </c>
      <c r="N3311">
        <v>-9.647737E-3</v>
      </c>
      <c r="O3311">
        <v>2.0294980000000001E-2</v>
      </c>
      <c r="P3311">
        <v>0.98512639999999996</v>
      </c>
      <c r="Q3311">
        <v>0.16144900000000001</v>
      </c>
      <c r="R3311">
        <v>5.8823380000000001E-2</v>
      </c>
      <c r="S3311">
        <v>3.0605470000000001</v>
      </c>
      <c r="T3311">
        <v>-8.9491009999999996E-2</v>
      </c>
      <c r="U3311">
        <v>-2.0248410000000001E-2</v>
      </c>
      <c r="V3311">
        <v>-3.8827260000000002E-2</v>
      </c>
      <c r="W3311">
        <v>0.17095279999999999</v>
      </c>
      <c r="X3311">
        <v>0.98451390000000005</v>
      </c>
      <c r="Y3311">
        <v>2.689074E-2</v>
      </c>
      <c r="Z3311">
        <v>-9.2030949999999997E-4</v>
      </c>
      <c r="AA3311">
        <v>0.99963800000000003</v>
      </c>
      <c r="AB3311">
        <v>26</v>
      </c>
      <c r="AC3311">
        <v>37.6966999999999</v>
      </c>
      <c r="AD3311">
        <v>-1.1098282948410001</v>
      </c>
      <c r="AE3311">
        <v>-0.25640000000001301</v>
      </c>
      <c r="AF3311">
        <v>1.0205519335248801</v>
      </c>
      <c r="AG3311">
        <v>-1.1098282948410001</v>
      </c>
      <c r="AH3311">
        <v>37.651097818338798</v>
      </c>
      <c r="AI3311">
        <v>91.687779305772594</v>
      </c>
      <c r="AJ3311">
        <v>88.447349267760003</v>
      </c>
      <c r="AK3311">
        <v>37.681274023301903</v>
      </c>
      <c r="AL3311">
        <v>80.156778703538194</v>
      </c>
      <c r="AM3311">
        <v>92.258460581594704</v>
      </c>
      <c r="AN3311">
        <v>1.0000000176200701</v>
      </c>
    </row>
    <row r="3312" spans="1:40" x14ac:dyDescent="0.25">
      <c r="A3312" t="str">
        <f>"20190304155657823"</f>
        <v>20190304155657823</v>
      </c>
      <c r="B3312" t="str">
        <f>"1551686217818355"</f>
        <v>1551686217818355</v>
      </c>
      <c r="C3312" t="s">
        <v>40</v>
      </c>
      <c r="D3312">
        <v>4.475657</v>
      </c>
      <c r="E3312">
        <v>0.52172149999999995</v>
      </c>
      <c r="F3312" t="s">
        <v>64</v>
      </c>
      <c r="G3312">
        <v>-408.19170000000003</v>
      </c>
      <c r="H3312" s="1">
        <v>5.1094279999999997E-6</v>
      </c>
      <c r="I3312">
        <v>212.97149999999999</v>
      </c>
      <c r="J3312">
        <v>-446.51600000000002</v>
      </c>
      <c r="K3312">
        <v>1.109842</v>
      </c>
      <c r="L3312">
        <v>213.22970000000001</v>
      </c>
      <c r="M3312">
        <v>0.99974600000000002</v>
      </c>
      <c r="N3312">
        <v>-9.6480929999999999E-3</v>
      </c>
      <c r="O3312">
        <v>2.0375979999999998E-2</v>
      </c>
      <c r="P3312">
        <v>0.98503470000000004</v>
      </c>
      <c r="Q3312">
        <v>0.16188559999999999</v>
      </c>
      <c r="R3312">
        <v>5.9160699999999997E-2</v>
      </c>
      <c r="S3312">
        <v>3.0609440000000001</v>
      </c>
      <c r="T3312">
        <v>-8.798504E-2</v>
      </c>
      <c r="U3312">
        <v>-2.0004270000000001E-2</v>
      </c>
      <c r="V3312">
        <v>-3.908855E-2</v>
      </c>
      <c r="W3312">
        <v>0.17138879999999901</v>
      </c>
      <c r="X3312">
        <v>0.98442779999999996</v>
      </c>
      <c r="Y3312">
        <v>2.6891780000000001E-2</v>
      </c>
      <c r="Z3312">
        <v>-9.0515370000000003E-4</v>
      </c>
      <c r="AA3312">
        <v>0.99963800000000003</v>
      </c>
      <c r="AB3312">
        <v>26</v>
      </c>
      <c r="AC3312">
        <v>38.324299999999901</v>
      </c>
      <c r="AD3312">
        <v>-1.109836890572</v>
      </c>
      <c r="AE3312">
        <v>-0.25820000000001597</v>
      </c>
      <c r="AF3312">
        <v>1.03820714736902</v>
      </c>
      <c r="AG3312">
        <v>-1.109836890572</v>
      </c>
      <c r="AH3312">
        <v>38.278980957089402</v>
      </c>
      <c r="AI3312">
        <v>91.660122694055005</v>
      </c>
      <c r="AJ3312">
        <v>88.446397817541097</v>
      </c>
      <c r="AK3312">
        <v>38.309137227530101</v>
      </c>
      <c r="AL3312">
        <v>80.131424003237896</v>
      </c>
      <c r="AM3312">
        <v>92.273841757206796</v>
      </c>
      <c r="AN3312">
        <v>1.00000006445968</v>
      </c>
    </row>
    <row r="3313" spans="1:40" x14ac:dyDescent="0.25">
      <c r="A3313" t="str">
        <f>"20190304155657844"</f>
        <v>20190304155657844</v>
      </c>
      <c r="B3313" t="str">
        <f>"1551686217837875"</f>
        <v>1551686217837875</v>
      </c>
      <c r="C3313" t="s">
        <v>40</v>
      </c>
      <c r="D3313">
        <v>4.5641369999999997</v>
      </c>
      <c r="E3313">
        <v>0.52190309999999995</v>
      </c>
      <c r="F3313" t="s">
        <v>64</v>
      </c>
      <c r="G3313">
        <v>-409.7543</v>
      </c>
      <c r="H3313" s="1">
        <v>4.4098630000000004E-6</v>
      </c>
      <c r="I3313">
        <v>213.00370000000001</v>
      </c>
      <c r="J3313">
        <v>-446.27809999999999</v>
      </c>
      <c r="K3313">
        <v>1.109842</v>
      </c>
      <c r="L3313">
        <v>213.2346</v>
      </c>
      <c r="M3313">
        <v>0.99974450000000004</v>
      </c>
      <c r="N3313">
        <v>-9.6488400000000005E-3</v>
      </c>
      <c r="O3313">
        <v>2.044928E-2</v>
      </c>
      <c r="P3313">
        <v>0.98496709999999998</v>
      </c>
      <c r="Q3313">
        <v>0.16218379999999999</v>
      </c>
      <c r="R3313">
        <v>5.9471540000000003E-2</v>
      </c>
      <c r="S3313">
        <v>3.0619200000000002</v>
      </c>
      <c r="T3313">
        <v>-9.2439530000000006E-2</v>
      </c>
      <c r="U3313">
        <v>-1.8829350000000002E-2</v>
      </c>
      <c r="V3313">
        <v>-3.9330110000000001E-2</v>
      </c>
      <c r="W3313">
        <v>0.17168659999999999</v>
      </c>
      <c r="X3313">
        <v>0.98436619999999997</v>
      </c>
      <c r="Y3313">
        <v>2.6577670000000001E-2</v>
      </c>
      <c r="Z3313">
        <v>-9.4926449999999996E-4</v>
      </c>
      <c r="AA3313">
        <v>0.99964629999999999</v>
      </c>
      <c r="AB3313">
        <v>26</v>
      </c>
      <c r="AC3313">
        <v>36.523800000000001</v>
      </c>
      <c r="AD3313">
        <v>-1.1098375901369999</v>
      </c>
      <c r="AE3313">
        <v>-0.230899999999991</v>
      </c>
      <c r="AF3313">
        <v>0.97686981090776503</v>
      </c>
      <c r="AG3313">
        <v>-1.1098375901369999</v>
      </c>
      <c r="AH3313">
        <v>36.477759461381197</v>
      </c>
      <c r="AI3313">
        <v>91.742065086076096</v>
      </c>
      <c r="AJ3313">
        <v>88.465992870460298</v>
      </c>
      <c r="AK3313">
        <v>36.507710821500901</v>
      </c>
      <c r="AL3313">
        <v>80.114103771375497</v>
      </c>
      <c r="AM3313">
        <v>92.288021811135806</v>
      </c>
      <c r="AN3313">
        <v>0.99999998093730502</v>
      </c>
    </row>
    <row r="3314" spans="1:40" x14ac:dyDescent="0.25">
      <c r="A3314" t="str">
        <f>"20190304155657865"</f>
        <v>20190304155657865</v>
      </c>
      <c r="B3314" t="str">
        <f>"1551686217858371"</f>
        <v>1551686217858371</v>
      </c>
      <c r="C3314" t="s">
        <v>40</v>
      </c>
      <c r="D3314">
        <v>4.5239760000000002</v>
      </c>
      <c r="E3314">
        <v>0.52182109999999904</v>
      </c>
      <c r="F3314" t="s">
        <v>64</v>
      </c>
      <c r="G3314">
        <v>-411.29379999999998</v>
      </c>
      <c r="H3314" s="1">
        <v>2.5761979999999999E-6</v>
      </c>
      <c r="I3314">
        <v>213.00409999999999</v>
      </c>
      <c r="J3314">
        <v>-446.03219999999999</v>
      </c>
      <c r="K3314">
        <v>1.1098440000000001</v>
      </c>
      <c r="L3314">
        <v>213.2398</v>
      </c>
      <c r="M3314">
        <v>0.99974260000000004</v>
      </c>
      <c r="N3314">
        <v>-9.6500089999999993E-3</v>
      </c>
      <c r="O3314">
        <v>2.052971E-2</v>
      </c>
      <c r="P3314">
        <v>0.98500699999999997</v>
      </c>
      <c r="Q3314">
        <v>0.16200619999999999</v>
      </c>
      <c r="R3314">
        <v>5.9288100000000003E-2</v>
      </c>
      <c r="S3314">
        <v>3.0630190000000002</v>
      </c>
      <c r="T3314">
        <v>-9.7171069999999998E-2</v>
      </c>
      <c r="U3314">
        <v>-2.0187380000000001E-2</v>
      </c>
      <c r="V3314">
        <v>-3.9067530000000003E-2</v>
      </c>
      <c r="W3314">
        <v>0.17151050000000001</v>
      </c>
      <c r="X3314">
        <v>0.98440740000000004</v>
      </c>
      <c r="Y3314">
        <v>2.7096599999999998E-2</v>
      </c>
      <c r="Z3314">
        <v>-1.013484E-3</v>
      </c>
      <c r="AA3314">
        <v>0.99963230000000003</v>
      </c>
      <c r="AB3314">
        <v>26</v>
      </c>
      <c r="AC3314">
        <v>34.738399999999999</v>
      </c>
      <c r="AD3314">
        <v>-1.109841423802</v>
      </c>
      <c r="AE3314">
        <v>-0.23570000000000799</v>
      </c>
      <c r="AF3314">
        <v>0.94788538571987402</v>
      </c>
      <c r="AG3314">
        <v>-1.109841423802</v>
      </c>
      <c r="AH3314">
        <v>34.6908312504195</v>
      </c>
      <c r="AI3314">
        <v>91.8317188077136</v>
      </c>
      <c r="AJ3314">
        <v>88.434850926603502</v>
      </c>
      <c r="AK3314">
        <v>34.721520812538301</v>
      </c>
      <c r="AL3314">
        <v>80.124345926853593</v>
      </c>
      <c r="AM3314">
        <v>92.272667319976506</v>
      </c>
      <c r="AN3314">
        <v>1.0000000263426501</v>
      </c>
    </row>
    <row r="3315" spans="1:40" x14ac:dyDescent="0.25">
      <c r="A3315" t="str">
        <f>"20190304155657887"</f>
        <v>20190304155657887</v>
      </c>
      <c r="B3315" t="str">
        <f>"1551686217877891"</f>
        <v>1551686217877891</v>
      </c>
      <c r="C3315" t="s">
        <v>40</v>
      </c>
      <c r="D3315">
        <v>4.4957960000000003</v>
      </c>
      <c r="E3315">
        <v>0.52169370000000004</v>
      </c>
      <c r="F3315" t="s">
        <v>64</v>
      </c>
      <c r="G3315">
        <v>-411.70710000000003</v>
      </c>
      <c r="H3315" s="1">
        <v>2.6490399999999998E-6</v>
      </c>
      <c r="I3315">
        <v>213.0095</v>
      </c>
      <c r="J3315">
        <v>-445.77600000000001</v>
      </c>
      <c r="K3315">
        <v>1.1098410000000001</v>
      </c>
      <c r="L3315">
        <v>213.24510000000001</v>
      </c>
      <c r="M3315">
        <v>0.99974090000000004</v>
      </c>
      <c r="N3315">
        <v>-9.6515439999999997E-3</v>
      </c>
      <c r="O3315">
        <v>2.0616160000000001E-2</v>
      </c>
      <c r="P3315">
        <v>0.98501249999999996</v>
      </c>
      <c r="Q3315">
        <v>0.1620644</v>
      </c>
      <c r="R3315">
        <v>5.9040370000000002E-2</v>
      </c>
      <c r="S3315">
        <v>3.0632320000000002</v>
      </c>
      <c r="T3315">
        <v>-9.9044199999999999E-2</v>
      </c>
      <c r="U3315">
        <v>-2.055359E-2</v>
      </c>
      <c r="V3315">
        <v>-3.8735730000000003E-2</v>
      </c>
      <c r="W3315">
        <v>0.17156959999999999</v>
      </c>
      <c r="X3315">
        <v>0.98441020000000001</v>
      </c>
      <c r="Y3315">
        <v>2.7301019999999999E-2</v>
      </c>
      <c r="Z3315">
        <v>-1.0404730000000001E-3</v>
      </c>
      <c r="AA3315">
        <v>0.99962669999999998</v>
      </c>
      <c r="AB3315">
        <v>26</v>
      </c>
      <c r="AC3315">
        <v>34.0688999999999</v>
      </c>
      <c r="AD3315">
        <v>-1.1098383509600001</v>
      </c>
      <c r="AE3315">
        <v>-0.235600000000005</v>
      </c>
      <c r="AF3315">
        <v>0.93695824910252001</v>
      </c>
      <c r="AG3315">
        <v>-1.1098383509600001</v>
      </c>
      <c r="AH3315">
        <v>34.020699539778903</v>
      </c>
      <c r="AI3315">
        <v>91.867757991620493</v>
      </c>
      <c r="AJ3315">
        <v>88.422425547958895</v>
      </c>
      <c r="AK3315">
        <v>34.051690546898399</v>
      </c>
      <c r="AL3315">
        <v>80.120908666621006</v>
      </c>
      <c r="AM3315">
        <v>92.253379167080098</v>
      </c>
      <c r="AN3315">
        <v>1.0000000131434099</v>
      </c>
    </row>
    <row r="3316" spans="1:40" x14ac:dyDescent="0.25">
      <c r="A3316" t="str">
        <f>"20190304155657910"</f>
        <v>20190304155657910</v>
      </c>
      <c r="B3316" t="str">
        <f>"1551686217908469"</f>
        <v>1551686217908469</v>
      </c>
      <c r="C3316" t="s">
        <v>40</v>
      </c>
      <c r="D3316">
        <v>4.5103809999999998</v>
      </c>
      <c r="E3316">
        <v>0.52190209999999904</v>
      </c>
      <c r="F3316" t="s">
        <v>64</v>
      </c>
      <c r="G3316">
        <v>-412.10070000000002</v>
      </c>
      <c r="H3316" s="1">
        <v>2.7174579999999999E-6</v>
      </c>
      <c r="I3316">
        <v>213.02539999999999</v>
      </c>
      <c r="J3316">
        <v>-445.51490000000001</v>
      </c>
      <c r="K3316">
        <v>1.109839</v>
      </c>
      <c r="L3316">
        <v>213.25059999999999</v>
      </c>
      <c r="M3316">
        <v>0.99973909999999999</v>
      </c>
      <c r="N3316">
        <v>-9.6533799999999996E-3</v>
      </c>
      <c r="O3316">
        <v>2.0705109999999999E-2</v>
      </c>
      <c r="P3316">
        <v>0.98497210000000002</v>
      </c>
      <c r="Q3316">
        <v>0.16231229999999999</v>
      </c>
      <c r="R3316">
        <v>5.9032290000000001E-2</v>
      </c>
      <c r="S3316">
        <v>3.0634769999999998</v>
      </c>
      <c r="T3316">
        <v>-0.1009631</v>
      </c>
      <c r="U3316">
        <v>-1.9989010000000001E-2</v>
      </c>
      <c r="V3316">
        <v>-3.8642019999999999E-2</v>
      </c>
      <c r="W3316">
        <v>0.1718191</v>
      </c>
      <c r="X3316">
        <v>0.98437039999999998</v>
      </c>
      <c r="Y3316">
        <v>2.7204320000000001E-2</v>
      </c>
      <c r="Z3316">
        <v>-1.061834E-3</v>
      </c>
      <c r="AA3316">
        <v>0.99962930000000005</v>
      </c>
      <c r="AB3316">
        <v>26</v>
      </c>
      <c r="AC3316">
        <v>33.414199999999902</v>
      </c>
      <c r="AD3316">
        <v>-1.1098362825420001</v>
      </c>
      <c r="AE3316">
        <v>-0.22520000000000001</v>
      </c>
      <c r="AF3316">
        <v>0.91601808000373997</v>
      </c>
      <c r="AG3316">
        <v>-1.1098362825420001</v>
      </c>
      <c r="AH3316">
        <v>33.365565854713601</v>
      </c>
      <c r="AI3316">
        <v>91.904405713337795</v>
      </c>
      <c r="AJ3316">
        <v>88.427396974908902</v>
      </c>
      <c r="AK3316">
        <v>33.396583814848</v>
      </c>
      <c r="AL3316">
        <v>80.106398223106098</v>
      </c>
      <c r="AM3316">
        <v>92.248024156141597</v>
      </c>
      <c r="AN3316">
        <v>1.00000004661532</v>
      </c>
    </row>
    <row r="3317" spans="1:40" x14ac:dyDescent="0.25">
      <c r="A3317" t="str">
        <f>"20190304155657932"</f>
        <v>20190304155657932</v>
      </c>
      <c r="B3317" t="str">
        <f>"1551686217927989"</f>
        <v>1551686217927989</v>
      </c>
      <c r="C3317" t="s">
        <v>40</v>
      </c>
      <c r="D3317">
        <v>4.5520009999999997</v>
      </c>
      <c r="E3317">
        <v>0.52205000000000001</v>
      </c>
      <c r="F3317" t="s">
        <v>64</v>
      </c>
      <c r="G3317">
        <v>-412.0428</v>
      </c>
      <c r="H3317" s="1">
        <v>2.7080109999999998E-6</v>
      </c>
      <c r="I3317">
        <v>213.01609999999999</v>
      </c>
      <c r="J3317">
        <v>-445.25470000000001</v>
      </c>
      <c r="K3317">
        <v>1.109839</v>
      </c>
      <c r="L3317">
        <v>213.2561</v>
      </c>
      <c r="M3317">
        <v>0.99973719999999999</v>
      </c>
      <c r="N3317">
        <v>-9.6554459999999998E-3</v>
      </c>
      <c r="O3317">
        <v>2.0793869999999999E-2</v>
      </c>
      <c r="P3317">
        <v>0.98497579999999996</v>
      </c>
      <c r="Q3317">
        <v>0.16206960000000001</v>
      </c>
      <c r="R3317">
        <v>5.9635769999999998E-2</v>
      </c>
      <c r="S3317">
        <v>3.0637819999999998</v>
      </c>
      <c r="T3317">
        <v>-0.1015861</v>
      </c>
      <c r="U3317">
        <v>-2.1469120000000001E-2</v>
      </c>
      <c r="V3317">
        <v>-3.9158600000000002E-2</v>
      </c>
      <c r="W3317">
        <v>0.1715786</v>
      </c>
      <c r="X3317">
        <v>0.98439189999999999</v>
      </c>
      <c r="Y3317">
        <v>2.777458E-2</v>
      </c>
      <c r="Z3317">
        <v>-1.0829679999999999E-3</v>
      </c>
      <c r="AA3317">
        <v>0.99961359999999999</v>
      </c>
      <c r="AB3317">
        <v>26</v>
      </c>
      <c r="AC3317">
        <v>33.2119</v>
      </c>
      <c r="AD3317">
        <v>-1.1098362919889999</v>
      </c>
      <c r="AE3317">
        <v>-0.24000000000000901</v>
      </c>
      <c r="AF3317">
        <v>0.92954624464232005</v>
      </c>
      <c r="AG3317">
        <v>-1.1098362919889999</v>
      </c>
      <c r="AH3317">
        <v>33.162697300304401</v>
      </c>
      <c r="AI3317">
        <v>91.916016466236997</v>
      </c>
      <c r="AJ3317">
        <v>88.394426886288898</v>
      </c>
      <c r="AK3317">
        <v>33.194280908728302</v>
      </c>
      <c r="AL3317">
        <v>80.120385235045802</v>
      </c>
      <c r="AM3317">
        <v>92.2779953720799</v>
      </c>
      <c r="AN3317">
        <v>1.00000001235876</v>
      </c>
    </row>
    <row r="3318" spans="1:40" x14ac:dyDescent="0.25">
      <c r="A3318" t="str">
        <f>"20190304155657965"</f>
        <v>20190304155657965</v>
      </c>
      <c r="B3318" t="str">
        <f>"1551686217958246"</f>
        <v>1551686217958246</v>
      </c>
      <c r="C3318" t="s">
        <v>40</v>
      </c>
      <c r="D3318">
        <v>4.5467009999999997</v>
      </c>
      <c r="E3318">
        <v>0.52216059999999997</v>
      </c>
      <c r="F3318" t="s">
        <v>64</v>
      </c>
      <c r="G3318">
        <v>-411.84640000000002</v>
      </c>
      <c r="H3318" s="1">
        <v>2.6722590000000002E-6</v>
      </c>
      <c r="I3318">
        <v>213.0265</v>
      </c>
      <c r="J3318">
        <v>-444.87569999999999</v>
      </c>
      <c r="K3318">
        <v>1.1098440000000001</v>
      </c>
      <c r="L3318">
        <v>213.26410000000001</v>
      </c>
      <c r="M3318">
        <v>0.99973460000000003</v>
      </c>
      <c r="N3318">
        <v>-9.6588060000000007E-3</v>
      </c>
      <c r="O3318">
        <v>2.0921490000000001E-2</v>
      </c>
      <c r="P3318">
        <v>0.98503779999999996</v>
      </c>
      <c r="Q3318">
        <v>0.16125010000000001</v>
      </c>
      <c r="R3318">
        <v>6.0822580000000001E-2</v>
      </c>
      <c r="S3318">
        <v>3.0637819999999998</v>
      </c>
      <c r="T3318">
        <v>-0.10177990000000001</v>
      </c>
      <c r="U3318">
        <v>-2.105713E-2</v>
      </c>
      <c r="V3318">
        <v>-4.0218610000000002E-2</v>
      </c>
      <c r="W3318">
        <v>0.17076250000000001</v>
      </c>
      <c r="X3318">
        <v>0.98449109999999995</v>
      </c>
      <c r="Y3318">
        <v>2.7767650000000001E-2</v>
      </c>
      <c r="Z3318">
        <v>-1.0879939999999999E-3</v>
      </c>
      <c r="AA3318">
        <v>0.9996138</v>
      </c>
      <c r="AB3318">
        <v>26</v>
      </c>
      <c r="AC3318">
        <v>33.0292999999999</v>
      </c>
      <c r="AD3318">
        <v>-1.109841327741</v>
      </c>
      <c r="AE3318">
        <v>-0.23760000000001399</v>
      </c>
      <c r="AF3318">
        <v>0.92755507562472705</v>
      </c>
      <c r="AG3318">
        <v>-1.109841327741</v>
      </c>
      <c r="AH3318">
        <v>32.979863917367403</v>
      </c>
      <c r="AI3318">
        <v>91.926634076064801</v>
      </c>
      <c r="AJ3318">
        <v>88.388987136261207</v>
      </c>
      <c r="AK3318">
        <v>33.011566612312599</v>
      </c>
      <c r="AL3318">
        <v>80.167845100891796</v>
      </c>
      <c r="AM3318">
        <v>92.339356829923503</v>
      </c>
      <c r="AN3318">
        <v>1.00000004698789</v>
      </c>
    </row>
    <row r="3319" spans="1:40" x14ac:dyDescent="0.25">
      <c r="A3319" t="str">
        <f>"20190304155657988"</f>
        <v>20190304155657988</v>
      </c>
      <c r="B3319" t="str">
        <f>"1551686217977769"</f>
        <v>1551686217977769</v>
      </c>
      <c r="C3319" t="s">
        <v>40</v>
      </c>
      <c r="D3319">
        <v>4.5553189999999999</v>
      </c>
      <c r="E3319">
        <v>0.52223469999999905</v>
      </c>
      <c r="F3319" t="s">
        <v>64</v>
      </c>
      <c r="G3319">
        <v>-412.34010000000001</v>
      </c>
      <c r="H3319" s="1">
        <v>2.755788E-6</v>
      </c>
      <c r="I3319">
        <v>213.0728</v>
      </c>
      <c r="J3319">
        <v>-444.61189999999999</v>
      </c>
      <c r="K3319">
        <v>1.1098479999999999</v>
      </c>
      <c r="L3319">
        <v>213.2697</v>
      </c>
      <c r="M3319">
        <v>0.99973270000000003</v>
      </c>
      <c r="N3319">
        <v>-9.6613549999999999E-3</v>
      </c>
      <c r="O3319">
        <v>2.1010239999999999E-2</v>
      </c>
      <c r="P3319">
        <v>0.98500639999999995</v>
      </c>
      <c r="Q3319">
        <v>0.16118740000000001</v>
      </c>
      <c r="R3319">
        <v>6.1494899999999998E-2</v>
      </c>
      <c r="S3319">
        <v>3.063812</v>
      </c>
      <c r="T3319">
        <v>-0.10451149999999999</v>
      </c>
      <c r="U3319">
        <v>-1.8020629999999999E-2</v>
      </c>
      <c r="V3319">
        <v>-4.0804899999999998E-2</v>
      </c>
      <c r="W3319">
        <v>0.170702399999999</v>
      </c>
      <c r="X3319">
        <v>0.9844773</v>
      </c>
      <c r="Y3319">
        <v>2.6864889999999999E-2</v>
      </c>
      <c r="Z3319">
        <v>-1.101386E-3</v>
      </c>
      <c r="AA3319">
        <v>0.99963840000000004</v>
      </c>
      <c r="AB3319">
        <v>26</v>
      </c>
      <c r="AC3319">
        <v>32.271799999999899</v>
      </c>
      <c r="AD3319">
        <v>-1.1098452442119999</v>
      </c>
      <c r="AE3319">
        <v>-0.19689999999999899</v>
      </c>
      <c r="AF3319">
        <v>0.87389283611134505</v>
      </c>
      <c r="AG3319">
        <v>-1.1098452442119999</v>
      </c>
      <c r="AH3319">
        <v>32.222430178665299</v>
      </c>
      <c r="AI3319">
        <v>91.971948558581701</v>
      </c>
      <c r="AJ3319">
        <v>88.4464827660792</v>
      </c>
      <c r="AK3319">
        <v>32.253378920263003</v>
      </c>
      <c r="AL3319">
        <v>80.171338943942104</v>
      </c>
      <c r="AM3319">
        <v>92.373453503936005</v>
      </c>
      <c r="AN3319">
        <v>0.99999995172252798</v>
      </c>
    </row>
    <row r="3320" spans="1:40" x14ac:dyDescent="0.25">
      <c r="A3320" t="str">
        <f>"20190304155658010"</f>
        <v>20190304155658010</v>
      </c>
      <c r="B3320" t="str">
        <f>"1551686218007495"</f>
        <v>1551686218007495</v>
      </c>
      <c r="C3320" t="s">
        <v>40</v>
      </c>
      <c r="D3320">
        <v>4.5426299999999999</v>
      </c>
      <c r="E3320">
        <v>0.52228920000000001</v>
      </c>
      <c r="F3320" t="s">
        <v>64</v>
      </c>
      <c r="G3320">
        <v>-412.03140000000002</v>
      </c>
      <c r="H3320" s="1">
        <v>2.699517E-6</v>
      </c>
      <c r="I3320">
        <v>213.09010000000001</v>
      </c>
      <c r="J3320">
        <v>-444.35379999999998</v>
      </c>
      <c r="K3320">
        <v>1.1098429999999999</v>
      </c>
      <c r="L3320">
        <v>213.27529999999999</v>
      </c>
      <c r="M3320">
        <v>0.99973069999999997</v>
      </c>
      <c r="N3320">
        <v>-9.6640100000000007E-3</v>
      </c>
      <c r="O3320">
        <v>2.1096299999999998E-2</v>
      </c>
      <c r="P3320">
        <v>0.98489479999999996</v>
      </c>
      <c r="Q3320">
        <v>0.16185339999999901</v>
      </c>
      <c r="R3320">
        <v>6.1525419999999997E-2</v>
      </c>
      <c r="S3320">
        <v>3.0638429999999999</v>
      </c>
      <c r="T3320">
        <v>-0.1043689</v>
      </c>
      <c r="U3320">
        <v>-1.689148E-2</v>
      </c>
      <c r="V3320">
        <v>-4.0752709999999998E-2</v>
      </c>
      <c r="W3320">
        <v>0.17136949999999901</v>
      </c>
      <c r="X3320">
        <v>0.98436360000000001</v>
      </c>
      <c r="Y3320">
        <v>2.658276E-2</v>
      </c>
      <c r="Z3320">
        <v>-1.095684E-3</v>
      </c>
      <c r="AA3320">
        <v>0.99964600000000003</v>
      </c>
      <c r="AB3320">
        <v>26</v>
      </c>
      <c r="AC3320">
        <v>32.322399999999902</v>
      </c>
      <c r="AD3320">
        <v>-1.109840300483</v>
      </c>
      <c r="AE3320">
        <v>-0.18519999999997999</v>
      </c>
      <c r="AF3320">
        <v>0.86605265545634602</v>
      </c>
      <c r="AG3320">
        <v>-1.109840300483</v>
      </c>
      <c r="AH3320">
        <v>32.273249794763103</v>
      </c>
      <c r="AI3320">
        <v>91.9688522278352</v>
      </c>
      <c r="AJ3320">
        <v>88.462836670145293</v>
      </c>
      <c r="AK3320">
        <v>32.303938537116103</v>
      </c>
      <c r="AL3320">
        <v>80.132545705021698</v>
      </c>
      <c r="AM3320">
        <v>92.370694776620795</v>
      </c>
      <c r="AN3320">
        <v>0.99999999295377695</v>
      </c>
    </row>
    <row r="3321" spans="1:40" x14ac:dyDescent="0.25">
      <c r="A3321" t="str">
        <f>"20190304155658033"</f>
        <v>20190304155658033</v>
      </c>
      <c r="B3321" t="str">
        <f>"1551686218027992"</f>
        <v>1551686218027992</v>
      </c>
      <c r="C3321" t="s">
        <v>40</v>
      </c>
      <c r="D3321">
        <v>4.5302259999999999</v>
      </c>
      <c r="E3321">
        <v>0.52238009999999901</v>
      </c>
      <c r="F3321" t="s">
        <v>64</v>
      </c>
      <c r="G3321">
        <v>-411.31950000000001</v>
      </c>
      <c r="H3321" s="1">
        <v>2.5730580000000001E-6</v>
      </c>
      <c r="I3321">
        <v>213.09200000000001</v>
      </c>
      <c r="J3321">
        <v>-444.08010000000002</v>
      </c>
      <c r="K3321">
        <v>1.1098460000000001</v>
      </c>
      <c r="L3321">
        <v>213.28120000000001</v>
      </c>
      <c r="M3321">
        <v>0.99972879999999997</v>
      </c>
      <c r="N3321">
        <v>-9.6669300000000007E-3</v>
      </c>
      <c r="O3321">
        <v>2.1187660000000001E-2</v>
      </c>
      <c r="P3321">
        <v>0.98486859999999998</v>
      </c>
      <c r="Q3321">
        <v>0.16204440000000001</v>
      </c>
      <c r="R3321">
        <v>6.1444560000000002E-2</v>
      </c>
      <c r="S3321">
        <v>3.063965</v>
      </c>
      <c r="T3321">
        <v>-0.1029388</v>
      </c>
      <c r="U3321">
        <v>-1.6998289999999999E-2</v>
      </c>
      <c r="V3321">
        <v>-4.0582809999999997E-2</v>
      </c>
      <c r="W3321">
        <v>0.17156350000000001</v>
      </c>
      <c r="X3321">
        <v>0.98433689999999996</v>
      </c>
      <c r="Y3321">
        <v>2.6709340000000002E-2</v>
      </c>
      <c r="Z3321">
        <v>-1.0844979999999999E-3</v>
      </c>
      <c r="AA3321">
        <v>0.9996427</v>
      </c>
      <c r="AB3321">
        <v>26</v>
      </c>
      <c r="AC3321">
        <v>32.760599999999997</v>
      </c>
      <c r="AD3321">
        <v>-1.1098434269420001</v>
      </c>
      <c r="AE3321">
        <v>-0.18919999999999901</v>
      </c>
      <c r="AF3321">
        <v>0.88229783962095298</v>
      </c>
      <c r="AG3321">
        <v>-1.1098434269420001</v>
      </c>
      <c r="AH3321">
        <v>32.711694988161497</v>
      </c>
      <c r="AI3321">
        <v>91.942481754427106</v>
      </c>
      <c r="AJ3321">
        <v>88.454996317111295</v>
      </c>
      <c r="AK3321">
        <v>32.742406614490598</v>
      </c>
      <c r="AL3321">
        <v>80.121263957033193</v>
      </c>
      <c r="AM3321">
        <v>92.360886407346698</v>
      </c>
      <c r="AN3321">
        <v>1.00000006585067</v>
      </c>
    </row>
    <row r="3322" spans="1:40" x14ac:dyDescent="0.25">
      <c r="A3322" t="str">
        <f>"20190304155658058"</f>
        <v>20190304155658058</v>
      </c>
      <c r="B3322" t="str">
        <f>"1551686218047512"</f>
        <v>1551686218047512</v>
      </c>
      <c r="C3322" t="s">
        <v>40</v>
      </c>
      <c r="D3322">
        <v>4.5755839999999903</v>
      </c>
      <c r="E3322">
        <v>0.52239099999999905</v>
      </c>
      <c r="F3322" t="s">
        <v>64</v>
      </c>
      <c r="G3322">
        <v>-411.06029999999998</v>
      </c>
      <c r="H3322" s="1">
        <v>2.5277890000000001E-6</v>
      </c>
      <c r="I3322">
        <v>213.084</v>
      </c>
      <c r="J3322">
        <v>-443.79880000000003</v>
      </c>
      <c r="K3322">
        <v>1.109842</v>
      </c>
      <c r="L3322">
        <v>213.28720000000001</v>
      </c>
      <c r="M3322">
        <v>0.99972669999999997</v>
      </c>
      <c r="N3322">
        <v>-9.6700120000000004E-3</v>
      </c>
      <c r="O3322">
        <v>2.1281410000000001E-2</v>
      </c>
      <c r="P3322">
        <v>0.98478679999999996</v>
      </c>
      <c r="Q3322">
        <v>0.16268820000000001</v>
      </c>
      <c r="R3322">
        <v>6.1050649999999998E-2</v>
      </c>
      <c r="S3322">
        <v>3.0641780000000001</v>
      </c>
      <c r="T3322">
        <v>-0.1029916</v>
      </c>
      <c r="U3322">
        <v>-1.8295289999999999E-2</v>
      </c>
      <c r="V3322">
        <v>-4.0098050000000003E-2</v>
      </c>
      <c r="W3322">
        <v>0.17220940000000001</v>
      </c>
      <c r="X3322">
        <v>0.98424389999999995</v>
      </c>
      <c r="Y3322">
        <v>2.7225369999999999E-2</v>
      </c>
      <c r="Z3322">
        <v>-1.0983970000000001E-3</v>
      </c>
      <c r="AA3322">
        <v>0.99962870000000004</v>
      </c>
      <c r="AB3322">
        <v>26</v>
      </c>
      <c r="AC3322">
        <v>32.738500000000002</v>
      </c>
      <c r="AD3322">
        <v>-1.1098394722110001</v>
      </c>
      <c r="AE3322">
        <v>-0.20320000000000901</v>
      </c>
      <c r="AF3322">
        <v>0.89887507103639297</v>
      </c>
      <c r="AG3322">
        <v>-1.1098394722110001</v>
      </c>
      <c r="AH3322">
        <v>32.689194678932303</v>
      </c>
      <c r="AI3322">
        <v>91.943783051106095</v>
      </c>
      <c r="AJ3322">
        <v>88.424899304322807</v>
      </c>
      <c r="AK3322">
        <v>32.720378494212802</v>
      </c>
      <c r="AL3322">
        <v>80.083696773674703</v>
      </c>
      <c r="AM3322">
        <v>92.332937229373101</v>
      </c>
      <c r="AN3322">
        <v>0.99999999287468599</v>
      </c>
    </row>
    <row r="3323" spans="1:40" x14ac:dyDescent="0.25">
      <c r="A3323" t="str">
        <f>"20190304155658077"</f>
        <v>20190304155658077</v>
      </c>
      <c r="B3323" t="str">
        <f>"1551686218068008"</f>
        <v>1551686218068008</v>
      </c>
      <c r="C3323" t="s">
        <v>40</v>
      </c>
      <c r="D3323">
        <v>4.5753250000000003</v>
      </c>
      <c r="E3323">
        <v>0.52242999999999995</v>
      </c>
      <c r="F3323" t="s">
        <v>64</v>
      </c>
      <c r="G3323">
        <v>-410.34609999999998</v>
      </c>
      <c r="H3323" s="1">
        <v>2.402097E-6</v>
      </c>
      <c r="I3323">
        <v>213.0727</v>
      </c>
      <c r="J3323">
        <v>-443.56479999999999</v>
      </c>
      <c r="K3323">
        <v>1.109845</v>
      </c>
      <c r="L3323">
        <v>213.29230000000001</v>
      </c>
      <c r="M3323">
        <v>0.99972519999999998</v>
      </c>
      <c r="N3323">
        <v>-9.6726550000000005E-3</v>
      </c>
      <c r="O3323">
        <v>2.1358760000000001E-2</v>
      </c>
      <c r="P3323">
        <v>0.98465360000000002</v>
      </c>
      <c r="Q3323">
        <v>0.16357369999999999</v>
      </c>
      <c r="R3323">
        <v>6.083645E-2</v>
      </c>
      <c r="S3323">
        <v>3.0643310000000001</v>
      </c>
      <c r="T3323">
        <v>-0.1016635</v>
      </c>
      <c r="U3323">
        <v>-1.9653319999999998E-2</v>
      </c>
      <c r="V3323">
        <v>-3.9810640000000001E-2</v>
      </c>
      <c r="W3323">
        <v>0.17309569999999999</v>
      </c>
      <c r="X3323">
        <v>0.98410010000000003</v>
      </c>
      <c r="Y3323">
        <v>2.774569E-2</v>
      </c>
      <c r="Z3323">
        <v>-1.0961689999999999E-3</v>
      </c>
      <c r="AA3323">
        <v>0.99961440000000001</v>
      </c>
      <c r="AB3323">
        <v>26</v>
      </c>
      <c r="AC3323">
        <v>33.218699999999998</v>
      </c>
      <c r="AD3323">
        <v>-1.109842597903</v>
      </c>
      <c r="AE3323">
        <v>-0.21960000000001301</v>
      </c>
      <c r="AF3323">
        <v>0.92805736156395602</v>
      </c>
      <c r="AG3323">
        <v>-1.109842597903</v>
      </c>
      <c r="AH3323">
        <v>33.169407300650498</v>
      </c>
      <c r="AI3323">
        <v>91.915642739077995</v>
      </c>
      <c r="AJ3323">
        <v>88.397321349792804</v>
      </c>
      <c r="AK3323">
        <v>33.2009430850228</v>
      </c>
      <c r="AL3323">
        <v>80.032141451182895</v>
      </c>
      <c r="AM3323">
        <v>92.316571846510001</v>
      </c>
      <c r="AN3323">
        <v>1.0000000076178499</v>
      </c>
    </row>
    <row r="3324" spans="1:40" x14ac:dyDescent="0.25">
      <c r="A3324" t="str">
        <f>"20190304155658100"</f>
        <v>20190304155658100</v>
      </c>
      <c r="B3324" t="str">
        <f>"1551686218088503"</f>
        <v>1551686218088503</v>
      </c>
      <c r="C3324" t="s">
        <v>40</v>
      </c>
      <c r="D3324">
        <v>4.5920560000000004</v>
      </c>
      <c r="E3324">
        <v>0.52243379999999995</v>
      </c>
      <c r="F3324" t="s">
        <v>64</v>
      </c>
      <c r="G3324">
        <v>-409.19040000000001</v>
      </c>
      <c r="H3324" s="1">
        <v>4.6485480000000001E-6</v>
      </c>
      <c r="I3324">
        <v>213.05860000000001</v>
      </c>
      <c r="J3324">
        <v>-443.30220000000003</v>
      </c>
      <c r="K3324">
        <v>1.109845</v>
      </c>
      <c r="L3324">
        <v>213.298</v>
      </c>
      <c r="M3324">
        <v>0.99972309999999998</v>
      </c>
      <c r="N3324">
        <v>-9.6733789999999993E-3</v>
      </c>
      <c r="O3324">
        <v>2.1446139999999999E-2</v>
      </c>
      <c r="P3324">
        <v>0.98460820000000004</v>
      </c>
      <c r="Q3324">
        <v>0.16400379999999901</v>
      </c>
      <c r="R3324">
        <v>6.0412279999999999E-2</v>
      </c>
      <c r="S3324">
        <v>3.0644840000000002</v>
      </c>
      <c r="T3324">
        <v>-9.89424E-2</v>
      </c>
      <c r="U3324">
        <v>-2.082825E-2</v>
      </c>
      <c r="V3324">
        <v>-3.9301750000000003E-2</v>
      </c>
      <c r="W3324">
        <v>0.17352629999999999</v>
      </c>
      <c r="X3324">
        <v>0.98404469999999999</v>
      </c>
      <c r="Y3324">
        <v>2.8216990000000001E-2</v>
      </c>
      <c r="Z3324">
        <v>-1.0767050000000001E-3</v>
      </c>
      <c r="AA3324">
        <v>0.99960119999999997</v>
      </c>
      <c r="AB3324">
        <v>26</v>
      </c>
      <c r="AC3324">
        <v>34.111800000000002</v>
      </c>
      <c r="AD3324">
        <v>-1.1098403514520001</v>
      </c>
      <c r="AE3324">
        <v>-0.23939999999998901</v>
      </c>
      <c r="AF3324">
        <v>0.969919022319228</v>
      </c>
      <c r="AG3324">
        <v>-1.1098403514520001</v>
      </c>
      <c r="AH3324">
        <v>34.062763883298601</v>
      </c>
      <c r="AI3324">
        <v>91.865407768586493</v>
      </c>
      <c r="AJ3324">
        <v>88.368973971163697</v>
      </c>
      <c r="AK3324">
        <v>34.094638462446298</v>
      </c>
      <c r="AL3324">
        <v>80.007090602352505</v>
      </c>
      <c r="AM3324">
        <v>92.287119919386896</v>
      </c>
      <c r="AN3324">
        <v>0.99999998797142098</v>
      </c>
    </row>
    <row r="3325" spans="1:40" x14ac:dyDescent="0.25">
      <c r="A3325" t="str">
        <f>"20190304155658122"</f>
        <v>20190304155658122</v>
      </c>
      <c r="B3325" t="str">
        <f>"1551686218117784"</f>
        <v>1551686218117784</v>
      </c>
      <c r="C3325" t="s">
        <v>40</v>
      </c>
      <c r="D3325">
        <v>4.5970079999999998</v>
      </c>
      <c r="E3325">
        <v>0.52236510000000003</v>
      </c>
      <c r="F3325" t="s">
        <v>64</v>
      </c>
      <c r="G3325">
        <v>-408.60120000000001</v>
      </c>
      <c r="H3325" s="1">
        <v>4.9122829999999997E-6</v>
      </c>
      <c r="I3325">
        <v>213.04679999999999</v>
      </c>
      <c r="J3325">
        <v>-443.041</v>
      </c>
      <c r="K3325">
        <v>1.109842</v>
      </c>
      <c r="L3325">
        <v>213.30369999999999</v>
      </c>
      <c r="M3325">
        <v>0.99972150000000004</v>
      </c>
      <c r="N3325">
        <v>-9.6632390000000006E-3</v>
      </c>
      <c r="O3325">
        <v>2.1532550000000001E-2</v>
      </c>
      <c r="P3325">
        <v>0.98459790000000003</v>
      </c>
      <c r="Q3325">
        <v>0.164234299999999</v>
      </c>
      <c r="R3325">
        <v>5.9951829999999998E-2</v>
      </c>
      <c r="S3325">
        <v>3.0646059999999999</v>
      </c>
      <c r="T3325">
        <v>-9.8015069999999996E-2</v>
      </c>
      <c r="U3325">
        <v>-2.2186279999999999E-2</v>
      </c>
      <c r="V3325">
        <v>-3.875638E-2</v>
      </c>
      <c r="W3325">
        <v>0.17374709999999999</v>
      </c>
      <c r="X3325">
        <v>0.9840274</v>
      </c>
      <c r="Y3325">
        <v>2.8746150000000002E-2</v>
      </c>
      <c r="Z3325">
        <v>-1.0789269999999999E-3</v>
      </c>
      <c r="AA3325">
        <v>0.99958619999999998</v>
      </c>
      <c r="AB3325">
        <v>26</v>
      </c>
      <c r="AC3325">
        <v>34.439799999999899</v>
      </c>
      <c r="AD3325">
        <v>-1.1098370877169901</v>
      </c>
      <c r="AE3325">
        <v>-0.25690000000000102</v>
      </c>
      <c r="AF3325">
        <v>0.99741599682478199</v>
      </c>
      <c r="AG3325">
        <v>-1.1098370877169901</v>
      </c>
      <c r="AH3325">
        <v>34.390570482854798</v>
      </c>
      <c r="AI3325">
        <v>91.8476058895195</v>
      </c>
      <c r="AJ3325">
        <v>88.338739048817004</v>
      </c>
      <c r="AK3325">
        <v>34.422927173152999</v>
      </c>
      <c r="AL3325">
        <v>79.994244861829699</v>
      </c>
      <c r="AM3325">
        <v>92.255455359419599</v>
      </c>
      <c r="AN3325">
        <v>1.00000001784993</v>
      </c>
    </row>
    <row r="3326" spans="1:40" x14ac:dyDescent="0.25">
      <c r="A3326" t="str">
        <f>"20190304155658144"</f>
        <v>20190304155658144</v>
      </c>
      <c r="B3326" t="str">
        <f>"1551686218138280"</f>
        <v>1551686218138280</v>
      </c>
      <c r="C3326" t="s">
        <v>40</v>
      </c>
      <c r="D3326">
        <v>4.341024</v>
      </c>
      <c r="E3326">
        <v>0.52235600000000004</v>
      </c>
      <c r="F3326" t="s">
        <v>64</v>
      </c>
      <c r="G3326">
        <v>-408.38979999999998</v>
      </c>
      <c r="H3326" s="1">
        <v>5.0062270000000001E-6</v>
      </c>
      <c r="I3326">
        <v>213.04589999999999</v>
      </c>
      <c r="J3326">
        <v>-442.78050000000002</v>
      </c>
      <c r="K3326">
        <v>1.109837</v>
      </c>
      <c r="L3326">
        <v>213.30940000000001</v>
      </c>
      <c r="M3326">
        <v>0.99972000000000005</v>
      </c>
      <c r="N3326">
        <v>-9.6340439999999996E-3</v>
      </c>
      <c r="O3326">
        <v>2.1618950000000001E-2</v>
      </c>
      <c r="P3326">
        <v>0.98452980000000001</v>
      </c>
      <c r="Q3326">
        <v>0.16472529999999999</v>
      </c>
      <c r="R3326">
        <v>5.9722270000000001E-2</v>
      </c>
      <c r="S3326">
        <v>3.0646969999999998</v>
      </c>
      <c r="T3326">
        <v>-9.8158720000000005E-2</v>
      </c>
      <c r="U3326">
        <v>-2.2796629999999998E-2</v>
      </c>
      <c r="V3326">
        <v>-3.8443030000000003E-2</v>
      </c>
      <c r="W3326">
        <v>0.17420859999999999</v>
      </c>
      <c r="X3326">
        <v>0.98395809999999995</v>
      </c>
      <c r="Y3326">
        <v>2.9031080000000001E-2</v>
      </c>
      <c r="Z3326">
        <v>-1.0886520000000001E-3</v>
      </c>
      <c r="AA3326">
        <v>0.99957790000000002</v>
      </c>
      <c r="AB3326">
        <v>26</v>
      </c>
      <c r="AC3326">
        <v>34.390700000000002</v>
      </c>
      <c r="AD3326">
        <v>-1.1098319937729999</v>
      </c>
      <c r="AE3326">
        <v>-0.263500000000021</v>
      </c>
      <c r="AF3326">
        <v>1.0059161029438399</v>
      </c>
      <c r="AG3326">
        <v>-1.1098319937729999</v>
      </c>
      <c r="AH3326">
        <v>34.341202660310501</v>
      </c>
      <c r="AI3326">
        <v>91.850236044780601</v>
      </c>
      <c r="AJ3326">
        <v>88.322182465264802</v>
      </c>
      <c r="AK3326">
        <v>34.373853354215001</v>
      </c>
      <c r="AL3326">
        <v>79.967393412082004</v>
      </c>
      <c r="AM3326">
        <v>92.237395744813497</v>
      </c>
      <c r="AN3326">
        <v>1.00000002271257</v>
      </c>
    </row>
    <row r="3327" spans="1:40" x14ac:dyDescent="0.25">
      <c r="A3327" t="str">
        <f>"20190304155658166"</f>
        <v>20190304155658166</v>
      </c>
      <c r="B3327" t="str">
        <f>"1551686218157800"</f>
        <v>1551686218157800</v>
      </c>
      <c r="C3327" t="s">
        <v>40</v>
      </c>
      <c r="D3327">
        <v>4.6032409999999997</v>
      </c>
      <c r="E3327">
        <v>0.52232869999999998</v>
      </c>
      <c r="F3327" t="s">
        <v>64</v>
      </c>
      <c r="G3327">
        <v>-407.76170000000002</v>
      </c>
      <c r="H3327" s="1">
        <v>5.2852099999999997E-6</v>
      </c>
      <c r="I3327">
        <v>213.0438</v>
      </c>
      <c r="J3327">
        <v>-442.51620000000003</v>
      </c>
      <c r="K3327">
        <v>1.1098239999999999</v>
      </c>
      <c r="L3327">
        <v>213.3152</v>
      </c>
      <c r="M3327">
        <v>0.99971849999999995</v>
      </c>
      <c r="N3327">
        <v>-9.5830340000000007E-3</v>
      </c>
      <c r="O3327">
        <v>2.1706690000000001E-2</v>
      </c>
      <c r="P3327">
        <v>0.98448069999999999</v>
      </c>
      <c r="Q3327">
        <v>0.16513420000000001</v>
      </c>
      <c r="R3327">
        <v>5.9403350000000001E-2</v>
      </c>
      <c r="S3327">
        <v>3.0647890000000002</v>
      </c>
      <c r="T3327">
        <v>-9.7130659999999994E-2</v>
      </c>
      <c r="U3327">
        <v>-2.3239139999999998E-2</v>
      </c>
      <c r="V3327">
        <v>-3.8038959999999997E-2</v>
      </c>
      <c r="W3327">
        <v>0.17456640000000001</v>
      </c>
      <c r="X3327">
        <v>0.98391039999999996</v>
      </c>
      <c r="Y3327">
        <v>2.9263239999999999E-2</v>
      </c>
      <c r="Z3327">
        <v>-1.0835949999999999E-3</v>
      </c>
      <c r="AA3327">
        <v>0.99957110000000005</v>
      </c>
      <c r="AB3327">
        <v>26</v>
      </c>
      <c r="AC3327">
        <v>34.7545</v>
      </c>
      <c r="AD3327">
        <v>-1.1098187147899901</v>
      </c>
      <c r="AE3327">
        <v>-0.27139999999999898</v>
      </c>
      <c r="AF3327">
        <v>1.02473093464551</v>
      </c>
      <c r="AG3327">
        <v>-1.1098187147899901</v>
      </c>
      <c r="AH3327">
        <v>34.705031655160496</v>
      </c>
      <c r="AI3327">
        <v>91.830817902846505</v>
      </c>
      <c r="AJ3327">
        <v>88.308726395565301</v>
      </c>
      <c r="AK3327">
        <v>34.737889879119201</v>
      </c>
      <c r="AL3327">
        <v>79.946574071416606</v>
      </c>
      <c r="AM3327">
        <v>92.214009499214498</v>
      </c>
      <c r="AN3327">
        <v>1.0000000328575001</v>
      </c>
    </row>
    <row r="3328" spans="1:40" x14ac:dyDescent="0.25">
      <c r="A3328" t="str">
        <f>"20190304155658190"</f>
        <v>20190304155658190</v>
      </c>
      <c r="B3328" t="str">
        <f>"1551686218178300"</f>
        <v>1551686218178300</v>
      </c>
      <c r="C3328" t="s">
        <v>40</v>
      </c>
      <c r="D3328">
        <v>4.5718290000000001</v>
      </c>
      <c r="E3328">
        <v>0.522300599999999</v>
      </c>
      <c r="F3328" t="s">
        <v>64</v>
      </c>
      <c r="G3328">
        <v>-407.32639999999998</v>
      </c>
      <c r="H3328" s="1">
        <v>5.479041E-6</v>
      </c>
      <c r="I3328">
        <v>213.03980000000001</v>
      </c>
      <c r="J3328">
        <v>-442.2473</v>
      </c>
      <c r="K3328">
        <v>1.1098140000000001</v>
      </c>
      <c r="L3328">
        <v>213.3211</v>
      </c>
      <c r="M3328">
        <v>0.99971730000000003</v>
      </c>
      <c r="N3328">
        <v>-9.5112459999999992E-3</v>
      </c>
      <c r="O3328">
        <v>2.1796090000000001E-2</v>
      </c>
      <c r="P3328">
        <v>0.98442750000000001</v>
      </c>
      <c r="Q3328">
        <v>0.16556789999999999</v>
      </c>
      <c r="R3328">
        <v>5.907362E-2</v>
      </c>
      <c r="S3328">
        <v>3.064972</v>
      </c>
      <c r="T3328">
        <v>-9.6663360000000004E-2</v>
      </c>
      <c r="U3328">
        <v>-2.3986819999999999E-2</v>
      </c>
      <c r="V3328">
        <v>-3.7622700000000002E-2</v>
      </c>
      <c r="W3328">
        <v>0.1749289</v>
      </c>
      <c r="X3328">
        <v>0.98386200000000001</v>
      </c>
      <c r="Y3328">
        <v>2.9595980000000001E-2</v>
      </c>
      <c r="Z3328">
        <v>-1.087293E-3</v>
      </c>
      <c r="AA3328">
        <v>0.99956140000000004</v>
      </c>
      <c r="AB3328">
        <v>26</v>
      </c>
      <c r="AC3328">
        <v>34.920900000000003</v>
      </c>
      <c r="AD3328">
        <v>-1.1098085209589901</v>
      </c>
      <c r="AE3328">
        <v>-0.281299999999987</v>
      </c>
      <c r="AF3328">
        <v>1.0413548861245701</v>
      </c>
      <c r="AG3328">
        <v>-1.1098085209589901</v>
      </c>
      <c r="AH3328">
        <v>34.871253825210097</v>
      </c>
      <c r="AI3328">
        <v>91.822061893334705</v>
      </c>
      <c r="AJ3328">
        <v>88.289493304320899</v>
      </c>
      <c r="AK3328">
        <v>34.9044472566789</v>
      </c>
      <c r="AL3328">
        <v>79.925479560222797</v>
      </c>
      <c r="AM3328">
        <v>92.189912949932094</v>
      </c>
      <c r="AN3328">
        <v>1.00000001132725</v>
      </c>
    </row>
    <row r="3329" spans="1:40" x14ac:dyDescent="0.25">
      <c r="A3329" t="str">
        <f>"20190304155658211"</f>
        <v>20190304155658211</v>
      </c>
      <c r="B3329" t="str">
        <f>"1551686218207576"</f>
        <v>1551686218207576</v>
      </c>
      <c r="C3329" t="s">
        <v>40</v>
      </c>
      <c r="D3329">
        <v>4.5089860000000002</v>
      </c>
      <c r="E3329">
        <v>0.52238879999999999</v>
      </c>
      <c r="F3329" t="s">
        <v>64</v>
      </c>
      <c r="G3329">
        <v>-406.80540000000002</v>
      </c>
      <c r="H3329" s="1">
        <v>5.7102329999999901E-6</v>
      </c>
      <c r="I3329">
        <v>213.03919999999999</v>
      </c>
      <c r="J3329">
        <v>-441.99270000000001</v>
      </c>
      <c r="K3329">
        <v>1.1097900000000001</v>
      </c>
      <c r="L3329">
        <v>213.32679999999999</v>
      </c>
      <c r="M3329">
        <v>0.99971620000000005</v>
      </c>
      <c r="N3329">
        <v>-9.4247140000000007E-3</v>
      </c>
      <c r="O3329">
        <v>2.18812E-2</v>
      </c>
      <c r="P3329">
        <v>0.98448919999999995</v>
      </c>
      <c r="Q3329">
        <v>0.16538340000000001</v>
      </c>
      <c r="R3329">
        <v>5.8562019999999999E-2</v>
      </c>
      <c r="S3329">
        <v>3.0650629999999999</v>
      </c>
      <c r="T3329">
        <v>-9.597754E-2</v>
      </c>
      <c r="U3329">
        <v>-2.4383539999999999E-2</v>
      </c>
      <c r="V3329">
        <v>-3.7025860000000001E-2</v>
      </c>
      <c r="W3329">
        <v>0.17465990000000001</v>
      </c>
      <c r="X3329">
        <v>0.98393240000000004</v>
      </c>
      <c r="Y3329">
        <v>2.9810389999999999E-2</v>
      </c>
      <c r="Z3329">
        <v>-1.08591E-3</v>
      </c>
      <c r="AA3329">
        <v>0.99955499999999997</v>
      </c>
      <c r="AB3329">
        <v>26</v>
      </c>
      <c r="AC3329">
        <v>35.187299999999901</v>
      </c>
      <c r="AD3329">
        <v>-1.1097842897669901</v>
      </c>
      <c r="AE3329">
        <v>-0.28759999999999702</v>
      </c>
      <c r="AF3329">
        <v>1.05645482929004</v>
      </c>
      <c r="AG3329">
        <v>-1.1097842897669901</v>
      </c>
      <c r="AH3329">
        <v>35.137631197655601</v>
      </c>
      <c r="AI3329">
        <v>91.808207644471494</v>
      </c>
      <c r="AJ3329">
        <v>88.2778527907453</v>
      </c>
      <c r="AK3329">
        <v>35.171022790908502</v>
      </c>
      <c r="AL3329">
        <v>79.941132807476905</v>
      </c>
      <c r="AM3329">
        <v>92.155051515534396</v>
      </c>
      <c r="AN3329">
        <v>0.99999998137325397</v>
      </c>
    </row>
    <row r="3330" spans="1:40" x14ac:dyDescent="0.25">
      <c r="A3330" t="str">
        <f>"20190304155658235"</f>
        <v>20190304155658235</v>
      </c>
      <c r="B3330" t="str">
        <f>"1551686218228071"</f>
        <v>1551686218228071</v>
      </c>
      <c r="C3330" t="s">
        <v>40</v>
      </c>
      <c r="D3330">
        <v>4.5028240000000004</v>
      </c>
      <c r="E3330">
        <v>0.52232149999999999</v>
      </c>
      <c r="F3330" t="s">
        <v>64</v>
      </c>
      <c r="G3330">
        <v>-405.01670000000001</v>
      </c>
      <c r="H3330" s="1">
        <v>6.5102790000000002E-6</v>
      </c>
      <c r="I3330">
        <v>213.006</v>
      </c>
      <c r="J3330">
        <v>-441.70510000000002</v>
      </c>
      <c r="K3330">
        <v>1.1097649999999999</v>
      </c>
      <c r="L3330">
        <v>213.33320000000001</v>
      </c>
      <c r="M3330">
        <v>0.99971509999999997</v>
      </c>
      <c r="N3330">
        <v>-9.3155140000000004E-3</v>
      </c>
      <c r="O3330">
        <v>2.1977259999999998E-2</v>
      </c>
      <c r="P3330">
        <v>0.9845507</v>
      </c>
      <c r="Q3330">
        <v>0.16507369999999999</v>
      </c>
      <c r="R3330">
        <v>5.8403919999999998E-2</v>
      </c>
      <c r="S3330">
        <v>3.0643009999999999</v>
      </c>
      <c r="T3330">
        <v>-9.1970800000000005E-2</v>
      </c>
      <c r="U3330">
        <v>-2.658081E-2</v>
      </c>
      <c r="V3330">
        <v>-3.6771980000000003E-2</v>
      </c>
      <c r="W3330">
        <v>0.17424339999999999</v>
      </c>
      <c r="X3330">
        <v>0.9840158</v>
      </c>
      <c r="Y3330">
        <v>3.0626529999999999E-2</v>
      </c>
      <c r="Z3330">
        <v>-1.05692E-3</v>
      </c>
      <c r="AA3330">
        <v>0.99953029999999998</v>
      </c>
      <c r="AB3330">
        <v>27</v>
      </c>
      <c r="AC3330">
        <v>36.688400000000001</v>
      </c>
      <c r="AD3330">
        <v>-1.109758489721</v>
      </c>
      <c r="AE3330">
        <v>-0.32720000000003302</v>
      </c>
      <c r="AF3330">
        <v>1.13243039436943</v>
      </c>
      <c r="AG3330">
        <v>-1.109758489721</v>
      </c>
      <c r="AH3330">
        <v>36.638826456063597</v>
      </c>
      <c r="AI3330">
        <v>91.734081797472101</v>
      </c>
      <c r="AJ3330">
        <v>88.229669472863506</v>
      </c>
      <c r="AK3330">
        <v>36.673117764667097</v>
      </c>
      <c r="AL3330">
        <v>79.965368500366296</v>
      </c>
      <c r="AM3330">
        <v>92.140107254291195</v>
      </c>
      <c r="AN3330">
        <v>1.0000000178031601</v>
      </c>
    </row>
    <row r="3331" spans="1:40" x14ac:dyDescent="0.25">
      <c r="A3331" t="str">
        <f>"20190304155658258"</f>
        <v>20190304155658258</v>
      </c>
      <c r="B3331" t="str">
        <f>"1551686218247592"</f>
        <v>1551686218247592</v>
      </c>
      <c r="C3331" t="s">
        <v>40</v>
      </c>
      <c r="D3331">
        <v>4.5010640000000004</v>
      </c>
      <c r="E3331">
        <v>0.52224539999999997</v>
      </c>
      <c r="F3331" t="s">
        <v>64</v>
      </c>
      <c r="G3331">
        <v>-403.03899999999999</v>
      </c>
      <c r="H3331" s="1">
        <v>7.3877139999999902E-6</v>
      </c>
      <c r="I3331">
        <v>213.00399999999999</v>
      </c>
      <c r="J3331">
        <v>-441.44099999999997</v>
      </c>
      <c r="K3331">
        <v>1.10975</v>
      </c>
      <c r="L3331">
        <v>213.3391</v>
      </c>
      <c r="M3331">
        <v>0.99971410000000005</v>
      </c>
      <c r="N3331">
        <v>-9.2149060000000001E-3</v>
      </c>
      <c r="O3331">
        <v>2.206559E-2</v>
      </c>
      <c r="P3331">
        <v>0.98455009999999998</v>
      </c>
      <c r="Q3331">
        <v>0.1648492</v>
      </c>
      <c r="R3331">
        <v>5.9041999999999997E-2</v>
      </c>
      <c r="S3331">
        <v>3.0633539999999999</v>
      </c>
      <c r="T3331">
        <v>-8.79215E-2</v>
      </c>
      <c r="U3331">
        <v>-2.607727E-2</v>
      </c>
      <c r="V3331">
        <v>-3.7323120000000001E-2</v>
      </c>
      <c r="W3331">
        <v>0.17391989999999999</v>
      </c>
      <c r="X3331">
        <v>0.98405220000000004</v>
      </c>
      <c r="Y3331">
        <v>3.0555180000000001E-2</v>
      </c>
      <c r="Z3331">
        <v>-1.0090380000000001E-3</v>
      </c>
      <c r="AA3331">
        <v>0.99953259999999999</v>
      </c>
      <c r="AB3331">
        <v>27</v>
      </c>
      <c r="AC3331">
        <v>38.402000000000001</v>
      </c>
      <c r="AD3331">
        <v>-1.1097426122859999</v>
      </c>
      <c r="AE3331">
        <v>-0.33509999999998202</v>
      </c>
      <c r="AF3331">
        <v>1.18143060035601</v>
      </c>
      <c r="AG3331">
        <v>-1.1097426122859999</v>
      </c>
      <c r="AH3331">
        <v>38.353228574480603</v>
      </c>
      <c r="AI3331">
        <v>91.656593584354894</v>
      </c>
      <c r="AJ3331">
        <v>88.235622094584599</v>
      </c>
      <c r="AK3331">
        <v>38.3874647380539</v>
      </c>
      <c r="AL3331">
        <v>79.984190291417207</v>
      </c>
      <c r="AM3331">
        <v>92.172072503012501</v>
      </c>
      <c r="AN3331">
        <v>0.99999993961369005</v>
      </c>
    </row>
    <row r="3332" spans="1:40" x14ac:dyDescent="0.25">
      <c r="A3332" t="str">
        <f>"20190304155658278"</f>
        <v>20190304155658278</v>
      </c>
      <c r="B3332" t="str">
        <f>"1551686218268091"</f>
        <v>1551686218268091</v>
      </c>
      <c r="C3332" t="s">
        <v>40</v>
      </c>
      <c r="D3332">
        <v>4.4734069999999999</v>
      </c>
      <c r="E3332">
        <v>0.52207769999999998</v>
      </c>
      <c r="F3332" t="s">
        <v>64</v>
      </c>
      <c r="G3332">
        <v>-400.97379999999998</v>
      </c>
      <c r="H3332" s="1">
        <v>8.2993810000000002E-6</v>
      </c>
      <c r="I3332">
        <v>213.02440000000001</v>
      </c>
      <c r="J3332">
        <v>-441.19540000000001</v>
      </c>
      <c r="K3332">
        <v>1.109734</v>
      </c>
      <c r="L3332">
        <v>213.34460000000001</v>
      </c>
      <c r="M3332">
        <v>0.99971310000000002</v>
      </c>
      <c r="N3332">
        <v>-9.1192819999999994E-3</v>
      </c>
      <c r="O3332">
        <v>2.2147210000000001E-2</v>
      </c>
      <c r="P3332">
        <v>0.98439379999999999</v>
      </c>
      <c r="Q3332">
        <v>0.16577</v>
      </c>
      <c r="R3332">
        <v>5.9067130000000002E-2</v>
      </c>
      <c r="S3332">
        <v>3.062592</v>
      </c>
      <c r="T3332">
        <v>-8.3986039999999998E-2</v>
      </c>
      <c r="U3332">
        <v>-2.3818969999999998E-2</v>
      </c>
      <c r="V3332">
        <v>-3.727113E-2</v>
      </c>
      <c r="W3332">
        <v>0.17474529999999999</v>
      </c>
      <c r="X3332">
        <v>0.983908</v>
      </c>
      <c r="Y3332">
        <v>2.9904030000000002E-2</v>
      </c>
      <c r="Z3332">
        <v>-9.5158869999999998E-4</v>
      </c>
      <c r="AA3332">
        <v>0.99955229999999995</v>
      </c>
      <c r="AB3332">
        <v>27</v>
      </c>
      <c r="AC3332">
        <v>40.221600000000002</v>
      </c>
      <c r="AD3332">
        <v>-1.109725700619</v>
      </c>
      <c r="AE3332">
        <v>-0.32019999999999899</v>
      </c>
      <c r="AF3332">
        <v>1.2100336958961699</v>
      </c>
      <c r="AG3332">
        <v>-1.109725700619</v>
      </c>
      <c r="AH3332">
        <v>40.174062280116303</v>
      </c>
      <c r="AI3332">
        <v>91.581558637452105</v>
      </c>
      <c r="AJ3332">
        <v>88.274785621450704</v>
      </c>
      <c r="AK3332">
        <v>40.207598196889201</v>
      </c>
      <c r="AL3332">
        <v>79.936163560890094</v>
      </c>
      <c r="AM3332">
        <v>92.1693673511745</v>
      </c>
      <c r="AN3332">
        <v>1.00000000473378</v>
      </c>
    </row>
    <row r="3333" spans="1:40" x14ac:dyDescent="0.25">
      <c r="A3333" t="str">
        <f>"20190304155658301"</f>
        <v>20190304155658301</v>
      </c>
      <c r="B3333" t="str">
        <f>"1551686218298344"</f>
        <v>1551686218298344</v>
      </c>
      <c r="C3333" t="s">
        <v>40</v>
      </c>
      <c r="D3333">
        <v>4.4979829999999996</v>
      </c>
      <c r="E3333">
        <v>0.52185930000000003</v>
      </c>
      <c r="F3333" t="s">
        <v>55</v>
      </c>
      <c r="G3333">
        <v>-397.56299999999999</v>
      </c>
      <c r="H3333" s="1">
        <v>2.4878839999999999E-6</v>
      </c>
      <c r="I3333">
        <v>213.03129999999999</v>
      </c>
      <c r="J3333">
        <v>-440.92500000000001</v>
      </c>
      <c r="K3333">
        <v>1.10972</v>
      </c>
      <c r="L3333">
        <v>213.35069999999999</v>
      </c>
      <c r="M3333">
        <v>0.99971220000000005</v>
      </c>
      <c r="N3333">
        <v>-9.0063880000000006E-3</v>
      </c>
      <c r="O3333">
        <v>2.2237259999999998E-2</v>
      </c>
      <c r="P3333">
        <v>0.98439219999999905</v>
      </c>
      <c r="Q3333">
        <v>0.16576659999999999</v>
      </c>
      <c r="R3333">
        <v>5.910551E-2</v>
      </c>
      <c r="S3333">
        <v>3.0620120000000002</v>
      </c>
      <c r="T3333">
        <v>-7.7878240000000001E-2</v>
      </c>
      <c r="U3333">
        <v>-2.1987920000000001E-2</v>
      </c>
      <c r="V3333">
        <v>-3.7221230000000001E-2</v>
      </c>
      <c r="W3333">
        <v>0.17463119999999999</v>
      </c>
      <c r="X3333">
        <v>0.98393010000000003</v>
      </c>
      <c r="Y3333">
        <v>2.9400619999999999E-2</v>
      </c>
      <c r="Z3333">
        <v>-8.7143449999999999E-4</v>
      </c>
      <c r="AA3333">
        <v>0.99956730000000005</v>
      </c>
      <c r="AB3333">
        <v>27</v>
      </c>
      <c r="AC3333">
        <v>43.361999999999902</v>
      </c>
      <c r="AD3333">
        <v>-1.1097175121159999</v>
      </c>
      <c r="AE3333">
        <v>-0.31940000000000102</v>
      </c>
      <c r="AF3333">
        <v>1.2827720435679999</v>
      </c>
      <c r="AG3333">
        <v>-1.1097175121159999</v>
      </c>
      <c r="AH3333">
        <v>43.3158057496073</v>
      </c>
      <c r="AI3333">
        <v>91.466909805263398</v>
      </c>
      <c r="AJ3333">
        <v>88.303715049770503</v>
      </c>
      <c r="AK3333">
        <v>43.349002350805797</v>
      </c>
      <c r="AL3333">
        <v>79.942802633777603</v>
      </c>
      <c r="AM3333">
        <v>92.166417074985006</v>
      </c>
      <c r="AN3333">
        <v>0.99999995883107995</v>
      </c>
    </row>
    <row r="3334" spans="1:40" x14ac:dyDescent="0.25">
      <c r="A3334" t="str">
        <f>"20190304155658323"</f>
        <v>20190304155658323</v>
      </c>
      <c r="B3334" t="str">
        <f>"1551686218317864"</f>
        <v>1551686218317864</v>
      </c>
      <c r="C3334" t="s">
        <v>40</v>
      </c>
      <c r="D3334">
        <v>4.4884259999999996</v>
      </c>
      <c r="E3334">
        <v>0.52169009999999905</v>
      </c>
      <c r="F3334" t="s">
        <v>55</v>
      </c>
      <c r="G3334">
        <v>-394.34859999999998</v>
      </c>
      <c r="H3334" s="1">
        <v>7.7733009999999998E-7</v>
      </c>
      <c r="I3334">
        <v>213.0549</v>
      </c>
      <c r="J3334">
        <v>-440.65719999999999</v>
      </c>
      <c r="K3334">
        <v>1.1097079999999999</v>
      </c>
      <c r="L3334">
        <v>213.35679999999999</v>
      </c>
      <c r="M3334">
        <v>0.99971129999999997</v>
      </c>
      <c r="N3334">
        <v>-8.8890510000000002E-3</v>
      </c>
      <c r="O3334">
        <v>2.23263E-2</v>
      </c>
      <c r="P3334">
        <v>0.98447969999999896</v>
      </c>
      <c r="Q3334">
        <v>0.165235299999999</v>
      </c>
      <c r="R3334">
        <v>5.913682E-2</v>
      </c>
      <c r="S3334">
        <v>3.0610050000000002</v>
      </c>
      <c r="T3334">
        <v>-7.2930930000000005E-2</v>
      </c>
      <c r="U3334">
        <v>-1.9439700000000001E-2</v>
      </c>
      <c r="V3334">
        <v>-3.7162679999999997E-2</v>
      </c>
      <c r="W3334">
        <v>0.1739851</v>
      </c>
      <c r="X3334">
        <v>0.9840468</v>
      </c>
      <c r="Y3334">
        <v>2.8662130000000001E-2</v>
      </c>
      <c r="Z3334">
        <v>-8.0220059999999997E-4</v>
      </c>
      <c r="AA3334">
        <v>0.99958880000000006</v>
      </c>
      <c r="AB3334">
        <v>27</v>
      </c>
      <c r="AC3334">
        <v>46.308599999999998</v>
      </c>
      <c r="AD3334">
        <v>-1.1097072226699001</v>
      </c>
      <c r="AE3334">
        <v>-0.30189999999998901</v>
      </c>
      <c r="AF3334">
        <v>1.3349986260483</v>
      </c>
      <c r="AG3334">
        <v>-1.1097072226699001</v>
      </c>
      <c r="AH3334">
        <v>46.263750126090699</v>
      </c>
      <c r="AI3334">
        <v>91.373492431970703</v>
      </c>
      <c r="AJ3334">
        <v>88.347116981965598</v>
      </c>
      <c r="AK3334">
        <v>46.296309217700603</v>
      </c>
      <c r="AL3334">
        <v>79.980397302824301</v>
      </c>
      <c r="AM3334">
        <v>92.162756209720101</v>
      </c>
      <c r="AN3334">
        <v>0.99999999219851599</v>
      </c>
    </row>
    <row r="3335" spans="1:40" x14ac:dyDescent="0.25">
      <c r="A3335" t="str">
        <f>"20190304155658345"</f>
        <v>20190304155658345</v>
      </c>
      <c r="B3335" t="str">
        <f>"1551686218338360"</f>
        <v>1551686218338360</v>
      </c>
      <c r="C3335" t="s">
        <v>40</v>
      </c>
      <c r="D3335">
        <v>4.4749949999999998</v>
      </c>
      <c r="E3335">
        <v>0.52151780000000003</v>
      </c>
      <c r="F3335" t="s">
        <v>55</v>
      </c>
      <c r="G3335">
        <v>-393.18119999999999</v>
      </c>
      <c r="H3335" s="1">
        <v>1.560841E-7</v>
      </c>
      <c r="I3335">
        <v>213.0684</v>
      </c>
      <c r="J3335">
        <v>-440.3886</v>
      </c>
      <c r="K3335">
        <v>1.109693</v>
      </c>
      <c r="L3335">
        <v>213.3629</v>
      </c>
      <c r="M3335">
        <v>0.9997104</v>
      </c>
      <c r="N3335">
        <v>-8.7665209999999993E-3</v>
      </c>
      <c r="O3335">
        <v>2.241452E-2</v>
      </c>
      <c r="P3335">
        <v>0.98454269999999999</v>
      </c>
      <c r="Q3335">
        <v>0.16488410000000001</v>
      </c>
      <c r="R3335">
        <v>5.9067809999999998E-2</v>
      </c>
      <c r="S3335">
        <v>3.060425</v>
      </c>
      <c r="T3335">
        <v>-7.1534630000000002E-2</v>
      </c>
      <c r="U3335">
        <v>-1.8585210000000001E-2</v>
      </c>
      <c r="V3335">
        <v>-3.7005320000000001E-2</v>
      </c>
      <c r="W3335">
        <v>0.1735141</v>
      </c>
      <c r="X3335">
        <v>0.98413589999999995</v>
      </c>
      <c r="Y3335">
        <v>2.8472999999999998E-2</v>
      </c>
      <c r="Z3335">
        <v>-7.8487539999999903E-4</v>
      </c>
      <c r="AA3335">
        <v>0.99959430000000005</v>
      </c>
      <c r="AB3335">
        <v>27</v>
      </c>
      <c r="AC3335">
        <v>47.2074</v>
      </c>
      <c r="AD3335">
        <v>-1.1096928439159</v>
      </c>
      <c r="AE3335">
        <v>-0.29449999999999898</v>
      </c>
      <c r="AF3335">
        <v>1.3518508411485399</v>
      </c>
      <c r="AG3335">
        <v>-1.1096928439159</v>
      </c>
      <c r="AH3335">
        <v>47.162877855795898</v>
      </c>
      <c r="AI3335">
        <v>91.347307502547807</v>
      </c>
      <c r="AJ3335">
        <v>88.358154772739098</v>
      </c>
      <c r="AK3335">
        <v>47.195296021375697</v>
      </c>
      <c r="AL3335">
        <v>80.007800531049099</v>
      </c>
      <c r="AM3335">
        <v>92.153412176501206</v>
      </c>
      <c r="AN3335">
        <v>1.0000000031379599</v>
      </c>
    </row>
    <row r="3336" spans="1:40" x14ac:dyDescent="0.25">
      <c r="A3336" t="str">
        <f>"20190304155658367"</f>
        <v>20190304155658367</v>
      </c>
      <c r="B3336" t="str">
        <f>"1551686218357880"</f>
        <v>1551686218357880</v>
      </c>
      <c r="C3336" t="s">
        <v>40</v>
      </c>
      <c r="D3336">
        <v>4.513287</v>
      </c>
      <c r="E3336">
        <v>0.52147449999999995</v>
      </c>
      <c r="F3336" t="s">
        <v>55</v>
      </c>
      <c r="G3336">
        <v>-391.92950000000002</v>
      </c>
      <c r="H3336" s="1">
        <v>-5.0999609999999897E-7</v>
      </c>
      <c r="I3336">
        <v>213.0847</v>
      </c>
      <c r="J3336">
        <v>-440.11509999999998</v>
      </c>
      <c r="K3336">
        <v>1.1096699999999999</v>
      </c>
      <c r="L3336">
        <v>213.3691</v>
      </c>
      <c r="M3336">
        <v>0.99970970000000003</v>
      </c>
      <c r="N3336">
        <v>-8.6370370000000002E-3</v>
      </c>
      <c r="O3336">
        <v>2.2499410000000001E-2</v>
      </c>
      <c r="P3336">
        <v>0.98453489999999999</v>
      </c>
      <c r="Q3336">
        <v>0.16482910000000001</v>
      </c>
      <c r="R3336">
        <v>5.935228E-2</v>
      </c>
      <c r="S3336">
        <v>3.0598450000000001</v>
      </c>
      <c r="T3336">
        <v>-7.0069190000000003E-2</v>
      </c>
      <c r="U3336">
        <v>-1.7562870000000001E-2</v>
      </c>
      <c r="V3336">
        <v>-3.720503E-2</v>
      </c>
      <c r="W3336">
        <v>0.1733315</v>
      </c>
      <c r="X3336">
        <v>0.98416049999999999</v>
      </c>
      <c r="Y3336">
        <v>2.822564E-2</v>
      </c>
      <c r="Z3336">
        <v>-7.6585869999999895E-4</v>
      </c>
      <c r="AA3336">
        <v>0.99960130000000003</v>
      </c>
      <c r="AB3336">
        <v>27</v>
      </c>
      <c r="AC3336">
        <v>48.185599999999901</v>
      </c>
      <c r="AD3336">
        <v>-1.1096705099961</v>
      </c>
      <c r="AE3336">
        <v>-0.28440000000000498</v>
      </c>
      <c r="AF3336">
        <v>1.3677904778635299</v>
      </c>
      <c r="AG3336">
        <v>-1.1096705099961</v>
      </c>
      <c r="AH3336">
        <v>48.1414717299226</v>
      </c>
      <c r="AI3336">
        <v>91.319912859989898</v>
      </c>
      <c r="AJ3336">
        <v>88.372556099503896</v>
      </c>
      <c r="AK3336">
        <v>48.173680778564403</v>
      </c>
      <c r="AL3336">
        <v>80.018423237678306</v>
      </c>
      <c r="AM3336">
        <v>92.164968598345595</v>
      </c>
      <c r="AN3336">
        <v>0.99999995645489903</v>
      </c>
    </row>
    <row r="3337" spans="1:40" x14ac:dyDescent="0.25">
      <c r="A3337" t="str">
        <f>"20190304155658390"</f>
        <v>20190304155658390</v>
      </c>
      <c r="B3337" t="str">
        <f>"1551686218388136"</f>
        <v>1551686218388136</v>
      </c>
      <c r="C3337" t="s">
        <v>40</v>
      </c>
      <c r="D3337">
        <v>4.625006</v>
      </c>
      <c r="E3337">
        <v>0.52152959999999904</v>
      </c>
      <c r="F3337" t="s">
        <v>55</v>
      </c>
      <c r="G3337">
        <v>-390.01089999999999</v>
      </c>
      <c r="H3337" s="1">
        <v>-1.5309700000000001E-6</v>
      </c>
      <c r="I3337">
        <v>213.09970000000001</v>
      </c>
      <c r="J3337">
        <v>-439.8485</v>
      </c>
      <c r="K3337">
        <v>1.109645</v>
      </c>
      <c r="L3337">
        <v>213.3751</v>
      </c>
      <c r="M3337">
        <v>0.99970899999999996</v>
      </c>
      <c r="N3337">
        <v>-8.5091109999999998E-3</v>
      </c>
      <c r="O3337">
        <v>2.2573280000000001E-2</v>
      </c>
      <c r="P3337">
        <v>0.98445190000000005</v>
      </c>
      <c r="Q3337">
        <v>0.16516120000000001</v>
      </c>
      <c r="R3337">
        <v>5.9804410000000002E-2</v>
      </c>
      <c r="S3337">
        <v>3.059418</v>
      </c>
      <c r="T3337">
        <v>-6.775784E-2</v>
      </c>
      <c r="U3337">
        <v>-1.644897E-2</v>
      </c>
      <c r="V3337">
        <v>-3.7584239999999998E-2</v>
      </c>
      <c r="W3337">
        <v>0.17353759999999999</v>
      </c>
      <c r="X3337">
        <v>0.98410980000000003</v>
      </c>
      <c r="Y3337">
        <v>2.793725E-2</v>
      </c>
      <c r="Z3337">
        <v>-7.3598360000000005E-4</v>
      </c>
      <c r="AA3337">
        <v>0.99960939999999998</v>
      </c>
      <c r="AB3337">
        <v>27</v>
      </c>
      <c r="AC3337">
        <v>49.837600000000002</v>
      </c>
      <c r="AD3337">
        <v>-1.1096465309700001</v>
      </c>
      <c r="AE3337">
        <v>-0.27539999999998999</v>
      </c>
      <c r="AF3337">
        <v>1.3996747704586401</v>
      </c>
      <c r="AG3337">
        <v>-1.1096465309700001</v>
      </c>
      <c r="AH3337">
        <v>49.7939989214128</v>
      </c>
      <c r="AI3337">
        <v>91.276106614332804</v>
      </c>
      <c r="AJ3337">
        <v>88.389879361218703</v>
      </c>
      <c r="AK3337">
        <v>49.826024660536703</v>
      </c>
      <c r="AL3337">
        <v>80.006433166806005</v>
      </c>
      <c r="AM3337">
        <v>92.187126151868</v>
      </c>
      <c r="AN3337">
        <v>0.99999998608308804</v>
      </c>
    </row>
    <row r="3338" spans="1:40" x14ac:dyDescent="0.25">
      <c r="A3338" t="str">
        <f>"20190304155658412"</f>
        <v>20190304155658412</v>
      </c>
      <c r="B3338" t="str">
        <f>"1551686218407657"</f>
        <v>1551686218407657</v>
      </c>
      <c r="C3338" t="s">
        <v>40</v>
      </c>
      <c r="D3338">
        <v>4.5707500000000003</v>
      </c>
      <c r="E3338">
        <v>0.52264069999999996</v>
      </c>
      <c r="F3338" t="s">
        <v>55</v>
      </c>
      <c r="G3338">
        <v>-385.69369999999998</v>
      </c>
      <c r="H3338" s="1">
        <v>1.5591400000000001E-6</v>
      </c>
      <c r="I3338">
        <v>213.1053</v>
      </c>
      <c r="J3338">
        <v>-439.57859999999999</v>
      </c>
      <c r="K3338">
        <v>1.109618</v>
      </c>
      <c r="L3338">
        <v>213.38130000000001</v>
      </c>
      <c r="M3338">
        <v>0.99970879999999995</v>
      </c>
      <c r="N3338">
        <v>-8.3798380000000006E-3</v>
      </c>
      <c r="O3338">
        <v>2.2629509999999999E-2</v>
      </c>
      <c r="P3338">
        <v>0.98448020000000003</v>
      </c>
      <c r="Q3338">
        <v>0.16492889999999999</v>
      </c>
      <c r="R3338">
        <v>5.9977889999999999E-2</v>
      </c>
      <c r="S3338">
        <v>3.0588679999999999</v>
      </c>
      <c r="T3338">
        <v>-6.2676789999999996E-2</v>
      </c>
      <c r="U3338">
        <v>-1.524353E-2</v>
      </c>
      <c r="V3338">
        <v>-3.7696929999999997E-2</v>
      </c>
      <c r="W3338">
        <v>0.17317929999999901</v>
      </c>
      <c r="X3338">
        <v>0.98416859999999995</v>
      </c>
      <c r="Y3338">
        <v>2.7602249999999998E-2</v>
      </c>
      <c r="Z3338">
        <v>-6.7240399999999895E-4</v>
      </c>
      <c r="AA3338">
        <v>0.99961880000000003</v>
      </c>
      <c r="AB3338">
        <v>27</v>
      </c>
      <c r="AC3338">
        <v>53.884900000000002</v>
      </c>
      <c r="AD3338">
        <v>-1.10961644086</v>
      </c>
      <c r="AE3338">
        <v>-0.27600000000001002</v>
      </c>
      <c r="AF3338">
        <v>1.49472720113795</v>
      </c>
      <c r="AG3338">
        <v>-1.10961644086</v>
      </c>
      <c r="AH3338">
        <v>53.842023389724297</v>
      </c>
      <c r="AI3338">
        <v>91.180172329163995</v>
      </c>
      <c r="AJ3338">
        <v>88.409800304228796</v>
      </c>
      <c r="AK3338">
        <v>53.874195499805602</v>
      </c>
      <c r="AL3338">
        <v>80.027277806067502</v>
      </c>
      <c r="AM3338">
        <v>92.193546548215494</v>
      </c>
      <c r="AN3338">
        <v>0.99999998085293695</v>
      </c>
    </row>
    <row r="3339" spans="1:40" x14ac:dyDescent="0.25">
      <c r="A3339" t="str">
        <f>"20190304155658436"</f>
        <v>20190304155658436</v>
      </c>
      <c r="B3339" t="str">
        <f>"1551686218428152"</f>
        <v>1551686218428152</v>
      </c>
      <c r="C3339" t="s">
        <v>40</v>
      </c>
      <c r="D3339">
        <v>4.360347</v>
      </c>
      <c r="E3339">
        <v>0.5994815</v>
      </c>
      <c r="F3339" t="s">
        <v>55</v>
      </c>
      <c r="G3339">
        <v>-388.34589999999997</v>
      </c>
      <c r="H3339" s="1">
        <v>2.9758360000000001E-6</v>
      </c>
      <c r="I3339">
        <v>212.98349999999999</v>
      </c>
      <c r="J3339">
        <v>-439.27870000000001</v>
      </c>
      <c r="K3339">
        <v>1.10958</v>
      </c>
      <c r="L3339">
        <v>213.38820000000001</v>
      </c>
      <c r="M3339">
        <v>0.99970919999999996</v>
      </c>
      <c r="N3339">
        <v>-8.2329880000000001E-3</v>
      </c>
      <c r="O3339">
        <v>2.2671159999999999E-2</v>
      </c>
      <c r="P3339">
        <v>0.98435629999999996</v>
      </c>
      <c r="Q3339">
        <v>0.16531660000000001</v>
      </c>
      <c r="R3339">
        <v>6.0936200000000003E-2</v>
      </c>
      <c r="S3339">
        <v>3.0598450000000001</v>
      </c>
      <c r="T3339">
        <v>-6.6271070000000001E-2</v>
      </c>
      <c r="U3339">
        <v>-2.375793E-2</v>
      </c>
      <c r="V3339">
        <v>-3.8609869999999998E-2</v>
      </c>
      <c r="W3339">
        <v>0.17342299999999999</v>
      </c>
      <c r="X3339">
        <v>0.98409029999999997</v>
      </c>
      <c r="Y3339">
        <v>3.0421549999999999E-2</v>
      </c>
      <c r="Z3339">
        <v>-7.5893749999999996E-4</v>
      </c>
      <c r="AA3339">
        <v>0.99953689999999995</v>
      </c>
      <c r="AB3339">
        <v>27</v>
      </c>
      <c r="AC3339">
        <v>50.9328</v>
      </c>
      <c r="AD3339">
        <v>-1.1095770241639999</v>
      </c>
      <c r="AE3339">
        <v>-0.40470000000001899</v>
      </c>
      <c r="AF3339">
        <v>1.5586009745621301</v>
      </c>
      <c r="AG3339">
        <v>-1.1095770241639999</v>
      </c>
      <c r="AH3339">
        <v>50.886384134296598</v>
      </c>
      <c r="AI3339">
        <v>91.248550538297096</v>
      </c>
      <c r="AJ3339">
        <v>88.245633888482701</v>
      </c>
      <c r="AK3339">
        <v>50.9223378139069</v>
      </c>
      <c r="AL3339">
        <v>80.013100382686901</v>
      </c>
      <c r="AM3339">
        <v>92.246794390398307</v>
      </c>
      <c r="AN3339">
        <v>0.99999998877225305</v>
      </c>
    </row>
    <row r="3340" spans="1:40" x14ac:dyDescent="0.25">
      <c r="A3340" t="str">
        <f>"20190304155658458"</f>
        <v>20190304155658458</v>
      </c>
      <c r="B3340" t="str">
        <f>"1551686218447672"</f>
        <v>1551686218447672</v>
      </c>
      <c r="C3340" t="s">
        <v>40</v>
      </c>
      <c r="D3340">
        <v>3.8042940000000001</v>
      </c>
      <c r="E3340">
        <v>0.60148859999999904</v>
      </c>
      <c r="F3340" t="s">
        <v>64</v>
      </c>
      <c r="G3340">
        <v>-425.88929999999999</v>
      </c>
      <c r="H3340" s="1">
        <v>3.2673590000000002E-6</v>
      </c>
      <c r="I3340">
        <v>210.6422</v>
      </c>
      <c r="J3340">
        <v>-439.0111</v>
      </c>
      <c r="K3340">
        <v>1.1095440000000001</v>
      </c>
      <c r="L3340">
        <v>213.39420000000001</v>
      </c>
      <c r="M3340">
        <v>0.99970950000000003</v>
      </c>
      <c r="N3340">
        <v>-8.1065930000000005E-3</v>
      </c>
      <c r="O3340">
        <v>2.2693720000000001E-2</v>
      </c>
      <c r="P3340">
        <v>0.98432339999999996</v>
      </c>
      <c r="Q3340">
        <v>0.1653462</v>
      </c>
      <c r="R3340">
        <v>6.1384370000000001E-2</v>
      </c>
      <c r="S3340">
        <v>3.1310120000000001</v>
      </c>
      <c r="T3340">
        <v>-0.25946710000000001</v>
      </c>
      <c r="U3340">
        <v>-0.64212040000000004</v>
      </c>
      <c r="V3340">
        <v>-3.9030969999999998E-2</v>
      </c>
      <c r="W3340">
        <v>0.17332910000000001</v>
      </c>
      <c r="X3340">
        <v>0.98409029999999997</v>
      </c>
      <c r="Y3340">
        <v>0.22221579999999999</v>
      </c>
      <c r="Z3340">
        <v>-1.168661E-2</v>
      </c>
      <c r="AA3340">
        <v>0.97492749999999995</v>
      </c>
      <c r="AB3340">
        <v>27</v>
      </c>
      <c r="AC3340">
        <v>13.1218</v>
      </c>
      <c r="AD3340">
        <v>-1.1095407326410001</v>
      </c>
      <c r="AE3340">
        <v>-2.7519999999999998</v>
      </c>
      <c r="AF3340">
        <v>3.0283434100834299</v>
      </c>
      <c r="AG3340">
        <v>-1.1095407326410001</v>
      </c>
      <c r="AH3340">
        <v>12.9671577024392</v>
      </c>
      <c r="AI3340">
        <v>94.763074326967995</v>
      </c>
      <c r="AJ3340">
        <v>76.854776128956303</v>
      </c>
      <c r="AK3340">
        <v>13.362227483721099</v>
      </c>
      <c r="AL3340">
        <v>80.0185638651094</v>
      </c>
      <c r="AM3340">
        <v>92.271273612658007</v>
      </c>
      <c r="AN3340">
        <v>1.00000005604001</v>
      </c>
    </row>
    <row r="3341" spans="1:40" x14ac:dyDescent="0.25">
      <c r="A3341" t="str">
        <f>"20190304155658479"</f>
        <v>20190304155658479</v>
      </c>
      <c r="B3341" t="str">
        <f>"1551686218468181"</f>
        <v>1551686218468181</v>
      </c>
      <c r="C3341" t="s">
        <v>40</v>
      </c>
      <c r="D3341">
        <v>4.4074159999999996</v>
      </c>
      <c r="E3341">
        <v>0.5926901</v>
      </c>
      <c r="F3341" t="s">
        <v>64</v>
      </c>
      <c r="G3341">
        <v>-425.2894</v>
      </c>
      <c r="H3341" s="1">
        <v>3.3847049999999999E-6</v>
      </c>
      <c r="I3341">
        <v>210.5172</v>
      </c>
      <c r="J3341">
        <v>-438.74799999999999</v>
      </c>
      <c r="K3341">
        <v>1.1095189999999999</v>
      </c>
      <c r="L3341">
        <v>213.40020000000001</v>
      </c>
      <c r="M3341">
        <v>0.9997104</v>
      </c>
      <c r="N3341">
        <v>-7.9905859999999992E-3</v>
      </c>
      <c r="O3341">
        <v>2.270262E-2</v>
      </c>
      <c r="P3341">
        <v>0.98430689999999998</v>
      </c>
      <c r="Q3341">
        <v>0.1654322</v>
      </c>
      <c r="R3341">
        <v>6.1419120000000001E-2</v>
      </c>
      <c r="S3341">
        <v>3.1312259999999998</v>
      </c>
      <c r="T3341">
        <v>-0.2531911</v>
      </c>
      <c r="U3341">
        <v>-0.65652469999999996</v>
      </c>
      <c r="V3341">
        <v>-3.905322E-2</v>
      </c>
      <c r="W3341">
        <v>0.17330190000000001</v>
      </c>
      <c r="X3341">
        <v>0.98409409999999997</v>
      </c>
      <c r="Y3341">
        <v>0.22653590000000001</v>
      </c>
      <c r="Z3341">
        <v>-1.1597410000000001E-2</v>
      </c>
      <c r="AA3341">
        <v>0.97393379999999996</v>
      </c>
      <c r="AB3341">
        <v>27</v>
      </c>
      <c r="AC3341">
        <v>13.458600000000001</v>
      </c>
      <c r="AD3341">
        <v>-1.1095156152949901</v>
      </c>
      <c r="AE3341">
        <v>-2.883</v>
      </c>
      <c r="AF3341">
        <v>3.1672313172475701</v>
      </c>
      <c r="AG3341">
        <v>-1.1095156152949901</v>
      </c>
      <c r="AH3341">
        <v>13.303232330643301</v>
      </c>
      <c r="AI3341">
        <v>94.638488395222495</v>
      </c>
      <c r="AJ3341">
        <v>76.608337602445502</v>
      </c>
      <c r="AK3341">
        <v>13.7199988906927</v>
      </c>
      <c r="AL3341">
        <v>80.020145189451995</v>
      </c>
      <c r="AM3341">
        <v>92.272558251918298</v>
      </c>
      <c r="AN3341">
        <v>0.999999950095393</v>
      </c>
    </row>
    <row r="3342" spans="1:40" x14ac:dyDescent="0.25">
      <c r="A3342" t="str">
        <f>"20190304155658503"</f>
        <v>20190304155658503</v>
      </c>
      <c r="B3342" t="str">
        <f>"1551686218497448"</f>
        <v>1551686218497448</v>
      </c>
      <c r="C3342" t="s">
        <v>40</v>
      </c>
      <c r="D3342">
        <v>4.735938</v>
      </c>
      <c r="E3342">
        <v>0.58955100000000005</v>
      </c>
      <c r="F3342" t="s">
        <v>64</v>
      </c>
      <c r="G3342">
        <v>-426.53050000000002</v>
      </c>
      <c r="H3342" s="1">
        <v>3.113028E-6</v>
      </c>
      <c r="I3342">
        <v>211.10669999999999</v>
      </c>
      <c r="J3342">
        <v>-438.47239999999999</v>
      </c>
      <c r="K3342">
        <v>1.10949599999999</v>
      </c>
      <c r="L3342">
        <v>213.40649999999999</v>
      </c>
      <c r="M3342">
        <v>0.99971160000000003</v>
      </c>
      <c r="N3342">
        <v>-7.8770569999999998E-3</v>
      </c>
      <c r="O3342">
        <v>2.2693149999999999E-2</v>
      </c>
      <c r="P3342">
        <v>0.98434719999999998</v>
      </c>
      <c r="Q3342">
        <v>0.16525200000000001</v>
      </c>
      <c r="R3342">
        <v>6.1257109999999997E-2</v>
      </c>
      <c r="S3342">
        <v>3.1322939999999999</v>
      </c>
      <c r="T3342">
        <v>-0.28445429999999999</v>
      </c>
      <c r="U3342">
        <v>-0.58801269999999894</v>
      </c>
      <c r="V3342">
        <v>-3.8894749999999999E-2</v>
      </c>
      <c r="W3342">
        <v>0.1730112</v>
      </c>
      <c r="X3342">
        <v>0.98415160000000002</v>
      </c>
      <c r="Y3342">
        <v>0.20579230000000001</v>
      </c>
      <c r="Z3342">
        <v>-1.192726E-2</v>
      </c>
      <c r="AA3342">
        <v>0.97852300000000003</v>
      </c>
      <c r="AB3342">
        <v>27</v>
      </c>
      <c r="AC3342">
        <v>11.941899999999899</v>
      </c>
      <c r="AD3342">
        <v>-1.10949288697199</v>
      </c>
      <c r="AE3342">
        <v>-2.2997999999999998</v>
      </c>
      <c r="AF3342">
        <v>2.54899975502624</v>
      </c>
      <c r="AG3342">
        <v>-1.10949288697199</v>
      </c>
      <c r="AH3342">
        <v>11.7885158546055</v>
      </c>
      <c r="AI3342">
        <v>95.255875673757501</v>
      </c>
      <c r="AJ3342">
        <v>77.798920864290494</v>
      </c>
      <c r="AK3342">
        <v>12.111873524424301</v>
      </c>
      <c r="AL3342">
        <v>80.037057278167296</v>
      </c>
      <c r="AM3342">
        <v>92.263214183338405</v>
      </c>
      <c r="AN3342">
        <v>1.00000002434278</v>
      </c>
    </row>
    <row r="3343" spans="1:40" x14ac:dyDescent="0.25">
      <c r="A3343" t="str">
        <f>"20190304155658524"</f>
        <v>20190304155658524</v>
      </c>
      <c r="B3343" t="str">
        <f>"1551686218517944"</f>
        <v>1551686218517944</v>
      </c>
      <c r="C3343" t="s">
        <v>40</v>
      </c>
      <c r="D3343">
        <v>4.7385440000000001</v>
      </c>
      <c r="E3343">
        <v>0.58570959999999905</v>
      </c>
      <c r="F3343" t="s">
        <v>42</v>
      </c>
      <c r="G3343">
        <v>-437.65679999999998</v>
      </c>
      <c r="H3343">
        <v>1.019584</v>
      </c>
      <c r="I3343">
        <v>213.2593</v>
      </c>
      <c r="J3343">
        <v>-438.19569999999999</v>
      </c>
      <c r="K3343">
        <v>1.10947</v>
      </c>
      <c r="L3343">
        <v>213.4128</v>
      </c>
      <c r="M3343">
        <v>0.99971319999999997</v>
      </c>
      <c r="N3343">
        <v>-7.7694519999999996E-3</v>
      </c>
      <c r="O3343">
        <v>2.265642E-2</v>
      </c>
      <c r="P3343">
        <v>0.98428300000000002</v>
      </c>
      <c r="Q3343">
        <v>0.16566410000000001</v>
      </c>
      <c r="R3343">
        <v>6.1177860000000001E-2</v>
      </c>
      <c r="S3343">
        <v>3.1410520000000002</v>
      </c>
      <c r="T3343">
        <v>-0.34644219999999998</v>
      </c>
      <c r="U3343">
        <v>-0.56564329999999996</v>
      </c>
      <c r="V3343">
        <v>-3.8847100000000002E-2</v>
      </c>
      <c r="W3343">
        <v>0.17331830000000001</v>
      </c>
      <c r="X3343">
        <v>0.98409939999999996</v>
      </c>
      <c r="Y3343">
        <v>0.1981184</v>
      </c>
      <c r="Z3343">
        <v>-1.388343E-2</v>
      </c>
      <c r="AA3343">
        <v>0.98007979999999995</v>
      </c>
      <c r="AB3343">
        <v>28</v>
      </c>
      <c r="AC3343">
        <v>0.53890000000001204</v>
      </c>
      <c r="AD3343">
        <v>-8.9886000000000105E-2</v>
      </c>
      <c r="AE3343">
        <v>-0.15350000000000799</v>
      </c>
      <c r="AF3343">
        <v>0.16151428037999899</v>
      </c>
      <c r="AG3343">
        <v>-8.9886000000000105E-2</v>
      </c>
      <c r="AH3343">
        <v>0.52185496500736905</v>
      </c>
      <c r="AI3343">
        <v>99.343873323538205</v>
      </c>
      <c r="AJ3343">
        <v>72.802686800471207</v>
      </c>
      <c r="AK3343">
        <v>0.55362348240073</v>
      </c>
      <c r="AL3343">
        <v>80.019191399056297</v>
      </c>
      <c r="AM3343">
        <v>92.260564172455005</v>
      </c>
      <c r="AN3343">
        <v>0.99999997968682897</v>
      </c>
    </row>
    <row r="3344" spans="1:40" x14ac:dyDescent="0.25">
      <c r="A3344" t="str">
        <f>"20190304155658546"</f>
        <v>20190304155658546</v>
      </c>
      <c r="B3344" t="str">
        <f>"1551686218537464"</f>
        <v>1551686218537464</v>
      </c>
      <c r="C3344" t="s">
        <v>40</v>
      </c>
      <c r="D3344">
        <v>4.6283629999999896</v>
      </c>
      <c r="E3344">
        <v>0.58299309999999904</v>
      </c>
      <c r="F3344" t="s">
        <v>42</v>
      </c>
      <c r="G3344">
        <v>-437.41059999999999</v>
      </c>
      <c r="H3344">
        <v>1.018189</v>
      </c>
      <c r="I3344">
        <v>213.27850000000001</v>
      </c>
      <c r="J3344">
        <v>-437.92939999999999</v>
      </c>
      <c r="K3344">
        <v>1.109437</v>
      </c>
      <c r="L3344">
        <v>213.4187</v>
      </c>
      <c r="M3344">
        <v>0.99971529999999997</v>
      </c>
      <c r="N3344">
        <v>-7.6721819999999996E-3</v>
      </c>
      <c r="O3344">
        <v>2.259046E-2</v>
      </c>
      <c r="P3344">
        <v>0.98436239999999997</v>
      </c>
      <c r="Q3344">
        <v>0.16547290000000001</v>
      </c>
      <c r="R3344">
        <v>6.0408280000000002E-2</v>
      </c>
      <c r="S3344">
        <v>3.1427610000000001</v>
      </c>
      <c r="T3344">
        <v>-0.36542809999999998</v>
      </c>
      <c r="U3344">
        <v>-0.536026</v>
      </c>
      <c r="V3344">
        <v>-3.8132470000000002E-2</v>
      </c>
      <c r="W3344">
        <v>0.1730342</v>
      </c>
      <c r="X3344">
        <v>0.98417739999999998</v>
      </c>
      <c r="Y3344">
        <v>0.1889064</v>
      </c>
      <c r="Z3344">
        <v>-1.40293999999999E-2</v>
      </c>
      <c r="AA3344">
        <v>0.98189490000000001</v>
      </c>
      <c r="AB3344">
        <v>28</v>
      </c>
      <c r="AC3344">
        <v>0.51879999999999804</v>
      </c>
      <c r="AD3344">
        <v>-9.1247999999999996E-2</v>
      </c>
      <c r="AE3344">
        <v>-0.140199999999993</v>
      </c>
      <c r="AF3344">
        <v>0.147628459046907</v>
      </c>
      <c r="AG3344">
        <v>-9.1247999999999996E-2</v>
      </c>
      <c r="AH3344">
        <v>0.50105521029987499</v>
      </c>
      <c r="AI3344">
        <v>99.908852892696601</v>
      </c>
      <c r="AJ3344">
        <v>73.583175377045706</v>
      </c>
      <c r="AK3344">
        <v>0.53026095763615899</v>
      </c>
      <c r="AL3344">
        <v>80.035719424560895</v>
      </c>
      <c r="AM3344">
        <v>92.218845176649396</v>
      </c>
      <c r="AN3344">
        <v>1.00000003715434</v>
      </c>
    </row>
    <row r="3345" spans="1:40" x14ac:dyDescent="0.25">
      <c r="A3345" t="str">
        <f>"20190304155658569"</f>
        <v>20190304155658569</v>
      </c>
      <c r="B3345" t="str">
        <f>"1551686218557963"</f>
        <v>1551686218557963</v>
      </c>
      <c r="C3345" t="s">
        <v>40</v>
      </c>
      <c r="D3345">
        <v>4.3718909999999997</v>
      </c>
      <c r="E3345">
        <v>0.58725780000000005</v>
      </c>
      <c r="F3345" t="s">
        <v>42</v>
      </c>
      <c r="G3345">
        <v>-437.16340000000002</v>
      </c>
      <c r="H3345">
        <v>1.0167010000000001</v>
      </c>
      <c r="I3345">
        <v>213.29230000000001</v>
      </c>
      <c r="J3345">
        <v>-437.64089999999999</v>
      </c>
      <c r="K3345">
        <v>1.109397</v>
      </c>
      <c r="L3345">
        <v>213.42519999999999</v>
      </c>
      <c r="M3345">
        <v>0.99971849999999995</v>
      </c>
      <c r="N3345">
        <v>-7.5764169999999898E-3</v>
      </c>
      <c r="O3345">
        <v>2.248406E-2</v>
      </c>
      <c r="P3345">
        <v>0.98442819999999998</v>
      </c>
      <c r="Q3345">
        <v>0.165469899999999</v>
      </c>
      <c r="R3345">
        <v>5.9338479999999999E-2</v>
      </c>
      <c r="S3345">
        <v>3.1433719999999998</v>
      </c>
      <c r="T3345">
        <v>-0.38079809999999997</v>
      </c>
      <c r="U3345">
        <v>-0.51686100000000001</v>
      </c>
      <c r="V3345">
        <v>-3.7154609999999998E-2</v>
      </c>
      <c r="W3345">
        <v>0.17293889999999901</v>
      </c>
      <c r="X3345">
        <v>0.98423150000000004</v>
      </c>
      <c r="Y3345">
        <v>0.18286830000000001</v>
      </c>
      <c r="Z3345">
        <v>-1.41919E-2</v>
      </c>
      <c r="AA3345">
        <v>0.98303499999999999</v>
      </c>
      <c r="AB3345">
        <v>28</v>
      </c>
      <c r="AC3345">
        <v>0.47749999999996301</v>
      </c>
      <c r="AD3345">
        <v>-9.2695999999999806E-2</v>
      </c>
      <c r="AE3345">
        <v>-0.13289999999997801</v>
      </c>
      <c r="AF3345">
        <v>0.138749907749986</v>
      </c>
      <c r="AG3345">
        <v>-9.2695999999999806E-2</v>
      </c>
      <c r="AH3345">
        <v>0.45835940864984998</v>
      </c>
      <c r="AI3345">
        <v>100.954724952134</v>
      </c>
      <c r="AJ3345">
        <v>73.158419138129304</v>
      </c>
      <c r="AK3345">
        <v>0.48778830737777001</v>
      </c>
      <c r="AL3345">
        <v>80.041262784704799</v>
      </c>
      <c r="AM3345">
        <v>92.161881618059397</v>
      </c>
      <c r="AN3345">
        <v>0.99999998688485603</v>
      </c>
    </row>
    <row r="3346" spans="1:40" x14ac:dyDescent="0.25">
      <c r="A3346" t="str">
        <f>"20190304155658592"</f>
        <v>20190304155658592</v>
      </c>
      <c r="B3346" t="str">
        <f>"1551686218588216"</f>
        <v>1551686218588216</v>
      </c>
      <c r="C3346" t="s">
        <v>40</v>
      </c>
      <c r="D3346">
        <v>4.4631489999999996</v>
      </c>
      <c r="E3346">
        <v>0.59243699999999999</v>
      </c>
      <c r="F3346" t="s">
        <v>42</v>
      </c>
      <c r="G3346">
        <v>-436.9117</v>
      </c>
      <c r="H3346">
        <v>1.021884</v>
      </c>
      <c r="I3346">
        <v>213.29669999999999</v>
      </c>
      <c r="J3346">
        <v>-437.36739999999998</v>
      </c>
      <c r="K3346">
        <v>1.109362</v>
      </c>
      <c r="L3346">
        <v>213.43119999999999</v>
      </c>
      <c r="M3346">
        <v>0.99972220000000001</v>
      </c>
      <c r="N3346">
        <v>-7.497208E-3</v>
      </c>
      <c r="O3346">
        <v>2.234761E-2</v>
      </c>
      <c r="P3346">
        <v>0.98439989999999999</v>
      </c>
      <c r="Q3346">
        <v>0.16578010000000001</v>
      </c>
      <c r="R3346">
        <v>5.8941489999999999E-2</v>
      </c>
      <c r="S3346">
        <v>3.1442869999999998</v>
      </c>
      <c r="T3346">
        <v>-0.37745489999999998</v>
      </c>
      <c r="U3346">
        <v>-0.55354309999999995</v>
      </c>
      <c r="V3346">
        <v>-3.6880870000000003E-2</v>
      </c>
      <c r="W3346">
        <v>0.17317370000000001</v>
      </c>
      <c r="X3346">
        <v>0.98420050000000003</v>
      </c>
      <c r="Y3346">
        <v>0.1937728</v>
      </c>
      <c r="Z3346">
        <v>-1.4724610000000001E-2</v>
      </c>
      <c r="AA3346">
        <v>0.98093589999999997</v>
      </c>
      <c r="AB3346">
        <v>28</v>
      </c>
      <c r="AC3346">
        <v>0.45569999999997801</v>
      </c>
      <c r="AD3346">
        <v>-8.7478000000000097E-2</v>
      </c>
      <c r="AE3346">
        <v>-0.13450000000000201</v>
      </c>
      <c r="AF3346">
        <v>0.139908001186382</v>
      </c>
      <c r="AG3346">
        <v>-8.7478000000000097E-2</v>
      </c>
      <c r="AH3346">
        <v>0.43774208998348602</v>
      </c>
      <c r="AI3346">
        <v>100.777486317311</v>
      </c>
      <c r="AJ3346">
        <v>72.2754517402375</v>
      </c>
      <c r="AK3346">
        <v>0.467808493534565</v>
      </c>
      <c r="AL3346">
        <v>80.027603541563494</v>
      </c>
      <c r="AM3346">
        <v>92.146036233478</v>
      </c>
      <c r="AN3346">
        <v>0.99999997657194795</v>
      </c>
    </row>
    <row r="3347" spans="1:40" x14ac:dyDescent="0.25">
      <c r="A3347" t="str">
        <f>"20190304155658613"</f>
        <v>20190304155658613</v>
      </c>
      <c r="B3347" t="str">
        <f>"1551686218607736"</f>
        <v>1551686218607736</v>
      </c>
      <c r="C3347" t="s">
        <v>40</v>
      </c>
      <c r="D3347">
        <v>4.5115959999999999</v>
      </c>
      <c r="E3347">
        <v>0.59544960000000002</v>
      </c>
      <c r="F3347" t="s">
        <v>42</v>
      </c>
      <c r="G3347">
        <v>-436.4178</v>
      </c>
      <c r="H3347">
        <v>0.99760749999999998</v>
      </c>
      <c r="I3347">
        <v>213.25129999999999</v>
      </c>
      <c r="J3347">
        <v>-437.08850000000001</v>
      </c>
      <c r="K3347">
        <v>1.109324</v>
      </c>
      <c r="L3347">
        <v>213.43719999999999</v>
      </c>
      <c r="M3347">
        <v>0.99972669999999997</v>
      </c>
      <c r="N3347">
        <v>-7.4268149999999998E-3</v>
      </c>
      <c r="O3347">
        <v>2.2176100000000001E-2</v>
      </c>
      <c r="P3347">
        <v>0.98456129999999997</v>
      </c>
      <c r="Q3347">
        <v>0.16504730000000001</v>
      </c>
      <c r="R3347">
        <v>5.8298910000000002E-2</v>
      </c>
      <c r="S3347">
        <v>3.1455690000000001</v>
      </c>
      <c r="T3347">
        <v>-0.37022480000000002</v>
      </c>
      <c r="U3347">
        <v>-0.59593200000000002</v>
      </c>
      <c r="V3347">
        <v>-3.6392790000000001E-2</v>
      </c>
      <c r="W3347">
        <v>0.17237520000000001</v>
      </c>
      <c r="X3347">
        <v>0.98435879999999998</v>
      </c>
      <c r="Y3347">
        <v>0.2062879</v>
      </c>
      <c r="Z3347">
        <v>-1.518484E-2</v>
      </c>
      <c r="AA3347">
        <v>0.97837350000000001</v>
      </c>
      <c r="AB3347">
        <v>28</v>
      </c>
      <c r="AC3347">
        <v>0.67070000000000995</v>
      </c>
      <c r="AD3347">
        <v>-0.111716499999999</v>
      </c>
      <c r="AE3347">
        <v>-0.18590000000000301</v>
      </c>
      <c r="AF3347">
        <v>0.19568630836942699</v>
      </c>
      <c r="AG3347">
        <v>-0.111716499999999</v>
      </c>
      <c r="AH3347">
        <v>0.64967345874465798</v>
      </c>
      <c r="AI3347">
        <v>99.349918548151194</v>
      </c>
      <c r="AJ3347">
        <v>73.237321695965093</v>
      </c>
      <c r="AK3347">
        <v>0.68764039341268501</v>
      </c>
      <c r="AL3347">
        <v>80.074052447256705</v>
      </c>
      <c r="AM3347">
        <v>92.117321461405894</v>
      </c>
      <c r="AN3347">
        <v>0.99999994593823005</v>
      </c>
    </row>
    <row r="3348" spans="1:40" x14ac:dyDescent="0.25">
      <c r="A3348" t="str">
        <f>"20190304155658637"</f>
        <v>20190304155658637</v>
      </c>
      <c r="B3348" t="str">
        <f>"1551686218628232"</f>
        <v>1551686218628232</v>
      </c>
      <c r="C3348" t="s">
        <v>40</v>
      </c>
      <c r="D3348">
        <v>4.4655449999999997</v>
      </c>
      <c r="E3348">
        <v>0.59793649999999998</v>
      </c>
      <c r="F3348" t="s">
        <v>42</v>
      </c>
      <c r="G3348">
        <v>-436.16329999999999</v>
      </c>
      <c r="H3348">
        <v>1.0008189999999999</v>
      </c>
      <c r="I3348">
        <v>213.25399999999999</v>
      </c>
      <c r="J3348">
        <v>-436.79050000000001</v>
      </c>
      <c r="K3348">
        <v>1.1092949999999999</v>
      </c>
      <c r="L3348">
        <v>213.4436</v>
      </c>
      <c r="M3348">
        <v>0.9997317</v>
      </c>
      <c r="N3348">
        <v>-7.3617889999999997E-3</v>
      </c>
      <c r="O3348">
        <v>2.196594E-2</v>
      </c>
      <c r="P3348">
        <v>0.98466629999999999</v>
      </c>
      <c r="Q3348">
        <v>0.16465589999999999</v>
      </c>
      <c r="R3348">
        <v>5.7627009999999999E-2</v>
      </c>
      <c r="S3348">
        <v>3.145721</v>
      </c>
      <c r="T3348">
        <v>-0.36901309999999998</v>
      </c>
      <c r="U3348">
        <v>-0.62178040000000001</v>
      </c>
      <c r="V3348">
        <v>-3.591739E-2</v>
      </c>
      <c r="W3348">
        <v>0.1719215</v>
      </c>
      <c r="X3348">
        <v>0.98445559999999999</v>
      </c>
      <c r="Y3348">
        <v>0.21377860000000001</v>
      </c>
      <c r="Z3348">
        <v>-1.555983E-2</v>
      </c>
      <c r="AA3348">
        <v>0.97675820000000002</v>
      </c>
      <c r="AB3348">
        <v>28</v>
      </c>
      <c r="AC3348">
        <v>0.62720000000001597</v>
      </c>
      <c r="AD3348">
        <v>-0.108476</v>
      </c>
      <c r="AE3348">
        <v>-0.189599999999984</v>
      </c>
      <c r="AF3348">
        <v>0.19790740479237501</v>
      </c>
      <c r="AG3348">
        <v>-0.108476</v>
      </c>
      <c r="AH3348">
        <v>0.60626720518209598</v>
      </c>
      <c r="AI3348">
        <v>99.653127640994299</v>
      </c>
      <c r="AJ3348">
        <v>71.921456463678695</v>
      </c>
      <c r="AK3348">
        <v>0.64691135986853898</v>
      </c>
      <c r="AL3348">
        <v>80.100441493234001</v>
      </c>
      <c r="AM3348">
        <v>92.089482223506195</v>
      </c>
      <c r="AN3348">
        <v>0.99999994471900899</v>
      </c>
    </row>
    <row r="3349" spans="1:40" x14ac:dyDescent="0.25">
      <c r="A3349" t="str">
        <f>"20190304155658667"</f>
        <v>20190304155658667</v>
      </c>
      <c r="B3349" t="str">
        <f>"1551686218657513"</f>
        <v>1551686218657513</v>
      </c>
      <c r="C3349" t="s">
        <v>40</v>
      </c>
      <c r="D3349">
        <v>4.2835159999999997</v>
      </c>
      <c r="E3349">
        <v>0.59997119999999904</v>
      </c>
      <c r="F3349" t="s">
        <v>42</v>
      </c>
      <c r="G3349">
        <v>-435.90199999999999</v>
      </c>
      <c r="H3349">
        <v>1.0049399999999999</v>
      </c>
      <c r="I3349">
        <v>213.26179999999999</v>
      </c>
      <c r="J3349">
        <v>-436.41539999999998</v>
      </c>
      <c r="K3349">
        <v>1.1092660000000001</v>
      </c>
      <c r="L3349">
        <v>213.45160000000001</v>
      </c>
      <c r="M3349">
        <v>0.99973860000000003</v>
      </c>
      <c r="N3349">
        <v>-7.2928559999999899E-3</v>
      </c>
      <c r="O3349">
        <v>2.1673749999999999E-2</v>
      </c>
      <c r="P3349">
        <v>0.9848384</v>
      </c>
      <c r="Q3349">
        <v>0.16380819999999999</v>
      </c>
      <c r="R3349">
        <v>5.7102529999999999E-2</v>
      </c>
      <c r="S3349">
        <v>3.1461489999999999</v>
      </c>
      <c r="T3349">
        <v>-0.3695852</v>
      </c>
      <c r="U3349">
        <v>-0.6431732</v>
      </c>
      <c r="V3349">
        <v>-3.5670569999999999E-2</v>
      </c>
      <c r="W3349">
        <v>0.17100870000000001</v>
      </c>
      <c r="X3349">
        <v>0.98462360000000004</v>
      </c>
      <c r="Y3349">
        <v>0.21980540000000001</v>
      </c>
      <c r="Z3349">
        <v>-1.59054E-2</v>
      </c>
      <c r="AA3349">
        <v>0.97541409999999995</v>
      </c>
      <c r="AB3349">
        <v>28</v>
      </c>
      <c r="AC3349">
        <v>0.51339999999998998</v>
      </c>
      <c r="AD3349">
        <v>-0.104326</v>
      </c>
      <c r="AE3349">
        <v>-0.18980000000001901</v>
      </c>
      <c r="AF3349">
        <v>0.19384120298419799</v>
      </c>
      <c r="AG3349">
        <v>-0.104326</v>
      </c>
      <c r="AH3349">
        <v>0.49131717700857402</v>
      </c>
      <c r="AI3349">
        <v>101.173366514878</v>
      </c>
      <c r="AJ3349">
        <v>68.469092927969697</v>
      </c>
      <c r="AK3349">
        <v>0.53837802209417396</v>
      </c>
      <c r="AL3349">
        <v>80.153527819270096</v>
      </c>
      <c r="AM3349">
        <v>92.074782391015802</v>
      </c>
      <c r="AN3349">
        <v>0.99999999935838702</v>
      </c>
    </row>
    <row r="3350" spans="1:40" x14ac:dyDescent="0.25">
      <c r="A3350" t="str">
        <f>"20190304155658685"</f>
        <v>20190304155658685</v>
      </c>
      <c r="B3350" t="str">
        <f>"1551686218678009"</f>
        <v>1551686218678009</v>
      </c>
      <c r="C3350" t="s">
        <v>40</v>
      </c>
      <c r="D3350">
        <v>4.5506039999999999</v>
      </c>
      <c r="E3350">
        <v>0.5993482</v>
      </c>
      <c r="F3350" t="s">
        <v>42</v>
      </c>
      <c r="G3350">
        <v>-435.65230000000003</v>
      </c>
      <c r="H3350">
        <v>1.019223</v>
      </c>
      <c r="I3350">
        <v>213.291</v>
      </c>
      <c r="J3350">
        <v>-436.17849999999999</v>
      </c>
      <c r="K3350">
        <v>1.109259</v>
      </c>
      <c r="L3350">
        <v>213.45650000000001</v>
      </c>
      <c r="M3350">
        <v>0.99974300000000005</v>
      </c>
      <c r="N3350">
        <v>-7.2567589999999998E-3</v>
      </c>
      <c r="O3350">
        <v>2.1478870000000001E-2</v>
      </c>
      <c r="P3350">
        <v>0.984981</v>
      </c>
      <c r="Q3350">
        <v>0.16306119999999999</v>
      </c>
      <c r="R3350">
        <v>5.6776449999999999E-2</v>
      </c>
      <c r="S3350">
        <v>3.146271</v>
      </c>
      <c r="T3350">
        <v>-0.37141180000000001</v>
      </c>
      <c r="U3350">
        <v>-0.66064449999999997</v>
      </c>
      <c r="V3350">
        <v>-3.5530840000000001E-2</v>
      </c>
      <c r="W3350">
        <v>0.17022779999999901</v>
      </c>
      <c r="X3350">
        <v>0.98476399999999997</v>
      </c>
      <c r="Y3350">
        <v>0.22475110000000001</v>
      </c>
      <c r="Z3350">
        <v>-1.625327E-2</v>
      </c>
      <c r="AA3350">
        <v>0.9742807</v>
      </c>
      <c r="AB3350">
        <v>28</v>
      </c>
      <c r="AC3350">
        <v>0.52619999999996003</v>
      </c>
      <c r="AD3350">
        <v>-9.0036000000000005E-2</v>
      </c>
      <c r="AE3350">
        <v>-0.165500000000008</v>
      </c>
      <c r="AF3350">
        <v>0.17217718458332601</v>
      </c>
      <c r="AG3350">
        <v>-9.0036000000000005E-2</v>
      </c>
      <c r="AH3350">
        <v>0.50896403185169004</v>
      </c>
      <c r="AI3350">
        <v>99.512770521214193</v>
      </c>
      <c r="AJ3350">
        <v>71.309861936613004</v>
      </c>
      <c r="AK3350">
        <v>0.54478972999292896</v>
      </c>
      <c r="AL3350">
        <v>80.198936307270003</v>
      </c>
      <c r="AM3350">
        <v>92.066367649396696</v>
      </c>
      <c r="AN3350">
        <v>1.00000004008997</v>
      </c>
    </row>
    <row r="3351" spans="1:40" x14ac:dyDescent="0.25">
      <c r="A3351" t="str">
        <f>"20190304155658703"</f>
        <v>20190304155658703</v>
      </c>
      <c r="B3351" t="str">
        <f>"1551686218697528"</f>
        <v>1551686218697528</v>
      </c>
      <c r="C3351" t="s">
        <v>40</v>
      </c>
      <c r="D3351">
        <v>4.5002630000000003</v>
      </c>
      <c r="E3351">
        <v>0.59908719999999904</v>
      </c>
      <c r="F3351" t="s">
        <v>42</v>
      </c>
      <c r="G3351">
        <v>-435.39909999999998</v>
      </c>
      <c r="H3351">
        <v>1.0175609999999999</v>
      </c>
      <c r="I3351">
        <v>213.2936</v>
      </c>
      <c r="J3351">
        <v>-435.9547</v>
      </c>
      <c r="K3351">
        <v>1.109251</v>
      </c>
      <c r="L3351">
        <v>213.46109999999999</v>
      </c>
      <c r="M3351">
        <v>0.99974730000000001</v>
      </c>
      <c r="N3351">
        <v>-7.2270240000000003E-3</v>
      </c>
      <c r="O3351">
        <v>2.129203E-2</v>
      </c>
      <c r="P3351">
        <v>0.98504800000000003</v>
      </c>
      <c r="Q3351">
        <v>0.162692899999999</v>
      </c>
      <c r="R3351">
        <v>5.6672220000000002E-2</v>
      </c>
      <c r="S3351">
        <v>3.1448360000000002</v>
      </c>
      <c r="T3351">
        <v>-0.37010920000000003</v>
      </c>
      <c r="U3351">
        <v>-0.65661619999999998</v>
      </c>
      <c r="V3351">
        <v>-3.5608460000000001E-2</v>
      </c>
      <c r="W3351">
        <v>0.1698308</v>
      </c>
      <c r="X3351">
        <v>0.98482970000000003</v>
      </c>
      <c r="Y3351">
        <v>0.22348280000000001</v>
      </c>
      <c r="Z3351">
        <v>-1.610636E-2</v>
      </c>
      <c r="AA3351">
        <v>0.97457479999999996</v>
      </c>
      <c r="AB3351">
        <v>28</v>
      </c>
      <c r="AC3351">
        <v>0.55560000000002596</v>
      </c>
      <c r="AD3351">
        <v>-9.1689999999999799E-2</v>
      </c>
      <c r="AE3351">
        <v>-0.16749999999998899</v>
      </c>
      <c r="AF3351">
        <v>0.174925100875617</v>
      </c>
      <c r="AG3351">
        <v>-9.1689999999999799E-2</v>
      </c>
      <c r="AH3351">
        <v>0.53846452082502605</v>
      </c>
      <c r="AI3351">
        <v>99.199139690832496</v>
      </c>
      <c r="AJ3351">
        <v>72.003140305447602</v>
      </c>
      <c r="AK3351">
        <v>0.573541530495978</v>
      </c>
      <c r="AL3351">
        <v>80.222018444845403</v>
      </c>
      <c r="AM3351">
        <v>92.070739838700007</v>
      </c>
      <c r="AN3351">
        <v>1.0000000005271501</v>
      </c>
    </row>
    <row r="3352" spans="1:40" x14ac:dyDescent="0.25">
      <c r="A3352" t="str">
        <f>"20190304155658726"</f>
        <v>20190304155658726</v>
      </c>
      <c r="B3352" t="str">
        <f>"1551686218718025"</f>
        <v>1551686218718025</v>
      </c>
      <c r="C3352" t="s">
        <v>40</v>
      </c>
      <c r="D3352">
        <v>4.7423729999999997</v>
      </c>
      <c r="E3352">
        <v>0.5272829</v>
      </c>
      <c r="F3352" t="s">
        <v>42</v>
      </c>
      <c r="G3352">
        <v>-435.14460000000003</v>
      </c>
      <c r="H3352">
        <v>1.0152060000000001</v>
      </c>
      <c r="I3352">
        <v>213.2921</v>
      </c>
      <c r="J3352">
        <v>-435.6533</v>
      </c>
      <c r="K3352">
        <v>1.1092439999999999</v>
      </c>
      <c r="L3352">
        <v>213.46729999999999</v>
      </c>
      <c r="M3352">
        <v>0.9997528</v>
      </c>
      <c r="N3352">
        <v>-7.1925779999999998E-3</v>
      </c>
      <c r="O3352">
        <v>2.1040429999999999E-2</v>
      </c>
      <c r="P3352">
        <v>0.98515560000000002</v>
      </c>
      <c r="Q3352">
        <v>0.16222549999999999</v>
      </c>
      <c r="R3352">
        <v>5.6136869999999998E-2</v>
      </c>
      <c r="S3352">
        <v>3.143494</v>
      </c>
      <c r="T3352">
        <v>-0.36504170000000002</v>
      </c>
      <c r="U3352">
        <v>-0.65470890000000004</v>
      </c>
      <c r="V3352">
        <v>-3.5318040000000002E-2</v>
      </c>
      <c r="W3352">
        <v>0.1693308</v>
      </c>
      <c r="X3352">
        <v>0.98492630000000003</v>
      </c>
      <c r="Y3352">
        <v>0.2228041</v>
      </c>
      <c r="Z3352">
        <v>-1.5831890000000001E-2</v>
      </c>
      <c r="AA3352">
        <v>0.97473469999999995</v>
      </c>
      <c r="AB3352">
        <v>28</v>
      </c>
      <c r="AC3352">
        <v>0.50869999999997595</v>
      </c>
      <c r="AD3352">
        <v>-9.4037999999999997E-2</v>
      </c>
      <c r="AE3352">
        <v>-0.175199999999989</v>
      </c>
      <c r="AF3352">
        <v>0.18035502576639101</v>
      </c>
      <c r="AG3352">
        <v>-9.4037999999999997E-2</v>
      </c>
      <c r="AH3352">
        <v>0.489933837517947</v>
      </c>
      <c r="AI3352">
        <v>100.210815482793</v>
      </c>
      <c r="AJ3352">
        <v>69.790269737410696</v>
      </c>
      <c r="AK3352">
        <v>0.53047737549141305</v>
      </c>
      <c r="AL3352">
        <v>80.251087848799202</v>
      </c>
      <c r="AM3352">
        <v>92.053664291996498</v>
      </c>
      <c r="AN3352">
        <v>1.00000005010488</v>
      </c>
    </row>
    <row r="3353" spans="1:40" x14ac:dyDescent="0.25">
      <c r="A3353" t="str">
        <f>"20190304155658748"</f>
        <v>20190304155658748</v>
      </c>
      <c r="B3353" t="str">
        <f>"1551686218738520"</f>
        <v>1551686218738520</v>
      </c>
      <c r="C3353" t="s">
        <v>40</v>
      </c>
      <c r="D3353">
        <v>4.5808920000000004</v>
      </c>
      <c r="E3353">
        <v>0.52601569999999997</v>
      </c>
      <c r="F3353" t="s">
        <v>64</v>
      </c>
      <c r="G3353">
        <v>-400.28930000000003</v>
      </c>
      <c r="H3353" s="1">
        <v>8.6846949999999997E-6</v>
      </c>
      <c r="I3353">
        <v>212.62860000000001</v>
      </c>
      <c r="J3353">
        <v>-435.3845</v>
      </c>
      <c r="K3353">
        <v>1.109237</v>
      </c>
      <c r="L3353">
        <v>213.4727</v>
      </c>
      <c r="M3353">
        <v>0.99975760000000002</v>
      </c>
      <c r="N3353">
        <v>-7.1671979999999996E-3</v>
      </c>
      <c r="O3353">
        <v>2.0817829999999999E-2</v>
      </c>
      <c r="P3353">
        <v>0.98528839999999995</v>
      </c>
      <c r="Q3353">
        <v>0.16156980000000001</v>
      </c>
      <c r="R3353">
        <v>5.5695979999999999E-2</v>
      </c>
      <c r="S3353">
        <v>3.0651860000000002</v>
      </c>
      <c r="T3353">
        <v>-9.614325E-2</v>
      </c>
      <c r="U3353">
        <v>-7.2692870000000007E-2</v>
      </c>
      <c r="V3353">
        <v>-3.5093939999999997E-2</v>
      </c>
      <c r="W3353">
        <v>0.1686502</v>
      </c>
      <c r="X3353">
        <v>0.98505100000000001</v>
      </c>
      <c r="Y3353">
        <v>4.4483399999999999E-2</v>
      </c>
      <c r="Z3353">
        <v>-1.3604239999999901E-3</v>
      </c>
      <c r="AA3353">
        <v>0.99900919999999904</v>
      </c>
      <c r="AB3353">
        <v>28</v>
      </c>
      <c r="AC3353">
        <v>35.095199999999899</v>
      </c>
      <c r="AD3353">
        <v>-1.109228315305</v>
      </c>
      <c r="AE3353">
        <v>-0.84409999999999696</v>
      </c>
      <c r="AF3353">
        <v>1.57297131070009</v>
      </c>
      <c r="AG3353">
        <v>-1.109228315305</v>
      </c>
      <c r="AH3353">
        <v>35.035042949495903</v>
      </c>
      <c r="AI3353">
        <v>91.811585749619994</v>
      </c>
      <c r="AJ3353">
        <v>87.429312860211795</v>
      </c>
      <c r="AK3353">
        <v>35.087873413371497</v>
      </c>
      <c r="AL3353">
        <v>80.290651634916898</v>
      </c>
      <c r="AM3353">
        <v>92.040386323261203</v>
      </c>
      <c r="AN3353">
        <v>0.99999997359288095</v>
      </c>
    </row>
    <row r="3354" spans="1:40" x14ac:dyDescent="0.25">
      <c r="A3354" t="str">
        <f>"20190304155658771"</f>
        <v>20190304155658771</v>
      </c>
      <c r="B3354" t="str">
        <f>"1551686218767800"</f>
        <v>1551686218767800</v>
      </c>
      <c r="C3354" t="s">
        <v>40</v>
      </c>
      <c r="D3354">
        <v>4.5133460000000003</v>
      </c>
      <c r="E3354">
        <v>0.52724139999999997</v>
      </c>
      <c r="F3354" t="s">
        <v>55</v>
      </c>
      <c r="G3354">
        <v>-396.07310000000001</v>
      </c>
      <c r="H3354" s="1">
        <v>1.6949939999999999E-6</v>
      </c>
      <c r="I3354">
        <v>212.6557</v>
      </c>
      <c r="J3354">
        <v>-435.09379999999999</v>
      </c>
      <c r="K3354">
        <v>1.1092299999999999</v>
      </c>
      <c r="L3354">
        <v>213.4785</v>
      </c>
      <c r="M3354">
        <v>0.99976279999999995</v>
      </c>
      <c r="N3354">
        <v>-7.1446089999999997E-3</v>
      </c>
      <c r="O3354">
        <v>2.057931E-2</v>
      </c>
      <c r="P3354">
        <v>0.98540700000000003</v>
      </c>
      <c r="Q3354">
        <v>0.16106409999999999</v>
      </c>
      <c r="R3354">
        <v>5.505989E-2</v>
      </c>
      <c r="S3354">
        <v>3.0625610000000001</v>
      </c>
      <c r="T3354">
        <v>-8.6415049999999993E-2</v>
      </c>
      <c r="U3354">
        <v>-6.3644409999999998E-2</v>
      </c>
      <c r="V3354">
        <v>-3.4689860000000003E-2</v>
      </c>
      <c r="W3354">
        <v>0.1681233</v>
      </c>
      <c r="X3354">
        <v>0.98515540000000001</v>
      </c>
      <c r="Y3354">
        <v>4.1322770000000002E-2</v>
      </c>
      <c r="Z3354">
        <v>-1.163992E-3</v>
      </c>
      <c r="AA3354">
        <v>0.99914519999999996</v>
      </c>
      <c r="AB3354">
        <v>29</v>
      </c>
      <c r="AC3354">
        <v>39.020699999999898</v>
      </c>
      <c r="AD3354">
        <v>-1.1092283050059999</v>
      </c>
      <c r="AE3354">
        <v>-0.82279999999999998</v>
      </c>
      <c r="AF3354">
        <v>1.62435321884751</v>
      </c>
      <c r="AG3354">
        <v>-1.1092283050059999</v>
      </c>
      <c r="AH3354">
        <v>38.964030955338998</v>
      </c>
      <c r="AI3354">
        <v>91.629241857652701</v>
      </c>
      <c r="AJ3354">
        <v>87.612805398329499</v>
      </c>
      <c r="AK3354">
        <v>39.013646575279601</v>
      </c>
      <c r="AL3354">
        <v>80.321278319008002</v>
      </c>
      <c r="AM3354">
        <v>92.016698782447904</v>
      </c>
      <c r="AN3354">
        <v>0.99999999626943403</v>
      </c>
    </row>
    <row r="3355" spans="1:40" x14ac:dyDescent="0.25">
      <c r="A3355" t="str">
        <f>"20190304155658792"</f>
        <v>20190304155658792</v>
      </c>
      <c r="B3355" t="str">
        <f>"1551686218788296"</f>
        <v>1551686218788296</v>
      </c>
      <c r="C3355" t="s">
        <v>40</v>
      </c>
      <c r="D3355">
        <v>4.5071979999999998</v>
      </c>
      <c r="E3355">
        <v>0.52775530000000004</v>
      </c>
      <c r="F3355" t="s">
        <v>55</v>
      </c>
      <c r="G3355">
        <v>-394.7491</v>
      </c>
      <c r="H3355" s="1">
        <v>9.904239999999999E-7</v>
      </c>
      <c r="I3355">
        <v>212.48670000000001</v>
      </c>
      <c r="J3355">
        <v>-434.81900000000002</v>
      </c>
      <c r="K3355">
        <v>1.1092229999999901</v>
      </c>
      <c r="L3355">
        <v>213.48400000000001</v>
      </c>
      <c r="M3355">
        <v>0.99976750000000003</v>
      </c>
      <c r="N3355">
        <v>-7.1276029999999997E-3</v>
      </c>
      <c r="O3355">
        <v>2.035447E-2</v>
      </c>
      <c r="P3355">
        <v>0.98543700000000001</v>
      </c>
      <c r="Q3355">
        <v>0.1612034</v>
      </c>
      <c r="R3355">
        <v>5.4104079999999999E-2</v>
      </c>
      <c r="S3355">
        <v>3.062408</v>
      </c>
      <c r="T3355">
        <v>-8.4197040000000001E-2</v>
      </c>
      <c r="U3355">
        <v>-7.5286870000000006E-2</v>
      </c>
      <c r="V3355">
        <v>-3.3954440000000002E-2</v>
      </c>
      <c r="W3355">
        <v>0.1682456</v>
      </c>
      <c r="X3355">
        <v>0.98516020000000004</v>
      </c>
      <c r="Y3355">
        <v>4.4894940000000001E-2</v>
      </c>
      <c r="Z3355">
        <v>-1.1914149999999999E-3</v>
      </c>
      <c r="AA3355">
        <v>0.99899099999999996</v>
      </c>
      <c r="AB3355">
        <v>29</v>
      </c>
      <c r="AC3355">
        <v>40.069899999999997</v>
      </c>
      <c r="AD3355">
        <v>-1.1092220095759999</v>
      </c>
      <c r="AE3355">
        <v>-0.99729999999999497</v>
      </c>
      <c r="AF3355">
        <v>1.81132843825512</v>
      </c>
      <c r="AG3355">
        <v>-1.1092220095759999</v>
      </c>
      <c r="AH3355">
        <v>40.010656824614202</v>
      </c>
      <c r="AI3355">
        <v>91.586389581635899</v>
      </c>
      <c r="AJ3355">
        <v>87.407924016684206</v>
      </c>
      <c r="AK3355">
        <v>40.066993195332302</v>
      </c>
      <c r="AL3355">
        <v>80.314170340697501</v>
      </c>
      <c r="AM3355">
        <v>91.973969639968701</v>
      </c>
      <c r="AN3355">
        <v>1.0000000527895501</v>
      </c>
    </row>
    <row r="3356" spans="1:40" x14ac:dyDescent="0.25">
      <c r="A3356" t="str">
        <f>"20190304155658815"</f>
        <v>20190304155658815</v>
      </c>
      <c r="B3356" t="str">
        <f>"1551686218807817"</f>
        <v>1551686218807817</v>
      </c>
      <c r="C3356" t="s">
        <v>40</v>
      </c>
      <c r="D3356">
        <v>4.5051189999999997</v>
      </c>
      <c r="E3356">
        <v>0.52807919999999997</v>
      </c>
      <c r="F3356" t="s">
        <v>55</v>
      </c>
      <c r="G3356">
        <v>-393.79340000000002</v>
      </c>
      <c r="H3356" s="1">
        <v>4.8184499999999996E-7</v>
      </c>
      <c r="I3356">
        <v>212.38560000000001</v>
      </c>
      <c r="J3356">
        <v>-434.51920000000001</v>
      </c>
      <c r="K3356">
        <v>1.1092150000000001</v>
      </c>
      <c r="L3356">
        <v>213.4898</v>
      </c>
      <c r="M3356">
        <v>0.99977249999999995</v>
      </c>
      <c r="N3356">
        <v>-7.1130100000000003E-3</v>
      </c>
      <c r="O3356">
        <v>2.010905E-2</v>
      </c>
      <c r="P3356">
        <v>0.98546069999999997</v>
      </c>
      <c r="Q3356">
        <v>0.16130899999999901</v>
      </c>
      <c r="R3356">
        <v>5.335554E-2</v>
      </c>
      <c r="S3356">
        <v>3.0623779999999998</v>
      </c>
      <c r="T3356">
        <v>-8.2798360000000001E-2</v>
      </c>
      <c r="U3356">
        <v>-8.1985470000000005E-2</v>
      </c>
      <c r="V3356">
        <v>-3.3446549999999999E-2</v>
      </c>
      <c r="W3356">
        <v>0.16833670000000001</v>
      </c>
      <c r="X3356">
        <v>0.98516199999999998</v>
      </c>
      <c r="Y3356">
        <v>4.6833600000000003E-2</v>
      </c>
      <c r="Z3356">
        <v>-1.200048E-3</v>
      </c>
      <c r="AA3356">
        <v>0.99890199999999996</v>
      </c>
      <c r="AB3356">
        <v>29</v>
      </c>
      <c r="AC3356">
        <v>40.7257999999999</v>
      </c>
      <c r="AD3356">
        <v>-1.1092145181549999</v>
      </c>
      <c r="AE3356">
        <v>-1.1041999999999901</v>
      </c>
      <c r="AF3356">
        <v>1.9215302092031299</v>
      </c>
      <c r="AG3356">
        <v>-1.1092145181549999</v>
      </c>
      <c r="AH3356">
        <v>40.665215904938698</v>
      </c>
      <c r="AI3356">
        <v>91.560714113100801</v>
      </c>
      <c r="AJ3356">
        <v>87.294647571047093</v>
      </c>
      <c r="AK3356">
        <v>40.725697290377298</v>
      </c>
      <c r="AL3356">
        <v>80.308875059415698</v>
      </c>
      <c r="AM3356">
        <v>91.944462319944407</v>
      </c>
      <c r="AN3356">
        <v>1.0000000412588901</v>
      </c>
    </row>
    <row r="3357" spans="1:40" x14ac:dyDescent="0.25">
      <c r="A3357" t="str">
        <f>"20190304155658838"</f>
        <v>20190304155658838</v>
      </c>
      <c r="B3357" t="str">
        <f>"1551686218828312"</f>
        <v>1551686218828312</v>
      </c>
      <c r="C3357" t="s">
        <v>40</v>
      </c>
      <c r="D3357">
        <v>4.4733199999999904</v>
      </c>
      <c r="E3357">
        <v>0.5281325</v>
      </c>
      <c r="F3357" t="s">
        <v>55</v>
      </c>
      <c r="G3357">
        <v>-393.22070000000002</v>
      </c>
      <c r="H3357" s="1">
        <v>1.771076E-7</v>
      </c>
      <c r="I3357">
        <v>212.31880000000001</v>
      </c>
      <c r="J3357">
        <v>-434.21890000000002</v>
      </c>
      <c r="K3357">
        <v>1.109205</v>
      </c>
      <c r="L3357">
        <v>213.4956</v>
      </c>
      <c r="M3357">
        <v>0.99977769999999999</v>
      </c>
      <c r="N3357">
        <v>-7.1018399999999999E-3</v>
      </c>
      <c r="O3357">
        <v>1.9858000000000001E-2</v>
      </c>
      <c r="P3357">
        <v>0.98548199999999997</v>
      </c>
      <c r="Q3357">
        <v>0.16123760000000001</v>
      </c>
      <c r="R3357">
        <v>5.3176460000000002E-2</v>
      </c>
      <c r="S3357">
        <v>3.0624389999999999</v>
      </c>
      <c r="T3357">
        <v>-8.2252499999999895E-2</v>
      </c>
      <c r="U3357">
        <v>-8.6837769999999995E-2</v>
      </c>
      <c r="V3357">
        <v>-3.3513269999999998E-2</v>
      </c>
      <c r="W3357">
        <v>0.16825490000000001</v>
      </c>
      <c r="X3357">
        <v>0.98517359999999998</v>
      </c>
      <c r="Y3357">
        <v>4.816347E-2</v>
      </c>
      <c r="Z3357">
        <v>-1.2098370000000001E-3</v>
      </c>
      <c r="AA3357">
        <v>0.99883869999999997</v>
      </c>
      <c r="AB3357">
        <v>29</v>
      </c>
      <c r="AC3357">
        <v>40.998199999999997</v>
      </c>
      <c r="AD3357">
        <v>-1.1092048228923901</v>
      </c>
      <c r="AE3357">
        <v>-1.1767999999999801</v>
      </c>
      <c r="AF3357">
        <v>1.9892757376883301</v>
      </c>
      <c r="AG3357">
        <v>-1.1092048228923901</v>
      </c>
      <c r="AH3357">
        <v>40.936805807203498</v>
      </c>
      <c r="AI3357">
        <v>91.550251902412001</v>
      </c>
      <c r="AJ3357">
        <v>87.217967668084299</v>
      </c>
      <c r="AK3357">
        <v>41.000117353446399</v>
      </c>
      <c r="AL3357">
        <v>80.313628645600801</v>
      </c>
      <c r="AM3357">
        <v>91.948315271488994</v>
      </c>
      <c r="AN3357">
        <v>0.99999993638852902</v>
      </c>
    </row>
    <row r="3358" spans="1:40" x14ac:dyDescent="0.25">
      <c r="A3358" t="str">
        <f>"20190304155658862"</f>
        <v>20190304155658862</v>
      </c>
      <c r="B3358" t="str">
        <f>"1551686218857592"</f>
        <v>1551686218857592</v>
      </c>
      <c r="C3358" t="s">
        <v>40</v>
      </c>
      <c r="D3358">
        <v>4.4564019999999998</v>
      </c>
      <c r="E3358">
        <v>0.52776129999999999</v>
      </c>
      <c r="F3358" t="s">
        <v>55</v>
      </c>
      <c r="G3358">
        <v>-393.13139999999999</v>
      </c>
      <c r="H3358" s="1">
        <v>1.29609999999999E-7</v>
      </c>
      <c r="I3358">
        <v>212.3158</v>
      </c>
      <c r="J3358">
        <v>-433.91449999999998</v>
      </c>
      <c r="K3358">
        <v>1.1091930000000001</v>
      </c>
      <c r="L3358">
        <v>213.50139999999999</v>
      </c>
      <c r="M3358">
        <v>0.99978299999999998</v>
      </c>
      <c r="N3358">
        <v>-7.0935169999999997E-3</v>
      </c>
      <c r="O3358">
        <v>1.9592419999999999E-2</v>
      </c>
      <c r="P3358">
        <v>0.98546800000000001</v>
      </c>
      <c r="Q3358">
        <v>0.1612741</v>
      </c>
      <c r="R3358">
        <v>5.332626E-2</v>
      </c>
      <c r="S3358">
        <v>3.0625</v>
      </c>
      <c r="T3358">
        <v>-8.2675810000000002E-2</v>
      </c>
      <c r="U3358">
        <v>-8.7936399999999998E-2</v>
      </c>
      <c r="V3358">
        <v>-3.3921800000000002E-2</v>
      </c>
      <c r="W3358">
        <v>0.16828360000000001</v>
      </c>
      <c r="X3358">
        <v>0.98515469999999905</v>
      </c>
      <c r="Y3358">
        <v>4.8255359999999997E-2</v>
      </c>
      <c r="Z3358">
        <v>-1.212126E-3</v>
      </c>
      <c r="AA3358">
        <v>0.99883429999999995</v>
      </c>
      <c r="AB3358">
        <v>29</v>
      </c>
      <c r="AC3358">
        <v>40.783099999999898</v>
      </c>
      <c r="AD3358">
        <v>-1.10919287038999</v>
      </c>
      <c r="AE3358">
        <v>-1.18559999999999</v>
      </c>
      <c r="AF3358">
        <v>1.98296649444231</v>
      </c>
      <c r="AG3358">
        <v>-1.10919287038999</v>
      </c>
      <c r="AH3358">
        <v>40.721945488637203</v>
      </c>
      <c r="AI3358">
        <v>91.558402985371004</v>
      </c>
      <c r="AJ3358">
        <v>87.212168173380604</v>
      </c>
      <c r="AK3358">
        <v>40.785282999157197</v>
      </c>
      <c r="AL3358">
        <v>80.3119603171439</v>
      </c>
      <c r="AM3358">
        <v>91.972084586575406</v>
      </c>
      <c r="AN3358">
        <v>0.99999992073814103</v>
      </c>
    </row>
    <row r="3359" spans="1:40" x14ac:dyDescent="0.25">
      <c r="A3359" t="str">
        <f>"20190304155658881"</f>
        <v>20190304155658881</v>
      </c>
      <c r="B3359" t="str">
        <f>"1551686218878088"</f>
        <v>1551686218878088</v>
      </c>
      <c r="C3359" t="s">
        <v>40</v>
      </c>
      <c r="D3359">
        <v>4.4665150000000002</v>
      </c>
      <c r="E3359">
        <v>0.52795519999999996</v>
      </c>
      <c r="F3359" t="s">
        <v>55</v>
      </c>
      <c r="G3359">
        <v>-391.62150000000003</v>
      </c>
      <c r="H3359" s="1">
        <v>-6.7390269999999997E-7</v>
      </c>
      <c r="I3359">
        <v>212.33629999999999</v>
      </c>
      <c r="J3359">
        <v>-433.65379999999999</v>
      </c>
      <c r="K3359">
        <v>1.109175</v>
      </c>
      <c r="L3359">
        <v>213.50620000000001</v>
      </c>
      <c r="M3359">
        <v>0.99978769999999995</v>
      </c>
      <c r="N3359">
        <v>-7.0885159999999996E-3</v>
      </c>
      <c r="O3359">
        <v>1.9350289999999999E-2</v>
      </c>
      <c r="P3359">
        <v>0.98549129999999996</v>
      </c>
      <c r="Q3359">
        <v>0.161135</v>
      </c>
      <c r="R3359">
        <v>5.3319030000000003E-2</v>
      </c>
      <c r="S3359">
        <v>3.0619200000000002</v>
      </c>
      <c r="T3359">
        <v>-8.0303189999999997E-2</v>
      </c>
      <c r="U3359">
        <v>-8.4350590000000003E-2</v>
      </c>
      <c r="V3359">
        <v>-3.414859E-2</v>
      </c>
      <c r="W3359">
        <v>0.16814119999999999</v>
      </c>
      <c r="X3359">
        <v>0.98517129999999997</v>
      </c>
      <c r="Y3359">
        <v>4.6852100000000001E-2</v>
      </c>
      <c r="Z3359">
        <v>-1.1504799999999999E-3</v>
      </c>
      <c r="AA3359">
        <v>0.99890120000000004</v>
      </c>
      <c r="AB3359">
        <v>29</v>
      </c>
      <c r="AC3359">
        <v>42.0322999999999</v>
      </c>
      <c r="AD3359">
        <v>-1.1091756739026899</v>
      </c>
      <c r="AE3359">
        <v>-1.1699000000000099</v>
      </c>
      <c r="AF3359">
        <v>1.9816596393349599</v>
      </c>
      <c r="AG3359">
        <v>-1.1091756739026899</v>
      </c>
      <c r="AH3359">
        <v>41.972585800611199</v>
      </c>
      <c r="AI3359">
        <v>91.512073498288501</v>
      </c>
      <c r="AJ3359">
        <v>87.296890809486698</v>
      </c>
      <c r="AK3359">
        <v>42.033976785350802</v>
      </c>
      <c r="AL3359">
        <v>80.320238339620403</v>
      </c>
      <c r="AM3359">
        <v>91.985225355763603</v>
      </c>
      <c r="AN3359">
        <v>1.0000000398400499</v>
      </c>
    </row>
    <row r="3360" spans="1:40" x14ac:dyDescent="0.25">
      <c r="A3360" t="str">
        <f>"20190304155658904"</f>
        <v>20190304155658904</v>
      </c>
      <c r="B3360" t="str">
        <f>"1551686218897609"</f>
        <v>1551686218897609</v>
      </c>
      <c r="C3360" t="s">
        <v>40</v>
      </c>
      <c r="D3360">
        <v>4.4363049999999999</v>
      </c>
      <c r="E3360">
        <v>0.52803500000000003</v>
      </c>
      <c r="F3360" t="s">
        <v>55</v>
      </c>
      <c r="G3360">
        <v>-392.08330000000001</v>
      </c>
      <c r="H3360" s="1">
        <v>-4.281626E-7</v>
      </c>
      <c r="I3360">
        <v>212.33709999999999</v>
      </c>
      <c r="J3360">
        <v>-433.3596</v>
      </c>
      <c r="K3360">
        <v>1.109156</v>
      </c>
      <c r="L3360">
        <v>213.51159999999999</v>
      </c>
      <c r="M3360">
        <v>0.9997935</v>
      </c>
      <c r="N3360">
        <v>-7.0849190000000003E-3</v>
      </c>
      <c r="O3360">
        <v>1.9054809999999998E-2</v>
      </c>
      <c r="P3360">
        <v>0.985541</v>
      </c>
      <c r="Q3360">
        <v>0.16082929999999901</v>
      </c>
      <c r="R3360">
        <v>5.3321599999999997E-2</v>
      </c>
      <c r="S3360">
        <v>3.062195</v>
      </c>
      <c r="T3360">
        <v>-8.1704739999999998E-2</v>
      </c>
      <c r="U3360">
        <v>-8.612061E-2</v>
      </c>
      <c r="V3360">
        <v>-3.4435100000000003E-2</v>
      </c>
      <c r="W3360">
        <v>0.16783380000000001</v>
      </c>
      <c r="X3360">
        <v>0.98521369999999997</v>
      </c>
      <c r="Y3360">
        <v>4.7130480000000002E-2</v>
      </c>
      <c r="Z3360">
        <v>-1.1688359999999999E-3</v>
      </c>
      <c r="AA3360">
        <v>0.99888809999999995</v>
      </c>
      <c r="AB3360">
        <v>29</v>
      </c>
      <c r="AC3360">
        <v>41.2762999999999</v>
      </c>
      <c r="AD3360">
        <v>-1.1091564281626001</v>
      </c>
      <c r="AE3360">
        <v>-1.1744999999999901</v>
      </c>
      <c r="AF3360">
        <v>1.9594047166003199</v>
      </c>
      <c r="AG3360">
        <v>-1.1091564281626001</v>
      </c>
      <c r="AH3360">
        <v>41.216687510988898</v>
      </c>
      <c r="AI3360">
        <v>91.5397407027924</v>
      </c>
      <c r="AJ3360">
        <v>87.278258645172201</v>
      </c>
      <c r="AK3360">
        <v>41.278139786139597</v>
      </c>
      <c r="AL3360">
        <v>80.338104549904997</v>
      </c>
      <c r="AM3360">
        <v>92.001782011331599</v>
      </c>
      <c r="AN3360">
        <v>0.99999999760106995</v>
      </c>
    </row>
    <row r="3361" spans="1:40" x14ac:dyDescent="0.25">
      <c r="A3361" t="str">
        <f>"20190304155658924"</f>
        <v>20190304155658924</v>
      </c>
      <c r="B3361" t="str">
        <f>"1551686218918105"</f>
        <v>1551686218918105</v>
      </c>
      <c r="C3361" t="s">
        <v>40</v>
      </c>
      <c r="D3361">
        <v>4.4420510000000002</v>
      </c>
      <c r="E3361">
        <v>0.52824300000000002</v>
      </c>
      <c r="F3361" t="s">
        <v>55</v>
      </c>
      <c r="G3361">
        <v>-391.70979999999997</v>
      </c>
      <c r="H3361" s="1">
        <v>-6.2693819999999996E-7</v>
      </c>
      <c r="I3361">
        <v>212.32759999999999</v>
      </c>
      <c r="J3361">
        <v>-433.08159999999998</v>
      </c>
      <c r="K3361">
        <v>1.1091310000000001</v>
      </c>
      <c r="L3361">
        <v>213.51660000000001</v>
      </c>
      <c r="M3361">
        <v>0.9997992</v>
      </c>
      <c r="N3361">
        <v>-7.0832730000000002E-3</v>
      </c>
      <c r="O3361">
        <v>1.8749209999999999E-2</v>
      </c>
      <c r="P3361">
        <v>0.98558509999999999</v>
      </c>
      <c r="Q3361">
        <v>0.16056049999999999</v>
      </c>
      <c r="R3361">
        <v>5.3315990000000001E-2</v>
      </c>
      <c r="S3361">
        <v>3.0620419999999999</v>
      </c>
      <c r="T3361">
        <v>-8.1543679999999993E-2</v>
      </c>
      <c r="U3361">
        <v>-8.7051390000000006E-2</v>
      </c>
      <c r="V3361">
        <v>-3.472186E-2</v>
      </c>
      <c r="W3361">
        <v>0.1675654</v>
      </c>
      <c r="X3361">
        <v>0.98524929999999999</v>
      </c>
      <c r="Y3361">
        <v>4.7130110000000003E-2</v>
      </c>
      <c r="Z3361">
        <v>-1.160665E-3</v>
      </c>
      <c r="AA3361">
        <v>0.99888809999999995</v>
      </c>
      <c r="AB3361">
        <v>29</v>
      </c>
      <c r="AC3361">
        <v>41.3718</v>
      </c>
      <c r="AD3361">
        <v>-1.1091316269382001</v>
      </c>
      <c r="AE3361">
        <v>-1.18900000000002</v>
      </c>
      <c r="AF3361">
        <v>1.96308921513769</v>
      </c>
      <c r="AG3361">
        <v>-1.1091316269382001</v>
      </c>
      <c r="AH3361">
        <v>41.312566353986398</v>
      </c>
      <c r="AI3361">
        <v>91.536136169522706</v>
      </c>
      <c r="AJ3361">
        <v>87.279467353959802</v>
      </c>
      <c r="AK3361">
        <v>41.374050212482203</v>
      </c>
      <c r="AL3361">
        <v>80.353703448758694</v>
      </c>
      <c r="AM3361">
        <v>92.018365346502904</v>
      </c>
      <c r="AN3361">
        <v>0.99999997699475396</v>
      </c>
    </row>
    <row r="3362" spans="1:40" x14ac:dyDescent="0.25">
      <c r="A3362" t="str">
        <f>"20190304155658949"</f>
        <v>20190304155658949</v>
      </c>
      <c r="B3362" t="str">
        <f>"1551686218937624"</f>
        <v>1551686218937624</v>
      </c>
      <c r="C3362" t="s">
        <v>40</v>
      </c>
      <c r="D3362">
        <v>4.4356269999999904</v>
      </c>
      <c r="E3362">
        <v>0.52839209999999903</v>
      </c>
      <c r="F3362" t="s">
        <v>55</v>
      </c>
      <c r="G3362">
        <v>-392.30579999999998</v>
      </c>
      <c r="H3362" s="1">
        <v>-3.0977170000000003E-7</v>
      </c>
      <c r="I3362">
        <v>212.3323</v>
      </c>
      <c r="J3362">
        <v>-432.76310000000001</v>
      </c>
      <c r="K3362">
        <v>1.1091</v>
      </c>
      <c r="L3362">
        <v>213.5222</v>
      </c>
      <c r="M3362">
        <v>0.99980630000000004</v>
      </c>
      <c r="N3362">
        <v>-7.0831499999999999E-3</v>
      </c>
      <c r="O3362">
        <v>1.8365650000000001E-2</v>
      </c>
      <c r="P3362">
        <v>0.98565769999999997</v>
      </c>
      <c r="Q3362">
        <v>0.1602875</v>
      </c>
      <c r="R3362">
        <v>5.2792369999999998E-2</v>
      </c>
      <c r="S3362">
        <v>3.0622250000000002</v>
      </c>
      <c r="T3362">
        <v>-8.3294629999999995E-2</v>
      </c>
      <c r="U3362">
        <v>-8.8943480000000005E-2</v>
      </c>
      <c r="V3362">
        <v>-3.456468E-2</v>
      </c>
      <c r="W3362">
        <v>0.16729459999999999</v>
      </c>
      <c r="X3362">
        <v>0.98530090000000004</v>
      </c>
      <c r="Y3362">
        <v>4.7360819999999998E-2</v>
      </c>
      <c r="Z3362">
        <v>-1.1810099999999999E-3</v>
      </c>
      <c r="AA3362">
        <v>0.99887720000000002</v>
      </c>
      <c r="AB3362">
        <v>29</v>
      </c>
      <c r="AC3362">
        <v>40.457299999999996</v>
      </c>
      <c r="AD3362">
        <v>-1.1091003097716901</v>
      </c>
      <c r="AE3362">
        <v>-1.18989999999999</v>
      </c>
      <c r="AF3362">
        <v>1.9312923356232901</v>
      </c>
      <c r="AG3362">
        <v>-1.1091003097716901</v>
      </c>
      <c r="AH3362">
        <v>40.398287790949098</v>
      </c>
      <c r="AI3362">
        <v>91.570818328031706</v>
      </c>
      <c r="AJ3362">
        <v>87.262985070515299</v>
      </c>
      <c r="AK3362">
        <v>40.459629879957099</v>
      </c>
      <c r="AL3362">
        <v>80.369441836309406</v>
      </c>
      <c r="AM3362">
        <v>92.009130916013405</v>
      </c>
      <c r="AN3362">
        <v>1.0000000319167299</v>
      </c>
    </row>
    <row r="3363" spans="1:40" x14ac:dyDescent="0.25">
      <c r="A3363" t="str">
        <f>"20190304155658971"</f>
        <v>20190304155658971</v>
      </c>
      <c r="B3363" t="str">
        <f>"1551686218967881"</f>
        <v>1551686218967881</v>
      </c>
      <c r="C3363" t="s">
        <v>40</v>
      </c>
      <c r="D3363">
        <v>4.4594659999999999</v>
      </c>
      <c r="E3363">
        <v>0.52858689999999997</v>
      </c>
      <c r="F3363" t="s">
        <v>55</v>
      </c>
      <c r="G3363">
        <v>-392.02809999999999</v>
      </c>
      <c r="H3363" s="1">
        <v>-4.575509E-7</v>
      </c>
      <c r="I3363">
        <v>212.30449999999999</v>
      </c>
      <c r="J3363">
        <v>-432.48110000000003</v>
      </c>
      <c r="K3363">
        <v>1.10907</v>
      </c>
      <c r="L3363">
        <v>213.52699999999999</v>
      </c>
      <c r="M3363">
        <v>0.99981319999999996</v>
      </c>
      <c r="N3363">
        <v>-7.0843369999999996E-3</v>
      </c>
      <c r="O3363">
        <v>1.799241E-2</v>
      </c>
      <c r="P3363">
        <v>0.98567780000000005</v>
      </c>
      <c r="Q3363">
        <v>0.16026670000000001</v>
      </c>
      <c r="R3363">
        <v>5.2480619999999999E-2</v>
      </c>
      <c r="S3363">
        <v>3.0620729999999998</v>
      </c>
      <c r="T3363">
        <v>-8.3371760000000003E-2</v>
      </c>
      <c r="U3363">
        <v>-9.1537480000000004E-2</v>
      </c>
      <c r="V3363">
        <v>-3.4610830000000002E-2</v>
      </c>
      <c r="W3363">
        <v>0.16727719999999999</v>
      </c>
      <c r="X3363">
        <v>0.98530220000000002</v>
      </c>
      <c r="Y3363">
        <v>4.7834630000000003E-2</v>
      </c>
      <c r="Z3363">
        <v>-1.182734E-3</v>
      </c>
      <c r="AA3363">
        <v>0.99885460000000004</v>
      </c>
      <c r="AB3363">
        <v>29</v>
      </c>
      <c r="AC3363">
        <v>40.453000000000003</v>
      </c>
      <c r="AD3363">
        <v>-1.1090704575508901</v>
      </c>
      <c r="AE3363">
        <v>-1.2225000000000199</v>
      </c>
      <c r="AF3363">
        <v>1.9487037852562199</v>
      </c>
      <c r="AG3363">
        <v>-1.1090704575508901</v>
      </c>
      <c r="AH3363">
        <v>40.394120396719401</v>
      </c>
      <c r="AI3363">
        <v>91.570905244095897</v>
      </c>
      <c r="AJ3363">
        <v>87.238063233274602</v>
      </c>
      <c r="AK3363">
        <v>40.456302924848998</v>
      </c>
      <c r="AL3363">
        <v>80.370452704984601</v>
      </c>
      <c r="AM3363">
        <v>92.011808608335897</v>
      </c>
      <c r="AN3363">
        <v>0.999999998258984</v>
      </c>
    </row>
    <row r="3364" spans="1:40" x14ac:dyDescent="0.25">
      <c r="A3364" t="str">
        <f>"20190304155658992"</f>
        <v>20190304155658992</v>
      </c>
      <c r="B3364" t="str">
        <f>"1551686218987401"</f>
        <v>1551686218987401</v>
      </c>
      <c r="C3364" t="s">
        <v>40</v>
      </c>
      <c r="D3364">
        <v>4.4688210000000002</v>
      </c>
      <c r="E3364">
        <v>0.52869219999999995</v>
      </c>
      <c r="F3364" t="s">
        <v>55</v>
      </c>
      <c r="G3364">
        <v>-391.52319999999997</v>
      </c>
      <c r="H3364" s="1">
        <v>-7.262065E-7</v>
      </c>
      <c r="I3364">
        <v>212.26920000000001</v>
      </c>
      <c r="J3364">
        <v>-432.1909</v>
      </c>
      <c r="K3364">
        <v>1.1090390000000001</v>
      </c>
      <c r="L3364">
        <v>213.5318</v>
      </c>
      <c r="M3364">
        <v>0.9998205</v>
      </c>
      <c r="N3364">
        <v>-7.0870409999999997E-3</v>
      </c>
      <c r="O3364">
        <v>1.7578159999999999E-2</v>
      </c>
      <c r="P3364">
        <v>0.98572539999999997</v>
      </c>
      <c r="Q3364">
        <v>0.16003529999999999</v>
      </c>
      <c r="R3364">
        <v>5.2291959999999998E-2</v>
      </c>
      <c r="S3364">
        <v>3.0620729999999998</v>
      </c>
      <c r="T3364">
        <v>-8.2915779999999994E-2</v>
      </c>
      <c r="U3364">
        <v>-9.4039919999999999E-2</v>
      </c>
      <c r="V3364">
        <v>-3.4820789999999997E-2</v>
      </c>
      <c r="W3364">
        <v>0.16705110000000001</v>
      </c>
      <c r="X3364">
        <v>0.98533309999999996</v>
      </c>
      <c r="Y3364">
        <v>4.8236479999999998E-2</v>
      </c>
      <c r="Z3364">
        <v>-1.175089E-3</v>
      </c>
      <c r="AA3364">
        <v>0.99883529999999998</v>
      </c>
      <c r="AB3364">
        <v>30</v>
      </c>
      <c r="AC3364">
        <v>40.667700000000004</v>
      </c>
      <c r="AD3364">
        <v>-1.1090397262064999</v>
      </c>
      <c r="AE3364">
        <v>-1.26259999999999</v>
      </c>
      <c r="AF3364">
        <v>1.9758181183743</v>
      </c>
      <c r="AG3364">
        <v>-1.1090397262064999</v>
      </c>
      <c r="AH3364">
        <v>40.609049796751101</v>
      </c>
      <c r="AI3364">
        <v>91.562520723903006</v>
      </c>
      <c r="AJ3364">
        <v>87.214491926074601</v>
      </c>
      <c r="AK3364">
        <v>40.672211050620398</v>
      </c>
      <c r="AL3364">
        <v>80.383591577131398</v>
      </c>
      <c r="AM3364">
        <v>92.023939321806594</v>
      </c>
      <c r="AN3364">
        <v>0.99999993769151996</v>
      </c>
    </row>
    <row r="3365" spans="1:40" x14ac:dyDescent="0.25">
      <c r="A3365" t="str">
        <f>"20190304155659026"</f>
        <v>20190304155659026</v>
      </c>
      <c r="B3365" t="str">
        <f>"1551686219017656"</f>
        <v>1551686219017656</v>
      </c>
      <c r="C3365" t="s">
        <v>40</v>
      </c>
      <c r="D3365">
        <v>4.4479769999999998</v>
      </c>
      <c r="E3365">
        <v>0.52885499999999996</v>
      </c>
      <c r="F3365" t="s">
        <v>55</v>
      </c>
      <c r="G3365">
        <v>-391.43520000000001</v>
      </c>
      <c r="H3365" s="1">
        <v>-7.7303459999999999E-7</v>
      </c>
      <c r="I3365">
        <v>212.2627</v>
      </c>
      <c r="J3365">
        <v>-431.7484</v>
      </c>
      <c r="K3365">
        <v>1.109008</v>
      </c>
      <c r="L3365">
        <v>213.53890000000001</v>
      </c>
      <c r="M3365">
        <v>0.99983200000000005</v>
      </c>
      <c r="N3365">
        <v>-7.0928579999999996E-3</v>
      </c>
      <c r="O3365">
        <v>1.6904140000000002E-2</v>
      </c>
      <c r="P3365">
        <v>0.98574740000000005</v>
      </c>
      <c r="Q3365">
        <v>0.16008339999999999</v>
      </c>
      <c r="R3365">
        <v>5.1725939999999998E-2</v>
      </c>
      <c r="S3365">
        <v>3.0620419999999999</v>
      </c>
      <c r="T3365">
        <v>-8.3323960000000002E-2</v>
      </c>
      <c r="U3365">
        <v>-9.535217E-2</v>
      </c>
      <c r="V3365">
        <v>-3.4906899999999998E-2</v>
      </c>
      <c r="W3365">
        <v>0.16710739999999999</v>
      </c>
      <c r="X3365">
        <v>0.98532059999999999</v>
      </c>
      <c r="Y3365">
        <v>4.7991109999999997E-2</v>
      </c>
      <c r="Z3365">
        <v>-1.162925E-3</v>
      </c>
      <c r="AA3365">
        <v>0.99884709999999999</v>
      </c>
      <c r="AB3365">
        <v>30</v>
      </c>
      <c r="AC3365">
        <v>40.313200000000002</v>
      </c>
      <c r="AD3365">
        <v>-1.1090087730346001</v>
      </c>
      <c r="AE3365">
        <v>-1.27620000000001</v>
      </c>
      <c r="AF3365">
        <v>1.95601591877401</v>
      </c>
      <c r="AG3365">
        <v>-1.1090087730346001</v>
      </c>
      <c r="AH3365">
        <v>40.255431536782297</v>
      </c>
      <c r="AI3365">
        <v>91.576200536089601</v>
      </c>
      <c r="AJ3365">
        <v>87.2181795830449</v>
      </c>
      <c r="AK3365">
        <v>40.318180352611797</v>
      </c>
      <c r="AL3365">
        <v>80.380320729606098</v>
      </c>
      <c r="AM3365">
        <v>92.028965958395204</v>
      </c>
      <c r="AN3365">
        <v>1.00000002979336</v>
      </c>
    </row>
    <row r="3366" spans="1:40" x14ac:dyDescent="0.25">
      <c r="A3366" t="str">
        <f>"20190304155659051"</f>
        <v>20190304155659051</v>
      </c>
      <c r="B3366" t="str">
        <f>"1551686219047913"</f>
        <v>1551686219047913</v>
      </c>
      <c r="C3366" t="s">
        <v>40</v>
      </c>
      <c r="D3366">
        <v>4.4381589999999997</v>
      </c>
      <c r="E3366">
        <v>0.52900150000000001</v>
      </c>
      <c r="F3366" t="s">
        <v>55</v>
      </c>
      <c r="G3366">
        <v>-390.90719999999999</v>
      </c>
      <c r="H3366" s="1">
        <v>-1.0540420000000001E-6</v>
      </c>
      <c r="I3366">
        <v>212.23009999999999</v>
      </c>
      <c r="J3366">
        <v>-431.4187</v>
      </c>
      <c r="K3366">
        <v>1.108992</v>
      </c>
      <c r="L3366">
        <v>213.54390000000001</v>
      </c>
      <c r="M3366">
        <v>0.99984079999999997</v>
      </c>
      <c r="N3366">
        <v>-7.098226E-3</v>
      </c>
      <c r="O3366">
        <v>1.6377180000000002E-2</v>
      </c>
      <c r="P3366">
        <v>0.98584700000000003</v>
      </c>
      <c r="Q3366">
        <v>0.159764299999999</v>
      </c>
      <c r="R3366">
        <v>5.0807329999999998E-2</v>
      </c>
      <c r="S3366">
        <v>3.0620419999999999</v>
      </c>
      <c r="T3366">
        <v>-8.3147289999999999E-2</v>
      </c>
      <c r="U3366">
        <v>-9.8129270000000005E-2</v>
      </c>
      <c r="V3366">
        <v>-3.4500459999999997E-2</v>
      </c>
      <c r="W3366">
        <v>0.16679530000000001</v>
      </c>
      <c r="X3366">
        <v>0.98538769999999998</v>
      </c>
      <c r="Y3366">
        <v>4.836969E-2</v>
      </c>
      <c r="Z3366">
        <v>-1.1565119999999999E-3</v>
      </c>
      <c r="AA3366">
        <v>0.99882879999999996</v>
      </c>
      <c r="AB3366">
        <v>30</v>
      </c>
      <c r="AC3366">
        <v>40.511499999999998</v>
      </c>
      <c r="AD3366">
        <v>-1.1089930540420001</v>
      </c>
      <c r="AE3366">
        <v>-1.3138000000000101</v>
      </c>
      <c r="AF3366">
        <v>1.97562562444512</v>
      </c>
      <c r="AG3366">
        <v>-1.1089930540420001</v>
      </c>
      <c r="AH3366">
        <v>40.4542659572286</v>
      </c>
      <c r="AI3366">
        <v>91.568416368539701</v>
      </c>
      <c r="AJ3366">
        <v>87.2041230356363</v>
      </c>
      <c r="AK3366">
        <v>40.517657833839102</v>
      </c>
      <c r="AL3366">
        <v>80.398456382556603</v>
      </c>
      <c r="AM3366">
        <v>92.005224564003001</v>
      </c>
      <c r="AN3366">
        <v>0.99999993657679298</v>
      </c>
    </row>
    <row r="3367" spans="1:40" x14ac:dyDescent="0.25">
      <c r="A3367" t="str">
        <f>"20190304155659072"</f>
        <v>20190304155659072</v>
      </c>
      <c r="B3367" t="str">
        <f>"1551686219067432"</f>
        <v>1551686219067432</v>
      </c>
      <c r="C3367" t="s">
        <v>40</v>
      </c>
      <c r="D3367">
        <v>3.9730270000000001</v>
      </c>
      <c r="E3367">
        <v>0.52968440000000006</v>
      </c>
      <c r="F3367" t="s">
        <v>55</v>
      </c>
      <c r="G3367">
        <v>-391.58580000000001</v>
      </c>
      <c r="H3367" s="1">
        <v>-6.9288189999999995E-7</v>
      </c>
      <c r="I3367">
        <v>212.2285</v>
      </c>
      <c r="J3367">
        <v>-431.13470000000001</v>
      </c>
      <c r="K3367">
        <v>1.108978</v>
      </c>
      <c r="L3367">
        <v>213.54810000000001</v>
      </c>
      <c r="M3367">
        <v>0.99984819999999996</v>
      </c>
      <c r="N3367">
        <v>-7.1036270000000004E-3</v>
      </c>
      <c r="O3367">
        <v>1.5911359999999999E-2</v>
      </c>
      <c r="P3367">
        <v>0.9859694</v>
      </c>
      <c r="Q3367">
        <v>0.1591535</v>
      </c>
      <c r="R3367">
        <v>5.034636E-2</v>
      </c>
      <c r="S3367">
        <v>3.0621339999999999</v>
      </c>
      <c r="T3367">
        <v>-8.5253239999999994E-2</v>
      </c>
      <c r="U3367">
        <v>-0.10112</v>
      </c>
      <c r="V3367">
        <v>-3.4492750000000003E-2</v>
      </c>
      <c r="W3367">
        <v>0.16619110000000001</v>
      </c>
      <c r="X3367">
        <v>0.98549010000000004</v>
      </c>
      <c r="Y3367">
        <v>4.8876490000000002E-2</v>
      </c>
      <c r="Z3367">
        <v>-1.183583E-3</v>
      </c>
      <c r="AA3367">
        <v>0.99880420000000003</v>
      </c>
      <c r="AB3367">
        <v>30</v>
      </c>
      <c r="AC3367">
        <v>39.548900000000003</v>
      </c>
      <c r="AD3367">
        <v>-1.1089786928818901</v>
      </c>
      <c r="AE3367">
        <v>-1.3196000000000001</v>
      </c>
      <c r="AF3367">
        <v>1.947196244069</v>
      </c>
      <c r="AG3367">
        <v>-1.1089786928818901</v>
      </c>
      <c r="AH3367">
        <v>39.491878777797801</v>
      </c>
      <c r="AI3367">
        <v>91.606559937505594</v>
      </c>
      <c r="AJ3367">
        <v>87.177246257142997</v>
      </c>
      <c r="AK3367">
        <v>39.5554028718513</v>
      </c>
      <c r="AL3367">
        <v>80.433564974926099</v>
      </c>
      <c r="AM3367">
        <v>92.004568669811803</v>
      </c>
      <c r="AN3367">
        <v>0.99999998435989101</v>
      </c>
    </row>
    <row r="3368" spans="1:40" x14ac:dyDescent="0.25">
      <c r="A3368" t="str">
        <f>"20190304155659160"</f>
        <v>20190304155659160</v>
      </c>
      <c r="B3368" t="str">
        <f>"1551686219158201"</f>
        <v>1551686219158201</v>
      </c>
      <c r="C3368" t="s">
        <v>40</v>
      </c>
      <c r="D3368">
        <v>4.4505839999999903</v>
      </c>
      <c r="E3368">
        <v>0.48209590000000002</v>
      </c>
      <c r="F3368" t="s">
        <v>55</v>
      </c>
      <c r="G3368">
        <v>-391.16730000000001</v>
      </c>
      <c r="H3368" s="1">
        <v>-9.156151E-7</v>
      </c>
      <c r="I3368">
        <v>212.1328</v>
      </c>
      <c r="J3368">
        <v>-429.94490000000002</v>
      </c>
      <c r="K3368">
        <v>1.108927</v>
      </c>
      <c r="L3368">
        <v>213.5642</v>
      </c>
      <c r="M3368">
        <v>0.99987780000000004</v>
      </c>
      <c r="N3368">
        <v>-7.1311919999999997E-3</v>
      </c>
      <c r="O3368">
        <v>1.3918E-2</v>
      </c>
      <c r="P3368">
        <v>0.98623309999999997</v>
      </c>
      <c r="Q3368">
        <v>0.1582983</v>
      </c>
      <c r="R3368">
        <v>4.7815389999999999E-2</v>
      </c>
      <c r="S3368">
        <v>3.0619510000000001</v>
      </c>
      <c r="T3368">
        <v>-8.4960099999999997E-2</v>
      </c>
      <c r="U3368">
        <v>-0.108429</v>
      </c>
      <c r="V3368">
        <v>-3.3915290000000001E-2</v>
      </c>
      <c r="W3368">
        <v>0.16536579999999901</v>
      </c>
      <c r="X3368">
        <v>0.985649</v>
      </c>
      <c r="Y3368">
        <v>4.9268979999999997E-2</v>
      </c>
      <c r="Z3368">
        <v>-1.1457609999999999E-3</v>
      </c>
      <c r="AA3368">
        <v>0.99878489999999998</v>
      </c>
      <c r="AB3368">
        <v>30</v>
      </c>
      <c r="AC3368">
        <v>38.7776</v>
      </c>
      <c r="AD3368">
        <v>-1.1089279156151</v>
      </c>
      <c r="AE3368">
        <v>-1.43139999999999</v>
      </c>
      <c r="AF3368">
        <v>1.969373306092</v>
      </c>
      <c r="AG3368">
        <v>-1.1089279156151</v>
      </c>
      <c r="AH3368">
        <v>38.722297244044697</v>
      </c>
      <c r="AI3368">
        <v>91.638270089804493</v>
      </c>
      <c r="AJ3368">
        <v>87.088508467701004</v>
      </c>
      <c r="AK3368">
        <v>38.788199960773298</v>
      </c>
      <c r="AL3368">
        <v>80.481515033569806</v>
      </c>
      <c r="AM3368">
        <v>91.970718393722507</v>
      </c>
      <c r="AN3368">
        <v>1.00000002295321</v>
      </c>
    </row>
    <row r="3369" spans="1:40" x14ac:dyDescent="0.25">
      <c r="A3369" t="str">
        <f>"20190304155659182"</f>
        <v>20190304155659182</v>
      </c>
      <c r="B3369" t="str">
        <f>"1551686219177721"</f>
        <v>1551686219177721</v>
      </c>
      <c r="C3369" t="s">
        <v>40</v>
      </c>
      <c r="D3369">
        <v>4.4296790000000001</v>
      </c>
      <c r="E3369">
        <v>0.4866762</v>
      </c>
      <c r="F3369" t="s">
        <v>64</v>
      </c>
      <c r="G3369">
        <v>-419.61309999999997</v>
      </c>
      <c r="H3369" s="1">
        <v>3.9286440000000003E-6</v>
      </c>
      <c r="I3369">
        <v>214.41390000000001</v>
      </c>
      <c r="J3369">
        <v>-429.63749999999999</v>
      </c>
      <c r="K3369">
        <v>1.108919</v>
      </c>
      <c r="L3369">
        <v>213.56790000000001</v>
      </c>
      <c r="M3369">
        <v>0.99988489999999997</v>
      </c>
      <c r="N3369">
        <v>-7.1392919999999898E-3</v>
      </c>
      <c r="O3369">
        <v>1.340074E-2</v>
      </c>
      <c r="P3369">
        <v>0.98635209999999995</v>
      </c>
      <c r="Q3369">
        <v>0.1577006</v>
      </c>
      <c r="R3369">
        <v>4.7330110000000002E-2</v>
      </c>
      <c r="S3369">
        <v>3.082703</v>
      </c>
      <c r="T3369">
        <v>-0.33086929999999998</v>
      </c>
      <c r="U3369">
        <v>0.25353999999999999</v>
      </c>
      <c r="V3369">
        <v>-3.3937469999999997E-2</v>
      </c>
      <c r="W3369">
        <v>0.16477749999999999</v>
      </c>
      <c r="X3369">
        <v>0.98574669999999998</v>
      </c>
      <c r="Y3369">
        <v>-6.8257029999999996E-2</v>
      </c>
      <c r="Z3369">
        <v>2.5549629999999999E-3</v>
      </c>
      <c r="AA3369">
        <v>0.99766449999999995</v>
      </c>
      <c r="AB3369">
        <v>30</v>
      </c>
      <c r="AC3369">
        <v>10.0244</v>
      </c>
      <c r="AD3369">
        <v>-1.1089150713560001</v>
      </c>
      <c r="AE3369">
        <v>0.84600000000000297</v>
      </c>
      <c r="AF3369">
        <v>-0.70304385180604201</v>
      </c>
      <c r="AG3369">
        <v>-1.1089150713560001</v>
      </c>
      <c r="AH3369">
        <v>9.9143716191698008</v>
      </c>
      <c r="AI3369">
        <v>96.366111031186904</v>
      </c>
      <c r="AJ3369">
        <v>94.056145185043704</v>
      </c>
      <c r="AK3369">
        <v>10.0009363509644</v>
      </c>
      <c r="AL3369">
        <v>80.515690439813199</v>
      </c>
      <c r="AM3369">
        <v>91.971810894931906</v>
      </c>
      <c r="AN3369">
        <v>0.99999996646856903</v>
      </c>
    </row>
    <row r="3370" spans="1:40" x14ac:dyDescent="0.25">
      <c r="A3370" t="str">
        <f>"20190304155659205"</f>
        <v>20190304155659205</v>
      </c>
      <c r="B3370" t="str">
        <f>"1551686219198217"</f>
        <v>1551686219198217</v>
      </c>
      <c r="C3370" t="s">
        <v>40</v>
      </c>
      <c r="D3370">
        <v>4.496664</v>
      </c>
      <c r="E3370">
        <v>0.48492079999999999</v>
      </c>
      <c r="F3370" t="s">
        <v>64</v>
      </c>
      <c r="G3370">
        <v>-414.38420000000002</v>
      </c>
      <c r="H3370" s="1">
        <v>2.979468E-6</v>
      </c>
      <c r="I3370">
        <v>214.66159999999999</v>
      </c>
      <c r="J3370">
        <v>-429.33429999999998</v>
      </c>
      <c r="K3370">
        <v>1.1089150000000001</v>
      </c>
      <c r="L3370">
        <v>213.57149999999999</v>
      </c>
      <c r="M3370">
        <v>0.99989150000000004</v>
      </c>
      <c r="N3370">
        <v>-7.1475949999999996E-3</v>
      </c>
      <c r="O3370">
        <v>1.289087E-2</v>
      </c>
      <c r="P3370">
        <v>0.98631899999999995</v>
      </c>
      <c r="Q3370">
        <v>0.157863</v>
      </c>
      <c r="R3370">
        <v>4.7480559999999998E-2</v>
      </c>
      <c r="S3370">
        <v>3.0665589999999998</v>
      </c>
      <c r="T3370">
        <v>-0.22293840000000001</v>
      </c>
      <c r="U3370">
        <v>0.2198792</v>
      </c>
      <c r="V3370">
        <v>-3.4589809999999999E-2</v>
      </c>
      <c r="W3370">
        <v>0.1649487</v>
      </c>
      <c r="X3370">
        <v>0.9856954</v>
      </c>
      <c r="Y3370">
        <v>-5.8513210000000003E-2</v>
      </c>
      <c r="Z3370">
        <v>1.4884399999999999E-3</v>
      </c>
      <c r="AA3370">
        <v>0.99828550000000005</v>
      </c>
      <c r="AB3370">
        <v>30</v>
      </c>
      <c r="AC3370">
        <v>14.9500999999999</v>
      </c>
      <c r="AD3370">
        <v>-1.10891202053199</v>
      </c>
      <c r="AE3370">
        <v>1.0901000000000001</v>
      </c>
      <c r="AF3370">
        <v>-0.89240086765276905</v>
      </c>
      <c r="AG3370">
        <v>-1.10891202053199</v>
      </c>
      <c r="AH3370">
        <v>14.881468335714301</v>
      </c>
      <c r="AI3370">
        <v>94.253979806287404</v>
      </c>
      <c r="AJ3370">
        <v>93.431761173152907</v>
      </c>
      <c r="AK3370">
        <v>14.9493867768794</v>
      </c>
      <c r="AL3370">
        <v>80.505745400082802</v>
      </c>
      <c r="AM3370">
        <v>92.009786413007504</v>
      </c>
      <c r="AN3370">
        <v>0.99999997508434202</v>
      </c>
    </row>
    <row r="3371" spans="1:40" x14ac:dyDescent="0.25">
      <c r="A3371" t="str">
        <f>"20190304155659226"</f>
        <v>20190304155659226</v>
      </c>
      <c r="B3371" t="str">
        <f>"1551686219217736"</f>
        <v>1551686219217736</v>
      </c>
      <c r="C3371" t="s">
        <v>40</v>
      </c>
      <c r="D3371">
        <v>4.4550650000000003</v>
      </c>
      <c r="E3371">
        <v>0.48391230000000002</v>
      </c>
      <c r="F3371" t="s">
        <v>64</v>
      </c>
      <c r="G3371">
        <v>-411.35629999999998</v>
      </c>
      <c r="H3371" s="1">
        <v>2.4167079999999999E-6</v>
      </c>
      <c r="I3371">
        <v>214.95519999999999</v>
      </c>
      <c r="J3371">
        <v>-429.03469999999999</v>
      </c>
      <c r="K3371">
        <v>1.10891299999999</v>
      </c>
      <c r="L3371">
        <v>213.57480000000001</v>
      </c>
      <c r="M3371">
        <v>0.9998977</v>
      </c>
      <c r="N3371">
        <v>-7.1596350000000001E-3</v>
      </c>
      <c r="O3371">
        <v>1.238774E-2</v>
      </c>
      <c r="P3371">
        <v>0.9862554</v>
      </c>
      <c r="Q3371">
        <v>0.158382299999999</v>
      </c>
      <c r="R3371">
        <v>4.7069680000000003E-2</v>
      </c>
      <c r="S3371">
        <v>3.0605159999999998</v>
      </c>
      <c r="T3371">
        <v>-0.18877740000000001</v>
      </c>
      <c r="U3371">
        <v>0.23554990000000001</v>
      </c>
      <c r="V3371">
        <v>-3.4674589999999998E-2</v>
      </c>
      <c r="W3371">
        <v>0.16547970000000001</v>
      </c>
      <c r="X3371">
        <v>0.98560349999999997</v>
      </c>
      <c r="Y3371">
        <v>-6.4262479999999997E-2</v>
      </c>
      <c r="Z3371">
        <v>1.5341020000000001E-3</v>
      </c>
      <c r="AA3371">
        <v>0.99793180000000004</v>
      </c>
      <c r="AB3371">
        <v>30</v>
      </c>
      <c r="AC3371">
        <v>17.6784</v>
      </c>
      <c r="AD3371">
        <v>-1.1089105832920001</v>
      </c>
      <c r="AE3371">
        <v>1.3803999999999801</v>
      </c>
      <c r="AF3371">
        <v>-1.15676914328139</v>
      </c>
      <c r="AG3371">
        <v>-1.1089105832920001</v>
      </c>
      <c r="AH3371">
        <v>17.6252149724702</v>
      </c>
      <c r="AI3371">
        <v>93.592375894654197</v>
      </c>
      <c r="AJ3371">
        <v>93.755022057682993</v>
      </c>
      <c r="AK3371">
        <v>17.6979094911906</v>
      </c>
      <c r="AL3371">
        <v>80.474898222455096</v>
      </c>
      <c r="AM3371">
        <v>92.014896068098594</v>
      </c>
      <c r="AN3371">
        <v>1.000000058758</v>
      </c>
    </row>
    <row r="3372" spans="1:40" x14ac:dyDescent="0.25">
      <c r="A3372" t="str">
        <f>"20190304155659251"</f>
        <v>20190304155659251</v>
      </c>
      <c r="B3372" t="str">
        <f>"1551686219247993"</f>
        <v>1551686219247993</v>
      </c>
      <c r="C3372" t="s">
        <v>40</v>
      </c>
      <c r="D3372">
        <v>4.4792500000000004</v>
      </c>
      <c r="E3372">
        <v>0.4839541</v>
      </c>
      <c r="F3372" t="s">
        <v>64</v>
      </c>
      <c r="G3372">
        <v>-409.22550000000001</v>
      </c>
      <c r="H3372" s="1">
        <v>4.2008160000000001E-6</v>
      </c>
      <c r="I3372">
        <v>215.15020000000001</v>
      </c>
      <c r="J3372">
        <v>-428.70179999999999</v>
      </c>
      <c r="K3372">
        <v>1.1089059999999999</v>
      </c>
      <c r="L3372">
        <v>213.57839999999999</v>
      </c>
      <c r="M3372">
        <v>0.99990440000000003</v>
      </c>
      <c r="N3372">
        <v>-7.1779110000000004E-3</v>
      </c>
      <c r="O3372">
        <v>1.1829030000000001E-2</v>
      </c>
      <c r="P3372">
        <v>0.98616470000000001</v>
      </c>
      <c r="Q3372">
        <v>0.15897269999999999</v>
      </c>
      <c r="R3372">
        <v>4.6982019999999999E-2</v>
      </c>
      <c r="S3372">
        <v>3.0576780000000001</v>
      </c>
      <c r="T3372">
        <v>-0.17116689999999901</v>
      </c>
      <c r="U3372">
        <v>0.24316409999999999</v>
      </c>
      <c r="V3372">
        <v>-3.5137620000000001E-2</v>
      </c>
      <c r="W3372">
        <v>0.16608809999999999</v>
      </c>
      <c r="X3372">
        <v>0.98548469999999999</v>
      </c>
      <c r="Y3372">
        <v>-6.7373440000000007E-2</v>
      </c>
      <c r="Z3372">
        <v>1.547915E-3</v>
      </c>
      <c r="AA3372">
        <v>0.99772660000000002</v>
      </c>
      <c r="AB3372">
        <v>31</v>
      </c>
      <c r="AC3372">
        <v>19.476299999999899</v>
      </c>
      <c r="AD3372">
        <v>-1.108901799184</v>
      </c>
      <c r="AE3372">
        <v>1.5718000000000201</v>
      </c>
      <c r="AF3372">
        <v>-1.3369922933721099</v>
      </c>
      <c r="AG3372">
        <v>-1.108901799184</v>
      </c>
      <c r="AH3372">
        <v>19.430948832913799</v>
      </c>
      <c r="AI3372">
        <v>93.258573090584207</v>
      </c>
      <c r="AJ3372">
        <v>93.936167290125994</v>
      </c>
      <c r="AK3372">
        <v>19.508433667008799</v>
      </c>
      <c r="AL3372">
        <v>80.439549779904397</v>
      </c>
      <c r="AM3372">
        <v>92.042025453650297</v>
      </c>
      <c r="AN3372">
        <v>1.0000000016174799</v>
      </c>
    </row>
    <row r="3373" spans="1:40" x14ac:dyDescent="0.25">
      <c r="A3373" t="str">
        <f>"20190304155659273"</f>
        <v>20190304155659273</v>
      </c>
      <c r="B3373" t="str">
        <f>"1551686219267513"</f>
        <v>1551686219267513</v>
      </c>
      <c r="C3373" t="s">
        <v>40</v>
      </c>
      <c r="D3373">
        <v>4.5082639999999996</v>
      </c>
      <c r="E3373">
        <v>0.48328769999999999</v>
      </c>
      <c r="F3373" t="s">
        <v>64</v>
      </c>
      <c r="G3373">
        <v>-406.10759999999999</v>
      </c>
      <c r="H3373" s="1">
        <v>5.5363349999999997E-6</v>
      </c>
      <c r="I3373">
        <v>215.3783</v>
      </c>
      <c r="J3373">
        <v>-428.3931</v>
      </c>
      <c r="K3373">
        <v>1.1089059999999999</v>
      </c>
      <c r="L3373">
        <v>213.58150000000001</v>
      </c>
      <c r="M3373">
        <v>0.99991010000000002</v>
      </c>
      <c r="N3373">
        <v>-7.196249E-3</v>
      </c>
      <c r="O3373">
        <v>1.13115E-2</v>
      </c>
      <c r="P3373">
        <v>0.98613119999999999</v>
      </c>
      <c r="Q3373">
        <v>0.15922999999999901</v>
      </c>
      <c r="R3373">
        <v>4.6812159999999998E-2</v>
      </c>
      <c r="S3373">
        <v>3.0546259999999998</v>
      </c>
      <c r="T3373">
        <v>-0.14991840000000001</v>
      </c>
      <c r="U3373">
        <v>0.24333189999999999</v>
      </c>
      <c r="V3373">
        <v>-3.547757E-2</v>
      </c>
      <c r="W3373">
        <v>0.1663637</v>
      </c>
      <c r="X3373">
        <v>0.98542600000000002</v>
      </c>
      <c r="Y3373">
        <v>-6.8043889999999996E-2</v>
      </c>
      <c r="Z3373">
        <v>1.4388809999999999E-3</v>
      </c>
      <c r="AA3373">
        <v>0.99768129999999999</v>
      </c>
      <c r="AB3373">
        <v>31</v>
      </c>
      <c r="AC3373">
        <v>22.285499999999999</v>
      </c>
      <c r="AD3373">
        <v>-1.1089004636649999</v>
      </c>
      <c r="AE3373">
        <v>1.79679999999999</v>
      </c>
      <c r="AF3373">
        <v>-1.5408057668480399</v>
      </c>
      <c r="AG3373">
        <v>-1.1089004636649999</v>
      </c>
      <c r="AH3373">
        <v>22.249666124190501</v>
      </c>
      <c r="AI3373">
        <v>92.846396109478803</v>
      </c>
      <c r="AJ3373">
        <v>93.961450414259104</v>
      </c>
      <c r="AK3373">
        <v>22.3305034714272</v>
      </c>
      <c r="AL3373">
        <v>80.4235359733661</v>
      </c>
      <c r="AM3373">
        <v>92.061887414440804</v>
      </c>
      <c r="AN3373">
        <v>0.99999997006339703</v>
      </c>
    </row>
    <row r="3374" spans="1:40" x14ac:dyDescent="0.25">
      <c r="A3374" t="str">
        <f>"20190304155659294"</f>
        <v>20190304155659294</v>
      </c>
      <c r="B3374" t="str">
        <f>"1551686219288009"</f>
        <v>1551686219288009</v>
      </c>
      <c r="C3374" t="s">
        <v>40</v>
      </c>
      <c r="D3374">
        <v>4.5186440000000001</v>
      </c>
      <c r="E3374">
        <v>0.48403380000000001</v>
      </c>
      <c r="F3374" t="s">
        <v>64</v>
      </c>
      <c r="G3374">
        <v>-404.86309999999997</v>
      </c>
      <c r="H3374" s="1">
        <v>6.0651349999999997E-6</v>
      </c>
      <c r="I3374">
        <v>215.49</v>
      </c>
      <c r="J3374">
        <v>-428.10169999999999</v>
      </c>
      <c r="K3374">
        <v>1.1089020000000001</v>
      </c>
      <c r="L3374">
        <v>213.58439999999999</v>
      </c>
      <c r="M3374">
        <v>0.99991540000000001</v>
      </c>
      <c r="N3374">
        <v>-7.2146019999999996E-3</v>
      </c>
      <c r="O3374">
        <v>1.0823370000000001E-2</v>
      </c>
      <c r="P3374">
        <v>0.986182</v>
      </c>
      <c r="Q3374">
        <v>0.15901699999999999</v>
      </c>
      <c r="R3374">
        <v>4.6461019999999999E-2</v>
      </c>
      <c r="S3374">
        <v>3.0536799999999999</v>
      </c>
      <c r="T3374">
        <v>-0.14391109999999999</v>
      </c>
      <c r="U3374">
        <v>0.2476807</v>
      </c>
      <c r="V3374">
        <v>-3.560704E-2</v>
      </c>
      <c r="W3374">
        <v>0.16616900000000001</v>
      </c>
      <c r="X3374">
        <v>0.98545419999999995</v>
      </c>
      <c r="Y3374">
        <v>-6.9970009999999999E-2</v>
      </c>
      <c r="Z3374">
        <v>1.4671510000000001E-3</v>
      </c>
      <c r="AA3374">
        <v>0.99754799999999999</v>
      </c>
      <c r="AB3374">
        <v>31</v>
      </c>
      <c r="AC3374">
        <v>23.238600000000002</v>
      </c>
      <c r="AD3374">
        <v>-1.108895934865</v>
      </c>
      <c r="AE3374">
        <v>1.9056000000000199</v>
      </c>
      <c r="AF3374">
        <v>-1.65022940050696</v>
      </c>
      <c r="AG3374">
        <v>-1.108895934865</v>
      </c>
      <c r="AH3374">
        <v>23.205378738032302</v>
      </c>
      <c r="AI3374">
        <v>92.728982709529205</v>
      </c>
      <c r="AJ3374">
        <v>94.067689406316106</v>
      </c>
      <c r="AK3374">
        <v>23.2903952230137</v>
      </c>
      <c r="AL3374">
        <v>80.434849111972099</v>
      </c>
      <c r="AM3374">
        <v>92.069346261784901</v>
      </c>
      <c r="AN3374">
        <v>0.99999998907809995</v>
      </c>
    </row>
    <row r="3375" spans="1:40" x14ac:dyDescent="0.25">
      <c r="A3375" t="str">
        <f>"20190304155659317"</f>
        <v>20190304155659317</v>
      </c>
      <c r="B3375" t="str">
        <f>"1551686219307529"</f>
        <v>1551686219307529</v>
      </c>
      <c r="C3375" t="s">
        <v>40</v>
      </c>
      <c r="D3375">
        <v>4.5020699999999998</v>
      </c>
      <c r="E3375">
        <v>0.4846241</v>
      </c>
      <c r="F3375" t="s">
        <v>64</v>
      </c>
      <c r="G3375">
        <v>-403.44049999999999</v>
      </c>
      <c r="H3375" s="1">
        <v>6.6882359999999999E-6</v>
      </c>
      <c r="I3375">
        <v>215.52760000000001</v>
      </c>
      <c r="J3375">
        <v>-427.79289999999997</v>
      </c>
      <c r="K3375">
        <v>1.1089009999999999</v>
      </c>
      <c r="L3375">
        <v>213.5872</v>
      </c>
      <c r="M3375">
        <v>0.99992080000000005</v>
      </c>
      <c r="N3375">
        <v>-7.2384119999999996E-3</v>
      </c>
      <c r="O3375">
        <v>1.030678E-2</v>
      </c>
      <c r="P3375">
        <v>0.98627260000000005</v>
      </c>
      <c r="Q3375">
        <v>0.1586456</v>
      </c>
      <c r="R3375">
        <v>4.5804919999999999E-2</v>
      </c>
      <c r="S3375">
        <v>3.052826</v>
      </c>
      <c r="T3375">
        <v>-0.13727059999999999</v>
      </c>
      <c r="U3375">
        <v>0.24055480000000001</v>
      </c>
      <c r="V3375">
        <v>-3.5458770000000001E-2</v>
      </c>
      <c r="W3375">
        <v>0.165822</v>
      </c>
      <c r="X3375">
        <v>0.98551800000000001</v>
      </c>
      <c r="Y3375">
        <v>-6.8202260000000001E-2</v>
      </c>
      <c r="Z3375">
        <v>1.3896100000000001E-3</v>
      </c>
      <c r="AA3375">
        <v>0.99767050000000002</v>
      </c>
      <c r="AB3375">
        <v>31</v>
      </c>
      <c r="AC3375">
        <v>24.3523999999999</v>
      </c>
      <c r="AD3375">
        <v>-1.108894311764</v>
      </c>
      <c r="AE3375">
        <v>1.9404000000000099</v>
      </c>
      <c r="AF3375">
        <v>-1.6858221107288001</v>
      </c>
      <c r="AG3375">
        <v>-1.108894311764</v>
      </c>
      <c r="AH3375">
        <v>24.320995628221301</v>
      </c>
      <c r="AI3375">
        <v>92.6043022687915</v>
      </c>
      <c r="AJ3375">
        <v>93.965143684698901</v>
      </c>
      <c r="AK3375">
        <v>24.404558408863799</v>
      </c>
      <c r="AL3375">
        <v>80.455010505239301</v>
      </c>
      <c r="AM3375">
        <v>92.0606035239215</v>
      </c>
      <c r="AN3375">
        <v>0.99999999418895602</v>
      </c>
    </row>
    <row r="3376" spans="1:40" x14ac:dyDescent="0.25">
      <c r="A3376" t="str">
        <f>"20190304155659338"</f>
        <v>20190304155659338</v>
      </c>
      <c r="B3376" t="str">
        <f>"1551686219328024"</f>
        <v>1551686219328024</v>
      </c>
      <c r="C3376" t="s">
        <v>40</v>
      </c>
      <c r="D3376">
        <v>4.5132370000000002</v>
      </c>
      <c r="E3376">
        <v>0.48425590000000002</v>
      </c>
      <c r="F3376" t="s">
        <v>64</v>
      </c>
      <c r="G3376">
        <v>-402.7149</v>
      </c>
      <c r="H3376" s="1">
        <v>7.0134590000000002E-6</v>
      </c>
      <c r="I3376">
        <v>215.51089999999999</v>
      </c>
      <c r="J3376">
        <v>-427.49009999999998</v>
      </c>
      <c r="K3376">
        <v>1.1089</v>
      </c>
      <c r="L3376">
        <v>213.5898</v>
      </c>
      <c r="M3376">
        <v>0.99992570000000003</v>
      </c>
      <c r="N3376">
        <v>-7.2641199999999998E-3</v>
      </c>
      <c r="O3376">
        <v>9.8004300000000006E-3</v>
      </c>
      <c r="P3376">
        <v>0.98638130000000002</v>
      </c>
      <c r="Q3376">
        <v>0.1580252</v>
      </c>
      <c r="R3376">
        <v>4.561142E-2</v>
      </c>
      <c r="S3376">
        <v>3.0525509999999998</v>
      </c>
      <c r="T3376">
        <v>-0.13497709999999999</v>
      </c>
      <c r="U3376">
        <v>0.23416139999999999</v>
      </c>
      <c r="V3376">
        <v>-3.5763620000000003E-2</v>
      </c>
      <c r="W3376">
        <v>0.16522800000000001</v>
      </c>
      <c r="X3376">
        <v>0.98560669999999995</v>
      </c>
      <c r="Y3376">
        <v>-6.6640930000000001E-2</v>
      </c>
      <c r="Z3376">
        <v>1.351625E-3</v>
      </c>
      <c r="AA3376">
        <v>0.99777610000000005</v>
      </c>
      <c r="AB3376">
        <v>31</v>
      </c>
      <c r="AC3376">
        <v>24.775199999999899</v>
      </c>
      <c r="AD3376">
        <v>-1.108892986541</v>
      </c>
      <c r="AE3376">
        <v>1.92109999999999</v>
      </c>
      <c r="AF3376">
        <v>-1.67485855801938</v>
      </c>
      <c r="AG3376">
        <v>-1.108892986541</v>
      </c>
      <c r="AH3376">
        <v>24.7435657928152</v>
      </c>
      <c r="AI3376">
        <v>92.560166250459602</v>
      </c>
      <c r="AJ3376">
        <v>93.872367082109704</v>
      </c>
      <c r="AK3376">
        <v>24.824964108500701</v>
      </c>
      <c r="AL3376">
        <v>80.489519794961794</v>
      </c>
      <c r="AM3376">
        <v>92.078116826029401</v>
      </c>
      <c r="AN3376">
        <v>0.99999994779219503</v>
      </c>
    </row>
    <row r="3377" spans="1:40" x14ac:dyDescent="0.25">
      <c r="A3377" t="str">
        <f>"20190304155659361"</f>
        <v>20190304155659361</v>
      </c>
      <c r="B3377" t="str">
        <f>"1551686219358281"</f>
        <v>1551686219358281</v>
      </c>
      <c r="C3377" t="s">
        <v>40</v>
      </c>
      <c r="D3377">
        <v>4.5100220000000002</v>
      </c>
      <c r="E3377">
        <v>0.48525679999999999</v>
      </c>
      <c r="F3377" t="s">
        <v>64</v>
      </c>
      <c r="G3377">
        <v>-402.904</v>
      </c>
      <c r="H3377" s="1">
        <v>6.9340589999999997E-6</v>
      </c>
      <c r="I3377">
        <v>215.48939999999999</v>
      </c>
      <c r="J3377">
        <v>-427.185</v>
      </c>
      <c r="K3377">
        <v>1.1088960000000001</v>
      </c>
      <c r="L3377">
        <v>213.59229999999999</v>
      </c>
      <c r="M3377">
        <v>0.9999304</v>
      </c>
      <c r="N3377">
        <v>-7.2899389999999996E-3</v>
      </c>
      <c r="O3377">
        <v>9.2902699999999998E-3</v>
      </c>
      <c r="P3377">
        <v>0.9864482</v>
      </c>
      <c r="Q3377">
        <v>0.157581</v>
      </c>
      <c r="R3377">
        <v>4.5699690000000001E-2</v>
      </c>
      <c r="S3377">
        <v>3.0526119999999999</v>
      </c>
      <c r="T3377">
        <v>-0.13767969999999999</v>
      </c>
      <c r="U3377">
        <v>0.23585510000000001</v>
      </c>
      <c r="V3377">
        <v>-3.6354119999999997E-2</v>
      </c>
      <c r="W3377">
        <v>0.1648104</v>
      </c>
      <c r="X3377">
        <v>0.98565510000000001</v>
      </c>
      <c r="Y3377">
        <v>-6.7694630000000006E-2</v>
      </c>
      <c r="Z3377">
        <v>1.420277E-3</v>
      </c>
      <c r="AA3377">
        <v>0.99770510000000001</v>
      </c>
      <c r="AB3377">
        <v>31</v>
      </c>
      <c r="AC3377">
        <v>24.280999999999999</v>
      </c>
      <c r="AD3377">
        <v>-1.10888906594099</v>
      </c>
      <c r="AE3377">
        <v>1.89709999999999</v>
      </c>
      <c r="AF3377">
        <v>-1.6679773917365801</v>
      </c>
      <c r="AG3377">
        <v>-1.10888906594099</v>
      </c>
      <c r="AH3377">
        <v>24.247312365279601</v>
      </c>
      <c r="AI3377">
        <v>92.612287169791301</v>
      </c>
      <c r="AJ3377">
        <v>93.935188543655698</v>
      </c>
      <c r="AK3377">
        <v>24.329898077866002</v>
      </c>
      <c r="AL3377">
        <v>80.513779916901797</v>
      </c>
      <c r="AM3377">
        <v>92.1122945455609</v>
      </c>
      <c r="AN3377">
        <v>1.00000003307257</v>
      </c>
    </row>
    <row r="3378" spans="1:40" x14ac:dyDescent="0.25">
      <c r="A3378" t="str">
        <f>"20190304155659383"</f>
        <v>20190304155659383</v>
      </c>
      <c r="B3378" t="str">
        <f>"1551686219377801"</f>
        <v>1551686219377801</v>
      </c>
      <c r="C3378" t="s">
        <v>40</v>
      </c>
      <c r="D3378">
        <v>4.5203689999999996</v>
      </c>
      <c r="E3378">
        <v>0.48573499999999997</v>
      </c>
      <c r="F3378" t="s">
        <v>64</v>
      </c>
      <c r="G3378">
        <v>-402.42919999999998</v>
      </c>
      <c r="H3378" s="1">
        <v>7.1551390000000003E-6</v>
      </c>
      <c r="I3378">
        <v>215.4385</v>
      </c>
      <c r="J3378">
        <v>-426.85730000000001</v>
      </c>
      <c r="K3378">
        <v>1.108894</v>
      </c>
      <c r="L3378">
        <v>213.59479999999999</v>
      </c>
      <c r="M3378">
        <v>0.99993520000000002</v>
      </c>
      <c r="N3378">
        <v>-7.3166519999999999E-3</v>
      </c>
      <c r="O3378">
        <v>8.7423150000000005E-3</v>
      </c>
      <c r="P3378">
        <v>0.98661239999999994</v>
      </c>
      <c r="Q3378">
        <v>0.15669229999999901</v>
      </c>
      <c r="R3378">
        <v>4.5209329999999999E-2</v>
      </c>
      <c r="S3378">
        <v>3.0525509999999998</v>
      </c>
      <c r="T3378">
        <v>-0.13673289999999999</v>
      </c>
      <c r="U3378">
        <v>0.22764590000000001</v>
      </c>
      <c r="V3378">
        <v>-3.6403600000000001E-2</v>
      </c>
      <c r="W3378">
        <v>0.16394919999999999</v>
      </c>
      <c r="X3378">
        <v>0.98579689999999998</v>
      </c>
      <c r="Y3378">
        <v>-6.5577899999999995E-2</v>
      </c>
      <c r="Z3378">
        <v>1.3793620000000001E-3</v>
      </c>
      <c r="AA3378">
        <v>0.99784649999999997</v>
      </c>
      <c r="AB3378">
        <v>31</v>
      </c>
      <c r="AC3378">
        <v>24.428100000000001</v>
      </c>
      <c r="AD3378">
        <v>-1.1088868448610001</v>
      </c>
      <c r="AE3378">
        <v>1.8437000000000101</v>
      </c>
      <c r="AF3378">
        <v>-1.6267326477236701</v>
      </c>
      <c r="AG3378">
        <v>-1.1088868448610001</v>
      </c>
      <c r="AH3378">
        <v>24.393304774541601</v>
      </c>
      <c r="AI3378">
        <v>92.597036721257396</v>
      </c>
      <c r="AJ3378">
        <v>93.815272883784701</v>
      </c>
      <c r="AK3378">
        <v>24.472621579339499</v>
      </c>
      <c r="AL3378">
        <v>80.563803622174007</v>
      </c>
      <c r="AM3378">
        <v>92.114862911856704</v>
      </c>
      <c r="AN3378">
        <v>1.0000000451616</v>
      </c>
    </row>
    <row r="3379" spans="1:40" x14ac:dyDescent="0.25">
      <c r="A3379" t="str">
        <f>"20190304155659406"</f>
        <v>20190304155659406</v>
      </c>
      <c r="B3379" t="str">
        <f>"1551686219398297"</f>
        <v>1551686219398297</v>
      </c>
      <c r="C3379" t="s">
        <v>40</v>
      </c>
      <c r="D3379">
        <v>4.6340029999999999</v>
      </c>
      <c r="E3379">
        <v>0.48558459999999998</v>
      </c>
      <c r="F3379" t="s">
        <v>64</v>
      </c>
      <c r="G3379">
        <v>-402.51130000000001</v>
      </c>
      <c r="H3379" s="1">
        <v>7.1334290000000003E-6</v>
      </c>
      <c r="I3379">
        <v>215.3673</v>
      </c>
      <c r="J3379">
        <v>-426.55970000000002</v>
      </c>
      <c r="K3379">
        <v>1.108889</v>
      </c>
      <c r="L3379">
        <v>213.59690000000001</v>
      </c>
      <c r="M3379">
        <v>0.99993909999999997</v>
      </c>
      <c r="N3379">
        <v>-7.3398539999999998E-3</v>
      </c>
      <c r="O3379">
        <v>8.2455159999999996E-3</v>
      </c>
      <c r="P3379">
        <v>0.98685080000000003</v>
      </c>
      <c r="Q3379">
        <v>0.1554557</v>
      </c>
      <c r="R3379">
        <v>4.426186E-2</v>
      </c>
      <c r="S3379">
        <v>3.0525820000000001</v>
      </c>
      <c r="T3379">
        <v>-0.13903579999999999</v>
      </c>
      <c r="U3379">
        <v>0.22224430000000001</v>
      </c>
      <c r="V3379">
        <v>-3.59446E-2</v>
      </c>
      <c r="W3379">
        <v>0.16273689999999999</v>
      </c>
      <c r="X3379">
        <v>0.98601450000000002</v>
      </c>
      <c r="Y3379">
        <v>-6.4315639999999993E-2</v>
      </c>
      <c r="Z3379">
        <v>1.3840739999999999E-3</v>
      </c>
      <c r="AA3379">
        <v>0.99792860000000005</v>
      </c>
      <c r="AB3379">
        <v>31</v>
      </c>
      <c r="AC3379">
        <v>24.048400000000001</v>
      </c>
      <c r="AD3379">
        <v>-1.1088818665710001</v>
      </c>
      <c r="AE3379">
        <v>1.77039999999999</v>
      </c>
      <c r="AF3379">
        <v>-1.5687256105093099</v>
      </c>
      <c r="AG3379">
        <v>-1.1088818665710001</v>
      </c>
      <c r="AH3379">
        <v>24.011403532828702</v>
      </c>
      <c r="AI3379">
        <v>92.638507498182904</v>
      </c>
      <c r="AJ3379">
        <v>93.737965659663701</v>
      </c>
      <c r="AK3379">
        <v>24.088130243989799</v>
      </c>
      <c r="AL3379">
        <v>80.634208021142896</v>
      </c>
      <c r="AM3379">
        <v>92.087760684133301</v>
      </c>
      <c r="AN3379">
        <v>0.99999995355050897</v>
      </c>
    </row>
    <row r="3380" spans="1:40" x14ac:dyDescent="0.25">
      <c r="A3380" t="str">
        <f>"20190304155659428"</f>
        <v>20190304155659428</v>
      </c>
      <c r="B3380" t="str">
        <f>"1551686219417817"</f>
        <v>1551686219417817</v>
      </c>
      <c r="C3380" t="s">
        <v>40</v>
      </c>
      <c r="D3380">
        <v>4.5924670000000001</v>
      </c>
      <c r="E3380">
        <v>0.48500179999999998</v>
      </c>
      <c r="F3380" t="s">
        <v>64</v>
      </c>
      <c r="G3380">
        <v>-403.09140000000002</v>
      </c>
      <c r="H3380" s="1">
        <v>6.8902620000000001E-6</v>
      </c>
      <c r="I3380">
        <v>215.29910000000001</v>
      </c>
      <c r="J3380">
        <v>-426.23970000000003</v>
      </c>
      <c r="K3380">
        <v>1.108884</v>
      </c>
      <c r="L3380">
        <v>213.59899999999999</v>
      </c>
      <c r="M3380">
        <v>0.99994320000000003</v>
      </c>
      <c r="N3380">
        <v>-7.3636550000000002E-3</v>
      </c>
      <c r="O3380">
        <v>7.7119429999999997E-3</v>
      </c>
      <c r="P3380">
        <v>0.98700129999999997</v>
      </c>
      <c r="Q3380">
        <v>0.15474579999999999</v>
      </c>
      <c r="R3380">
        <v>4.3387500000000002E-2</v>
      </c>
      <c r="S3380">
        <v>3.052765</v>
      </c>
      <c r="T3380">
        <v>-0.14424400000000001</v>
      </c>
      <c r="U3380">
        <v>0.22142029999999999</v>
      </c>
      <c r="V3380">
        <v>-3.559652E-2</v>
      </c>
      <c r="W3380">
        <v>0.1620509</v>
      </c>
      <c r="X3380">
        <v>0.98614009999999996</v>
      </c>
      <c r="Y3380">
        <v>-6.4570160000000001E-2</v>
      </c>
      <c r="Z3380">
        <v>1.4538439999999999E-3</v>
      </c>
      <c r="AA3380">
        <v>0.99791209999999997</v>
      </c>
      <c r="AB3380">
        <v>31</v>
      </c>
      <c r="AC3380">
        <v>23.148299999999999</v>
      </c>
      <c r="AD3380">
        <v>-1.1088771097379999</v>
      </c>
      <c r="AE3380">
        <v>1.70009999999999</v>
      </c>
      <c r="AF3380">
        <v>-1.51806141124968</v>
      </c>
      <c r="AG3380">
        <v>-1.1088771097379999</v>
      </c>
      <c r="AH3380">
        <v>23.1079812921848</v>
      </c>
      <c r="AI3380">
        <v>92.7414309910925</v>
      </c>
      <c r="AJ3380">
        <v>93.758602209523801</v>
      </c>
      <c r="AK3380">
        <v>23.1843248401326</v>
      </c>
      <c r="AL3380">
        <v>80.674041662067907</v>
      </c>
      <c r="AM3380">
        <v>92.067297770989796</v>
      </c>
      <c r="AN3380">
        <v>0.99999995162746402</v>
      </c>
    </row>
    <row r="3381" spans="1:40" x14ac:dyDescent="0.25">
      <c r="A3381" t="str">
        <f>"20190304155659452"</f>
        <v>20190304155659452</v>
      </c>
      <c r="B3381" t="str">
        <f>"1551686219448073"</f>
        <v>1551686219448073</v>
      </c>
      <c r="C3381" t="s">
        <v>40</v>
      </c>
      <c r="D3381">
        <v>4.5937799999999998</v>
      </c>
      <c r="E3381">
        <v>0.48428450000000001</v>
      </c>
      <c r="F3381" t="s">
        <v>64</v>
      </c>
      <c r="G3381">
        <v>-403.02179999999998</v>
      </c>
      <c r="H3381" s="1">
        <v>6.9196520000000004E-6</v>
      </c>
      <c r="I3381">
        <v>215.30629999999999</v>
      </c>
      <c r="J3381">
        <v>-425.9058</v>
      </c>
      <c r="K3381">
        <v>1.108873</v>
      </c>
      <c r="L3381">
        <v>213.601</v>
      </c>
      <c r="M3381">
        <v>0.99994720000000004</v>
      </c>
      <c r="N3381">
        <v>-7.3870150000000002E-3</v>
      </c>
      <c r="O3381">
        <v>7.1579390000000003E-3</v>
      </c>
      <c r="P3381">
        <v>0.98707590000000001</v>
      </c>
      <c r="Q3381">
        <v>0.15440299999999901</v>
      </c>
      <c r="R3381">
        <v>4.2909570000000001E-2</v>
      </c>
      <c r="S3381">
        <v>3.0524900000000001</v>
      </c>
      <c r="T3381">
        <v>-0.14578559999999999</v>
      </c>
      <c r="U3381">
        <v>0.22445680000000001</v>
      </c>
      <c r="V3381">
        <v>-3.5665170000000003E-2</v>
      </c>
      <c r="W3381">
        <v>0.16173189999999901</v>
      </c>
      <c r="X3381">
        <v>0.98619000000000001</v>
      </c>
      <c r="Y3381">
        <v>-6.6112840000000006E-2</v>
      </c>
      <c r="Z3381">
        <v>1.5320209999999999E-3</v>
      </c>
      <c r="AA3381">
        <v>0.997811</v>
      </c>
      <c r="AB3381">
        <v>31</v>
      </c>
      <c r="AC3381">
        <v>22.884</v>
      </c>
      <c r="AD3381">
        <v>-1.1088660803479999</v>
      </c>
      <c r="AE3381">
        <v>1.70529999999999</v>
      </c>
      <c r="AF3381">
        <v>-1.53785866218846</v>
      </c>
      <c r="AG3381">
        <v>-1.1088660803479999</v>
      </c>
      <c r="AH3381">
        <v>22.842283454208001</v>
      </c>
      <c r="AI3381">
        <v>92.7729428512787</v>
      </c>
      <c r="AJ3381">
        <v>93.851630824021299</v>
      </c>
      <c r="AK3381">
        <v>22.920831281858</v>
      </c>
      <c r="AL3381">
        <v>80.692563459848003</v>
      </c>
      <c r="AM3381">
        <v>92.071176495012693</v>
      </c>
      <c r="AN3381">
        <v>0.99999996396436797</v>
      </c>
    </row>
    <row r="3382" spans="1:40" x14ac:dyDescent="0.25">
      <c r="A3382" t="str">
        <f>"20190304155659473"</f>
        <v>20190304155659473</v>
      </c>
      <c r="B3382" t="str">
        <f>"1551686219468569"</f>
        <v>1551686219468569</v>
      </c>
      <c r="C3382" t="s">
        <v>40</v>
      </c>
      <c r="D3382">
        <v>4.6084389999999997</v>
      </c>
      <c r="E3382">
        <v>0.48370439999999998</v>
      </c>
      <c r="F3382" t="s">
        <v>64</v>
      </c>
      <c r="G3382">
        <v>-402.76069999999999</v>
      </c>
      <c r="H3382" s="1">
        <v>7.0283070000000001E-6</v>
      </c>
      <c r="I3382">
        <v>215.3407</v>
      </c>
      <c r="J3382">
        <v>-425.6046</v>
      </c>
      <c r="K3382">
        <v>1.108873</v>
      </c>
      <c r="L3382">
        <v>213.6027</v>
      </c>
      <c r="M3382">
        <v>0.99995049999999996</v>
      </c>
      <c r="N3382">
        <v>-7.4067780000000001E-3</v>
      </c>
      <c r="O3382">
        <v>6.6622549999999997E-3</v>
      </c>
      <c r="P3382">
        <v>0.98719290000000004</v>
      </c>
      <c r="Q3382">
        <v>0.15391969999999999</v>
      </c>
      <c r="R3382">
        <v>4.1944889999999999E-2</v>
      </c>
      <c r="S3382">
        <v>3.052155</v>
      </c>
      <c r="T3382">
        <v>-0.14622689999999999</v>
      </c>
      <c r="U3382">
        <v>0.22941590000000001</v>
      </c>
      <c r="V3382">
        <v>-3.5189640000000001E-2</v>
      </c>
      <c r="W3382">
        <v>0.16126789999999999</v>
      </c>
      <c r="X3382">
        <v>0.98628309999999997</v>
      </c>
      <c r="Y3382">
        <v>-6.8223969999999995E-2</v>
      </c>
      <c r="Z3382">
        <v>1.614962E-3</v>
      </c>
      <c r="AA3382">
        <v>0.99766869999999996</v>
      </c>
      <c r="AB3382">
        <v>31</v>
      </c>
      <c r="AC3382">
        <v>22.843900000000001</v>
      </c>
      <c r="AD3382">
        <v>-1.1088659716930001</v>
      </c>
      <c r="AE3382">
        <v>1.73799999999999</v>
      </c>
      <c r="AF3382">
        <v>-1.5820591420493699</v>
      </c>
      <c r="AG3382">
        <v>-1.1088659716930001</v>
      </c>
      <c r="AH3382">
        <v>22.801555806687201</v>
      </c>
      <c r="AI3382">
        <v>92.777499338419204</v>
      </c>
      <c r="AJ3382">
        <v>93.969039317924796</v>
      </c>
      <c r="AK3382">
        <v>22.883256806617201</v>
      </c>
      <c r="AL3382">
        <v>80.719502672623804</v>
      </c>
      <c r="AM3382">
        <v>92.043391966089501</v>
      </c>
      <c r="AN3382">
        <v>0.99999999983967403</v>
      </c>
    </row>
    <row r="3383" spans="1:40" x14ac:dyDescent="0.25">
      <c r="A3383" t="str">
        <f>"20190304155659494"</f>
        <v>20190304155659494</v>
      </c>
      <c r="B3383" t="str">
        <f>"1551686219488088"</f>
        <v>1551686219488088</v>
      </c>
      <c r="C3383" t="s">
        <v>40</v>
      </c>
      <c r="D3383">
        <v>4.7266349999999999</v>
      </c>
      <c r="E3383">
        <v>0.4837052</v>
      </c>
      <c r="F3383" t="s">
        <v>64</v>
      </c>
      <c r="G3383">
        <v>-402.7371</v>
      </c>
      <c r="H3383" s="1">
        <v>7.0389340000000002E-6</v>
      </c>
      <c r="I3383">
        <v>215.3399</v>
      </c>
      <c r="J3383">
        <v>-425.3</v>
      </c>
      <c r="K3383">
        <v>1.1088720000000001</v>
      </c>
      <c r="L3383">
        <v>213.60419999999999</v>
      </c>
      <c r="M3383">
        <v>0.9999536</v>
      </c>
      <c r="N3383">
        <v>-7.4255759999999997E-3</v>
      </c>
      <c r="O3383">
        <v>6.1642540000000001E-3</v>
      </c>
      <c r="P3383">
        <v>0.98724299999999998</v>
      </c>
      <c r="Q3383">
        <v>0.15378240000000001</v>
      </c>
      <c r="R3383">
        <v>4.1263040000000001E-2</v>
      </c>
      <c r="S3383">
        <v>3.052155</v>
      </c>
      <c r="T3383">
        <v>-0.14800160000000001</v>
      </c>
      <c r="U3383">
        <v>0.23187260000000001</v>
      </c>
      <c r="V3383">
        <v>-3.4999849999999999E-2</v>
      </c>
      <c r="W3383">
        <v>0.1611493</v>
      </c>
      <c r="X3383">
        <v>0.9863092</v>
      </c>
      <c r="Y3383">
        <v>-6.9515140000000003E-2</v>
      </c>
      <c r="Z3383">
        <v>1.688061E-3</v>
      </c>
      <c r="AA3383">
        <v>0.99757949999999995</v>
      </c>
      <c r="AB3383">
        <v>32</v>
      </c>
      <c r="AC3383">
        <v>22.562899999999999</v>
      </c>
      <c r="AD3383">
        <v>-1.108864961066</v>
      </c>
      <c r="AE3383">
        <v>1.7357</v>
      </c>
      <c r="AF3383">
        <v>-1.5927554448387</v>
      </c>
      <c r="AG3383">
        <v>-1.108864961066</v>
      </c>
      <c r="AH3383">
        <v>22.519100929133501</v>
      </c>
      <c r="AI3383">
        <v>92.812015788732595</v>
      </c>
      <c r="AJ3383">
        <v>94.045740727740807</v>
      </c>
      <c r="AK3383">
        <v>22.6025741468852</v>
      </c>
      <c r="AL3383">
        <v>80.7263876576868</v>
      </c>
      <c r="AM3383">
        <v>92.032326771498404</v>
      </c>
      <c r="AN3383">
        <v>0.99999996219757503</v>
      </c>
    </row>
    <row r="3384" spans="1:40" x14ac:dyDescent="0.25">
      <c r="A3384" t="str">
        <f>"20190304155659518"</f>
        <v>20190304155659518</v>
      </c>
      <c r="B3384" t="str">
        <f>"1551686219508585"</f>
        <v>1551686219508585</v>
      </c>
      <c r="C3384" t="s">
        <v>40</v>
      </c>
      <c r="D3384">
        <v>4.7348929999999996</v>
      </c>
      <c r="E3384">
        <v>0.51168249999999904</v>
      </c>
      <c r="F3384" t="s">
        <v>64</v>
      </c>
      <c r="G3384">
        <v>-402.5727</v>
      </c>
      <c r="H3384" s="1">
        <v>7.116477E-6</v>
      </c>
      <c r="I3384">
        <v>215.3175</v>
      </c>
      <c r="J3384">
        <v>-424.9785</v>
      </c>
      <c r="K3384">
        <v>1.1088750000000001</v>
      </c>
      <c r="L3384">
        <v>213.60560000000001</v>
      </c>
      <c r="M3384">
        <v>0.99995639999999997</v>
      </c>
      <c r="N3384">
        <v>-7.4444219999999896E-3</v>
      </c>
      <c r="O3384">
        <v>5.642289E-3</v>
      </c>
      <c r="P3384">
        <v>0.98725989999999997</v>
      </c>
      <c r="Q3384">
        <v>0.15383139999999901</v>
      </c>
      <c r="R3384">
        <v>4.0669940000000002E-2</v>
      </c>
      <c r="S3384">
        <v>3.052368</v>
      </c>
      <c r="T3384">
        <v>-0.1489249</v>
      </c>
      <c r="U3384">
        <v>0.23010249999999999</v>
      </c>
      <c r="V3384">
        <v>-3.4922799999999997E-2</v>
      </c>
      <c r="W3384">
        <v>0.16121659999999999</v>
      </c>
      <c r="X3384">
        <v>0.98630090000000004</v>
      </c>
      <c r="Y3384">
        <v>-6.9454009999999997E-2</v>
      </c>
      <c r="Z3384">
        <v>1.717204E-3</v>
      </c>
      <c r="AA3384">
        <v>0.99758369999999996</v>
      </c>
      <c r="AB3384">
        <v>32</v>
      </c>
      <c r="AC3384">
        <v>22.405799999999999</v>
      </c>
      <c r="AD3384">
        <v>-1.1088678835229999</v>
      </c>
      <c r="AE3384">
        <v>1.71189999999998</v>
      </c>
      <c r="AF3384">
        <v>-1.5815979540621601</v>
      </c>
      <c r="AG3384">
        <v>-1.1088678835229999</v>
      </c>
      <c r="AH3384">
        <v>22.360652953477999</v>
      </c>
      <c r="AI3384">
        <v>92.831916471080604</v>
      </c>
      <c r="AJ3384">
        <v>94.045866651769998</v>
      </c>
      <c r="AK3384">
        <v>22.443926585543998</v>
      </c>
      <c r="AL3384">
        <v>80.722480260468899</v>
      </c>
      <c r="AM3384">
        <v>92.027873520284899</v>
      </c>
      <c r="AN3384">
        <v>0.99999992970810203</v>
      </c>
    </row>
    <row r="3385" spans="1:40" x14ac:dyDescent="0.25">
      <c r="A3385" t="str">
        <f>"20190304155659539"</f>
        <v>20190304155659539</v>
      </c>
      <c r="B3385" t="str">
        <f>"1551686219528108"</f>
        <v>1551686219528108</v>
      </c>
      <c r="C3385" t="s">
        <v>40</v>
      </c>
      <c r="D3385">
        <v>4.7112660000000002</v>
      </c>
      <c r="E3385">
        <v>0.51803480000000002</v>
      </c>
      <c r="F3385" t="s">
        <v>64</v>
      </c>
      <c r="G3385">
        <v>-400.16849999999999</v>
      </c>
      <c r="H3385" s="1">
        <v>8.5266090000000003E-6</v>
      </c>
      <c r="I3385">
        <v>213.65280000000001</v>
      </c>
      <c r="J3385">
        <v>-424.6635</v>
      </c>
      <c r="K3385">
        <v>1.1088720000000001</v>
      </c>
      <c r="L3385">
        <v>213.6069</v>
      </c>
      <c r="M3385">
        <v>0.99995909999999999</v>
      </c>
      <c r="N3385">
        <v>-7.4618669999999996E-3</v>
      </c>
      <c r="O3385">
        <v>5.1336139999999999E-3</v>
      </c>
      <c r="P3385">
        <v>0.9873691</v>
      </c>
      <c r="Q3385">
        <v>0.15346119999999999</v>
      </c>
      <c r="R3385">
        <v>3.9394070000000003E-2</v>
      </c>
      <c r="S3385">
        <v>3.0597840000000001</v>
      </c>
      <c r="T3385">
        <v>-0.13675499999999999</v>
      </c>
      <c r="U3385">
        <v>5.813599E-3</v>
      </c>
      <c r="V3385">
        <v>-3.4148779999999997E-2</v>
      </c>
      <c r="W3385">
        <v>0.1608636</v>
      </c>
      <c r="X3385">
        <v>0.98638570000000003</v>
      </c>
      <c r="Y3385">
        <v>3.2264569999999998E-3</v>
      </c>
      <c r="Z3385">
        <v>-2.7514759999999999E-4</v>
      </c>
      <c r="AA3385">
        <v>0.99999479999999996</v>
      </c>
      <c r="AB3385">
        <v>32</v>
      </c>
      <c r="AC3385">
        <v>24.495000000000001</v>
      </c>
      <c r="AD3385">
        <v>-1.1088634733910001</v>
      </c>
      <c r="AE3385">
        <v>4.5900000000017302E-2</v>
      </c>
      <c r="AF3385">
        <v>7.9688662144692807E-2</v>
      </c>
      <c r="AG3385">
        <v>-1.1088634733910001</v>
      </c>
      <c r="AH3385">
        <v>24.444818750464201</v>
      </c>
      <c r="AI3385">
        <v>92.597251265892993</v>
      </c>
      <c r="AJ3385">
        <v>89.813219811991601</v>
      </c>
      <c r="AK3385">
        <v>24.470085660425099</v>
      </c>
      <c r="AL3385">
        <v>80.742973739894197</v>
      </c>
      <c r="AM3385">
        <v>91.982794198273297</v>
      </c>
      <c r="AN3385">
        <v>0.99999999307246901</v>
      </c>
    </row>
    <row r="3386" spans="1:40" x14ac:dyDescent="0.25">
      <c r="A3386" t="str">
        <f>"20190304155659563"</f>
        <v>20190304155659563</v>
      </c>
      <c r="B3386" t="str">
        <f>"1551686219558361"</f>
        <v>1551686219558361</v>
      </c>
      <c r="C3386" t="s">
        <v>40</v>
      </c>
      <c r="D3386">
        <v>4.6885820000000002</v>
      </c>
      <c r="E3386">
        <v>0.51810879999999904</v>
      </c>
      <c r="F3386" t="s">
        <v>64</v>
      </c>
      <c r="G3386">
        <v>-400.0856</v>
      </c>
      <c r="H3386" s="1">
        <v>8.6530649999999995E-6</v>
      </c>
      <c r="I3386">
        <v>213.21889999999999</v>
      </c>
      <c r="J3386">
        <v>-424.34219999999999</v>
      </c>
      <c r="K3386">
        <v>1.108867</v>
      </c>
      <c r="L3386">
        <v>213.60810000000001</v>
      </c>
      <c r="M3386">
        <v>0.9999614</v>
      </c>
      <c r="N3386">
        <v>-7.4787339999999999E-3</v>
      </c>
      <c r="O3386">
        <v>4.6182609999999898E-3</v>
      </c>
      <c r="P3386">
        <v>0.98749039999999999</v>
      </c>
      <c r="Q3386">
        <v>0.1530493</v>
      </c>
      <c r="R3386">
        <v>3.7928610000000001E-2</v>
      </c>
      <c r="S3386">
        <v>3.0617369999999999</v>
      </c>
      <c r="T3386">
        <v>-0.13813420000000001</v>
      </c>
      <c r="U3386">
        <v>-4.8339840000000002E-2</v>
      </c>
      <c r="V3386">
        <v>-3.3191419999999999E-2</v>
      </c>
      <c r="W3386">
        <v>0.16046830000000001</v>
      </c>
      <c r="X3386">
        <v>0.98648279999999999</v>
      </c>
      <c r="Y3386">
        <v>2.0376620000000002E-2</v>
      </c>
      <c r="Z3386">
        <v>-7.0936229999999897E-4</v>
      </c>
      <c r="AA3386">
        <v>0.99979209999999996</v>
      </c>
      <c r="AB3386">
        <v>32</v>
      </c>
      <c r="AC3386">
        <v>24.256599999999899</v>
      </c>
      <c r="AD3386">
        <v>-1.108858346935</v>
      </c>
      <c r="AE3386">
        <v>-0.38920000000001598</v>
      </c>
      <c r="AF3386">
        <v>0.50017731693919998</v>
      </c>
      <c r="AG3386">
        <v>-1.108858346935</v>
      </c>
      <c r="AH3386">
        <v>24.2039768264403</v>
      </c>
      <c r="AI3386">
        <v>92.622502009133001</v>
      </c>
      <c r="AJ3386">
        <v>88.816146161214405</v>
      </c>
      <c r="AK3386">
        <v>24.2345257514318</v>
      </c>
      <c r="AL3386">
        <v>80.765921217357203</v>
      </c>
      <c r="AM3386">
        <v>91.927059590218093</v>
      </c>
      <c r="AN3386">
        <v>1.00000003018117</v>
      </c>
    </row>
    <row r="3387" spans="1:40" x14ac:dyDescent="0.25">
      <c r="A3387" t="str">
        <f>"20190304155659585"</f>
        <v>20190304155659585</v>
      </c>
      <c r="B3387" t="str">
        <f>"1551686219577881"</f>
        <v>1551686219577881</v>
      </c>
      <c r="C3387" t="s">
        <v>40</v>
      </c>
      <c r="D3387">
        <v>4.6904940000000002</v>
      </c>
      <c r="E3387">
        <v>0.51815739999999999</v>
      </c>
      <c r="F3387" t="s">
        <v>64</v>
      </c>
      <c r="G3387">
        <v>-401.15480000000002</v>
      </c>
      <c r="H3387" s="1">
        <v>8.1817300000000004E-6</v>
      </c>
      <c r="I3387">
        <v>213.20519999999999</v>
      </c>
      <c r="J3387">
        <v>-424.01749999999998</v>
      </c>
      <c r="K3387">
        <v>1.1088629999999999</v>
      </c>
      <c r="L3387">
        <v>213.60910000000001</v>
      </c>
      <c r="M3387">
        <v>0.99996359999999995</v>
      </c>
      <c r="N3387">
        <v>-7.4948580000000001E-3</v>
      </c>
      <c r="O3387">
        <v>4.101965E-3</v>
      </c>
      <c r="P3387">
        <v>0.98756580000000005</v>
      </c>
      <c r="Q3387">
        <v>0.1527135</v>
      </c>
      <c r="R3387">
        <v>3.7320560000000003E-2</v>
      </c>
      <c r="S3387">
        <v>3.0627749999999998</v>
      </c>
      <c r="T3387">
        <v>-0.14646700000000001</v>
      </c>
      <c r="U3387">
        <v>-5.3222659999999998E-2</v>
      </c>
      <c r="V3387">
        <v>-3.3093909999999997E-2</v>
      </c>
      <c r="W3387">
        <v>0.1601487</v>
      </c>
      <c r="X3387">
        <v>0.98653800000000003</v>
      </c>
      <c r="Y3387">
        <v>2.144428E-2</v>
      </c>
      <c r="Z3387">
        <v>-7.5815089999999995E-4</v>
      </c>
      <c r="AA3387">
        <v>0.99976969999999998</v>
      </c>
      <c r="AB3387">
        <v>32</v>
      </c>
      <c r="AC3387">
        <v>22.862699999999901</v>
      </c>
      <c r="AD3387">
        <v>-1.10885481827</v>
      </c>
      <c r="AE3387">
        <v>-0.40390000000002102</v>
      </c>
      <c r="AF3387">
        <v>0.49651363268249299</v>
      </c>
      <c r="AG3387">
        <v>-1.10885481827</v>
      </c>
      <c r="AH3387">
        <v>22.807217931594799</v>
      </c>
      <c r="AI3387">
        <v>92.782790039762006</v>
      </c>
      <c r="AJ3387">
        <v>88.752866622834006</v>
      </c>
      <c r="AK3387">
        <v>22.839555043272998</v>
      </c>
      <c r="AL3387">
        <v>80.784472775439795</v>
      </c>
      <c r="AM3387">
        <v>91.921295081841194</v>
      </c>
      <c r="AN3387">
        <v>1.0000000192173799</v>
      </c>
    </row>
    <row r="3388" spans="1:40" x14ac:dyDescent="0.25">
      <c r="A3388" t="str">
        <f>"20190304155659606"</f>
        <v>20190304155659606</v>
      </c>
      <c r="B3388" t="str">
        <f>"1551686219598377"</f>
        <v>1551686219598377</v>
      </c>
      <c r="C3388" t="s">
        <v>40</v>
      </c>
      <c r="D3388">
        <v>4.6812490000000002</v>
      </c>
      <c r="E3388">
        <v>0.51804209999999995</v>
      </c>
      <c r="F3388" t="s">
        <v>64</v>
      </c>
      <c r="G3388">
        <v>-401.15649999999999</v>
      </c>
      <c r="H3388" s="1">
        <v>8.1841199999999998E-6</v>
      </c>
      <c r="I3388">
        <v>213.1901</v>
      </c>
      <c r="J3388">
        <v>-423.71809999999999</v>
      </c>
      <c r="K3388">
        <v>1.108868</v>
      </c>
      <c r="L3388">
        <v>213.60990000000001</v>
      </c>
      <c r="M3388">
        <v>0.9999654</v>
      </c>
      <c r="N3388">
        <v>-7.5089479999999997E-3</v>
      </c>
      <c r="O3388">
        <v>3.6329660000000001E-3</v>
      </c>
      <c r="P3388">
        <v>0.98762190000000005</v>
      </c>
      <c r="Q3388">
        <v>0.15250639999999999</v>
      </c>
      <c r="R3388">
        <v>3.6676920000000002E-2</v>
      </c>
      <c r="S3388">
        <v>3.062897</v>
      </c>
      <c r="T3388">
        <v>-0.14856279999999999</v>
      </c>
      <c r="U3388">
        <v>-5.6137079999999999E-2</v>
      </c>
      <c r="V3388">
        <v>-3.2914310000000002E-2</v>
      </c>
      <c r="W3388">
        <v>0.15995519999999999</v>
      </c>
      <c r="X3388">
        <v>0.98657539999999999</v>
      </c>
      <c r="Y3388">
        <v>2.1924559999999999E-2</v>
      </c>
      <c r="Z3388">
        <v>-7.6256890000000002E-4</v>
      </c>
      <c r="AA3388">
        <v>0.99975930000000002</v>
      </c>
      <c r="AB3388">
        <v>32</v>
      </c>
      <c r="AC3388">
        <v>22.561599999999999</v>
      </c>
      <c r="AD3388">
        <v>-1.10885981588</v>
      </c>
      <c r="AE3388">
        <v>-0.419800000000009</v>
      </c>
      <c r="AF3388">
        <v>0.50055635694079104</v>
      </c>
      <c r="AG3388">
        <v>-1.10885981588</v>
      </c>
      <c r="AH3388">
        <v>22.505581714061201</v>
      </c>
      <c r="AI3388">
        <v>92.820010709696106</v>
      </c>
      <c r="AJ3388">
        <v>88.725869905783696</v>
      </c>
      <c r="AK3388">
        <v>22.538441273655899</v>
      </c>
      <c r="AL3388">
        <v>80.795704295285802</v>
      </c>
      <c r="AM3388">
        <v>91.910803616762493</v>
      </c>
      <c r="AN3388">
        <v>1.00000001884748</v>
      </c>
    </row>
    <row r="3389" spans="1:40" x14ac:dyDescent="0.25">
      <c r="A3389" t="str">
        <f>"20190304155659629"</f>
        <v>20190304155659629</v>
      </c>
      <c r="B3389" t="str">
        <f>"1551686219617897"</f>
        <v>1551686219617897</v>
      </c>
      <c r="C3389" t="s">
        <v>40</v>
      </c>
      <c r="D3389">
        <v>4.7115359999999997</v>
      </c>
      <c r="E3389">
        <v>0.51816709999999999</v>
      </c>
      <c r="F3389" t="s">
        <v>64</v>
      </c>
      <c r="G3389">
        <v>-401.19049999999999</v>
      </c>
      <c r="H3389" s="1">
        <v>8.1695229999999999E-6</v>
      </c>
      <c r="I3389">
        <v>213.18770000000001</v>
      </c>
      <c r="J3389">
        <v>-423.37900000000002</v>
      </c>
      <c r="K3389">
        <v>1.10887</v>
      </c>
      <c r="L3389">
        <v>213.61060000000001</v>
      </c>
      <c r="M3389">
        <v>0.99996700000000005</v>
      </c>
      <c r="N3389">
        <v>-7.5241969999999998E-3</v>
      </c>
      <c r="O3389">
        <v>3.1159730000000002E-3</v>
      </c>
      <c r="P3389">
        <v>0.98769090000000004</v>
      </c>
      <c r="Q3389">
        <v>0.1521516</v>
      </c>
      <c r="R3389">
        <v>3.6290059999999999E-2</v>
      </c>
      <c r="S3389">
        <v>3.0630190000000002</v>
      </c>
      <c r="T3389">
        <v>-0.1507684</v>
      </c>
      <c r="U3389">
        <v>-5.7403559999999999E-2</v>
      </c>
      <c r="V3389">
        <v>-3.3041290000000001E-2</v>
      </c>
      <c r="W3389">
        <v>0.15961539999999999</v>
      </c>
      <c r="X3389">
        <v>0.98662609999999995</v>
      </c>
      <c r="Y3389">
        <v>2.1819829999999998E-2</v>
      </c>
      <c r="Z3389">
        <v>-7.4863000000000002E-4</v>
      </c>
      <c r="AA3389">
        <v>0.99976160000000003</v>
      </c>
      <c r="AB3389">
        <v>32</v>
      </c>
      <c r="AC3389">
        <v>22.188500000000001</v>
      </c>
      <c r="AD3389">
        <v>-1.1088618304769999</v>
      </c>
      <c r="AE3389">
        <v>-0.422899999999998</v>
      </c>
      <c r="AF3389">
        <v>0.49081331699243902</v>
      </c>
      <c r="AG3389">
        <v>-1.1088618304769999</v>
      </c>
      <c r="AH3389">
        <v>22.131821171656799</v>
      </c>
      <c r="AI3389">
        <v>92.867565318432298</v>
      </c>
      <c r="AJ3389">
        <v>88.729570306329805</v>
      </c>
      <c r="AK3389">
        <v>22.165017045908598</v>
      </c>
      <c r="AL3389">
        <v>80.815425995025805</v>
      </c>
      <c r="AM3389">
        <v>91.918071307104796</v>
      </c>
      <c r="AN3389">
        <v>0.99999993198161397</v>
      </c>
    </row>
    <row r="3390" spans="1:40" x14ac:dyDescent="0.25">
      <c r="A3390" t="str">
        <f>"20190304155659654"</f>
        <v>20190304155659654</v>
      </c>
      <c r="B3390" t="str">
        <f>"1551686219648153"</f>
        <v>1551686219648153</v>
      </c>
      <c r="C3390" t="s">
        <v>40</v>
      </c>
      <c r="D3390">
        <v>4.7015820000000001</v>
      </c>
      <c r="E3390">
        <v>0.51807740000000002</v>
      </c>
      <c r="F3390" t="s">
        <v>64</v>
      </c>
      <c r="G3390">
        <v>-401.33800000000002</v>
      </c>
      <c r="H3390" s="1">
        <v>8.1061509999999997E-6</v>
      </c>
      <c r="I3390">
        <v>213.17769999999999</v>
      </c>
      <c r="J3390">
        <v>-423.04539999999997</v>
      </c>
      <c r="K3390">
        <v>1.1088750000000001</v>
      </c>
      <c r="L3390">
        <v>213.6112</v>
      </c>
      <c r="M3390">
        <v>0.99996810000000003</v>
      </c>
      <c r="N3390">
        <v>-7.5384390000000001E-3</v>
      </c>
      <c r="O3390">
        <v>2.635783E-3</v>
      </c>
      <c r="P3390">
        <v>0.98774030000000002</v>
      </c>
      <c r="Q3390">
        <v>0.1517976</v>
      </c>
      <c r="R3390">
        <v>3.6421809999999999E-2</v>
      </c>
      <c r="S3390">
        <v>3.0632929999999998</v>
      </c>
      <c r="T3390">
        <v>-0.154112</v>
      </c>
      <c r="U3390">
        <v>-6.0165410000000002E-2</v>
      </c>
      <c r="V3390">
        <v>-3.3653820000000001E-2</v>
      </c>
      <c r="W3390">
        <v>0.15927459999999999</v>
      </c>
      <c r="X3390">
        <v>0.98666050000000005</v>
      </c>
      <c r="Y3390">
        <v>2.2237509999999999E-2</v>
      </c>
      <c r="Z3390">
        <v>-7.5550819999999996E-4</v>
      </c>
      <c r="AA3390">
        <v>0.99975239999999999</v>
      </c>
      <c r="AB3390">
        <v>32</v>
      </c>
      <c r="AC3390">
        <v>21.7073999999999</v>
      </c>
      <c r="AD3390">
        <v>-1.1088668938490001</v>
      </c>
      <c r="AE3390">
        <v>-0.43350000000000899</v>
      </c>
      <c r="AF3390">
        <v>0.48943947469157001</v>
      </c>
      <c r="AG3390">
        <v>-1.1088668938490001</v>
      </c>
      <c r="AH3390">
        <v>21.649711377828499</v>
      </c>
      <c r="AI3390">
        <v>92.931297135302401</v>
      </c>
      <c r="AJ3390">
        <v>88.704923138501101</v>
      </c>
      <c r="AK3390">
        <v>21.683614540268302</v>
      </c>
      <c r="AL3390">
        <v>80.835205699590304</v>
      </c>
      <c r="AM3390">
        <v>91.953533764033693</v>
      </c>
      <c r="AN3390">
        <v>0.99999996003299996</v>
      </c>
    </row>
    <row r="3391" spans="1:40" x14ac:dyDescent="0.25">
      <c r="A3391" t="str">
        <f>"20190304155659677"</f>
        <v>20190304155659677</v>
      </c>
      <c r="B3391" t="str">
        <f>"1551686219668649"</f>
        <v>1551686219668649</v>
      </c>
      <c r="C3391" t="s">
        <v>40</v>
      </c>
      <c r="D3391">
        <v>4.7118390000000003</v>
      </c>
      <c r="E3391">
        <v>0.51801589999999997</v>
      </c>
      <c r="F3391" t="s">
        <v>64</v>
      </c>
      <c r="G3391">
        <v>-401.50060000000002</v>
      </c>
      <c r="H3391" s="1">
        <v>8.0310669999999998E-6</v>
      </c>
      <c r="I3391">
        <v>213.19220000000001</v>
      </c>
      <c r="J3391">
        <v>-422.70609999999999</v>
      </c>
      <c r="K3391">
        <v>1.108894</v>
      </c>
      <c r="L3391">
        <v>213.61160000000001</v>
      </c>
      <c r="M3391">
        <v>0.9999692</v>
      </c>
      <c r="N3391">
        <v>-7.5522109999999996E-3</v>
      </c>
      <c r="O3391">
        <v>2.1847099999999999E-3</v>
      </c>
      <c r="P3391">
        <v>0.98783739999999998</v>
      </c>
      <c r="Q3391">
        <v>0.15112410000000001</v>
      </c>
      <c r="R3391">
        <v>3.6592779999999998E-2</v>
      </c>
      <c r="S3391">
        <v>3.06366</v>
      </c>
      <c r="T3391">
        <v>-0.15768019999999999</v>
      </c>
      <c r="U3391">
        <v>-5.9585569999999997E-2</v>
      </c>
      <c r="V3391">
        <v>-3.4279469999999999E-2</v>
      </c>
      <c r="W3391">
        <v>0.15861410000000001</v>
      </c>
      <c r="X3391">
        <v>0.98674539999999999</v>
      </c>
      <c r="Y3391">
        <v>2.1594909999999998E-2</v>
      </c>
      <c r="Z3391">
        <v>-7.3278709999999997E-4</v>
      </c>
      <c r="AA3391">
        <v>0.9997665</v>
      </c>
      <c r="AB3391">
        <v>32</v>
      </c>
      <c r="AC3391">
        <v>21.205499999999901</v>
      </c>
      <c r="AD3391">
        <v>-1.108885968933</v>
      </c>
      <c r="AE3391">
        <v>-0.419399999999996</v>
      </c>
      <c r="AF3391">
        <v>0.46445862130410298</v>
      </c>
      <c r="AG3391">
        <v>-1.108885968933</v>
      </c>
      <c r="AH3391">
        <v>21.146730131941901</v>
      </c>
      <c r="AI3391">
        <v>93.000987416049995</v>
      </c>
      <c r="AJ3391">
        <v>88.741779901856503</v>
      </c>
      <c r="AK3391">
        <v>21.180876874581401</v>
      </c>
      <c r="AL3391">
        <v>80.873537211525999</v>
      </c>
      <c r="AM3391">
        <v>91.989651439844394</v>
      </c>
      <c r="AN3391">
        <v>0.99999999960172503</v>
      </c>
    </row>
    <row r="3392" spans="1:40" x14ac:dyDescent="0.25">
      <c r="A3392" t="str">
        <f>"20190304155659697"</f>
        <v>20190304155659697</v>
      </c>
      <c r="B3392" t="str">
        <f>"1551686219688169"</f>
        <v>1551686219688169</v>
      </c>
      <c r="C3392" t="s">
        <v>40</v>
      </c>
      <c r="D3392">
        <v>4.7177559999999996</v>
      </c>
      <c r="E3392">
        <v>0.5184609</v>
      </c>
      <c r="F3392" t="s">
        <v>64</v>
      </c>
      <c r="G3392">
        <v>-401.62110000000001</v>
      </c>
      <c r="H3392" s="1">
        <v>7.9748050000000006E-6</v>
      </c>
      <c r="I3392">
        <v>213.20590000000001</v>
      </c>
      <c r="J3392">
        <v>-422.40559999999999</v>
      </c>
      <c r="K3392">
        <v>1.10891299999999</v>
      </c>
      <c r="L3392">
        <v>213.61189999999999</v>
      </c>
      <c r="M3392">
        <v>0.99996980000000002</v>
      </c>
      <c r="N3392">
        <v>-7.5641479999999997E-3</v>
      </c>
      <c r="O3392">
        <v>1.816261E-3</v>
      </c>
      <c r="P3392">
        <v>0.98797690000000005</v>
      </c>
      <c r="Q3392">
        <v>0.150281</v>
      </c>
      <c r="R3392">
        <v>3.6295630000000002E-2</v>
      </c>
      <c r="S3392">
        <v>3.063812</v>
      </c>
      <c r="T3392">
        <v>-0.16112950000000001</v>
      </c>
      <c r="U3392">
        <v>-5.8959959999999999E-2</v>
      </c>
      <c r="V3392">
        <v>-3.4356100000000001E-2</v>
      </c>
      <c r="W3392">
        <v>0.15778210000000001</v>
      </c>
      <c r="X3392">
        <v>0.98687610000000003</v>
      </c>
      <c r="Y3392">
        <v>2.10213E-2</v>
      </c>
      <c r="Z3392">
        <v>-7.1362580000000001E-4</v>
      </c>
      <c r="AA3392">
        <v>0.99977870000000002</v>
      </c>
      <c r="AB3392">
        <v>32</v>
      </c>
      <c r="AC3392">
        <v>20.784499999999898</v>
      </c>
      <c r="AD3392">
        <v>-1.1089050251949999</v>
      </c>
      <c r="AE3392">
        <v>-0.40599999999997699</v>
      </c>
      <c r="AF3392">
        <v>0.442491418252346</v>
      </c>
      <c r="AG3392">
        <v>-1.1089050251949999</v>
      </c>
      <c r="AH3392">
        <v>20.7247579944334</v>
      </c>
      <c r="AI3392">
        <v>93.062067788911605</v>
      </c>
      <c r="AJ3392">
        <v>88.776871635997097</v>
      </c>
      <c r="AK3392">
        <v>20.759119994305099</v>
      </c>
      <c r="AL3392">
        <v>80.921815111677503</v>
      </c>
      <c r="AM3392">
        <v>91.993831735881898</v>
      </c>
      <c r="AN3392">
        <v>0.99999998471941398</v>
      </c>
    </row>
    <row r="3393" spans="1:40" x14ac:dyDescent="0.25">
      <c r="A3393" t="str">
        <f>"20190304155659721"</f>
        <v>20190304155659721</v>
      </c>
      <c r="B3393" t="str">
        <f>"1551686219718425"</f>
        <v>1551686219718425</v>
      </c>
      <c r="C3393" t="s">
        <v>40</v>
      </c>
      <c r="D3393">
        <v>4.6313769999999996</v>
      </c>
      <c r="E3393">
        <v>0.52003859999999902</v>
      </c>
      <c r="F3393" t="s">
        <v>64</v>
      </c>
      <c r="G3393">
        <v>-401.20150000000001</v>
      </c>
      <c r="H3393" s="1">
        <v>8.1670410000000004E-6</v>
      </c>
      <c r="I3393">
        <v>213.17599999999999</v>
      </c>
      <c r="J3393">
        <v>-422.06169999999997</v>
      </c>
      <c r="K3393">
        <v>1.1089439999999999</v>
      </c>
      <c r="L3393">
        <v>213.6122</v>
      </c>
      <c r="M3393">
        <v>0.99997029999999998</v>
      </c>
      <c r="N3393">
        <v>-7.5774509999999998E-3</v>
      </c>
      <c r="O3393">
        <v>1.4442649999999999E-3</v>
      </c>
      <c r="P3393">
        <v>0.98810819999999999</v>
      </c>
      <c r="Q3393">
        <v>0.14956710000000001</v>
      </c>
      <c r="R3393">
        <v>3.5667690000000002E-2</v>
      </c>
      <c r="S3393">
        <v>3.063202</v>
      </c>
      <c r="T3393">
        <v>-0.16019539999999999</v>
      </c>
      <c r="U3393">
        <v>-6.2973020000000005E-2</v>
      </c>
      <c r="V3393">
        <v>-3.4109149999999998E-2</v>
      </c>
      <c r="W3393">
        <v>0.1570791</v>
      </c>
      <c r="X3393">
        <v>0.98699680000000001</v>
      </c>
      <c r="Y3393">
        <v>2.1961749999999999E-2</v>
      </c>
      <c r="Z3393">
        <v>-7.2162759999999996E-4</v>
      </c>
      <c r="AA3393">
        <v>0.99975849999999999</v>
      </c>
      <c r="AB3393">
        <v>32</v>
      </c>
      <c r="AC3393">
        <v>20.860199999999899</v>
      </c>
      <c r="AD3393">
        <v>-1.108935832959</v>
      </c>
      <c r="AE3393">
        <v>-0.43620000000001302</v>
      </c>
      <c r="AF3393">
        <v>0.46501449726080202</v>
      </c>
      <c r="AG3393">
        <v>-1.108935832959</v>
      </c>
      <c r="AH3393">
        <v>20.800790388332398</v>
      </c>
      <c r="AI3393">
        <v>93.050914072948601</v>
      </c>
      <c r="AJ3393">
        <v>88.719330833686996</v>
      </c>
      <c r="AK3393">
        <v>20.8355191426473</v>
      </c>
      <c r="AL3393">
        <v>80.962602626295805</v>
      </c>
      <c r="AM3393">
        <v>91.979269729608106</v>
      </c>
      <c r="AN3393">
        <v>0.99999998049038596</v>
      </c>
    </row>
    <row r="3394" spans="1:40" x14ac:dyDescent="0.25">
      <c r="A3394" t="str">
        <f>"20190304155659741"</f>
        <v>20190304155659741</v>
      </c>
      <c r="B3394" t="str">
        <f>"1551686219737946"</f>
        <v>1551686219737946</v>
      </c>
      <c r="C3394" t="s">
        <v>40</v>
      </c>
      <c r="D3394">
        <v>4.7061270000000004</v>
      </c>
      <c r="E3394">
        <v>0.51986379999999999</v>
      </c>
      <c r="F3394" t="s">
        <v>64</v>
      </c>
      <c r="G3394">
        <v>-400.09339999999997</v>
      </c>
      <c r="H3394" s="1">
        <v>8.6814279999999995E-6</v>
      </c>
      <c r="I3394">
        <v>213.06489999999999</v>
      </c>
      <c r="J3394">
        <v>-421.75720000000001</v>
      </c>
      <c r="K3394">
        <v>1.1089830000000001</v>
      </c>
      <c r="L3394">
        <v>213.61240000000001</v>
      </c>
      <c r="M3394">
        <v>0.99997060000000004</v>
      </c>
      <c r="N3394">
        <v>-7.5889569999999899E-3</v>
      </c>
      <c r="O3394">
        <v>1.1667660000000001E-3</v>
      </c>
      <c r="P3394">
        <v>0.98808149999999995</v>
      </c>
      <c r="Q3394">
        <v>0.14977979999999999</v>
      </c>
      <c r="R3394">
        <v>3.5516619999999999E-2</v>
      </c>
      <c r="S3394">
        <v>3.0622560000000001</v>
      </c>
      <c r="T3394">
        <v>-0.15457879999999999</v>
      </c>
      <c r="U3394">
        <v>-7.6293949999999999E-2</v>
      </c>
      <c r="V3394">
        <v>-3.4245820000000003E-2</v>
      </c>
      <c r="W3394">
        <v>0.1573</v>
      </c>
      <c r="X3394">
        <v>0.98695690000000003</v>
      </c>
      <c r="Y3394">
        <v>2.6033799999999999E-2</v>
      </c>
      <c r="Z3394">
        <v>-8.0543270000000004E-4</v>
      </c>
      <c r="AA3394">
        <v>0.99966069999999996</v>
      </c>
      <c r="AB3394">
        <v>32</v>
      </c>
      <c r="AC3394">
        <v>21.663799999999998</v>
      </c>
      <c r="AD3394">
        <v>-1.108974318572</v>
      </c>
      <c r="AE3394">
        <v>-0.54750000000001298</v>
      </c>
      <c r="AF3394">
        <v>0.57128088855237502</v>
      </c>
      <c r="AG3394">
        <v>-1.108974318572</v>
      </c>
      <c r="AH3394">
        <v>21.606563932970101</v>
      </c>
      <c r="AI3394">
        <v>92.937149175783603</v>
      </c>
      <c r="AJ3394">
        <v>88.4854436047588</v>
      </c>
      <c r="AK3394">
        <v>21.642545850301499</v>
      </c>
      <c r="AL3394">
        <v>80.949786792317695</v>
      </c>
      <c r="AM3394">
        <v>91.987274278907506</v>
      </c>
      <c r="AN3394">
        <v>0.99999999432254105</v>
      </c>
    </row>
    <row r="3395" spans="1:40" x14ac:dyDescent="0.25">
      <c r="A3395" t="str">
        <f>"20190304155659763"</f>
        <v>20190304155659763</v>
      </c>
      <c r="B3395" t="str">
        <f>"1551686219758440"</f>
        <v>1551686219758440</v>
      </c>
      <c r="C3395" t="s">
        <v>40</v>
      </c>
      <c r="D3395">
        <v>4.6342449999999999</v>
      </c>
      <c r="E3395">
        <v>0.52044760000000001</v>
      </c>
      <c r="F3395" t="s">
        <v>55</v>
      </c>
      <c r="G3395">
        <v>-399.92430000000002</v>
      </c>
      <c r="H3395" s="1">
        <v>3.744458E-6</v>
      </c>
      <c r="I3395">
        <v>213.07769999999999</v>
      </c>
      <c r="J3395">
        <v>-421.44450000000001</v>
      </c>
      <c r="K3395">
        <v>1.1090279999999999</v>
      </c>
      <c r="L3395">
        <v>213.61250000000001</v>
      </c>
      <c r="M3395">
        <v>0.99997080000000005</v>
      </c>
      <c r="N3395">
        <v>-7.6005509999999997E-3</v>
      </c>
      <c r="O3395">
        <v>9.3359879999999995E-4</v>
      </c>
      <c r="P3395">
        <v>0.98795880000000003</v>
      </c>
      <c r="Q3395">
        <v>0.15063889999999999</v>
      </c>
      <c r="R3395">
        <v>3.5286669999999999E-2</v>
      </c>
      <c r="S3395">
        <v>3.0625</v>
      </c>
      <c r="T3395">
        <v>-0.1555568</v>
      </c>
      <c r="U3395">
        <v>-7.4996950000000007E-2</v>
      </c>
      <c r="V3395">
        <v>-3.4261260000000002E-2</v>
      </c>
      <c r="W3395">
        <v>0.15816629999999901</v>
      </c>
      <c r="X3395">
        <v>0.98681790000000003</v>
      </c>
      <c r="Y3395">
        <v>2.5376329999999999E-2</v>
      </c>
      <c r="Z3395">
        <v>-7.8078869999999995E-4</v>
      </c>
      <c r="AA3395">
        <v>0.9996777</v>
      </c>
      <c r="AB3395">
        <v>32</v>
      </c>
      <c r="AC3395">
        <v>21.5201999999999</v>
      </c>
      <c r="AD3395">
        <v>-1.109024255542</v>
      </c>
      <c r="AE3395">
        <v>-0.53480000000001804</v>
      </c>
      <c r="AF3395">
        <v>0.55342272470600795</v>
      </c>
      <c r="AG3395">
        <v>-1.109024255542</v>
      </c>
      <c r="AH3395">
        <v>21.462726560920601</v>
      </c>
      <c r="AI3395">
        <v>92.956981687983401</v>
      </c>
      <c r="AJ3395">
        <v>88.5229387516586</v>
      </c>
      <c r="AK3395">
        <v>21.4984846661444</v>
      </c>
      <c r="AL3395">
        <v>80.899522194429906</v>
      </c>
      <c r="AM3395">
        <v>91.988449360787996</v>
      </c>
      <c r="AN3395">
        <v>0.99999999007644302</v>
      </c>
    </row>
    <row r="3396" spans="1:40" x14ac:dyDescent="0.25">
      <c r="A3396" t="str">
        <f>"20190304155659786"</f>
        <v>20190304155659786</v>
      </c>
      <c r="B3396" t="str">
        <f>"1551686219777961"</f>
        <v>1551686219777961</v>
      </c>
      <c r="C3396" t="s">
        <v>40</v>
      </c>
      <c r="D3396">
        <v>4.6501849999999996</v>
      </c>
      <c r="E3396">
        <v>0.5209684</v>
      </c>
      <c r="F3396" t="s">
        <v>55</v>
      </c>
      <c r="G3396">
        <v>-398.51429999999999</v>
      </c>
      <c r="H3396" s="1">
        <v>2.9940999999999998E-6</v>
      </c>
      <c r="I3396">
        <v>213.00960000000001</v>
      </c>
      <c r="J3396">
        <v>-421.1112</v>
      </c>
      <c r="K3396">
        <v>1.109078</v>
      </c>
      <c r="L3396">
        <v>213.61259999999999</v>
      </c>
      <c r="M3396">
        <v>0.99997080000000005</v>
      </c>
      <c r="N3396">
        <v>-7.6127059999999899E-3</v>
      </c>
      <c r="O3396">
        <v>7.3800359999999998E-4</v>
      </c>
      <c r="P3396">
        <v>0.98784519999999998</v>
      </c>
      <c r="Q3396">
        <v>0.151467299999999</v>
      </c>
      <c r="R3396">
        <v>3.4922549999999997E-2</v>
      </c>
      <c r="S3396">
        <v>3.0620419999999999</v>
      </c>
      <c r="T3396">
        <v>-0.14809629999999999</v>
      </c>
      <c r="U3396">
        <v>-8.0505370000000007E-2</v>
      </c>
      <c r="V3396">
        <v>-3.4106520000000001E-2</v>
      </c>
      <c r="W3396">
        <v>0.15900149999999999</v>
      </c>
      <c r="X3396">
        <v>0.98668900000000004</v>
      </c>
      <c r="Y3396">
        <v>2.698298E-2</v>
      </c>
      <c r="Z3396">
        <v>-7.8487269999999996E-4</v>
      </c>
      <c r="AA3396">
        <v>0.99963559999999996</v>
      </c>
      <c r="AB3396">
        <v>33</v>
      </c>
      <c r="AC3396">
        <v>22.596900000000002</v>
      </c>
      <c r="AD3396">
        <v>-1.1090750059000001</v>
      </c>
      <c r="AE3396">
        <v>-0.60299999999998</v>
      </c>
      <c r="AF3396">
        <v>0.61818879813519001</v>
      </c>
      <c r="AG3396">
        <v>-1.1090750059000001</v>
      </c>
      <c r="AH3396">
        <v>22.5421849212557</v>
      </c>
      <c r="AI3396">
        <v>92.815622995619506</v>
      </c>
      <c r="AJ3396">
        <v>88.429134796574004</v>
      </c>
      <c r="AK3396">
        <v>22.5779163295229</v>
      </c>
      <c r="AL3396">
        <v>80.851055131771403</v>
      </c>
      <c r="AM3396">
        <v>91.979734137734297</v>
      </c>
      <c r="AN3396">
        <v>0.999999957214879</v>
      </c>
    </row>
    <row r="3397" spans="1:40" x14ac:dyDescent="0.25">
      <c r="A3397" t="str">
        <f>"20190304155659808"</f>
        <v>20190304155659808</v>
      </c>
      <c r="B3397" t="str">
        <f>"1551686219798470"</f>
        <v>1551686219798470</v>
      </c>
      <c r="C3397" t="s">
        <v>40</v>
      </c>
      <c r="D3397">
        <v>4.6459149999999996</v>
      </c>
      <c r="E3397">
        <v>0.52141280000000001</v>
      </c>
      <c r="F3397" t="s">
        <v>55</v>
      </c>
      <c r="G3397">
        <v>-397.03359999999998</v>
      </c>
      <c r="H3397" s="1">
        <v>2.206118E-6</v>
      </c>
      <c r="I3397">
        <v>212.93190000000001</v>
      </c>
      <c r="J3397">
        <v>-420.78230000000002</v>
      </c>
      <c r="K3397">
        <v>1.1091200000000001</v>
      </c>
      <c r="L3397">
        <v>213.61269999999999</v>
      </c>
      <c r="M3397">
        <v>0.99997080000000005</v>
      </c>
      <c r="N3397">
        <v>-7.6244980000000004E-3</v>
      </c>
      <c r="O3397">
        <v>5.8949559999999998E-4</v>
      </c>
      <c r="P3397">
        <v>0.9876568</v>
      </c>
      <c r="Q3397">
        <v>0.15276300000000001</v>
      </c>
      <c r="R3397">
        <v>3.4609969999999997E-2</v>
      </c>
      <c r="S3397">
        <v>3.0615230000000002</v>
      </c>
      <c r="T3397">
        <v>-0.14102129999999999</v>
      </c>
      <c r="U3397">
        <v>-8.6547849999999996E-2</v>
      </c>
      <c r="V3397">
        <v>-3.3954829999999998E-2</v>
      </c>
      <c r="W3397">
        <v>0.16030449999999999</v>
      </c>
      <c r="X3397">
        <v>0.98648340000000001</v>
      </c>
      <c r="Y3397">
        <v>2.88115E-2</v>
      </c>
      <c r="Z3397">
        <v>-7.9565020000000003E-4</v>
      </c>
      <c r="AA3397">
        <v>0.99958460000000005</v>
      </c>
      <c r="AB3397">
        <v>33</v>
      </c>
      <c r="AC3397">
        <v>23.748699999999999</v>
      </c>
      <c r="AD3397">
        <v>-1.109117793882</v>
      </c>
      <c r="AE3397">
        <v>-0.68079999999997598</v>
      </c>
      <c r="AF3397">
        <v>0.69328915059880702</v>
      </c>
      <c r="AG3397">
        <v>-1.109117793882</v>
      </c>
      <c r="AH3397">
        <v>23.6966521938927</v>
      </c>
      <c r="AI3397">
        <v>92.678619072237794</v>
      </c>
      <c r="AJ3397">
        <v>88.324184609168597</v>
      </c>
      <c r="AK3397">
        <v>23.732722501334798</v>
      </c>
      <c r="AL3397">
        <v>80.775428896064</v>
      </c>
      <c r="AM3397">
        <v>91.971346610021101</v>
      </c>
      <c r="AN3397">
        <v>0.99999998083806896</v>
      </c>
    </row>
    <row r="3398" spans="1:40" x14ac:dyDescent="0.25">
      <c r="A3398" t="str">
        <f>"20190304155659831"</f>
        <v>20190304155659831</v>
      </c>
      <c r="B3398" t="str">
        <f>"1551686219828245"</f>
        <v>1551686219828245</v>
      </c>
      <c r="C3398" t="s">
        <v>40</v>
      </c>
      <c r="D3398">
        <v>4.7503440000000001</v>
      </c>
      <c r="E3398">
        <v>0.52167959999999902</v>
      </c>
      <c r="F3398" t="s">
        <v>55</v>
      </c>
      <c r="G3398">
        <v>-395.3263</v>
      </c>
      <c r="H3398" s="1">
        <v>1.297621E-6</v>
      </c>
      <c r="I3398">
        <v>212.85599999999999</v>
      </c>
      <c r="J3398">
        <v>-420.45690000000002</v>
      </c>
      <c r="K3398">
        <v>1.109146</v>
      </c>
      <c r="L3398">
        <v>213.61279999999999</v>
      </c>
      <c r="M3398">
        <v>0.9999709</v>
      </c>
      <c r="N3398">
        <v>-7.6360250000000003E-3</v>
      </c>
      <c r="O3398">
        <v>4.7546920000000002E-4</v>
      </c>
      <c r="P3398">
        <v>0.98764640000000004</v>
      </c>
      <c r="Q3398">
        <v>0.1528262</v>
      </c>
      <c r="R3398">
        <v>3.4626079999999997E-2</v>
      </c>
      <c r="S3398">
        <v>3.0612789999999999</v>
      </c>
      <c r="T3398">
        <v>-0.1333799</v>
      </c>
      <c r="U3398">
        <v>-9.1003420000000002E-2</v>
      </c>
      <c r="V3398">
        <v>-3.4094609999999997E-2</v>
      </c>
      <c r="W3398">
        <v>0.16037650000000001</v>
      </c>
      <c r="X3398">
        <v>0.98646690000000004</v>
      </c>
      <c r="Y3398">
        <v>3.015549E-2</v>
      </c>
      <c r="Z3398">
        <v>-7.8877959999999997E-4</v>
      </c>
      <c r="AA3398">
        <v>0.99954489999999996</v>
      </c>
      <c r="AB3398">
        <v>33</v>
      </c>
      <c r="AC3398">
        <v>25.130600000000001</v>
      </c>
      <c r="AD3398">
        <v>-1.109144702379</v>
      </c>
      <c r="AE3398">
        <v>-0.75679999999999803</v>
      </c>
      <c r="AF3398">
        <v>0.76725588959978097</v>
      </c>
      <c r="AG3398">
        <v>-1.109144702379</v>
      </c>
      <c r="AH3398">
        <v>25.081425018334301</v>
      </c>
      <c r="AI3398">
        <v>92.530888036473101</v>
      </c>
      <c r="AJ3398">
        <v>88.247834028149697</v>
      </c>
      <c r="AK3398">
        <v>25.117658420347801</v>
      </c>
      <c r="AL3398">
        <v>80.771249746359203</v>
      </c>
      <c r="AM3398">
        <v>91.979488585328696</v>
      </c>
      <c r="AN3398">
        <v>1.0000000044894499</v>
      </c>
    </row>
    <row r="3399" spans="1:40" x14ac:dyDescent="0.25">
      <c r="A3399" t="str">
        <f>"20190304155659854"</f>
        <v>20190304155659854</v>
      </c>
      <c r="B3399" t="str">
        <f>"1551686219847765"</f>
        <v>1551686219847765</v>
      </c>
      <c r="C3399" t="s">
        <v>40</v>
      </c>
      <c r="D3399">
        <v>4.7603309999999999</v>
      </c>
      <c r="E3399">
        <v>0.52141559999999998</v>
      </c>
      <c r="F3399" t="s">
        <v>55</v>
      </c>
      <c r="G3399">
        <v>-394.41860000000003</v>
      </c>
      <c r="H3399" s="1">
        <v>8.1455410000000005E-7</v>
      </c>
      <c r="I3399">
        <v>212.8167</v>
      </c>
      <c r="J3399">
        <v>-420.11399999999998</v>
      </c>
      <c r="K3399">
        <v>1.109165</v>
      </c>
      <c r="L3399">
        <v>213.61279999999999</v>
      </c>
      <c r="M3399">
        <v>0.99997069999999999</v>
      </c>
      <c r="N3399">
        <v>-7.6480139999999999E-3</v>
      </c>
      <c r="O3399">
        <v>3.8025690000000002E-4</v>
      </c>
      <c r="P3399">
        <v>0.98757439999999996</v>
      </c>
      <c r="Q3399">
        <v>0.15321370000000001</v>
      </c>
      <c r="R3399">
        <v>3.4964710000000003E-2</v>
      </c>
      <c r="S3399">
        <v>3.0609440000000001</v>
      </c>
      <c r="T3399">
        <v>-0.1303859</v>
      </c>
      <c r="U3399">
        <v>-9.3582150000000003E-2</v>
      </c>
      <c r="V3399">
        <v>-3.4535440000000001E-2</v>
      </c>
      <c r="W3399">
        <v>0.16077369999999999</v>
      </c>
      <c r="X3399">
        <v>0.98638689999999996</v>
      </c>
      <c r="Y3399">
        <v>3.0905519999999999E-2</v>
      </c>
      <c r="Z3399">
        <v>-7.8933910000000005E-4</v>
      </c>
      <c r="AA3399">
        <v>0.99952200000000002</v>
      </c>
      <c r="AB3399">
        <v>33</v>
      </c>
      <c r="AC3399">
        <v>25.695399999999999</v>
      </c>
      <c r="AD3399">
        <v>-1.1091641854459</v>
      </c>
      <c r="AE3399">
        <v>-0.79609999999999503</v>
      </c>
      <c r="AF3399">
        <v>0.80437373535882095</v>
      </c>
      <c r="AG3399">
        <v>-1.1091641854459</v>
      </c>
      <c r="AH3399">
        <v>25.6473527326668</v>
      </c>
      <c r="AI3399">
        <v>92.475096708302004</v>
      </c>
      <c r="AJ3399">
        <v>88.203630655640097</v>
      </c>
      <c r="AK3399">
        <v>25.6839242424176</v>
      </c>
      <c r="AL3399">
        <v>80.748192603480902</v>
      </c>
      <c r="AM3399">
        <v>92.005224328624607</v>
      </c>
      <c r="AN3399">
        <v>0.99999999785964599</v>
      </c>
    </row>
    <row r="3400" spans="1:40" x14ac:dyDescent="0.25">
      <c r="A3400" t="str">
        <f>"20190304155659877"</f>
        <v>20190304155659877</v>
      </c>
      <c r="B3400" t="str">
        <f>"1551686219868260"</f>
        <v>1551686219868260</v>
      </c>
      <c r="C3400" t="s">
        <v>40</v>
      </c>
      <c r="D3400">
        <v>4.6543419999999998</v>
      </c>
      <c r="E3400">
        <v>0.52167799999999998</v>
      </c>
      <c r="F3400" t="s">
        <v>55</v>
      </c>
      <c r="G3400">
        <v>-394.05599999999998</v>
      </c>
      <c r="H3400" s="1">
        <v>6.2161449999999998E-7</v>
      </c>
      <c r="I3400">
        <v>212.8357</v>
      </c>
      <c r="J3400">
        <v>-419.77859999999998</v>
      </c>
      <c r="K3400">
        <v>1.109173</v>
      </c>
      <c r="L3400">
        <v>213.6129</v>
      </c>
      <c r="M3400">
        <v>0.99997069999999999</v>
      </c>
      <c r="N3400">
        <v>-7.6595789999999997E-3</v>
      </c>
      <c r="O3400">
        <v>3.0023030000000001E-4</v>
      </c>
      <c r="P3400">
        <v>0.9874425</v>
      </c>
      <c r="Q3400">
        <v>0.15394289999999999</v>
      </c>
      <c r="R3400">
        <v>3.5482989999999999E-2</v>
      </c>
      <c r="S3400">
        <v>3.0611570000000001</v>
      </c>
      <c r="T3400">
        <v>-0.1302991</v>
      </c>
      <c r="U3400">
        <v>-9.1293330000000006E-2</v>
      </c>
      <c r="V3400">
        <v>-3.5137880000000003E-2</v>
      </c>
      <c r="W3400">
        <v>0.16151260000000001</v>
      </c>
      <c r="X3400">
        <v>0.98624489999999998</v>
      </c>
      <c r="Y3400">
        <v>3.0077699999999999E-2</v>
      </c>
      <c r="Z3400">
        <v>-7.6545399999999896E-4</v>
      </c>
      <c r="AA3400">
        <v>0.99954719999999997</v>
      </c>
      <c r="AB3400">
        <v>33</v>
      </c>
      <c r="AC3400">
        <v>25.7226</v>
      </c>
      <c r="AD3400">
        <v>-1.1091723783855001</v>
      </c>
      <c r="AE3400">
        <v>-0.77719999999999301</v>
      </c>
      <c r="AF3400">
        <v>0.78346745910331395</v>
      </c>
      <c r="AG3400">
        <v>-1.1091723783855001</v>
      </c>
      <c r="AH3400">
        <v>25.6746700464222</v>
      </c>
      <c r="AI3400">
        <v>92.472549467351499</v>
      </c>
      <c r="AJ3400">
        <v>88.252150731691501</v>
      </c>
      <c r="AK3400">
        <v>25.7105574933158</v>
      </c>
      <c r="AL3400">
        <v>80.7052961276909</v>
      </c>
      <c r="AM3400">
        <v>92.040467871916803</v>
      </c>
      <c r="AN3400">
        <v>0.99999999667283201</v>
      </c>
    </row>
    <row r="3401" spans="1:40" x14ac:dyDescent="0.25">
      <c r="A3401" t="str">
        <f>"20190304155659898"</f>
        <v>20190304155659898</v>
      </c>
      <c r="B3401" t="str">
        <f>"1551686219887780"</f>
        <v>1551686219887780</v>
      </c>
      <c r="C3401" t="s">
        <v>40</v>
      </c>
      <c r="D3401">
        <v>4.7603660000000003</v>
      </c>
      <c r="E3401">
        <v>0.52187629999999996</v>
      </c>
      <c r="F3401" t="s">
        <v>55</v>
      </c>
      <c r="G3401">
        <v>-392.85399999999998</v>
      </c>
      <c r="H3401" s="1">
        <v>-1.8022550000000001E-8</v>
      </c>
      <c r="I3401">
        <v>212.8057</v>
      </c>
      <c r="J3401">
        <v>-419.4615</v>
      </c>
      <c r="K3401">
        <v>1.109178</v>
      </c>
      <c r="L3401">
        <v>213.6129</v>
      </c>
      <c r="M3401">
        <v>0.99997069999999999</v>
      </c>
      <c r="N3401">
        <v>-7.6704190000000004E-3</v>
      </c>
      <c r="O3401">
        <v>2.2999380000000001E-4</v>
      </c>
      <c r="P3401">
        <v>0.98734489999999997</v>
      </c>
      <c r="Q3401">
        <v>0.15435409999999999</v>
      </c>
      <c r="R3401">
        <v>3.6403829999999998E-2</v>
      </c>
      <c r="S3401">
        <v>3.0610659999999998</v>
      </c>
      <c r="T3401">
        <v>-0.1261022</v>
      </c>
      <c r="U3401">
        <v>-9.1766360000000005E-2</v>
      </c>
      <c r="V3401">
        <v>-3.6131400000000001E-2</v>
      </c>
      <c r="W3401">
        <v>0.161933299999999</v>
      </c>
      <c r="X3401">
        <v>0.98614000000000002</v>
      </c>
      <c r="Y3401">
        <v>3.016454E-2</v>
      </c>
      <c r="Z3401">
        <v>-7.4439799999999996E-4</v>
      </c>
      <c r="AA3401">
        <v>0.99954469999999995</v>
      </c>
      <c r="AB3401">
        <v>33</v>
      </c>
      <c r="AC3401">
        <v>26.607499999999899</v>
      </c>
      <c r="AD3401">
        <v>-1.1091780180225499</v>
      </c>
      <c r="AE3401">
        <v>-0.80719999999999403</v>
      </c>
      <c r="AF3401">
        <v>0.81191009544440895</v>
      </c>
      <c r="AG3401">
        <v>-1.1091780180225499</v>
      </c>
      <c r="AH3401">
        <v>26.5611986076769</v>
      </c>
      <c r="AI3401">
        <v>92.390129290842395</v>
      </c>
      <c r="AJ3401">
        <v>88.249155021110695</v>
      </c>
      <c r="AK3401">
        <v>26.596743134361599</v>
      </c>
      <c r="AL3401">
        <v>80.680870152129998</v>
      </c>
      <c r="AM3401">
        <v>92.098334025474799</v>
      </c>
      <c r="AN3401">
        <v>0.99999998565742498</v>
      </c>
    </row>
    <row r="3402" spans="1:40" x14ac:dyDescent="0.25">
      <c r="A3402" t="str">
        <f>"20190304155659920"</f>
        <v>20190304155659920</v>
      </c>
      <c r="B3402" t="str">
        <f>"1551686219907807"</f>
        <v>1551686219907807</v>
      </c>
      <c r="C3402" t="s">
        <v>40</v>
      </c>
      <c r="D3402">
        <v>4.7425870000000003</v>
      </c>
      <c r="E3402">
        <v>0.52166820000000003</v>
      </c>
      <c r="F3402" t="s">
        <v>55</v>
      </c>
      <c r="G3402">
        <v>-391.76870000000002</v>
      </c>
      <c r="H3402" s="1">
        <v>-5.9555040000000003E-7</v>
      </c>
      <c r="I3402">
        <v>212.79759999999999</v>
      </c>
      <c r="J3402">
        <v>-419.13470000000001</v>
      </c>
      <c r="K3402">
        <v>1.109186</v>
      </c>
      <c r="L3402">
        <v>213.6129</v>
      </c>
      <c r="M3402">
        <v>0.99997060000000004</v>
      </c>
      <c r="N3402">
        <v>-7.6815219999999997E-3</v>
      </c>
      <c r="O3402">
        <v>1.587227E-4</v>
      </c>
      <c r="P3402">
        <v>0.987232</v>
      </c>
      <c r="Q3402">
        <v>0.1547752</v>
      </c>
      <c r="R3402">
        <v>3.7651589999999999E-2</v>
      </c>
      <c r="S3402">
        <v>3.0609440000000001</v>
      </c>
      <c r="T3402">
        <v>-0.1226001</v>
      </c>
      <c r="U3402">
        <v>-9.0118409999999996E-2</v>
      </c>
      <c r="V3402">
        <v>-3.7451419999999999E-2</v>
      </c>
      <c r="W3402">
        <v>0.16236429999999999</v>
      </c>
      <c r="X3402">
        <v>0.98601989999999995</v>
      </c>
      <c r="Y3402">
        <v>2.9558979999999999E-2</v>
      </c>
      <c r="Z3402">
        <v>-7.1034240000000001E-4</v>
      </c>
      <c r="AA3402">
        <v>0.99956279999999997</v>
      </c>
      <c r="AB3402">
        <v>33</v>
      </c>
      <c r="AC3402">
        <v>27.3659999999999</v>
      </c>
      <c r="AD3402">
        <v>-1.1091865955503999</v>
      </c>
      <c r="AE3402">
        <v>-0.81530000000000702</v>
      </c>
      <c r="AF3402">
        <v>0.81830060485604295</v>
      </c>
      <c r="AG3402">
        <v>-1.1091865955503999</v>
      </c>
      <c r="AH3402">
        <v>27.321026869548799</v>
      </c>
      <c r="AI3402">
        <v>92.323792226915302</v>
      </c>
      <c r="AJ3402">
        <v>88.2844291006041</v>
      </c>
      <c r="AK3402">
        <v>27.355774892886298</v>
      </c>
      <c r="AL3402">
        <v>80.655844708851404</v>
      </c>
      <c r="AM3402">
        <v>92.175186628119206</v>
      </c>
      <c r="AN3402">
        <v>1.0000000089852501</v>
      </c>
    </row>
    <row r="3403" spans="1:40" x14ac:dyDescent="0.25">
      <c r="A3403" t="str">
        <f>"20190304155659941"</f>
        <v>20190304155659941</v>
      </c>
      <c r="B3403" t="str">
        <f>"1551686219938064"</f>
        <v>1551686219938064</v>
      </c>
      <c r="C3403" t="s">
        <v>40</v>
      </c>
      <c r="D3403">
        <v>4.8742039999999998</v>
      </c>
      <c r="E3403">
        <v>0.52147559999999904</v>
      </c>
      <c r="F3403" t="s">
        <v>55</v>
      </c>
      <c r="G3403">
        <v>-391.34660000000002</v>
      </c>
      <c r="H3403" s="1">
        <v>-8.2019129999999999E-7</v>
      </c>
      <c r="I3403">
        <v>212.84440000000001</v>
      </c>
      <c r="J3403">
        <v>-418.81139999999999</v>
      </c>
      <c r="K3403">
        <v>1.1091869999999999</v>
      </c>
      <c r="L3403">
        <v>213.6129</v>
      </c>
      <c r="M3403">
        <v>0.99997060000000004</v>
      </c>
      <c r="N3403">
        <v>-7.6924289999999998E-3</v>
      </c>
      <c r="O3403" s="1">
        <v>8.6547179999999996E-5</v>
      </c>
      <c r="P3403">
        <v>0.98714489999999999</v>
      </c>
      <c r="Q3403">
        <v>0.15495709999999999</v>
      </c>
      <c r="R3403">
        <v>3.9158949999999998E-2</v>
      </c>
      <c r="S3403">
        <v>3.0612180000000002</v>
      </c>
      <c r="T3403">
        <v>-0.12219140000000001</v>
      </c>
      <c r="U3403">
        <v>-8.4655759999999997E-2</v>
      </c>
      <c r="V3403">
        <v>-3.9031780000000002E-2</v>
      </c>
      <c r="W3403">
        <v>0.16255620000000001</v>
      </c>
      <c r="X3403">
        <v>0.985927</v>
      </c>
      <c r="Y3403">
        <v>2.770388E-2</v>
      </c>
      <c r="Z3403">
        <v>-6.6200229999999996E-4</v>
      </c>
      <c r="AA3403">
        <v>0.99961599999999995</v>
      </c>
      <c r="AB3403">
        <v>33</v>
      </c>
      <c r="AC3403">
        <v>27.464799999999901</v>
      </c>
      <c r="AD3403">
        <v>-1.1091878201912999</v>
      </c>
      <c r="AE3403">
        <v>-0.76849999999998797</v>
      </c>
      <c r="AF3403">
        <v>0.76962278560914199</v>
      </c>
      <c r="AG3403">
        <v>-1.1091878201912999</v>
      </c>
      <c r="AH3403">
        <v>27.420045932777199</v>
      </c>
      <c r="AI3403">
        <v>92.315538536769196</v>
      </c>
      <c r="AJ3403">
        <v>88.392250572008294</v>
      </c>
      <c r="AK3403">
        <v>27.453260932140701</v>
      </c>
      <c r="AL3403">
        <v>80.644701752423501</v>
      </c>
      <c r="AM3403">
        <v>92.267093836107307</v>
      </c>
      <c r="AN3403">
        <v>1.0000000236686999</v>
      </c>
    </row>
    <row r="3404" spans="1:40" x14ac:dyDescent="0.25">
      <c r="A3404" t="str">
        <f>"20190304155659964"</f>
        <v>20190304155659964</v>
      </c>
      <c r="B3404" t="str">
        <f>"1551686219958560"</f>
        <v>1551686219958560</v>
      </c>
      <c r="C3404" t="s">
        <v>40</v>
      </c>
      <c r="D3404">
        <v>4.7692969999999999</v>
      </c>
      <c r="E3404">
        <v>0.52132860000000003</v>
      </c>
      <c r="F3404" t="s">
        <v>55</v>
      </c>
      <c r="G3404">
        <v>-391.24790000000002</v>
      </c>
      <c r="H3404" s="1">
        <v>-8.7271830000000002E-7</v>
      </c>
      <c r="I3404">
        <v>212.90459999999999</v>
      </c>
      <c r="J3404">
        <v>-418.47789999999998</v>
      </c>
      <c r="K3404">
        <v>1.1091949999999999</v>
      </c>
      <c r="L3404">
        <v>213.61279999999999</v>
      </c>
      <c r="M3404">
        <v>0.99997040000000004</v>
      </c>
      <c r="N3404">
        <v>-7.7036179999999998E-3</v>
      </c>
      <c r="O3404" s="1">
        <v>1.0369660000000001E-5</v>
      </c>
      <c r="P3404">
        <v>0.98706139999999998</v>
      </c>
      <c r="Q3404">
        <v>0.15530250000000001</v>
      </c>
      <c r="R3404">
        <v>3.9891929999999999E-2</v>
      </c>
      <c r="S3404">
        <v>3.0615540000000001</v>
      </c>
      <c r="T3404">
        <v>-0.1232007</v>
      </c>
      <c r="U3404">
        <v>-7.8674320000000006E-2</v>
      </c>
      <c r="V3404">
        <v>-3.9841769999999999E-2</v>
      </c>
      <c r="W3404">
        <v>0.1629119</v>
      </c>
      <c r="X3404">
        <v>0.98583589999999999</v>
      </c>
      <c r="Y3404">
        <v>2.567465E-2</v>
      </c>
      <c r="Z3404">
        <v>-6.1559180000000002E-4</v>
      </c>
      <c r="AA3404">
        <v>0.99967010000000001</v>
      </c>
      <c r="AB3404">
        <v>33</v>
      </c>
      <c r="AC3404">
        <v>27.229999999999901</v>
      </c>
      <c r="AD3404">
        <v>-1.1091958727183</v>
      </c>
      <c r="AE3404">
        <v>-0.70820000000000505</v>
      </c>
      <c r="AF3404">
        <v>0.70730953878897795</v>
      </c>
      <c r="AG3404">
        <v>-1.1091958727183</v>
      </c>
      <c r="AH3404">
        <v>27.1849156000258</v>
      </c>
      <c r="AI3404">
        <v>92.335690374066701</v>
      </c>
      <c r="AJ3404">
        <v>88.509588519740007</v>
      </c>
      <c r="AK3404">
        <v>27.216727181059799</v>
      </c>
      <c r="AL3404">
        <v>80.624046439647998</v>
      </c>
      <c r="AM3404">
        <v>92.314303695522597</v>
      </c>
      <c r="AN3404">
        <v>1.00000003776357</v>
      </c>
    </row>
    <row r="3405" spans="1:40" x14ac:dyDescent="0.25">
      <c r="A3405" t="str">
        <f>"20190304155659986"</f>
        <v>20190304155659986</v>
      </c>
      <c r="B3405" t="str">
        <f>"1551686219978079"</f>
        <v>1551686219978079</v>
      </c>
      <c r="C3405" t="s">
        <v>40</v>
      </c>
      <c r="D3405">
        <v>4.9131850000000004</v>
      </c>
      <c r="E3405">
        <v>0.52134250000000004</v>
      </c>
      <c r="F3405" t="s">
        <v>55</v>
      </c>
      <c r="G3405">
        <v>-390.80020000000002</v>
      </c>
      <c r="H3405" s="1">
        <v>-1.110953E-6</v>
      </c>
      <c r="I3405">
        <v>212.9282</v>
      </c>
      <c r="J3405">
        <v>-418.14620000000002</v>
      </c>
      <c r="K3405">
        <v>1.109205</v>
      </c>
      <c r="L3405">
        <v>213.61269999999999</v>
      </c>
      <c r="M3405">
        <v>0.99997029999999998</v>
      </c>
      <c r="N3405">
        <v>-7.7180499999999997E-3</v>
      </c>
      <c r="O3405" s="1">
        <v>-6.4801769999999896E-5</v>
      </c>
      <c r="P3405">
        <v>0.98688819999999999</v>
      </c>
      <c r="Q3405">
        <v>0.1562442</v>
      </c>
      <c r="R3405">
        <v>4.0489860000000003E-2</v>
      </c>
      <c r="S3405">
        <v>3.0616759999999998</v>
      </c>
      <c r="T3405">
        <v>-0.1226979</v>
      </c>
      <c r="U3405">
        <v>-7.5729370000000004E-2</v>
      </c>
      <c r="V3405">
        <v>-4.0515959999999997E-2</v>
      </c>
      <c r="W3405">
        <v>0.16386600000000001</v>
      </c>
      <c r="X3405">
        <v>0.98565020000000003</v>
      </c>
      <c r="Y3405">
        <v>2.4638719999999999E-2</v>
      </c>
      <c r="Z3405">
        <v>-5.8647720000000003E-4</v>
      </c>
      <c r="AA3405">
        <v>0.99969629999999998</v>
      </c>
      <c r="AB3405">
        <v>33</v>
      </c>
      <c r="AC3405">
        <v>27.346</v>
      </c>
      <c r="AD3405">
        <v>-1.109206110953</v>
      </c>
      <c r="AE3405">
        <v>-0.68449999999998501</v>
      </c>
      <c r="AF3405">
        <v>0.68160715187948195</v>
      </c>
      <c r="AG3405">
        <v>-1.109206110953</v>
      </c>
      <c r="AH3405">
        <v>27.301154685812602</v>
      </c>
      <c r="AI3405">
        <v>92.325840459039298</v>
      </c>
      <c r="AJ3405">
        <v>88.569836974116299</v>
      </c>
      <c r="AK3405">
        <v>27.332178356009901</v>
      </c>
      <c r="AL3405">
        <v>80.568635201903305</v>
      </c>
      <c r="AM3405">
        <v>92.353864847370005</v>
      </c>
      <c r="AN3405">
        <v>0.99999996286537995</v>
      </c>
    </row>
    <row r="3406" spans="1:40" x14ac:dyDescent="0.25">
      <c r="A3406" t="str">
        <f>"20190304155700010"</f>
        <v>20190304155700010</v>
      </c>
      <c r="B3406" t="str">
        <f>"1551686220007868"</f>
        <v>1551686220007868</v>
      </c>
      <c r="C3406" t="s">
        <v>40</v>
      </c>
      <c r="D3406">
        <v>4.6936280000000004</v>
      </c>
      <c r="E3406">
        <v>0.52129190000000003</v>
      </c>
      <c r="F3406" t="s">
        <v>55</v>
      </c>
      <c r="G3406">
        <v>-389.73020000000002</v>
      </c>
      <c r="H3406" s="1">
        <v>3.715175E-6</v>
      </c>
      <c r="I3406">
        <v>212.923</v>
      </c>
      <c r="J3406">
        <v>-417.7878</v>
      </c>
      <c r="K3406">
        <v>1.1092219999999999</v>
      </c>
      <c r="L3406">
        <v>213.61259999999999</v>
      </c>
      <c r="M3406">
        <v>0.99997009999999997</v>
      </c>
      <c r="N3406">
        <v>-7.7379659999999998E-3</v>
      </c>
      <c r="O3406">
        <v>-1.3907160000000001E-4</v>
      </c>
      <c r="P3406">
        <v>0.98674150000000005</v>
      </c>
      <c r="Q3406">
        <v>0.15713869999999999</v>
      </c>
      <c r="R3406">
        <v>4.0608140000000001E-2</v>
      </c>
      <c r="S3406">
        <v>3.0618289999999999</v>
      </c>
      <c r="T3406">
        <v>-0.1195166</v>
      </c>
      <c r="U3406">
        <v>-7.4325559999999999E-2</v>
      </c>
      <c r="V3406">
        <v>-4.0709910000000002E-2</v>
      </c>
      <c r="W3406">
        <v>0.16477800000000001</v>
      </c>
      <c r="X3406">
        <v>0.98549019999999998</v>
      </c>
      <c r="Y3406">
        <v>2.4106789999999999E-2</v>
      </c>
      <c r="Z3406">
        <v>-5.59225E-4</v>
      </c>
      <c r="AA3406">
        <v>0.99970919999999996</v>
      </c>
      <c r="AB3406">
        <v>33</v>
      </c>
      <c r="AC3406">
        <v>28.057599999999901</v>
      </c>
      <c r="AD3406">
        <v>-1.1092182848249901</v>
      </c>
      <c r="AE3406">
        <v>-0.689599999999984</v>
      </c>
      <c r="AF3406">
        <v>0.68462849701332795</v>
      </c>
      <c r="AG3406">
        <v>-1.1092182848249901</v>
      </c>
      <c r="AH3406">
        <v>28.0139389002209</v>
      </c>
      <c r="AI3406">
        <v>92.266778845142795</v>
      </c>
      <c r="AJ3406">
        <v>88.600035612793206</v>
      </c>
      <c r="AK3406">
        <v>28.044248146235301</v>
      </c>
      <c r="AL3406">
        <v>80.515661813264998</v>
      </c>
      <c r="AM3406">
        <v>92.365503593485997</v>
      </c>
      <c r="AN3406">
        <v>1.0000000101761199</v>
      </c>
    </row>
    <row r="3407" spans="1:40" x14ac:dyDescent="0.25">
      <c r="A3407" t="str">
        <f>"20190304155700032"</f>
        <v>20190304155700032</v>
      </c>
      <c r="B3407" t="str">
        <f>"1551686220028364"</f>
        <v>1551686220028364</v>
      </c>
      <c r="C3407" t="s">
        <v>40</v>
      </c>
      <c r="D3407">
        <v>4.7056639999999996</v>
      </c>
      <c r="E3407">
        <v>0.55440179999999994</v>
      </c>
      <c r="F3407" t="s">
        <v>55</v>
      </c>
      <c r="G3407">
        <v>-388.8193</v>
      </c>
      <c r="H3407" s="1">
        <v>3.2307030000000001E-6</v>
      </c>
      <c r="I3407">
        <v>212.91640000000001</v>
      </c>
      <c r="J3407">
        <v>-417.46559999999999</v>
      </c>
      <c r="K3407">
        <v>1.1092379999999999</v>
      </c>
      <c r="L3407">
        <v>213.61250000000001</v>
      </c>
      <c r="M3407">
        <v>0.99997000000000003</v>
      </c>
      <c r="N3407">
        <v>-7.7571469999999998E-3</v>
      </c>
      <c r="O3407">
        <v>-1.9041850000000001E-4</v>
      </c>
      <c r="P3407">
        <v>0.98646460000000002</v>
      </c>
      <c r="Q3407">
        <v>0.15875710000000001</v>
      </c>
      <c r="R3407">
        <v>4.1037190000000001E-2</v>
      </c>
      <c r="S3407">
        <v>3.0620120000000002</v>
      </c>
      <c r="T3407">
        <v>-0.117246</v>
      </c>
      <c r="U3407">
        <v>-7.3593140000000001E-2</v>
      </c>
      <c r="V3407">
        <v>-4.1194199999999903E-2</v>
      </c>
      <c r="W3407">
        <v>0.16641210000000001</v>
      </c>
      <c r="X3407">
        <v>0.9851955</v>
      </c>
      <c r="Y3407">
        <v>2.3816049999999998E-2</v>
      </c>
      <c r="Z3407">
        <v>-5.4234839999999895E-4</v>
      </c>
      <c r="AA3407">
        <v>0.99971620000000005</v>
      </c>
      <c r="AB3407">
        <v>33</v>
      </c>
      <c r="AC3407">
        <v>28.6463</v>
      </c>
      <c r="AD3407">
        <v>-1.1092347692969999</v>
      </c>
      <c r="AE3407">
        <v>-0.69610000000000105</v>
      </c>
      <c r="AF3407">
        <v>0.68961166297969101</v>
      </c>
      <c r="AG3407">
        <v>-1.1092347692969999</v>
      </c>
      <c r="AH3407">
        <v>28.603569904939</v>
      </c>
      <c r="AI3407">
        <v>92.220149644189206</v>
      </c>
      <c r="AJ3407">
        <v>88.618907182849597</v>
      </c>
      <c r="AK3407">
        <v>28.633375234608099</v>
      </c>
      <c r="AL3407">
        <v>80.420724535949205</v>
      </c>
      <c r="AM3407">
        <v>92.394326535550405</v>
      </c>
      <c r="AN3407">
        <v>1.0000000611801401</v>
      </c>
    </row>
    <row r="3408" spans="1:40" x14ac:dyDescent="0.25">
      <c r="A3408" t="str">
        <f>"20190304155700067"</f>
        <v>20190304155700067</v>
      </c>
      <c r="B3408" t="str">
        <f>"1551686220057644"</f>
        <v>1551686220057644</v>
      </c>
      <c r="C3408" t="s">
        <v>40</v>
      </c>
      <c r="D3408">
        <v>4.5221489999999998</v>
      </c>
      <c r="E3408">
        <v>0.55914600000000003</v>
      </c>
      <c r="F3408" t="s">
        <v>55</v>
      </c>
      <c r="G3408">
        <v>-369.1266</v>
      </c>
      <c r="H3408">
        <v>8.0000249999999995E-2</v>
      </c>
      <c r="I3408">
        <v>208.3356</v>
      </c>
      <c r="J3408">
        <v>-416.93340000000001</v>
      </c>
      <c r="K3408">
        <v>1.109264</v>
      </c>
      <c r="L3408">
        <v>213.61240000000001</v>
      </c>
      <c r="M3408">
        <v>0.99996969999999996</v>
      </c>
      <c r="N3408">
        <v>-7.7884679999999998E-3</v>
      </c>
      <c r="O3408">
        <v>-2.4780149999999998E-4</v>
      </c>
      <c r="P3408">
        <v>0.98630910000000005</v>
      </c>
      <c r="Q3408">
        <v>0.159918</v>
      </c>
      <c r="R3408">
        <v>4.0260530000000003E-2</v>
      </c>
      <c r="S3408">
        <v>3.0656129999999999</v>
      </c>
      <c r="T3408">
        <v>-6.5273280000000003E-2</v>
      </c>
      <c r="U3408">
        <v>-0.3346558</v>
      </c>
      <c r="V3408">
        <v>-4.0482190000000001E-2</v>
      </c>
      <c r="W3408">
        <v>0.16760059999999999</v>
      </c>
      <c r="X3408">
        <v>0.98502339999999999</v>
      </c>
      <c r="Y3408">
        <v>0.10824019999999999</v>
      </c>
      <c r="Z3408">
        <v>-1.5682840000000001E-3</v>
      </c>
      <c r="AA3408">
        <v>0.99412350000000005</v>
      </c>
      <c r="AB3408">
        <v>34</v>
      </c>
      <c r="AC3408">
        <v>47.806800000000003</v>
      </c>
      <c r="AD3408">
        <v>-1.0292637499999999</v>
      </c>
      <c r="AE3408">
        <v>-5.2767999999999997</v>
      </c>
      <c r="AF3408">
        <v>5.26254291879546</v>
      </c>
      <c r="AG3408">
        <v>-1.0292637499999999</v>
      </c>
      <c r="AH3408">
        <v>47.786222630684797</v>
      </c>
      <c r="AI3408">
        <v>91.226485916372297</v>
      </c>
      <c r="AJ3408">
        <v>83.715524384384693</v>
      </c>
      <c r="AK3408">
        <v>48.086139532599297</v>
      </c>
      <c r="AL3408">
        <v>80.351657284484602</v>
      </c>
      <c r="AM3408">
        <v>92.353400013880901</v>
      </c>
      <c r="AN3408">
        <v>0.99999993368755502</v>
      </c>
    </row>
    <row r="3409" spans="1:40" x14ac:dyDescent="0.25">
      <c r="A3409" t="str">
        <f>"20190304155700090"</f>
        <v>20190304155700090</v>
      </c>
      <c r="B3409" t="str">
        <f>"1551686220087900"</f>
        <v>1551686220087900</v>
      </c>
      <c r="C3409" t="s">
        <v>40</v>
      </c>
      <c r="D3409">
        <v>4.5074620000000003</v>
      </c>
      <c r="E3409">
        <v>0.55996330000000005</v>
      </c>
      <c r="F3409" t="s">
        <v>55</v>
      </c>
      <c r="G3409">
        <v>-352.2998</v>
      </c>
      <c r="H3409">
        <v>8.0001180000000005E-2</v>
      </c>
      <c r="I3409">
        <v>205.7295</v>
      </c>
      <c r="J3409">
        <v>-416.58850000000001</v>
      </c>
      <c r="K3409">
        <v>1.109275</v>
      </c>
      <c r="L3409">
        <v>213.6123</v>
      </c>
      <c r="M3409">
        <v>0.99996960000000001</v>
      </c>
      <c r="N3409">
        <v>-7.8079940000000004E-3</v>
      </c>
      <c r="O3409">
        <v>-2.6922250000000001E-4</v>
      </c>
      <c r="P3409">
        <v>0.98629520000000004</v>
      </c>
      <c r="Q3409">
        <v>0.16018279999999999</v>
      </c>
      <c r="R3409">
        <v>3.9541760000000002E-2</v>
      </c>
      <c r="S3409">
        <v>3.0648499999999999</v>
      </c>
      <c r="T3409">
        <v>-4.8806429999999998E-2</v>
      </c>
      <c r="U3409">
        <v>-0.37379459999999998</v>
      </c>
      <c r="V3409">
        <v>-3.9789320000000003E-2</v>
      </c>
      <c r="W3409">
        <v>0.16788310000000001</v>
      </c>
      <c r="X3409">
        <v>0.98500359999999998</v>
      </c>
      <c r="Y3409">
        <v>0.1207749</v>
      </c>
      <c r="Z3409">
        <v>-1.429154E-3</v>
      </c>
      <c r="AA3409">
        <v>0.99267890000000003</v>
      </c>
      <c r="AB3409">
        <v>34</v>
      </c>
      <c r="AC3409">
        <v>64.288700000000006</v>
      </c>
      <c r="AD3409">
        <v>-1.02927382</v>
      </c>
      <c r="AE3409">
        <v>-7.8827999999999996</v>
      </c>
      <c r="AF3409">
        <v>7.8635054589381896</v>
      </c>
      <c r="AG3409">
        <v>-1.02927382</v>
      </c>
      <c r="AH3409">
        <v>64.274588746689204</v>
      </c>
      <c r="AI3409">
        <v>90.910650183131594</v>
      </c>
      <c r="AJ3409">
        <v>83.024960769028297</v>
      </c>
      <c r="AK3409">
        <v>64.762001831747796</v>
      </c>
      <c r="AL3409">
        <v>80.335239319634894</v>
      </c>
      <c r="AM3409">
        <v>92.313211147677293</v>
      </c>
      <c r="AN3409">
        <v>1.00000000863231</v>
      </c>
    </row>
    <row r="3410" spans="1:40" x14ac:dyDescent="0.25">
      <c r="A3410" t="str">
        <f>"20190304155700109"</f>
        <v>20190304155700109</v>
      </c>
      <c r="B3410" t="str">
        <f>"1551686220097660"</f>
        <v>1551686220097660</v>
      </c>
      <c r="C3410" t="s">
        <v>40</v>
      </c>
      <c r="D3410">
        <v>4.626449</v>
      </c>
      <c r="E3410">
        <v>0.56049280000000001</v>
      </c>
      <c r="F3410" t="s">
        <v>55</v>
      </c>
      <c r="G3410">
        <v>-354.60120000000001</v>
      </c>
      <c r="H3410">
        <v>8.0000489999999994E-2</v>
      </c>
      <c r="I3410">
        <v>205.88319999999999</v>
      </c>
      <c r="J3410">
        <v>-416.28379999999999</v>
      </c>
      <c r="K3410">
        <v>1.109281</v>
      </c>
      <c r="L3410">
        <v>213.6122</v>
      </c>
      <c r="M3410">
        <v>0.99996940000000001</v>
      </c>
      <c r="N3410">
        <v>-7.8246259999999995E-3</v>
      </c>
      <c r="O3410">
        <v>-2.7455900000000001E-4</v>
      </c>
      <c r="P3410">
        <v>0.98630030000000002</v>
      </c>
      <c r="Q3410">
        <v>0.1603367</v>
      </c>
      <c r="R3410">
        <v>3.8777260000000001E-2</v>
      </c>
      <c r="S3410">
        <v>3.065277</v>
      </c>
      <c r="T3410">
        <v>-5.089772E-2</v>
      </c>
      <c r="U3410">
        <v>-0.38220209999999999</v>
      </c>
      <c r="V3410">
        <v>-3.9033850000000002E-2</v>
      </c>
      <c r="W3410">
        <v>0.16805239999999999</v>
      </c>
      <c r="X3410">
        <v>0.98500500000000002</v>
      </c>
      <c r="Y3410">
        <v>0.12343229999999999</v>
      </c>
      <c r="Z3410">
        <v>-1.5031739999999999E-3</v>
      </c>
      <c r="AA3410">
        <v>0.99235180000000001</v>
      </c>
      <c r="AB3410">
        <v>34</v>
      </c>
      <c r="AC3410">
        <v>61.682599999999901</v>
      </c>
      <c r="AD3410">
        <v>-1.02928051</v>
      </c>
      <c r="AE3410">
        <v>-7.7290000000000099</v>
      </c>
      <c r="AF3410">
        <v>7.7099500531062901</v>
      </c>
      <c r="AG3410">
        <v>-1.02928051</v>
      </c>
      <c r="AH3410">
        <v>61.667814037620097</v>
      </c>
      <c r="AI3410">
        <v>90.948833819312597</v>
      </c>
      <c r="AJ3410">
        <v>82.873635867593194</v>
      </c>
      <c r="AK3410">
        <v>62.156431979065196</v>
      </c>
      <c r="AL3410">
        <v>80.325399749748101</v>
      </c>
      <c r="AM3410">
        <v>92.269333918863595</v>
      </c>
      <c r="AN3410">
        <v>1.00000005030829</v>
      </c>
    </row>
    <row r="3411" spans="1:40" x14ac:dyDescent="0.25">
      <c r="A3411" t="str">
        <f>"20190304155700132"</f>
        <v>20190304155700132</v>
      </c>
      <c r="B3411" t="str">
        <f>"1551686220128423"</f>
        <v>1551686220128423</v>
      </c>
      <c r="C3411" t="s">
        <v>40</v>
      </c>
      <c r="D3411">
        <v>4.5938429999999997</v>
      </c>
      <c r="E3411">
        <v>0.56093839999999995</v>
      </c>
      <c r="F3411" t="s">
        <v>55</v>
      </c>
      <c r="G3411">
        <v>-355.12540000000001</v>
      </c>
      <c r="H3411">
        <v>8.0001810000000007E-2</v>
      </c>
      <c r="I3411">
        <v>205.85300000000001</v>
      </c>
      <c r="J3411">
        <v>-415.95760000000001</v>
      </c>
      <c r="K3411">
        <v>1.1092900000000001</v>
      </c>
      <c r="L3411">
        <v>213.6121</v>
      </c>
      <c r="M3411">
        <v>0.99996910000000006</v>
      </c>
      <c r="N3411">
        <v>-7.8417390000000003E-3</v>
      </c>
      <c r="O3411">
        <v>-2.6785729999999997E-4</v>
      </c>
      <c r="P3411">
        <v>0.98618600000000001</v>
      </c>
      <c r="Q3411">
        <v>0.16109479999999901</v>
      </c>
      <c r="R3411">
        <v>3.8543130000000002E-2</v>
      </c>
      <c r="S3411">
        <v>3.0653380000000001</v>
      </c>
      <c r="T3411">
        <v>-5.1588769999999999E-2</v>
      </c>
      <c r="U3411">
        <v>-0.38890079999999999</v>
      </c>
      <c r="V3411">
        <v>-3.8797089999999999E-2</v>
      </c>
      <c r="W3411">
        <v>0.16882559999999999</v>
      </c>
      <c r="X3411">
        <v>0.98488209999999998</v>
      </c>
      <c r="Y3411">
        <v>0.12556999999999999</v>
      </c>
      <c r="Z3411">
        <v>-1.544332E-3</v>
      </c>
      <c r="AA3411">
        <v>0.99208350000000001</v>
      </c>
      <c r="AB3411">
        <v>34</v>
      </c>
      <c r="AC3411">
        <v>60.8322</v>
      </c>
      <c r="AD3411">
        <v>-1.0292881899999999</v>
      </c>
      <c r="AE3411">
        <v>-7.7591000000000099</v>
      </c>
      <c r="AF3411">
        <v>7.7406242783055896</v>
      </c>
      <c r="AG3411">
        <v>-1.0292881899999999</v>
      </c>
      <c r="AH3411">
        <v>60.817143570635402</v>
      </c>
      <c r="AI3411">
        <v>90.961841096361397</v>
      </c>
      <c r="AJ3411">
        <v>82.746563835148706</v>
      </c>
      <c r="AK3411">
        <v>61.316406046728197</v>
      </c>
      <c r="AL3411">
        <v>80.280456251948493</v>
      </c>
      <c r="AM3411">
        <v>92.255864699413806</v>
      </c>
      <c r="AN3411">
        <v>1.00000002415411</v>
      </c>
    </row>
    <row r="3412" spans="1:40" x14ac:dyDescent="0.25">
      <c r="A3412" t="str">
        <f>"20190304155700154"</f>
        <v>20190304155700154</v>
      </c>
      <c r="B3412" t="str">
        <f>"1551686220147943"</f>
        <v>1551686220147943</v>
      </c>
      <c r="C3412" t="s">
        <v>40</v>
      </c>
      <c r="D3412">
        <v>4.570341</v>
      </c>
      <c r="E3412">
        <v>0.56140009999999996</v>
      </c>
      <c r="F3412" t="s">
        <v>55</v>
      </c>
      <c r="G3412">
        <v>-354.45780000000002</v>
      </c>
      <c r="H3412">
        <v>8.000053E-2</v>
      </c>
      <c r="I3412">
        <v>205.71979999999999</v>
      </c>
      <c r="J3412">
        <v>-415.60570000000001</v>
      </c>
      <c r="K3412">
        <v>1.1093120000000001</v>
      </c>
      <c r="L3412">
        <v>213.61199999999999</v>
      </c>
      <c r="M3412">
        <v>0.99996910000000006</v>
      </c>
      <c r="N3412">
        <v>-7.8594289999999994E-3</v>
      </c>
      <c r="O3412">
        <v>-2.377499E-4</v>
      </c>
      <c r="P3412">
        <v>0.9861955</v>
      </c>
      <c r="Q3412">
        <v>0.16102910000000001</v>
      </c>
      <c r="R3412">
        <v>3.8576779999999998E-2</v>
      </c>
      <c r="S3412">
        <v>3.0657960000000002</v>
      </c>
      <c r="T3412">
        <v>-5.1310540000000002E-2</v>
      </c>
      <c r="U3412">
        <v>-0.39343260000000002</v>
      </c>
      <c r="V3412">
        <v>-3.8806819999999999E-2</v>
      </c>
      <c r="W3412">
        <v>0.1687757</v>
      </c>
      <c r="X3412">
        <v>0.98489020000000005</v>
      </c>
      <c r="Y3412">
        <v>0.1270242</v>
      </c>
      <c r="Z3412">
        <v>-1.5577179999999901E-3</v>
      </c>
      <c r="AA3412">
        <v>0.99189839999999996</v>
      </c>
      <c r="AB3412">
        <v>34</v>
      </c>
      <c r="AC3412">
        <v>61.1478999999999</v>
      </c>
      <c r="AD3412">
        <v>-1.0293114699999999</v>
      </c>
      <c r="AE3412">
        <v>-7.8921999999999999</v>
      </c>
      <c r="AF3412">
        <v>7.8754664349387102</v>
      </c>
      <c r="AG3412">
        <v>-1.0293114699999999</v>
      </c>
      <c r="AH3412">
        <v>61.132736279503</v>
      </c>
      <c r="AI3412">
        <v>90.956711587382003</v>
      </c>
      <c r="AJ3412">
        <v>82.659263056797698</v>
      </c>
      <c r="AK3412">
        <v>61.646523816752101</v>
      </c>
      <c r="AL3412">
        <v>80.283356268019105</v>
      </c>
      <c r="AM3412">
        <v>92.256411329229493</v>
      </c>
      <c r="AN3412">
        <v>0.99999995612252002</v>
      </c>
    </row>
    <row r="3413" spans="1:40" x14ac:dyDescent="0.25">
      <c r="A3413" t="str">
        <f>"20190304155700176"</f>
        <v>20190304155700176</v>
      </c>
      <c r="B3413" t="str">
        <f>"1551686220168439"</f>
        <v>1551686220168439</v>
      </c>
      <c r="C3413" t="s">
        <v>40</v>
      </c>
      <c r="D3413">
        <v>4.5461489999999998</v>
      </c>
      <c r="E3413">
        <v>0.56179349999999995</v>
      </c>
      <c r="F3413" t="s">
        <v>55</v>
      </c>
      <c r="G3413">
        <v>-354.09120000000001</v>
      </c>
      <c r="H3413">
        <v>8.0000650000000006E-2</v>
      </c>
      <c r="I3413">
        <v>205.6514</v>
      </c>
      <c r="J3413">
        <v>-415.28460000000001</v>
      </c>
      <c r="K3413">
        <v>1.109335</v>
      </c>
      <c r="L3413">
        <v>213.61199999999999</v>
      </c>
      <c r="M3413">
        <v>0.99996890000000005</v>
      </c>
      <c r="N3413">
        <v>-7.8749230000000007E-3</v>
      </c>
      <c r="O3413">
        <v>-1.867405E-4</v>
      </c>
      <c r="P3413">
        <v>0.98616150000000002</v>
      </c>
      <c r="Q3413">
        <v>0.1612632</v>
      </c>
      <c r="R3413">
        <v>3.8466739999999999E-2</v>
      </c>
      <c r="S3413">
        <v>3.065887</v>
      </c>
      <c r="T3413">
        <v>-5.1300999999999999E-2</v>
      </c>
      <c r="U3413">
        <v>-0.39675899999999997</v>
      </c>
      <c r="V3413">
        <v>-3.8653470000000002E-2</v>
      </c>
      <c r="W3413">
        <v>0.16902339999999999</v>
      </c>
      <c r="X3413">
        <v>0.9848538</v>
      </c>
      <c r="Y3413">
        <v>0.12812939999999901</v>
      </c>
      <c r="Z3413">
        <v>-1.572471E-3</v>
      </c>
      <c r="AA3413">
        <v>0.99175619999999998</v>
      </c>
      <c r="AB3413">
        <v>34</v>
      </c>
      <c r="AC3413">
        <v>61.193399999999997</v>
      </c>
      <c r="AD3413">
        <v>-1.0293343500000001</v>
      </c>
      <c r="AE3413">
        <v>-7.9605999999999897</v>
      </c>
      <c r="AF3413">
        <v>7.9469610775649597</v>
      </c>
      <c r="AG3413">
        <v>-1.0293343500000001</v>
      </c>
      <c r="AH3413">
        <v>61.177863571864499</v>
      </c>
      <c r="AI3413">
        <v>90.955896696475804</v>
      </c>
      <c r="AJ3413">
        <v>82.598762272762698</v>
      </c>
      <c r="AK3413">
        <v>61.700443359752903</v>
      </c>
      <c r="AL3413">
        <v>80.268957705502999</v>
      </c>
      <c r="AM3413">
        <v>92.247586981792793</v>
      </c>
      <c r="AN3413">
        <v>1.0000000039325201</v>
      </c>
    </row>
    <row r="3414" spans="1:40" x14ac:dyDescent="0.25">
      <c r="A3414" t="str">
        <f>"20190304155700198"</f>
        <v>20190304155700198</v>
      </c>
      <c r="B3414" t="str">
        <f>"1551686220187959"</f>
        <v>1551686220187959</v>
      </c>
      <c r="C3414" t="s">
        <v>40</v>
      </c>
      <c r="D3414">
        <v>4.527139</v>
      </c>
      <c r="E3414">
        <v>0.56216669999999902</v>
      </c>
      <c r="F3414" t="s">
        <v>55</v>
      </c>
      <c r="G3414">
        <v>-351.93189999999998</v>
      </c>
      <c r="H3414">
        <v>8.0001290000000003E-2</v>
      </c>
      <c r="I3414">
        <v>205.34819999999999</v>
      </c>
      <c r="J3414">
        <v>-414.93849999999998</v>
      </c>
      <c r="K3414">
        <v>1.109354</v>
      </c>
      <c r="L3414">
        <v>213.61199999999999</v>
      </c>
      <c r="M3414">
        <v>0.999969</v>
      </c>
      <c r="N3414">
        <v>-7.8909489999999995E-3</v>
      </c>
      <c r="O3414">
        <v>-1.0444420000000001E-4</v>
      </c>
      <c r="P3414">
        <v>0.98607829999999996</v>
      </c>
      <c r="Q3414">
        <v>0.1617035</v>
      </c>
      <c r="R3414">
        <v>3.8759050000000003E-2</v>
      </c>
      <c r="S3414">
        <v>3.065887</v>
      </c>
      <c r="T3414">
        <v>-4.9813509999999998E-2</v>
      </c>
      <c r="U3414">
        <v>-0.39991759999999998</v>
      </c>
      <c r="V3414">
        <v>-3.8874409999999998E-2</v>
      </c>
      <c r="W3414">
        <v>0.1694764</v>
      </c>
      <c r="X3414">
        <v>0.98476730000000001</v>
      </c>
      <c r="Y3414">
        <v>0.12921669999999999</v>
      </c>
      <c r="Z3414">
        <v>-1.556399E-3</v>
      </c>
      <c r="AA3414">
        <v>0.99161520000000003</v>
      </c>
      <c r="AB3414">
        <v>34</v>
      </c>
      <c r="AC3414">
        <v>63.006599999999899</v>
      </c>
      <c r="AD3414">
        <v>-1.0293527099999999</v>
      </c>
      <c r="AE3414">
        <v>-8.2637999999999998</v>
      </c>
      <c r="AF3414">
        <v>8.2550530251512608</v>
      </c>
      <c r="AG3414">
        <v>-1.0293527099999999</v>
      </c>
      <c r="AH3414">
        <v>62.9909345328333</v>
      </c>
      <c r="AI3414">
        <v>90.928267326729397</v>
      </c>
      <c r="AJ3414">
        <v>82.5338536571372</v>
      </c>
      <c r="AK3414">
        <v>63.5378887024847</v>
      </c>
      <c r="AL3414">
        <v>80.242623266649204</v>
      </c>
      <c r="AM3414">
        <v>92.260619057293496</v>
      </c>
      <c r="AN3414">
        <v>1.0000000525295401</v>
      </c>
    </row>
    <row r="3415" spans="1:40" x14ac:dyDescent="0.25">
      <c r="A3415" t="str">
        <f>"20190304155700221"</f>
        <v>20190304155700221</v>
      </c>
      <c r="B3415" t="str">
        <f>"1551686220217745"</f>
        <v>1551686220217745</v>
      </c>
      <c r="C3415" t="s">
        <v>40</v>
      </c>
      <c r="D3415">
        <v>4.550529</v>
      </c>
      <c r="E3415">
        <v>0.56284060000000002</v>
      </c>
      <c r="F3415" t="s">
        <v>55</v>
      </c>
      <c r="G3415">
        <v>-352.6814</v>
      </c>
      <c r="H3415">
        <v>8.0001069999999994E-2</v>
      </c>
      <c r="I3415">
        <v>205.44550000000001</v>
      </c>
      <c r="J3415">
        <v>-414.59109999999998</v>
      </c>
      <c r="K3415">
        <v>1.1093820000000001</v>
      </c>
      <c r="L3415">
        <v>213.61199999999999</v>
      </c>
      <c r="M3415">
        <v>0.99996879999999999</v>
      </c>
      <c r="N3415">
        <v>-7.9063980000000002E-3</v>
      </c>
      <c r="O3415" s="1">
        <v>7.2003170000000002E-6</v>
      </c>
      <c r="P3415">
        <v>0.98602710000000005</v>
      </c>
      <c r="Q3415">
        <v>0.16205999999999901</v>
      </c>
      <c r="R3415">
        <v>3.8564670000000002E-2</v>
      </c>
      <c r="S3415">
        <v>3.0664669999999998</v>
      </c>
      <c r="T3415">
        <v>-5.0700660000000002E-2</v>
      </c>
      <c r="U3415">
        <v>-0.40223690000000001</v>
      </c>
      <c r="V3415">
        <v>-3.858077E-2</v>
      </c>
      <c r="W3415">
        <v>0.16984579999999999</v>
      </c>
      <c r="X3415">
        <v>0.98471520000000001</v>
      </c>
      <c r="Y3415">
        <v>0.13003980000000001</v>
      </c>
      <c r="Z3415">
        <v>-1.586762E-3</v>
      </c>
      <c r="AA3415">
        <v>0.99150749999999999</v>
      </c>
      <c r="AB3415">
        <v>34</v>
      </c>
      <c r="AC3415">
        <v>61.909700000000001</v>
      </c>
      <c r="AD3415">
        <v>-1.0293809300000001</v>
      </c>
      <c r="AE3415">
        <v>-8.1664999999999797</v>
      </c>
      <c r="AF3415">
        <v>8.1647271541374398</v>
      </c>
      <c r="AG3415">
        <v>-1.0293809300000001</v>
      </c>
      <c r="AH3415">
        <v>61.892822848324698</v>
      </c>
      <c r="AI3415">
        <v>90.944654029687598</v>
      </c>
      <c r="AJ3415">
        <v>82.485093239801103</v>
      </c>
      <c r="AK3415">
        <v>62.437520087962</v>
      </c>
      <c r="AL3415">
        <v>80.221146810397002</v>
      </c>
      <c r="AM3415">
        <v>92.243679445004403</v>
      </c>
      <c r="AN3415">
        <v>1.0000000483512299</v>
      </c>
    </row>
    <row r="3416" spans="1:40" x14ac:dyDescent="0.25">
      <c r="A3416" t="str">
        <f>"20190304155700243"</f>
        <v>20190304155700243</v>
      </c>
      <c r="B3416" t="str">
        <f>"1551686220238242"</f>
        <v>1551686220238242</v>
      </c>
      <c r="C3416" t="s">
        <v>40</v>
      </c>
      <c r="D3416">
        <v>4.6122059999999996</v>
      </c>
      <c r="E3416">
        <v>0.56323599999999996</v>
      </c>
      <c r="F3416" t="s">
        <v>55</v>
      </c>
      <c r="G3416">
        <v>-358.78429999999997</v>
      </c>
      <c r="H3416">
        <v>8.0000719999999997E-2</v>
      </c>
      <c r="I3416">
        <v>206.1764</v>
      </c>
      <c r="J3416">
        <v>-414.25330000000002</v>
      </c>
      <c r="K3416">
        <v>1.109413</v>
      </c>
      <c r="L3416">
        <v>213.6122</v>
      </c>
      <c r="M3416">
        <v>0.99996879999999999</v>
      </c>
      <c r="N3416">
        <v>-7.9208539999999997E-3</v>
      </c>
      <c r="O3416">
        <v>1.419018E-4</v>
      </c>
      <c r="P3416">
        <v>0.98596600000000001</v>
      </c>
      <c r="Q3416">
        <v>0.16240940000000001</v>
      </c>
      <c r="R3416">
        <v>3.8661330000000001E-2</v>
      </c>
      <c r="S3416">
        <v>3.0678100000000001</v>
      </c>
      <c r="T3416">
        <v>-5.6587100000000001E-2</v>
      </c>
      <c r="U3416">
        <v>-0.40875240000000002</v>
      </c>
      <c r="V3416">
        <v>-3.8554860000000003E-2</v>
      </c>
      <c r="W3416">
        <v>0.17020669999999999</v>
      </c>
      <c r="X3416">
        <v>0.98465380000000002</v>
      </c>
      <c r="Y3416">
        <v>0.13218089999999999</v>
      </c>
      <c r="Z3416">
        <v>-1.7409560000000001E-3</v>
      </c>
      <c r="AA3416">
        <v>0.99122410000000005</v>
      </c>
      <c r="AB3416">
        <v>34</v>
      </c>
      <c r="AC3416">
        <v>55.469000000000001</v>
      </c>
      <c r="AD3416">
        <v>-1.0294122800000001</v>
      </c>
      <c r="AE3416">
        <v>-7.4358000000000004</v>
      </c>
      <c r="AF3416">
        <v>7.4411537420617302</v>
      </c>
      <c r="AG3416">
        <v>-1.0294122800000001</v>
      </c>
      <c r="AH3416">
        <v>55.449184028603497</v>
      </c>
      <c r="AI3416">
        <v>91.054124721494603</v>
      </c>
      <c r="AJ3416">
        <v>82.356701858134102</v>
      </c>
      <c r="AK3416">
        <v>55.955718814908899</v>
      </c>
      <c r="AL3416">
        <v>80.200162279323393</v>
      </c>
      <c r="AM3416">
        <v>92.242313849860594</v>
      </c>
      <c r="AN3416">
        <v>0.99999995190447299</v>
      </c>
    </row>
    <row r="3417" spans="1:40" x14ac:dyDescent="0.25">
      <c r="A3417" t="str">
        <f>"20190304155700267"</f>
        <v>20190304155700267</v>
      </c>
      <c r="B3417" t="str">
        <f>"1551686220257762"</f>
        <v>1551686220257762</v>
      </c>
      <c r="C3417" t="s">
        <v>40</v>
      </c>
      <c r="D3417">
        <v>4.4840429999999998</v>
      </c>
      <c r="E3417">
        <v>0.56336439999999999</v>
      </c>
      <c r="F3417" t="s">
        <v>55</v>
      </c>
      <c r="G3417">
        <v>-356.33870000000002</v>
      </c>
      <c r="H3417">
        <v>8.0001439999999993E-2</v>
      </c>
      <c r="I3417">
        <v>205.84639999999999</v>
      </c>
      <c r="J3417">
        <v>-413.88490000000002</v>
      </c>
      <c r="K3417">
        <v>1.1094389999999901</v>
      </c>
      <c r="L3417">
        <v>213.61240000000001</v>
      </c>
      <c r="M3417">
        <v>0.99996850000000004</v>
      </c>
      <c r="N3417">
        <v>-7.9394059999999995E-3</v>
      </c>
      <c r="O3417">
        <v>3.1753679999999999E-4</v>
      </c>
      <c r="P3417">
        <v>0.98580559999999995</v>
      </c>
      <c r="Q3417">
        <v>0.16340639999999901</v>
      </c>
      <c r="R3417">
        <v>3.8547909999999998E-2</v>
      </c>
      <c r="S3417">
        <v>3.0678100000000001</v>
      </c>
      <c r="T3417">
        <v>-5.4529189999999998E-2</v>
      </c>
      <c r="U3417">
        <v>-0.4113617</v>
      </c>
      <c r="V3417">
        <v>-3.8279010000000002E-2</v>
      </c>
      <c r="W3417">
        <v>0.17121819999999999</v>
      </c>
      <c r="X3417">
        <v>0.98448919999999995</v>
      </c>
      <c r="Y3417">
        <v>0.13318489999999999</v>
      </c>
      <c r="Z3417">
        <v>-1.7125279999999901E-3</v>
      </c>
      <c r="AA3417">
        <v>0.99108969999999996</v>
      </c>
      <c r="AB3417">
        <v>34</v>
      </c>
      <c r="AC3417">
        <v>57.546199999999999</v>
      </c>
      <c r="AD3417">
        <v>-1.0294375600000001</v>
      </c>
      <c r="AE3417">
        <v>-7.7660000000000098</v>
      </c>
      <c r="AF3417">
        <v>7.7818274807558501</v>
      </c>
      <c r="AG3417">
        <v>-1.0294375600000001</v>
      </c>
      <c r="AH3417">
        <v>57.525651381753903</v>
      </c>
      <c r="AI3417">
        <v>91.015962793899305</v>
      </c>
      <c r="AJ3417">
        <v>82.296034469726195</v>
      </c>
      <c r="AK3417">
        <v>58.0587387696742</v>
      </c>
      <c r="AL3417">
        <v>80.141344373536498</v>
      </c>
      <c r="AM3417">
        <v>92.2266587239275</v>
      </c>
      <c r="AN3417">
        <v>0.99999996976722905</v>
      </c>
    </row>
    <row r="3418" spans="1:40" x14ac:dyDescent="0.25">
      <c r="A3418" t="str">
        <f>"20190304155700289"</f>
        <v>20190304155700289</v>
      </c>
      <c r="B3418" t="str">
        <f>"1551686220278257"</f>
        <v>1551686220278257</v>
      </c>
      <c r="C3418" t="s">
        <v>40</v>
      </c>
      <c r="D3418">
        <v>4.5869799999999996</v>
      </c>
      <c r="E3418">
        <v>0.56378260000000002</v>
      </c>
      <c r="F3418" t="s">
        <v>55</v>
      </c>
      <c r="G3418">
        <v>-357.2269</v>
      </c>
      <c r="H3418">
        <v>8.0001180000000005E-2</v>
      </c>
      <c r="I3418">
        <v>205.98679999999999</v>
      </c>
      <c r="J3418">
        <v>-413.5403</v>
      </c>
      <c r="K3418">
        <v>1.1094569999999999</v>
      </c>
      <c r="L3418">
        <v>213.61259999999999</v>
      </c>
      <c r="M3418">
        <v>0.99996819999999997</v>
      </c>
      <c r="N3418">
        <v>-7.9604669999999902E-3</v>
      </c>
      <c r="O3418">
        <v>5.0845060000000001E-4</v>
      </c>
      <c r="P3418">
        <v>0.98569569999999995</v>
      </c>
      <c r="Q3418">
        <v>0.16409560000000001</v>
      </c>
      <c r="R3418">
        <v>3.8428879999999999E-2</v>
      </c>
      <c r="S3418">
        <v>3.0685730000000002</v>
      </c>
      <c r="T3418">
        <v>-5.5753949999999997E-2</v>
      </c>
      <c r="U3418">
        <v>-0.41299439999999998</v>
      </c>
      <c r="V3418">
        <v>-3.7981340000000002E-2</v>
      </c>
      <c r="W3418">
        <v>0.1719252</v>
      </c>
      <c r="X3418">
        <v>0.98437759999999996</v>
      </c>
      <c r="Y3418">
        <v>0.13385830000000001</v>
      </c>
      <c r="Z3418">
        <v>-1.750918E-3</v>
      </c>
      <c r="AA3418">
        <v>0.99099890000000002</v>
      </c>
      <c r="AB3418">
        <v>34</v>
      </c>
      <c r="AC3418">
        <v>56.313400000000001</v>
      </c>
      <c r="AD3418">
        <v>-1.0294558199999999</v>
      </c>
      <c r="AE3418">
        <v>-7.6257999999999901</v>
      </c>
      <c r="AF3418">
        <v>7.6519213651976399</v>
      </c>
      <c r="AG3418">
        <v>-1.0294558199999999</v>
      </c>
      <c r="AH3418">
        <v>56.291042173333103</v>
      </c>
      <c r="AI3418">
        <v>91.038167981578795</v>
      </c>
      <c r="AJ3418">
        <v>82.258947530364694</v>
      </c>
      <c r="AK3418">
        <v>56.818070266636703</v>
      </c>
      <c r="AL3418">
        <v>80.100227427177003</v>
      </c>
      <c r="AM3418">
        <v>92.209610959066595</v>
      </c>
      <c r="AN3418">
        <v>1.0000000579824899</v>
      </c>
    </row>
    <row r="3419" spans="1:40" x14ac:dyDescent="0.25">
      <c r="A3419" t="str">
        <f>"20190304155700309"</f>
        <v>20190304155700309</v>
      </c>
      <c r="B3419" t="str">
        <f>"1551686220297777"</f>
        <v>1551686220297777</v>
      </c>
      <c r="C3419" t="s">
        <v>40</v>
      </c>
      <c r="D3419">
        <v>4.524451</v>
      </c>
      <c r="E3419">
        <v>0.56422680000000003</v>
      </c>
      <c r="F3419" t="s">
        <v>55</v>
      </c>
      <c r="G3419">
        <v>-358.95580000000001</v>
      </c>
      <c r="H3419">
        <v>8.0000669999999996E-2</v>
      </c>
      <c r="I3419">
        <v>206.2071</v>
      </c>
      <c r="J3419">
        <v>-413.22910000000002</v>
      </c>
      <c r="K3419">
        <v>1.1094820000000001</v>
      </c>
      <c r="L3419">
        <v>213.613</v>
      </c>
      <c r="M3419">
        <v>0.99996790000000002</v>
      </c>
      <c r="N3419">
        <v>-7.9806719999999994E-3</v>
      </c>
      <c r="O3419">
        <v>7.0542789999999999E-4</v>
      </c>
      <c r="P3419">
        <v>0.98562629999999996</v>
      </c>
      <c r="Q3419">
        <v>0.16440270000000001</v>
      </c>
      <c r="R3419">
        <v>3.8894810000000002E-2</v>
      </c>
      <c r="S3419">
        <v>3.0693969999999999</v>
      </c>
      <c r="T3419">
        <v>-5.7888389999999998E-2</v>
      </c>
      <c r="U3419">
        <v>-0.41642760000000001</v>
      </c>
      <c r="V3419">
        <v>-3.8261700000000003E-2</v>
      </c>
      <c r="W3419">
        <v>0.1722503</v>
      </c>
      <c r="X3419">
        <v>0.98430989999999996</v>
      </c>
      <c r="Y3419">
        <v>0.13510440000000001</v>
      </c>
      <c r="Z3419">
        <v>-1.8173900000000001E-3</v>
      </c>
      <c r="AA3419">
        <v>0.99082969999999904</v>
      </c>
      <c r="AB3419">
        <v>34</v>
      </c>
      <c r="AC3419">
        <v>54.273299999999999</v>
      </c>
      <c r="AD3419">
        <v>-1.0294813300000001</v>
      </c>
      <c r="AE3419">
        <v>-7.4058999999999999</v>
      </c>
      <c r="AF3419">
        <v>7.4415567280416397</v>
      </c>
      <c r="AG3419">
        <v>-1.0294813300000001</v>
      </c>
      <c r="AH3419">
        <v>54.248899897567703</v>
      </c>
      <c r="AI3419">
        <v>91.0770874369002</v>
      </c>
      <c r="AJ3419">
        <v>82.189237335404698</v>
      </c>
      <c r="AK3419">
        <v>54.766593270366997</v>
      </c>
      <c r="AL3419">
        <v>80.081318413415005</v>
      </c>
      <c r="AM3419">
        <v>92.226057841022893</v>
      </c>
      <c r="AN3419">
        <v>1.00000005138749</v>
      </c>
    </row>
    <row r="3420" spans="1:40" x14ac:dyDescent="0.25">
      <c r="A3420" t="str">
        <f>"20190304155700332"</f>
        <v>20190304155700332</v>
      </c>
      <c r="B3420" t="str">
        <f>"1551686220328035"</f>
        <v>1551686220328035</v>
      </c>
      <c r="C3420" t="s">
        <v>40</v>
      </c>
      <c r="D3420">
        <v>4.6917900000000001</v>
      </c>
      <c r="E3420">
        <v>0.56471740000000004</v>
      </c>
      <c r="F3420" t="s">
        <v>55</v>
      </c>
      <c r="G3420">
        <v>-360.52359999999999</v>
      </c>
      <c r="H3420">
        <v>8.0001299999999997E-2</v>
      </c>
      <c r="I3420">
        <v>206.42590000000001</v>
      </c>
      <c r="J3420">
        <v>-412.88249999999999</v>
      </c>
      <c r="K3420">
        <v>1.1095090000000001</v>
      </c>
      <c r="L3420">
        <v>213.61340000000001</v>
      </c>
      <c r="M3420">
        <v>0.99996759999999996</v>
      </c>
      <c r="N3420">
        <v>-8.0026679999999992E-3</v>
      </c>
      <c r="O3420">
        <v>9.5274599999999997E-4</v>
      </c>
      <c r="P3420">
        <v>0.98553139999999995</v>
      </c>
      <c r="Q3420">
        <v>0.164853799999999</v>
      </c>
      <c r="R3420">
        <v>3.9384790000000003E-2</v>
      </c>
      <c r="S3420">
        <v>3.0702820000000002</v>
      </c>
      <c r="T3420">
        <v>-5.9970860000000001E-2</v>
      </c>
      <c r="U3420">
        <v>-0.41867070000000001</v>
      </c>
      <c r="V3420">
        <v>-3.8518040000000003E-2</v>
      </c>
      <c r="W3420">
        <v>0.1727195</v>
      </c>
      <c r="X3420">
        <v>0.98421760000000003</v>
      </c>
      <c r="Y3420">
        <v>0.1360198</v>
      </c>
      <c r="Z3420">
        <v>-1.8799540000000001E-3</v>
      </c>
      <c r="AA3420">
        <v>0.99070440000000004</v>
      </c>
      <c r="AB3420">
        <v>34</v>
      </c>
      <c r="AC3420">
        <v>52.358899999999998</v>
      </c>
      <c r="AD3420">
        <v>-1.0295076999999999</v>
      </c>
      <c r="AE3420">
        <v>-7.1875</v>
      </c>
      <c r="AF3420">
        <v>7.2346377801095603</v>
      </c>
      <c r="AG3420">
        <v>-1.0295076999999999</v>
      </c>
      <c r="AH3420">
        <v>52.332169985556803</v>
      </c>
      <c r="AI3420">
        <v>91.116394424702804</v>
      </c>
      <c r="AJ3420">
        <v>82.129059171700007</v>
      </c>
      <c r="AK3420">
        <v>52.839908074399197</v>
      </c>
      <c r="AL3420">
        <v>80.054025411976596</v>
      </c>
      <c r="AM3420">
        <v>92.241166437834806</v>
      </c>
      <c r="AN3420">
        <v>0.99999997461772505</v>
      </c>
    </row>
    <row r="3421" spans="1:40" x14ac:dyDescent="0.25">
      <c r="A3421" t="str">
        <f>"20190304155700355"</f>
        <v>20190304155700355</v>
      </c>
      <c r="B3421" t="str">
        <f>"1551686220347554"</f>
        <v>1551686220347554</v>
      </c>
      <c r="C3421" t="s">
        <v>40</v>
      </c>
      <c r="D3421">
        <v>4.5984129999999999</v>
      </c>
      <c r="E3421">
        <v>0.56511469999999997</v>
      </c>
      <c r="F3421" t="s">
        <v>55</v>
      </c>
      <c r="G3421">
        <v>-364.28339999999997</v>
      </c>
      <c r="H3421">
        <v>8.0000199999999994E-2</v>
      </c>
      <c r="I3421">
        <v>206.95769999999999</v>
      </c>
      <c r="J3421">
        <v>-412.52780000000001</v>
      </c>
      <c r="K3421">
        <v>1.1095360000000001</v>
      </c>
      <c r="L3421">
        <v>213.614</v>
      </c>
      <c r="M3421">
        <v>0.9999671</v>
      </c>
      <c r="N3421">
        <v>-8.0244019999999999E-3</v>
      </c>
      <c r="O3421">
        <v>1.2349539999999999E-3</v>
      </c>
      <c r="P3421">
        <v>0.98544449999999995</v>
      </c>
      <c r="Q3421">
        <v>0.1652805</v>
      </c>
      <c r="R3421">
        <v>3.9771260000000003E-2</v>
      </c>
      <c r="S3421">
        <v>3.071777</v>
      </c>
      <c r="T3421">
        <v>-6.5071580000000004E-2</v>
      </c>
      <c r="U3421">
        <v>-0.42068480000000003</v>
      </c>
      <c r="V3421">
        <v>-3.8637940000000003E-2</v>
      </c>
      <c r="W3421">
        <v>0.17316479999999901</v>
      </c>
      <c r="X3421">
        <v>0.98413470000000003</v>
      </c>
      <c r="Y3421">
        <v>0.13686670000000001</v>
      </c>
      <c r="Z3421">
        <v>-2.0107319999999999E-3</v>
      </c>
      <c r="AA3421">
        <v>0.99058740000000001</v>
      </c>
      <c r="AB3421">
        <v>35</v>
      </c>
      <c r="AC3421">
        <v>48.244399999999999</v>
      </c>
      <c r="AD3421">
        <v>-1.0295357999999999</v>
      </c>
      <c r="AE3421">
        <v>-6.6563000000000097</v>
      </c>
      <c r="AF3421">
        <v>6.7128765429835697</v>
      </c>
      <c r="AG3421">
        <v>-1.0295357999999999</v>
      </c>
      <c r="AH3421">
        <v>48.214596149166503</v>
      </c>
      <c r="AI3421">
        <v>91.211579025170295</v>
      </c>
      <c r="AJ3421">
        <v>82.073712424724206</v>
      </c>
      <c r="AK3421">
        <v>48.690552854450601</v>
      </c>
      <c r="AL3421">
        <v>80.028121764472502</v>
      </c>
      <c r="AM3421">
        <v>92.248324835018593</v>
      </c>
      <c r="AN3421">
        <v>1.0000000230552799</v>
      </c>
    </row>
    <row r="3422" spans="1:40" x14ac:dyDescent="0.25">
      <c r="A3422" t="str">
        <f>"20190304155700377"</f>
        <v>20190304155700377</v>
      </c>
      <c r="B3422" t="str">
        <f>"1551686220368053"</f>
        <v>1551686220368053</v>
      </c>
      <c r="C3422" t="s">
        <v>40</v>
      </c>
      <c r="D3422">
        <v>4.6482199999999896</v>
      </c>
      <c r="E3422">
        <v>0.56533679999999997</v>
      </c>
      <c r="F3422" t="s">
        <v>55</v>
      </c>
      <c r="G3422">
        <v>-364.85910000000001</v>
      </c>
      <c r="H3422">
        <v>8.000003E-2</v>
      </c>
      <c r="I3422">
        <v>207.0565</v>
      </c>
      <c r="J3422">
        <v>-412.17219999999998</v>
      </c>
      <c r="K3422">
        <v>1.1095619999999999</v>
      </c>
      <c r="L3422">
        <v>213.6147</v>
      </c>
      <c r="M3422">
        <v>0.99996649999999998</v>
      </c>
      <c r="N3422">
        <v>-8.0453829999999997E-3</v>
      </c>
      <c r="O3422">
        <v>1.5432670000000001E-3</v>
      </c>
      <c r="P3422">
        <v>0.98536469999999998</v>
      </c>
      <c r="Q3422">
        <v>0.16572000000000001</v>
      </c>
      <c r="R3422">
        <v>3.9917889999999998E-2</v>
      </c>
      <c r="S3422">
        <v>3.0725099999999999</v>
      </c>
      <c r="T3422">
        <v>-6.635916E-2</v>
      </c>
      <c r="U3422">
        <v>-0.4226685</v>
      </c>
      <c r="V3422">
        <v>-3.8492119999999998E-2</v>
      </c>
      <c r="W3422">
        <v>0.17362169999999999</v>
      </c>
      <c r="X3422">
        <v>0.98405989999999999</v>
      </c>
      <c r="Y3422">
        <v>0.13776629999999901</v>
      </c>
      <c r="Z3422">
        <v>-2.058275E-3</v>
      </c>
      <c r="AA3422">
        <v>0.99046259999999997</v>
      </c>
      <c r="AB3422">
        <v>35</v>
      </c>
      <c r="AC3422">
        <v>47.313099999999899</v>
      </c>
      <c r="AD3422">
        <v>-1.02956197</v>
      </c>
      <c r="AE3422">
        <v>-6.5581999999999896</v>
      </c>
      <c r="AF3422">
        <v>6.6281318803388798</v>
      </c>
      <c r="AG3422">
        <v>-1.02956197</v>
      </c>
      <c r="AH3422">
        <v>47.280955652667799</v>
      </c>
      <c r="AI3422">
        <v>91.235365746491297</v>
      </c>
      <c r="AJ3422">
        <v>82.019933166692695</v>
      </c>
      <c r="AK3422">
        <v>47.754380924714901</v>
      </c>
      <c r="AL3422">
        <v>80.001540583248797</v>
      </c>
      <c r="AM3422">
        <v>92.240018372733701</v>
      </c>
      <c r="AN3422">
        <v>1.00000001240049</v>
      </c>
    </row>
    <row r="3423" spans="1:40" x14ac:dyDescent="0.25">
      <c r="A3423" t="str">
        <f>"20190304155700400"</f>
        <v>20190304155700400</v>
      </c>
      <c r="B3423" t="str">
        <f>"1551686220387569"</f>
        <v>1551686220387569</v>
      </c>
      <c r="C3423" t="s">
        <v>40</v>
      </c>
      <c r="D3423">
        <v>4.816084</v>
      </c>
      <c r="E3423">
        <v>0.54181650000000003</v>
      </c>
      <c r="F3423" t="s">
        <v>55</v>
      </c>
      <c r="G3423">
        <v>-364.36239999999998</v>
      </c>
      <c r="H3423">
        <v>8.0000180000000004E-2</v>
      </c>
      <c r="I3423">
        <v>207.0222</v>
      </c>
      <c r="J3423">
        <v>-411.83339999999998</v>
      </c>
      <c r="K3423">
        <v>1.109588</v>
      </c>
      <c r="L3423">
        <v>213.6155</v>
      </c>
      <c r="M3423">
        <v>0.99996569999999996</v>
      </c>
      <c r="N3423">
        <v>-8.0645449999999994E-3</v>
      </c>
      <c r="O3423">
        <v>1.8634389999999999E-3</v>
      </c>
      <c r="P3423">
        <v>0.98534060000000001</v>
      </c>
      <c r="Q3423">
        <v>0.1658482</v>
      </c>
      <c r="R3423">
        <v>3.9978689999999997E-2</v>
      </c>
      <c r="S3423">
        <v>3.0728759999999999</v>
      </c>
      <c r="T3423">
        <v>-6.6172960000000003E-2</v>
      </c>
      <c r="U3423">
        <v>-0.42372130000000002</v>
      </c>
      <c r="V3423">
        <v>-3.8248070000000002E-2</v>
      </c>
      <c r="W3423">
        <v>0.17376629999999901</v>
      </c>
      <c r="X3423">
        <v>0.98404389999999997</v>
      </c>
      <c r="Y3423">
        <v>0.13840039999999901</v>
      </c>
      <c r="Z3423">
        <v>-2.068781E-3</v>
      </c>
      <c r="AA3423">
        <v>0.99037419999999998</v>
      </c>
      <c r="AB3423">
        <v>35</v>
      </c>
      <c r="AC3423">
        <v>47.470999999999997</v>
      </c>
      <c r="AD3423">
        <v>-1.0295878199999999</v>
      </c>
      <c r="AE3423">
        <v>-6.5932999999999904</v>
      </c>
      <c r="AF3423">
        <v>6.6786685380866002</v>
      </c>
      <c r="AG3423">
        <v>-1.0295878199999999</v>
      </c>
      <c r="AH3423">
        <v>47.436738895387499</v>
      </c>
      <c r="AI3423">
        <v>91.231238343851899</v>
      </c>
      <c r="AJ3423">
        <v>81.985941577699705</v>
      </c>
      <c r="AK3423">
        <v>47.915643182053699</v>
      </c>
      <c r="AL3423">
        <v>79.993127807370101</v>
      </c>
      <c r="AM3423">
        <v>92.225866561361002</v>
      </c>
      <c r="AN3423">
        <v>1.0000000195008101</v>
      </c>
    </row>
    <row r="3424" spans="1:40" x14ac:dyDescent="0.25">
      <c r="A3424" t="str">
        <f>"20190304155700422"</f>
        <v>20190304155700422</v>
      </c>
      <c r="B3424" t="str">
        <f>"1551686220417826"</f>
        <v>1551686220417826</v>
      </c>
      <c r="C3424" t="s">
        <v>40</v>
      </c>
      <c r="D3424">
        <v>4.8025890000000002</v>
      </c>
      <c r="E3424">
        <v>0.50009650000000005</v>
      </c>
      <c r="F3424" t="s">
        <v>55</v>
      </c>
      <c r="G3424">
        <v>-378.97829999999999</v>
      </c>
      <c r="H3424" s="1">
        <v>3.2410329999999998E-6</v>
      </c>
      <c r="I3424">
        <v>211.07839999999999</v>
      </c>
      <c r="J3424">
        <v>-411.48250000000002</v>
      </c>
      <c r="K3424">
        <v>1.109612</v>
      </c>
      <c r="L3424">
        <v>213.6165</v>
      </c>
      <c r="M3424">
        <v>0.99996499999999999</v>
      </c>
      <c r="N3424">
        <v>-8.08349999999999E-3</v>
      </c>
      <c r="O3424">
        <v>2.2267290000000002E-3</v>
      </c>
      <c r="P3424">
        <v>0.98528389999999999</v>
      </c>
      <c r="Q3424">
        <v>0.16630400000000001</v>
      </c>
      <c r="R3424">
        <v>3.9484289999999998E-2</v>
      </c>
      <c r="S3424">
        <v>3.0716860000000001</v>
      </c>
      <c r="T3424">
        <v>-0.10373739999999999</v>
      </c>
      <c r="U3424">
        <v>-0.23719789999999999</v>
      </c>
      <c r="V3424">
        <v>-3.7408259999999999E-2</v>
      </c>
      <c r="W3424">
        <v>0.17423820000000001</v>
      </c>
      <c r="X3424">
        <v>0.98399270000000005</v>
      </c>
      <c r="Y3424">
        <v>7.9155149999999994E-2</v>
      </c>
      <c r="Z3424">
        <v>-1.7118729999999901E-3</v>
      </c>
      <c r="AA3424">
        <v>0.99686090000000005</v>
      </c>
      <c r="AB3424">
        <v>35</v>
      </c>
      <c r="AC3424">
        <v>32.504199999999997</v>
      </c>
      <c r="AD3424">
        <v>-1.1096087589669901</v>
      </c>
      <c r="AE3424">
        <v>-2.5381000000000098</v>
      </c>
      <c r="AF3424">
        <v>2.6074538937868499</v>
      </c>
      <c r="AG3424">
        <v>-1.1096087589669901</v>
      </c>
      <c r="AH3424">
        <v>32.460868165407597</v>
      </c>
      <c r="AI3424">
        <v>91.951496601337197</v>
      </c>
      <c r="AJ3424">
        <v>85.407515725346499</v>
      </c>
      <c r="AK3424">
        <v>32.584321528277499</v>
      </c>
      <c r="AL3424">
        <v>79.965670693169898</v>
      </c>
      <c r="AM3424">
        <v>92.177154098685094</v>
      </c>
      <c r="AN3424">
        <v>0.99999998095437803</v>
      </c>
    </row>
    <row r="3425" spans="1:40" x14ac:dyDescent="0.25">
      <c r="A3425" t="str">
        <f>"20190304155700444"</f>
        <v>20190304155700444</v>
      </c>
      <c r="B3425" t="str">
        <f>"1551686220438322"</f>
        <v>1551686220438322</v>
      </c>
      <c r="C3425" t="s">
        <v>40</v>
      </c>
      <c r="D3425">
        <v>4.7871459999999999</v>
      </c>
      <c r="E3425">
        <v>0.50069249999999998</v>
      </c>
      <c r="F3425" t="s">
        <v>55</v>
      </c>
      <c r="G3425">
        <v>-388.16800000000001</v>
      </c>
      <c r="H3425" s="1">
        <v>2.8228139999999999E-6</v>
      </c>
      <c r="I3425">
        <v>214.3186</v>
      </c>
      <c r="J3425">
        <v>-411.14019999999999</v>
      </c>
      <c r="K3425">
        <v>1.109653</v>
      </c>
      <c r="L3425">
        <v>213.61760000000001</v>
      </c>
      <c r="M3425">
        <v>0.99996390000000002</v>
      </c>
      <c r="N3425">
        <v>-8.10114199999999E-3</v>
      </c>
      <c r="O3425">
        <v>2.614534E-3</v>
      </c>
      <c r="P3425">
        <v>0.98529440000000001</v>
      </c>
      <c r="Q3425">
        <v>0.166321</v>
      </c>
      <c r="R3425">
        <v>3.9142389999999999E-2</v>
      </c>
      <c r="S3425">
        <v>3.0657350000000001</v>
      </c>
      <c r="T3425">
        <v>-0.14590739999999999</v>
      </c>
      <c r="U3425">
        <v>9.2315670000000002E-2</v>
      </c>
      <c r="V3425">
        <v>-3.6696720000000002E-2</v>
      </c>
      <c r="W3425">
        <v>0.1742706</v>
      </c>
      <c r="X3425">
        <v>0.98401380000000005</v>
      </c>
      <c r="Y3425">
        <v>-2.745061E-2</v>
      </c>
      <c r="Z3425">
        <v>6.6083500000000002E-4</v>
      </c>
      <c r="AA3425">
        <v>0.99962289999999998</v>
      </c>
      <c r="AB3425">
        <v>35</v>
      </c>
      <c r="AC3425">
        <v>22.972199999999901</v>
      </c>
      <c r="AD3425">
        <v>-1.1096501771859999</v>
      </c>
      <c r="AE3425">
        <v>0.70099999999999296</v>
      </c>
      <c r="AF3425">
        <v>-0.63944342992443504</v>
      </c>
      <c r="AG3425">
        <v>-1.1096501771859999</v>
      </c>
      <c r="AH3425">
        <v>22.920524061935598</v>
      </c>
      <c r="AI3425">
        <v>92.770617280057706</v>
      </c>
      <c r="AJ3425">
        <v>91.598039772819007</v>
      </c>
      <c r="AK3425">
        <v>22.956276585926801</v>
      </c>
      <c r="AL3425">
        <v>79.963785913164898</v>
      </c>
      <c r="AM3425">
        <v>92.135735564463999</v>
      </c>
      <c r="AN3425">
        <v>1.00000002493677</v>
      </c>
    </row>
    <row r="3426" spans="1:40" x14ac:dyDescent="0.25">
      <c r="A3426" t="str">
        <f>"20190304155700468"</f>
        <v>20190304155700468</v>
      </c>
      <c r="B3426" t="str">
        <f>"1551686220458818"</f>
        <v>1551686220458818</v>
      </c>
      <c r="C3426" t="s">
        <v>40</v>
      </c>
      <c r="D3426">
        <v>4.8330539999999997</v>
      </c>
      <c r="E3426">
        <v>0.49942029999999898</v>
      </c>
      <c r="F3426" t="s">
        <v>55</v>
      </c>
      <c r="G3426">
        <v>-387.7885</v>
      </c>
      <c r="H3426" s="1">
        <v>2.6225490000000002E-6</v>
      </c>
      <c r="I3426">
        <v>214.28100000000001</v>
      </c>
      <c r="J3426">
        <v>-410.76979999999998</v>
      </c>
      <c r="K3426">
        <v>1.1096889999999999</v>
      </c>
      <c r="L3426">
        <v>213.619</v>
      </c>
      <c r="M3426">
        <v>0.99996229999999997</v>
      </c>
      <c r="N3426">
        <v>-8.11939699999999E-3</v>
      </c>
      <c r="O3426">
        <v>3.0699630000000002E-3</v>
      </c>
      <c r="P3426">
        <v>0.98527869999999995</v>
      </c>
      <c r="Q3426">
        <v>0.16658110000000001</v>
      </c>
      <c r="R3426">
        <v>3.8426309999999998E-2</v>
      </c>
      <c r="S3426">
        <v>3.0658569999999998</v>
      </c>
      <c r="T3426">
        <v>-0.14568689999999901</v>
      </c>
      <c r="U3426">
        <v>8.7097170000000002E-2</v>
      </c>
      <c r="V3426">
        <v>-3.5546759999999997E-2</v>
      </c>
      <c r="W3426">
        <v>0.1745467</v>
      </c>
      <c r="X3426">
        <v>0.98400710000000002</v>
      </c>
      <c r="Y3426">
        <v>-2.529731E-2</v>
      </c>
      <c r="Z3426">
        <v>5.8252459999999897E-4</v>
      </c>
      <c r="AA3426">
        <v>0.99967980000000001</v>
      </c>
      <c r="AB3426">
        <v>35</v>
      </c>
      <c r="AC3426">
        <v>22.981299999999901</v>
      </c>
      <c r="AD3426">
        <v>-1.109686377451</v>
      </c>
      <c r="AE3426">
        <v>0.66199999999994896</v>
      </c>
      <c r="AF3426">
        <v>-0.59006815849940597</v>
      </c>
      <c r="AG3426">
        <v>-1.109686377451</v>
      </c>
      <c r="AH3426">
        <v>22.929805605783901</v>
      </c>
      <c r="AI3426">
        <v>92.769748146028206</v>
      </c>
      <c r="AJ3426">
        <v>91.474105614316798</v>
      </c>
      <c r="AK3426">
        <v>22.9642236839614</v>
      </c>
      <c r="AL3426">
        <v>79.947720548754305</v>
      </c>
      <c r="AM3426">
        <v>92.068881489812895</v>
      </c>
      <c r="AN3426">
        <v>1.00000004773889</v>
      </c>
    </row>
    <row r="3427" spans="1:40" x14ac:dyDescent="0.25">
      <c r="A3427" t="str">
        <f>"20190304155700491"</f>
        <v>20190304155700491</v>
      </c>
      <c r="B3427" t="str">
        <f>"1551686220488098"</f>
        <v>1551686220488098</v>
      </c>
      <c r="C3427" t="s">
        <v>40</v>
      </c>
      <c r="D3427">
        <v>4.703646</v>
      </c>
      <c r="E3427">
        <v>0.49678070000000002</v>
      </c>
      <c r="F3427" t="s">
        <v>55</v>
      </c>
      <c r="G3427">
        <v>-388.26900000000001</v>
      </c>
      <c r="H3427" s="1">
        <v>2.8765809999999998E-6</v>
      </c>
      <c r="I3427">
        <v>214.31809999999999</v>
      </c>
      <c r="J3427">
        <v>-410.4144</v>
      </c>
      <c r="K3427">
        <v>1.1097250000000001</v>
      </c>
      <c r="L3427">
        <v>213.62049999999999</v>
      </c>
      <c r="M3427">
        <v>0.99996079999999998</v>
      </c>
      <c r="N3427">
        <v>-8.1357740000000001E-3</v>
      </c>
      <c r="O3427">
        <v>3.5423130000000001E-3</v>
      </c>
      <c r="P3427">
        <v>0.98512630000000001</v>
      </c>
      <c r="Q3427">
        <v>0.1675256</v>
      </c>
      <c r="R3427">
        <v>3.823315E-2</v>
      </c>
      <c r="S3427">
        <v>3.066681</v>
      </c>
      <c r="T3427">
        <v>-0.1512414</v>
      </c>
      <c r="U3427">
        <v>9.5291139999999996E-2</v>
      </c>
      <c r="V3427">
        <v>-3.4903530000000002E-2</v>
      </c>
      <c r="W3427">
        <v>0.17550439999999901</v>
      </c>
      <c r="X3427">
        <v>0.9838597</v>
      </c>
      <c r="Y3427">
        <v>-2.7481269999999999E-2</v>
      </c>
      <c r="Z3427">
        <v>6.4323050000000001E-4</v>
      </c>
      <c r="AA3427">
        <v>0.99962209999999996</v>
      </c>
      <c r="AB3427">
        <v>35</v>
      </c>
      <c r="AC3427">
        <v>22.145399999999899</v>
      </c>
      <c r="AD3427">
        <v>-1.109722123419</v>
      </c>
      <c r="AE3427">
        <v>0.697599999999994</v>
      </c>
      <c r="AF3427">
        <v>-0.61759779843048002</v>
      </c>
      <c r="AG3427">
        <v>-1.109722123419</v>
      </c>
      <c r="AH3427">
        <v>22.0923115693084</v>
      </c>
      <c r="AI3427">
        <v>92.874494620177998</v>
      </c>
      <c r="AJ3427">
        <v>91.601305209943007</v>
      </c>
      <c r="AK3427">
        <v>22.128785341885099</v>
      </c>
      <c r="AL3427">
        <v>79.891987397423307</v>
      </c>
      <c r="AM3427">
        <v>92.031780170001497</v>
      </c>
      <c r="AN3427">
        <v>0.99999998005495505</v>
      </c>
    </row>
    <row r="3428" spans="1:40" x14ac:dyDescent="0.25">
      <c r="A3428" t="str">
        <f>"20190304155700511"</f>
        <v>20190304155700511</v>
      </c>
      <c r="B3428" t="str">
        <f>"1551686220507618"</f>
        <v>1551686220507618</v>
      </c>
      <c r="C3428" t="s">
        <v>40</v>
      </c>
      <c r="D3428">
        <v>4.6809830000000003</v>
      </c>
      <c r="E3428">
        <v>0.49694739999999998</v>
      </c>
      <c r="F3428" t="s">
        <v>55</v>
      </c>
      <c r="G3428">
        <v>-389.45639999999997</v>
      </c>
      <c r="H3428" s="1">
        <v>3.5046490000000002E-6</v>
      </c>
      <c r="I3428">
        <v>214.40520000000001</v>
      </c>
      <c r="J3428">
        <v>-410.0872</v>
      </c>
      <c r="K3428">
        <v>1.1097539999999999</v>
      </c>
      <c r="L3428">
        <v>213.62200000000001</v>
      </c>
      <c r="M3428">
        <v>0.99995880000000004</v>
      </c>
      <c r="N3428">
        <v>-8.1500879999999998E-3</v>
      </c>
      <c r="O3428">
        <v>4.0074239999999999E-3</v>
      </c>
      <c r="P3428">
        <v>0.98498719999999995</v>
      </c>
      <c r="Q3428">
        <v>0.1683703</v>
      </c>
      <c r="R3428">
        <v>3.810173E-2</v>
      </c>
      <c r="S3428">
        <v>3.0684809999999998</v>
      </c>
      <c r="T3428">
        <v>-0.16247549999999999</v>
      </c>
      <c r="U3428">
        <v>0.11489870000000001</v>
      </c>
      <c r="V3428">
        <v>-3.4327240000000002E-2</v>
      </c>
      <c r="W3428">
        <v>0.17636009999999999</v>
      </c>
      <c r="X3428">
        <v>0.98372700000000002</v>
      </c>
      <c r="Y3428">
        <v>-3.3363669999999998E-2</v>
      </c>
      <c r="Z3428">
        <v>8.3915689999999995E-4</v>
      </c>
      <c r="AA3428">
        <v>0.99944290000000002</v>
      </c>
      <c r="AB3428">
        <v>35</v>
      </c>
      <c r="AC3428">
        <v>20.630800000000001</v>
      </c>
      <c r="AD3428">
        <v>-1.109750495351</v>
      </c>
      <c r="AE3428">
        <v>0.78319999999999301</v>
      </c>
      <c r="AF3428">
        <v>-0.69849643716392296</v>
      </c>
      <c r="AG3428">
        <v>-1.109750495351</v>
      </c>
      <c r="AH3428">
        <v>20.574327576814401</v>
      </c>
      <c r="AI3428">
        <v>93.085688128523202</v>
      </c>
      <c r="AJ3428">
        <v>91.944439367689</v>
      </c>
      <c r="AK3428">
        <v>20.616071368539899</v>
      </c>
      <c r="AL3428">
        <v>79.842183040114804</v>
      </c>
      <c r="AM3428">
        <v>91.998530336220597</v>
      </c>
      <c r="AN3428">
        <v>1.0000000274035099</v>
      </c>
    </row>
    <row r="3429" spans="1:40" x14ac:dyDescent="0.25">
      <c r="A3429" t="str">
        <f>"20190304155700534"</f>
        <v>20190304155700534</v>
      </c>
      <c r="B3429" t="str">
        <f>"1551686220528114"</f>
        <v>1551686220528114</v>
      </c>
      <c r="C3429" t="s">
        <v>40</v>
      </c>
      <c r="D3429">
        <v>4.769666</v>
      </c>
      <c r="E3429">
        <v>0.49723129999999999</v>
      </c>
      <c r="F3429" t="s">
        <v>55</v>
      </c>
      <c r="G3429">
        <v>-389.33089999999999</v>
      </c>
      <c r="H3429" s="1">
        <v>3.438683E-6</v>
      </c>
      <c r="I3429">
        <v>214.38730000000001</v>
      </c>
      <c r="J3429">
        <v>-409.72309999999999</v>
      </c>
      <c r="K3429">
        <v>1.1097870000000001</v>
      </c>
      <c r="L3429">
        <v>213.624</v>
      </c>
      <c r="M3429">
        <v>0.99995639999999997</v>
      </c>
      <c r="N3429">
        <v>-8.1652759999999904E-3</v>
      </c>
      <c r="O3429">
        <v>4.5511420000000002E-3</v>
      </c>
      <c r="P3429">
        <v>0.98488059999999999</v>
      </c>
      <c r="Q3429">
        <v>0.1689427</v>
      </c>
      <c r="R3429">
        <v>3.8325110000000003E-2</v>
      </c>
      <c r="S3429">
        <v>3.0693969999999999</v>
      </c>
      <c r="T3429">
        <v>-0.16410739999999999</v>
      </c>
      <c r="U3429">
        <v>0.11317439999999999</v>
      </c>
      <c r="V3429">
        <v>-3.4028099999999999E-2</v>
      </c>
      <c r="W3429">
        <v>0.1769445</v>
      </c>
      <c r="X3429">
        <v>0.98363239999999996</v>
      </c>
      <c r="Y3429">
        <v>-3.2249880000000002E-2</v>
      </c>
      <c r="Z3429">
        <v>7.8710300000000004E-4</v>
      </c>
      <c r="AA3429">
        <v>0.99947949999999997</v>
      </c>
      <c r="AB3429">
        <v>35</v>
      </c>
      <c r="AC3429">
        <v>20.392199999999999</v>
      </c>
      <c r="AD3429">
        <v>-1.109783561317</v>
      </c>
      <c r="AE3429">
        <v>0.76329999999998599</v>
      </c>
      <c r="AF3429">
        <v>-0.66850403940756997</v>
      </c>
      <c r="AG3429">
        <v>-1.109783561317</v>
      </c>
      <c r="AH3429">
        <v>20.3353189297626</v>
      </c>
      <c r="AI3429">
        <v>93.122088772941197</v>
      </c>
      <c r="AJ3429">
        <v>91.882865533843898</v>
      </c>
      <c r="AK3429">
        <v>20.376548117353799</v>
      </c>
      <c r="AL3429">
        <v>79.808163929043502</v>
      </c>
      <c r="AM3429">
        <v>91.981318739684795</v>
      </c>
      <c r="AN3429">
        <v>0.99999998299980897</v>
      </c>
    </row>
    <row r="3430" spans="1:40" x14ac:dyDescent="0.25">
      <c r="A3430" t="str">
        <f>"20190304155700555"</f>
        <v>20190304155700555</v>
      </c>
      <c r="B3430" t="str">
        <f>"1551686220547635"</f>
        <v>1551686220547635</v>
      </c>
      <c r="C3430" t="s">
        <v>40</v>
      </c>
      <c r="D3430">
        <v>4.7397640000000001</v>
      </c>
      <c r="E3430">
        <v>0.49741869999999999</v>
      </c>
      <c r="F3430" t="s">
        <v>55</v>
      </c>
      <c r="G3430">
        <v>-388.99509999999998</v>
      </c>
      <c r="H3430" s="1">
        <v>3.2603969999999999E-6</v>
      </c>
      <c r="I3430">
        <v>214.37819999999999</v>
      </c>
      <c r="J3430">
        <v>-409.3861</v>
      </c>
      <c r="K3430">
        <v>1.109804</v>
      </c>
      <c r="L3430">
        <v>213.626</v>
      </c>
      <c r="M3430">
        <v>0.9999536</v>
      </c>
      <c r="N3430">
        <v>-8.1798830000000006E-3</v>
      </c>
      <c r="O3430">
        <v>5.0753229999999996E-3</v>
      </c>
      <c r="P3430">
        <v>0.98483940000000003</v>
      </c>
      <c r="Q3430">
        <v>0.16919310000000001</v>
      </c>
      <c r="R3430">
        <v>3.827846E-2</v>
      </c>
      <c r="S3430">
        <v>3.0698850000000002</v>
      </c>
      <c r="T3430">
        <v>-0.16436289999999901</v>
      </c>
      <c r="U3430">
        <v>0.1116943</v>
      </c>
      <c r="V3430">
        <v>-3.3475829999999998E-2</v>
      </c>
      <c r="W3430">
        <v>0.17720820000000001</v>
      </c>
      <c r="X3430">
        <v>0.98360389999999998</v>
      </c>
      <c r="Y3430">
        <v>-3.1240899999999999E-2</v>
      </c>
      <c r="Z3430">
        <v>7.3340899999999997E-4</v>
      </c>
      <c r="AA3430">
        <v>0.99951159999999994</v>
      </c>
      <c r="AB3430">
        <v>35</v>
      </c>
      <c r="AC3430">
        <v>20.390999999999998</v>
      </c>
      <c r="AD3430">
        <v>-1.1098007396030001</v>
      </c>
      <c r="AE3430">
        <v>0.75220000000001597</v>
      </c>
      <c r="AF3430">
        <v>-0.64678264118059003</v>
      </c>
      <c r="AG3430">
        <v>-1.1098007396030001</v>
      </c>
      <c r="AH3430">
        <v>20.334402624096199</v>
      </c>
      <c r="AI3430">
        <v>93.122384805770295</v>
      </c>
      <c r="AJ3430">
        <v>91.821810389117005</v>
      </c>
      <c r="AK3430">
        <v>20.374933510208301</v>
      </c>
      <c r="AL3430">
        <v>79.792812657857198</v>
      </c>
      <c r="AM3430">
        <v>91.949243733145096</v>
      </c>
      <c r="AN3430">
        <v>1.00000000471831</v>
      </c>
    </row>
    <row r="3431" spans="1:40" x14ac:dyDescent="0.25">
      <c r="A3431" t="str">
        <f>"20190304155700578"</f>
        <v>20190304155700578</v>
      </c>
      <c r="B3431" t="str">
        <f>"1551686220568133"</f>
        <v>1551686220568133</v>
      </c>
      <c r="C3431" t="s">
        <v>40</v>
      </c>
      <c r="D3431">
        <v>4.7861820000000002</v>
      </c>
      <c r="E3431">
        <v>0.49764320000000001</v>
      </c>
      <c r="F3431" t="s">
        <v>55</v>
      </c>
      <c r="G3431">
        <v>-389.15550000000002</v>
      </c>
      <c r="H3431" s="1">
        <v>3.3467530000000001E-6</v>
      </c>
      <c r="I3431">
        <v>214.35419999999999</v>
      </c>
      <c r="J3431">
        <v>-409.02499999999998</v>
      </c>
      <c r="K3431">
        <v>1.109829</v>
      </c>
      <c r="L3431">
        <v>213.6283</v>
      </c>
      <c r="M3431">
        <v>0.99995029999999996</v>
      </c>
      <c r="N3431">
        <v>-8.1994289999999994E-3</v>
      </c>
      <c r="O3431">
        <v>5.6565189999999996E-3</v>
      </c>
      <c r="P3431">
        <v>0.98481229999999997</v>
      </c>
      <c r="Q3431">
        <v>0.1691636</v>
      </c>
      <c r="R3431">
        <v>3.9091830000000001E-2</v>
      </c>
      <c r="S3431">
        <v>3.0708310000000001</v>
      </c>
      <c r="T3431">
        <v>-0.16845760000000001</v>
      </c>
      <c r="U3431">
        <v>0.1105347</v>
      </c>
      <c r="V3431">
        <v>-3.3725900000000003E-2</v>
      </c>
      <c r="W3431">
        <v>0.17719550000000001</v>
      </c>
      <c r="X3431">
        <v>0.98359759999999996</v>
      </c>
      <c r="Y3431">
        <v>-3.0271989999999999E-2</v>
      </c>
      <c r="Z3431">
        <v>6.9006320000000005E-4</v>
      </c>
      <c r="AA3431">
        <v>0.99954149999999997</v>
      </c>
      <c r="AB3431">
        <v>35</v>
      </c>
      <c r="AC3431">
        <v>19.869499999999899</v>
      </c>
      <c r="AD3431">
        <v>-1.1098256532469899</v>
      </c>
      <c r="AE3431">
        <v>0.72589999999999499</v>
      </c>
      <c r="AF3431">
        <v>-0.61158686946589003</v>
      </c>
      <c r="AG3431">
        <v>-1.1098256532469899</v>
      </c>
      <c r="AH3431">
        <v>19.811561319634201</v>
      </c>
      <c r="AI3431">
        <v>93.204782853241099</v>
      </c>
      <c r="AJ3431">
        <v>91.768170671267399</v>
      </c>
      <c r="AK3431">
        <v>19.852045572210798</v>
      </c>
      <c r="AL3431">
        <v>79.793551555049802</v>
      </c>
      <c r="AM3431">
        <v>91.9638061164015</v>
      </c>
      <c r="AN3431">
        <v>0.99999996013840897</v>
      </c>
    </row>
    <row r="3432" spans="1:40" x14ac:dyDescent="0.25">
      <c r="A3432" t="str">
        <f>"20190304155700600"</f>
        <v>20190304155700600</v>
      </c>
      <c r="B3432" t="str">
        <f>"1551686220598386"</f>
        <v>1551686220598386</v>
      </c>
      <c r="C3432" t="s">
        <v>40</v>
      </c>
      <c r="D3432">
        <v>4.6819430000000004</v>
      </c>
      <c r="E3432">
        <v>0.49751770000000001</v>
      </c>
      <c r="F3432" t="s">
        <v>55</v>
      </c>
      <c r="G3432">
        <v>-388.97730000000001</v>
      </c>
      <c r="H3432" s="1">
        <v>3.2521109999999998E-6</v>
      </c>
      <c r="I3432">
        <v>214.35069999999999</v>
      </c>
      <c r="J3432">
        <v>-408.6773</v>
      </c>
      <c r="K3432">
        <v>1.10985</v>
      </c>
      <c r="L3432">
        <v>213.63079999999999</v>
      </c>
      <c r="M3432">
        <v>0.99994680000000002</v>
      </c>
      <c r="N3432">
        <v>-8.2205560000000004E-3</v>
      </c>
      <c r="O3432">
        <v>6.2326219999999898E-3</v>
      </c>
      <c r="P3432">
        <v>0.98472729999999997</v>
      </c>
      <c r="Q3432">
        <v>0.1694369</v>
      </c>
      <c r="R3432">
        <v>4.0041439999999998E-2</v>
      </c>
      <c r="S3432">
        <v>3.0710449999999998</v>
      </c>
      <c r="T3432">
        <v>-0.170011299999999</v>
      </c>
      <c r="U3432">
        <v>0.1106567</v>
      </c>
      <c r="V3432">
        <v>-3.4117590000000003E-2</v>
      </c>
      <c r="W3432">
        <v>0.17748699999999901</v>
      </c>
      <c r="X3432">
        <v>0.98353159999999895</v>
      </c>
      <c r="Y3432">
        <v>-2.9734090000000001E-2</v>
      </c>
      <c r="Z3432">
        <v>6.510404E-4</v>
      </c>
      <c r="AA3432">
        <v>0.99955760000000005</v>
      </c>
      <c r="AB3432">
        <v>35</v>
      </c>
      <c r="AC3432">
        <v>19.6999999999999</v>
      </c>
      <c r="AD3432">
        <v>-1.109846747889</v>
      </c>
      <c r="AE3432">
        <v>0.71989999999999499</v>
      </c>
      <c r="AF3432">
        <v>-0.59521258847138703</v>
      </c>
      <c r="AG3432">
        <v>-1.109846747889</v>
      </c>
      <c r="AH3432">
        <v>19.641846193430599</v>
      </c>
      <c r="AI3432">
        <v>93.232532460043899</v>
      </c>
      <c r="AJ3432">
        <v>91.735719533902696</v>
      </c>
      <c r="AK3432">
        <v>19.6821787339629</v>
      </c>
      <c r="AL3432">
        <v>79.776581526237095</v>
      </c>
      <c r="AM3432">
        <v>91.986728642827998</v>
      </c>
      <c r="AN3432">
        <v>1.00000002665748</v>
      </c>
    </row>
    <row r="3433" spans="1:40" x14ac:dyDescent="0.25">
      <c r="A3433" t="str">
        <f>"20190304155700622"</f>
        <v>20190304155700622</v>
      </c>
      <c r="B3433" t="str">
        <f>"1551686220617906"</f>
        <v>1551686220617906</v>
      </c>
      <c r="C3433" t="s">
        <v>40</v>
      </c>
      <c r="D3433">
        <v>4.813771</v>
      </c>
      <c r="E3433">
        <v>0.49763550000000001</v>
      </c>
      <c r="F3433" t="s">
        <v>55</v>
      </c>
      <c r="G3433">
        <v>-388.78179999999998</v>
      </c>
      <c r="H3433" s="1">
        <v>3.1473080000000001E-6</v>
      </c>
      <c r="I3433">
        <v>214.36799999999999</v>
      </c>
      <c r="J3433">
        <v>-408.32190000000003</v>
      </c>
      <c r="K3433">
        <v>1.1098699999999999</v>
      </c>
      <c r="L3433">
        <v>213.6335</v>
      </c>
      <c r="M3433">
        <v>0.99994280000000002</v>
      </c>
      <c r="N3433">
        <v>-8.2426400000000007E-3</v>
      </c>
      <c r="O3433">
        <v>6.8369729999999997E-3</v>
      </c>
      <c r="P3433">
        <v>0.9847186</v>
      </c>
      <c r="Q3433">
        <v>0.16934560000000001</v>
      </c>
      <c r="R3433">
        <v>4.0639950000000001E-2</v>
      </c>
      <c r="S3433">
        <v>3.0713810000000001</v>
      </c>
      <c r="T3433">
        <v>-0.1713336</v>
      </c>
      <c r="U3433">
        <v>0.1138</v>
      </c>
      <c r="V3433">
        <v>-3.412975E-2</v>
      </c>
      <c r="W3433">
        <v>0.17741570000000001</v>
      </c>
      <c r="X3433">
        <v>0.98354410000000003</v>
      </c>
      <c r="Y3433">
        <v>-3.0146940000000001E-2</v>
      </c>
      <c r="Z3433">
        <v>6.396657E-4</v>
      </c>
      <c r="AA3433">
        <v>0.99954529999999997</v>
      </c>
      <c r="AB3433">
        <v>35</v>
      </c>
      <c r="AC3433">
        <v>19.540099999999999</v>
      </c>
      <c r="AD3433">
        <v>-1.1098668526919999</v>
      </c>
      <c r="AE3433">
        <v>0.73449999999999704</v>
      </c>
      <c r="AF3433">
        <v>-0.598953572641305</v>
      </c>
      <c r="AG3433">
        <v>-1.1098668526919999</v>
      </c>
      <c r="AH3433">
        <v>19.4819018147242</v>
      </c>
      <c r="AI3433">
        <v>93.259029434534199</v>
      </c>
      <c r="AJ3433">
        <v>91.760952600464904</v>
      </c>
      <c r="AK3433">
        <v>19.5226803521299</v>
      </c>
      <c r="AL3433">
        <v>79.780733181999494</v>
      </c>
      <c r="AM3433">
        <v>91.987410935398003</v>
      </c>
      <c r="AN3433">
        <v>1.0000000835431699</v>
      </c>
    </row>
    <row r="3434" spans="1:40" x14ac:dyDescent="0.25">
      <c r="A3434" t="str">
        <f>"20190304155700645"</f>
        <v>20190304155700645</v>
      </c>
      <c r="B3434" t="str">
        <f>"1551686220638403"</f>
        <v>1551686220638403</v>
      </c>
      <c r="C3434" t="s">
        <v>40</v>
      </c>
      <c r="D3434">
        <v>4.5549119999999998</v>
      </c>
      <c r="E3434">
        <v>0.49731249999999999</v>
      </c>
      <c r="F3434" t="s">
        <v>55</v>
      </c>
      <c r="G3434">
        <v>-388.9511</v>
      </c>
      <c r="H3434" s="1">
        <v>3.2379229999999999E-6</v>
      </c>
      <c r="I3434">
        <v>214.35659999999999</v>
      </c>
      <c r="J3434">
        <v>-407.97219999999999</v>
      </c>
      <c r="K3434">
        <v>1.10989</v>
      </c>
      <c r="L3434">
        <v>213.63650000000001</v>
      </c>
      <c r="M3434">
        <v>0.99993810000000005</v>
      </c>
      <c r="N3434">
        <v>-8.2637519999999992E-3</v>
      </c>
      <c r="O3434">
        <v>7.4478249999999999E-3</v>
      </c>
      <c r="P3434">
        <v>0.98477179999999997</v>
      </c>
      <c r="Q3434">
        <v>0.168992899999999</v>
      </c>
      <c r="R3434">
        <v>4.0816270000000002E-2</v>
      </c>
      <c r="S3434">
        <v>3.0720209999999999</v>
      </c>
      <c r="T3434">
        <v>-0.17601429999999901</v>
      </c>
      <c r="U3434">
        <v>0.1146698</v>
      </c>
      <c r="V3434">
        <v>-3.3711579999999998E-2</v>
      </c>
      <c r="W3434">
        <v>0.177083399999999</v>
      </c>
      <c r="X3434">
        <v>0.98361829999999995</v>
      </c>
      <c r="Y3434">
        <v>-2.981029E-2</v>
      </c>
      <c r="Z3434">
        <v>6.1161220000000005E-4</v>
      </c>
      <c r="AA3434">
        <v>0.99955539999999998</v>
      </c>
      <c r="AB3434">
        <v>36</v>
      </c>
      <c r="AC3434">
        <v>19.021099999999901</v>
      </c>
      <c r="AD3434">
        <v>-1.1098867620770001</v>
      </c>
      <c r="AE3434">
        <v>0.72009999999997298</v>
      </c>
      <c r="AF3434">
        <v>-0.57644950087175895</v>
      </c>
      <c r="AG3434">
        <v>-1.1098867620770001</v>
      </c>
      <c r="AH3434">
        <v>18.961468974078599</v>
      </c>
      <c r="AI3434">
        <v>93.348373691428193</v>
      </c>
      <c r="AJ3434">
        <v>91.741318356025204</v>
      </c>
      <c r="AK3434">
        <v>19.002669504746802</v>
      </c>
      <c r="AL3434">
        <v>79.800077828227103</v>
      </c>
      <c r="AM3434">
        <v>91.962931659837096</v>
      </c>
      <c r="AN3434">
        <v>0.999999980638272</v>
      </c>
    </row>
    <row r="3435" spans="1:40" x14ac:dyDescent="0.25">
      <c r="A3435" t="str">
        <f>"20190304155700669"</f>
        <v>20190304155700669</v>
      </c>
      <c r="B3435" t="str">
        <f>"1551686220657925"</f>
        <v>1551686220657925</v>
      </c>
      <c r="C3435" t="s">
        <v>40</v>
      </c>
      <c r="D3435">
        <v>4.6502610000000004</v>
      </c>
      <c r="E3435">
        <v>0.4968495</v>
      </c>
      <c r="F3435" t="s">
        <v>55</v>
      </c>
      <c r="G3435">
        <v>-388.9228</v>
      </c>
      <c r="H3435" s="1">
        <v>3.222323E-6</v>
      </c>
      <c r="I3435">
        <v>214.36840000000001</v>
      </c>
      <c r="J3435">
        <v>-407.58679999999998</v>
      </c>
      <c r="K3435">
        <v>1.1099129999999999</v>
      </c>
      <c r="L3435">
        <v>213.64</v>
      </c>
      <c r="M3435">
        <v>0.99993259999999995</v>
      </c>
      <c r="N3435">
        <v>-8.2860739999999992E-3</v>
      </c>
      <c r="O3435">
        <v>8.13994E-3</v>
      </c>
      <c r="P3435">
        <v>0.98476710000000001</v>
      </c>
      <c r="Q3435">
        <v>0.16880609999999999</v>
      </c>
      <c r="R3435">
        <v>4.1698029999999997E-2</v>
      </c>
      <c r="S3435">
        <v>3.072174</v>
      </c>
      <c r="T3435">
        <v>-0.17899599999999999</v>
      </c>
      <c r="U3435">
        <v>0.11804199999999999</v>
      </c>
      <c r="V3435">
        <v>-3.392133E-2</v>
      </c>
      <c r="W3435">
        <v>0.17691680000000001</v>
      </c>
      <c r="X3435">
        <v>0.98364110000000005</v>
      </c>
      <c r="Y3435">
        <v>-3.0210819999999999E-2</v>
      </c>
      <c r="Z3435">
        <v>5.9807540000000002E-4</v>
      </c>
      <c r="AA3435">
        <v>0.99954339999999997</v>
      </c>
      <c r="AB3435">
        <v>36</v>
      </c>
      <c r="AC3435">
        <v>18.663999999999898</v>
      </c>
      <c r="AD3435">
        <v>-1.1099097776769999</v>
      </c>
      <c r="AE3435">
        <v>0.72840000000002103</v>
      </c>
      <c r="AF3435">
        <v>-0.57441851448289405</v>
      </c>
      <c r="AG3435">
        <v>-1.1099097776769999</v>
      </c>
      <c r="AH3435">
        <v>18.603620482645599</v>
      </c>
      <c r="AI3435">
        <v>93.412651318799305</v>
      </c>
      <c r="AJ3435">
        <v>91.768543038484495</v>
      </c>
      <c r="AK3435">
        <v>18.645550445258401</v>
      </c>
      <c r="AL3435">
        <v>79.809776763118705</v>
      </c>
      <c r="AM3435">
        <v>91.975089430338997</v>
      </c>
      <c r="AN3435">
        <v>1.0000000121802</v>
      </c>
    </row>
    <row r="3436" spans="1:40" x14ac:dyDescent="0.25">
      <c r="A3436" t="str">
        <f>"20190304155700693"</f>
        <v>20190304155700693</v>
      </c>
      <c r="B3436" t="str">
        <f>"1551686220688178"</f>
        <v>1551686220688178</v>
      </c>
      <c r="C3436" t="s">
        <v>40</v>
      </c>
      <c r="D3436">
        <v>4.6511430000000002</v>
      </c>
      <c r="E3436">
        <v>0.49667129999999998</v>
      </c>
      <c r="F3436" t="s">
        <v>55</v>
      </c>
      <c r="G3436">
        <v>-388.70479999999998</v>
      </c>
      <c r="H3436" s="1">
        <v>3.1047070000000001E-6</v>
      </c>
      <c r="I3436">
        <v>214.40549999999999</v>
      </c>
      <c r="J3436">
        <v>-407.21080000000001</v>
      </c>
      <c r="K3436">
        <v>1.1099380000000001</v>
      </c>
      <c r="L3436">
        <v>213.6437</v>
      </c>
      <c r="M3436">
        <v>0.99992639999999999</v>
      </c>
      <c r="N3436">
        <v>-8.3068780000000002E-3</v>
      </c>
      <c r="O3436">
        <v>8.8414329999999992E-3</v>
      </c>
      <c r="P3436">
        <v>0.98478840000000001</v>
      </c>
      <c r="Q3436">
        <v>0.16847670000000001</v>
      </c>
      <c r="R3436">
        <v>4.2516279999999997E-2</v>
      </c>
      <c r="S3436">
        <v>3.0721129999999999</v>
      </c>
      <c r="T3436">
        <v>-0.18058350000000001</v>
      </c>
      <c r="U3436">
        <v>0.1245575</v>
      </c>
      <c r="V3436">
        <v>-3.4058819999999997E-2</v>
      </c>
      <c r="W3436">
        <v>0.1766056</v>
      </c>
      <c r="X3436">
        <v>0.98369220000000002</v>
      </c>
      <c r="Y3436">
        <v>-3.162425E-2</v>
      </c>
      <c r="Z3436">
        <v>6.1415519999999998E-4</v>
      </c>
      <c r="AA3436">
        <v>0.99949960000000004</v>
      </c>
      <c r="AB3436">
        <v>36</v>
      </c>
      <c r="AC3436">
        <v>18.506</v>
      </c>
      <c r="AD3436">
        <v>-1.1099348952929999</v>
      </c>
      <c r="AE3436">
        <v>0.76179999999999304</v>
      </c>
      <c r="AF3436">
        <v>-0.59600466858921397</v>
      </c>
      <c r="AG3436">
        <v>-1.1099348952929999</v>
      </c>
      <c r="AH3436">
        <v>18.4457705696056</v>
      </c>
      <c r="AI3436">
        <v>93.441707465989595</v>
      </c>
      <c r="AJ3436">
        <v>91.850650562472794</v>
      </c>
      <c r="AK3436">
        <v>18.488743303515701</v>
      </c>
      <c r="AL3436">
        <v>79.827891749893297</v>
      </c>
      <c r="AM3436">
        <v>91.982985554085204</v>
      </c>
      <c r="AN3436">
        <v>0.99999994275599402</v>
      </c>
    </row>
    <row r="3437" spans="1:40" x14ac:dyDescent="0.25">
      <c r="A3437" t="str">
        <f>"20190304155700715"</f>
        <v>20190304155700715</v>
      </c>
      <c r="B3437" t="str">
        <f>"1551686220707698"</f>
        <v>1551686220707698</v>
      </c>
      <c r="C3437" t="s">
        <v>40</v>
      </c>
      <c r="D3437">
        <v>4.6195219999999999</v>
      </c>
      <c r="E3437">
        <v>0.49660609999999999</v>
      </c>
      <c r="F3437" t="s">
        <v>55</v>
      </c>
      <c r="G3437">
        <v>-388.32279999999997</v>
      </c>
      <c r="H3437" s="1">
        <v>2.9001610000000002E-6</v>
      </c>
      <c r="I3437">
        <v>214.434</v>
      </c>
      <c r="J3437">
        <v>-406.85359999999997</v>
      </c>
      <c r="K3437">
        <v>1.109964</v>
      </c>
      <c r="L3437">
        <v>213.6474</v>
      </c>
      <c r="M3437">
        <v>0.99991989999999997</v>
      </c>
      <c r="N3437">
        <v>-8.3257550000000007E-3</v>
      </c>
      <c r="O3437">
        <v>9.5339369999999993E-3</v>
      </c>
      <c r="P3437">
        <v>0.98481799999999997</v>
      </c>
      <c r="Q3437">
        <v>0.16822909999999999</v>
      </c>
      <c r="R3437">
        <v>4.2809809999999997E-2</v>
      </c>
      <c r="S3437">
        <v>3.071625</v>
      </c>
      <c r="T3437">
        <v>-0.18050089999999999</v>
      </c>
      <c r="U3437">
        <v>0.12852479999999999</v>
      </c>
      <c r="V3437">
        <v>-3.368028E-2</v>
      </c>
      <c r="W3437">
        <v>0.17637610000000001</v>
      </c>
      <c r="X3437">
        <v>0.98374649999999997</v>
      </c>
      <c r="Y3437">
        <v>-3.2226909999999998E-2</v>
      </c>
      <c r="Z3437">
        <v>5.9981070000000001E-4</v>
      </c>
      <c r="AA3437">
        <v>0.99948040000000005</v>
      </c>
      <c r="AB3437">
        <v>36</v>
      </c>
      <c r="AC3437">
        <v>18.530799999999999</v>
      </c>
      <c r="AD3437">
        <v>-1.1099610998389999</v>
      </c>
      <c r="AE3437">
        <v>0.78660000000002095</v>
      </c>
      <c r="AF3437">
        <v>-0.60771022986768297</v>
      </c>
      <c r="AG3437">
        <v>-1.1099610998389999</v>
      </c>
      <c r="AH3437">
        <v>18.471305396148299</v>
      </c>
      <c r="AI3437">
        <v>93.436976210073098</v>
      </c>
      <c r="AJ3437">
        <v>91.884364730749496</v>
      </c>
      <c r="AK3437">
        <v>18.514600951800698</v>
      </c>
      <c r="AL3437">
        <v>79.841251766726899</v>
      </c>
      <c r="AM3437">
        <v>91.960855202811999</v>
      </c>
      <c r="AN3437">
        <v>1.0000000330871599</v>
      </c>
    </row>
    <row r="3438" spans="1:40" x14ac:dyDescent="0.25">
      <c r="A3438" t="str">
        <f>"20190304155700736"</f>
        <v>20190304155700736</v>
      </c>
      <c r="B3438" t="str">
        <f>"1551686220728194"</f>
        <v>1551686220728194</v>
      </c>
      <c r="C3438" t="s">
        <v>40</v>
      </c>
      <c r="D3438">
        <v>4.6484649999999998</v>
      </c>
      <c r="E3438">
        <v>0.49654670000000001</v>
      </c>
      <c r="F3438" t="s">
        <v>55</v>
      </c>
      <c r="G3438">
        <v>-387.9425</v>
      </c>
      <c r="H3438" s="1">
        <v>2.6971520000000001E-6</v>
      </c>
      <c r="I3438">
        <v>214.44800000000001</v>
      </c>
      <c r="J3438">
        <v>-406.51170000000002</v>
      </c>
      <c r="K3438">
        <v>1.1099870000000001</v>
      </c>
      <c r="L3438">
        <v>213.65129999999999</v>
      </c>
      <c r="M3438">
        <v>0.9999131</v>
      </c>
      <c r="N3438">
        <v>-8.3430299999999995E-3</v>
      </c>
      <c r="O3438">
        <v>1.021767E-2</v>
      </c>
      <c r="P3438">
        <v>0.98477300000000001</v>
      </c>
      <c r="Q3438">
        <v>0.16836999999999999</v>
      </c>
      <c r="R3438">
        <v>4.3290410000000001E-2</v>
      </c>
      <c r="S3438">
        <v>3.0713499999999998</v>
      </c>
      <c r="T3438">
        <v>-0.1802685</v>
      </c>
      <c r="U3438">
        <v>0.1300201</v>
      </c>
      <c r="V3438">
        <v>-3.3497800000000001E-2</v>
      </c>
      <c r="W3438">
        <v>0.17653189999999999</v>
      </c>
      <c r="X3438">
        <v>0.98372479999999995</v>
      </c>
      <c r="Y3438">
        <v>-3.203429E-2</v>
      </c>
      <c r="Z3438">
        <v>5.5896479999999996E-4</v>
      </c>
      <c r="AA3438">
        <v>0.9994866</v>
      </c>
      <c r="AB3438">
        <v>36</v>
      </c>
      <c r="AC3438">
        <v>18.569199999999999</v>
      </c>
      <c r="AD3438">
        <v>-1.1099843028479901</v>
      </c>
      <c r="AE3438">
        <v>0.79669999999998697</v>
      </c>
      <c r="AF3438">
        <v>-0.60476095540830099</v>
      </c>
      <c r="AG3438">
        <v>-1.1099843028479901</v>
      </c>
      <c r="AH3438">
        <v>18.510353148302901</v>
      </c>
      <c r="AI3438">
        <v>93.429840361900602</v>
      </c>
      <c r="AJ3438">
        <v>91.871273287104799</v>
      </c>
      <c r="AK3438">
        <v>18.5534626051485</v>
      </c>
      <c r="AL3438">
        <v>79.832182937708595</v>
      </c>
      <c r="AM3438">
        <v>91.9502824886018</v>
      </c>
      <c r="AN3438">
        <v>1.0000000482287399</v>
      </c>
    </row>
    <row r="3439" spans="1:40" x14ac:dyDescent="0.25">
      <c r="A3439" t="str">
        <f>"20190304155700757"</f>
        <v>20190304155700757</v>
      </c>
      <c r="B3439" t="str">
        <f>"1551686220747714"</f>
        <v>1551686220747714</v>
      </c>
      <c r="C3439" t="s">
        <v>40</v>
      </c>
      <c r="D3439">
        <v>4.5438720000000004</v>
      </c>
      <c r="E3439">
        <v>0.49650650000000002</v>
      </c>
      <c r="F3439" t="s">
        <v>55</v>
      </c>
      <c r="G3439">
        <v>-387.78339999999997</v>
      </c>
      <c r="H3439" s="1">
        <v>2.6122760000000001E-6</v>
      </c>
      <c r="I3439">
        <v>214.45320000000001</v>
      </c>
      <c r="J3439">
        <v>-406.17689999999999</v>
      </c>
      <c r="K3439">
        <v>1.1100099999999999</v>
      </c>
      <c r="L3439">
        <v>213.65530000000001</v>
      </c>
      <c r="M3439">
        <v>0.99990570000000001</v>
      </c>
      <c r="N3439">
        <v>-8.3592110000000001E-3</v>
      </c>
      <c r="O3439">
        <v>1.090939E-2</v>
      </c>
      <c r="P3439">
        <v>0.98475020000000002</v>
      </c>
      <c r="Q3439">
        <v>0.16830110000000001</v>
      </c>
      <c r="R3439">
        <v>4.4068339999999998E-2</v>
      </c>
      <c r="S3439">
        <v>3.0717469999999998</v>
      </c>
      <c r="T3439">
        <v>-0.18205579999999999</v>
      </c>
      <c r="U3439">
        <v>0.13151550000000001</v>
      </c>
      <c r="V3439">
        <v>-3.3604599999999998E-2</v>
      </c>
      <c r="W3439">
        <v>0.17647699999999999</v>
      </c>
      <c r="X3439">
        <v>0.98373100000000002</v>
      </c>
      <c r="Y3439">
        <v>-3.1823530000000003E-2</v>
      </c>
      <c r="Z3439">
        <v>5.2042970000000001E-4</v>
      </c>
      <c r="AA3439">
        <v>0.99949339999999998</v>
      </c>
      <c r="AB3439">
        <v>36</v>
      </c>
      <c r="AC3439">
        <v>18.3935</v>
      </c>
      <c r="AD3439">
        <v>-1.110007387724</v>
      </c>
      <c r="AE3439">
        <v>0.79789999999999806</v>
      </c>
      <c r="AF3439">
        <v>-0.59502075747146599</v>
      </c>
      <c r="AG3439">
        <v>-1.110007387724</v>
      </c>
      <c r="AH3439">
        <v>18.3344641488025</v>
      </c>
      <c r="AI3439">
        <v>93.462760667752505</v>
      </c>
      <c r="AJ3439">
        <v>91.858806252156896</v>
      </c>
      <c r="AK3439">
        <v>18.377669648961199</v>
      </c>
      <c r="AL3439">
        <v>79.835378569785604</v>
      </c>
      <c r="AM3439">
        <v>91.9564833678198</v>
      </c>
      <c r="AN3439">
        <v>1.00000004051557</v>
      </c>
    </row>
    <row r="3440" spans="1:40" x14ac:dyDescent="0.25">
      <c r="A3440" t="str">
        <f>"20190304155700779"</f>
        <v>20190304155700779</v>
      </c>
      <c r="B3440" t="str">
        <f>"1551686220768210"</f>
        <v>1551686220768210</v>
      </c>
      <c r="C3440" t="s">
        <v>40</v>
      </c>
      <c r="D3440">
        <v>4.6734210000000003</v>
      </c>
      <c r="E3440">
        <v>0.49648720000000002</v>
      </c>
      <c r="F3440" t="s">
        <v>55</v>
      </c>
      <c r="G3440">
        <v>-387.46440000000001</v>
      </c>
      <c r="H3440" s="1">
        <v>2.44172E-6</v>
      </c>
      <c r="I3440">
        <v>214.47200000000001</v>
      </c>
      <c r="J3440">
        <v>-405.81310000000002</v>
      </c>
      <c r="K3440">
        <v>1.1100380000000001</v>
      </c>
      <c r="L3440">
        <v>213.66</v>
      </c>
      <c r="M3440">
        <v>0.99989680000000003</v>
      </c>
      <c r="N3440">
        <v>-8.3759990000000003E-3</v>
      </c>
      <c r="O3440">
        <v>1.1687680000000001E-2</v>
      </c>
      <c r="P3440">
        <v>0.98461969999999999</v>
      </c>
      <c r="Q3440">
        <v>0.168882</v>
      </c>
      <c r="R3440">
        <v>4.4756190000000001E-2</v>
      </c>
      <c r="S3440">
        <v>3.0715940000000002</v>
      </c>
      <c r="T3440">
        <v>-0.18220420000000001</v>
      </c>
      <c r="U3440">
        <v>0.13404849999999999</v>
      </c>
      <c r="V3440">
        <v>-3.3539050000000001E-2</v>
      </c>
      <c r="W3440">
        <v>0.17707120000000001</v>
      </c>
      <c r="X3440">
        <v>0.98362640000000001</v>
      </c>
      <c r="Y3440">
        <v>-3.1871169999999997E-2</v>
      </c>
      <c r="Z3440">
        <v>4.8315869999999999E-4</v>
      </c>
      <c r="AA3440">
        <v>0.99949189999999999</v>
      </c>
      <c r="AB3440">
        <v>36</v>
      </c>
      <c r="AC3440">
        <v>18.348700000000001</v>
      </c>
      <c r="AD3440">
        <v>-1.1100355582799999</v>
      </c>
      <c r="AE3440">
        <v>0.81200000000001105</v>
      </c>
      <c r="AF3440">
        <v>-0.59530883436860904</v>
      </c>
      <c r="AG3440">
        <v>-1.1100355582799999</v>
      </c>
      <c r="AH3440">
        <v>18.2901290882163</v>
      </c>
      <c r="AI3440">
        <v>93.471211123927304</v>
      </c>
      <c r="AJ3440">
        <v>91.864210281636204</v>
      </c>
      <c r="AK3440">
        <v>18.3334501284548</v>
      </c>
      <c r="AL3440">
        <v>79.800788118548397</v>
      </c>
      <c r="AM3440">
        <v>91.952877446630097</v>
      </c>
      <c r="AN3440">
        <v>0.99999998626065101</v>
      </c>
    </row>
    <row r="3441" spans="1:40" x14ac:dyDescent="0.25">
      <c r="A3441" t="str">
        <f>"20190304155700802"</f>
        <v>20190304155700802</v>
      </c>
      <c r="B3441" t="str">
        <f>"1551686220798466"</f>
        <v>1551686220798466</v>
      </c>
      <c r="C3441" t="s">
        <v>40</v>
      </c>
      <c r="D3441">
        <v>4.5636839999999896</v>
      </c>
      <c r="E3441">
        <v>0.49626310000000001</v>
      </c>
      <c r="F3441" t="s">
        <v>55</v>
      </c>
      <c r="G3441">
        <v>-386.95209999999997</v>
      </c>
      <c r="H3441" s="1">
        <v>2.1679349999999999E-6</v>
      </c>
      <c r="I3441">
        <v>214.49799999999999</v>
      </c>
      <c r="J3441">
        <v>-405.45549999999997</v>
      </c>
      <c r="K3441">
        <v>1.1100669999999999</v>
      </c>
      <c r="L3441">
        <v>213.66489999999999</v>
      </c>
      <c r="M3441">
        <v>0.99988699999999997</v>
      </c>
      <c r="N3441">
        <v>-8.39174E-3</v>
      </c>
      <c r="O3441">
        <v>1.2481590000000001E-2</v>
      </c>
      <c r="P3441">
        <v>0.9845391</v>
      </c>
      <c r="Q3441">
        <v>0.16922100000000001</v>
      </c>
      <c r="R3441">
        <v>4.5242520000000001E-2</v>
      </c>
      <c r="S3441">
        <v>3.0716549999999998</v>
      </c>
      <c r="T3441">
        <v>-0.1807774</v>
      </c>
      <c r="U3441">
        <v>0.1364746</v>
      </c>
      <c r="V3441">
        <v>-3.3256899999999999E-2</v>
      </c>
      <c r="W3441">
        <v>0.1774241</v>
      </c>
      <c r="X3441">
        <v>0.98357240000000001</v>
      </c>
      <c r="Y3441">
        <v>-3.1866289999999999E-2</v>
      </c>
      <c r="Z3441">
        <v>4.4145689999999999E-4</v>
      </c>
      <c r="AA3441">
        <v>0.99949200000000005</v>
      </c>
      <c r="AB3441">
        <v>36</v>
      </c>
      <c r="AC3441">
        <v>18.503399999999999</v>
      </c>
      <c r="AD3441">
        <v>-1.110064832065</v>
      </c>
      <c r="AE3441">
        <v>0.83310000000000095</v>
      </c>
      <c r="AF3441">
        <v>-0.59992033601702</v>
      </c>
      <c r="AG3441">
        <v>-1.110064832065</v>
      </c>
      <c r="AH3441">
        <v>18.446102286768301</v>
      </c>
      <c r="AI3441">
        <v>93.442024117415201</v>
      </c>
      <c r="AJ3441">
        <v>91.862767064741107</v>
      </c>
      <c r="AK3441">
        <v>18.489208688174699</v>
      </c>
      <c r="AL3441">
        <v>79.780243269269107</v>
      </c>
      <c r="AM3441">
        <v>91.9365675008697</v>
      </c>
      <c r="AN3441">
        <v>0.99999999935008999</v>
      </c>
    </row>
    <row r="3442" spans="1:40" x14ac:dyDescent="0.25">
      <c r="A3442" t="str">
        <f>"20190304155700825"</f>
        <v>20190304155700825</v>
      </c>
      <c r="B3442" t="str">
        <f>"1551686220817986"</f>
        <v>1551686220817986</v>
      </c>
      <c r="C3442" t="s">
        <v>40</v>
      </c>
      <c r="D3442">
        <v>4.6290300000000002</v>
      </c>
      <c r="E3442">
        <v>0.49625360000000002</v>
      </c>
      <c r="F3442" t="s">
        <v>55</v>
      </c>
      <c r="G3442">
        <v>-386.38029999999998</v>
      </c>
      <c r="H3442" s="1">
        <v>1.8620440000000001E-6</v>
      </c>
      <c r="I3442">
        <v>214.53469999999999</v>
      </c>
      <c r="J3442">
        <v>-405.06709999999998</v>
      </c>
      <c r="K3442">
        <v>1.110098</v>
      </c>
      <c r="L3442">
        <v>213.67060000000001</v>
      </c>
      <c r="M3442">
        <v>0.99987519999999996</v>
      </c>
      <c r="N3442">
        <v>-8.4081590000000001E-3</v>
      </c>
      <c r="O3442">
        <v>1.33762E-2</v>
      </c>
      <c r="P3442">
        <v>0.98452629999999997</v>
      </c>
      <c r="Q3442">
        <v>0.1691155</v>
      </c>
      <c r="R3442">
        <v>4.5910579999999999E-2</v>
      </c>
      <c r="S3442">
        <v>3.0713810000000001</v>
      </c>
      <c r="T3442">
        <v>-0.17873610000000001</v>
      </c>
      <c r="U3442">
        <v>0.14004520000000001</v>
      </c>
      <c r="V3442">
        <v>-3.3057179999999999E-2</v>
      </c>
      <c r="W3442">
        <v>0.17733260000000001</v>
      </c>
      <c r="X3442">
        <v>0.98359560000000001</v>
      </c>
      <c r="Y3442">
        <v>-3.2137029999999997E-2</v>
      </c>
      <c r="Z3442">
        <v>4.0419240000000002E-4</v>
      </c>
      <c r="AA3442">
        <v>0.99948340000000002</v>
      </c>
      <c r="AB3442">
        <v>36</v>
      </c>
      <c r="AC3442">
        <v>18.686800000000002</v>
      </c>
      <c r="AD3442">
        <v>-1.1100961379559999</v>
      </c>
      <c r="AE3442">
        <v>0.864099999999979</v>
      </c>
      <c r="AF3442">
        <v>-0.61190069331016805</v>
      </c>
      <c r="AG3442">
        <v>-1.1100961379559999</v>
      </c>
      <c r="AH3442">
        <v>18.631078109352899</v>
      </c>
      <c r="AI3442">
        <v>93.407991798384799</v>
      </c>
      <c r="AJ3442">
        <v>91.881089726384701</v>
      </c>
      <c r="AK3442">
        <v>18.6741481040177</v>
      </c>
      <c r="AL3442">
        <v>79.785569963661402</v>
      </c>
      <c r="AM3442">
        <v>91.924901102204899</v>
      </c>
      <c r="AN3442">
        <v>0.99999996625583498</v>
      </c>
    </row>
    <row r="3443" spans="1:40" x14ac:dyDescent="0.25">
      <c r="A3443" t="str">
        <f>"20190304155700847"</f>
        <v>20190304155700847</v>
      </c>
      <c r="B3443" t="str">
        <f>"1551686220838482"</f>
        <v>1551686220838482</v>
      </c>
      <c r="C3443" t="s">
        <v>40</v>
      </c>
      <c r="D3443">
        <v>4.6703099999999997</v>
      </c>
      <c r="E3443">
        <v>0.49631130000000001</v>
      </c>
      <c r="F3443" t="s">
        <v>55</v>
      </c>
      <c r="G3443">
        <v>-386.06819999999999</v>
      </c>
      <c r="H3443" s="1">
        <v>1.6954210000000001E-6</v>
      </c>
      <c r="I3443">
        <v>214.54740000000001</v>
      </c>
      <c r="J3443">
        <v>-404.72059999999999</v>
      </c>
      <c r="K3443">
        <v>1.110125</v>
      </c>
      <c r="L3443">
        <v>213.67590000000001</v>
      </c>
      <c r="M3443">
        <v>0.99986370000000002</v>
      </c>
      <c r="N3443">
        <v>-8.4219789999999996E-3</v>
      </c>
      <c r="O3443">
        <v>1.4201709999999999E-2</v>
      </c>
      <c r="P3443">
        <v>0.98449580000000003</v>
      </c>
      <c r="Q3443">
        <v>0.16906660000000001</v>
      </c>
      <c r="R3443">
        <v>4.6738300000000003E-2</v>
      </c>
      <c r="S3443">
        <v>3.0713499999999998</v>
      </c>
      <c r="T3443">
        <v>-0.1794578</v>
      </c>
      <c r="U3443">
        <v>0.1417542</v>
      </c>
      <c r="V3443">
        <v>-3.3084139999999998E-2</v>
      </c>
      <c r="W3443">
        <v>0.17729510000000001</v>
      </c>
      <c r="X3443">
        <v>0.98360150000000002</v>
      </c>
      <c r="Y3443">
        <v>-3.1868479999999998E-2</v>
      </c>
      <c r="Z3443">
        <v>3.550529E-4</v>
      </c>
      <c r="AA3443">
        <v>0.99949200000000005</v>
      </c>
      <c r="AB3443">
        <v>36</v>
      </c>
      <c r="AC3443">
        <v>18.6524</v>
      </c>
      <c r="AD3443">
        <v>-1.110123304579</v>
      </c>
      <c r="AE3443">
        <v>0.87149999999999705</v>
      </c>
      <c r="AF3443">
        <v>-0.60437059999155995</v>
      </c>
      <c r="AG3443">
        <v>-1.110123304579</v>
      </c>
      <c r="AH3443">
        <v>18.597164643771698</v>
      </c>
      <c r="AI3443">
        <v>93.414313573606094</v>
      </c>
      <c r="AJ3443">
        <v>91.861342985610193</v>
      </c>
      <c r="AK3443">
        <v>18.640068947325702</v>
      </c>
      <c r="AL3443">
        <v>79.787753619577401</v>
      </c>
      <c r="AM3443">
        <v>91.926458238535901</v>
      </c>
      <c r="AN3443">
        <v>1.00000001180289</v>
      </c>
    </row>
    <row r="3444" spans="1:40" x14ac:dyDescent="0.25">
      <c r="A3444" t="str">
        <f>"20190304155700869"</f>
        <v>20190304155700869</v>
      </c>
      <c r="B3444" t="str">
        <f>"1551686220858002"</f>
        <v>1551686220858002</v>
      </c>
      <c r="C3444" t="s">
        <v>40</v>
      </c>
      <c r="D3444">
        <v>4.4869079999999997</v>
      </c>
      <c r="E3444">
        <v>0.49616359999999898</v>
      </c>
      <c r="F3444" t="s">
        <v>55</v>
      </c>
      <c r="G3444">
        <v>-385.74160000000001</v>
      </c>
      <c r="H3444" s="1">
        <v>1.5209529999999999E-6</v>
      </c>
      <c r="I3444">
        <v>214.56229999999999</v>
      </c>
      <c r="J3444">
        <v>-404.35390000000001</v>
      </c>
      <c r="K3444">
        <v>1.1101510000000001</v>
      </c>
      <c r="L3444">
        <v>213.68190000000001</v>
      </c>
      <c r="M3444">
        <v>0.99985029999999997</v>
      </c>
      <c r="N3444">
        <v>-8.4359569999999991E-3</v>
      </c>
      <c r="O3444">
        <v>1.510119E-2</v>
      </c>
      <c r="P3444">
        <v>0.98451219999999995</v>
      </c>
      <c r="Q3444">
        <v>0.1686047</v>
      </c>
      <c r="R3444">
        <v>4.8041189999999998E-2</v>
      </c>
      <c r="S3444">
        <v>3.0712890000000002</v>
      </c>
      <c r="T3444">
        <v>-0.179645899999999</v>
      </c>
      <c r="U3444">
        <v>0.14344789999999999</v>
      </c>
      <c r="V3444">
        <v>-3.3511829999999999E-2</v>
      </c>
      <c r="W3444">
        <v>0.17684449999999999</v>
      </c>
      <c r="X3444">
        <v>0.98366810000000005</v>
      </c>
      <c r="Y3444">
        <v>-3.1521939999999998E-2</v>
      </c>
      <c r="Z3444">
        <v>2.9905200000000001E-4</v>
      </c>
      <c r="AA3444">
        <v>0.99950300000000003</v>
      </c>
      <c r="AB3444">
        <v>36</v>
      </c>
      <c r="AC3444">
        <v>18.612300000000001</v>
      </c>
      <c r="AD3444">
        <v>-1.1101494790469999</v>
      </c>
      <c r="AE3444">
        <v>0.88039999999997998</v>
      </c>
      <c r="AF3444">
        <v>-0.59710216142876704</v>
      </c>
      <c r="AG3444">
        <v>-1.1101494790469999</v>
      </c>
      <c r="AH3444">
        <v>18.557599068616799</v>
      </c>
      <c r="AI3444">
        <v>93.4216917870272</v>
      </c>
      <c r="AJ3444">
        <v>91.842891150071594</v>
      </c>
      <c r="AK3444">
        <v>18.6003614494057</v>
      </c>
      <c r="AL3444">
        <v>79.813985233567195</v>
      </c>
      <c r="AM3444">
        <v>91.951211078108997</v>
      </c>
      <c r="AN3444">
        <v>0.99999997544390395</v>
      </c>
    </row>
    <row r="3445" spans="1:40" x14ac:dyDescent="0.25">
      <c r="A3445" t="str">
        <f>"20190304155700893"</f>
        <v>20190304155700893</v>
      </c>
      <c r="B3445" t="str">
        <f>"1551686220888259"</f>
        <v>1551686220888259</v>
      </c>
      <c r="C3445" t="s">
        <v>40</v>
      </c>
      <c r="D3445">
        <v>4.5197690000000001</v>
      </c>
      <c r="E3445">
        <v>0.49606610000000001</v>
      </c>
      <c r="F3445" t="s">
        <v>55</v>
      </c>
      <c r="G3445">
        <v>-385.53449999999998</v>
      </c>
      <c r="H3445" s="1">
        <v>1.4095030000000001E-6</v>
      </c>
      <c r="I3445">
        <v>214.59129999999999</v>
      </c>
      <c r="J3445">
        <v>-403.99310000000003</v>
      </c>
      <c r="K3445">
        <v>1.1101730000000001</v>
      </c>
      <c r="L3445">
        <v>213.68819999999999</v>
      </c>
      <c r="M3445">
        <v>0.99983630000000001</v>
      </c>
      <c r="N3445">
        <v>-8.4493209999999992E-3</v>
      </c>
      <c r="O3445">
        <v>1.600911E-2</v>
      </c>
      <c r="P3445">
        <v>0.98445269999999996</v>
      </c>
      <c r="Q3445">
        <v>0.16864289999999901</v>
      </c>
      <c r="R3445">
        <v>4.9119959999999997E-2</v>
      </c>
      <c r="S3445">
        <v>3.0709840000000002</v>
      </c>
      <c r="T3445">
        <v>-0.18115600000000001</v>
      </c>
      <c r="U3445">
        <v>0.14840699999999901</v>
      </c>
      <c r="V3445">
        <v>-3.370807E-2</v>
      </c>
      <c r="W3445">
        <v>0.1768933</v>
      </c>
      <c r="X3445">
        <v>0.98365270000000005</v>
      </c>
      <c r="Y3445">
        <v>-3.2228470000000002E-2</v>
      </c>
      <c r="Z3445">
        <v>2.7779090000000002E-4</v>
      </c>
      <c r="AA3445">
        <v>0.99948049999999999</v>
      </c>
      <c r="AB3445">
        <v>36</v>
      </c>
      <c r="AC3445">
        <v>18.458600000000001</v>
      </c>
      <c r="AD3445">
        <v>-1.11017159049699</v>
      </c>
      <c r="AE3445">
        <v>0.90309999999999402</v>
      </c>
      <c r="AF3445">
        <v>-0.60528373980912098</v>
      </c>
      <c r="AG3445">
        <v>-1.11017159049699</v>
      </c>
      <c r="AH3445">
        <v>18.4042780922763</v>
      </c>
      <c r="AI3445">
        <v>93.450117234908205</v>
      </c>
      <c r="AJ3445">
        <v>91.883676603228594</v>
      </c>
      <c r="AK3445">
        <v>18.447663848408101</v>
      </c>
      <c r="AL3445">
        <v>79.811145220094602</v>
      </c>
      <c r="AM3445">
        <v>91.962658855927998</v>
      </c>
      <c r="AN3445">
        <v>1.0000000538926499</v>
      </c>
    </row>
    <row r="3446" spans="1:40" x14ac:dyDescent="0.25">
      <c r="A3446" t="str">
        <f>"20190304155700915"</f>
        <v>20190304155700915</v>
      </c>
      <c r="B3446" t="str">
        <f>"1551686220907778"</f>
        <v>1551686220907778</v>
      </c>
      <c r="C3446" t="s">
        <v>40</v>
      </c>
      <c r="D3446">
        <v>4.5012100000000004</v>
      </c>
      <c r="E3446">
        <v>0.49602059999999998</v>
      </c>
      <c r="F3446" t="s">
        <v>55</v>
      </c>
      <c r="G3446">
        <v>-385.09629999999999</v>
      </c>
      <c r="H3446" s="1">
        <v>1.174687E-6</v>
      </c>
      <c r="I3446">
        <v>214.6277</v>
      </c>
      <c r="J3446">
        <v>-403.61709999999999</v>
      </c>
      <c r="K3446">
        <v>1.1101920000000001</v>
      </c>
      <c r="L3446">
        <v>213.6951</v>
      </c>
      <c r="M3446">
        <v>0.99982020000000005</v>
      </c>
      <c r="N3446">
        <v>-8.4627580000000008E-3</v>
      </c>
      <c r="O3446">
        <v>1.6972919999999999E-2</v>
      </c>
      <c r="P3446">
        <v>0.9844058</v>
      </c>
      <c r="Q3446">
        <v>0.16854439999999901</v>
      </c>
      <c r="R3446">
        <v>5.0383169999999998E-2</v>
      </c>
      <c r="S3446">
        <v>3.0706790000000002</v>
      </c>
      <c r="T3446">
        <v>-0.18039910000000001</v>
      </c>
      <c r="U3446">
        <v>0.1526642</v>
      </c>
      <c r="V3446">
        <v>-3.4031770000000003E-2</v>
      </c>
      <c r="W3446">
        <v>0.17680560000000001</v>
      </c>
      <c r="X3446">
        <v>0.98365729999999996</v>
      </c>
      <c r="Y3446">
        <v>-3.2652800000000003E-2</v>
      </c>
      <c r="Z3446">
        <v>2.4407079999999999E-4</v>
      </c>
      <c r="AA3446">
        <v>0.99946670000000004</v>
      </c>
      <c r="AB3446">
        <v>36</v>
      </c>
      <c r="AC3446">
        <v>18.520800000000001</v>
      </c>
      <c r="AD3446">
        <v>-1.110190825313</v>
      </c>
      <c r="AE3446">
        <v>0.93260000000000798</v>
      </c>
      <c r="AF3446">
        <v>-0.615894947353408</v>
      </c>
      <c r="AG3446">
        <v>-1.110190825313</v>
      </c>
      <c r="AH3446">
        <v>18.467771678471198</v>
      </c>
      <c r="AI3446">
        <v>93.438291037005499</v>
      </c>
      <c r="AJ3446">
        <v>91.910090069182999</v>
      </c>
      <c r="AK3446">
        <v>18.511359783195999</v>
      </c>
      <c r="AL3446">
        <v>79.816250311910494</v>
      </c>
      <c r="AM3446">
        <v>91.981482138694801</v>
      </c>
      <c r="AN3446">
        <v>1.00000003270199</v>
      </c>
    </row>
    <row r="3447" spans="1:40" x14ac:dyDescent="0.25">
      <c r="A3447" t="str">
        <f>"20190304155700936"</f>
        <v>20190304155700936</v>
      </c>
      <c r="B3447" t="str">
        <f>"1551686220928274"</f>
        <v>1551686220928274</v>
      </c>
      <c r="C3447" t="s">
        <v>40</v>
      </c>
      <c r="D3447">
        <v>4.4050209999999996</v>
      </c>
      <c r="E3447">
        <v>0.49599260000000001</v>
      </c>
      <c r="F3447" t="s">
        <v>55</v>
      </c>
      <c r="G3447">
        <v>-384.7296</v>
      </c>
      <c r="H3447" s="1">
        <v>9.7813960000000008E-7</v>
      </c>
      <c r="I3447">
        <v>214.6602</v>
      </c>
      <c r="J3447">
        <v>-403.28339999999997</v>
      </c>
      <c r="K3447">
        <v>1.110206</v>
      </c>
      <c r="L3447">
        <v>213.70150000000001</v>
      </c>
      <c r="M3447">
        <v>0.99980519999999995</v>
      </c>
      <c r="N3447">
        <v>-8.474344E-3</v>
      </c>
      <c r="O3447">
        <v>1.7837499999999999E-2</v>
      </c>
      <c r="P3447">
        <v>0.98440430000000001</v>
      </c>
      <c r="Q3447">
        <v>0.168209</v>
      </c>
      <c r="R3447">
        <v>5.15223E-2</v>
      </c>
      <c r="S3447">
        <v>3.0704039999999999</v>
      </c>
      <c r="T3447">
        <v>-0.1804752</v>
      </c>
      <c r="U3447">
        <v>0.1568909</v>
      </c>
      <c r="V3447">
        <v>-3.4325090000000003E-2</v>
      </c>
      <c r="W3447">
        <v>0.1764799</v>
      </c>
      <c r="X3447">
        <v>0.98370559999999996</v>
      </c>
      <c r="Y3447">
        <v>-3.3165340000000001E-2</v>
      </c>
      <c r="Z3447">
        <v>2.1825180000000001E-4</v>
      </c>
      <c r="AA3447">
        <v>0.99944980000000005</v>
      </c>
      <c r="AB3447">
        <v>36</v>
      </c>
      <c r="AC3447">
        <v>18.553799999999899</v>
      </c>
      <c r="AD3447">
        <v>-1.1102050218603901</v>
      </c>
      <c r="AE3447">
        <v>0.958699999999993</v>
      </c>
      <c r="AF3447">
        <v>-0.625349153552895</v>
      </c>
      <c r="AG3447">
        <v>-1.1102050218603901</v>
      </c>
      <c r="AH3447">
        <v>18.501880167723101</v>
      </c>
      <c r="AI3447">
        <v>93.4319598292699</v>
      </c>
      <c r="AJ3447">
        <v>91.935815840191694</v>
      </c>
      <c r="AK3447">
        <v>18.545705338304099</v>
      </c>
      <c r="AL3447">
        <v>79.835209728349398</v>
      </c>
      <c r="AM3447">
        <v>91.998448703823897</v>
      </c>
      <c r="AN3447">
        <v>1.00000003718943</v>
      </c>
    </row>
    <row r="3448" spans="1:40" x14ac:dyDescent="0.25">
      <c r="A3448" t="str">
        <f>"20190304155700958"</f>
        <v>20190304155700958</v>
      </c>
      <c r="B3448" t="str">
        <f>"1551686220947794"</f>
        <v>1551686220947794</v>
      </c>
      <c r="C3448" t="s">
        <v>40</v>
      </c>
      <c r="D3448">
        <v>4.5151649999999997</v>
      </c>
      <c r="E3448">
        <v>0.49590319999999999</v>
      </c>
      <c r="F3448" t="s">
        <v>55</v>
      </c>
      <c r="G3448">
        <v>-384.55579999999998</v>
      </c>
      <c r="H3448" s="1">
        <v>8.8481580000000002E-7</v>
      </c>
      <c r="I3448">
        <v>214.6798</v>
      </c>
      <c r="J3448">
        <v>-402.91309999999999</v>
      </c>
      <c r="K3448">
        <v>1.110223</v>
      </c>
      <c r="L3448">
        <v>213.7089</v>
      </c>
      <c r="M3448">
        <v>0.99978719999999999</v>
      </c>
      <c r="N3448">
        <v>-8.4868579999999999E-3</v>
      </c>
      <c r="O3448">
        <v>1.8804640000000001E-2</v>
      </c>
      <c r="P3448">
        <v>0.98435589999999995</v>
      </c>
      <c r="Q3448">
        <v>0.16814760000000001</v>
      </c>
      <c r="R3448">
        <v>5.262915E-2</v>
      </c>
      <c r="S3448">
        <v>3.0702509999999998</v>
      </c>
      <c r="T3448">
        <v>-0.18201030000000001</v>
      </c>
      <c r="U3448">
        <v>0.1603851</v>
      </c>
      <c r="V3448">
        <v>-3.4485830000000002E-2</v>
      </c>
      <c r="W3448">
        <v>0.17642920000000001</v>
      </c>
      <c r="X3448">
        <v>0.98370899999999994</v>
      </c>
      <c r="Y3448">
        <v>-3.3335789999999997E-2</v>
      </c>
      <c r="Z3448">
        <v>1.7480450000000001E-4</v>
      </c>
      <c r="AA3448">
        <v>0.9994442</v>
      </c>
      <c r="AB3448">
        <v>37</v>
      </c>
      <c r="AC3448">
        <v>18.357299999999999</v>
      </c>
      <c r="AD3448">
        <v>-1.1102221151842</v>
      </c>
      <c r="AE3448">
        <v>0.97089999999999999</v>
      </c>
      <c r="AF3448">
        <v>-0.62324023899733605</v>
      </c>
      <c r="AG3448">
        <v>-1.1102221151842</v>
      </c>
      <c r="AH3448">
        <v>18.305543356426998</v>
      </c>
      <c r="AI3448">
        <v>93.468704326821197</v>
      </c>
      <c r="AJ3448">
        <v>91.949969287509305</v>
      </c>
      <c r="AK3448">
        <v>18.3497667318846</v>
      </c>
      <c r="AL3448">
        <v>79.838160199915606</v>
      </c>
      <c r="AM3448">
        <v>92.007792607530305</v>
      </c>
      <c r="AN3448">
        <v>0.99999996588221296</v>
      </c>
    </row>
    <row r="3449" spans="1:40" x14ac:dyDescent="0.25">
      <c r="A3449" t="str">
        <f>"20190304155700980"</f>
        <v>20190304155700980</v>
      </c>
      <c r="B3449" t="str">
        <f>"1551686220978050"</f>
        <v>1551686220978050</v>
      </c>
      <c r="C3449" t="s">
        <v>40</v>
      </c>
      <c r="D3449">
        <v>4.5396330000000003</v>
      </c>
      <c r="E3449">
        <v>0.52573590000000003</v>
      </c>
      <c r="F3449" t="s">
        <v>55</v>
      </c>
      <c r="G3449">
        <v>-384.19959999999998</v>
      </c>
      <c r="H3449" s="1">
        <v>6.9381569999999896E-7</v>
      </c>
      <c r="I3449">
        <v>214.71209999999999</v>
      </c>
      <c r="J3449">
        <v>-402.55939999999998</v>
      </c>
      <c r="K3449">
        <v>1.1102339999999999</v>
      </c>
      <c r="L3449">
        <v>213.71639999999999</v>
      </c>
      <c r="M3449">
        <v>0.99976929999999997</v>
      </c>
      <c r="N3449">
        <v>-8.4986139999999998E-3</v>
      </c>
      <c r="O3449">
        <v>1.9731820000000001E-2</v>
      </c>
      <c r="P3449">
        <v>0.9843094</v>
      </c>
      <c r="Q3449">
        <v>0.168238</v>
      </c>
      <c r="R3449">
        <v>5.3211099999999997E-2</v>
      </c>
      <c r="S3449">
        <v>3.0699770000000002</v>
      </c>
      <c r="T3449">
        <v>-0.1821334</v>
      </c>
      <c r="U3449">
        <v>0.16456599999999999</v>
      </c>
      <c r="V3449">
        <v>-3.4160129999999997E-2</v>
      </c>
      <c r="W3449">
        <v>0.17653099999999999</v>
      </c>
      <c r="X3449">
        <v>0.98370210000000002</v>
      </c>
      <c r="Y3449">
        <v>-3.3771130000000003E-2</v>
      </c>
      <c r="Z3449">
        <v>1.4285320000000001E-4</v>
      </c>
      <c r="AA3449">
        <v>0.99942960000000003</v>
      </c>
      <c r="AB3449">
        <v>37</v>
      </c>
      <c r="AC3449">
        <v>18.3598</v>
      </c>
      <c r="AD3449">
        <v>-1.1102333061842999</v>
      </c>
      <c r="AE3449">
        <v>0.99569999999999903</v>
      </c>
      <c r="AF3449">
        <v>-0.63092048154000302</v>
      </c>
      <c r="AG3449">
        <v>-1.1102333061842999</v>
      </c>
      <c r="AH3449">
        <v>18.309117811442199</v>
      </c>
      <c r="AI3449">
        <v>93.4680148001475</v>
      </c>
      <c r="AJ3449">
        <v>91.973594958530896</v>
      </c>
      <c r="AK3449">
        <v>18.353595660836</v>
      </c>
      <c r="AL3449">
        <v>79.832234471362497</v>
      </c>
      <c r="AM3449">
        <v>91.988859333189694</v>
      </c>
      <c r="AN3449">
        <v>0.99999996499351196</v>
      </c>
    </row>
    <row r="3450" spans="1:40" x14ac:dyDescent="0.25">
      <c r="A3450" t="str">
        <f>"20190304155701002"</f>
        <v>20190304155701002</v>
      </c>
      <c r="B3450" t="str">
        <f>"1551686220997571"</f>
        <v>1551686220997571</v>
      </c>
      <c r="C3450" t="s">
        <v>40</v>
      </c>
      <c r="D3450">
        <v>4.6859580000000003</v>
      </c>
      <c r="E3450">
        <v>0.52506629999999999</v>
      </c>
      <c r="F3450" t="s">
        <v>64</v>
      </c>
      <c r="G3450">
        <v>-289.3605</v>
      </c>
      <c r="H3450" s="1">
        <v>3.3364119999999998E-6</v>
      </c>
      <c r="I3450">
        <v>211.2903</v>
      </c>
      <c r="J3450">
        <v>-402.18610000000001</v>
      </c>
      <c r="K3450">
        <v>1.110244</v>
      </c>
      <c r="L3450">
        <v>213.72460000000001</v>
      </c>
      <c r="M3450">
        <v>0.9997492</v>
      </c>
      <c r="N3450">
        <v>-8.5106880000000006E-3</v>
      </c>
      <c r="O3450">
        <v>2.0712040000000001E-2</v>
      </c>
      <c r="P3450">
        <v>0.98420319999999994</v>
      </c>
      <c r="Q3450">
        <v>0.16868529999999901</v>
      </c>
      <c r="R3450">
        <v>5.3752599999999998E-2</v>
      </c>
      <c r="S3450">
        <v>3.0564580000000001</v>
      </c>
      <c r="T3450">
        <v>-2.997708E-2</v>
      </c>
      <c r="U3450">
        <v>-6.5505980000000005E-2</v>
      </c>
      <c r="V3450">
        <v>-3.3743120000000001E-2</v>
      </c>
      <c r="W3450">
        <v>0.1769896</v>
      </c>
      <c r="X3450">
        <v>0.98363409999999996</v>
      </c>
      <c r="Y3450">
        <v>4.2126719999999999E-2</v>
      </c>
      <c r="Z3450">
        <v>-4.1270739999999998E-4</v>
      </c>
      <c r="AA3450">
        <v>0.99911220000000001</v>
      </c>
      <c r="AB3450">
        <v>37</v>
      </c>
      <c r="AC3450">
        <v>112.82559999999999</v>
      </c>
      <c r="AD3450">
        <v>-1.110240663588</v>
      </c>
      <c r="AE3450">
        <v>-2.4342999999999999</v>
      </c>
      <c r="AF3450">
        <v>4.7702491769791902</v>
      </c>
      <c r="AG3450">
        <v>-1.110240663588</v>
      </c>
      <c r="AH3450">
        <v>112.74006228417601</v>
      </c>
      <c r="AI3450">
        <v>90.563714320007804</v>
      </c>
      <c r="AJ3450">
        <v>87.5771504004137</v>
      </c>
      <c r="AK3450">
        <v>112.846398061176</v>
      </c>
      <c r="AL3450">
        <v>79.805538416515404</v>
      </c>
      <c r="AM3450">
        <v>91.964735172648105</v>
      </c>
      <c r="AN3450">
        <v>0.99999997966915199</v>
      </c>
    </row>
    <row r="3451" spans="1:40" x14ac:dyDescent="0.25">
      <c r="A3451" t="str">
        <f>"20190304155701024"</f>
        <v>20190304155701024</v>
      </c>
      <c r="B3451" t="str">
        <f>"1551686221018066"</f>
        <v>1551686221018066</v>
      </c>
      <c r="C3451" t="s">
        <v>40</v>
      </c>
      <c r="D3451">
        <v>4.6945600000000001</v>
      </c>
      <c r="E3451">
        <v>0.52359829999999996</v>
      </c>
      <c r="F3451" t="s">
        <v>55</v>
      </c>
      <c r="G3451">
        <v>-327.23910000000001</v>
      </c>
      <c r="H3451" s="1">
        <v>2.315489E-6</v>
      </c>
      <c r="I3451">
        <v>212.27529999999999</v>
      </c>
      <c r="J3451">
        <v>-401.82069999999999</v>
      </c>
      <c r="K3451">
        <v>1.110255</v>
      </c>
      <c r="L3451">
        <v>213.73310000000001</v>
      </c>
      <c r="M3451">
        <v>0.99972890000000003</v>
      </c>
      <c r="N3451">
        <v>-8.5222590000000008E-3</v>
      </c>
      <c r="O3451">
        <v>2.167109E-2</v>
      </c>
      <c r="P3451">
        <v>0.98415390000000003</v>
      </c>
      <c r="Q3451">
        <v>0.16869809999999999</v>
      </c>
      <c r="R3451">
        <v>5.460856E-2</v>
      </c>
      <c r="S3451">
        <v>3.0591430000000002</v>
      </c>
      <c r="T3451">
        <v>-4.5317169999999997E-2</v>
      </c>
      <c r="U3451">
        <v>-5.9158330000000002E-2</v>
      </c>
      <c r="V3451">
        <v>-3.3658540000000001E-2</v>
      </c>
      <c r="W3451">
        <v>0.1770139</v>
      </c>
      <c r="X3451">
        <v>0.98363259999999997</v>
      </c>
      <c r="Y3451">
        <v>4.0990360000000003E-2</v>
      </c>
      <c r="Z3451">
        <v>-6.1457319999999897E-4</v>
      </c>
      <c r="AA3451">
        <v>0.99915929999999997</v>
      </c>
      <c r="AB3451">
        <v>37</v>
      </c>
      <c r="AC3451">
        <v>74.581599999999895</v>
      </c>
      <c r="AD3451">
        <v>-1.1102526845109999</v>
      </c>
      <c r="AE3451">
        <v>-1.45780000000002</v>
      </c>
      <c r="AF3451">
        <v>3.0731000127626098</v>
      </c>
      <c r="AG3451">
        <v>-1.1102526845109999</v>
      </c>
      <c r="AH3451">
        <v>74.515983470679998</v>
      </c>
      <c r="AI3451">
        <v>90.852891793633006</v>
      </c>
      <c r="AJ3451">
        <v>87.638413520847394</v>
      </c>
      <c r="AK3451">
        <v>74.5875887619016</v>
      </c>
      <c r="AL3451">
        <v>79.804123538121402</v>
      </c>
      <c r="AM3451">
        <v>91.959817228385802</v>
      </c>
      <c r="AN3451">
        <v>0.99999995494544902</v>
      </c>
    </row>
    <row r="3452" spans="1:40" x14ac:dyDescent="0.25">
      <c r="A3452" t="str">
        <f>"20190304155701048"</f>
        <v>20190304155701048</v>
      </c>
      <c r="B3452" t="str">
        <f>"1551686221037586"</f>
        <v>1551686221037586</v>
      </c>
      <c r="C3452" t="s">
        <v>40</v>
      </c>
      <c r="D3452">
        <v>4.6826239999999997</v>
      </c>
      <c r="E3452">
        <v>0.52279169999999997</v>
      </c>
      <c r="F3452" t="s">
        <v>55</v>
      </c>
      <c r="G3452">
        <v>-347.78969999999998</v>
      </c>
      <c r="H3452" s="1">
        <v>2.6084880000000002E-6</v>
      </c>
      <c r="I3452">
        <v>212.93219999999999</v>
      </c>
      <c r="J3452">
        <v>-401.44670000000002</v>
      </c>
      <c r="K3452">
        <v>1.1102620000000001</v>
      </c>
      <c r="L3452">
        <v>213.74199999999999</v>
      </c>
      <c r="M3452">
        <v>0.99970709999999996</v>
      </c>
      <c r="N3452">
        <v>-8.53398E-3</v>
      </c>
      <c r="O3452">
        <v>2.2651830000000001E-2</v>
      </c>
      <c r="P3452">
        <v>0.98411630000000005</v>
      </c>
      <c r="Q3452">
        <v>0.16871149999999999</v>
      </c>
      <c r="R3452">
        <v>5.5242560000000003E-2</v>
      </c>
      <c r="S3452">
        <v>3.0616150000000002</v>
      </c>
      <c r="T3452">
        <v>-6.2911389999999998E-2</v>
      </c>
      <c r="U3452">
        <v>-4.5379639999999999E-2</v>
      </c>
      <c r="V3452">
        <v>-3.3329600000000001E-2</v>
      </c>
      <c r="W3452">
        <v>0.17703829999999901</v>
      </c>
      <c r="X3452">
        <v>0.9836395</v>
      </c>
      <c r="Y3452">
        <v>3.7454040000000001E-2</v>
      </c>
      <c r="Z3452">
        <v>-8.1667990000000004E-4</v>
      </c>
      <c r="AA3452">
        <v>0.99929800000000002</v>
      </c>
      <c r="AB3452">
        <v>37</v>
      </c>
      <c r="AC3452">
        <v>53.656999999999996</v>
      </c>
      <c r="AD3452">
        <v>-1.110259391512</v>
      </c>
      <c r="AE3452">
        <v>-0.80980000000002395</v>
      </c>
      <c r="AF3452">
        <v>2.0241991081564601</v>
      </c>
      <c r="AG3452">
        <v>-1.110259391512</v>
      </c>
      <c r="AH3452">
        <v>53.601942812041798</v>
      </c>
      <c r="AI3452">
        <v>91.1857553655218</v>
      </c>
      <c r="AJ3452">
        <v>87.837336198826193</v>
      </c>
      <c r="AK3452">
        <v>53.651638662498499</v>
      </c>
      <c r="AL3452">
        <v>79.802704003771595</v>
      </c>
      <c r="AM3452">
        <v>91.940665335406607</v>
      </c>
      <c r="AN3452">
        <v>1.0000000439316401</v>
      </c>
    </row>
    <row r="3453" spans="1:40" x14ac:dyDescent="0.25">
      <c r="A3453" t="str">
        <f>"20190304155701070"</f>
        <v>20190304155701070</v>
      </c>
      <c r="B3453" t="str">
        <f>"1551686221067842"</f>
        <v>1551686221067842</v>
      </c>
      <c r="C3453" t="s">
        <v>40</v>
      </c>
      <c r="D3453">
        <v>4.703328</v>
      </c>
      <c r="E3453">
        <v>0.52218469999999995</v>
      </c>
      <c r="F3453" t="s">
        <v>55</v>
      </c>
      <c r="G3453">
        <v>-353.94209999999998</v>
      </c>
      <c r="H3453" s="1">
        <v>6.2468809999999995E-7</v>
      </c>
      <c r="I3453">
        <v>213.15940000000001</v>
      </c>
      <c r="J3453">
        <v>-401.0788</v>
      </c>
      <c r="K3453">
        <v>1.110269</v>
      </c>
      <c r="L3453">
        <v>213.75120000000001</v>
      </c>
      <c r="M3453">
        <v>0.99968460000000003</v>
      </c>
      <c r="N3453">
        <v>-8.5455069999999904E-3</v>
      </c>
      <c r="O3453">
        <v>2.3616410000000001E-2</v>
      </c>
      <c r="P3453">
        <v>0.98409440000000004</v>
      </c>
      <c r="Q3453">
        <v>0.1685692</v>
      </c>
      <c r="R3453">
        <v>5.605806E-2</v>
      </c>
      <c r="S3453">
        <v>3.062805</v>
      </c>
      <c r="T3453">
        <v>-7.1582789999999993E-2</v>
      </c>
      <c r="U3453">
        <v>-3.7567139999999999E-2</v>
      </c>
      <c r="V3453">
        <v>-3.3198129999999999E-2</v>
      </c>
      <c r="W3453">
        <v>0.17690790000000001</v>
      </c>
      <c r="X3453">
        <v>0.98366739999999997</v>
      </c>
      <c r="Y3453">
        <v>3.5860780000000002E-2</v>
      </c>
      <c r="Z3453">
        <v>-9.2229140000000002E-4</v>
      </c>
      <c r="AA3453">
        <v>0.99935640000000003</v>
      </c>
      <c r="AB3453">
        <v>37</v>
      </c>
      <c r="AC3453">
        <v>47.136699999999998</v>
      </c>
      <c r="AD3453">
        <v>-1.1102683753119</v>
      </c>
      <c r="AE3453">
        <v>-0.59180000000000599</v>
      </c>
      <c r="AF3453">
        <v>1.70392998552477</v>
      </c>
      <c r="AG3453">
        <v>-1.1102683753119</v>
      </c>
      <c r="AH3453">
        <v>47.083457762454302</v>
      </c>
      <c r="AI3453">
        <v>91.349949962979807</v>
      </c>
      <c r="AJ3453">
        <v>87.927395008366005</v>
      </c>
      <c r="AK3453">
        <v>47.127360080208298</v>
      </c>
      <c r="AL3453">
        <v>79.810295127238007</v>
      </c>
      <c r="AM3453">
        <v>91.932961333773306</v>
      </c>
      <c r="AN3453">
        <v>1.0000000373703299</v>
      </c>
    </row>
    <row r="3454" spans="1:40" x14ac:dyDescent="0.25">
      <c r="A3454" t="str">
        <f>"20190304155701094"</f>
        <v>20190304155701094</v>
      </c>
      <c r="B3454" t="str">
        <f>"1551686221088338"</f>
        <v>1551686221088338</v>
      </c>
      <c r="C3454" t="s">
        <v>40</v>
      </c>
      <c r="D3454">
        <v>4.7120850000000001</v>
      </c>
      <c r="E3454">
        <v>0.52190829999999999</v>
      </c>
      <c r="F3454" t="s">
        <v>55</v>
      </c>
      <c r="G3454">
        <v>-359.07990000000001</v>
      </c>
      <c r="H3454" s="1">
        <v>3.351176E-6</v>
      </c>
      <c r="I3454">
        <v>213.33269999999999</v>
      </c>
      <c r="J3454">
        <v>-400.697</v>
      </c>
      <c r="K3454">
        <v>1.110277</v>
      </c>
      <c r="L3454">
        <v>213.7611</v>
      </c>
      <c r="M3454">
        <v>0.9996604</v>
      </c>
      <c r="N3454">
        <v>-8.5567319999999992E-3</v>
      </c>
      <c r="O3454">
        <v>2.4615680000000001E-2</v>
      </c>
      <c r="P3454">
        <v>0.98406760000000004</v>
      </c>
      <c r="Q3454">
        <v>0.1684486</v>
      </c>
      <c r="R3454">
        <v>5.688667E-2</v>
      </c>
      <c r="S3454">
        <v>3.0640869999999998</v>
      </c>
      <c r="T3454">
        <v>-8.1000920000000004E-2</v>
      </c>
      <c r="U3454">
        <v>-3.0532839999999999E-2</v>
      </c>
      <c r="V3454">
        <v>-3.3044459999999998E-2</v>
      </c>
      <c r="W3454">
        <v>0.17679810000000001</v>
      </c>
      <c r="X3454">
        <v>0.98369229999999996</v>
      </c>
      <c r="Y3454">
        <v>3.4556669999999998E-2</v>
      </c>
      <c r="Z3454">
        <v>-1.0445160000000001E-3</v>
      </c>
      <c r="AA3454">
        <v>0.99940220000000002</v>
      </c>
      <c r="AB3454">
        <v>37</v>
      </c>
      <c r="AC3454">
        <v>41.617099999999901</v>
      </c>
      <c r="AD3454">
        <v>-1.1102736488239999</v>
      </c>
      <c r="AE3454">
        <v>-0.42840000000001</v>
      </c>
      <c r="AF3454">
        <v>1.45170775135809</v>
      </c>
      <c r="AG3454">
        <v>-1.1102736488239999</v>
      </c>
      <c r="AH3454">
        <v>41.564363314288101</v>
      </c>
      <c r="AI3454">
        <v>91.529197795547503</v>
      </c>
      <c r="AJ3454">
        <v>87.999658275879497</v>
      </c>
      <c r="AK3454">
        <v>41.604524521892699</v>
      </c>
      <c r="AL3454">
        <v>79.816686806161002</v>
      </c>
      <c r="AM3454">
        <v>91.923971971779906</v>
      </c>
      <c r="AN3454">
        <v>1.0000000227897901</v>
      </c>
    </row>
    <row r="3455" spans="1:40" x14ac:dyDescent="0.25">
      <c r="A3455" t="str">
        <f>"20190304155701126"</f>
        <v>20190304155701126</v>
      </c>
      <c r="B3455" t="str">
        <f>"1551686221117619"</f>
        <v>1551686221117619</v>
      </c>
      <c r="C3455" t="s">
        <v>40</v>
      </c>
      <c r="D3455">
        <v>4.7110219999999998</v>
      </c>
      <c r="E3455">
        <v>0.52162959999999903</v>
      </c>
      <c r="F3455" t="s">
        <v>55</v>
      </c>
      <c r="G3455">
        <v>-360.84640000000002</v>
      </c>
      <c r="H3455" s="1">
        <v>-1.0863789999999999E-6</v>
      </c>
      <c r="I3455">
        <v>213.423</v>
      </c>
      <c r="J3455">
        <v>-400.15339999999998</v>
      </c>
      <c r="K3455">
        <v>1.1102780000000001</v>
      </c>
      <c r="L3455">
        <v>213.77590000000001</v>
      </c>
      <c r="M3455">
        <v>0.99962430000000002</v>
      </c>
      <c r="N3455">
        <v>-8.5732380000000004E-3</v>
      </c>
      <c r="O3455">
        <v>2.6036690000000001E-2</v>
      </c>
      <c r="P3455">
        <v>0.98402509999999999</v>
      </c>
      <c r="Q3455">
        <v>0.16830100000000001</v>
      </c>
      <c r="R3455">
        <v>5.8048540000000003E-2</v>
      </c>
      <c r="S3455">
        <v>3.0647280000000001</v>
      </c>
      <c r="T3455">
        <v>-8.5386399999999904E-2</v>
      </c>
      <c r="U3455">
        <v>-2.600098E-2</v>
      </c>
      <c r="V3455">
        <v>-3.2809789999999998E-2</v>
      </c>
      <c r="W3455">
        <v>0.17666709999999999</v>
      </c>
      <c r="X3455">
        <v>0.98372360000000003</v>
      </c>
      <c r="Y3455">
        <v>3.4495129999999999E-2</v>
      </c>
      <c r="Z3455">
        <v>-1.130355E-3</v>
      </c>
      <c r="AA3455">
        <v>0.99940430000000002</v>
      </c>
      <c r="AB3455">
        <v>37</v>
      </c>
      <c r="AC3455">
        <v>39.306999999999903</v>
      </c>
      <c r="AD3455">
        <v>-1.110279086379</v>
      </c>
      <c r="AE3455">
        <v>-0.35290000000000499</v>
      </c>
      <c r="AF3455">
        <v>1.37514498438291</v>
      </c>
      <c r="AG3455">
        <v>-1.110279086379</v>
      </c>
      <c r="AH3455">
        <v>39.2531689371433</v>
      </c>
      <c r="AI3455">
        <v>91.619191041816507</v>
      </c>
      <c r="AJ3455">
        <v>87.993593971697607</v>
      </c>
      <c r="AK3455">
        <v>39.292938487540397</v>
      </c>
      <c r="AL3455">
        <v>79.824311676872</v>
      </c>
      <c r="AM3455">
        <v>91.910258029781801</v>
      </c>
      <c r="AN3455">
        <v>0.99999993386960395</v>
      </c>
    </row>
    <row r="3456" spans="1:40" x14ac:dyDescent="0.25">
      <c r="A3456" t="str">
        <f>"20190304155701147"</f>
        <v>20190304155701147</v>
      </c>
      <c r="B3456" t="str">
        <f>"1551686221138118"</f>
        <v>1551686221138118</v>
      </c>
      <c r="C3456" t="s">
        <v>40</v>
      </c>
      <c r="D3456">
        <v>4.8005690000000003</v>
      </c>
      <c r="E3456">
        <v>0.5214048</v>
      </c>
      <c r="F3456" t="s">
        <v>55</v>
      </c>
      <c r="G3456">
        <v>-362.17739999999998</v>
      </c>
      <c r="H3456" s="1">
        <v>-3.780734E-7</v>
      </c>
      <c r="I3456">
        <v>213.51769999999999</v>
      </c>
      <c r="J3456">
        <v>-399.79790000000003</v>
      </c>
      <c r="K3456">
        <v>1.1102749999999999</v>
      </c>
      <c r="L3456">
        <v>213.7859</v>
      </c>
      <c r="M3456">
        <v>0.99959969999999998</v>
      </c>
      <c r="N3456">
        <v>-8.5841140000000003E-3</v>
      </c>
      <c r="O3456">
        <v>2.6961840000000001E-2</v>
      </c>
      <c r="P3456">
        <v>0.98411959999999998</v>
      </c>
      <c r="Q3456">
        <v>0.16733729999999999</v>
      </c>
      <c r="R3456">
        <v>5.9220429999999998E-2</v>
      </c>
      <c r="S3456">
        <v>3.065277</v>
      </c>
      <c r="T3456">
        <v>-8.9617370000000002E-2</v>
      </c>
      <c r="U3456">
        <v>-2.0843509999999999E-2</v>
      </c>
      <c r="V3456">
        <v>-3.3065520000000001E-2</v>
      </c>
      <c r="W3456">
        <v>0.1757147</v>
      </c>
      <c r="X3456">
        <v>0.98388560000000003</v>
      </c>
      <c r="Y3456">
        <v>3.3735059999999997E-2</v>
      </c>
      <c r="Z3456">
        <v>-1.1944779999999999E-3</v>
      </c>
      <c r="AA3456">
        <v>0.99943009999999999</v>
      </c>
      <c r="AB3456">
        <v>37</v>
      </c>
      <c r="AC3456">
        <v>37.6205</v>
      </c>
      <c r="AD3456">
        <v>-1.1102753780733901</v>
      </c>
      <c r="AE3456">
        <v>-0.26820000000000699</v>
      </c>
      <c r="AF3456">
        <v>1.28134169493927</v>
      </c>
      <c r="AG3456">
        <v>-1.1102753780733901</v>
      </c>
      <c r="AH3456">
        <v>37.566872497614803</v>
      </c>
      <c r="AI3456">
        <v>91.691880050063602</v>
      </c>
      <c r="AJ3456">
        <v>88.046496386410496</v>
      </c>
      <c r="AK3456">
        <v>37.605112115327998</v>
      </c>
      <c r="AL3456">
        <v>79.879747370903303</v>
      </c>
      <c r="AM3456">
        <v>91.924819290137407</v>
      </c>
      <c r="AN3456">
        <v>0.99999992914815705</v>
      </c>
    </row>
    <row r="3457" spans="1:40" x14ac:dyDescent="0.25">
      <c r="A3457" t="str">
        <f>"20190304155701170"</f>
        <v>20190304155701170</v>
      </c>
      <c r="B3457" t="str">
        <f>"1551686221157634"</f>
        <v>1551686221157634</v>
      </c>
      <c r="C3457" t="s">
        <v>40</v>
      </c>
      <c r="D3457">
        <v>4.7121120000000003</v>
      </c>
      <c r="E3457">
        <v>0.52151610000000004</v>
      </c>
      <c r="F3457" t="s">
        <v>55</v>
      </c>
      <c r="G3457">
        <v>-363.54340000000002</v>
      </c>
      <c r="H3457" s="1">
        <v>3.4881340000000001E-7</v>
      </c>
      <c r="I3457">
        <v>213.5959</v>
      </c>
      <c r="J3457">
        <v>-399.428</v>
      </c>
      <c r="K3457">
        <v>1.110271</v>
      </c>
      <c r="L3457">
        <v>213.79669999999999</v>
      </c>
      <c r="M3457">
        <v>0.99957339999999995</v>
      </c>
      <c r="N3457">
        <v>-8.595264E-3</v>
      </c>
      <c r="O3457">
        <v>2.7916119999999999E-2</v>
      </c>
      <c r="P3457">
        <v>0.98422779999999999</v>
      </c>
      <c r="Q3457">
        <v>0.1665431</v>
      </c>
      <c r="R3457">
        <v>5.9659419999999998E-2</v>
      </c>
      <c r="S3457">
        <v>3.0653380000000001</v>
      </c>
      <c r="T3457">
        <v>-9.3874219999999994E-2</v>
      </c>
      <c r="U3457">
        <v>-1.6067499999999998E-2</v>
      </c>
      <c r="V3457">
        <v>-3.2558740000000003E-2</v>
      </c>
      <c r="W3457">
        <v>0.17493359999999999</v>
      </c>
      <c r="X3457">
        <v>0.98404179999999997</v>
      </c>
      <c r="Y3457">
        <v>3.3129659999999998E-2</v>
      </c>
      <c r="Z3457">
        <v>-1.2643050000000001E-3</v>
      </c>
      <c r="AA3457">
        <v>0.99945030000000001</v>
      </c>
      <c r="AB3457">
        <v>37</v>
      </c>
      <c r="AC3457">
        <v>35.884599999999999</v>
      </c>
      <c r="AD3457">
        <v>-1.1102706511866001</v>
      </c>
      <c r="AE3457">
        <v>-0.20079999999998599</v>
      </c>
      <c r="AF3457">
        <v>1.2013674413463</v>
      </c>
      <c r="AG3457">
        <v>-1.1102706511866001</v>
      </c>
      <c r="AH3457">
        <v>35.830708725193801</v>
      </c>
      <c r="AI3457">
        <v>91.7738354529736</v>
      </c>
      <c r="AJ3457">
        <v>88.0796498339473</v>
      </c>
      <c r="AK3457">
        <v>35.8680313426552</v>
      </c>
      <c r="AL3457">
        <v>79.925206446983395</v>
      </c>
      <c r="AM3457">
        <v>91.895039521346703</v>
      </c>
      <c r="AN3457">
        <v>1.00000005005329</v>
      </c>
    </row>
    <row r="3458" spans="1:40" x14ac:dyDescent="0.25">
      <c r="A3458" t="str">
        <f>"20190304155701192"</f>
        <v>20190304155701192</v>
      </c>
      <c r="B3458" t="str">
        <f>"1551686221187891"</f>
        <v>1551686221187891</v>
      </c>
      <c r="C3458" t="s">
        <v>40</v>
      </c>
      <c r="D3458">
        <v>4.7047720000000002</v>
      </c>
      <c r="E3458">
        <v>0.52163000000000004</v>
      </c>
      <c r="F3458" t="s">
        <v>55</v>
      </c>
      <c r="G3458">
        <v>-364.50150000000002</v>
      </c>
      <c r="H3458" s="1">
        <v>8.586591E-7</v>
      </c>
      <c r="I3458">
        <v>213.6172</v>
      </c>
      <c r="J3458">
        <v>-399.05099999999999</v>
      </c>
      <c r="K3458">
        <v>1.1102650000000001</v>
      </c>
      <c r="L3458">
        <v>213.8081</v>
      </c>
      <c r="M3458">
        <v>0.99954609999999999</v>
      </c>
      <c r="N3458">
        <v>-8.6065080000000006E-3</v>
      </c>
      <c r="O3458">
        <v>2.887369E-2</v>
      </c>
      <c r="P3458">
        <v>0.98426409999999998</v>
      </c>
      <c r="Q3458">
        <v>0.16604169999999999</v>
      </c>
      <c r="R3458">
        <v>6.045524E-2</v>
      </c>
      <c r="S3458">
        <v>3.0654910000000002</v>
      </c>
      <c r="T3458">
        <v>-9.7448110000000004E-2</v>
      </c>
      <c r="U3458">
        <v>-1.5762330000000001E-2</v>
      </c>
      <c r="V3458">
        <v>-3.240581E-2</v>
      </c>
      <c r="W3458">
        <v>0.17444479999999901</v>
      </c>
      <c r="X3458">
        <v>0.98413349999999999</v>
      </c>
      <c r="Y3458">
        <v>3.3984460000000001E-2</v>
      </c>
      <c r="Z3458">
        <v>-1.355378E-3</v>
      </c>
      <c r="AA3458">
        <v>0.99942140000000002</v>
      </c>
      <c r="AB3458">
        <v>37</v>
      </c>
      <c r="AC3458">
        <v>34.549499999999902</v>
      </c>
      <c r="AD3458">
        <v>-1.1102641413409</v>
      </c>
      <c r="AE3458">
        <v>-0.19089999999999899</v>
      </c>
      <c r="AF3458">
        <v>1.1872028461788</v>
      </c>
      <c r="AG3458">
        <v>-1.1102641413409</v>
      </c>
      <c r="AH3458">
        <v>34.493961545585101</v>
      </c>
      <c r="AI3458">
        <v>91.842464213561499</v>
      </c>
      <c r="AJ3458">
        <v>88.028789111826399</v>
      </c>
      <c r="AK3458">
        <v>34.532238852553803</v>
      </c>
      <c r="AL3458">
        <v>79.953648816462206</v>
      </c>
      <c r="AM3458">
        <v>91.885969251067905</v>
      </c>
      <c r="AN3458">
        <v>0.999999935295521</v>
      </c>
    </row>
    <row r="3459" spans="1:40" x14ac:dyDescent="0.25">
      <c r="A3459" t="str">
        <f>"20190304155701216"</f>
        <v>20190304155701216</v>
      </c>
      <c r="B3459" t="str">
        <f>"1551686221208386"</f>
        <v>1551686221208386</v>
      </c>
      <c r="C3459" t="s">
        <v>40</v>
      </c>
      <c r="D3459">
        <v>4.7024019999999904</v>
      </c>
      <c r="E3459">
        <v>0.52181909999999998</v>
      </c>
      <c r="F3459" t="s">
        <v>55</v>
      </c>
      <c r="G3459">
        <v>-365.6266</v>
      </c>
      <c r="H3459" s="1">
        <v>1.4574049999999999E-6</v>
      </c>
      <c r="I3459">
        <v>213.65260000000001</v>
      </c>
      <c r="J3459">
        <v>-398.66399999999999</v>
      </c>
      <c r="K3459">
        <v>1.1102590000000001</v>
      </c>
      <c r="L3459">
        <v>213.8202</v>
      </c>
      <c r="M3459">
        <v>0.99951760000000001</v>
      </c>
      <c r="N3459">
        <v>-8.6179689999999996E-3</v>
      </c>
      <c r="O3459">
        <v>2.9839040000000001E-2</v>
      </c>
      <c r="P3459">
        <v>0.98428970000000005</v>
      </c>
      <c r="Q3459">
        <v>0.16570119999999999</v>
      </c>
      <c r="R3459">
        <v>6.0964740000000003E-2</v>
      </c>
      <c r="S3459">
        <v>3.0660099999999999</v>
      </c>
      <c r="T3459">
        <v>-0.10184410000000001</v>
      </c>
      <c r="U3459">
        <v>-1.426697E-2</v>
      </c>
      <c r="V3459">
        <v>-3.1957190000000003E-2</v>
      </c>
      <c r="W3459">
        <v>0.17411799999999999</v>
      </c>
      <c r="X3459">
        <v>0.98420609999999997</v>
      </c>
      <c r="Y3459">
        <v>3.4458009999999997E-2</v>
      </c>
      <c r="Z3459">
        <v>-1.4543399999999999E-3</v>
      </c>
      <c r="AA3459">
        <v>0.99940510000000005</v>
      </c>
      <c r="AB3459">
        <v>37</v>
      </c>
      <c r="AC3459">
        <v>33.037399999999899</v>
      </c>
      <c r="AD3459">
        <v>-1.1102575425949901</v>
      </c>
      <c r="AE3459">
        <v>-0.167599999999993</v>
      </c>
      <c r="AF3459">
        <v>1.1520651671119599</v>
      </c>
      <c r="AG3459">
        <v>-1.1102575425949901</v>
      </c>
      <c r="AH3459">
        <v>32.980440578993402</v>
      </c>
      <c r="AI3459">
        <v>91.926909536515694</v>
      </c>
      <c r="AJ3459">
        <v>87.999370481210093</v>
      </c>
      <c r="AK3459">
        <v>33.019227531011097</v>
      </c>
      <c r="AL3459">
        <v>79.972664681066405</v>
      </c>
      <c r="AM3459">
        <v>91.859741611927902</v>
      </c>
      <c r="AN3459">
        <v>0.99999999359695302</v>
      </c>
    </row>
    <row r="3460" spans="1:40" x14ac:dyDescent="0.25">
      <c r="A3460" t="str">
        <f>"20190304155701237"</f>
        <v>20190304155701237</v>
      </c>
      <c r="B3460" t="str">
        <f>"1551686221227910"</f>
        <v>1551686221227910</v>
      </c>
      <c r="C3460" t="s">
        <v>40</v>
      </c>
      <c r="D3460">
        <v>4.7130580000000002</v>
      </c>
      <c r="E3460">
        <v>0.52190939999999997</v>
      </c>
      <c r="F3460" t="s">
        <v>55</v>
      </c>
      <c r="G3460">
        <v>-366.0532</v>
      </c>
      <c r="H3460" s="1">
        <v>1.684402E-6</v>
      </c>
      <c r="I3460">
        <v>213.67099999999999</v>
      </c>
      <c r="J3460">
        <v>-398.2978</v>
      </c>
      <c r="K3460">
        <v>1.1102449999999999</v>
      </c>
      <c r="L3460">
        <v>213.83179999999999</v>
      </c>
      <c r="M3460">
        <v>0.9994904</v>
      </c>
      <c r="N3460">
        <v>-8.6283469999999998E-3</v>
      </c>
      <c r="O3460">
        <v>3.073619E-2</v>
      </c>
      <c r="P3460">
        <v>0.98427960000000003</v>
      </c>
      <c r="Q3460">
        <v>0.16557369999999999</v>
      </c>
      <c r="R3460">
        <v>6.147507E-2</v>
      </c>
      <c r="S3460">
        <v>3.0663149999999999</v>
      </c>
      <c r="T3460">
        <v>-0.1043948</v>
      </c>
      <c r="U3460">
        <v>-1.402283E-2</v>
      </c>
      <c r="V3460">
        <v>-3.1578160000000001E-2</v>
      </c>
      <c r="W3460">
        <v>0.17400299999999999</v>
      </c>
      <c r="X3460">
        <v>0.98423870000000002</v>
      </c>
      <c r="Y3460">
        <v>3.5272449999999997E-2</v>
      </c>
      <c r="Z3460">
        <v>-1.5333359999999999E-3</v>
      </c>
      <c r="AA3460">
        <v>0.9993765</v>
      </c>
      <c r="AB3460">
        <v>37</v>
      </c>
      <c r="AC3460">
        <v>32.244599999999899</v>
      </c>
      <c r="AD3460">
        <v>-1.110243315598</v>
      </c>
      <c r="AE3460">
        <v>-0.160799999999994</v>
      </c>
      <c r="AF3460">
        <v>1.1504730406921899</v>
      </c>
      <c r="AG3460">
        <v>-1.110243315598</v>
      </c>
      <c r="AH3460">
        <v>32.186264061074503</v>
      </c>
      <c r="AI3460">
        <v>91.974335830620504</v>
      </c>
      <c r="AJ3460">
        <v>87.952878345787894</v>
      </c>
      <c r="AK3460">
        <v>32.2259495228055</v>
      </c>
      <c r="AL3460">
        <v>79.979356117867596</v>
      </c>
      <c r="AM3460">
        <v>91.837638433342505</v>
      </c>
      <c r="AN3460">
        <v>1.00000002138783</v>
      </c>
    </row>
    <row r="3461" spans="1:40" x14ac:dyDescent="0.25">
      <c r="A3461" t="str">
        <f>"20190304155701259"</f>
        <v>20190304155701259</v>
      </c>
      <c r="B3461" t="str">
        <f>"1551686221248406"</f>
        <v>1551686221248406</v>
      </c>
      <c r="C3461" t="s">
        <v>40</v>
      </c>
      <c r="D3461">
        <v>4.703017</v>
      </c>
      <c r="E3461">
        <v>0.52199499999999999</v>
      </c>
      <c r="F3461" t="s">
        <v>55</v>
      </c>
      <c r="G3461">
        <v>-366.23869999999999</v>
      </c>
      <c r="H3461" s="1">
        <v>1.78316399999999E-6</v>
      </c>
      <c r="I3461">
        <v>213.69560000000001</v>
      </c>
      <c r="J3461">
        <v>-397.9323</v>
      </c>
      <c r="K3461">
        <v>1.110231</v>
      </c>
      <c r="L3461">
        <v>213.84389999999999</v>
      </c>
      <c r="M3461">
        <v>0.99946299999999999</v>
      </c>
      <c r="N3461">
        <v>-8.6385779999999992E-3</v>
      </c>
      <c r="O3461">
        <v>3.1611220000000002E-2</v>
      </c>
      <c r="P3461">
        <v>0.98419849999999998</v>
      </c>
      <c r="Q3461">
        <v>0.16593250000000001</v>
      </c>
      <c r="R3461">
        <v>6.180451E-2</v>
      </c>
      <c r="S3461">
        <v>3.066589</v>
      </c>
      <c r="T3461">
        <v>-0.10619969999999999</v>
      </c>
      <c r="U3461">
        <v>-1.3031010000000001E-2</v>
      </c>
      <c r="V3461">
        <v>-3.1042469999999999E-2</v>
      </c>
      <c r="W3461">
        <v>0.17437339999999901</v>
      </c>
      <c r="X3461">
        <v>0.98419020000000002</v>
      </c>
      <c r="Y3461">
        <v>3.5821800000000001E-2</v>
      </c>
      <c r="Z3461">
        <v>-1.59611E-3</v>
      </c>
      <c r="AA3461">
        <v>0.99935689999999999</v>
      </c>
      <c r="AB3461">
        <v>37</v>
      </c>
      <c r="AC3461">
        <v>31.6936</v>
      </c>
      <c r="AD3461">
        <v>-1.110229216836</v>
      </c>
      <c r="AE3461">
        <v>-0.14829999999997701</v>
      </c>
      <c r="AF3461">
        <v>1.1487269562150799</v>
      </c>
      <c r="AG3461">
        <v>-1.110229216836</v>
      </c>
      <c r="AH3461">
        <v>31.634253784728202</v>
      </c>
      <c r="AI3461">
        <v>92.008692997037002</v>
      </c>
      <c r="AJ3461">
        <v>87.920346074712398</v>
      </c>
      <c r="AK3461">
        <v>31.6745670065187</v>
      </c>
      <c r="AL3461">
        <v>79.957804409891494</v>
      </c>
      <c r="AM3461">
        <v>91.806574642273702</v>
      </c>
      <c r="AN3461">
        <v>1.0000000336736401</v>
      </c>
    </row>
    <row r="3462" spans="1:40" x14ac:dyDescent="0.25">
      <c r="A3462" t="str">
        <f>"20190304155701281"</f>
        <v>20190304155701281</v>
      </c>
      <c r="B3462" t="str">
        <f>"1551686221277683"</f>
        <v>1551686221277683</v>
      </c>
      <c r="C3462" t="s">
        <v>40</v>
      </c>
      <c r="D3462">
        <v>4.7073269999999896</v>
      </c>
      <c r="E3462">
        <v>0.52219020000000005</v>
      </c>
      <c r="F3462" t="s">
        <v>55</v>
      </c>
      <c r="G3462">
        <v>-365.93680000000001</v>
      </c>
      <c r="H3462" s="1">
        <v>1.6224999999999999E-6</v>
      </c>
      <c r="I3462">
        <v>213.71029999999999</v>
      </c>
      <c r="J3462">
        <v>-397.55439999999999</v>
      </c>
      <c r="K3462">
        <v>1.1102190000000001</v>
      </c>
      <c r="L3462">
        <v>213.85659999999999</v>
      </c>
      <c r="M3462">
        <v>0.99943490000000001</v>
      </c>
      <c r="N3462">
        <v>-8.6490170000000002E-3</v>
      </c>
      <c r="O3462">
        <v>3.2485489999999999E-2</v>
      </c>
      <c r="P3462">
        <v>0.98424869999999998</v>
      </c>
      <c r="Q3462">
        <v>0.16561409999999999</v>
      </c>
      <c r="R3462">
        <v>6.1860640000000001E-2</v>
      </c>
      <c r="S3462">
        <v>3.0669249999999999</v>
      </c>
      <c r="T3462">
        <v>-0.10642119999999999</v>
      </c>
      <c r="U3462">
        <v>-1.280212E-2</v>
      </c>
      <c r="V3462">
        <v>-3.0227070000000002E-2</v>
      </c>
      <c r="W3462">
        <v>0.17406869999999999</v>
      </c>
      <c r="X3462">
        <v>0.98426950000000002</v>
      </c>
      <c r="Y3462">
        <v>3.661988E-2</v>
      </c>
      <c r="Z3462">
        <v>-1.6394020000000001E-3</v>
      </c>
      <c r="AA3462">
        <v>0.99932790000000005</v>
      </c>
      <c r="AB3462">
        <v>37</v>
      </c>
      <c r="AC3462">
        <v>31.6175999999999</v>
      </c>
      <c r="AD3462">
        <v>-1.1102173774999999</v>
      </c>
      <c r="AE3462">
        <v>-0.14629999999999599</v>
      </c>
      <c r="AF3462">
        <v>1.17192936480662</v>
      </c>
      <c r="AG3462">
        <v>-1.1102173774999999</v>
      </c>
      <c r="AH3462">
        <v>31.557249586339601</v>
      </c>
      <c r="AI3462">
        <v>92.013508220839995</v>
      </c>
      <c r="AJ3462">
        <v>87.873206158149102</v>
      </c>
      <c r="AK3462">
        <v>31.5985126630341</v>
      </c>
      <c r="AL3462">
        <v>79.975533417981396</v>
      </c>
      <c r="AM3462">
        <v>91.759009490359503</v>
      </c>
      <c r="AN3462">
        <v>1.0000000183553599</v>
      </c>
    </row>
    <row r="3463" spans="1:40" x14ac:dyDescent="0.25">
      <c r="A3463" t="str">
        <f>"20190304155701305"</f>
        <v>20190304155701305</v>
      </c>
      <c r="B3463" t="str">
        <f>"1551686221298179"</f>
        <v>1551686221298179</v>
      </c>
      <c r="C3463" t="s">
        <v>40</v>
      </c>
      <c r="D3463">
        <v>4.7181240000000004</v>
      </c>
      <c r="E3463">
        <v>0.52229759999999903</v>
      </c>
      <c r="F3463" t="s">
        <v>55</v>
      </c>
      <c r="G3463">
        <v>-366.30700000000002</v>
      </c>
      <c r="H3463" s="1">
        <v>1.8194990000000001E-6</v>
      </c>
      <c r="I3463">
        <v>213.7243</v>
      </c>
      <c r="J3463">
        <v>-397.14659999999998</v>
      </c>
      <c r="K3463">
        <v>1.1101890000000001</v>
      </c>
      <c r="L3463">
        <v>213.8706</v>
      </c>
      <c r="M3463">
        <v>0.99940530000000005</v>
      </c>
      <c r="N3463">
        <v>-8.660081E-3</v>
      </c>
      <c r="O3463">
        <v>3.3383089999999997E-2</v>
      </c>
      <c r="P3463">
        <v>0.98442269999999998</v>
      </c>
      <c r="Q3463">
        <v>0.16442860000000001</v>
      </c>
      <c r="R3463">
        <v>6.2254940000000002E-2</v>
      </c>
      <c r="S3463">
        <v>3.0671689999999998</v>
      </c>
      <c r="T3463">
        <v>-0.1089762</v>
      </c>
      <c r="U3463">
        <v>-1.298523E-2</v>
      </c>
      <c r="V3463">
        <v>-2.9715129999999999E-2</v>
      </c>
      <c r="W3463">
        <v>0.1728999</v>
      </c>
      <c r="X3463">
        <v>0.98449109999999995</v>
      </c>
      <c r="Y3463">
        <v>3.7573719999999998E-2</v>
      </c>
      <c r="Z3463">
        <v>-1.726549E-3</v>
      </c>
      <c r="AA3463">
        <v>0.99929239999999997</v>
      </c>
      <c r="AB3463">
        <v>38</v>
      </c>
      <c r="AC3463">
        <v>30.839600000000001</v>
      </c>
      <c r="AD3463">
        <v>-1.110187180501</v>
      </c>
      <c r="AE3463">
        <v>-0.14629999999999599</v>
      </c>
      <c r="AF3463">
        <v>1.17425630767815</v>
      </c>
      <c r="AG3463">
        <v>-1.110187180501</v>
      </c>
      <c r="AH3463">
        <v>30.777641334867599</v>
      </c>
      <c r="AI3463">
        <v>92.064332587139404</v>
      </c>
      <c r="AJ3463">
        <v>87.815059541401695</v>
      </c>
      <c r="AK3463">
        <v>30.820035684431399</v>
      </c>
      <c r="AL3463">
        <v>80.043532082331296</v>
      </c>
      <c r="AM3463">
        <v>91.728847315252906</v>
      </c>
      <c r="AN3463">
        <v>1.0000000451750599</v>
      </c>
    </row>
    <row r="3464" spans="1:40" x14ac:dyDescent="0.25">
      <c r="A3464" t="str">
        <f>"20190304155701327"</f>
        <v>20190304155701327</v>
      </c>
      <c r="B3464" t="str">
        <f>"1551686221317698"</f>
        <v>1551686221317698</v>
      </c>
      <c r="C3464" t="s">
        <v>40</v>
      </c>
      <c r="D3464">
        <v>4.6873120000000004</v>
      </c>
      <c r="E3464">
        <v>0.52237029999999995</v>
      </c>
      <c r="F3464" t="s">
        <v>55</v>
      </c>
      <c r="G3464">
        <v>-366.96120000000002</v>
      </c>
      <c r="H3464" s="1">
        <v>2.1675929999999998E-6</v>
      </c>
      <c r="I3464">
        <v>213.7449</v>
      </c>
      <c r="J3464">
        <v>-396.78539999999998</v>
      </c>
      <c r="K3464">
        <v>1.1101449999999999</v>
      </c>
      <c r="L3464">
        <v>213.88339999999999</v>
      </c>
      <c r="M3464">
        <v>0.99938020000000005</v>
      </c>
      <c r="N3464">
        <v>-8.6695780000000007E-3</v>
      </c>
      <c r="O3464">
        <v>3.4122970000000002E-2</v>
      </c>
      <c r="P3464">
        <v>0.98434940000000004</v>
      </c>
      <c r="Q3464">
        <v>0.16458159999999999</v>
      </c>
      <c r="R3464">
        <v>6.3003729999999994E-2</v>
      </c>
      <c r="S3464">
        <v>3.0671080000000002</v>
      </c>
      <c r="T3464">
        <v>-0.11280469999999999</v>
      </c>
      <c r="U3464">
        <v>-1.2771609999999999E-2</v>
      </c>
      <c r="V3464">
        <v>-2.9721299999999999E-2</v>
      </c>
      <c r="W3464">
        <v>0.17306429999999901</v>
      </c>
      <c r="X3464">
        <v>0.98446199999999995</v>
      </c>
      <c r="Y3464">
        <v>3.8240129999999997E-2</v>
      </c>
      <c r="Z3464">
        <v>-1.8274249999999999E-3</v>
      </c>
      <c r="AA3464">
        <v>0.99926689999999996</v>
      </c>
      <c r="AB3464">
        <v>38</v>
      </c>
      <c r="AC3464">
        <v>29.824199999999902</v>
      </c>
      <c r="AD3464">
        <v>-1.110142832407</v>
      </c>
      <c r="AE3464">
        <v>-0.13849999999999299</v>
      </c>
      <c r="AF3464">
        <v>1.1545480608480601</v>
      </c>
      <c r="AG3464">
        <v>-1.110142832407</v>
      </c>
      <c r="AH3464">
        <v>29.760870040929198</v>
      </c>
      <c r="AI3464">
        <v>92.134657980537398</v>
      </c>
      <c r="AJ3464">
        <v>87.778372216886098</v>
      </c>
      <c r="AK3464">
        <v>29.8039390672816</v>
      </c>
      <c r="AL3464">
        <v>80.033968216777893</v>
      </c>
      <c r="AM3464">
        <v>91.729257155377795</v>
      </c>
      <c r="AN3464">
        <v>1.00000001852608</v>
      </c>
    </row>
    <row r="3465" spans="1:40" x14ac:dyDescent="0.25">
      <c r="A3465" t="str">
        <f>"20190304155701348"</f>
        <v>20190304155701348</v>
      </c>
      <c r="B3465" t="str">
        <f>"1551686221338198"</f>
        <v>1551686221338198</v>
      </c>
      <c r="C3465" t="s">
        <v>40</v>
      </c>
      <c r="D3465">
        <v>4.6926509999999997</v>
      </c>
      <c r="E3465">
        <v>0.522671</v>
      </c>
      <c r="F3465" t="s">
        <v>55</v>
      </c>
      <c r="G3465">
        <v>-366.43759999999997</v>
      </c>
      <c r="H3465" s="1">
        <v>1.888968E-6</v>
      </c>
      <c r="I3465">
        <v>213.76519999999999</v>
      </c>
      <c r="J3465">
        <v>-396.4332</v>
      </c>
      <c r="K3465">
        <v>1.1100920000000001</v>
      </c>
      <c r="L3465">
        <v>213.89599999999999</v>
      </c>
      <c r="M3465">
        <v>0.99935739999999995</v>
      </c>
      <c r="N3465">
        <v>-8.6786609999999903E-3</v>
      </c>
      <c r="O3465">
        <v>3.4776550000000003E-2</v>
      </c>
      <c r="P3465">
        <v>0.98438780000000004</v>
      </c>
      <c r="Q3465">
        <v>0.1640971</v>
      </c>
      <c r="R3465">
        <v>6.3660999999999995E-2</v>
      </c>
      <c r="S3465">
        <v>3.0672000000000001</v>
      </c>
      <c r="T3465">
        <v>-0.1122003</v>
      </c>
      <c r="U3465">
        <v>-1.1947630000000001E-2</v>
      </c>
      <c r="V3465">
        <v>-2.970971E-2</v>
      </c>
      <c r="W3465">
        <v>0.1725932</v>
      </c>
      <c r="X3465">
        <v>0.98454509999999995</v>
      </c>
      <c r="Y3465">
        <v>3.8625020000000003E-2</v>
      </c>
      <c r="Z3465">
        <v>-1.8436730000000001E-3</v>
      </c>
      <c r="AA3465">
        <v>0.99925209999999998</v>
      </c>
      <c r="AB3465">
        <v>38</v>
      </c>
      <c r="AC3465">
        <v>29.9956</v>
      </c>
      <c r="AD3465">
        <v>-1.1100901110320001</v>
      </c>
      <c r="AE3465">
        <v>-0.13079999999999301</v>
      </c>
      <c r="AF3465">
        <v>1.17229809847033</v>
      </c>
      <c r="AG3465">
        <v>-1.1100901110320001</v>
      </c>
      <c r="AH3465">
        <v>29.931911049842199</v>
      </c>
      <c r="AI3465">
        <v>92.122339664605903</v>
      </c>
      <c r="AJ3465">
        <v>87.757128799141995</v>
      </c>
      <c r="AK3465">
        <v>29.9754212978225</v>
      </c>
      <c r="AL3465">
        <v>80.061373127215703</v>
      </c>
      <c r="AM3465">
        <v>91.728437418687605</v>
      </c>
      <c r="AN3465">
        <v>1.0000000667442599</v>
      </c>
    </row>
    <row r="3466" spans="1:40" x14ac:dyDescent="0.25">
      <c r="A3466" t="str">
        <f>"20190304155701372"</f>
        <v>20190304155701372</v>
      </c>
      <c r="B3466" t="str">
        <f>"1551686221368450"</f>
        <v>1551686221368450</v>
      </c>
      <c r="C3466" t="s">
        <v>40</v>
      </c>
      <c r="D3466">
        <v>4.6789449999999997</v>
      </c>
      <c r="E3466">
        <v>0.52290530000000002</v>
      </c>
      <c r="F3466" t="s">
        <v>55</v>
      </c>
      <c r="G3466">
        <v>-366.40820000000002</v>
      </c>
      <c r="H3466" s="1">
        <v>1.87335E-6</v>
      </c>
      <c r="I3466">
        <v>213.77619999999999</v>
      </c>
      <c r="J3466">
        <v>-396.04660000000001</v>
      </c>
      <c r="K3466">
        <v>1.1100110000000001</v>
      </c>
      <c r="L3466">
        <v>213.91</v>
      </c>
      <c r="M3466">
        <v>0.9993358</v>
      </c>
      <c r="N3466">
        <v>-8.6886469999999903E-3</v>
      </c>
      <c r="O3466">
        <v>3.539291E-2</v>
      </c>
      <c r="P3466">
        <v>0.98444430000000005</v>
      </c>
      <c r="Q3466">
        <v>0.16356389999999901</v>
      </c>
      <c r="R3466">
        <v>6.4159969999999997E-2</v>
      </c>
      <c r="S3466">
        <v>3.0672609999999998</v>
      </c>
      <c r="T3466">
        <v>-0.1134034</v>
      </c>
      <c r="U3466">
        <v>-1.223755E-2</v>
      </c>
      <c r="V3466">
        <v>-2.9566430000000001E-2</v>
      </c>
      <c r="W3466">
        <v>0.17207600000000001</v>
      </c>
      <c r="X3466">
        <v>0.98463990000000001</v>
      </c>
      <c r="Y3466">
        <v>3.933383E-2</v>
      </c>
      <c r="Z3466">
        <v>-1.8982700000000001E-3</v>
      </c>
      <c r="AA3466">
        <v>0.99922429999999995</v>
      </c>
      <c r="AB3466">
        <v>38</v>
      </c>
      <c r="AC3466">
        <v>29.638399999999901</v>
      </c>
      <c r="AD3466">
        <v>-1.1100091266500001</v>
      </c>
      <c r="AE3466">
        <v>-0.133800000000007</v>
      </c>
      <c r="AF3466">
        <v>1.18108828753662</v>
      </c>
      <c r="AG3466">
        <v>-1.1100091266500001</v>
      </c>
      <c r="AH3466">
        <v>29.573613607102001</v>
      </c>
      <c r="AI3466">
        <v>92.147806854330696</v>
      </c>
      <c r="AJ3466">
        <v>87.712980524531204</v>
      </c>
      <c r="AK3466">
        <v>29.617996414112302</v>
      </c>
      <c r="AL3466">
        <v>80.091456210865701</v>
      </c>
      <c r="AM3466">
        <v>91.719941252172802</v>
      </c>
      <c r="AN3466">
        <v>1.00000002811547</v>
      </c>
    </row>
    <row r="3467" spans="1:40" x14ac:dyDescent="0.25">
      <c r="A3467" t="str">
        <f>"20190304155701393"</f>
        <v>20190304155701393</v>
      </c>
      <c r="B3467" t="str">
        <f>"1551686221387970"</f>
        <v>1551686221387970</v>
      </c>
      <c r="C3467" t="s">
        <v>40</v>
      </c>
      <c r="D3467">
        <v>4.6621309999999996</v>
      </c>
      <c r="E3467">
        <v>0.52301999999999904</v>
      </c>
      <c r="F3467" t="s">
        <v>55</v>
      </c>
      <c r="G3467">
        <v>-366.52210000000002</v>
      </c>
      <c r="H3467" s="1">
        <v>1.933954E-6</v>
      </c>
      <c r="I3467">
        <v>213.78720000000001</v>
      </c>
      <c r="J3467">
        <v>-395.67559999999997</v>
      </c>
      <c r="K3467">
        <v>1.10992</v>
      </c>
      <c r="L3467">
        <v>213.92349999999999</v>
      </c>
      <c r="M3467">
        <v>0.9993187</v>
      </c>
      <c r="N3467">
        <v>-8.6980909999999998E-3</v>
      </c>
      <c r="O3467">
        <v>3.5869430000000001E-2</v>
      </c>
      <c r="P3467">
        <v>0.98449180000000003</v>
      </c>
      <c r="Q3467">
        <v>0.162776799999999</v>
      </c>
      <c r="R3467">
        <v>6.5421859999999998E-2</v>
      </c>
      <c r="S3467">
        <v>3.067383</v>
      </c>
      <c r="T3467">
        <v>-0.1153221</v>
      </c>
      <c r="U3467">
        <v>-1.275635E-2</v>
      </c>
      <c r="V3467">
        <v>-3.031849E-2</v>
      </c>
      <c r="W3467">
        <v>0.17130419999999999</v>
      </c>
      <c r="X3467">
        <v>0.98475159999999995</v>
      </c>
      <c r="Y3467">
        <v>3.9976730000000002E-2</v>
      </c>
      <c r="Z3467">
        <v>-1.9610819999999998E-3</v>
      </c>
      <c r="AA3467">
        <v>0.9991987</v>
      </c>
      <c r="AB3467">
        <v>38</v>
      </c>
      <c r="AC3467">
        <v>29.153499999999902</v>
      </c>
      <c r="AD3467">
        <v>-1.109918066046</v>
      </c>
      <c r="AE3467">
        <v>-0.136299999999977</v>
      </c>
      <c r="AF3467">
        <v>1.1802605180980299</v>
      </c>
      <c r="AG3467">
        <v>-1.109918066046</v>
      </c>
      <c r="AH3467">
        <v>29.087688721329901</v>
      </c>
      <c r="AI3467">
        <v>92.183417668134794</v>
      </c>
      <c r="AJ3467">
        <v>87.676444096743495</v>
      </c>
      <c r="AK3467">
        <v>29.132774810390099</v>
      </c>
      <c r="AL3467">
        <v>80.136343612574294</v>
      </c>
      <c r="AM3467">
        <v>91.763462947052602</v>
      </c>
      <c r="AN3467">
        <v>1.00000002673803</v>
      </c>
    </row>
    <row r="3468" spans="1:40" x14ac:dyDescent="0.25">
      <c r="A3468" t="str">
        <f>"20190304155701416"</f>
        <v>20190304155701416</v>
      </c>
      <c r="B3468" t="str">
        <f>"1551686221408467"</f>
        <v>1551686221408467</v>
      </c>
      <c r="C3468" t="s">
        <v>40</v>
      </c>
      <c r="D3468">
        <v>4.6574439999999999</v>
      </c>
      <c r="E3468">
        <v>0.52316269999999998</v>
      </c>
      <c r="F3468" t="s">
        <v>55</v>
      </c>
      <c r="G3468">
        <v>-366.76769999999999</v>
      </c>
      <c r="H3468" s="1">
        <v>2.0646519999999998E-6</v>
      </c>
      <c r="I3468">
        <v>213.8289</v>
      </c>
      <c r="J3468">
        <v>-395.2912</v>
      </c>
      <c r="K3468">
        <v>1.109815</v>
      </c>
      <c r="L3468">
        <v>213.93770000000001</v>
      </c>
      <c r="M3468">
        <v>0.99930459999999999</v>
      </c>
      <c r="N3468">
        <v>-8.7079589999999995E-3</v>
      </c>
      <c r="O3468">
        <v>3.6258180000000001E-2</v>
      </c>
      <c r="P3468">
        <v>0.98458699999999999</v>
      </c>
      <c r="Q3468">
        <v>0.16192790000000001</v>
      </c>
      <c r="R3468">
        <v>6.6091540000000004E-2</v>
      </c>
      <c r="S3468">
        <v>3.0674130000000002</v>
      </c>
      <c r="T3468">
        <v>-0.1177734</v>
      </c>
      <c r="U3468">
        <v>-1.004028E-2</v>
      </c>
      <c r="V3468">
        <v>-3.0560560000000001E-2</v>
      </c>
      <c r="W3468">
        <v>0.1704726</v>
      </c>
      <c r="X3468">
        <v>0.9848884</v>
      </c>
      <c r="Y3468">
        <v>3.947875E-2</v>
      </c>
      <c r="Z3468">
        <v>-2.0052960000000002E-3</v>
      </c>
      <c r="AA3468">
        <v>0.99921839999999995</v>
      </c>
      <c r="AB3468">
        <v>38</v>
      </c>
      <c r="AC3468">
        <v>28.523499999999999</v>
      </c>
      <c r="AD3468">
        <v>-1.109812935348</v>
      </c>
      <c r="AE3468">
        <v>-0.10880000000000201</v>
      </c>
      <c r="AF3468">
        <v>1.1412500774260499</v>
      </c>
      <c r="AG3468">
        <v>-1.109812935348</v>
      </c>
      <c r="AH3468">
        <v>28.457716897134301</v>
      </c>
      <c r="AI3468">
        <v>92.231535155506705</v>
      </c>
      <c r="AJ3468">
        <v>87.703477326263297</v>
      </c>
      <c r="AK3468">
        <v>28.502206712606199</v>
      </c>
      <c r="AL3468">
        <v>80.184701930186407</v>
      </c>
      <c r="AM3468">
        <v>91.777287116393893</v>
      </c>
      <c r="AN3468">
        <v>1.00000000781641</v>
      </c>
    </row>
    <row r="3469" spans="1:40" x14ac:dyDescent="0.25">
      <c r="A3469" t="str">
        <f>"20190304155701437"</f>
        <v>20190304155701437</v>
      </c>
      <c r="B3469" t="str">
        <f>"1551686221427986"</f>
        <v>1551686221427986</v>
      </c>
      <c r="C3469" t="s">
        <v>40</v>
      </c>
      <c r="D3469">
        <v>4.6525889999999999</v>
      </c>
      <c r="E3469">
        <v>0.52328240000000004</v>
      </c>
      <c r="F3469" t="s">
        <v>55</v>
      </c>
      <c r="G3469">
        <v>-366.96719999999999</v>
      </c>
      <c r="H3469" s="1">
        <v>2.1708060000000002E-6</v>
      </c>
      <c r="I3469">
        <v>213.851</v>
      </c>
      <c r="J3469">
        <v>-394.923</v>
      </c>
      <c r="K3469">
        <v>1.109729</v>
      </c>
      <c r="L3469">
        <v>213.9512</v>
      </c>
      <c r="M3469">
        <v>0.99929469999999998</v>
      </c>
      <c r="N3469">
        <v>-8.7175869999999902E-3</v>
      </c>
      <c r="O3469">
        <v>3.6527379999999998E-2</v>
      </c>
      <c r="P3469">
        <v>0.98468420000000001</v>
      </c>
      <c r="Q3469">
        <v>0.16100149999999999</v>
      </c>
      <c r="R3469">
        <v>6.6901450000000001E-2</v>
      </c>
      <c r="S3469">
        <v>3.0673520000000001</v>
      </c>
      <c r="T3469">
        <v>-0.1201874</v>
      </c>
      <c r="U3469">
        <v>-9.3841549999999999E-3</v>
      </c>
      <c r="V3469">
        <v>-3.1062849999999999E-2</v>
      </c>
      <c r="W3469">
        <v>0.1695634</v>
      </c>
      <c r="X3469">
        <v>0.98502959999999995</v>
      </c>
      <c r="Y3469">
        <v>3.953189E-2</v>
      </c>
      <c r="Z3469">
        <v>-2.0586649999999999E-3</v>
      </c>
      <c r="AA3469">
        <v>0.9992162</v>
      </c>
      <c r="AB3469">
        <v>38</v>
      </c>
      <c r="AC3469">
        <v>27.9558</v>
      </c>
      <c r="AD3469">
        <v>-1.1097268291939999</v>
      </c>
      <c r="AE3469">
        <v>-0.1002</v>
      </c>
      <c r="AF3469">
        <v>1.1195598596065</v>
      </c>
      <c r="AG3469">
        <v>-1.1097268291939999</v>
      </c>
      <c r="AH3469">
        <v>27.889535697821302</v>
      </c>
      <c r="AI3469">
        <v>92.276769809471404</v>
      </c>
      <c r="AJ3469">
        <v>87.701229838942496</v>
      </c>
      <c r="AK3469">
        <v>27.934049283172701</v>
      </c>
      <c r="AL3469">
        <v>80.237564615103395</v>
      </c>
      <c r="AM3469">
        <v>91.806220433152902</v>
      </c>
      <c r="AN3469">
        <v>0.99999998007292001</v>
      </c>
    </row>
    <row r="3470" spans="1:40" x14ac:dyDescent="0.25">
      <c r="A3470" t="str">
        <f>"20190304155701460"</f>
        <v>20190304155701460</v>
      </c>
      <c r="B3470" t="str">
        <f>"1551686221448482"</f>
        <v>1551686221448482</v>
      </c>
      <c r="C3470" t="s">
        <v>40</v>
      </c>
      <c r="D3470">
        <v>4.6742419999999996</v>
      </c>
      <c r="E3470">
        <v>0.52342540000000004</v>
      </c>
      <c r="F3470" t="s">
        <v>55</v>
      </c>
      <c r="G3470">
        <v>-367.13819999999998</v>
      </c>
      <c r="H3470" s="1">
        <v>2.2618000000000001E-6</v>
      </c>
      <c r="I3470">
        <v>213.87809999999999</v>
      </c>
      <c r="J3470">
        <v>-394.54250000000002</v>
      </c>
      <c r="K3470">
        <v>1.109639</v>
      </c>
      <c r="L3470">
        <v>213.96530000000001</v>
      </c>
      <c r="M3470">
        <v>0.99928810000000001</v>
      </c>
      <c r="N3470">
        <v>-8.72769199999999E-3</v>
      </c>
      <c r="O3470">
        <v>3.6704349999999997E-2</v>
      </c>
      <c r="P3470">
        <v>0.984649</v>
      </c>
      <c r="Q3470">
        <v>0.1611273</v>
      </c>
      <c r="R3470">
        <v>6.7117220000000005E-2</v>
      </c>
      <c r="S3470">
        <v>3.0672299999999999</v>
      </c>
      <c r="T3470">
        <v>-0.12250519999999999</v>
      </c>
      <c r="U3470">
        <v>-8.0718990000000004E-3</v>
      </c>
      <c r="V3470">
        <v>-3.1068180000000001E-2</v>
      </c>
      <c r="W3470">
        <v>0.169705299999999</v>
      </c>
      <c r="X3470">
        <v>0.98500500000000002</v>
      </c>
      <c r="Y3470">
        <v>3.9279460000000002E-2</v>
      </c>
      <c r="Z3470">
        <v>-2.1004489999999999E-3</v>
      </c>
      <c r="AA3470">
        <v>0.99922599999999995</v>
      </c>
      <c r="AB3470">
        <v>38</v>
      </c>
      <c r="AC3470">
        <v>27.404299999999999</v>
      </c>
      <c r="AD3470">
        <v>-1.1096367381999901</v>
      </c>
      <c r="AE3470">
        <v>-8.7200000000024105E-2</v>
      </c>
      <c r="AF3470">
        <v>1.09124738831389</v>
      </c>
      <c r="AG3470">
        <v>-1.1096367381999901</v>
      </c>
      <c r="AH3470">
        <v>27.337810759260702</v>
      </c>
      <c r="AI3470">
        <v>92.322501741571202</v>
      </c>
      <c r="AJ3470">
        <v>87.7141295639003</v>
      </c>
      <c r="AK3470">
        <v>27.382074641312599</v>
      </c>
      <c r="AL3470">
        <v>80.2293148315118</v>
      </c>
      <c r="AM3470">
        <v>91.806575240119599</v>
      </c>
      <c r="AN3470">
        <v>0.99999998534080103</v>
      </c>
    </row>
    <row r="3471" spans="1:40" x14ac:dyDescent="0.25">
      <c r="A3471" t="str">
        <f>"20190304155701482"</f>
        <v>20190304155701482</v>
      </c>
      <c r="B3471" t="str">
        <f>"1551686221477763"</f>
        <v>1551686221477763</v>
      </c>
      <c r="C3471" t="s">
        <v>40</v>
      </c>
      <c r="D3471">
        <v>4.6960110000000004</v>
      </c>
      <c r="E3471">
        <v>0.52358870000000002</v>
      </c>
      <c r="F3471" t="s">
        <v>55</v>
      </c>
      <c r="G3471">
        <v>-366.5181</v>
      </c>
      <c r="H3471" s="1">
        <v>1.9318019999999999E-6</v>
      </c>
      <c r="I3471">
        <v>213.88749999999999</v>
      </c>
      <c r="J3471">
        <v>-394.15969999999999</v>
      </c>
      <c r="K3471">
        <v>1.1095469999999901</v>
      </c>
      <c r="L3471">
        <v>213.9794</v>
      </c>
      <c r="M3471">
        <v>0.99928530000000004</v>
      </c>
      <c r="N3471">
        <v>-8.7378809999999994E-3</v>
      </c>
      <c r="O3471">
        <v>3.6778539999999998E-2</v>
      </c>
      <c r="P3471">
        <v>0.9846258</v>
      </c>
      <c r="Q3471">
        <v>0.16132369999999999</v>
      </c>
      <c r="R3471">
        <v>6.6982819999999998E-2</v>
      </c>
      <c r="S3471">
        <v>3.0672299999999999</v>
      </c>
      <c r="T3471">
        <v>-0.12144779999999999</v>
      </c>
      <c r="U3471">
        <v>-8.5144039999999997E-3</v>
      </c>
      <c r="V3471">
        <v>-3.0825140000000001E-2</v>
      </c>
      <c r="W3471">
        <v>0.16991870000000001</v>
      </c>
      <c r="X3471">
        <v>0.98497590000000002</v>
      </c>
      <c r="Y3471">
        <v>3.9498560000000002E-2</v>
      </c>
      <c r="Z3471">
        <v>-2.088454E-3</v>
      </c>
      <c r="AA3471">
        <v>0.99921749999999998</v>
      </c>
      <c r="AB3471">
        <v>38</v>
      </c>
      <c r="AC3471">
        <v>27.641599999999901</v>
      </c>
      <c r="AD3471">
        <v>-1.1095450681979999</v>
      </c>
      <c r="AE3471">
        <v>-9.1900000000009599E-2</v>
      </c>
      <c r="AF3471">
        <v>1.1067110893699501</v>
      </c>
      <c r="AG3471">
        <v>-1.1095450681979999</v>
      </c>
      <c r="AH3471">
        <v>27.575087383083901</v>
      </c>
      <c r="AI3471">
        <v>92.302328820529993</v>
      </c>
      <c r="AJ3471">
        <v>87.701698630631199</v>
      </c>
      <c r="AK3471">
        <v>27.6195826159341</v>
      </c>
      <c r="AL3471">
        <v>80.216908244306694</v>
      </c>
      <c r="AM3471">
        <v>91.792504949440996</v>
      </c>
      <c r="AN3471">
        <v>1.0000000387232499</v>
      </c>
    </row>
    <row r="3472" spans="1:40" x14ac:dyDescent="0.25">
      <c r="A3472" t="str">
        <f>"20190304155701508"</f>
        <v>20190304155701508</v>
      </c>
      <c r="B3472" t="str">
        <f>"1551686221498259"</f>
        <v>1551686221498259</v>
      </c>
      <c r="C3472" t="s">
        <v>40</v>
      </c>
      <c r="D3472">
        <v>4.6664770000000004</v>
      </c>
      <c r="E3472">
        <v>0.52371459999999903</v>
      </c>
      <c r="F3472" t="s">
        <v>55</v>
      </c>
      <c r="G3472">
        <v>-365.92860000000002</v>
      </c>
      <c r="H3472" s="1">
        <v>1.618145E-6</v>
      </c>
      <c r="I3472">
        <v>213.8886</v>
      </c>
      <c r="J3472">
        <v>-393.74349999999998</v>
      </c>
      <c r="K3472">
        <v>1.1094440000000001</v>
      </c>
      <c r="L3472">
        <v>213.99469999999999</v>
      </c>
      <c r="M3472">
        <v>0.99928669999999997</v>
      </c>
      <c r="N3472">
        <v>-8.7490060000000001E-3</v>
      </c>
      <c r="O3472">
        <v>3.6740580000000002E-2</v>
      </c>
      <c r="P3472">
        <v>0.98462079999999996</v>
      </c>
      <c r="Q3472">
        <v>0.1611928</v>
      </c>
      <c r="R3472">
        <v>6.7371429999999996E-2</v>
      </c>
      <c r="S3472">
        <v>3.0672299999999999</v>
      </c>
      <c r="T3472">
        <v>-0.1205492</v>
      </c>
      <c r="U3472">
        <v>-9.8724369999999995E-3</v>
      </c>
      <c r="V3472">
        <v>-3.1209480000000001E-2</v>
      </c>
      <c r="W3472">
        <v>0.16980590000000001</v>
      </c>
      <c r="X3472">
        <v>0.98498319999999995</v>
      </c>
      <c r="Y3472">
        <v>3.9903479999999998E-2</v>
      </c>
      <c r="Z3472">
        <v>-2.080293E-3</v>
      </c>
      <c r="AA3472">
        <v>0.99920140000000002</v>
      </c>
      <c r="AB3472">
        <v>38</v>
      </c>
      <c r="AC3472">
        <v>27.814899999999898</v>
      </c>
      <c r="AD3472">
        <v>-1.1094423818549899</v>
      </c>
      <c r="AE3472">
        <v>-0.106099999999997</v>
      </c>
      <c r="AF3472">
        <v>1.1262111558908201</v>
      </c>
      <c r="AG3472">
        <v>-1.1094423818549899</v>
      </c>
      <c r="AH3472">
        <v>27.748075699533199</v>
      </c>
      <c r="AI3472">
        <v>92.287737641101202</v>
      </c>
      <c r="AJ3472">
        <v>87.675811836612993</v>
      </c>
      <c r="AK3472">
        <v>27.793073219659199</v>
      </c>
      <c r="AL3472">
        <v>80.223466031019896</v>
      </c>
      <c r="AM3472">
        <v>91.814826312598797</v>
      </c>
      <c r="AN3472">
        <v>0.99999998979946003</v>
      </c>
    </row>
    <row r="3473" spans="1:40" x14ac:dyDescent="0.25">
      <c r="A3473" t="str">
        <f>"20190304155701528"</f>
        <v>20190304155701528</v>
      </c>
      <c r="B3473" t="str">
        <f>"1551686221517779"</f>
        <v>1551686221517779</v>
      </c>
      <c r="C3473" t="s">
        <v>40</v>
      </c>
      <c r="D3473">
        <v>4.5396799999999997</v>
      </c>
      <c r="E3473">
        <v>0.52377649999999998</v>
      </c>
      <c r="F3473" t="s">
        <v>55</v>
      </c>
      <c r="G3473">
        <v>-365.4298</v>
      </c>
      <c r="H3473" s="1">
        <v>1.3526650000000001E-6</v>
      </c>
      <c r="I3473">
        <v>213.9007</v>
      </c>
      <c r="J3473">
        <v>-393.3793</v>
      </c>
      <c r="K3473">
        <v>1.1093519999999999</v>
      </c>
      <c r="L3473">
        <v>214.00810000000001</v>
      </c>
      <c r="M3473">
        <v>0.9992917</v>
      </c>
      <c r="N3473">
        <v>-8.7588370000000002E-3</v>
      </c>
      <c r="O3473">
        <v>3.6602229999999999E-2</v>
      </c>
      <c r="P3473">
        <v>0.98455230000000005</v>
      </c>
      <c r="Q3473">
        <v>0.16148289999999901</v>
      </c>
      <c r="R3473">
        <v>6.7678879999999997E-2</v>
      </c>
      <c r="S3473">
        <v>3.0672299999999999</v>
      </c>
      <c r="T3473">
        <v>-0.12018620000000001</v>
      </c>
      <c r="U3473">
        <v>-1.019287E-2</v>
      </c>
      <c r="V3473">
        <v>-3.1616390000000001E-2</v>
      </c>
      <c r="W3473">
        <v>0.17011229999999999</v>
      </c>
      <c r="X3473">
        <v>0.9849173</v>
      </c>
      <c r="Y3473">
        <v>3.9869969999999998E-2</v>
      </c>
      <c r="Z3473">
        <v>-2.0684190000000002E-3</v>
      </c>
      <c r="AA3473">
        <v>0.9992027</v>
      </c>
      <c r="AB3473">
        <v>38</v>
      </c>
      <c r="AC3473">
        <v>27.9495</v>
      </c>
      <c r="AD3473">
        <v>-1.1093506473350001</v>
      </c>
      <c r="AE3473">
        <v>-0.107400000000012</v>
      </c>
      <c r="AF3473">
        <v>1.1286031532005301</v>
      </c>
      <c r="AG3473">
        <v>-1.1093506473350001</v>
      </c>
      <c r="AH3473">
        <v>27.882912800844</v>
      </c>
      <c r="AI3473">
        <v>92.276508311165202</v>
      </c>
      <c r="AJ3473">
        <v>87.682131762947193</v>
      </c>
      <c r="AK3473">
        <v>27.9277859880733</v>
      </c>
      <c r="AL3473">
        <v>80.205650921599101</v>
      </c>
      <c r="AM3473">
        <v>91.8385948570659</v>
      </c>
      <c r="AN3473">
        <v>0.99999993928360398</v>
      </c>
    </row>
    <row r="3474" spans="1:40" x14ac:dyDescent="0.25">
      <c r="A3474" t="str">
        <f>"20190304155701549"</f>
        <v>20190304155701549</v>
      </c>
      <c r="B3474" t="str">
        <f>"1551686221538278"</f>
        <v>1551686221538278</v>
      </c>
      <c r="C3474" t="s">
        <v>40</v>
      </c>
      <c r="D3474">
        <v>4.692482</v>
      </c>
      <c r="E3474">
        <v>0.52388020000000002</v>
      </c>
      <c r="F3474" t="s">
        <v>55</v>
      </c>
      <c r="G3474">
        <v>-364.97570000000002</v>
      </c>
      <c r="H3474" s="1">
        <v>1.1110560000000001E-6</v>
      </c>
      <c r="I3474">
        <v>213.91679999999999</v>
      </c>
      <c r="J3474">
        <v>-393.02289999999999</v>
      </c>
      <c r="K3474">
        <v>1.109256</v>
      </c>
      <c r="L3474">
        <v>214.02099999999999</v>
      </c>
      <c r="M3474">
        <v>0.99929979999999996</v>
      </c>
      <c r="N3474">
        <v>-8.7685880000000008E-3</v>
      </c>
      <c r="O3474">
        <v>3.6378319999999999E-2</v>
      </c>
      <c r="P3474">
        <v>0.98453630000000003</v>
      </c>
      <c r="Q3474">
        <v>0.1613241</v>
      </c>
      <c r="R3474">
        <v>6.8288849999999998E-2</v>
      </c>
      <c r="S3474">
        <v>3.067383</v>
      </c>
      <c r="T3474">
        <v>-0.11980200000000001</v>
      </c>
      <c r="U3474">
        <v>-9.8571779999999994E-3</v>
      </c>
      <c r="V3474">
        <v>-3.2409019999999997E-2</v>
      </c>
      <c r="W3474">
        <v>0.16997029999999999</v>
      </c>
      <c r="X3474">
        <v>0.98491609999999996</v>
      </c>
      <c r="Y3474">
        <v>3.9537339999999997E-2</v>
      </c>
      <c r="Z3474">
        <v>-2.0463450000000002E-3</v>
      </c>
      <c r="AA3474">
        <v>0.99921599999999999</v>
      </c>
      <c r="AB3474">
        <v>38</v>
      </c>
      <c r="AC3474">
        <v>28.047199999999901</v>
      </c>
      <c r="AD3474">
        <v>-1.1092548889439999</v>
      </c>
      <c r="AE3474">
        <v>-0.10419999999999099</v>
      </c>
      <c r="AF3474">
        <v>1.1227239777159601</v>
      </c>
      <c r="AG3474">
        <v>-1.1092548889439999</v>
      </c>
      <c r="AH3474">
        <v>27.981076557441501</v>
      </c>
      <c r="AI3474">
        <v>92.268366668521395</v>
      </c>
      <c r="AJ3474">
        <v>87.702273641641995</v>
      </c>
      <c r="AK3474">
        <v>28.025552641334102</v>
      </c>
      <c r="AL3474">
        <v>80.2139076181045</v>
      </c>
      <c r="AM3474">
        <v>91.884658302483501</v>
      </c>
      <c r="AN3474">
        <v>0.99999998574933002</v>
      </c>
    </row>
    <row r="3475" spans="1:40" x14ac:dyDescent="0.25">
      <c r="A3475" t="str">
        <f>"20190304155701573"</f>
        <v>20190304155701573</v>
      </c>
      <c r="B3475" t="str">
        <f>"1551686221567554"</f>
        <v>1551686221567554</v>
      </c>
      <c r="C3475" t="s">
        <v>40</v>
      </c>
      <c r="D3475">
        <v>4.6997269999999904</v>
      </c>
      <c r="E3475">
        <v>0.52404649999999997</v>
      </c>
      <c r="F3475" t="s">
        <v>55</v>
      </c>
      <c r="G3475">
        <v>-364.48559999999998</v>
      </c>
      <c r="H3475" s="1">
        <v>8.5019909999999899E-7</v>
      </c>
      <c r="I3475">
        <v>213.9402</v>
      </c>
      <c r="J3475">
        <v>-392.62369999999999</v>
      </c>
      <c r="K3475">
        <v>1.109148</v>
      </c>
      <c r="L3475">
        <v>214.0352</v>
      </c>
      <c r="M3475">
        <v>0.99931199999999998</v>
      </c>
      <c r="N3475">
        <v>-8.7793669999999997E-3</v>
      </c>
      <c r="O3475">
        <v>3.6033889999999999E-2</v>
      </c>
      <c r="P3475">
        <v>0.98449819999999999</v>
      </c>
      <c r="Q3475">
        <v>0.16133059999999999</v>
      </c>
      <c r="R3475">
        <v>6.8819160000000004E-2</v>
      </c>
      <c r="S3475">
        <v>3.0672609999999998</v>
      </c>
      <c r="T3475">
        <v>-0.1192255</v>
      </c>
      <c r="U3475">
        <v>-8.6822510000000002E-3</v>
      </c>
      <c r="V3475">
        <v>-3.3237309999999999E-2</v>
      </c>
      <c r="W3475">
        <v>0.1699957</v>
      </c>
      <c r="X3475">
        <v>0.98488410000000004</v>
      </c>
      <c r="Y3475">
        <v>3.881167E-2</v>
      </c>
      <c r="Z3475">
        <v>-2.008073E-3</v>
      </c>
      <c r="AA3475">
        <v>0.99924449999999998</v>
      </c>
      <c r="AB3475">
        <v>38</v>
      </c>
      <c r="AC3475">
        <v>28.138100000000001</v>
      </c>
      <c r="AD3475">
        <v>-1.1091471498009</v>
      </c>
      <c r="AE3475">
        <v>-9.4999999999998794E-2</v>
      </c>
      <c r="AF3475">
        <v>1.1071822859537299</v>
      </c>
      <c r="AG3475">
        <v>-1.1091471498009</v>
      </c>
      <c r="AH3475">
        <v>28.0727831124583</v>
      </c>
      <c r="AI3475">
        <v>92.260806247005505</v>
      </c>
      <c r="AJ3475">
        <v>87.741441924989999</v>
      </c>
      <c r="AK3475">
        <v>28.116493588165799</v>
      </c>
      <c r="AL3475">
        <v>80.212430693388399</v>
      </c>
      <c r="AM3475">
        <v>91.932851924613999</v>
      </c>
      <c r="AN3475">
        <v>0.99999997361366699</v>
      </c>
    </row>
    <row r="3476" spans="1:40" x14ac:dyDescent="0.25">
      <c r="A3476" t="str">
        <f>"20190304155701594"</f>
        <v>20190304155701594</v>
      </c>
      <c r="B3476" t="str">
        <f>"1551686221588052"</f>
        <v>1551686221588052</v>
      </c>
      <c r="C3476" t="s">
        <v>40</v>
      </c>
      <c r="D3476">
        <v>4.6993</v>
      </c>
      <c r="E3476">
        <v>0.52418670000000001</v>
      </c>
      <c r="F3476" t="s">
        <v>55</v>
      </c>
      <c r="G3476">
        <v>-363.8716</v>
      </c>
      <c r="H3476" s="1">
        <v>5.2345540000000005E-7</v>
      </c>
      <c r="I3476">
        <v>213.95189999999999</v>
      </c>
      <c r="J3476">
        <v>-392.23739999999998</v>
      </c>
      <c r="K3476">
        <v>1.109056</v>
      </c>
      <c r="L3476">
        <v>214.0489</v>
      </c>
      <c r="M3476">
        <v>0.99932659999999995</v>
      </c>
      <c r="N3476">
        <v>-8.7898779999999992E-3</v>
      </c>
      <c r="O3476">
        <v>3.5625280000000002E-2</v>
      </c>
      <c r="P3476">
        <v>0.98456010000000005</v>
      </c>
      <c r="Q3476">
        <v>0.16100729999999999</v>
      </c>
      <c r="R3476">
        <v>6.8689239999999999E-2</v>
      </c>
      <c r="S3476">
        <v>3.0672609999999998</v>
      </c>
      <c r="T3476">
        <v>-0.11832330000000001</v>
      </c>
      <c r="U3476">
        <v>-8.8958739999999998E-3</v>
      </c>
      <c r="V3476">
        <v>-3.347203E-2</v>
      </c>
      <c r="W3476">
        <v>0.1696907</v>
      </c>
      <c r="X3476">
        <v>0.98492880000000005</v>
      </c>
      <c r="Y3476">
        <v>3.847399E-2</v>
      </c>
      <c r="Z3476">
        <v>-1.9714559999999999E-3</v>
      </c>
      <c r="AA3476">
        <v>0.99925770000000003</v>
      </c>
      <c r="AB3476">
        <v>38</v>
      </c>
      <c r="AC3476">
        <v>28.365799999999901</v>
      </c>
      <c r="AD3476">
        <v>-1.1090554765445999</v>
      </c>
      <c r="AE3476">
        <v>-9.7000000000008399E-2</v>
      </c>
      <c r="AF3476">
        <v>1.1058265561043601</v>
      </c>
      <c r="AG3476">
        <v>-1.1090554765445999</v>
      </c>
      <c r="AH3476">
        <v>28.3010739632407</v>
      </c>
      <c r="AI3476">
        <v>92.242435105186004</v>
      </c>
      <c r="AJ3476">
        <v>87.762382460964403</v>
      </c>
      <c r="AK3476">
        <v>28.3443758776774</v>
      </c>
      <c r="AL3476">
        <v>80.230164060037595</v>
      </c>
      <c r="AM3476">
        <v>91.946402880535302</v>
      </c>
      <c r="AN3476">
        <v>1.0000000257641199</v>
      </c>
    </row>
    <row r="3477" spans="1:40" x14ac:dyDescent="0.25">
      <c r="A3477" t="str">
        <f>"20190304155701616"</f>
        <v>20190304155701616</v>
      </c>
      <c r="B3477" t="str">
        <f>"1551686221607571"</f>
        <v>1551686221607571</v>
      </c>
      <c r="C3477" t="s">
        <v>40</v>
      </c>
      <c r="D3477">
        <v>4.7459030000000002</v>
      </c>
      <c r="E3477">
        <v>0.52425959999999905</v>
      </c>
      <c r="F3477" t="s">
        <v>55</v>
      </c>
      <c r="G3477">
        <v>-363.56799999999998</v>
      </c>
      <c r="H3477" s="1">
        <v>3.6190929999999999E-7</v>
      </c>
      <c r="I3477">
        <v>213.9479</v>
      </c>
      <c r="J3477">
        <v>-391.86970000000002</v>
      </c>
      <c r="K3477">
        <v>1.1089899999999999</v>
      </c>
      <c r="L3477">
        <v>214.0616</v>
      </c>
      <c r="M3477">
        <v>0.99934199999999995</v>
      </c>
      <c r="N3477">
        <v>-8.7998130000000001E-3</v>
      </c>
      <c r="O3477">
        <v>3.5185139999999997E-2</v>
      </c>
      <c r="P3477">
        <v>0.9846665</v>
      </c>
      <c r="Q3477">
        <v>0.16061929999999999</v>
      </c>
      <c r="R3477">
        <v>6.8068970000000006E-2</v>
      </c>
      <c r="S3477">
        <v>3.0672000000000001</v>
      </c>
      <c r="T3477">
        <v>-0.11865249999999999</v>
      </c>
      <c r="U3477">
        <v>-1.0803220000000001E-2</v>
      </c>
      <c r="V3477">
        <v>-3.3253919999999999E-2</v>
      </c>
      <c r="W3477">
        <v>0.16931849999999901</v>
      </c>
      <c r="X3477">
        <v>0.98500019999999999</v>
      </c>
      <c r="Y3477">
        <v>3.8655080000000001E-2</v>
      </c>
      <c r="Z3477">
        <v>-1.9683790000000001E-3</v>
      </c>
      <c r="AA3477">
        <v>0.99925070000000005</v>
      </c>
      <c r="AB3477">
        <v>38</v>
      </c>
      <c r="AC3477">
        <v>28.301699999999901</v>
      </c>
      <c r="AD3477">
        <v>-1.1089896380906901</v>
      </c>
      <c r="AE3477">
        <v>-0.113699999999994</v>
      </c>
      <c r="AF3477">
        <v>1.10776662501139</v>
      </c>
      <c r="AG3477">
        <v>-1.1089896380906901</v>
      </c>
      <c r="AH3477">
        <v>28.236818890671799</v>
      </c>
      <c r="AI3477">
        <v>92.247385592577899</v>
      </c>
      <c r="AJ3477">
        <v>87.753365196298503</v>
      </c>
      <c r="AK3477">
        <v>28.280292536985598</v>
      </c>
      <c r="AL3477">
        <v>80.251802279339103</v>
      </c>
      <c r="AM3477">
        <v>91.9335893519346</v>
      </c>
      <c r="AN3477">
        <v>0.99999998581882799</v>
      </c>
    </row>
    <row r="3478" spans="1:40" x14ac:dyDescent="0.25">
      <c r="A3478" t="str">
        <f>"20190304155701639"</f>
        <v>20190304155701639</v>
      </c>
      <c r="B3478" t="str">
        <f>"1551686221628070"</f>
        <v>1551686221628070</v>
      </c>
      <c r="C3478" t="s">
        <v>40</v>
      </c>
      <c r="D3478">
        <v>4.7300079999999998</v>
      </c>
      <c r="E3478">
        <v>0.52436309999999997</v>
      </c>
      <c r="F3478" t="s">
        <v>55</v>
      </c>
      <c r="G3478">
        <v>-363.40300000000002</v>
      </c>
      <c r="H3478" s="1">
        <v>2.7409910000000002E-7</v>
      </c>
      <c r="I3478">
        <v>213.9408</v>
      </c>
      <c r="J3478">
        <v>-391.46620000000001</v>
      </c>
      <c r="K3478">
        <v>1.108927</v>
      </c>
      <c r="L3478">
        <v>214.0754</v>
      </c>
      <c r="M3478">
        <v>0.99936040000000004</v>
      </c>
      <c r="N3478">
        <v>-8.8106039999999997E-3</v>
      </c>
      <c r="O3478">
        <v>3.4658910000000001E-2</v>
      </c>
      <c r="P3478">
        <v>0.98477749999999997</v>
      </c>
      <c r="Q3478">
        <v>0.16009300000000001</v>
      </c>
      <c r="R3478">
        <v>6.7703239999999998E-2</v>
      </c>
      <c r="S3478">
        <v>3.0671080000000002</v>
      </c>
      <c r="T3478">
        <v>-0.1194867</v>
      </c>
      <c r="U3478">
        <v>-1.301575E-2</v>
      </c>
      <c r="V3478">
        <v>-3.3379470000000001E-2</v>
      </c>
      <c r="W3478">
        <v>0.1688086</v>
      </c>
      <c r="X3478">
        <v>0.9850835</v>
      </c>
      <c r="Y3478">
        <v>3.8849130000000003E-2</v>
      </c>
      <c r="Z3478">
        <v>-1.9718719999999999E-3</v>
      </c>
      <c r="AA3478">
        <v>0.99924310000000005</v>
      </c>
      <c r="AB3478">
        <v>39</v>
      </c>
      <c r="AC3478">
        <v>28.063199999999899</v>
      </c>
      <c r="AD3478">
        <v>-1.1089267259008999</v>
      </c>
      <c r="AE3478">
        <v>-0.13460000000000599</v>
      </c>
      <c r="AF3478">
        <v>1.1054706555120899</v>
      </c>
      <c r="AG3478">
        <v>-1.1089267259008999</v>
      </c>
      <c r="AH3478">
        <v>27.997956308203101</v>
      </c>
      <c r="AI3478">
        <v>92.266388164592101</v>
      </c>
      <c r="AJ3478">
        <v>87.738909288314005</v>
      </c>
      <c r="AK3478">
        <v>28.041707175021699</v>
      </c>
      <c r="AL3478">
        <v>80.281444395464106</v>
      </c>
      <c r="AM3478">
        <v>91.940720037134597</v>
      </c>
      <c r="AN3478">
        <v>1.00000001721184</v>
      </c>
    </row>
    <row r="3479" spans="1:40" x14ac:dyDescent="0.25">
      <c r="A3479" t="str">
        <f>"20190304155701660"</f>
        <v>20190304155701660</v>
      </c>
      <c r="B3479" t="str">
        <f>"1551686221658323"</f>
        <v>1551686221658323</v>
      </c>
      <c r="C3479" t="s">
        <v>40</v>
      </c>
      <c r="D3479">
        <v>4.8183949999999998</v>
      </c>
      <c r="E3479">
        <v>0.52454959999999995</v>
      </c>
      <c r="F3479" t="s">
        <v>55</v>
      </c>
      <c r="G3479">
        <v>-363.35019999999997</v>
      </c>
      <c r="H3479" s="1">
        <v>2.4599769999999997E-7</v>
      </c>
      <c r="I3479">
        <v>213.9401</v>
      </c>
      <c r="J3479">
        <v>-391.10149999999999</v>
      </c>
      <c r="K3479">
        <v>1.108881</v>
      </c>
      <c r="L3479">
        <v>214.08760000000001</v>
      </c>
      <c r="M3479">
        <v>0.99937770000000004</v>
      </c>
      <c r="N3479">
        <v>-8.8203329999999996E-3</v>
      </c>
      <c r="O3479">
        <v>3.4157550000000002E-2</v>
      </c>
      <c r="P3479">
        <v>0.98493399999999998</v>
      </c>
      <c r="Q3479">
        <v>0.15936520000000001</v>
      </c>
      <c r="R3479">
        <v>6.7142229999999997E-2</v>
      </c>
      <c r="S3479">
        <v>3.067078</v>
      </c>
      <c r="T3479">
        <v>-0.1209686</v>
      </c>
      <c r="U3479">
        <v>-1.4755249999999999E-2</v>
      </c>
      <c r="V3479">
        <v>-3.3291050000000003E-2</v>
      </c>
      <c r="W3479">
        <v>0.16809460000000001</v>
      </c>
      <c r="X3479">
        <v>0.98520859999999999</v>
      </c>
      <c r="Y3479">
        <v>3.8913440000000001E-2</v>
      </c>
      <c r="Z3479">
        <v>-1.9840650000000001E-3</v>
      </c>
      <c r="AA3479">
        <v>0.99924060000000003</v>
      </c>
      <c r="AB3479">
        <v>39</v>
      </c>
      <c r="AC3479">
        <v>27.751300000000001</v>
      </c>
      <c r="AD3479">
        <v>-1.1088807540023</v>
      </c>
      <c r="AE3479">
        <v>-0.14750000000000699</v>
      </c>
      <c r="AF3479">
        <v>1.09362100668252</v>
      </c>
      <c r="AG3479">
        <v>-1.1088807540023</v>
      </c>
      <c r="AH3479">
        <v>27.685863631327699</v>
      </c>
      <c r="AI3479">
        <v>92.291812786763003</v>
      </c>
      <c r="AJ3479">
        <v>87.737931918045007</v>
      </c>
      <c r="AK3479">
        <v>27.7296352021683</v>
      </c>
      <c r="AL3479">
        <v>80.322946846295693</v>
      </c>
      <c r="AM3479">
        <v>91.935337524277202</v>
      </c>
      <c r="AN3479">
        <v>1.00000003703661</v>
      </c>
    </row>
    <row r="3480" spans="1:40" x14ac:dyDescent="0.25">
      <c r="A3480" t="str">
        <f>"20190304155701684"</f>
        <v>20190304155701684</v>
      </c>
      <c r="B3480" t="str">
        <f>"1551686221677843"</f>
        <v>1551686221677843</v>
      </c>
      <c r="C3480" t="s">
        <v>40</v>
      </c>
      <c r="D3480">
        <v>4.7319129999999996</v>
      </c>
      <c r="E3480">
        <v>0.52461639999999998</v>
      </c>
      <c r="F3480" t="s">
        <v>55</v>
      </c>
      <c r="G3480">
        <v>-363.27670000000001</v>
      </c>
      <c r="H3480" s="1">
        <v>2.0690770000000001E-7</v>
      </c>
      <c r="I3480">
        <v>213.92570000000001</v>
      </c>
      <c r="J3480">
        <v>-390.6918</v>
      </c>
      <c r="K3480">
        <v>1.108835</v>
      </c>
      <c r="L3480">
        <v>214.10120000000001</v>
      </c>
      <c r="M3480">
        <v>0.99939719999999999</v>
      </c>
      <c r="N3480">
        <v>-8.8313109999999997E-3</v>
      </c>
      <c r="O3480">
        <v>3.3577379999999997E-2</v>
      </c>
      <c r="P3480">
        <v>0.98508850000000003</v>
      </c>
      <c r="Q3480">
        <v>0.15881789999999901</v>
      </c>
      <c r="R3480">
        <v>6.6165860000000007E-2</v>
      </c>
      <c r="S3480">
        <v>3.0668950000000001</v>
      </c>
      <c r="T3480">
        <v>-0.1222225</v>
      </c>
      <c r="U3480">
        <v>-1.7852779999999999E-2</v>
      </c>
      <c r="V3480">
        <v>-3.2867510000000003E-2</v>
      </c>
      <c r="W3480">
        <v>0.1675625</v>
      </c>
      <c r="X3480">
        <v>0.98531340000000001</v>
      </c>
      <c r="Y3480">
        <v>3.9341569999999999E-2</v>
      </c>
      <c r="Z3480">
        <v>-1.9983700000000002E-3</v>
      </c>
      <c r="AA3480">
        <v>0.9992238</v>
      </c>
      <c r="AB3480">
        <v>39</v>
      </c>
      <c r="AC3480">
        <v>27.415099999999899</v>
      </c>
      <c r="AD3480">
        <v>-1.1088347930922999</v>
      </c>
      <c r="AE3480">
        <v>-0.17549999999999899</v>
      </c>
      <c r="AF3480">
        <v>1.0941741958193301</v>
      </c>
      <c r="AG3480">
        <v>-1.1088347930922999</v>
      </c>
      <c r="AH3480">
        <v>27.349008804023899</v>
      </c>
      <c r="AI3480">
        <v>92.319867477023195</v>
      </c>
      <c r="AJ3480">
        <v>87.708942673771006</v>
      </c>
      <c r="AK3480">
        <v>27.393338867902699</v>
      </c>
      <c r="AL3480">
        <v>80.353872022838601</v>
      </c>
      <c r="AM3480">
        <v>91.910530795187</v>
      </c>
      <c r="AN3480">
        <v>0.99999998041970395</v>
      </c>
    </row>
    <row r="3481" spans="1:40" x14ac:dyDescent="0.25">
      <c r="A3481" t="str">
        <f>"20190304155701708"</f>
        <v>20190304155701708</v>
      </c>
      <c r="B3481" t="str">
        <f>"1551686221698339"</f>
        <v>1551686221698339</v>
      </c>
      <c r="C3481" t="s">
        <v>40</v>
      </c>
      <c r="D3481">
        <v>4.7417109999999996</v>
      </c>
      <c r="E3481">
        <v>0.52471319999999999</v>
      </c>
      <c r="F3481" t="s">
        <v>55</v>
      </c>
      <c r="G3481">
        <v>-363.17180000000002</v>
      </c>
      <c r="H3481" s="1">
        <v>1.5108560000000001E-7</v>
      </c>
      <c r="I3481">
        <v>213.911</v>
      </c>
      <c r="J3481">
        <v>-390.28219999999999</v>
      </c>
      <c r="K3481">
        <v>1.1088020000000001</v>
      </c>
      <c r="L3481">
        <v>214.11449999999999</v>
      </c>
      <c r="M3481">
        <v>0.99941659999999999</v>
      </c>
      <c r="N3481">
        <v>-8.8420010000000004E-3</v>
      </c>
      <c r="O3481">
        <v>3.2989190000000002E-2</v>
      </c>
      <c r="P3481">
        <v>0.98519409999999996</v>
      </c>
      <c r="Q3481">
        <v>0.15853689999999901</v>
      </c>
      <c r="R3481">
        <v>6.5260310000000002E-2</v>
      </c>
      <c r="S3481">
        <v>3.0667110000000002</v>
      </c>
      <c r="T3481">
        <v>-0.12356399999999999</v>
      </c>
      <c r="U3481">
        <v>-2.1194459999999998E-2</v>
      </c>
      <c r="V3481">
        <v>-3.2526970000000002E-2</v>
      </c>
      <c r="W3481">
        <v>0.16729459999999999</v>
      </c>
      <c r="X3481">
        <v>0.98537019999999997</v>
      </c>
      <c r="Y3481">
        <v>3.9841179999999997E-2</v>
      </c>
      <c r="Z3481">
        <v>-2.0154080000000002E-3</v>
      </c>
      <c r="AA3481">
        <v>0.99920399999999998</v>
      </c>
      <c r="AB3481">
        <v>39</v>
      </c>
      <c r="AC3481">
        <v>27.110399999999899</v>
      </c>
      <c r="AD3481">
        <v>-1.10880184891439</v>
      </c>
      <c r="AE3481">
        <v>-0.203500000000019</v>
      </c>
      <c r="AF3481">
        <v>1.09594117028209</v>
      </c>
      <c r="AG3481">
        <v>-1.10880184891439</v>
      </c>
      <c r="AH3481">
        <v>27.043694013926402</v>
      </c>
      <c r="AI3481">
        <v>92.345910620910999</v>
      </c>
      <c r="AJ3481">
        <v>87.679367938009307</v>
      </c>
      <c r="AK3481">
        <v>27.088593808238802</v>
      </c>
      <c r="AL3481">
        <v>80.369441127462494</v>
      </c>
      <c r="AM3481">
        <v>91.890641334375999</v>
      </c>
      <c r="AN3481">
        <v>0.999999959007289</v>
      </c>
    </row>
    <row r="3482" spans="1:40" x14ac:dyDescent="0.25">
      <c r="A3482" t="str">
        <f>"20190304155701731"</f>
        <v>20190304155701731</v>
      </c>
      <c r="B3482" t="str">
        <f>"1551686221728597"</f>
        <v>1551686221728597</v>
      </c>
      <c r="C3482" t="s">
        <v>40</v>
      </c>
      <c r="D3482">
        <v>4.6574080000000002</v>
      </c>
      <c r="E3482">
        <v>0.52485700000000002</v>
      </c>
      <c r="F3482" t="s">
        <v>55</v>
      </c>
      <c r="G3482">
        <v>-362.81990000000002</v>
      </c>
      <c r="H3482" s="1">
        <v>-3.6200960000000002E-8</v>
      </c>
      <c r="I3482">
        <v>213.89150000000001</v>
      </c>
      <c r="J3482">
        <v>-389.88159999999999</v>
      </c>
      <c r="K3482">
        <v>1.1087720000000001</v>
      </c>
      <c r="L3482">
        <v>214.12729999999999</v>
      </c>
      <c r="M3482">
        <v>0.99943539999999997</v>
      </c>
      <c r="N3482">
        <v>-8.8522949999999996E-3</v>
      </c>
      <c r="O3482">
        <v>3.2412330000000003E-2</v>
      </c>
      <c r="P3482">
        <v>0.98520280000000005</v>
      </c>
      <c r="Q3482">
        <v>0.15887019999999999</v>
      </c>
      <c r="R3482">
        <v>6.4309539999999998E-2</v>
      </c>
      <c r="S3482">
        <v>3.0666199999999999</v>
      </c>
      <c r="T3482">
        <v>-0.1238158</v>
      </c>
      <c r="U3482">
        <v>-2.4902339999999999E-2</v>
      </c>
      <c r="V3482">
        <v>-3.2134129999999997E-2</v>
      </c>
      <c r="W3482">
        <v>0.16763919999999999</v>
      </c>
      <c r="X3482">
        <v>0.98532459999999999</v>
      </c>
      <c r="Y3482">
        <v>4.0472149999999998E-2</v>
      </c>
      <c r="Z3482">
        <v>-2.0170370000000002E-3</v>
      </c>
      <c r="AA3482">
        <v>0.99917860000000003</v>
      </c>
      <c r="AB3482">
        <v>39</v>
      </c>
      <c r="AC3482">
        <v>27.061699999999899</v>
      </c>
      <c r="AD3482">
        <v>-1.1087720362009601</v>
      </c>
      <c r="AE3482">
        <v>-0.235799999999983</v>
      </c>
      <c r="AF3482">
        <v>1.1109783357629299</v>
      </c>
      <c r="AG3482">
        <v>-1.1087720362009601</v>
      </c>
      <c r="AH3482">
        <v>26.9945246631648</v>
      </c>
      <c r="AI3482">
        <v>92.350055308770294</v>
      </c>
      <c r="AJ3482">
        <v>87.643282555336</v>
      </c>
      <c r="AK3482">
        <v>27.0401185293446</v>
      </c>
      <c r="AL3482">
        <v>80.3494149197561</v>
      </c>
      <c r="AM3482">
        <v>91.867910027158402</v>
      </c>
      <c r="AN3482">
        <v>1.0000000355263201</v>
      </c>
    </row>
    <row r="3483" spans="1:40" x14ac:dyDescent="0.25">
      <c r="A3483" t="str">
        <f>"20190304155701819"</f>
        <v>20190304155701819</v>
      </c>
      <c r="B3483" t="str">
        <f>"1551686221808627"</f>
        <v>1551686221808627</v>
      </c>
      <c r="C3483" t="s">
        <v>40</v>
      </c>
      <c r="D3483">
        <v>3.9744389999999998</v>
      </c>
      <c r="E3483">
        <v>0.54828449999999995</v>
      </c>
      <c r="F3483" t="s">
        <v>55</v>
      </c>
      <c r="G3483">
        <v>-362.05700000000002</v>
      </c>
      <c r="H3483" s="1">
        <v>-4.4213580000000002E-7</v>
      </c>
      <c r="I3483">
        <v>213.86269999999999</v>
      </c>
      <c r="J3483">
        <v>-388.3365</v>
      </c>
      <c r="K3483">
        <v>1.108711</v>
      </c>
      <c r="L3483">
        <v>214.17429999999999</v>
      </c>
      <c r="M3483">
        <v>0.99950459999999997</v>
      </c>
      <c r="N3483">
        <v>-8.8924060000000003E-3</v>
      </c>
      <c r="O3483">
        <v>3.019341E-2</v>
      </c>
      <c r="P3483">
        <v>0.98528859999999996</v>
      </c>
      <c r="Q3483">
        <v>0.15932460000000001</v>
      </c>
      <c r="R3483">
        <v>6.1822809999999999E-2</v>
      </c>
      <c r="S3483">
        <v>3.066681</v>
      </c>
      <c r="T3483">
        <v>-0.1222031</v>
      </c>
      <c r="U3483">
        <v>-2.9159549999999999E-2</v>
      </c>
      <c r="V3483">
        <v>-3.1810020000000001E-2</v>
      </c>
      <c r="W3483">
        <v>0.16813739999999999</v>
      </c>
      <c r="X3483">
        <v>0.98525019999999996</v>
      </c>
      <c r="Y3483">
        <v>3.9644029999999997E-2</v>
      </c>
      <c r="Z3483">
        <v>-1.900047E-3</v>
      </c>
      <c r="AA3483">
        <v>0.99921210000000005</v>
      </c>
      <c r="AB3483">
        <v>39</v>
      </c>
      <c r="AC3483">
        <v>26.279499999999999</v>
      </c>
      <c r="AD3483">
        <v>-1.1087114421358</v>
      </c>
      <c r="AE3483">
        <v>-0.31159999999999799</v>
      </c>
      <c r="AF3483">
        <v>1.1029939739971999</v>
      </c>
      <c r="AG3483">
        <v>-1.1087114421358</v>
      </c>
      <c r="AH3483">
        <v>26.211460936130099</v>
      </c>
      <c r="AI3483">
        <v>92.419955623524601</v>
      </c>
      <c r="AJ3483">
        <v>87.590380912366996</v>
      </c>
      <c r="AK3483">
        <v>26.258075351687001</v>
      </c>
      <c r="AL3483">
        <v>80.320458912746304</v>
      </c>
      <c r="AM3483">
        <v>91.849222666126096</v>
      </c>
      <c r="AN3483">
        <v>1.0000000096256001</v>
      </c>
    </row>
    <row r="3484" spans="1:40" x14ac:dyDescent="0.25">
      <c r="A3484" t="str">
        <f>"20190304155701839"</f>
        <v>20190304155701839</v>
      </c>
      <c r="B3484" t="str">
        <f>"1551686221828653"</f>
        <v>1551686221828653</v>
      </c>
      <c r="C3484" t="s">
        <v>40</v>
      </c>
      <c r="D3484">
        <v>4.6294680000000001</v>
      </c>
      <c r="E3484">
        <v>0.53607269999999996</v>
      </c>
      <c r="F3484" t="s">
        <v>55</v>
      </c>
      <c r="G3484">
        <v>-358.6687</v>
      </c>
      <c r="H3484" s="1">
        <v>3.1895210000000001E-6</v>
      </c>
      <c r="I3484">
        <v>212.0248</v>
      </c>
      <c r="J3484">
        <v>-387.988</v>
      </c>
      <c r="K3484">
        <v>1.108703</v>
      </c>
      <c r="L3484">
        <v>214.18440000000001</v>
      </c>
      <c r="M3484">
        <v>0.99951950000000001</v>
      </c>
      <c r="N3484">
        <v>-8.9016100000000008E-3</v>
      </c>
      <c r="O3484">
        <v>2.9693190000000001E-2</v>
      </c>
      <c r="P3484">
        <v>0.98535229999999996</v>
      </c>
      <c r="Q3484">
        <v>0.15904749999999901</v>
      </c>
      <c r="R3484">
        <v>6.1520239999999997E-2</v>
      </c>
      <c r="S3484">
        <v>3.0773619999999999</v>
      </c>
      <c r="T3484">
        <v>-0.1150033</v>
      </c>
      <c r="U3484">
        <v>-0.2229614</v>
      </c>
      <c r="V3484">
        <v>-3.1996129999999998E-2</v>
      </c>
      <c r="W3484">
        <v>0.16786999999999999</v>
      </c>
      <c r="X3484">
        <v>0.98528979999999999</v>
      </c>
      <c r="Y3484">
        <v>0.10174800000000001</v>
      </c>
      <c r="Z3484">
        <v>-3.1958379999999999E-3</v>
      </c>
      <c r="AA3484">
        <v>0.9948051</v>
      </c>
      <c r="AB3484">
        <v>39</v>
      </c>
      <c r="AC3484">
        <v>29.319299999999998</v>
      </c>
      <c r="AD3484">
        <v>-1.108699810479</v>
      </c>
      <c r="AE3484">
        <v>-2.15960000000001</v>
      </c>
      <c r="AF3484">
        <v>3.0249634388494</v>
      </c>
      <c r="AG3484">
        <v>-1.108699810479</v>
      </c>
      <c r="AH3484">
        <v>29.200712749332801</v>
      </c>
      <c r="AI3484">
        <v>92.162812857719004</v>
      </c>
      <c r="AJ3484">
        <v>84.085705192084006</v>
      </c>
      <c r="AK3484">
        <v>29.377904012117298</v>
      </c>
      <c r="AL3484">
        <v>80.336001002062901</v>
      </c>
      <c r="AM3484">
        <v>91.859959579411097</v>
      </c>
      <c r="AN3484">
        <v>1.0000000396094999</v>
      </c>
    </row>
    <row r="3485" spans="1:40" x14ac:dyDescent="0.25">
      <c r="A3485" t="str">
        <f>"20190304155701862"</f>
        <v>20190304155701862</v>
      </c>
      <c r="B3485" t="str">
        <f>"1551686221857933"</f>
        <v>1551686221857933</v>
      </c>
      <c r="C3485" t="s">
        <v>40</v>
      </c>
      <c r="D3485">
        <v>4.5812720000000002</v>
      </c>
      <c r="E3485">
        <v>0.53919949999999905</v>
      </c>
      <c r="F3485" t="s">
        <v>42</v>
      </c>
      <c r="G3485">
        <v>-387.11169999999998</v>
      </c>
      <c r="H3485">
        <v>0.96364640000000001</v>
      </c>
      <c r="I3485">
        <v>214.14420000000001</v>
      </c>
      <c r="J3485">
        <v>-387.5865</v>
      </c>
      <c r="K3485">
        <v>1.108695</v>
      </c>
      <c r="L3485">
        <v>214.19589999999999</v>
      </c>
      <c r="M3485">
        <v>0.99953630000000004</v>
      </c>
      <c r="N3485">
        <v>-8.912161E-3</v>
      </c>
      <c r="O3485">
        <v>2.911619E-2</v>
      </c>
      <c r="P3485">
        <v>0.98536330000000005</v>
      </c>
      <c r="Q3485">
        <v>0.1591381</v>
      </c>
      <c r="R3485">
        <v>6.1109259999999999E-2</v>
      </c>
      <c r="S3485">
        <v>3.1373289999999998</v>
      </c>
      <c r="T3485">
        <v>-0.51945569999999996</v>
      </c>
      <c r="U3485">
        <v>-0.14227290000000001</v>
      </c>
      <c r="V3485">
        <v>-3.2151550000000001E-2</v>
      </c>
      <c r="W3485">
        <v>0.16797200000000001</v>
      </c>
      <c r="X3485">
        <v>0.98526729999999996</v>
      </c>
      <c r="Y3485">
        <v>7.2969999999999993E-2</v>
      </c>
      <c r="Z3485">
        <v>-1.0853120000000001E-2</v>
      </c>
      <c r="AA3485">
        <v>0.99727509999999997</v>
      </c>
      <c r="AB3485">
        <v>39</v>
      </c>
      <c r="AC3485">
        <v>0.47480000000001599</v>
      </c>
      <c r="AD3485">
        <v>-0.145048599999999</v>
      </c>
      <c r="AE3485">
        <v>-5.1699999999982503E-2</v>
      </c>
      <c r="AF3485">
        <v>5.99716275412659E-2</v>
      </c>
      <c r="AG3485">
        <v>-0.145048599999999</v>
      </c>
      <c r="AH3485">
        <v>0.43314318881672997</v>
      </c>
      <c r="AI3485">
        <v>108.35120329872299</v>
      </c>
      <c r="AJ3485">
        <v>82.117126073965906</v>
      </c>
      <c r="AK3485">
        <v>0.46070458483743498</v>
      </c>
      <c r="AL3485">
        <v>80.330072107099895</v>
      </c>
      <c r="AM3485">
        <v>91.869030521834205</v>
      </c>
      <c r="AN3485">
        <v>0.99999998370034604</v>
      </c>
    </row>
    <row r="3486" spans="1:40" x14ac:dyDescent="0.25">
      <c r="A3486" t="str">
        <f>"20190304155701884"</f>
        <v>20190304155701884</v>
      </c>
      <c r="B3486" t="str">
        <f>"1551686221878430"</f>
        <v>1551686221878430</v>
      </c>
      <c r="C3486" t="s">
        <v>40</v>
      </c>
      <c r="D3486">
        <v>4.7725600000000004</v>
      </c>
      <c r="E3486">
        <v>0.53788789999999997</v>
      </c>
      <c r="F3486" t="s">
        <v>42</v>
      </c>
      <c r="G3486">
        <v>-386.7337</v>
      </c>
      <c r="H3486">
        <v>1.018899</v>
      </c>
      <c r="I3486">
        <v>214.1515</v>
      </c>
      <c r="J3486">
        <v>-387.20339999999999</v>
      </c>
      <c r="K3486">
        <v>1.10869</v>
      </c>
      <c r="L3486">
        <v>214.20660000000001</v>
      </c>
      <c r="M3486">
        <v>0.9995522</v>
      </c>
      <c r="N3486">
        <v>-8.9223529999999992E-3</v>
      </c>
      <c r="O3486">
        <v>2.856533E-2</v>
      </c>
      <c r="P3486">
        <v>0.98541069999999997</v>
      </c>
      <c r="Q3486">
        <v>0.15913820000000001</v>
      </c>
      <c r="R3486">
        <v>6.0339919999999998E-2</v>
      </c>
      <c r="S3486">
        <v>3.1073909999999998</v>
      </c>
      <c r="T3486">
        <v>-0.32724619999999999</v>
      </c>
      <c r="U3486">
        <v>-0.16078190000000001</v>
      </c>
      <c r="V3486">
        <v>-3.1922689999999997E-2</v>
      </c>
      <c r="W3486">
        <v>0.167982299999999</v>
      </c>
      <c r="X3486">
        <v>0.98527299999999995</v>
      </c>
      <c r="Y3486">
        <v>7.9571340000000004E-2</v>
      </c>
      <c r="Z3486">
        <v>-7.2760749999999999E-3</v>
      </c>
      <c r="AA3486">
        <v>0.99680259999999998</v>
      </c>
      <c r="AB3486">
        <v>39</v>
      </c>
      <c r="AC3486">
        <v>0.46969999999998802</v>
      </c>
      <c r="AD3486">
        <v>-8.9790999999999899E-2</v>
      </c>
      <c r="AE3486">
        <v>-5.5100000000010099E-2</v>
      </c>
      <c r="AF3486">
        <v>6.6111937072819899E-2</v>
      </c>
      <c r="AG3486">
        <v>-8.9790999999999899E-2</v>
      </c>
      <c r="AH3486">
        <v>0.45165283550824598</v>
      </c>
      <c r="AI3486">
        <v>101.12851732150401</v>
      </c>
      <c r="AJ3486">
        <v>81.672312808642502</v>
      </c>
      <c r="AK3486">
        <v>0.46521338730431999</v>
      </c>
      <c r="AL3486">
        <v>80.329473592771294</v>
      </c>
      <c r="AM3486">
        <v>91.855725063678605</v>
      </c>
      <c r="AN3486">
        <v>0.99999999788956295</v>
      </c>
    </row>
    <row r="3487" spans="1:40" x14ac:dyDescent="0.25">
      <c r="A3487" t="str">
        <f>"20190304155701907"</f>
        <v>20190304155701907</v>
      </c>
      <c r="B3487" t="str">
        <f>"1551686221897950"</f>
        <v>1551686221897950</v>
      </c>
      <c r="C3487" t="s">
        <v>40</v>
      </c>
      <c r="D3487">
        <v>4.8308999999999997</v>
      </c>
      <c r="E3487">
        <v>0.53295530000000002</v>
      </c>
      <c r="F3487" t="s">
        <v>42</v>
      </c>
      <c r="G3487">
        <v>-386.37639999999999</v>
      </c>
      <c r="H3487">
        <v>1.0313270000000001</v>
      </c>
      <c r="I3487">
        <v>214.166</v>
      </c>
      <c r="J3487">
        <v>-386.78989999999999</v>
      </c>
      <c r="K3487">
        <v>1.1086819999999999</v>
      </c>
      <c r="L3487">
        <v>214.21789999999999</v>
      </c>
      <c r="M3487">
        <v>0.99956880000000004</v>
      </c>
      <c r="N3487">
        <v>-8.93329E-3</v>
      </c>
      <c r="O3487">
        <v>2.79703E-2</v>
      </c>
      <c r="P3487">
        <v>0.98548389999999997</v>
      </c>
      <c r="Q3487">
        <v>0.15888039999999901</v>
      </c>
      <c r="R3487">
        <v>5.9822309999999997E-2</v>
      </c>
      <c r="S3487">
        <v>3.100616</v>
      </c>
      <c r="T3487">
        <v>-0.29013650000000002</v>
      </c>
      <c r="U3487">
        <v>-0.15164179999999999</v>
      </c>
      <c r="V3487">
        <v>-3.1988419999999997E-2</v>
      </c>
      <c r="W3487">
        <v>0.167736</v>
      </c>
      <c r="X3487">
        <v>0.98531279999999999</v>
      </c>
      <c r="Y3487">
        <v>7.6303190000000007E-2</v>
      </c>
      <c r="Z3487">
        <v>-6.262948E-3</v>
      </c>
      <c r="AA3487">
        <v>0.99706499999999998</v>
      </c>
      <c r="AB3487">
        <v>39</v>
      </c>
      <c r="AC3487">
        <v>0.41349999999999898</v>
      </c>
      <c r="AD3487">
        <v>-7.7354999999999799E-2</v>
      </c>
      <c r="AE3487">
        <v>-5.1899999999989101E-2</v>
      </c>
      <c r="AF3487">
        <v>6.1332727268979398E-2</v>
      </c>
      <c r="AG3487">
        <v>-7.7354999999999799E-2</v>
      </c>
      <c r="AH3487">
        <v>0.398168080988061</v>
      </c>
      <c r="AI3487">
        <v>100.86922254786801</v>
      </c>
      <c r="AJ3487">
        <v>81.243140646557293</v>
      </c>
      <c r="AK3487">
        <v>0.41022350027389498</v>
      </c>
      <c r="AL3487">
        <v>80.343788381048796</v>
      </c>
      <c r="AM3487">
        <v>91.859468330073298</v>
      </c>
      <c r="AN3487">
        <v>0.99999996927696699</v>
      </c>
    </row>
    <row r="3488" spans="1:40" x14ac:dyDescent="0.25">
      <c r="A3488" t="str">
        <f>"20190304155701930"</f>
        <v>20190304155701930</v>
      </c>
      <c r="B3488" t="str">
        <f>"1551686221917979"</f>
        <v>1551686221917979</v>
      </c>
      <c r="C3488" t="s">
        <v>40</v>
      </c>
      <c r="D3488">
        <v>4.83467</v>
      </c>
      <c r="E3488">
        <v>0.52989960000000003</v>
      </c>
      <c r="F3488" t="s">
        <v>42</v>
      </c>
      <c r="G3488">
        <v>-386.01859999999999</v>
      </c>
      <c r="H3488">
        <v>1.0440290000000001</v>
      </c>
      <c r="I3488">
        <v>214.1893</v>
      </c>
      <c r="J3488">
        <v>-386.39100000000002</v>
      </c>
      <c r="K3488">
        <v>1.1086739999999999</v>
      </c>
      <c r="L3488">
        <v>214.2286</v>
      </c>
      <c r="M3488">
        <v>0.99958469999999999</v>
      </c>
      <c r="N3488">
        <v>-8.9436840000000004E-3</v>
      </c>
      <c r="O3488">
        <v>2.739633E-2</v>
      </c>
      <c r="P3488">
        <v>0.98551630000000001</v>
      </c>
      <c r="Q3488">
        <v>0.15896579999999999</v>
      </c>
      <c r="R3488">
        <v>5.905639E-2</v>
      </c>
      <c r="S3488">
        <v>3.0928339999999999</v>
      </c>
      <c r="T3488">
        <v>-0.25939210000000001</v>
      </c>
      <c r="U3488">
        <v>-0.11277769999999999</v>
      </c>
      <c r="V3488">
        <v>-3.1786799999999997E-2</v>
      </c>
      <c r="W3488">
        <v>0.16783190000000001</v>
      </c>
      <c r="X3488">
        <v>0.98530300000000004</v>
      </c>
      <c r="Y3488">
        <v>6.3482380000000005E-2</v>
      </c>
      <c r="Z3488">
        <v>-4.9895089999999996E-3</v>
      </c>
      <c r="AA3488">
        <v>0.99797049999999998</v>
      </c>
      <c r="AB3488">
        <v>39</v>
      </c>
      <c r="AC3488">
        <v>0.37239999999996998</v>
      </c>
      <c r="AD3488">
        <v>-6.46449999999998E-2</v>
      </c>
      <c r="AE3488">
        <v>-3.9299999999997198E-2</v>
      </c>
      <c r="AF3488">
        <v>4.8055902308629203E-2</v>
      </c>
      <c r="AG3488">
        <v>-6.46449999999998E-2</v>
      </c>
      <c r="AH3488">
        <v>0.36044172544460101</v>
      </c>
      <c r="AI3488">
        <v>100.08051607455999</v>
      </c>
      <c r="AJ3488">
        <v>82.405824309910102</v>
      </c>
      <c r="AK3488">
        <v>0.369332618669375</v>
      </c>
      <c r="AL3488">
        <v>80.338214753512901</v>
      </c>
      <c r="AM3488">
        <v>91.847774791761793</v>
      </c>
      <c r="AN3488">
        <v>0.999999974560424</v>
      </c>
    </row>
    <row r="3489" spans="1:40" x14ac:dyDescent="0.25">
      <c r="A3489" t="str">
        <f>"20190304155701953"</f>
        <v>20190304155701953</v>
      </c>
      <c r="B3489" t="str">
        <f>"1551686221948235"</f>
        <v>1551686221948235</v>
      </c>
      <c r="C3489" t="s">
        <v>40</v>
      </c>
      <c r="D3489">
        <v>4.8265469999999997</v>
      </c>
      <c r="E3489">
        <v>0.52694569999999996</v>
      </c>
      <c r="F3489" t="s">
        <v>42</v>
      </c>
      <c r="G3489">
        <v>-385.32229999999998</v>
      </c>
      <c r="H3489">
        <v>1.0252829999999999</v>
      </c>
      <c r="I3489">
        <v>214.19710000000001</v>
      </c>
      <c r="J3489">
        <v>-386.00130000000001</v>
      </c>
      <c r="K3489">
        <v>1.108668</v>
      </c>
      <c r="L3489">
        <v>214.2388</v>
      </c>
      <c r="M3489">
        <v>0.99959980000000004</v>
      </c>
      <c r="N3489">
        <v>-8.9541859999999994E-3</v>
      </c>
      <c r="O3489">
        <v>2.6835540000000001E-2</v>
      </c>
      <c r="P3489">
        <v>0.98556999999999995</v>
      </c>
      <c r="Q3489">
        <v>0.1587857</v>
      </c>
      <c r="R3489">
        <v>5.864403E-2</v>
      </c>
      <c r="S3489">
        <v>3.0883790000000002</v>
      </c>
      <c r="T3489">
        <v>-0.24107799999999999</v>
      </c>
      <c r="U3489">
        <v>-9.0118409999999996E-2</v>
      </c>
      <c r="V3489">
        <v>-3.1925870000000002E-2</v>
      </c>
      <c r="W3489">
        <v>0.1676627</v>
      </c>
      <c r="X3489">
        <v>0.98532739999999996</v>
      </c>
      <c r="Y3489">
        <v>5.5729279999999999E-2</v>
      </c>
      <c r="Z3489">
        <v>-4.2725760000000002E-3</v>
      </c>
      <c r="AA3489">
        <v>0.99843669999999995</v>
      </c>
      <c r="AB3489">
        <v>39</v>
      </c>
      <c r="AC3489">
        <v>0.67900000000003002</v>
      </c>
      <c r="AD3489">
        <v>-8.3385000000000001E-2</v>
      </c>
      <c r="AE3489">
        <v>-4.1699999999991598E-2</v>
      </c>
      <c r="AF3489">
        <v>5.90202893410334E-2</v>
      </c>
      <c r="AG3489">
        <v>-8.3385000000000001E-2</v>
      </c>
      <c r="AH3489">
        <v>0.66760588389963704</v>
      </c>
      <c r="AI3489">
        <v>97.092084265848001</v>
      </c>
      <c r="AJ3489">
        <v>84.947850417286901</v>
      </c>
      <c r="AK3489">
        <v>0.67537698287424297</v>
      </c>
      <c r="AL3489">
        <v>80.348049412513305</v>
      </c>
      <c r="AM3489">
        <v>91.855807400424894</v>
      </c>
      <c r="AN3489">
        <v>1.0000000636686499</v>
      </c>
    </row>
    <row r="3490" spans="1:40" x14ac:dyDescent="0.25">
      <c r="A3490" t="str">
        <f>"20190304155701974"</f>
        <v>20190304155701974</v>
      </c>
      <c r="B3490" t="str">
        <f>"1551686221967755"</f>
        <v>1551686221967755</v>
      </c>
      <c r="C3490" t="s">
        <v>40</v>
      </c>
      <c r="D3490">
        <v>4.829358</v>
      </c>
      <c r="E3490">
        <v>0.52534630000000004</v>
      </c>
      <c r="F3490" t="s">
        <v>42</v>
      </c>
      <c r="G3490">
        <v>-384.96550000000002</v>
      </c>
      <c r="H3490">
        <v>1.032805</v>
      </c>
      <c r="I3490">
        <v>214.21619999999999</v>
      </c>
      <c r="J3490">
        <v>-385.6096</v>
      </c>
      <c r="K3490">
        <v>1.108662</v>
      </c>
      <c r="L3490">
        <v>214.24889999999999</v>
      </c>
      <c r="M3490">
        <v>0.99961469999999997</v>
      </c>
      <c r="N3490">
        <v>-8.9647319999999996E-3</v>
      </c>
      <c r="O3490">
        <v>2.627225E-2</v>
      </c>
      <c r="P3490">
        <v>0.98559580000000002</v>
      </c>
      <c r="Q3490">
        <v>0.15875139999999999</v>
      </c>
      <c r="R3490">
        <v>5.8300919999999999E-2</v>
      </c>
      <c r="S3490">
        <v>3.08432</v>
      </c>
      <c r="T3490">
        <v>-0.22586990000000001</v>
      </c>
      <c r="U3490">
        <v>-6.7260739999999999E-2</v>
      </c>
      <c r="V3490">
        <v>-3.2136949999999997E-2</v>
      </c>
      <c r="W3490">
        <v>0.16763919999999999</v>
      </c>
      <c r="X3490">
        <v>0.98532450000000005</v>
      </c>
      <c r="Y3490">
        <v>4.7863650000000001E-2</v>
      </c>
      <c r="Z3490">
        <v>-3.650815E-3</v>
      </c>
      <c r="AA3490">
        <v>0.99884720000000005</v>
      </c>
      <c r="AB3490">
        <v>39</v>
      </c>
      <c r="AC3490">
        <v>0.64409999999998002</v>
      </c>
      <c r="AD3490">
        <v>-7.5856999999999994E-2</v>
      </c>
      <c r="AE3490">
        <v>-3.2700000000005502E-2</v>
      </c>
      <c r="AF3490">
        <v>4.8934359289618902E-2</v>
      </c>
      <c r="AG3490">
        <v>-7.5856999999999994E-2</v>
      </c>
      <c r="AH3490">
        <v>0.63424400186596097</v>
      </c>
      <c r="AI3490">
        <v>96.800285654913495</v>
      </c>
      <c r="AJ3490">
        <v>85.588150987234101</v>
      </c>
      <c r="AK3490">
        <v>0.64063586370966996</v>
      </c>
      <c r="AL3490">
        <v>80.349414842687494</v>
      </c>
      <c r="AM3490">
        <v>91.868074022954403</v>
      </c>
      <c r="AN3490">
        <v>1.0000000276160901</v>
      </c>
    </row>
    <row r="3491" spans="1:40" x14ac:dyDescent="0.25">
      <c r="A3491" t="str">
        <f>"20190304155701996"</f>
        <v>20190304155701996</v>
      </c>
      <c r="B3491" t="str">
        <f>"1551686221988251"</f>
        <v>1551686221988251</v>
      </c>
      <c r="C3491" t="s">
        <v>40</v>
      </c>
      <c r="D3491">
        <v>4.8072460000000001</v>
      </c>
      <c r="E3491">
        <v>0.52405590000000002</v>
      </c>
      <c r="F3491" t="s">
        <v>42</v>
      </c>
      <c r="G3491">
        <v>-384.60910000000001</v>
      </c>
      <c r="H3491">
        <v>1.0381370000000001</v>
      </c>
      <c r="I3491">
        <v>214.23050000000001</v>
      </c>
      <c r="J3491">
        <v>-385.22469999999998</v>
      </c>
      <c r="K3491">
        <v>1.108657</v>
      </c>
      <c r="L3491">
        <v>214.2586</v>
      </c>
      <c r="M3491">
        <v>0.99962899999999999</v>
      </c>
      <c r="N3491">
        <v>-8.9748840000000007E-3</v>
      </c>
      <c r="O3491">
        <v>2.5718689999999999E-2</v>
      </c>
      <c r="P3491">
        <v>0.98566450000000005</v>
      </c>
      <c r="Q3491">
        <v>0.15839049999999999</v>
      </c>
      <c r="R3491">
        <v>5.8122E-2</v>
      </c>
      <c r="S3491">
        <v>3.0821230000000002</v>
      </c>
      <c r="T3491">
        <v>-0.21735070000000001</v>
      </c>
      <c r="U3491">
        <v>-5.5526730000000003E-2</v>
      </c>
      <c r="V3491">
        <v>-3.2502089999999997E-2</v>
      </c>
      <c r="W3491">
        <v>0.16728989999999999</v>
      </c>
      <c r="X3491">
        <v>0.98537189999999997</v>
      </c>
      <c r="Y3491">
        <v>4.3551859999999998E-2</v>
      </c>
      <c r="Z3491">
        <v>-3.3100080000000001E-3</v>
      </c>
      <c r="AA3491">
        <v>0.99904570000000004</v>
      </c>
      <c r="AB3491">
        <v>40</v>
      </c>
      <c r="AC3491">
        <v>0.61559999999997195</v>
      </c>
      <c r="AD3491">
        <v>-7.0519999999999902E-2</v>
      </c>
      <c r="AE3491">
        <v>-2.80999999999949E-2</v>
      </c>
      <c r="AF3491">
        <v>4.3355996278696199E-2</v>
      </c>
      <c r="AG3491">
        <v>-7.0519999999999902E-2</v>
      </c>
      <c r="AH3491">
        <v>0.606728197390493</v>
      </c>
      <c r="AI3491">
        <v>96.613026137563295</v>
      </c>
      <c r="AJ3491">
        <v>85.912666870065806</v>
      </c>
      <c r="AK3491">
        <v>0.612349506672485</v>
      </c>
      <c r="AL3491">
        <v>80.369715043642799</v>
      </c>
      <c r="AM3491">
        <v>91.889192967204494</v>
      </c>
      <c r="AN3491">
        <v>1.0000000389029899</v>
      </c>
    </row>
    <row r="3492" spans="1:40" x14ac:dyDescent="0.25">
      <c r="A3492" t="str">
        <f>"20190304155702019"</f>
        <v>20190304155702019</v>
      </c>
      <c r="B3492" t="str">
        <f>"1551686222007771"</f>
        <v>1551686222007771</v>
      </c>
      <c r="C3492" t="s">
        <v>40</v>
      </c>
      <c r="D3492">
        <v>4.8184290000000001</v>
      </c>
      <c r="E3492">
        <v>0.52320339999999999</v>
      </c>
      <c r="F3492" t="s">
        <v>42</v>
      </c>
      <c r="G3492">
        <v>-384.25299999999999</v>
      </c>
      <c r="H3492">
        <v>1.0419119999999999</v>
      </c>
      <c r="I3492">
        <v>214.2439</v>
      </c>
      <c r="J3492">
        <v>-384.8272</v>
      </c>
      <c r="K3492">
        <v>1.1086579999999999</v>
      </c>
      <c r="L3492">
        <v>214.26830000000001</v>
      </c>
      <c r="M3492">
        <v>0.99964339999999996</v>
      </c>
      <c r="N3492">
        <v>-8.9852830000000002E-3</v>
      </c>
      <c r="O3492">
        <v>2.5147240000000001E-2</v>
      </c>
      <c r="P3492">
        <v>0.98567179999999999</v>
      </c>
      <c r="Q3492">
        <v>0.15852149999999901</v>
      </c>
      <c r="R3492">
        <v>5.7636880000000001E-2</v>
      </c>
      <c r="S3492">
        <v>3.0803829999999999</v>
      </c>
      <c r="T3492">
        <v>-0.211675</v>
      </c>
      <c r="U3492">
        <v>-4.5822139999999997E-2</v>
      </c>
      <c r="V3492">
        <v>-3.2579299999999999E-2</v>
      </c>
      <c r="W3492">
        <v>0.16743089999999999</v>
      </c>
      <c r="X3492">
        <v>0.98534540000000004</v>
      </c>
      <c r="Y3492">
        <v>3.9863490000000001E-2</v>
      </c>
      <c r="Z3492">
        <v>-3.0474439999999998E-3</v>
      </c>
      <c r="AA3492">
        <v>0.99920050000000005</v>
      </c>
      <c r="AB3492">
        <v>40</v>
      </c>
      <c r="AC3492">
        <v>0.57419999999996196</v>
      </c>
      <c r="AD3492">
        <v>-6.6745999999999694E-2</v>
      </c>
      <c r="AE3492">
        <v>-2.4400000000014101E-2</v>
      </c>
      <c r="AF3492">
        <v>3.8315618099244497E-2</v>
      </c>
      <c r="AG3492">
        <v>-6.6745999999999694E-2</v>
      </c>
      <c r="AH3492">
        <v>0.56577374780774303</v>
      </c>
      <c r="AI3492">
        <v>96.713017918882102</v>
      </c>
      <c r="AJ3492">
        <v>86.125701739618606</v>
      </c>
      <c r="AK3492">
        <v>0.57098428070722496</v>
      </c>
      <c r="AL3492">
        <v>80.361520748428404</v>
      </c>
      <c r="AM3492">
        <v>91.893728447855395</v>
      </c>
      <c r="AN3492">
        <v>1.00000003718222</v>
      </c>
    </row>
    <row r="3493" spans="1:40" x14ac:dyDescent="0.25">
      <c r="A3493" t="str">
        <f>"20190304155702040"</f>
        <v>20190304155702040</v>
      </c>
      <c r="B3493" t="str">
        <f>"1551686222027799"</f>
        <v>1551686222027799</v>
      </c>
      <c r="C3493" t="s">
        <v>40</v>
      </c>
      <c r="D3493">
        <v>4.8044070000000003</v>
      </c>
      <c r="E3493">
        <v>0.52263630000000005</v>
      </c>
      <c r="F3493" t="s">
        <v>42</v>
      </c>
      <c r="G3493">
        <v>-383.89510000000001</v>
      </c>
      <c r="H3493">
        <v>1.0461819999999999</v>
      </c>
      <c r="I3493">
        <v>214.25559999999999</v>
      </c>
      <c r="J3493">
        <v>-384.44589999999999</v>
      </c>
      <c r="K3493">
        <v>1.10866</v>
      </c>
      <c r="L3493">
        <v>214.2775</v>
      </c>
      <c r="M3493">
        <v>0.99965720000000002</v>
      </c>
      <c r="N3493">
        <v>-8.9953489999999997E-3</v>
      </c>
      <c r="O3493">
        <v>2.4598809999999999E-2</v>
      </c>
      <c r="P3493">
        <v>0.98572029999999999</v>
      </c>
      <c r="Q3493">
        <v>0.15835829999999901</v>
      </c>
      <c r="R3493">
        <v>5.7260810000000002E-2</v>
      </c>
      <c r="S3493">
        <v>3.0791629999999999</v>
      </c>
      <c r="T3493">
        <v>-0.20654829999999999</v>
      </c>
      <c r="U3493">
        <v>-4.0191650000000002E-2</v>
      </c>
      <c r="V3493">
        <v>-3.2743670000000002E-2</v>
      </c>
      <c r="W3493">
        <v>0.16727810000000001</v>
      </c>
      <c r="X3493">
        <v>0.98536590000000002</v>
      </c>
      <c r="Y3493">
        <v>3.7508380000000001E-2</v>
      </c>
      <c r="Z3493">
        <v>-2.852509E-3</v>
      </c>
      <c r="AA3493">
        <v>0.99929230000000002</v>
      </c>
      <c r="AB3493">
        <v>40</v>
      </c>
      <c r="AC3493">
        <v>0.55079999999998097</v>
      </c>
      <c r="AD3493">
        <v>-6.2477999999999999E-2</v>
      </c>
      <c r="AE3493">
        <v>-2.1900000000016399E-2</v>
      </c>
      <c r="AF3493">
        <v>3.4993403599047297E-2</v>
      </c>
      <c r="AG3493">
        <v>-6.2477999999999999E-2</v>
      </c>
      <c r="AH3493">
        <v>0.54311749385100205</v>
      </c>
      <c r="AI3493">
        <v>96.548764882216204</v>
      </c>
      <c r="AJ3493">
        <v>86.313492331176604</v>
      </c>
      <c r="AK3493">
        <v>0.54781808194549397</v>
      </c>
      <c r="AL3493">
        <v>80.370400747072097</v>
      </c>
      <c r="AM3493">
        <v>91.903236162975205</v>
      </c>
      <c r="AN3493">
        <v>1.00000003377374</v>
      </c>
    </row>
    <row r="3494" spans="1:40" x14ac:dyDescent="0.25">
      <c r="A3494" t="str">
        <f>"20190304155702063"</f>
        <v>20190304155702063</v>
      </c>
      <c r="B3494" t="str">
        <f>"1551686222058056"</f>
        <v>1551686222058056</v>
      </c>
      <c r="C3494" t="s">
        <v>40</v>
      </c>
      <c r="D3494">
        <v>4.6786479999999999</v>
      </c>
      <c r="E3494">
        <v>0.52253590000000005</v>
      </c>
      <c r="F3494" t="s">
        <v>42</v>
      </c>
      <c r="G3494">
        <v>-383.53719999999998</v>
      </c>
      <c r="H3494">
        <v>1.04881</v>
      </c>
      <c r="I3494">
        <v>214.2664</v>
      </c>
      <c r="J3494">
        <v>-384.03339999999997</v>
      </c>
      <c r="K3494">
        <v>1.1086560000000001</v>
      </c>
      <c r="L3494">
        <v>214.28710000000001</v>
      </c>
      <c r="M3494">
        <v>0.99967130000000004</v>
      </c>
      <c r="N3494">
        <v>-9.0061240000000008E-3</v>
      </c>
      <c r="O3494">
        <v>2.400621E-2</v>
      </c>
      <c r="P3494">
        <v>0.98580990000000002</v>
      </c>
      <c r="Q3494">
        <v>0.15802659999999999</v>
      </c>
      <c r="R3494">
        <v>5.6626790000000003E-2</v>
      </c>
      <c r="S3494">
        <v>3.0781860000000001</v>
      </c>
      <c r="T3494">
        <v>-0.20284720000000001</v>
      </c>
      <c r="U3494">
        <v>-3.6544800000000002E-2</v>
      </c>
      <c r="V3494">
        <v>-3.2692369999999998E-2</v>
      </c>
      <c r="W3494">
        <v>0.166958</v>
      </c>
      <c r="X3494">
        <v>0.98542180000000001</v>
      </c>
      <c r="Y3494">
        <v>3.5746479999999997E-2</v>
      </c>
      <c r="Z3494">
        <v>-2.7018110000000001E-3</v>
      </c>
      <c r="AA3494">
        <v>0.99935719999999995</v>
      </c>
      <c r="AB3494">
        <v>40</v>
      </c>
      <c r="AC3494">
        <v>0.49619999999998698</v>
      </c>
      <c r="AD3494">
        <v>-5.9845999999999802E-2</v>
      </c>
      <c r="AE3494">
        <v>-2.0700000000004999E-2</v>
      </c>
      <c r="AF3494">
        <v>3.2139691893692701E-2</v>
      </c>
      <c r="AG3494">
        <v>-5.9845999999999802E-2</v>
      </c>
      <c r="AH3494">
        <v>0.48846692865939301</v>
      </c>
      <c r="AI3494">
        <v>96.970032055213693</v>
      </c>
      <c r="AJ3494">
        <v>86.235531868072499</v>
      </c>
      <c r="AK3494">
        <v>0.49316776446252197</v>
      </c>
      <c r="AL3494">
        <v>80.389001859745306</v>
      </c>
      <c r="AM3494">
        <v>91.900148805322701</v>
      </c>
      <c r="AN3494">
        <v>0.99999994436772699</v>
      </c>
    </row>
    <row r="3495" spans="1:40" x14ac:dyDescent="0.25">
      <c r="A3495" t="str">
        <f>"20190304155702085"</f>
        <v>20190304155702085</v>
      </c>
      <c r="B3495" t="str">
        <f>"1551686222078552"</f>
        <v>1551686222078552</v>
      </c>
      <c r="C3495" t="s">
        <v>40</v>
      </c>
      <c r="D3495">
        <v>4.7358440000000002</v>
      </c>
      <c r="E3495">
        <v>0.52278740000000001</v>
      </c>
      <c r="F3495" t="s">
        <v>55</v>
      </c>
      <c r="G3495">
        <v>-366.36</v>
      </c>
      <c r="H3495" s="1">
        <v>1.8476629999999999E-6</v>
      </c>
      <c r="I3495">
        <v>214.071</v>
      </c>
      <c r="J3495">
        <v>-383.63639999999998</v>
      </c>
      <c r="K3495">
        <v>1.1086419999999999</v>
      </c>
      <c r="L3495">
        <v>214.2962</v>
      </c>
      <c r="M3495">
        <v>0.99968480000000004</v>
      </c>
      <c r="N3495">
        <v>-9.0165439999999996E-3</v>
      </c>
      <c r="O3495">
        <v>2.3435959999999999E-2</v>
      </c>
      <c r="P3495">
        <v>0.98586070000000003</v>
      </c>
      <c r="Q3495">
        <v>0.15799839999999901</v>
      </c>
      <c r="R3495">
        <v>5.5814929999999999E-2</v>
      </c>
      <c r="S3495">
        <v>3.0763240000000001</v>
      </c>
      <c r="T3495">
        <v>-0.19297739999999999</v>
      </c>
      <c r="U3495">
        <v>-3.7628170000000002E-2</v>
      </c>
      <c r="V3495">
        <v>-3.2441079999999997E-2</v>
      </c>
      <c r="W3495">
        <v>0.16693959999999999</v>
      </c>
      <c r="X3495">
        <v>0.98543329999999996</v>
      </c>
      <c r="Y3495">
        <v>3.5548719999999999E-2</v>
      </c>
      <c r="Z3495">
        <v>-2.5317500000000001E-3</v>
      </c>
      <c r="AA3495">
        <v>0.99936469999999999</v>
      </c>
      <c r="AB3495">
        <v>40</v>
      </c>
      <c r="AC3495">
        <v>17.276399999999899</v>
      </c>
      <c r="AD3495">
        <v>-1.108640152337</v>
      </c>
      <c r="AE3495">
        <v>-0.22520000000000001</v>
      </c>
      <c r="AF3495">
        <v>0.62746019844800605</v>
      </c>
      <c r="AG3495">
        <v>-1.108640152337</v>
      </c>
      <c r="AH3495">
        <v>17.1955790224788</v>
      </c>
      <c r="AI3495">
        <v>93.686443907367007</v>
      </c>
      <c r="AJ3495">
        <v>87.910225774452101</v>
      </c>
      <c r="AK3495">
        <v>17.242700693520302</v>
      </c>
      <c r="AL3495">
        <v>80.390071854136494</v>
      </c>
      <c r="AM3495">
        <v>91.885531901091099</v>
      </c>
      <c r="AN3495">
        <v>1.0000000212343001</v>
      </c>
    </row>
    <row r="3496" spans="1:40" x14ac:dyDescent="0.25">
      <c r="A3496" t="str">
        <f>"20190304155702109"</f>
        <v>20190304155702109</v>
      </c>
      <c r="B3496" t="str">
        <f>"1551686222098071"</f>
        <v>1551686222098071</v>
      </c>
      <c r="C3496" t="s">
        <v>40</v>
      </c>
      <c r="D3496">
        <v>4.7216899999999997</v>
      </c>
      <c r="E3496">
        <v>0.523115</v>
      </c>
      <c r="F3496" t="s">
        <v>55</v>
      </c>
      <c r="G3496">
        <v>-365.18290000000002</v>
      </c>
      <c r="H3496" s="1">
        <v>1.2212780000000001E-6</v>
      </c>
      <c r="I3496">
        <v>214.04349999999999</v>
      </c>
      <c r="J3496">
        <v>-383.21589999999998</v>
      </c>
      <c r="K3496">
        <v>1.1086400000000001</v>
      </c>
      <c r="L3496">
        <v>214.3056</v>
      </c>
      <c r="M3496">
        <v>0.99969870000000005</v>
      </c>
      <c r="N3496">
        <v>-9.02763E-3</v>
      </c>
      <c r="O3496">
        <v>2.283052E-2</v>
      </c>
      <c r="P3496">
        <v>0.98589970000000005</v>
      </c>
      <c r="Q3496">
        <v>0.15788179999999999</v>
      </c>
      <c r="R3496">
        <v>5.5455789999999998E-2</v>
      </c>
      <c r="S3496">
        <v>3.0749819999999999</v>
      </c>
      <c r="T3496">
        <v>-0.1847366</v>
      </c>
      <c r="U3496">
        <v>-4.2114260000000001E-2</v>
      </c>
      <c r="V3496">
        <v>-3.2678020000000002E-2</v>
      </c>
      <c r="W3496">
        <v>0.16683480000000001</v>
      </c>
      <c r="X3496">
        <v>0.98544319999999996</v>
      </c>
      <c r="Y3496">
        <v>3.6414990000000001E-2</v>
      </c>
      <c r="Z3496">
        <v>-2.4216860000000002E-3</v>
      </c>
      <c r="AA3496">
        <v>0.99933380000000005</v>
      </c>
      <c r="AB3496">
        <v>40</v>
      </c>
      <c r="AC3496">
        <v>18.032999999999902</v>
      </c>
      <c r="AD3496">
        <v>-1.108638778722</v>
      </c>
      <c r="AE3496">
        <v>-0.262100000000003</v>
      </c>
      <c r="AF3496">
        <v>0.67121479921857796</v>
      </c>
      <c r="AG3496">
        <v>-1.108638778722</v>
      </c>
      <c r="AH3496">
        <v>17.9544690716058</v>
      </c>
      <c r="AI3496">
        <v>93.530909536258093</v>
      </c>
      <c r="AJ3496">
        <v>87.859035875300506</v>
      </c>
      <c r="AK3496">
        <v>18.001182430374602</v>
      </c>
      <c r="AL3496">
        <v>80.396161671029205</v>
      </c>
      <c r="AM3496">
        <v>91.899274148826706</v>
      </c>
      <c r="AN3496">
        <v>1.0000000019541999</v>
      </c>
    </row>
    <row r="3497" spans="1:40" x14ac:dyDescent="0.25">
      <c r="A3497" t="str">
        <f>"20190304155702132"</f>
        <v>20190304155702132</v>
      </c>
      <c r="B3497" t="str">
        <f>"1551686222127858"</f>
        <v>1551686222127858</v>
      </c>
      <c r="C3497" t="s">
        <v>40</v>
      </c>
      <c r="D3497">
        <v>4.7495799999999999</v>
      </c>
      <c r="E3497">
        <v>0.52356210000000003</v>
      </c>
      <c r="F3497" t="s">
        <v>55</v>
      </c>
      <c r="G3497">
        <v>-364.05939999999998</v>
      </c>
      <c r="H3497" s="1">
        <v>6.2340300000000001E-7</v>
      </c>
      <c r="I3497">
        <v>214.01920000000001</v>
      </c>
      <c r="J3497">
        <v>-382.82409999999999</v>
      </c>
      <c r="K3497">
        <v>1.1086320000000001</v>
      </c>
      <c r="L3497">
        <v>214.3141</v>
      </c>
      <c r="M3497">
        <v>0.99971140000000003</v>
      </c>
      <c r="N3497">
        <v>-9.0379429999999997E-3</v>
      </c>
      <c r="O3497">
        <v>2.226144E-2</v>
      </c>
      <c r="P3497">
        <v>0.98596130000000004</v>
      </c>
      <c r="Q3497">
        <v>0.15747320000000001</v>
      </c>
      <c r="R3497">
        <v>5.5520840000000002E-2</v>
      </c>
      <c r="S3497">
        <v>3.0739749999999999</v>
      </c>
      <c r="T3497">
        <v>-0.1778989</v>
      </c>
      <c r="U3497">
        <v>-4.5959470000000002E-2</v>
      </c>
      <c r="V3497">
        <v>-3.3301959999999999E-2</v>
      </c>
      <c r="W3497">
        <v>0.166438</v>
      </c>
      <c r="X3497">
        <v>0.98548939999999996</v>
      </c>
      <c r="Y3497">
        <v>3.7107340000000003E-2</v>
      </c>
      <c r="Z3497">
        <v>-2.326753E-3</v>
      </c>
      <c r="AA3497">
        <v>0.99930859999999999</v>
      </c>
      <c r="AB3497">
        <v>40</v>
      </c>
      <c r="AC3497">
        <v>18.764700000000001</v>
      </c>
      <c r="AD3497">
        <v>-1.108631376597</v>
      </c>
      <c r="AE3497">
        <v>-0.29489999999998401</v>
      </c>
      <c r="AF3497">
        <v>0.71009519413353706</v>
      </c>
      <c r="AG3497">
        <v>-1.108631376597</v>
      </c>
      <c r="AH3497">
        <v>18.688268440673799</v>
      </c>
      <c r="AI3497">
        <v>93.392497312450701</v>
      </c>
      <c r="AJ3497">
        <v>87.823988095176006</v>
      </c>
      <c r="AK3497">
        <v>18.7345850240829</v>
      </c>
      <c r="AL3497">
        <v>80.419218927625707</v>
      </c>
      <c r="AM3497">
        <v>91.935420076667796</v>
      </c>
      <c r="AN3497">
        <v>0.99999999294810005</v>
      </c>
    </row>
    <row r="3498" spans="1:40" x14ac:dyDescent="0.25">
      <c r="A3498" t="str">
        <f>"20190304155702163"</f>
        <v>20190304155702163</v>
      </c>
      <c r="B3498" t="str">
        <f>"1551686222158114"</f>
        <v>1551686222158114</v>
      </c>
      <c r="C3498" t="s">
        <v>40</v>
      </c>
      <c r="D3498">
        <v>4.0272839999999999</v>
      </c>
      <c r="E3498">
        <v>0.51729009999999997</v>
      </c>
      <c r="F3498" t="s">
        <v>42</v>
      </c>
      <c r="G3498">
        <v>-381.75369999999998</v>
      </c>
      <c r="H3498">
        <v>1.048859</v>
      </c>
      <c r="I3498">
        <v>214.29640000000001</v>
      </c>
      <c r="J3498">
        <v>-382.24279999999999</v>
      </c>
      <c r="K3498">
        <v>1.1086119999999999</v>
      </c>
      <c r="L3498">
        <v>214.3262</v>
      </c>
      <c r="M3498">
        <v>0.99973000000000001</v>
      </c>
      <c r="N3498">
        <v>-9.0529789999999992E-3</v>
      </c>
      <c r="O3498">
        <v>2.1400889999999999E-2</v>
      </c>
      <c r="P3498">
        <v>0.98607469999999997</v>
      </c>
      <c r="Q3498">
        <v>0.156725</v>
      </c>
      <c r="R3498">
        <v>5.5624119999999999E-2</v>
      </c>
      <c r="S3498">
        <v>3.0729060000000001</v>
      </c>
      <c r="T3498">
        <v>-0.17169189999999901</v>
      </c>
      <c r="U3498">
        <v>-4.9423219999999997E-2</v>
      </c>
      <c r="V3498">
        <v>-3.4248859999999999E-2</v>
      </c>
      <c r="W3498">
        <v>0.1657082</v>
      </c>
      <c r="X3498">
        <v>0.98557989999999995</v>
      </c>
      <c r="Y3498">
        <v>3.7385590000000003E-2</v>
      </c>
      <c r="Z3498">
        <v>-2.2140229999999999E-3</v>
      </c>
      <c r="AA3498">
        <v>0.99929849999999998</v>
      </c>
      <c r="AB3498">
        <v>40</v>
      </c>
      <c r="AC3498">
        <v>0.48910000000000697</v>
      </c>
      <c r="AD3498">
        <v>-5.9753000000000098E-2</v>
      </c>
      <c r="AE3498">
        <v>-2.97999999999944E-2</v>
      </c>
      <c r="AF3498">
        <v>3.9670867484299203E-2</v>
      </c>
      <c r="AG3498">
        <v>-5.9753000000000098E-2</v>
      </c>
      <c r="AH3498">
        <v>0.48119477123278498</v>
      </c>
      <c r="AI3498">
        <v>97.054852738698699</v>
      </c>
      <c r="AJ3498">
        <v>85.287054853654894</v>
      </c>
      <c r="AK3498">
        <v>0.48651064386889697</v>
      </c>
      <c r="AL3498">
        <v>80.461621961500498</v>
      </c>
      <c r="AM3498">
        <v>91.990225076753703</v>
      </c>
      <c r="AN3498">
        <v>0.99999996562127402</v>
      </c>
    </row>
    <row r="3499" spans="1:40" x14ac:dyDescent="0.25">
      <c r="A3499" t="str">
        <f>"20190304155702185"</f>
        <v>20190304155702185</v>
      </c>
      <c r="B3499" t="str">
        <f>"1551686222178610"</f>
        <v>1551686222178610</v>
      </c>
      <c r="C3499" t="s">
        <v>40</v>
      </c>
      <c r="D3499">
        <v>3.9711099999999999</v>
      </c>
      <c r="E3499">
        <v>0.51369779999999998</v>
      </c>
      <c r="F3499" t="s">
        <v>55</v>
      </c>
      <c r="G3499">
        <v>-362.03829999999999</v>
      </c>
      <c r="H3499" s="1">
        <v>-4.5212429999999998E-7</v>
      </c>
      <c r="I3499">
        <v>214.33279999999999</v>
      </c>
      <c r="J3499">
        <v>-381.85340000000002</v>
      </c>
      <c r="K3499">
        <v>1.1086009999999999</v>
      </c>
      <c r="L3499">
        <v>214.33410000000001</v>
      </c>
      <c r="M3499">
        <v>0.99974240000000003</v>
      </c>
      <c r="N3499">
        <v>-9.063059E-3</v>
      </c>
      <c r="O3499">
        <v>2.0812899999999999E-2</v>
      </c>
      <c r="P3499">
        <v>0.98611329999999997</v>
      </c>
      <c r="Q3499">
        <v>0.1564815</v>
      </c>
      <c r="R3499">
        <v>5.5628959999999998E-2</v>
      </c>
      <c r="S3499">
        <v>3.0690309999999998</v>
      </c>
      <c r="T3499">
        <v>-0.1683965</v>
      </c>
      <c r="U3499">
        <v>9.9182130000000004E-4</v>
      </c>
      <c r="V3499">
        <v>-3.4830170000000001E-2</v>
      </c>
      <c r="W3499">
        <v>0.1654764</v>
      </c>
      <c r="X3499">
        <v>0.98559850000000004</v>
      </c>
      <c r="Y3499">
        <v>2.0433010000000001E-2</v>
      </c>
      <c r="Z3499">
        <v>-1.6053790000000001E-3</v>
      </c>
      <c r="AA3499">
        <v>0.99978999999999996</v>
      </c>
      <c r="AB3499">
        <v>40</v>
      </c>
      <c r="AC3499">
        <v>19.815100000000001</v>
      </c>
      <c r="AD3499">
        <v>-1.1086014521242999</v>
      </c>
      <c r="AE3499">
        <v>-1.3000000000147299E-3</v>
      </c>
      <c r="AF3499">
        <v>0.41243534981740199</v>
      </c>
      <c r="AG3499">
        <v>-1.1086014521242999</v>
      </c>
      <c r="AH3499">
        <v>19.7489641526311</v>
      </c>
      <c r="AI3499">
        <v>93.212208449865003</v>
      </c>
      <c r="AJ3499">
        <v>88.803614703111805</v>
      </c>
      <c r="AK3499">
        <v>19.784354556046001</v>
      </c>
      <c r="AL3499">
        <v>80.475089294590305</v>
      </c>
      <c r="AM3499">
        <v>92.0239393799542</v>
      </c>
      <c r="AN3499">
        <v>0.99999999145071905</v>
      </c>
    </row>
    <row r="3500" spans="1:40" x14ac:dyDescent="0.25">
      <c r="A3500" t="str">
        <f>"20190304155702208"</f>
        <v>20190304155702208</v>
      </c>
      <c r="B3500" t="str">
        <f>"1551686222198134"</f>
        <v>1551686222198134</v>
      </c>
      <c r="C3500" t="s">
        <v>40</v>
      </c>
      <c r="D3500">
        <v>4.7792570000000003</v>
      </c>
      <c r="E3500">
        <v>0.51418039999999998</v>
      </c>
      <c r="F3500" t="s">
        <v>55</v>
      </c>
      <c r="G3500">
        <v>-361.435</v>
      </c>
      <c r="H3500" s="1">
        <v>-7.7314260000000001E-7</v>
      </c>
      <c r="I3500">
        <v>214.52879999999999</v>
      </c>
      <c r="J3500">
        <v>-381.44310000000002</v>
      </c>
      <c r="K3500">
        <v>1.108589</v>
      </c>
      <c r="L3500">
        <v>214.34209999999999</v>
      </c>
      <c r="M3500">
        <v>0.99975530000000001</v>
      </c>
      <c r="N3500">
        <v>-9.0737890000000005E-3</v>
      </c>
      <c r="O3500">
        <v>2.0176630000000001E-2</v>
      </c>
      <c r="P3500">
        <v>0.98609829999999998</v>
      </c>
      <c r="Q3500">
        <v>0.1564836</v>
      </c>
      <c r="R3500">
        <v>5.5886400000000003E-2</v>
      </c>
      <c r="S3500">
        <v>3.0670169999999999</v>
      </c>
      <c r="T3500">
        <v>-0.16652129999999901</v>
      </c>
      <c r="U3500">
        <v>2.9251099999999901E-2</v>
      </c>
      <c r="V3500">
        <v>-3.5710310000000002E-2</v>
      </c>
      <c r="W3500">
        <v>0.16549140000000001</v>
      </c>
      <c r="X3500">
        <v>0.98556449999999995</v>
      </c>
      <c r="Y3500">
        <v>1.0602769999999999E-2</v>
      </c>
      <c r="Z3500">
        <v>-1.247345E-3</v>
      </c>
      <c r="AA3500">
        <v>0.99994300000000003</v>
      </c>
      <c r="AB3500">
        <v>40</v>
      </c>
      <c r="AC3500">
        <v>20.008099999999999</v>
      </c>
      <c r="AD3500">
        <v>-1.1085897731426</v>
      </c>
      <c r="AE3500">
        <v>0.186700000000001</v>
      </c>
      <c r="AF3500">
        <v>0.21638640622650801</v>
      </c>
      <c r="AG3500">
        <v>-1.1085897731426</v>
      </c>
      <c r="AH3500">
        <v>19.946564323987001</v>
      </c>
      <c r="AI3500">
        <v>93.180924263703403</v>
      </c>
      <c r="AJ3500">
        <v>89.378462310760099</v>
      </c>
      <c r="AK3500">
        <v>19.9785190315215</v>
      </c>
      <c r="AL3500">
        <v>80.474217989232599</v>
      </c>
      <c r="AM3500">
        <v>92.075110622358906</v>
      </c>
      <c r="AN3500">
        <v>1.0000000066872501</v>
      </c>
    </row>
    <row r="3501" spans="1:40" x14ac:dyDescent="0.25">
      <c r="A3501" t="str">
        <f>"20190304155702230"</f>
        <v>20190304155702230</v>
      </c>
      <c r="B3501" t="str">
        <f>"1551686222228387"</f>
        <v>1551686222228387</v>
      </c>
      <c r="C3501" t="s">
        <v>40</v>
      </c>
      <c r="D3501">
        <v>4.6819040000000003</v>
      </c>
      <c r="E3501">
        <v>0.5146868</v>
      </c>
      <c r="F3501" t="s">
        <v>55</v>
      </c>
      <c r="G3501">
        <v>-360.51600000000002</v>
      </c>
      <c r="H3501" s="1">
        <v>-1.262195E-6</v>
      </c>
      <c r="I3501">
        <v>214.5197</v>
      </c>
      <c r="J3501">
        <v>-381.0444</v>
      </c>
      <c r="K3501">
        <v>1.1085700000000001</v>
      </c>
      <c r="L3501">
        <v>214.34970000000001</v>
      </c>
      <c r="M3501">
        <v>0.99976790000000004</v>
      </c>
      <c r="N3501">
        <v>-9.0840939999999992E-3</v>
      </c>
      <c r="O3501">
        <v>1.95368E-2</v>
      </c>
      <c r="P3501">
        <v>0.98611789999999999</v>
      </c>
      <c r="Q3501">
        <v>0.15661700000000001</v>
      </c>
      <c r="R3501">
        <v>5.5162299999999997E-2</v>
      </c>
      <c r="S3501">
        <v>3.066589</v>
      </c>
      <c r="T3501">
        <v>-0.16244910000000001</v>
      </c>
      <c r="U3501">
        <v>2.601624E-2</v>
      </c>
      <c r="V3501">
        <v>-3.5610280000000001E-2</v>
      </c>
      <c r="W3501">
        <v>0.1656357</v>
      </c>
      <c r="X3501">
        <v>0.98554379999999997</v>
      </c>
      <c r="Y3501">
        <v>1.1018160000000001E-2</v>
      </c>
      <c r="Z3501">
        <v>-1.198457E-3</v>
      </c>
      <c r="AA3501">
        <v>0.99993860000000001</v>
      </c>
      <c r="AB3501">
        <v>40</v>
      </c>
      <c r="AC3501">
        <v>20.528400000000001</v>
      </c>
      <c r="AD3501">
        <v>-1.1085712621949999</v>
      </c>
      <c r="AE3501">
        <v>0.16999999999998699</v>
      </c>
      <c r="AF3501">
        <v>0.230436279091673</v>
      </c>
      <c r="AG3501">
        <v>-1.1085712621949999</v>
      </c>
      <c r="AH3501">
        <v>20.468117994158501</v>
      </c>
      <c r="AI3501">
        <v>93.099964741468696</v>
      </c>
      <c r="AJ3501">
        <v>89.354973991274804</v>
      </c>
      <c r="AK3501">
        <v>20.499411829242401</v>
      </c>
      <c r="AL3501">
        <v>80.465833765532096</v>
      </c>
      <c r="AM3501">
        <v>92.069346407948601</v>
      </c>
      <c r="AN3501">
        <v>0.99999992943730098</v>
      </c>
    </row>
    <row r="3502" spans="1:40" x14ac:dyDescent="0.25">
      <c r="A3502" t="str">
        <f>"20190304155702252"</f>
        <v>20190304155702252</v>
      </c>
      <c r="B3502" t="str">
        <f>"1551686222247906"</f>
        <v>1551686222247906</v>
      </c>
      <c r="C3502" t="s">
        <v>40</v>
      </c>
      <c r="D3502">
        <v>4.7851530000000002</v>
      </c>
      <c r="E3502">
        <v>0.51500919999999994</v>
      </c>
      <c r="F3502" t="s">
        <v>55</v>
      </c>
      <c r="G3502">
        <v>-359.51130000000001</v>
      </c>
      <c r="H3502" s="1">
        <v>3.5302469999999999E-6</v>
      </c>
      <c r="I3502">
        <v>214.48849999999999</v>
      </c>
      <c r="J3502">
        <v>-380.64089999999999</v>
      </c>
      <c r="K3502">
        <v>1.10854599999999</v>
      </c>
      <c r="L3502">
        <v>214.357</v>
      </c>
      <c r="M3502">
        <v>0.99978080000000003</v>
      </c>
      <c r="N3502">
        <v>-9.0946729999999993E-3</v>
      </c>
      <c r="O3502">
        <v>1.8866290000000001E-2</v>
      </c>
      <c r="P3502">
        <v>0.98623669999999997</v>
      </c>
      <c r="Q3502">
        <v>0.15613350000000001</v>
      </c>
      <c r="R3502">
        <v>5.4402739999999998E-2</v>
      </c>
      <c r="S3502">
        <v>3.0661930000000002</v>
      </c>
      <c r="T3502">
        <v>-0.15785350000000001</v>
      </c>
      <c r="U3502">
        <v>1.977539E-2</v>
      </c>
      <c r="V3502">
        <v>-3.5502680000000002E-2</v>
      </c>
      <c r="W3502">
        <v>0.16516549999999999</v>
      </c>
      <c r="X3502">
        <v>0.98562660000000002</v>
      </c>
      <c r="Y3502">
        <v>1.2382239999999999E-2</v>
      </c>
      <c r="Z3502">
        <v>-1.173929E-3</v>
      </c>
      <c r="AA3502">
        <v>0.99992259999999999</v>
      </c>
      <c r="AB3502">
        <v>40</v>
      </c>
      <c r="AC3502">
        <v>21.1295999999999</v>
      </c>
      <c r="AD3502">
        <v>-1.10854246975299</v>
      </c>
      <c r="AE3502">
        <v>0.13149999999998799</v>
      </c>
      <c r="AF3502">
        <v>0.26644364697176498</v>
      </c>
      <c r="AG3502">
        <v>-1.10854246975299</v>
      </c>
      <c r="AH3502">
        <v>21.070326839392798</v>
      </c>
      <c r="AI3502">
        <v>93.011402550647006</v>
      </c>
      <c r="AJ3502">
        <v>89.275508020161695</v>
      </c>
      <c r="AK3502">
        <v>21.101150009966101</v>
      </c>
      <c r="AL3502">
        <v>80.493150579569701</v>
      </c>
      <c r="AM3502">
        <v>92.0629259176376</v>
      </c>
      <c r="AN3502">
        <v>0.99999993865249404</v>
      </c>
    </row>
    <row r="3503" spans="1:40" x14ac:dyDescent="0.25">
      <c r="A3503" t="str">
        <f>"20190304155702275"</f>
        <v>20190304155702275</v>
      </c>
      <c r="B3503" t="str">
        <f>"1551686222268402"</f>
        <v>1551686222268402</v>
      </c>
      <c r="C3503" t="s">
        <v>40</v>
      </c>
      <c r="D3503">
        <v>4.7819399999999996</v>
      </c>
      <c r="E3503">
        <v>0.51533720000000005</v>
      </c>
      <c r="F3503" t="s">
        <v>55</v>
      </c>
      <c r="G3503">
        <v>-358.96339999999998</v>
      </c>
      <c r="H3503" s="1">
        <v>3.2398310000000001E-6</v>
      </c>
      <c r="I3503">
        <v>214.4624</v>
      </c>
      <c r="J3503">
        <v>-380.23669999999998</v>
      </c>
      <c r="K3503">
        <v>1.1085320000000001</v>
      </c>
      <c r="L3503">
        <v>214.364</v>
      </c>
      <c r="M3503">
        <v>0.9997933</v>
      </c>
      <c r="N3503">
        <v>-9.1052649999999995E-3</v>
      </c>
      <c r="O3503">
        <v>1.817744E-2</v>
      </c>
      <c r="P3503">
        <v>0.98629270000000002</v>
      </c>
      <c r="Q3503">
        <v>0.15622800000000001</v>
      </c>
      <c r="R3503">
        <v>5.309813E-2</v>
      </c>
      <c r="S3503">
        <v>3.0658569999999998</v>
      </c>
      <c r="T3503">
        <v>-0.15678159999999999</v>
      </c>
      <c r="U3503">
        <v>1.490784E-2</v>
      </c>
      <c r="V3503">
        <v>-3.4869919999999999E-2</v>
      </c>
      <c r="W3503">
        <v>0.1652708</v>
      </c>
      <c r="X3503">
        <v>0.98563160000000005</v>
      </c>
      <c r="Y3503">
        <v>1.3279819999999999E-2</v>
      </c>
      <c r="Z3503">
        <v>-1.163297E-3</v>
      </c>
      <c r="AA3503">
        <v>0.99991110000000005</v>
      </c>
      <c r="AB3503">
        <v>40</v>
      </c>
      <c r="AC3503">
        <v>21.273299999999999</v>
      </c>
      <c r="AD3503">
        <v>-1.1085287601689999</v>
      </c>
      <c r="AE3503">
        <v>9.8399999999998003E-2</v>
      </c>
      <c r="AF3503">
        <v>0.28754566297516898</v>
      </c>
      <c r="AG3503">
        <v>-1.1085287601689999</v>
      </c>
      <c r="AH3503">
        <v>21.213971686335</v>
      </c>
      <c r="AI3503">
        <v>92.990976306797094</v>
      </c>
      <c r="AJ3503">
        <v>89.2234295260008</v>
      </c>
      <c r="AK3503">
        <v>21.244860866313999</v>
      </c>
      <c r="AL3503">
        <v>80.487033850582804</v>
      </c>
      <c r="AM3503">
        <v>92.026179290670996</v>
      </c>
      <c r="AN3503">
        <v>0.99999999978600296</v>
      </c>
    </row>
    <row r="3504" spans="1:40" x14ac:dyDescent="0.25">
      <c r="A3504" t="str">
        <f>"20190304155702297"</f>
        <v>20190304155702297</v>
      </c>
      <c r="B3504" t="str">
        <f>"1551686222287922"</f>
        <v>1551686222287922</v>
      </c>
      <c r="C3504" t="s">
        <v>40</v>
      </c>
      <c r="D3504">
        <v>4.68736</v>
      </c>
      <c r="E3504">
        <v>0.51558499999999996</v>
      </c>
      <c r="F3504" t="s">
        <v>55</v>
      </c>
      <c r="G3504">
        <v>-358.11750000000001</v>
      </c>
      <c r="H3504" s="1">
        <v>2.7911860000000001E-6</v>
      </c>
      <c r="I3504">
        <v>214.4272</v>
      </c>
      <c r="J3504">
        <v>-379.84030000000001</v>
      </c>
      <c r="K3504">
        <v>1.1085100000000001</v>
      </c>
      <c r="L3504">
        <v>214.3707</v>
      </c>
      <c r="M3504">
        <v>0.99980550000000001</v>
      </c>
      <c r="N3504">
        <v>-9.1152400000000001E-3</v>
      </c>
      <c r="O3504">
        <v>1.7486950000000001E-2</v>
      </c>
      <c r="P3504">
        <v>0.98634520000000003</v>
      </c>
      <c r="Q3504">
        <v>0.1562171</v>
      </c>
      <c r="R3504">
        <v>5.2146650000000003E-2</v>
      </c>
      <c r="S3504">
        <v>3.0655209999999999</v>
      </c>
      <c r="T3504">
        <v>-0.15363189999999999</v>
      </c>
      <c r="U3504">
        <v>8.7585449999999995E-3</v>
      </c>
      <c r="V3504">
        <v>-3.4592150000000002E-2</v>
      </c>
      <c r="W3504">
        <v>0.1652708</v>
      </c>
      <c r="X3504">
        <v>0.9856414</v>
      </c>
      <c r="Y3504">
        <v>1.4594609999999999E-2</v>
      </c>
      <c r="Z3504">
        <v>-1.1485110000000001E-3</v>
      </c>
      <c r="AA3504">
        <v>0.99989280000000003</v>
      </c>
      <c r="AB3504">
        <v>40</v>
      </c>
      <c r="AC3504">
        <v>21.722799999999999</v>
      </c>
      <c r="AD3504">
        <v>-1.108507208814</v>
      </c>
      <c r="AE3504">
        <v>5.6499999999999703E-2</v>
      </c>
      <c r="AF3504">
        <v>0.322550031739817</v>
      </c>
      <c r="AG3504">
        <v>-1.108507208814</v>
      </c>
      <c r="AH3504">
        <v>21.664052788188801</v>
      </c>
      <c r="AI3504">
        <v>92.928834372540706</v>
      </c>
      <c r="AJ3504">
        <v>89.147002165518998</v>
      </c>
      <c r="AK3504">
        <v>21.694792231418099</v>
      </c>
      <c r="AL3504">
        <v>80.487033965780896</v>
      </c>
      <c r="AM3504">
        <v>92.010032290112505</v>
      </c>
      <c r="AN3504">
        <v>1.0000000117841099</v>
      </c>
    </row>
    <row r="3505" spans="1:40" x14ac:dyDescent="0.25">
      <c r="A3505" t="str">
        <f>"20190304155702322"</f>
        <v>20190304155702322</v>
      </c>
      <c r="B3505" t="str">
        <f>"1551686222318179"</f>
        <v>1551686222318179</v>
      </c>
      <c r="C3505" t="s">
        <v>40</v>
      </c>
      <c r="D3505">
        <v>4.7443429999999998</v>
      </c>
      <c r="E3505">
        <v>0.51599189999999995</v>
      </c>
      <c r="F3505" t="s">
        <v>55</v>
      </c>
      <c r="G3505">
        <v>-357.46269999999998</v>
      </c>
      <c r="H3505" s="1">
        <v>2.4437E-6</v>
      </c>
      <c r="I3505">
        <v>214.40549999999999</v>
      </c>
      <c r="J3505">
        <v>-379.39659999999998</v>
      </c>
      <c r="K3505">
        <v>1.10849</v>
      </c>
      <c r="L3505">
        <v>214.37780000000001</v>
      </c>
      <c r="M3505">
        <v>0.99981900000000001</v>
      </c>
      <c r="N3505">
        <v>-9.1261889999999998E-3</v>
      </c>
      <c r="O3505">
        <v>1.6700630000000001E-2</v>
      </c>
      <c r="P3505">
        <v>0.98642379999999996</v>
      </c>
      <c r="Q3505">
        <v>0.15604870000000001</v>
      </c>
      <c r="R3505">
        <v>5.1158910000000002E-2</v>
      </c>
      <c r="S3505">
        <v>3.0653380000000001</v>
      </c>
      <c r="T3505">
        <v>-0.15184619999999999</v>
      </c>
      <c r="U3505">
        <v>4.7760009999999898E-3</v>
      </c>
      <c r="V3505">
        <v>-3.4373590000000002E-2</v>
      </c>
      <c r="W3505">
        <v>0.16511419999999999</v>
      </c>
      <c r="X3505">
        <v>0.98567530000000003</v>
      </c>
      <c r="Y3505">
        <v>1.5107890000000001E-2</v>
      </c>
      <c r="Z3505">
        <v>-1.1173629999999999E-3</v>
      </c>
      <c r="AA3505">
        <v>0.99988529999999998</v>
      </c>
      <c r="AB3505">
        <v>40</v>
      </c>
      <c r="AC3505">
        <v>21.933899999999898</v>
      </c>
      <c r="AD3505">
        <v>-1.1084875562999901</v>
      </c>
      <c r="AE3505">
        <v>2.76999999999816E-2</v>
      </c>
      <c r="AF3505">
        <v>0.33776635313535802</v>
      </c>
      <c r="AG3505">
        <v>-1.1084875562999901</v>
      </c>
      <c r="AH3505">
        <v>21.875432428388098</v>
      </c>
      <c r="AI3505">
        <v>92.900506410635899</v>
      </c>
      <c r="AJ3505">
        <v>89.115398113974905</v>
      </c>
      <c r="AK3505">
        <v>21.906103594677798</v>
      </c>
      <c r="AL3505">
        <v>80.496131549931206</v>
      </c>
      <c r="AM3505">
        <v>91.997274191850394</v>
      </c>
      <c r="AN3505">
        <v>1.0000000198806001</v>
      </c>
    </row>
    <row r="3506" spans="1:40" x14ac:dyDescent="0.25">
      <c r="A3506" t="str">
        <f>"20190304155702343"</f>
        <v>20190304155702343</v>
      </c>
      <c r="B3506" t="str">
        <f>"1551686222338674"</f>
        <v>1551686222338674</v>
      </c>
      <c r="C3506" t="s">
        <v>40</v>
      </c>
      <c r="D3506">
        <v>4.8514939999999998</v>
      </c>
      <c r="E3506">
        <v>0.51616320000000004</v>
      </c>
      <c r="F3506" t="s">
        <v>55</v>
      </c>
      <c r="G3506">
        <v>-356.53199999999998</v>
      </c>
      <c r="H3506" s="1">
        <v>1.9500430000000001E-6</v>
      </c>
      <c r="I3506">
        <v>214.36789999999999</v>
      </c>
      <c r="J3506">
        <v>-378.99790000000002</v>
      </c>
      <c r="K3506">
        <v>1.108481</v>
      </c>
      <c r="L3506">
        <v>214.38380000000001</v>
      </c>
      <c r="M3506">
        <v>0.99983060000000001</v>
      </c>
      <c r="N3506">
        <v>-9.13601E-3</v>
      </c>
      <c r="O3506">
        <v>1.598548E-2</v>
      </c>
      <c r="P3506">
        <v>0.98659839999999999</v>
      </c>
      <c r="Q3506">
        <v>0.1551524</v>
      </c>
      <c r="R3506">
        <v>5.0510810000000003E-2</v>
      </c>
      <c r="S3506">
        <v>3.06488</v>
      </c>
      <c r="T3506">
        <v>-0.14858660000000001</v>
      </c>
      <c r="U3506">
        <v>-1.327515E-3</v>
      </c>
      <c r="V3506">
        <v>-3.4425740000000003E-2</v>
      </c>
      <c r="W3506">
        <v>0.16422999999999999</v>
      </c>
      <c r="X3506">
        <v>0.98582119999999995</v>
      </c>
      <c r="Y3506">
        <v>1.6383990000000001E-2</v>
      </c>
      <c r="Z3506">
        <v>-1.1003359999999999E-3</v>
      </c>
      <c r="AA3506">
        <v>0.99986520000000001</v>
      </c>
      <c r="AB3506">
        <v>40</v>
      </c>
      <c r="AC3506">
        <v>22.465900000000001</v>
      </c>
      <c r="AD3506">
        <v>-1.1084790499570001</v>
      </c>
      <c r="AE3506">
        <v>-1.59000000000162E-2</v>
      </c>
      <c r="AF3506">
        <v>0.37413029578200702</v>
      </c>
      <c r="AG3506">
        <v>-1.1084790499570001</v>
      </c>
      <c r="AH3506">
        <v>22.408222496139</v>
      </c>
      <c r="AI3506">
        <v>92.831577281540305</v>
      </c>
      <c r="AJ3506">
        <v>89.043471858169298</v>
      </c>
      <c r="AK3506">
        <v>22.438741825665801</v>
      </c>
      <c r="AL3506">
        <v>80.547493765734202</v>
      </c>
      <c r="AM3506">
        <v>92.000006101810797</v>
      </c>
      <c r="AN3506">
        <v>1.0000000314219899</v>
      </c>
    </row>
    <row r="3507" spans="1:40" x14ac:dyDescent="0.25">
      <c r="A3507" t="str">
        <f>"20190304155702364"</f>
        <v>20190304155702364</v>
      </c>
      <c r="B3507" t="str">
        <f>"1551686222358194"</f>
        <v>1551686222358194</v>
      </c>
      <c r="C3507" t="s">
        <v>40</v>
      </c>
      <c r="D3507">
        <v>4.7763650000000002</v>
      </c>
      <c r="E3507">
        <v>0.51653190000000004</v>
      </c>
      <c r="F3507" t="s">
        <v>55</v>
      </c>
      <c r="G3507">
        <v>-356.38080000000002</v>
      </c>
      <c r="H3507" s="1">
        <v>1.870594E-6</v>
      </c>
      <c r="I3507">
        <v>214.3459</v>
      </c>
      <c r="J3507">
        <v>-378.62360000000001</v>
      </c>
      <c r="K3507">
        <v>1.1084700000000001</v>
      </c>
      <c r="L3507">
        <v>214.38929999999999</v>
      </c>
      <c r="M3507">
        <v>0.99984099999999998</v>
      </c>
      <c r="N3507">
        <v>-9.1452800000000004E-3</v>
      </c>
      <c r="O3507">
        <v>1.530928E-2</v>
      </c>
      <c r="P3507">
        <v>0.98673889999999997</v>
      </c>
      <c r="Q3507">
        <v>0.15439810000000001</v>
      </c>
      <c r="R3507">
        <v>5.0079640000000002E-2</v>
      </c>
      <c r="S3507">
        <v>3.0646360000000001</v>
      </c>
      <c r="T3507">
        <v>-0.15020039999999901</v>
      </c>
      <c r="U3507">
        <v>-5.1422120000000002E-3</v>
      </c>
      <c r="V3507">
        <v>-3.4658059999999997E-2</v>
      </c>
      <c r="W3507">
        <v>0.163487299999999</v>
      </c>
      <c r="X3507">
        <v>0.98593649999999999</v>
      </c>
      <c r="Y3507">
        <v>1.6951319999999999E-2</v>
      </c>
      <c r="Z3507">
        <v>-1.1026230000000001E-3</v>
      </c>
      <c r="AA3507">
        <v>0.99985570000000001</v>
      </c>
      <c r="AB3507">
        <v>40</v>
      </c>
      <c r="AC3507">
        <v>22.2427999999999</v>
      </c>
      <c r="AD3507">
        <v>-1.1084681294059999</v>
      </c>
      <c r="AE3507">
        <v>-4.3399999999991203E-2</v>
      </c>
      <c r="AF3507">
        <v>0.38297926862248499</v>
      </c>
      <c r="AG3507">
        <v>-1.1084681294059999</v>
      </c>
      <c r="AH3507">
        <v>22.184433356500701</v>
      </c>
      <c r="AI3507">
        <v>92.860038467788797</v>
      </c>
      <c r="AJ3507">
        <v>89.010976935912296</v>
      </c>
      <c r="AK3507">
        <v>22.2154103735026</v>
      </c>
      <c r="AL3507">
        <v>80.590630371306503</v>
      </c>
      <c r="AM3507">
        <v>92.013256675067396</v>
      </c>
      <c r="AN3507">
        <v>1.0000000302082499</v>
      </c>
    </row>
    <row r="3508" spans="1:40" x14ac:dyDescent="0.25">
      <c r="A3508" t="str">
        <f>"20190304155702387"</f>
        <v>20190304155702387</v>
      </c>
      <c r="B3508" t="str">
        <f>"1551686222378690"</f>
        <v>1551686222378690</v>
      </c>
      <c r="C3508" t="s">
        <v>40</v>
      </c>
      <c r="D3508">
        <v>4.818619</v>
      </c>
      <c r="E3508">
        <v>0.51698639999999996</v>
      </c>
      <c r="F3508" t="s">
        <v>55</v>
      </c>
      <c r="G3508">
        <v>-356.15260000000001</v>
      </c>
      <c r="H3508" s="1">
        <v>1.75032999999999E-6</v>
      </c>
      <c r="I3508">
        <v>214.31800000000001</v>
      </c>
      <c r="J3508">
        <v>-378.2133</v>
      </c>
      <c r="K3508">
        <v>1.1084590000000001</v>
      </c>
      <c r="L3508">
        <v>214.39500000000001</v>
      </c>
      <c r="M3508">
        <v>0.99985210000000002</v>
      </c>
      <c r="N3508">
        <v>-9.1556050000000007E-3</v>
      </c>
      <c r="O3508">
        <v>1.45652E-2</v>
      </c>
      <c r="P3508">
        <v>0.9869232</v>
      </c>
      <c r="Q3508">
        <v>0.1532917</v>
      </c>
      <c r="R3508">
        <v>4.984483E-2</v>
      </c>
      <c r="S3508">
        <v>3.0644529999999999</v>
      </c>
      <c r="T3508">
        <v>-0.15116559999999901</v>
      </c>
      <c r="U3508">
        <v>-9.7198489999999992E-3</v>
      </c>
      <c r="V3508">
        <v>-3.5154360000000003E-2</v>
      </c>
      <c r="W3508">
        <v>0.16239439999999999</v>
      </c>
      <c r="X3508">
        <v>0.98609950000000002</v>
      </c>
      <c r="Y3508">
        <v>1.7699920000000001E-2</v>
      </c>
      <c r="Z3508">
        <v>-1.1021150000000001E-3</v>
      </c>
      <c r="AA3508">
        <v>0.99984280000000003</v>
      </c>
      <c r="AB3508">
        <v>41</v>
      </c>
      <c r="AC3508">
        <v>22.060700000000001</v>
      </c>
      <c r="AD3508">
        <v>-1.10845724967</v>
      </c>
      <c r="AE3508">
        <v>-7.7000000000026603E-2</v>
      </c>
      <c r="AF3508">
        <v>0.39732069702842199</v>
      </c>
      <c r="AG3508">
        <v>-1.10845724967</v>
      </c>
      <c r="AH3508">
        <v>22.001692420526901</v>
      </c>
      <c r="AI3508">
        <v>92.883684673861097</v>
      </c>
      <c r="AJ3508">
        <v>88.965428456240602</v>
      </c>
      <c r="AK3508">
        <v>22.0331797654833</v>
      </c>
      <c r="AL3508">
        <v>80.6540967971778</v>
      </c>
      <c r="AM3508">
        <v>92.041724813708996</v>
      </c>
      <c r="AN3508">
        <v>0.99999999703930897</v>
      </c>
    </row>
    <row r="3509" spans="1:40" x14ac:dyDescent="0.25">
      <c r="A3509" t="str">
        <f>"20190304155702408"</f>
        <v>20190304155702408</v>
      </c>
      <c r="B3509" t="str">
        <f>"1551686222398214"</f>
        <v>1551686222398214</v>
      </c>
      <c r="C3509" t="s">
        <v>40</v>
      </c>
      <c r="D3509">
        <v>4.8254900000000003</v>
      </c>
      <c r="E3509">
        <v>0.51746979999999998</v>
      </c>
      <c r="F3509" t="s">
        <v>55</v>
      </c>
      <c r="G3509">
        <v>-356.10070000000002</v>
      </c>
      <c r="H3509" s="1">
        <v>1.7237060000000001E-6</v>
      </c>
      <c r="I3509">
        <v>214.29580000000001</v>
      </c>
      <c r="J3509">
        <v>-377.80919999999998</v>
      </c>
      <c r="K3509">
        <v>1.1084480000000001</v>
      </c>
      <c r="L3509">
        <v>214.40029999999999</v>
      </c>
      <c r="M3509">
        <v>0.99986240000000004</v>
      </c>
      <c r="N3509">
        <v>-9.1658220000000006E-3</v>
      </c>
      <c r="O3509">
        <v>1.3831619999999999E-2</v>
      </c>
      <c r="P3509">
        <v>0.98700540000000003</v>
      </c>
      <c r="Q3509">
        <v>0.15286440000000001</v>
      </c>
      <c r="R3509">
        <v>4.9528900000000001E-2</v>
      </c>
      <c r="S3509">
        <v>3.0643009999999999</v>
      </c>
      <c r="T3509">
        <v>-0.15360689999999999</v>
      </c>
      <c r="U3509">
        <v>-1.3748170000000001E-2</v>
      </c>
      <c r="V3509">
        <v>-3.5559779999999999E-2</v>
      </c>
      <c r="W3509">
        <v>0.16197890000000001</v>
      </c>
      <c r="X3509">
        <v>0.98615330000000001</v>
      </c>
      <c r="Y3509">
        <v>1.8279400000000001E-2</v>
      </c>
      <c r="Z3509">
        <v>-1.107884E-3</v>
      </c>
      <c r="AA3509">
        <v>0.99983230000000001</v>
      </c>
      <c r="AB3509">
        <v>41</v>
      </c>
      <c r="AC3509">
        <v>21.708499999999901</v>
      </c>
      <c r="AD3509">
        <v>-1.1084462762939999</v>
      </c>
      <c r="AE3509">
        <v>-0.104499999999973</v>
      </c>
      <c r="AF3509">
        <v>0.403713790407909</v>
      </c>
      <c r="AG3509">
        <v>-1.1084462762939999</v>
      </c>
      <c r="AH3509">
        <v>21.648537543942901</v>
      </c>
      <c r="AI3509">
        <v>92.930584551017802</v>
      </c>
      <c r="AJ3509">
        <v>88.931640744182801</v>
      </c>
      <c r="AK3509">
        <v>21.680655335194501</v>
      </c>
      <c r="AL3509">
        <v>80.678222612724795</v>
      </c>
      <c r="AM3509">
        <v>92.065138294138393</v>
      </c>
      <c r="AN3509">
        <v>0.99999999654987404</v>
      </c>
    </row>
    <row r="3510" spans="1:40" x14ac:dyDescent="0.25">
      <c r="A3510" t="str">
        <f>"20190304155702432"</f>
        <v>20190304155702432</v>
      </c>
      <c r="B3510" t="str">
        <f>"1551686222428466"</f>
        <v>1551686222428466</v>
      </c>
      <c r="C3510" t="s">
        <v>40</v>
      </c>
      <c r="D3510">
        <v>4.7512970000000001</v>
      </c>
      <c r="E3510">
        <v>0.51823589999999997</v>
      </c>
      <c r="F3510" t="s">
        <v>55</v>
      </c>
      <c r="G3510">
        <v>-355.67880000000002</v>
      </c>
      <c r="H3510" s="1">
        <v>1.5004620000000001E-6</v>
      </c>
      <c r="I3510">
        <v>214.2663</v>
      </c>
      <c r="J3510">
        <v>-377.3929</v>
      </c>
      <c r="K3510">
        <v>1.1084350000000001</v>
      </c>
      <c r="L3510">
        <v>214.40549999999999</v>
      </c>
      <c r="M3510">
        <v>0.99987239999999999</v>
      </c>
      <c r="N3510">
        <v>-9.1762660000000006E-3</v>
      </c>
      <c r="O3510">
        <v>1.3076290000000001E-2</v>
      </c>
      <c r="P3510">
        <v>0.98705759999999998</v>
      </c>
      <c r="Q3510">
        <v>0.1526025</v>
      </c>
      <c r="R3510">
        <v>4.9294940000000002E-2</v>
      </c>
      <c r="S3510">
        <v>3.064209</v>
      </c>
      <c r="T3510">
        <v>-0.15347710000000001</v>
      </c>
      <c r="U3510">
        <v>-1.8554689999999999E-2</v>
      </c>
      <c r="V3510">
        <v>-3.6068669999999997E-2</v>
      </c>
      <c r="W3510">
        <v>0.1617295</v>
      </c>
      <c r="X3510">
        <v>0.98617580000000005</v>
      </c>
      <c r="Y3510">
        <v>1.909201E-2</v>
      </c>
      <c r="Z3510">
        <v>-1.100087E-3</v>
      </c>
      <c r="AA3510">
        <v>0.99981710000000001</v>
      </c>
      <c r="AB3510">
        <v>41</v>
      </c>
      <c r="AC3510">
        <v>21.714099999999899</v>
      </c>
      <c r="AD3510">
        <v>-1.1084334995379901</v>
      </c>
      <c r="AE3510">
        <v>-0.139199999999988</v>
      </c>
      <c r="AF3510">
        <v>0.42204022674020503</v>
      </c>
      <c r="AG3510">
        <v>-1.1084334995379901</v>
      </c>
      <c r="AH3510">
        <v>21.654000063012699</v>
      </c>
      <c r="AI3510">
        <v>92.929765924332003</v>
      </c>
      <c r="AJ3510">
        <v>88.883436661358701</v>
      </c>
      <c r="AK3510">
        <v>21.686458021190099</v>
      </c>
      <c r="AL3510">
        <v>80.692703558704196</v>
      </c>
      <c r="AM3510">
        <v>92.094618250150006</v>
      </c>
      <c r="AN3510">
        <v>1.00000004431572</v>
      </c>
    </row>
    <row r="3511" spans="1:40" x14ac:dyDescent="0.25">
      <c r="A3511" t="str">
        <f>"20190304155702453"</f>
        <v>20190304155702453</v>
      </c>
      <c r="B3511" t="str">
        <f>"1551686222447986"</f>
        <v>1551686222447986</v>
      </c>
      <c r="C3511" t="s">
        <v>40</v>
      </c>
      <c r="D3511">
        <v>4.7854989999999997</v>
      </c>
      <c r="E3511">
        <v>0.51860680000000003</v>
      </c>
      <c r="F3511" t="s">
        <v>55</v>
      </c>
      <c r="G3511">
        <v>-355.13380000000001</v>
      </c>
      <c r="H3511" s="1">
        <v>1.2123030000000001E-6</v>
      </c>
      <c r="I3511">
        <v>214.22389999999999</v>
      </c>
      <c r="J3511">
        <v>-376.9889</v>
      </c>
      <c r="K3511">
        <v>1.1084290000000001</v>
      </c>
      <c r="L3511">
        <v>214.4102</v>
      </c>
      <c r="M3511">
        <v>0.99988169999999998</v>
      </c>
      <c r="N3511">
        <v>-9.1863589999999998E-3</v>
      </c>
      <c r="O3511">
        <v>1.23438E-2</v>
      </c>
      <c r="P3511">
        <v>0.98710509999999996</v>
      </c>
      <c r="Q3511">
        <v>0.15231810000000001</v>
      </c>
      <c r="R3511">
        <v>4.922087E-2</v>
      </c>
      <c r="S3511">
        <v>3.0641479999999999</v>
      </c>
      <c r="T3511">
        <v>-0.15258479999999999</v>
      </c>
      <c r="U3511">
        <v>-2.4993899999999999E-2</v>
      </c>
      <c r="V3511">
        <v>-3.6715490000000003E-2</v>
      </c>
      <c r="W3511">
        <v>0.16145709999999999</v>
      </c>
      <c r="X3511">
        <v>0.98619650000000003</v>
      </c>
      <c r="Y3511">
        <v>2.0459700000000001E-2</v>
      </c>
      <c r="Z3511">
        <v>-1.104086E-3</v>
      </c>
      <c r="AA3511">
        <v>0.99979010000000001</v>
      </c>
      <c r="AB3511">
        <v>41</v>
      </c>
      <c r="AC3511">
        <v>21.8551</v>
      </c>
      <c r="AD3511">
        <v>-1.1084277876969999</v>
      </c>
      <c r="AE3511">
        <v>-0.18630000000001601</v>
      </c>
      <c r="AF3511">
        <v>0.45490212262838498</v>
      </c>
      <c r="AG3511">
        <v>-1.1084277876969999</v>
      </c>
      <c r="AH3511">
        <v>21.7950772228156</v>
      </c>
      <c r="AI3511">
        <v>92.910738628471606</v>
      </c>
      <c r="AJ3511">
        <v>88.8043085289479</v>
      </c>
      <c r="AK3511">
        <v>21.827985231124799</v>
      </c>
      <c r="AL3511">
        <v>80.708518173141996</v>
      </c>
      <c r="AM3511">
        <v>92.132101995153306</v>
      </c>
      <c r="AN3511">
        <v>0.99999997947929897</v>
      </c>
    </row>
    <row r="3512" spans="1:40" x14ac:dyDescent="0.25">
      <c r="A3512" t="str">
        <f>"20190304155702476"</f>
        <v>20190304155702476</v>
      </c>
      <c r="B3512" t="str">
        <f>"1551686222468482"</f>
        <v>1551686222468482</v>
      </c>
      <c r="C3512" t="s">
        <v>40</v>
      </c>
      <c r="D3512">
        <v>4.7316979999999997</v>
      </c>
      <c r="E3512">
        <v>0.51896120000000001</v>
      </c>
      <c r="F3512" t="s">
        <v>55</v>
      </c>
      <c r="G3512">
        <v>-354.66739999999999</v>
      </c>
      <c r="H3512" s="1">
        <v>9.650312999999999E-7</v>
      </c>
      <c r="I3512">
        <v>214.20339999999999</v>
      </c>
      <c r="J3512">
        <v>-376.58460000000002</v>
      </c>
      <c r="K3512">
        <v>1.108414</v>
      </c>
      <c r="L3512">
        <v>214.41460000000001</v>
      </c>
      <c r="M3512">
        <v>0.99989030000000001</v>
      </c>
      <c r="N3512">
        <v>-9.1964839999999996E-3</v>
      </c>
      <c r="O3512">
        <v>1.16112E-2</v>
      </c>
      <c r="P3512">
        <v>0.98715799999999998</v>
      </c>
      <c r="Q3512">
        <v>0.15207470000000001</v>
      </c>
      <c r="R3512">
        <v>4.89121E-2</v>
      </c>
      <c r="S3512">
        <v>3.064117</v>
      </c>
      <c r="T3512">
        <v>-0.1521566</v>
      </c>
      <c r="U3512">
        <v>-2.838135E-2</v>
      </c>
      <c r="V3512">
        <v>-3.7127920000000002E-2</v>
      </c>
      <c r="W3512">
        <v>0.16122510000000001</v>
      </c>
      <c r="X3512">
        <v>0.98621899999999996</v>
      </c>
      <c r="Y3512">
        <v>2.0832739999999999E-2</v>
      </c>
      <c r="Z3512">
        <v>-1.0822760000000001E-3</v>
      </c>
      <c r="AA3512">
        <v>0.99978239999999996</v>
      </c>
      <c r="AB3512">
        <v>41</v>
      </c>
      <c r="AC3512">
        <v>21.917200000000001</v>
      </c>
      <c r="AD3512">
        <v>-1.1084130349687</v>
      </c>
      <c r="AE3512">
        <v>-0.21120000000001901</v>
      </c>
      <c r="AF3512">
        <v>0.464493635350956</v>
      </c>
      <c r="AG3512">
        <v>-1.1084130349687</v>
      </c>
      <c r="AH3512">
        <v>21.857372709739298</v>
      </c>
      <c r="AI3512">
        <v>92.902395262799402</v>
      </c>
      <c r="AJ3512">
        <v>88.782583797104806</v>
      </c>
      <c r="AK3512">
        <v>21.890387743615399</v>
      </c>
      <c r="AL3512">
        <v>80.721987127209701</v>
      </c>
      <c r="AM3512">
        <v>92.155980562072003</v>
      </c>
      <c r="AN3512">
        <v>0.99999996563726701</v>
      </c>
    </row>
    <row r="3513" spans="1:40" x14ac:dyDescent="0.25">
      <c r="A3513" t="str">
        <f>"20190304155702497"</f>
        <v>20190304155702497</v>
      </c>
      <c r="B3513" t="str">
        <f>"1551686222488002"</f>
        <v>1551686222488002</v>
      </c>
      <c r="C3513" t="s">
        <v>40</v>
      </c>
      <c r="D3513">
        <v>4.7917670000000001</v>
      </c>
      <c r="E3513">
        <v>0.51927389999999995</v>
      </c>
      <c r="F3513" t="s">
        <v>55</v>
      </c>
      <c r="G3513">
        <v>-354.2595</v>
      </c>
      <c r="H3513" s="1">
        <v>7.4890249999999905E-7</v>
      </c>
      <c r="I3513">
        <v>214.1816</v>
      </c>
      <c r="J3513">
        <v>-376.1859</v>
      </c>
      <c r="K3513">
        <v>1.1084050000000001</v>
      </c>
      <c r="L3513">
        <v>214.4187</v>
      </c>
      <c r="M3513">
        <v>0.99989830000000002</v>
      </c>
      <c r="N3513">
        <v>-9.2065610000000003E-3</v>
      </c>
      <c r="O3513">
        <v>1.0889100000000001E-2</v>
      </c>
      <c r="P3513">
        <v>0.98728190000000005</v>
      </c>
      <c r="Q3513">
        <v>0.15138480000000001</v>
      </c>
      <c r="R3513">
        <v>4.8547020000000003E-2</v>
      </c>
      <c r="S3513">
        <v>3.0640869999999998</v>
      </c>
      <c r="T3513">
        <v>-0.15212790000000001</v>
      </c>
      <c r="U3513">
        <v>-3.1982419999999998E-2</v>
      </c>
      <c r="V3513">
        <v>-3.7474E-2</v>
      </c>
      <c r="W3513">
        <v>0.16054689999999999</v>
      </c>
      <c r="X3513">
        <v>0.98631659999999999</v>
      </c>
      <c r="Y3513">
        <v>2.1285640000000002E-2</v>
      </c>
      <c r="Z3513">
        <v>-1.0662039999999901E-3</v>
      </c>
      <c r="AA3513">
        <v>0.99977280000000002</v>
      </c>
      <c r="AB3513">
        <v>41</v>
      </c>
      <c r="AC3513">
        <v>21.926400000000001</v>
      </c>
      <c r="AD3513">
        <v>-1.1084042510974901</v>
      </c>
      <c r="AE3513">
        <v>-0.23709999999999801</v>
      </c>
      <c r="AF3513">
        <v>0.47464206355806798</v>
      </c>
      <c r="AG3513">
        <v>-1.1084042510974901</v>
      </c>
      <c r="AH3513">
        <v>21.866646146106302</v>
      </c>
      <c r="AI3513">
        <v>92.901115239764806</v>
      </c>
      <c r="AJ3513">
        <v>88.756520913798497</v>
      </c>
      <c r="AK3513">
        <v>21.899864354634101</v>
      </c>
      <c r="AL3513">
        <v>80.761358533338097</v>
      </c>
      <c r="AM3513">
        <v>92.175842722460203</v>
      </c>
      <c r="AN3513">
        <v>1.00000002160558</v>
      </c>
    </row>
    <row r="3514" spans="1:40" x14ac:dyDescent="0.25">
      <c r="A3514" t="str">
        <f>"20190304155702523"</f>
        <v>20190304155702523</v>
      </c>
      <c r="B3514" t="str">
        <f>"1551686222518258"</f>
        <v>1551686222518258</v>
      </c>
      <c r="C3514" t="s">
        <v>40</v>
      </c>
      <c r="D3514">
        <v>4.7943439999999997</v>
      </c>
      <c r="E3514">
        <v>0.51972399999999996</v>
      </c>
      <c r="F3514" t="s">
        <v>55</v>
      </c>
      <c r="G3514">
        <v>-353.9563</v>
      </c>
      <c r="H3514" s="1">
        <v>5.8856359999999995E-7</v>
      </c>
      <c r="I3514">
        <v>214.15870000000001</v>
      </c>
      <c r="J3514">
        <v>-375.74180000000001</v>
      </c>
      <c r="K3514">
        <v>1.1083970000000001</v>
      </c>
      <c r="L3514">
        <v>214.4228</v>
      </c>
      <c r="M3514">
        <v>0.99990679999999998</v>
      </c>
      <c r="N3514">
        <v>-9.2178429999999999E-3</v>
      </c>
      <c r="O3514">
        <v>1.008469E-2</v>
      </c>
      <c r="P3514">
        <v>0.98737799999999998</v>
      </c>
      <c r="Q3514">
        <v>0.15092120000000001</v>
      </c>
      <c r="R3514">
        <v>4.8037589999999998E-2</v>
      </c>
      <c r="S3514">
        <v>3.0638429999999999</v>
      </c>
      <c r="T3514">
        <v>-0.1527684</v>
      </c>
      <c r="U3514">
        <v>-3.5827640000000001E-2</v>
      </c>
      <c r="V3514">
        <v>-3.7757569999999997E-2</v>
      </c>
      <c r="W3514">
        <v>0.16009599999999999</v>
      </c>
      <c r="X3514">
        <v>0.98637900000000001</v>
      </c>
      <c r="Y3514">
        <v>2.1736399999999999E-2</v>
      </c>
      <c r="Z3514">
        <v>-1.051413E-3</v>
      </c>
      <c r="AA3514">
        <v>0.99976319999999996</v>
      </c>
      <c r="AB3514">
        <v>41</v>
      </c>
      <c r="AC3514">
        <v>21.785499999999999</v>
      </c>
      <c r="AD3514">
        <v>-1.10839641143639</v>
      </c>
      <c r="AE3514">
        <v>-0.26409999999998401</v>
      </c>
      <c r="AF3514">
        <v>0.48254697731713098</v>
      </c>
      <c r="AG3514">
        <v>-1.10839641143639</v>
      </c>
      <c r="AH3514">
        <v>21.725499498340302</v>
      </c>
      <c r="AI3514">
        <v>92.919877833125696</v>
      </c>
      <c r="AJ3514">
        <v>88.727607619403102</v>
      </c>
      <c r="AK3514">
        <v>21.7591066600306</v>
      </c>
      <c r="AL3514">
        <v>80.787531065460996</v>
      </c>
      <c r="AM3514">
        <v>92.192153012756407</v>
      </c>
      <c r="AN3514">
        <v>0.99999994747465104</v>
      </c>
    </row>
    <row r="3515" spans="1:40" x14ac:dyDescent="0.25">
      <c r="A3515" t="str">
        <f>"20190304155702545"</f>
        <v>20190304155702545</v>
      </c>
      <c r="B3515" t="str">
        <f>"1551686222537778"</f>
        <v>1551686222537778</v>
      </c>
      <c r="C3515" t="s">
        <v>40</v>
      </c>
      <c r="D3515">
        <v>4.7794679999999996</v>
      </c>
      <c r="E3515">
        <v>0.51993869999999998</v>
      </c>
      <c r="F3515" t="s">
        <v>55</v>
      </c>
      <c r="G3515">
        <v>-353.43130000000002</v>
      </c>
      <c r="H3515" s="1">
        <v>3.107128E-7</v>
      </c>
      <c r="I3515">
        <v>214.12360000000001</v>
      </c>
      <c r="J3515">
        <v>-375.31869999999998</v>
      </c>
      <c r="K3515">
        <v>1.108392</v>
      </c>
      <c r="L3515">
        <v>214.4265</v>
      </c>
      <c r="M3515">
        <v>0.99991399999999997</v>
      </c>
      <c r="N3515">
        <v>-9.228511E-3</v>
      </c>
      <c r="O3515">
        <v>9.3184349999999999E-3</v>
      </c>
      <c r="P3515">
        <v>0.9873902</v>
      </c>
      <c r="Q3515">
        <v>0.15093679999999901</v>
      </c>
      <c r="R3515">
        <v>4.773815E-2</v>
      </c>
      <c r="S3515">
        <v>3.0636290000000002</v>
      </c>
      <c r="T3515">
        <v>-0.15220249999999999</v>
      </c>
      <c r="U3515">
        <v>-4.1091919999999997E-2</v>
      </c>
      <c r="V3515">
        <v>-3.8213629999999998E-2</v>
      </c>
      <c r="W3515">
        <v>0.1601233</v>
      </c>
      <c r="X3515">
        <v>0.98635700000000004</v>
      </c>
      <c r="Y3515">
        <v>2.268823E-2</v>
      </c>
      <c r="Z3515">
        <v>-1.044672E-3</v>
      </c>
      <c r="AA3515">
        <v>0.99974200000000002</v>
      </c>
      <c r="AB3515">
        <v>41</v>
      </c>
      <c r="AC3515">
        <v>21.8873999999999</v>
      </c>
      <c r="AD3515">
        <v>-1.1083916892871899</v>
      </c>
      <c r="AE3515">
        <v>-0.30289999999999301</v>
      </c>
      <c r="AF3515">
        <v>0.50555561128693904</v>
      </c>
      <c r="AG3515">
        <v>-1.1083916892871899</v>
      </c>
      <c r="AH3515">
        <v>21.827661212814601</v>
      </c>
      <c r="AI3515">
        <v>92.906160319166304</v>
      </c>
      <c r="AJ3515">
        <v>88.673196150094995</v>
      </c>
      <c r="AK3515">
        <v>21.861631060705299</v>
      </c>
      <c r="AL3515">
        <v>80.785946397721602</v>
      </c>
      <c r="AM3515">
        <v>92.218654367381106</v>
      </c>
      <c r="AN3515">
        <v>0.99999994208483101</v>
      </c>
    </row>
    <row r="3516" spans="1:40" x14ac:dyDescent="0.25">
      <c r="A3516" t="str">
        <f>"20190304155702566"</f>
        <v>20190304155702566</v>
      </c>
      <c r="B3516" t="str">
        <f>"1551686222558274"</f>
        <v>1551686222558274</v>
      </c>
      <c r="C3516" t="s">
        <v>40</v>
      </c>
      <c r="D3516">
        <v>4.9391290000000003</v>
      </c>
      <c r="E3516">
        <v>0.52007879999999995</v>
      </c>
      <c r="F3516" t="s">
        <v>55</v>
      </c>
      <c r="G3516">
        <v>-352.84769999999997</v>
      </c>
      <c r="H3516" s="1">
        <v>8.8268240000000004E-10</v>
      </c>
      <c r="I3516">
        <v>214.10749999999999</v>
      </c>
      <c r="J3516">
        <v>-374.94189999999998</v>
      </c>
      <c r="K3516">
        <v>1.10839</v>
      </c>
      <c r="L3516">
        <v>214.42949999999999</v>
      </c>
      <c r="M3516">
        <v>0.99992009999999998</v>
      </c>
      <c r="N3516">
        <v>-9.2380150000000005E-3</v>
      </c>
      <c r="O3516">
        <v>8.6374950000000002E-3</v>
      </c>
      <c r="P3516">
        <v>0.98736179999999996</v>
      </c>
      <c r="Q3516">
        <v>0.15121019999999999</v>
      </c>
      <c r="R3516">
        <v>4.7456659999999998E-2</v>
      </c>
      <c r="S3516">
        <v>3.0634769999999998</v>
      </c>
      <c r="T3516">
        <v>-0.15110789999999999</v>
      </c>
      <c r="U3516">
        <v>-4.348755E-2</v>
      </c>
      <c r="V3516">
        <v>-3.8603140000000001E-2</v>
      </c>
      <c r="W3516">
        <v>0.16040660000000001</v>
      </c>
      <c r="X3516">
        <v>0.9862959</v>
      </c>
      <c r="Y3516">
        <v>2.2790689999999999E-2</v>
      </c>
      <c r="Z3516">
        <v>-1.0130880000000001E-3</v>
      </c>
      <c r="AA3516">
        <v>0.99973979999999996</v>
      </c>
      <c r="AB3516">
        <v>41</v>
      </c>
      <c r="AC3516">
        <v>22.094200000000001</v>
      </c>
      <c r="AD3516">
        <v>-1.1083899991173101</v>
      </c>
      <c r="AE3516">
        <v>-0.32200000000000201</v>
      </c>
      <c r="AF3516">
        <v>0.51154752825740502</v>
      </c>
      <c r="AG3516">
        <v>-1.1083899991173101</v>
      </c>
      <c r="AH3516">
        <v>22.035150611119501</v>
      </c>
      <c r="AI3516">
        <v>92.878833350983697</v>
      </c>
      <c r="AJ3516">
        <v>88.670113435667702</v>
      </c>
      <c r="AK3516">
        <v>22.068939070977802</v>
      </c>
      <c r="AL3516">
        <v>80.769502863335305</v>
      </c>
      <c r="AM3516">
        <v>92.241384777752202</v>
      </c>
      <c r="AN3516">
        <v>1.0000000410491099</v>
      </c>
    </row>
    <row r="3517" spans="1:40" x14ac:dyDescent="0.25">
      <c r="A3517" t="str">
        <f>"20190304155702588"</f>
        <v>20190304155702588</v>
      </c>
      <c r="B3517" t="str">
        <f>"1551686222577794"</f>
        <v>1551686222577794</v>
      </c>
      <c r="C3517" t="s">
        <v>40</v>
      </c>
      <c r="D3517">
        <v>4.7590870000000001</v>
      </c>
      <c r="E3517">
        <v>0.53586339999999999</v>
      </c>
      <c r="F3517" t="s">
        <v>55</v>
      </c>
      <c r="G3517">
        <v>-352.2654</v>
      </c>
      <c r="H3517" s="1">
        <v>-3.0833639999999998E-7</v>
      </c>
      <c r="I3517">
        <v>214.0925</v>
      </c>
      <c r="J3517">
        <v>-374.5283</v>
      </c>
      <c r="K3517">
        <v>1.108392</v>
      </c>
      <c r="L3517">
        <v>214.4325</v>
      </c>
      <c r="M3517">
        <v>0.99992610000000004</v>
      </c>
      <c r="N3517">
        <v>-9.2483930000000006E-3</v>
      </c>
      <c r="O3517">
        <v>7.8935120000000001E-3</v>
      </c>
      <c r="P3517">
        <v>0.98735980000000001</v>
      </c>
      <c r="Q3517">
        <v>0.15129770000000001</v>
      </c>
      <c r="R3517">
        <v>4.7215600000000003E-2</v>
      </c>
      <c r="S3517">
        <v>3.063507</v>
      </c>
      <c r="T3517">
        <v>-0.14973929999999999</v>
      </c>
      <c r="U3517">
        <v>-4.553223E-2</v>
      </c>
      <c r="V3517">
        <v>-3.9096319999999997E-2</v>
      </c>
      <c r="W3517">
        <v>0.16050500000000001</v>
      </c>
      <c r="X3517">
        <v>0.98626040000000004</v>
      </c>
      <c r="Y3517">
        <v>2.271521E-2</v>
      </c>
      <c r="Z3517">
        <v>-9.7251110000000005E-4</v>
      </c>
      <c r="AA3517">
        <v>0.99974149999999995</v>
      </c>
      <c r="AB3517">
        <v>41</v>
      </c>
      <c r="AC3517">
        <v>22.262899999999998</v>
      </c>
      <c r="AD3517">
        <v>-1.1083923083364</v>
      </c>
      <c r="AE3517">
        <v>-0.34000000000000302</v>
      </c>
      <c r="AF3517">
        <v>0.51445450708323304</v>
      </c>
      <c r="AG3517">
        <v>-1.1083923083364</v>
      </c>
      <c r="AH3517">
        <v>22.204497049598899</v>
      </c>
      <c r="AI3517">
        <v>92.856922936296399</v>
      </c>
      <c r="AJ3517">
        <v>88.672755370541793</v>
      </c>
      <c r="AK3517">
        <v>22.238095381005198</v>
      </c>
      <c r="AL3517">
        <v>80.763790352402097</v>
      </c>
      <c r="AM3517">
        <v>92.270071768329103</v>
      </c>
      <c r="AN3517">
        <v>0.99999997693535103</v>
      </c>
    </row>
    <row r="3518" spans="1:40" x14ac:dyDescent="0.25">
      <c r="A3518" t="str">
        <f>"20190304155702610"</f>
        <v>20190304155702610</v>
      </c>
      <c r="B3518" t="str">
        <f>"1551686222598290"</f>
        <v>1551686222598290</v>
      </c>
      <c r="C3518" t="s">
        <v>40</v>
      </c>
      <c r="D3518">
        <v>4.7763359999999997</v>
      </c>
      <c r="E3518">
        <v>0.53458289999999997</v>
      </c>
      <c r="F3518" t="s">
        <v>55</v>
      </c>
      <c r="G3518">
        <v>-271.16640000000001</v>
      </c>
      <c r="H3518">
        <v>8.0001370000000002E-2</v>
      </c>
      <c r="I3518">
        <v>208.7886</v>
      </c>
      <c r="J3518">
        <v>-374.12799999999999</v>
      </c>
      <c r="K3518">
        <v>1.1083879999999999</v>
      </c>
      <c r="L3518">
        <v>214.43510000000001</v>
      </c>
      <c r="M3518">
        <v>0.99993149999999997</v>
      </c>
      <c r="N3518">
        <v>-9.2584079999999992E-3</v>
      </c>
      <c r="O3518">
        <v>7.1805590000000004E-3</v>
      </c>
      <c r="P3518">
        <v>0.98739730000000003</v>
      </c>
      <c r="Q3518">
        <v>0.1512271</v>
      </c>
      <c r="R3518">
        <v>4.6660760000000003E-2</v>
      </c>
      <c r="S3518">
        <v>3.0510250000000001</v>
      </c>
      <c r="T3518">
        <v>-3.035593E-2</v>
      </c>
      <c r="U3518">
        <v>-0.16659549999999901</v>
      </c>
      <c r="V3518">
        <v>-3.9246730000000001E-2</v>
      </c>
      <c r="W3518">
        <v>0.1604448</v>
      </c>
      <c r="X3518">
        <v>0.98626420000000004</v>
      </c>
      <c r="Y3518">
        <v>6.1684780000000002E-2</v>
      </c>
      <c r="Z3518">
        <v>-5.9737259999999997E-4</v>
      </c>
      <c r="AA3518">
        <v>0.99809550000000002</v>
      </c>
      <c r="AB3518">
        <v>41</v>
      </c>
      <c r="AC3518">
        <v>102.9616</v>
      </c>
      <c r="AD3518">
        <v>-1.02838663</v>
      </c>
      <c r="AE3518">
        <v>-5.6464999999999996</v>
      </c>
      <c r="AF3518">
        <v>6.3850727717758797</v>
      </c>
      <c r="AG3518">
        <v>-1.02838663</v>
      </c>
      <c r="AH3518">
        <v>102.90816313545299</v>
      </c>
      <c r="AI3518">
        <v>90.571452938578304</v>
      </c>
      <c r="AJ3518">
        <v>86.449559187104299</v>
      </c>
      <c r="AK3518">
        <v>103.11118646041599</v>
      </c>
      <c r="AL3518">
        <v>80.767284651727806</v>
      </c>
      <c r="AM3518">
        <v>92.278787149196404</v>
      </c>
      <c r="AN3518">
        <v>0.99999995593218505</v>
      </c>
    </row>
    <row r="3519" spans="1:40" x14ac:dyDescent="0.25">
      <c r="A3519" t="str">
        <f>"20190304155702633"</f>
        <v>20190304155702633</v>
      </c>
      <c r="B3519" t="str">
        <f>"1551686222628547"</f>
        <v>1551686222628547</v>
      </c>
      <c r="C3519" t="s">
        <v>40</v>
      </c>
      <c r="D3519">
        <v>4.766934</v>
      </c>
      <c r="E3519">
        <v>0.53338469999999905</v>
      </c>
      <c r="F3519" t="s">
        <v>64</v>
      </c>
      <c r="G3519">
        <v>-281.5736</v>
      </c>
      <c r="H3519" s="1">
        <v>6.9877510000000004E-6</v>
      </c>
      <c r="I3519">
        <v>209.62780000000001</v>
      </c>
      <c r="J3519">
        <v>-373.70389999999998</v>
      </c>
      <c r="K3519">
        <v>1.108387</v>
      </c>
      <c r="L3519">
        <v>214.4376</v>
      </c>
      <c r="M3519">
        <v>0.99993639999999995</v>
      </c>
      <c r="N3519">
        <v>-9.2689339999999995E-3</v>
      </c>
      <c r="O3519">
        <v>6.4385190000000002E-3</v>
      </c>
      <c r="P3519">
        <v>0.9873691</v>
      </c>
      <c r="Q3519">
        <v>0.15154129999999999</v>
      </c>
      <c r="R3519">
        <v>4.6233539999999997E-2</v>
      </c>
      <c r="S3519">
        <v>3.0514220000000001</v>
      </c>
      <c r="T3519">
        <v>-3.654218E-2</v>
      </c>
      <c r="U3519">
        <v>-0.15849299999999999</v>
      </c>
      <c r="V3519">
        <v>-3.9554069999999997E-2</v>
      </c>
      <c r="W3519">
        <v>0.16076860000000001</v>
      </c>
      <c r="X3519">
        <v>0.9861993</v>
      </c>
      <c r="Y3519">
        <v>5.8292429999999999E-2</v>
      </c>
      <c r="Z3519">
        <v>-6.365667E-4</v>
      </c>
      <c r="AA3519">
        <v>0.99829939999999995</v>
      </c>
      <c r="AB3519">
        <v>41</v>
      </c>
      <c r="AC3519">
        <v>92.130299999999906</v>
      </c>
      <c r="AD3519">
        <v>-1.108380012249</v>
      </c>
      <c r="AE3519">
        <v>-4.8097999999999903</v>
      </c>
      <c r="AF3519">
        <v>5.4021286654803102</v>
      </c>
      <c r="AG3519">
        <v>-1.108380012249</v>
      </c>
      <c r="AH3519">
        <v>92.084129356683107</v>
      </c>
      <c r="AI3519">
        <v>90.6884296720946</v>
      </c>
      <c r="AJ3519">
        <v>86.642582970501493</v>
      </c>
      <c r="AK3519">
        <v>92.249110455051493</v>
      </c>
      <c r="AL3519">
        <v>80.748489273553204</v>
      </c>
      <c r="AM3519">
        <v>92.296764205092799</v>
      </c>
      <c r="AN3519">
        <v>1.0000000632599999</v>
      </c>
    </row>
    <row r="3520" spans="1:40" x14ac:dyDescent="0.25">
      <c r="A3520" t="str">
        <f>"20190304155702655"</f>
        <v>20190304155702655</v>
      </c>
      <c r="B3520" t="str">
        <f>"1551686222648067"</f>
        <v>1551686222648067</v>
      </c>
      <c r="C3520" t="s">
        <v>40</v>
      </c>
      <c r="D3520">
        <v>4.7610570000000001</v>
      </c>
      <c r="E3520">
        <v>0.53303750000000005</v>
      </c>
      <c r="F3520" t="s">
        <v>64</v>
      </c>
      <c r="G3520">
        <v>-318.3159</v>
      </c>
      <c r="H3520" s="1">
        <v>4.5934260000000002E-6</v>
      </c>
      <c r="I3520">
        <v>211.69589999999999</v>
      </c>
      <c r="J3520">
        <v>-373.28519999999997</v>
      </c>
      <c r="K3520">
        <v>1.1083970000000001</v>
      </c>
      <c r="L3520">
        <v>214.43969999999999</v>
      </c>
      <c r="M3520">
        <v>0.99994059999999996</v>
      </c>
      <c r="N3520">
        <v>-9.2792580000000003E-3</v>
      </c>
      <c r="O3520">
        <v>5.722095E-3</v>
      </c>
      <c r="P3520">
        <v>0.98743340000000002</v>
      </c>
      <c r="Q3520">
        <v>0.1514894</v>
      </c>
      <c r="R3520">
        <v>4.5016180000000003E-2</v>
      </c>
      <c r="S3520">
        <v>3.05484</v>
      </c>
      <c r="T3520">
        <v>-6.1131240000000003E-2</v>
      </c>
      <c r="U3520">
        <v>-0.1512146</v>
      </c>
      <c r="V3520">
        <v>-3.9047869999999998E-2</v>
      </c>
      <c r="W3520">
        <v>0.16072529999999999</v>
      </c>
      <c r="X3520">
        <v>0.98622650000000001</v>
      </c>
      <c r="Y3520">
        <v>5.513755E-2</v>
      </c>
      <c r="Z3520">
        <v>-8.6867839999999895E-4</v>
      </c>
      <c r="AA3520">
        <v>0.99847839999999999</v>
      </c>
      <c r="AB3520">
        <v>41</v>
      </c>
      <c r="AC3520">
        <v>54.969299999999897</v>
      </c>
      <c r="AD3520">
        <v>-1.1083924065739901</v>
      </c>
      <c r="AE3520">
        <v>-2.74379999999999</v>
      </c>
      <c r="AF3520">
        <v>3.0570683121788802</v>
      </c>
      <c r="AG3520">
        <v>-1.1083924065739901</v>
      </c>
      <c r="AH3520">
        <v>54.930420904746498</v>
      </c>
      <c r="AI3520">
        <v>91.1541784609324</v>
      </c>
      <c r="AJ3520">
        <v>86.814577316346103</v>
      </c>
      <c r="AK3520">
        <v>55.026587584229603</v>
      </c>
      <c r="AL3520">
        <v>80.751002593035906</v>
      </c>
      <c r="AM3520">
        <v>92.2673393784208</v>
      </c>
      <c r="AN3520">
        <v>1.0000000337569299</v>
      </c>
    </row>
    <row r="3521" spans="1:40" x14ac:dyDescent="0.25">
      <c r="A3521" t="str">
        <f>"20190304155702678"</f>
        <v>20190304155702678</v>
      </c>
      <c r="B3521" t="str">
        <f>"1551686222668562"</f>
        <v>1551686222668562</v>
      </c>
      <c r="C3521" t="s">
        <v>40</v>
      </c>
      <c r="D3521">
        <v>4.7358529999999996</v>
      </c>
      <c r="E3521">
        <v>0.53257949999999998</v>
      </c>
      <c r="F3521" t="s">
        <v>55</v>
      </c>
      <c r="G3521">
        <v>-323.64940000000001</v>
      </c>
      <c r="H3521" s="1">
        <v>4.0521950000000001E-7</v>
      </c>
      <c r="I3521">
        <v>211.96279999999999</v>
      </c>
      <c r="J3521">
        <v>-372.86559999999997</v>
      </c>
      <c r="K3521">
        <v>1.108414</v>
      </c>
      <c r="L3521">
        <v>214.44149999999999</v>
      </c>
      <c r="M3521">
        <v>0.99994439999999996</v>
      </c>
      <c r="N3521">
        <v>-9.2895800000000004E-3</v>
      </c>
      <c r="O3521">
        <v>5.0191059999999997E-3</v>
      </c>
      <c r="P3521">
        <v>0.98748729999999996</v>
      </c>
      <c r="Q3521">
        <v>0.15132079999999901</v>
      </c>
      <c r="R3521">
        <v>4.4397779999999998E-2</v>
      </c>
      <c r="S3521">
        <v>3.055634</v>
      </c>
      <c r="T3521">
        <v>-6.8233970000000005E-2</v>
      </c>
      <c r="U3521">
        <v>-0.15248110000000001</v>
      </c>
      <c r="V3521">
        <v>-3.9128379999999997E-2</v>
      </c>
      <c r="W3521">
        <v>0.16056619999999999</v>
      </c>
      <c r="X3521">
        <v>0.98624920000000005</v>
      </c>
      <c r="Y3521">
        <v>5.4832319999999997E-2</v>
      </c>
      <c r="Z3521">
        <v>-9.3206050000000003E-4</v>
      </c>
      <c r="AA3521">
        <v>0.99849520000000003</v>
      </c>
      <c r="AB3521">
        <v>41</v>
      </c>
      <c r="AC3521">
        <v>49.216199999999901</v>
      </c>
      <c r="AD3521">
        <v>-1.1084135947804901</v>
      </c>
      <c r="AE3521">
        <v>-2.4786999999999999</v>
      </c>
      <c r="AF3521">
        <v>2.72432241748003</v>
      </c>
      <c r="AG3521">
        <v>-1.1084135947804901</v>
      </c>
      <c r="AH3521">
        <v>49.178258057383204</v>
      </c>
      <c r="AI3521">
        <v>91.289177365812805</v>
      </c>
      <c r="AJ3521">
        <v>86.829233010732807</v>
      </c>
      <c r="AK3521">
        <v>49.266130139174301</v>
      </c>
      <c r="AL3521">
        <v>80.760238078327305</v>
      </c>
      <c r="AM3521">
        <v>92.271957109759796</v>
      </c>
      <c r="AN3521">
        <v>1.0000000096022501</v>
      </c>
    </row>
    <row r="3522" spans="1:40" x14ac:dyDescent="0.25">
      <c r="A3522" t="str">
        <f>"20190304155702700"</f>
        <v>20190304155702700</v>
      </c>
      <c r="B3522" t="str">
        <f>"1551686222697843"</f>
        <v>1551686222697843</v>
      </c>
      <c r="C3522" t="s">
        <v>40</v>
      </c>
      <c r="D3522">
        <v>4.7501319999999998</v>
      </c>
      <c r="E3522">
        <v>0.532336699999999</v>
      </c>
      <c r="F3522" t="s">
        <v>55</v>
      </c>
      <c r="G3522">
        <v>-326.44319999999999</v>
      </c>
      <c r="H3522" s="1">
        <v>1.8919630000000001E-6</v>
      </c>
      <c r="I3522">
        <v>212.14609999999999</v>
      </c>
      <c r="J3522">
        <v>-372.4545</v>
      </c>
      <c r="K3522">
        <v>1.1084259999999999</v>
      </c>
      <c r="L3522">
        <v>214.44300000000001</v>
      </c>
      <c r="M3522">
        <v>0.99994729999999998</v>
      </c>
      <c r="N3522">
        <v>-9.2996539999999992E-3</v>
      </c>
      <c r="O3522">
        <v>4.3483239999999998E-3</v>
      </c>
      <c r="P3522">
        <v>0.98757870000000003</v>
      </c>
      <c r="Q3522">
        <v>0.15103649999999999</v>
      </c>
      <c r="R3522">
        <v>4.3315770000000003E-2</v>
      </c>
      <c r="S3522">
        <v>3.0559690000000002</v>
      </c>
      <c r="T3522">
        <v>-7.2966340000000005E-2</v>
      </c>
      <c r="U3522">
        <v>-0.15110779999999999</v>
      </c>
      <c r="V3522">
        <v>-3.8713930000000001E-2</v>
      </c>
      <c r="W3522">
        <v>0.1602904</v>
      </c>
      <c r="X3522">
        <v>0.98631040000000003</v>
      </c>
      <c r="Y3522">
        <v>5.3707480000000002E-2</v>
      </c>
      <c r="Z3522">
        <v>-9.5397090000000004E-4</v>
      </c>
      <c r="AA3522">
        <v>0.99855629999999995</v>
      </c>
      <c r="AB3522">
        <v>41</v>
      </c>
      <c r="AC3522">
        <v>46.011299999999999</v>
      </c>
      <c r="AD3522">
        <v>-1.1084241080370001</v>
      </c>
      <c r="AE3522">
        <v>-2.2968999999999902</v>
      </c>
      <c r="AF3522">
        <v>2.4955143278449499</v>
      </c>
      <c r="AG3522">
        <v>-1.1084241080370001</v>
      </c>
      <c r="AH3522">
        <v>45.9742624693002</v>
      </c>
      <c r="AI3522">
        <v>91.379085157001001</v>
      </c>
      <c r="AJ3522">
        <v>86.892995095522707</v>
      </c>
      <c r="AK3522">
        <v>46.055282057108997</v>
      </c>
      <c r="AL3522">
        <v>80.776247462691401</v>
      </c>
      <c r="AM3522">
        <v>92.247777892523303</v>
      </c>
      <c r="AN3522">
        <v>0.99999999292818198</v>
      </c>
    </row>
    <row r="3523" spans="1:40" x14ac:dyDescent="0.25">
      <c r="A3523" t="str">
        <f>"20190304155702724"</f>
        <v>20190304155702724</v>
      </c>
      <c r="B3523" t="str">
        <f>"1551686222718339"</f>
        <v>1551686222718339</v>
      </c>
      <c r="C3523" t="s">
        <v>40</v>
      </c>
      <c r="D3523">
        <v>4.7481970000000002</v>
      </c>
      <c r="E3523">
        <v>0.53200709999999996</v>
      </c>
      <c r="F3523" t="s">
        <v>55</v>
      </c>
      <c r="G3523">
        <v>-329.4511</v>
      </c>
      <c r="H3523" s="1">
        <v>3.4926400000000001E-6</v>
      </c>
      <c r="I3523">
        <v>212.2921</v>
      </c>
      <c r="J3523">
        <v>-372.02420000000001</v>
      </c>
      <c r="K3523">
        <v>1.1084369999999999</v>
      </c>
      <c r="L3523">
        <v>214.4444</v>
      </c>
      <c r="M3523">
        <v>0.99995009999999995</v>
      </c>
      <c r="N3523">
        <v>-9.3101750000000004E-3</v>
      </c>
      <c r="O3523">
        <v>3.6691179999999999E-3</v>
      </c>
      <c r="P3523">
        <v>0.98762709999999998</v>
      </c>
      <c r="Q3523">
        <v>0.15096879999999999</v>
      </c>
      <c r="R3523">
        <v>4.2444419999999997E-2</v>
      </c>
      <c r="S3523">
        <v>3.0564580000000001</v>
      </c>
      <c r="T3523">
        <v>-7.8781009999999999E-2</v>
      </c>
      <c r="U3523">
        <v>-0.15287779999999901</v>
      </c>
      <c r="V3523">
        <v>-3.8519129999999999E-2</v>
      </c>
      <c r="W3523">
        <v>0.16023109999999999</v>
      </c>
      <c r="X3523">
        <v>0.98632759999999997</v>
      </c>
      <c r="Y3523">
        <v>5.3595200000000003E-2</v>
      </c>
      <c r="Z3523">
        <v>-1.0002419999999999E-3</v>
      </c>
      <c r="AA3523">
        <v>0.99856219999999996</v>
      </c>
      <c r="AB3523">
        <v>41</v>
      </c>
      <c r="AC3523">
        <v>42.573099999999997</v>
      </c>
      <c r="AD3523">
        <v>-1.10843350736</v>
      </c>
      <c r="AE3523">
        <v>-2.1522999999999901</v>
      </c>
      <c r="AF3523">
        <v>2.3069381562177802</v>
      </c>
      <c r="AG3523">
        <v>-1.10843350736</v>
      </c>
      <c r="AH3523">
        <v>42.536155391684503</v>
      </c>
      <c r="AI3523">
        <v>91.490521611071301</v>
      </c>
      <c r="AJ3523">
        <v>86.895618547982394</v>
      </c>
      <c r="AK3523">
        <v>42.613086065226298</v>
      </c>
      <c r="AL3523">
        <v>80.779689023048903</v>
      </c>
      <c r="AM3523">
        <v>92.236440120495303</v>
      </c>
      <c r="AN3523">
        <v>0.99999993165246104</v>
      </c>
    </row>
    <row r="3524" spans="1:40" x14ac:dyDescent="0.25">
      <c r="A3524" t="str">
        <f>"20190304155702745"</f>
        <v>20190304155702745</v>
      </c>
      <c r="B3524" t="str">
        <f>"1551686222737860"</f>
        <v>1551686222737860</v>
      </c>
      <c r="C3524" t="s">
        <v>40</v>
      </c>
      <c r="D3524">
        <v>4.8285650000000002</v>
      </c>
      <c r="E3524">
        <v>0.53197530000000004</v>
      </c>
      <c r="F3524" t="s">
        <v>55</v>
      </c>
      <c r="G3524">
        <v>-330.8827</v>
      </c>
      <c r="H3524" s="1">
        <v>-9.6945980000000007E-7</v>
      </c>
      <c r="I3524">
        <v>212.3837</v>
      </c>
      <c r="J3524">
        <v>-371.61590000000001</v>
      </c>
      <c r="K3524">
        <v>1.1084560000000001</v>
      </c>
      <c r="L3524">
        <v>214.44540000000001</v>
      </c>
      <c r="M3524">
        <v>0.99995199999999995</v>
      </c>
      <c r="N3524">
        <v>-9.3201299999999994E-3</v>
      </c>
      <c r="O3524">
        <v>3.0514639999999998E-3</v>
      </c>
      <c r="P3524">
        <v>0.98765809999999998</v>
      </c>
      <c r="Q3524">
        <v>0.1510119</v>
      </c>
      <c r="R3524">
        <v>4.1556030000000001E-2</v>
      </c>
      <c r="S3524">
        <v>3.0567929999999999</v>
      </c>
      <c r="T3524">
        <v>-8.2356449999999998E-2</v>
      </c>
      <c r="U3524">
        <v>-0.15310670000000001</v>
      </c>
      <c r="V3524">
        <v>-3.8247900000000001E-2</v>
      </c>
      <c r="W3524">
        <v>0.1602819</v>
      </c>
      <c r="X3524">
        <v>0.98633000000000004</v>
      </c>
      <c r="Y3524">
        <v>5.304586E-2</v>
      </c>
      <c r="Z3524">
        <v>-1.015153E-3</v>
      </c>
      <c r="AA3524">
        <v>0.99859149999999997</v>
      </c>
      <c r="AB3524">
        <v>41</v>
      </c>
      <c r="AC3524">
        <v>40.733199999999997</v>
      </c>
      <c r="AD3524">
        <v>-1.1084569694598001</v>
      </c>
      <c r="AE3524">
        <v>-2.0617000000000001</v>
      </c>
      <c r="AF3524">
        <v>2.1843782250089401</v>
      </c>
      <c r="AG3524">
        <v>-1.1084569694598001</v>
      </c>
      <c r="AH3524">
        <v>40.696658918679603</v>
      </c>
      <c r="AI3524">
        <v>91.557940861336206</v>
      </c>
      <c r="AJ3524">
        <v>86.927618284385304</v>
      </c>
      <c r="AK3524">
        <v>40.770310671202701</v>
      </c>
      <c r="AL3524">
        <v>80.776741192742904</v>
      </c>
      <c r="AM3524">
        <v>92.220702793989105</v>
      </c>
      <c r="AN3524">
        <v>1.0000000291110001</v>
      </c>
    </row>
    <row r="3525" spans="1:40" x14ac:dyDescent="0.25">
      <c r="A3525" t="str">
        <f>"20190304155702768"</f>
        <v>20190304155702768</v>
      </c>
      <c r="B3525" t="str">
        <f>"1551686222758355"</f>
        <v>1551686222758355</v>
      </c>
      <c r="C3525" t="s">
        <v>40</v>
      </c>
      <c r="D3525">
        <v>4.7913100000000002</v>
      </c>
      <c r="E3525">
        <v>0.53174540000000003</v>
      </c>
      <c r="F3525" t="s">
        <v>55</v>
      </c>
      <c r="G3525">
        <v>-331.87900000000002</v>
      </c>
      <c r="H3525" s="1">
        <v>-4.4098750000000002E-7</v>
      </c>
      <c r="I3525">
        <v>212.4229</v>
      </c>
      <c r="J3525">
        <v>-371.20859999999999</v>
      </c>
      <c r="K3525">
        <v>1.1084780000000001</v>
      </c>
      <c r="L3525">
        <v>214.4462</v>
      </c>
      <c r="M3525">
        <v>0.9999536</v>
      </c>
      <c r="N3525">
        <v>-9.3299090000000008E-3</v>
      </c>
      <c r="O3525">
        <v>2.466715E-3</v>
      </c>
      <c r="P3525">
        <v>0.98755369999999998</v>
      </c>
      <c r="Q3525">
        <v>0.15183969999999999</v>
      </c>
      <c r="R3525">
        <v>4.102049E-2</v>
      </c>
      <c r="S3525">
        <v>3.0570680000000001</v>
      </c>
      <c r="T3525">
        <v>-8.527672E-2</v>
      </c>
      <c r="U3525">
        <v>-0.15559389999999901</v>
      </c>
      <c r="V3525">
        <v>-3.8297659999999997E-2</v>
      </c>
      <c r="W3525">
        <v>0.16111629999999999</v>
      </c>
      <c r="X3525">
        <v>0.98619210000000002</v>
      </c>
      <c r="Y3525">
        <v>5.3266109999999998E-2</v>
      </c>
      <c r="Z3525">
        <v>-1.0367729999999999E-3</v>
      </c>
      <c r="AA3525">
        <v>0.99857980000000002</v>
      </c>
      <c r="AB3525">
        <v>42</v>
      </c>
      <c r="AC3525">
        <v>39.3295999999999</v>
      </c>
      <c r="AD3525">
        <v>-1.1084784409874999</v>
      </c>
      <c r="AE3525">
        <v>-2.0232999999999999</v>
      </c>
      <c r="AF3525">
        <v>2.11863445592238</v>
      </c>
      <c r="AG3525">
        <v>-1.1084784409874999</v>
      </c>
      <c r="AH3525">
        <v>39.293358669228901</v>
      </c>
      <c r="AI3525">
        <v>91.613561504634703</v>
      </c>
      <c r="AJ3525">
        <v>86.913692593670106</v>
      </c>
      <c r="AK3525">
        <v>39.366043386662803</v>
      </c>
      <c r="AL3525">
        <v>80.728303951202307</v>
      </c>
      <c r="AM3525">
        <v>92.223899614080594</v>
      </c>
      <c r="AN3525">
        <v>1.0000000154947799</v>
      </c>
    </row>
    <row r="3526" spans="1:40" x14ac:dyDescent="0.25">
      <c r="A3526" t="str">
        <f>"20190304155702788"</f>
        <v>20190304155702788</v>
      </c>
      <c r="B3526" t="str">
        <f>"1551686222777874"</f>
        <v>1551686222777874</v>
      </c>
      <c r="C3526" t="s">
        <v>40</v>
      </c>
      <c r="D3526">
        <v>4.6972050000000003</v>
      </c>
      <c r="E3526">
        <v>0.53159040000000002</v>
      </c>
      <c r="F3526" t="s">
        <v>55</v>
      </c>
      <c r="G3526">
        <v>-331.75380000000001</v>
      </c>
      <c r="H3526" s="1">
        <v>-5.0845839999999995E-7</v>
      </c>
      <c r="I3526">
        <v>212.4419</v>
      </c>
      <c r="J3526">
        <v>-370.81630000000001</v>
      </c>
      <c r="K3526">
        <v>1.108519</v>
      </c>
      <c r="L3526">
        <v>214.44669999999999</v>
      </c>
      <c r="M3526">
        <v>0.99995449999999997</v>
      </c>
      <c r="N3526">
        <v>-9.3395040000000002E-3</v>
      </c>
      <c r="O3526">
        <v>1.936735E-3</v>
      </c>
      <c r="P3526">
        <v>0.98755530000000002</v>
      </c>
      <c r="Q3526">
        <v>0.15203239999999901</v>
      </c>
      <c r="R3526">
        <v>4.0261230000000002E-2</v>
      </c>
      <c r="S3526">
        <v>3.0574650000000001</v>
      </c>
      <c r="T3526">
        <v>-8.5899110000000001E-2</v>
      </c>
      <c r="U3526">
        <v>-0.15531919999999999</v>
      </c>
      <c r="V3526">
        <v>-3.8072090000000003E-2</v>
      </c>
      <c r="W3526">
        <v>0.16131499999999999</v>
      </c>
      <c r="X3526">
        <v>0.9861683</v>
      </c>
      <c r="Y3526">
        <v>5.2640840000000001E-2</v>
      </c>
      <c r="Z3526">
        <v>-1.0211879999999999E-3</v>
      </c>
      <c r="AA3526">
        <v>0.99861299999999997</v>
      </c>
      <c r="AB3526">
        <v>42</v>
      </c>
      <c r="AC3526">
        <v>39.0625</v>
      </c>
      <c r="AD3526">
        <v>-1.1085195084583901</v>
      </c>
      <c r="AE3526">
        <v>-2.0047999999999799</v>
      </c>
      <c r="AF3526">
        <v>2.07878357039466</v>
      </c>
      <c r="AG3526">
        <v>-1.1085195084583901</v>
      </c>
      <c r="AH3526">
        <v>39.0271971187452</v>
      </c>
      <c r="AI3526">
        <v>91.624676805302499</v>
      </c>
      <c r="AJ3526">
        <v>86.951021729144699</v>
      </c>
      <c r="AK3526">
        <v>39.098238727320798</v>
      </c>
      <c r="AL3526">
        <v>80.716767908879007</v>
      </c>
      <c r="AM3526">
        <v>92.210867370642504</v>
      </c>
      <c r="AN3526">
        <v>0.99999996459342799</v>
      </c>
    </row>
    <row r="3527" spans="1:40" x14ac:dyDescent="0.25">
      <c r="A3527" t="str">
        <f>"20190304155702813"</f>
        <v>20190304155702813</v>
      </c>
      <c r="B3527" t="str">
        <f>"1551686222808131"</f>
        <v>1551686222808131</v>
      </c>
      <c r="C3527" t="s">
        <v>40</v>
      </c>
      <c r="D3527">
        <v>4.7623220000000002</v>
      </c>
      <c r="E3527">
        <v>0.53136000000000005</v>
      </c>
      <c r="F3527" t="s">
        <v>55</v>
      </c>
      <c r="G3527">
        <v>-331.83339999999998</v>
      </c>
      <c r="H3527" s="1">
        <v>-4.66521E-7</v>
      </c>
      <c r="I3527">
        <v>212.45169999999999</v>
      </c>
      <c r="J3527">
        <v>-370.38209999999998</v>
      </c>
      <c r="K3527">
        <v>1.1085510000000001</v>
      </c>
      <c r="L3527">
        <v>214.44720000000001</v>
      </c>
      <c r="M3527">
        <v>0.9999555</v>
      </c>
      <c r="N3527">
        <v>-9.3499059999999998E-3</v>
      </c>
      <c r="O3527">
        <v>1.39087E-3</v>
      </c>
      <c r="P3527">
        <v>0.98749969999999998</v>
      </c>
      <c r="Q3527">
        <v>0.15245029999999901</v>
      </c>
      <c r="R3527">
        <v>4.0045699999999997E-2</v>
      </c>
      <c r="S3527">
        <v>3.0575869999999998</v>
      </c>
      <c r="T3527">
        <v>-8.6945770000000006E-2</v>
      </c>
      <c r="U3527">
        <v>-0.1564789</v>
      </c>
      <c r="V3527">
        <v>-3.8408900000000003E-2</v>
      </c>
      <c r="W3527">
        <v>0.16173989999999999</v>
      </c>
      <c r="X3527">
        <v>0.98608569999999995</v>
      </c>
      <c r="Y3527">
        <v>5.2471049999999998E-2</v>
      </c>
      <c r="Z3527">
        <v>-1.0174509999999999E-3</v>
      </c>
      <c r="AA3527">
        <v>0.99862189999999995</v>
      </c>
      <c r="AB3527">
        <v>42</v>
      </c>
      <c r="AC3527">
        <v>38.548699999999997</v>
      </c>
      <c r="AD3527">
        <v>-1.1085514665209999</v>
      </c>
      <c r="AE3527">
        <v>-1.99550000000002</v>
      </c>
      <c r="AF3527">
        <v>2.04742798799245</v>
      </c>
      <c r="AG3527">
        <v>-1.1085514665209999</v>
      </c>
      <c r="AH3527">
        <v>38.5141220223422</v>
      </c>
      <c r="AI3527">
        <v>91.646365058244996</v>
      </c>
      <c r="AJ3527">
        <v>86.956995069534699</v>
      </c>
      <c r="AK3527">
        <v>38.5844326493445</v>
      </c>
      <c r="AL3527">
        <v>80.692099535447298</v>
      </c>
      <c r="AM3527">
        <v>92.230593089646504</v>
      </c>
      <c r="AN3527">
        <v>1.0000000232978501</v>
      </c>
    </row>
    <row r="3528" spans="1:40" x14ac:dyDescent="0.25">
      <c r="A3528" t="str">
        <f>"20190304155702833"</f>
        <v>20190304155702833</v>
      </c>
      <c r="B3528" t="str">
        <f>"1551686222827651"</f>
        <v>1551686222827651</v>
      </c>
      <c r="C3528" t="s">
        <v>40</v>
      </c>
      <c r="D3528">
        <v>4.6933980000000002</v>
      </c>
      <c r="E3528">
        <v>0.5310703</v>
      </c>
      <c r="F3528" t="s">
        <v>55</v>
      </c>
      <c r="G3528">
        <v>-331.71859999999998</v>
      </c>
      <c r="H3528" s="1">
        <v>-5.2920299999999897E-7</v>
      </c>
      <c r="I3528">
        <v>212.48830000000001</v>
      </c>
      <c r="J3528">
        <v>-369.9674</v>
      </c>
      <c r="K3528">
        <v>1.1085879999999999</v>
      </c>
      <c r="L3528">
        <v>214.44739999999999</v>
      </c>
      <c r="M3528">
        <v>0.99995590000000001</v>
      </c>
      <c r="N3528">
        <v>-9.359526E-3</v>
      </c>
      <c r="O3528">
        <v>9.1076139999999998E-4</v>
      </c>
      <c r="P3528">
        <v>0.98752720000000005</v>
      </c>
      <c r="Q3528">
        <v>0.1523986</v>
      </c>
      <c r="R3528">
        <v>3.9561239999999998E-2</v>
      </c>
      <c r="S3528">
        <v>3.0578310000000002</v>
      </c>
      <c r="T3528">
        <v>-8.7673539999999994E-2</v>
      </c>
      <c r="U3528">
        <v>-0.15492249999999999</v>
      </c>
      <c r="V3528">
        <v>-3.8412479999999999E-2</v>
      </c>
      <c r="W3528">
        <v>0.1616947</v>
      </c>
      <c r="X3528">
        <v>0.98609290000000005</v>
      </c>
      <c r="Y3528">
        <v>5.1480709999999999E-2</v>
      </c>
      <c r="Z3528">
        <v>-9.9611459999999997E-4</v>
      </c>
      <c r="AA3528">
        <v>0.99867349999999999</v>
      </c>
      <c r="AB3528">
        <v>42</v>
      </c>
      <c r="AC3528">
        <v>38.248800000000003</v>
      </c>
      <c r="AD3528">
        <v>-1.108588529203</v>
      </c>
      <c r="AE3528">
        <v>-1.9590999999999701</v>
      </c>
      <c r="AF3528">
        <v>1.99226701519103</v>
      </c>
      <c r="AG3528">
        <v>-1.108588529203</v>
      </c>
      <c r="AH3528">
        <v>38.214981289666703</v>
      </c>
      <c r="AI3528">
        <v>91.659390253096504</v>
      </c>
      <c r="AJ3528">
        <v>87.015692727775004</v>
      </c>
      <c r="AK3528">
        <v>38.282932115454201</v>
      </c>
      <c r="AL3528">
        <v>80.694723169658303</v>
      </c>
      <c r="AM3528">
        <v>92.230784515920604</v>
      </c>
      <c r="AN3528">
        <v>0.99999995102912398</v>
      </c>
    </row>
    <row r="3529" spans="1:40" x14ac:dyDescent="0.25">
      <c r="A3529" t="str">
        <f>"20190304155702855"</f>
        <v>20190304155702855</v>
      </c>
      <c r="B3529" t="str">
        <f>"1551686222848147"</f>
        <v>1551686222848147</v>
      </c>
      <c r="C3529" t="s">
        <v>40</v>
      </c>
      <c r="D3529">
        <v>4.9568690000000002</v>
      </c>
      <c r="E3529">
        <v>0.53012969999999904</v>
      </c>
      <c r="F3529" t="s">
        <v>55</v>
      </c>
      <c r="G3529">
        <v>-329.96429999999998</v>
      </c>
      <c r="H3529" s="1">
        <v>-1.4608170000000001E-6</v>
      </c>
      <c r="I3529">
        <v>212.44370000000001</v>
      </c>
      <c r="J3529">
        <v>-369.56970000000001</v>
      </c>
      <c r="K3529">
        <v>1.108619</v>
      </c>
      <c r="L3529">
        <v>214.44739999999999</v>
      </c>
      <c r="M3529">
        <v>0.99995619999999996</v>
      </c>
      <c r="N3529">
        <v>-9.3687340000000001E-3</v>
      </c>
      <c r="O3529">
        <v>4.8128139999999999E-4</v>
      </c>
      <c r="P3529">
        <v>0.98747529999999994</v>
      </c>
      <c r="Q3529">
        <v>0.15285779999999999</v>
      </c>
      <c r="R3529">
        <v>3.9079469999999998E-2</v>
      </c>
      <c r="S3529">
        <v>3.0570979999999999</v>
      </c>
      <c r="T3529">
        <v>-8.4720019999999993E-2</v>
      </c>
      <c r="U3529">
        <v>-0.15312190000000001</v>
      </c>
      <c r="V3529">
        <v>-3.8366730000000002E-2</v>
      </c>
      <c r="W3529">
        <v>0.1621591</v>
      </c>
      <c r="X3529">
        <v>0.98601850000000002</v>
      </c>
      <c r="Y3529">
        <v>5.0479370000000003E-2</v>
      </c>
      <c r="Z3529">
        <v>-9.4438289999999999E-4</v>
      </c>
      <c r="AA3529">
        <v>0.99872459999999996</v>
      </c>
      <c r="AB3529">
        <v>42</v>
      </c>
      <c r="AC3529">
        <v>39.605400000000003</v>
      </c>
      <c r="AD3529">
        <v>-1.1086204608170001</v>
      </c>
      <c r="AE3529">
        <v>-2.0036999999999798</v>
      </c>
      <c r="AF3529">
        <v>2.0211823241615501</v>
      </c>
      <c r="AG3529">
        <v>-1.1086204608170001</v>
      </c>
      <c r="AH3529">
        <v>39.573503064694499</v>
      </c>
      <c r="AI3529">
        <v>91.602588580411407</v>
      </c>
      <c r="AJ3529">
        <v>87.076208323039495</v>
      </c>
      <c r="AK3529">
        <v>39.640589830690303</v>
      </c>
      <c r="AL3529">
        <v>80.667759910497395</v>
      </c>
      <c r="AM3529">
        <v>92.228298242308895</v>
      </c>
      <c r="AN3529">
        <v>1.00000003101297</v>
      </c>
    </row>
    <row r="3530" spans="1:40" x14ac:dyDescent="0.25">
      <c r="A3530" t="str">
        <f>"20190304155702878"</f>
        <v>20190304155702878</v>
      </c>
      <c r="B3530" t="str">
        <f>"1551686222867667"</f>
        <v>1551686222867667</v>
      </c>
      <c r="C3530" t="s">
        <v>40</v>
      </c>
      <c r="D3530">
        <v>4.7102069999999996</v>
      </c>
      <c r="E3530">
        <v>0.52956179999999997</v>
      </c>
      <c r="F3530" t="s">
        <v>55</v>
      </c>
      <c r="G3530">
        <v>-329.48869999999999</v>
      </c>
      <c r="H3530" s="1">
        <v>3.5126390000000001E-6</v>
      </c>
      <c r="I3530">
        <v>212.5164</v>
      </c>
      <c r="J3530">
        <v>-369.12549999999999</v>
      </c>
      <c r="K3530">
        <v>1.1086530000000001</v>
      </c>
      <c r="L3530">
        <v>214.44730000000001</v>
      </c>
      <c r="M3530">
        <v>0.99995610000000001</v>
      </c>
      <c r="N3530">
        <v>-9.3788919999999998E-3</v>
      </c>
      <c r="O3530" s="1">
        <v>3.8532070000000001E-5</v>
      </c>
      <c r="P3530">
        <v>0.98742940000000001</v>
      </c>
      <c r="Q3530">
        <v>0.15332899999999999</v>
      </c>
      <c r="R3530">
        <v>3.8387589999999999E-2</v>
      </c>
      <c r="S3530">
        <v>3.0569760000000001</v>
      </c>
      <c r="T3530">
        <v>-8.4554199999999996E-2</v>
      </c>
      <c r="U3530">
        <v>-0.14727779999999999</v>
      </c>
      <c r="V3530">
        <v>-3.8125329999999999E-2</v>
      </c>
      <c r="W3530">
        <v>0.16263569999999999</v>
      </c>
      <c r="X3530">
        <v>0.98594930000000003</v>
      </c>
      <c r="Y3530">
        <v>4.813568E-2</v>
      </c>
      <c r="Z3530">
        <v>-8.9181669999999897E-4</v>
      </c>
      <c r="AA3530">
        <v>0.99884039999999996</v>
      </c>
      <c r="AB3530">
        <v>42</v>
      </c>
      <c r="AC3530">
        <v>39.636800000000001</v>
      </c>
      <c r="AD3530">
        <v>-1.108649487361</v>
      </c>
      <c r="AE3530">
        <v>-1.9309000000000001</v>
      </c>
      <c r="AF3530">
        <v>1.9309203083536</v>
      </c>
      <c r="AG3530">
        <v>-1.108649487361</v>
      </c>
      <c r="AH3530">
        <v>39.605814009091802</v>
      </c>
      <c r="AI3530">
        <v>91.601508692825504</v>
      </c>
      <c r="AJ3530">
        <v>87.208842771249294</v>
      </c>
      <c r="AK3530">
        <v>39.6683508637025</v>
      </c>
      <c r="AL3530">
        <v>80.640084770006496</v>
      </c>
      <c r="AM3530">
        <v>92.214447249026705</v>
      </c>
      <c r="AN3530">
        <v>0.999999966936294</v>
      </c>
    </row>
    <row r="3531" spans="1:40" x14ac:dyDescent="0.25">
      <c r="A3531" t="str">
        <f>"20190304155702899"</f>
        <v>20190304155702899</v>
      </c>
      <c r="B3531" t="str">
        <f>"1551686222897923"</f>
        <v>1551686222897923</v>
      </c>
      <c r="C3531" t="s">
        <v>40</v>
      </c>
      <c r="D3531">
        <v>4.6428469999999997</v>
      </c>
      <c r="E3531">
        <v>0.52872140000000001</v>
      </c>
      <c r="F3531" t="s">
        <v>55</v>
      </c>
      <c r="G3531">
        <v>-328.06290000000001</v>
      </c>
      <c r="H3531" s="1">
        <v>2.7538900000000002E-6</v>
      </c>
      <c r="I3531">
        <v>212.49850000000001</v>
      </c>
      <c r="J3531">
        <v>-368.7269</v>
      </c>
      <c r="K3531">
        <v>1.1086780000000001</v>
      </c>
      <c r="L3531">
        <v>214.447</v>
      </c>
      <c r="M3531">
        <v>0.99995590000000001</v>
      </c>
      <c r="N3531">
        <v>-9.3880200000000004E-3</v>
      </c>
      <c r="O3531">
        <v>-3.2732060000000002E-4</v>
      </c>
      <c r="P3531">
        <v>0.98747629999999997</v>
      </c>
      <c r="Q3531">
        <v>0.15320159999999999</v>
      </c>
      <c r="R3531">
        <v>3.768502E-2</v>
      </c>
      <c r="S3531">
        <v>3.0566409999999999</v>
      </c>
      <c r="T3531">
        <v>-8.2526210000000003E-2</v>
      </c>
      <c r="U3531">
        <v>-0.14506529999999901</v>
      </c>
      <c r="V3531">
        <v>-3.779652E-2</v>
      </c>
      <c r="W3531">
        <v>0.1625144</v>
      </c>
      <c r="X3531">
        <v>0.98598200000000003</v>
      </c>
      <c r="Y3531">
        <v>4.7055710000000001E-2</v>
      </c>
      <c r="Z3531">
        <v>-8.5005910000000005E-4</v>
      </c>
      <c r="AA3531">
        <v>0.99889190000000005</v>
      </c>
      <c r="AB3531">
        <v>42</v>
      </c>
      <c r="AC3531">
        <v>40.663999999999902</v>
      </c>
      <c r="AD3531">
        <v>-1.10867524611</v>
      </c>
      <c r="AE3531">
        <v>-1.9484999999999899</v>
      </c>
      <c r="AF3531">
        <v>1.9337549965451499</v>
      </c>
      <c r="AG3531">
        <v>-1.10867524611</v>
      </c>
      <c r="AH3531">
        <v>40.634499508905002</v>
      </c>
      <c r="AI3531">
        <v>91.561109477801594</v>
      </c>
      <c r="AJ3531">
        <v>87.275406997464799</v>
      </c>
      <c r="AK3531">
        <v>40.6955909101613</v>
      </c>
      <c r="AL3531">
        <v>80.647128822299194</v>
      </c>
      <c r="AM3531">
        <v>92.195294890147593</v>
      </c>
      <c r="AN3531">
        <v>1.0000000057277301</v>
      </c>
    </row>
    <row r="3532" spans="1:40" x14ac:dyDescent="0.25">
      <c r="A3532" t="str">
        <f>"20190304155702923"</f>
        <v>20190304155702923</v>
      </c>
      <c r="B3532" t="str">
        <f>"1551686222918419"</f>
        <v>1551686222918419</v>
      </c>
      <c r="C3532" t="s">
        <v>40</v>
      </c>
      <c r="D3532">
        <v>4.7493660000000002</v>
      </c>
      <c r="E3532">
        <v>0.52822829999999998</v>
      </c>
      <c r="F3532" t="s">
        <v>55</v>
      </c>
      <c r="G3532">
        <v>-329.15289999999999</v>
      </c>
      <c r="H3532" s="1">
        <v>3.333916E-6</v>
      </c>
      <c r="I3532">
        <v>212.63499999999999</v>
      </c>
      <c r="J3532">
        <v>-368.30290000000002</v>
      </c>
      <c r="K3532">
        <v>1.108711</v>
      </c>
      <c r="L3532">
        <v>214.44649999999999</v>
      </c>
      <c r="M3532">
        <v>0.9999557</v>
      </c>
      <c r="N3532">
        <v>-9.3978900000000008E-3</v>
      </c>
      <c r="O3532">
        <v>-6.8361349999999997E-4</v>
      </c>
      <c r="P3532">
        <v>0.98753829999999998</v>
      </c>
      <c r="Q3532">
        <v>0.15295710000000001</v>
      </c>
      <c r="R3532">
        <v>3.705083E-2</v>
      </c>
      <c r="S3532">
        <v>3.0566409999999999</v>
      </c>
      <c r="T3532">
        <v>-8.5632440000000004E-2</v>
      </c>
      <c r="U3532">
        <v>-0.13995360000000001</v>
      </c>
      <c r="V3532">
        <v>-3.7527199999999997E-2</v>
      </c>
      <c r="W3532">
        <v>0.1622767</v>
      </c>
      <c r="X3532">
        <v>0.9860314</v>
      </c>
      <c r="Y3532">
        <v>4.5032450000000002E-2</v>
      </c>
      <c r="Z3532">
        <v>-8.2940179999999996E-4</v>
      </c>
      <c r="AA3532">
        <v>0.99898520000000002</v>
      </c>
      <c r="AB3532">
        <v>42</v>
      </c>
      <c r="AC3532">
        <v>39.15</v>
      </c>
      <c r="AD3532">
        <v>-1.1087076660840001</v>
      </c>
      <c r="AE3532">
        <v>-1.8114999999999899</v>
      </c>
      <c r="AF3532">
        <v>1.7833077839004401</v>
      </c>
      <c r="AG3532">
        <v>-1.1087076660840001</v>
      </c>
      <c r="AH3532">
        <v>39.119922395933401</v>
      </c>
      <c r="AI3532">
        <v>91.621716462640293</v>
      </c>
      <c r="AJ3532">
        <v>87.389940579457104</v>
      </c>
      <c r="AK3532">
        <v>39.176239579684001</v>
      </c>
      <c r="AL3532">
        <v>80.660930908835496</v>
      </c>
      <c r="AM3532">
        <v>92.179558310613899</v>
      </c>
      <c r="AN3532">
        <v>0.99999996994434404</v>
      </c>
    </row>
    <row r="3533" spans="1:40" x14ac:dyDescent="0.25">
      <c r="A3533" t="str">
        <f>"20190304155702946"</f>
        <v>20190304155702946</v>
      </c>
      <c r="B3533" t="str">
        <f>"1551686222938195"</f>
        <v>1551686222938195</v>
      </c>
      <c r="C3533" t="s">
        <v>40</v>
      </c>
      <c r="D3533">
        <v>4.7232510000000003</v>
      </c>
      <c r="E3533">
        <v>0.52780050000000001</v>
      </c>
      <c r="F3533" t="s">
        <v>55</v>
      </c>
      <c r="G3533">
        <v>-329.09789999999998</v>
      </c>
      <c r="H3533" s="1">
        <v>3.3046480000000001E-6</v>
      </c>
      <c r="I3533">
        <v>212.68090000000001</v>
      </c>
      <c r="J3533">
        <v>-367.85759999999999</v>
      </c>
      <c r="K3533">
        <v>1.108738</v>
      </c>
      <c r="L3533">
        <v>214.446</v>
      </c>
      <c r="M3533">
        <v>0.99995520000000004</v>
      </c>
      <c r="N3533">
        <v>-9.4085209999999996E-3</v>
      </c>
      <c r="O3533">
        <v>-1.025705E-3</v>
      </c>
      <c r="P3533">
        <v>0.98753299999999999</v>
      </c>
      <c r="Q3533">
        <v>0.15300929999999999</v>
      </c>
      <c r="R3533">
        <v>3.6968040000000001E-2</v>
      </c>
      <c r="S3533">
        <v>3.0564269999999998</v>
      </c>
      <c r="T3533">
        <v>-8.6434839999999999E-2</v>
      </c>
      <c r="U3533">
        <v>-0.13764949999999901</v>
      </c>
      <c r="V3533">
        <v>-3.7795750000000003E-2</v>
      </c>
      <c r="W3533">
        <v>0.16233699999999901</v>
      </c>
      <c r="X3533">
        <v>0.98601130000000003</v>
      </c>
      <c r="Y3533">
        <v>4.394257E-2</v>
      </c>
      <c r="Z3533">
        <v>-8.0844279999999998E-4</v>
      </c>
      <c r="AA3533">
        <v>0.99903370000000002</v>
      </c>
      <c r="AB3533">
        <v>42</v>
      </c>
      <c r="AC3533">
        <v>38.759700000000002</v>
      </c>
      <c r="AD3533">
        <v>-1.1087346953520001</v>
      </c>
      <c r="AE3533">
        <v>-1.7650999999999799</v>
      </c>
      <c r="AF3533">
        <v>1.7239335763978301</v>
      </c>
      <c r="AG3533">
        <v>-1.1087346953520001</v>
      </c>
      <c r="AH3533">
        <v>38.729864420353501</v>
      </c>
      <c r="AI3533">
        <v>91.638159272917406</v>
      </c>
      <c r="AJ3533">
        <v>87.451347598165498</v>
      </c>
      <c r="AK3533">
        <v>38.784064222557603</v>
      </c>
      <c r="AL3533">
        <v>80.6574303198732</v>
      </c>
      <c r="AM3533">
        <v>92.195185041274996</v>
      </c>
      <c r="AN3533">
        <v>1.00000005200737</v>
      </c>
    </row>
    <row r="3534" spans="1:40" x14ac:dyDescent="0.25">
      <c r="A3534" t="str">
        <f>"20190304155702968"</f>
        <v>20190304155702968</v>
      </c>
      <c r="B3534" t="str">
        <f>"1551686222957714"</f>
        <v>1551686222957714</v>
      </c>
      <c r="C3534" t="s">
        <v>40</v>
      </c>
      <c r="D3534">
        <v>4.73482</v>
      </c>
      <c r="E3534">
        <v>0.52733759999999996</v>
      </c>
      <c r="F3534" t="s">
        <v>55</v>
      </c>
      <c r="G3534">
        <v>-328.60700000000003</v>
      </c>
      <c r="H3534" s="1">
        <v>3.0434200000000001E-6</v>
      </c>
      <c r="I3534">
        <v>212.7227</v>
      </c>
      <c r="J3534">
        <v>-367.45240000000001</v>
      </c>
      <c r="K3534">
        <v>1.108771</v>
      </c>
      <c r="L3534">
        <v>214.4453</v>
      </c>
      <c r="M3534">
        <v>0.99995500000000004</v>
      </c>
      <c r="N3534">
        <v>-9.4179060000000002E-3</v>
      </c>
      <c r="O3534">
        <v>-1.3114629999999999E-3</v>
      </c>
      <c r="P3534">
        <v>0.98756049999999995</v>
      </c>
      <c r="Q3534">
        <v>0.1529607</v>
      </c>
      <c r="R3534">
        <v>3.6437160000000003E-2</v>
      </c>
      <c r="S3534">
        <v>3.056244</v>
      </c>
      <c r="T3534">
        <v>-8.6331489999999997E-2</v>
      </c>
      <c r="U3534">
        <v>-0.13418579999999999</v>
      </c>
      <c r="V3534">
        <v>-3.7559530000000001E-2</v>
      </c>
      <c r="W3534">
        <v>0.1622941</v>
      </c>
      <c r="X3534">
        <v>0.98602730000000005</v>
      </c>
      <c r="Y3534">
        <v>4.2530560000000002E-2</v>
      </c>
      <c r="Z3534">
        <v>-7.7603619999999998E-4</v>
      </c>
      <c r="AA3534">
        <v>0.99909479999999995</v>
      </c>
      <c r="AB3534">
        <v>42</v>
      </c>
      <c r="AC3534">
        <v>38.845399999999998</v>
      </c>
      <c r="AD3534">
        <v>-1.1087679565799999</v>
      </c>
      <c r="AE3534">
        <v>-1.7225999999999999</v>
      </c>
      <c r="AF3534">
        <v>1.6702938333894399</v>
      </c>
      <c r="AG3534">
        <v>-1.1087679565799999</v>
      </c>
      <c r="AH3534">
        <v>38.816064113289698</v>
      </c>
      <c r="AI3534">
        <v>91.634678046748903</v>
      </c>
      <c r="AJ3534">
        <v>87.536025707987307</v>
      </c>
      <c r="AK3534">
        <v>38.8678026278617</v>
      </c>
      <c r="AL3534">
        <v>80.659920520247098</v>
      </c>
      <c r="AM3534">
        <v>92.181443267106502</v>
      </c>
      <c r="AN3534">
        <v>0.99999996476695896</v>
      </c>
    </row>
    <row r="3535" spans="1:40" x14ac:dyDescent="0.25">
      <c r="A3535" t="str">
        <f>"20190304155702988"</f>
        <v>20190304155702988</v>
      </c>
      <c r="B3535" t="str">
        <f>"1551686222978214"</f>
        <v>1551686222978214</v>
      </c>
      <c r="C3535" t="s">
        <v>40</v>
      </c>
      <c r="D3535">
        <v>4.7224769999999996</v>
      </c>
      <c r="E3535">
        <v>0.52685029999999999</v>
      </c>
      <c r="F3535" t="s">
        <v>55</v>
      </c>
      <c r="G3535">
        <v>-328.15789999999998</v>
      </c>
      <c r="H3535" s="1">
        <v>2.8044600000000002E-6</v>
      </c>
      <c r="I3535">
        <v>212.749</v>
      </c>
      <c r="J3535">
        <v>-367.05329999999998</v>
      </c>
      <c r="K3535">
        <v>1.1088070000000001</v>
      </c>
      <c r="L3535">
        <v>214.44460000000001</v>
      </c>
      <c r="M3535">
        <v>0.99995429999999996</v>
      </c>
      <c r="N3535">
        <v>-9.4271900000000002E-3</v>
      </c>
      <c r="O3535">
        <v>-1.572695E-3</v>
      </c>
      <c r="P3535">
        <v>0.98745890000000003</v>
      </c>
      <c r="Q3535">
        <v>0.15367069999999999</v>
      </c>
      <c r="R3535">
        <v>3.6198500000000002E-2</v>
      </c>
      <c r="S3535">
        <v>3.0560299999999998</v>
      </c>
      <c r="T3535">
        <v>-8.6231710000000003E-2</v>
      </c>
      <c r="U3535">
        <v>-0.1319275</v>
      </c>
      <c r="V3535">
        <v>-3.7588419999999997E-2</v>
      </c>
      <c r="W3535">
        <v>0.1630103</v>
      </c>
      <c r="X3535">
        <v>0.98590809999999995</v>
      </c>
      <c r="Y3535">
        <v>4.1536289999999997E-2</v>
      </c>
      <c r="Z3535">
        <v>-7.5202729999999897E-4</v>
      </c>
      <c r="AA3535">
        <v>0.99913669999999999</v>
      </c>
      <c r="AB3535">
        <v>42</v>
      </c>
      <c r="AC3535">
        <v>38.895400000000002</v>
      </c>
      <c r="AD3535">
        <v>-1.1088041955400001</v>
      </c>
      <c r="AE3535">
        <v>-1.69559999999998</v>
      </c>
      <c r="AF3535">
        <v>1.63309993092621</v>
      </c>
      <c r="AG3535">
        <v>-1.1088041955400001</v>
      </c>
      <c r="AH3535">
        <v>38.866493025822997</v>
      </c>
      <c r="AI3535">
        <v>91.632681696643701</v>
      </c>
      <c r="AJ3535">
        <v>87.5939500104693</v>
      </c>
      <c r="AK3535">
        <v>38.916586981064803</v>
      </c>
      <c r="AL3535">
        <v>80.618331928516099</v>
      </c>
      <c r="AM3535">
        <v>92.183383256369595</v>
      </c>
      <c r="AN3535">
        <v>1.00000001443489</v>
      </c>
    </row>
    <row r="3536" spans="1:40" x14ac:dyDescent="0.25">
      <c r="A3536" t="str">
        <f>"20190304155703012"</f>
        <v>20190304155703012</v>
      </c>
      <c r="B3536" t="str">
        <f>"1551686223008467"</f>
        <v>1551686223008467</v>
      </c>
      <c r="C3536" t="s">
        <v>40</v>
      </c>
      <c r="D3536">
        <v>4.7244989999999998</v>
      </c>
      <c r="E3536">
        <v>0.52621739999999995</v>
      </c>
      <c r="F3536" t="s">
        <v>55</v>
      </c>
      <c r="G3536">
        <v>-326.65859999999998</v>
      </c>
      <c r="H3536" s="1">
        <v>2.0066060000000001E-6</v>
      </c>
      <c r="I3536">
        <v>212.74440000000001</v>
      </c>
      <c r="J3536">
        <v>-366.6198</v>
      </c>
      <c r="K3536">
        <v>1.108841</v>
      </c>
      <c r="L3536">
        <v>214.44370000000001</v>
      </c>
      <c r="M3536">
        <v>0.99995389999999995</v>
      </c>
      <c r="N3536">
        <v>-9.4372880000000003E-3</v>
      </c>
      <c r="O3536">
        <v>-1.8352520000000001E-3</v>
      </c>
      <c r="P3536">
        <v>0.98737260000000004</v>
      </c>
      <c r="Q3536">
        <v>0.1542974</v>
      </c>
      <c r="R3536">
        <v>3.5891060000000002E-2</v>
      </c>
      <c r="S3536">
        <v>3.0558779999999999</v>
      </c>
      <c r="T3536">
        <v>-8.3881739999999996E-2</v>
      </c>
      <c r="U3536">
        <v>-0.12861629999999999</v>
      </c>
      <c r="V3536">
        <v>-3.7551050000000002E-2</v>
      </c>
      <c r="W3536">
        <v>0.16364339999999999</v>
      </c>
      <c r="X3536">
        <v>0.98580460000000003</v>
      </c>
      <c r="Y3536">
        <v>4.0197150000000001E-2</v>
      </c>
      <c r="Z3536">
        <v>-7.0812269999999996E-4</v>
      </c>
      <c r="AA3536">
        <v>0.99919150000000001</v>
      </c>
      <c r="AB3536">
        <v>42</v>
      </c>
      <c r="AC3536">
        <v>39.961199999999998</v>
      </c>
      <c r="AD3536">
        <v>-1.1088389933939999</v>
      </c>
      <c r="AE3536">
        <v>-1.69929999999999</v>
      </c>
      <c r="AF3536">
        <v>1.6247063309729699</v>
      </c>
      <c r="AG3536">
        <v>-1.1088389933939999</v>
      </c>
      <c r="AH3536">
        <v>39.933560314753002</v>
      </c>
      <c r="AI3536">
        <v>91.589214623123496</v>
      </c>
      <c r="AJ3536">
        <v>87.670192615312402</v>
      </c>
      <c r="AK3536">
        <v>39.981976364196797</v>
      </c>
      <c r="AL3536">
        <v>80.581563894521807</v>
      </c>
      <c r="AM3536">
        <v>92.181443443437999</v>
      </c>
      <c r="AN3536">
        <v>0.99999997655041095</v>
      </c>
    </row>
    <row r="3537" spans="1:40" x14ac:dyDescent="0.25">
      <c r="A3537" t="str">
        <f>"20190304155703034"</f>
        <v>20190304155703034</v>
      </c>
      <c r="B3537" t="str">
        <f>"1551686223027987"</f>
        <v>1551686223027987</v>
      </c>
      <c r="C3537" t="s">
        <v>40</v>
      </c>
      <c r="D3537">
        <v>4.7204920000000001</v>
      </c>
      <c r="E3537">
        <v>0.52579209999999998</v>
      </c>
      <c r="F3537" t="s">
        <v>55</v>
      </c>
      <c r="G3537">
        <v>-325.1585</v>
      </c>
      <c r="H3537" s="1">
        <v>1.2082999999999999E-6</v>
      </c>
      <c r="I3537">
        <v>212.76</v>
      </c>
      <c r="J3537">
        <v>-366.19209999999998</v>
      </c>
      <c r="K3537">
        <v>1.108868</v>
      </c>
      <c r="L3537">
        <v>214.4427</v>
      </c>
      <c r="M3537">
        <v>0.99995330000000004</v>
      </c>
      <c r="N3537">
        <v>-9.4472949999999997E-3</v>
      </c>
      <c r="O3537">
        <v>-2.0761540000000002E-3</v>
      </c>
      <c r="P3537">
        <v>0.98715969999999997</v>
      </c>
      <c r="Q3537">
        <v>0.15573999999999999</v>
      </c>
      <c r="R3537">
        <v>3.5508489999999997E-2</v>
      </c>
      <c r="S3537">
        <v>3.0556640000000002</v>
      </c>
      <c r="T3537">
        <v>-8.1720470000000003E-2</v>
      </c>
      <c r="U3537">
        <v>-0.1240845</v>
      </c>
      <c r="V3537">
        <v>-3.7413559999999998E-2</v>
      </c>
      <c r="W3537">
        <v>0.16509119999999999</v>
      </c>
      <c r="X3537">
        <v>0.98556840000000001</v>
      </c>
      <c r="Y3537">
        <v>3.8481660000000001E-2</v>
      </c>
      <c r="Z3537">
        <v>-6.6028149999999895E-4</v>
      </c>
      <c r="AA3537">
        <v>0.99925909999999996</v>
      </c>
      <c r="AB3537">
        <v>42</v>
      </c>
      <c r="AC3537">
        <v>41.0335999999999</v>
      </c>
      <c r="AD3537">
        <v>-1.1088667916999999</v>
      </c>
      <c r="AE3537">
        <v>-1.6827000000000101</v>
      </c>
      <c r="AF3537">
        <v>1.59633671616495</v>
      </c>
      <c r="AG3537">
        <v>-1.1088667916999999</v>
      </c>
      <c r="AH3537">
        <v>41.007109540236698</v>
      </c>
      <c r="AI3537">
        <v>91.547776945994499</v>
      </c>
      <c r="AJ3537">
        <v>87.770698838476406</v>
      </c>
      <c r="AK3537">
        <v>41.053147374081803</v>
      </c>
      <c r="AL3537">
        <v>80.497467258437595</v>
      </c>
      <c r="AM3537">
        <v>92.173984336297806</v>
      </c>
      <c r="AN3537">
        <v>0.999999974933936</v>
      </c>
    </row>
    <row r="3538" spans="1:40" x14ac:dyDescent="0.25">
      <c r="A3538" t="str">
        <f>"20190304155703058"</f>
        <v>20190304155703058</v>
      </c>
      <c r="B3538" t="str">
        <f>"1551686223048483"</f>
        <v>1551686223048483</v>
      </c>
      <c r="C3538" t="s">
        <v>40</v>
      </c>
      <c r="D3538">
        <v>4.721438</v>
      </c>
      <c r="E3538">
        <v>0.52538479999999999</v>
      </c>
      <c r="F3538" t="s">
        <v>55</v>
      </c>
      <c r="G3538">
        <v>-322.19380000000001</v>
      </c>
      <c r="H3538" s="1">
        <v>-3.6937020000000002E-7</v>
      </c>
      <c r="I3538">
        <v>212.68700000000001</v>
      </c>
      <c r="J3538">
        <v>-365.75720000000001</v>
      </c>
      <c r="K3538">
        <v>1.1088910000000001</v>
      </c>
      <c r="L3538">
        <v>214.44159999999999</v>
      </c>
      <c r="M3538">
        <v>0.99995259999999997</v>
      </c>
      <c r="N3538">
        <v>-9.4574949999999998E-3</v>
      </c>
      <c r="O3538">
        <v>-2.3062410000000001E-3</v>
      </c>
      <c r="P3538">
        <v>0.98696379999999995</v>
      </c>
      <c r="Q3538">
        <v>0.1570252</v>
      </c>
      <c r="R3538">
        <v>3.52909E-2</v>
      </c>
      <c r="S3538">
        <v>3.0555729999999999</v>
      </c>
      <c r="T3538">
        <v>-7.7008010000000002E-2</v>
      </c>
      <c r="U3538">
        <v>-0.121933</v>
      </c>
      <c r="V3538">
        <v>-3.7430709999999999E-2</v>
      </c>
      <c r="W3538">
        <v>0.16638249999999999</v>
      </c>
      <c r="X3538">
        <v>0.98535059999999997</v>
      </c>
      <c r="Y3538">
        <v>3.7552670000000003E-2</v>
      </c>
      <c r="Z3538">
        <v>-6.1434870000000004E-4</v>
      </c>
      <c r="AA3538">
        <v>0.99929449999999997</v>
      </c>
      <c r="AB3538">
        <v>42</v>
      </c>
      <c r="AC3538">
        <v>43.563400000000001</v>
      </c>
      <c r="AD3538">
        <v>-1.1088913693701901</v>
      </c>
      <c r="AE3538">
        <v>-1.75459999999998</v>
      </c>
      <c r="AF3538">
        <v>1.6530537949212001</v>
      </c>
      <c r="AG3538">
        <v>-1.1088913693701901</v>
      </c>
      <c r="AH3538">
        <v>43.539165793597803</v>
      </c>
      <c r="AI3538">
        <v>91.457890810350506</v>
      </c>
      <c r="AJ3538">
        <v>87.825692480663406</v>
      </c>
      <c r="AK3538">
        <v>43.584643911822504</v>
      </c>
      <c r="AL3538">
        <v>80.422443873893897</v>
      </c>
      <c r="AM3538">
        <v>92.1754602035397</v>
      </c>
      <c r="AN3538">
        <v>0.999999999638857</v>
      </c>
    </row>
    <row r="3539" spans="1:40" x14ac:dyDescent="0.25">
      <c r="A3539" t="str">
        <f>"20190304155703078"</f>
        <v>20190304155703078</v>
      </c>
      <c r="B3539" t="str">
        <f>"1551686223068006"</f>
        <v>1551686223068006</v>
      </c>
      <c r="C3539" t="s">
        <v>40</v>
      </c>
      <c r="D3539">
        <v>4.7769949999999897</v>
      </c>
      <c r="E3539">
        <v>0.52504280000000003</v>
      </c>
      <c r="F3539" t="s">
        <v>64</v>
      </c>
      <c r="G3539">
        <v>-319.3777</v>
      </c>
      <c r="H3539" s="1">
        <v>5.0642559999999996E-6</v>
      </c>
      <c r="I3539">
        <v>212.63570000000001</v>
      </c>
      <c r="J3539">
        <v>-365.36070000000001</v>
      </c>
      <c r="K3539">
        <v>1.1089169999999999</v>
      </c>
      <c r="L3539">
        <v>214.44049999999999</v>
      </c>
      <c r="M3539">
        <v>0.99995210000000001</v>
      </c>
      <c r="N3539">
        <v>-9.4667940000000006E-3</v>
      </c>
      <c r="O3539">
        <v>-2.5047789999999999E-3</v>
      </c>
      <c r="P3539">
        <v>0.98686079999999998</v>
      </c>
      <c r="Q3539">
        <v>0.15775699999999901</v>
      </c>
      <c r="R3539">
        <v>3.4908509999999997E-2</v>
      </c>
      <c r="S3539">
        <v>3.0554809999999999</v>
      </c>
      <c r="T3539">
        <v>-7.3053359999999998E-2</v>
      </c>
      <c r="U3539">
        <v>-0.1189728</v>
      </c>
      <c r="V3539">
        <v>-3.7250270000000002E-2</v>
      </c>
      <c r="W3539">
        <v>0.16712070000000001</v>
      </c>
      <c r="X3539">
        <v>0.98523249999999996</v>
      </c>
      <c r="Y3539">
        <v>3.639067E-2</v>
      </c>
      <c r="Z3539">
        <v>-5.7100680000000004E-4</v>
      </c>
      <c r="AA3539">
        <v>0.99933749999999999</v>
      </c>
      <c r="AB3539">
        <v>42</v>
      </c>
      <c r="AC3539">
        <v>45.982999999999997</v>
      </c>
      <c r="AD3539">
        <v>-1.1089119357439901</v>
      </c>
      <c r="AE3539">
        <v>-1.80479999999997</v>
      </c>
      <c r="AF3539">
        <v>1.68863138803483</v>
      </c>
      <c r="AG3539">
        <v>-1.1089119357439901</v>
      </c>
      <c r="AH3539">
        <v>45.960688476003497</v>
      </c>
      <c r="AI3539">
        <v>91.381198510545005</v>
      </c>
      <c r="AJ3539">
        <v>87.895855008123903</v>
      </c>
      <c r="AK3539">
        <v>46.005065447558401</v>
      </c>
      <c r="AL3539">
        <v>80.379547489156096</v>
      </c>
      <c r="AM3539">
        <v>92.165242365231293</v>
      </c>
      <c r="AN3539">
        <v>0.999999995019906</v>
      </c>
    </row>
    <row r="3540" spans="1:40" x14ac:dyDescent="0.25">
      <c r="A3540" t="str">
        <f>"20190304155703101"</f>
        <v>20190304155703101</v>
      </c>
      <c r="B3540" t="str">
        <f>"1551686223098259"</f>
        <v>1551686223098259</v>
      </c>
      <c r="C3540" t="s">
        <v>40</v>
      </c>
      <c r="D3540">
        <v>4.7857479999999999</v>
      </c>
      <c r="E3540">
        <v>0.52478899999999995</v>
      </c>
      <c r="F3540" t="s">
        <v>64</v>
      </c>
      <c r="G3540">
        <v>-317.87689999999998</v>
      </c>
      <c r="H3540" s="1">
        <v>4.3987090000000004E-6</v>
      </c>
      <c r="I3540">
        <v>212.62370000000001</v>
      </c>
      <c r="J3540">
        <v>-364.9341</v>
      </c>
      <c r="K3540">
        <v>1.1089389999999999</v>
      </c>
      <c r="L3540">
        <v>214.4393</v>
      </c>
      <c r="M3540">
        <v>0.99995149999999999</v>
      </c>
      <c r="N3540">
        <v>-9.4768000000000005E-3</v>
      </c>
      <c r="O3540">
        <v>-2.7043829999999999E-3</v>
      </c>
      <c r="P3540">
        <v>0.98674200000000001</v>
      </c>
      <c r="Q3540">
        <v>0.15859870000000001</v>
      </c>
      <c r="R3540">
        <v>3.4452509999999999E-2</v>
      </c>
      <c r="S3540">
        <v>3.0554809999999999</v>
      </c>
      <c r="T3540">
        <v>-7.1356180000000005E-2</v>
      </c>
      <c r="U3540">
        <v>-0.1169128</v>
      </c>
      <c r="V3540">
        <v>-3.6998679999999999E-2</v>
      </c>
      <c r="W3540">
        <v>0.1679687</v>
      </c>
      <c r="X3540">
        <v>0.98509780000000002</v>
      </c>
      <c r="Y3540">
        <v>3.5519340000000003E-2</v>
      </c>
      <c r="Z3540">
        <v>-5.4543879999999895E-4</v>
      </c>
      <c r="AA3540">
        <v>0.99936879999999995</v>
      </c>
      <c r="AB3540">
        <v>42</v>
      </c>
      <c r="AC3540">
        <v>47.057200000000002</v>
      </c>
      <c r="AD3540">
        <v>-1.108934601291</v>
      </c>
      <c r="AE3540">
        <v>-1.8155999999999799</v>
      </c>
      <c r="AF3540">
        <v>1.687391276719</v>
      </c>
      <c r="AG3540">
        <v>-1.108934601291</v>
      </c>
      <c r="AH3540">
        <v>47.035856090761101</v>
      </c>
      <c r="AI3540">
        <v>91.3497081940844</v>
      </c>
      <c r="AJ3540">
        <v>87.945419448816097</v>
      </c>
      <c r="AK3540">
        <v>47.079175687998998</v>
      </c>
      <c r="AL3540">
        <v>80.330264370368496</v>
      </c>
      <c r="AM3540">
        <v>92.150925796047304</v>
      </c>
      <c r="AN3540">
        <v>1.0000000310331301</v>
      </c>
    </row>
    <row r="3541" spans="1:40" x14ac:dyDescent="0.25">
      <c r="A3541" t="str">
        <f>"20190304155703124"</f>
        <v>20190304155703124</v>
      </c>
      <c r="B3541" t="str">
        <f>"1551686223117779"</f>
        <v>1551686223117779</v>
      </c>
      <c r="C3541" t="s">
        <v>40</v>
      </c>
      <c r="D3541">
        <v>4.788983</v>
      </c>
      <c r="E3541">
        <v>0.52447619999999995</v>
      </c>
      <c r="F3541" t="s">
        <v>64</v>
      </c>
      <c r="G3541">
        <v>-315.98289999999997</v>
      </c>
      <c r="H3541" s="1">
        <v>3.558812E-6</v>
      </c>
      <c r="I3541">
        <v>212.58170000000001</v>
      </c>
      <c r="J3541">
        <v>-364.50139999999999</v>
      </c>
      <c r="K3541">
        <v>1.1089599999999999</v>
      </c>
      <c r="L3541">
        <v>214.43799999999999</v>
      </c>
      <c r="M3541">
        <v>0.99995080000000003</v>
      </c>
      <c r="N3541">
        <v>-9.4869380000000003E-3</v>
      </c>
      <c r="O3541">
        <v>-2.8895470000000001E-3</v>
      </c>
      <c r="P3541">
        <v>0.98662680000000003</v>
      </c>
      <c r="Q3541">
        <v>0.15933069999999999</v>
      </c>
      <c r="R3541">
        <v>3.4368559999999999E-2</v>
      </c>
      <c r="S3541">
        <v>3.0554809999999999</v>
      </c>
      <c r="T3541">
        <v>-6.9218520000000006E-2</v>
      </c>
      <c r="U3541">
        <v>-0.1159515</v>
      </c>
      <c r="V3541">
        <v>-3.7104320000000003E-2</v>
      </c>
      <c r="W3541">
        <v>0.1687081</v>
      </c>
      <c r="X3541">
        <v>0.9849675</v>
      </c>
      <c r="Y3541">
        <v>3.5021169999999997E-2</v>
      </c>
      <c r="Z3541">
        <v>-5.2468030000000002E-4</v>
      </c>
      <c r="AA3541">
        <v>0.99938640000000001</v>
      </c>
      <c r="AB3541">
        <v>42</v>
      </c>
      <c r="AC3541">
        <v>48.518500000000003</v>
      </c>
      <c r="AD3541">
        <v>-1.108956441188</v>
      </c>
      <c r="AE3541">
        <v>-1.8562999999999701</v>
      </c>
      <c r="AF3541">
        <v>1.7151947200883899</v>
      </c>
      <c r="AG3541">
        <v>-1.108956441188</v>
      </c>
      <c r="AH3541">
        <v>48.498362379029302</v>
      </c>
      <c r="AI3541">
        <v>91.309070509131203</v>
      </c>
      <c r="AJ3541">
        <v>87.974519708050707</v>
      </c>
      <c r="AK3541">
        <v>48.541351760781403</v>
      </c>
      <c r="AL3541">
        <v>80.287286877377596</v>
      </c>
      <c r="AM3541">
        <v>92.157346490888798</v>
      </c>
      <c r="AN3541">
        <v>1.00000006481225</v>
      </c>
    </row>
    <row r="3542" spans="1:40" x14ac:dyDescent="0.25">
      <c r="A3542" t="str">
        <f>"20190304155703147"</f>
        <v>20190304155703147</v>
      </c>
      <c r="B3542" t="str">
        <f>"1551686223137805"</f>
        <v>1551686223137805</v>
      </c>
      <c r="C3542" t="s">
        <v>40</v>
      </c>
      <c r="D3542">
        <v>4.7795259999999997</v>
      </c>
      <c r="E3542">
        <v>0.52423940000000002</v>
      </c>
      <c r="F3542" t="s">
        <v>64</v>
      </c>
      <c r="G3542">
        <v>-314.3623</v>
      </c>
      <c r="H3542" s="1">
        <v>2.8401460000000001E-6</v>
      </c>
      <c r="I3542">
        <v>212.57259999999999</v>
      </c>
      <c r="J3542">
        <v>-364.05959999999999</v>
      </c>
      <c r="K3542">
        <v>1.108984</v>
      </c>
      <c r="L3542">
        <v>214.4366</v>
      </c>
      <c r="M3542">
        <v>0.99995029999999996</v>
      </c>
      <c r="N3542">
        <v>-9.4972979999999995E-3</v>
      </c>
      <c r="O3542">
        <v>-3.0570319999999999E-3</v>
      </c>
      <c r="P3542">
        <v>0.98660340000000002</v>
      </c>
      <c r="Q3542">
        <v>0.1595686</v>
      </c>
      <c r="R3542">
        <v>3.3936050000000002E-2</v>
      </c>
      <c r="S3542">
        <v>3.055542</v>
      </c>
      <c r="T3542">
        <v>-6.7581299999999997E-2</v>
      </c>
      <c r="U3542">
        <v>-0.113678</v>
      </c>
      <c r="V3542">
        <v>-3.6846770000000001E-2</v>
      </c>
      <c r="W3542">
        <v>0.16895389999999999</v>
      </c>
      <c r="X3542">
        <v>0.984935</v>
      </c>
      <c r="Y3542">
        <v>3.4111259999999997E-2</v>
      </c>
      <c r="Z3542">
        <v>-5.0056459999999999E-4</v>
      </c>
      <c r="AA3542">
        <v>0.99941789999999997</v>
      </c>
      <c r="AB3542">
        <v>42</v>
      </c>
      <c r="AC3542">
        <v>49.697299999999899</v>
      </c>
      <c r="AD3542">
        <v>-1.108981159854</v>
      </c>
      <c r="AE3542">
        <v>-1.8640000000000001</v>
      </c>
      <c r="AF3542">
        <v>1.71120731892851</v>
      </c>
      <c r="AG3542">
        <v>-1.108981159854</v>
      </c>
      <c r="AH3542">
        <v>49.6780640500616</v>
      </c>
      <c r="AI3542">
        <v>91.278063994644896</v>
      </c>
      <c r="AJ3542">
        <v>88.0271733773927</v>
      </c>
      <c r="AK3542">
        <v>49.719896595460497</v>
      </c>
      <c r="AL3542">
        <v>80.272998118949104</v>
      </c>
      <c r="AM3542">
        <v>92.142456459760396</v>
      </c>
      <c r="AN3542">
        <v>1.0000000295048199</v>
      </c>
    </row>
    <row r="3543" spans="1:40" x14ac:dyDescent="0.25">
      <c r="A3543" t="str">
        <f>"20190304155703169"</f>
        <v>20190304155703169</v>
      </c>
      <c r="B3543" t="str">
        <f>"1551686223158301"</f>
        <v>1551686223158301</v>
      </c>
      <c r="C3543" t="s">
        <v>40</v>
      </c>
      <c r="D3543">
        <v>4.7731459999999997</v>
      </c>
      <c r="E3543">
        <v>0.52400570000000002</v>
      </c>
      <c r="F3543" t="s">
        <v>64</v>
      </c>
      <c r="G3543">
        <v>-314.25959999999998</v>
      </c>
      <c r="H3543" s="1">
        <v>2.7945940000000001E-6</v>
      </c>
      <c r="I3543">
        <v>212.59399999999999</v>
      </c>
      <c r="J3543">
        <v>-363.65219999999999</v>
      </c>
      <c r="K3543">
        <v>1.109013</v>
      </c>
      <c r="L3543">
        <v>214.43520000000001</v>
      </c>
      <c r="M3543">
        <v>0.99994970000000005</v>
      </c>
      <c r="N3543">
        <v>-9.5068610000000001E-3</v>
      </c>
      <c r="O3543">
        <v>-3.1861070000000001E-3</v>
      </c>
      <c r="P3543">
        <v>0.98656049999999995</v>
      </c>
      <c r="Q3543">
        <v>0.1599081</v>
      </c>
      <c r="R3543">
        <v>3.358249E-2</v>
      </c>
      <c r="S3543">
        <v>3.0556030000000001</v>
      </c>
      <c r="T3543">
        <v>-6.8044300000000002E-2</v>
      </c>
      <c r="U3543">
        <v>-0.113052399999999</v>
      </c>
      <c r="V3543">
        <v>-3.66304E-2</v>
      </c>
      <c r="W3543">
        <v>0.169299799999999</v>
      </c>
      <c r="X3543">
        <v>0.98488370000000003</v>
      </c>
      <c r="Y3543">
        <v>3.3777139999999997E-2</v>
      </c>
      <c r="Z3543">
        <v>-4.9591779999999996E-4</v>
      </c>
      <c r="AA3543">
        <v>0.99942929999999996</v>
      </c>
      <c r="AB3543">
        <v>42</v>
      </c>
      <c r="AC3543">
        <v>49.392600000000002</v>
      </c>
      <c r="AD3543">
        <v>-1.109010205406</v>
      </c>
      <c r="AE3543">
        <v>-1.84119999999998</v>
      </c>
      <c r="AF3543">
        <v>1.6829661622940399</v>
      </c>
      <c r="AG3543">
        <v>-1.109010205406</v>
      </c>
      <c r="AH3543">
        <v>49.373359477681099</v>
      </c>
      <c r="AI3543">
        <v>91.285998328685594</v>
      </c>
      <c r="AJ3543">
        <v>88.047741953128707</v>
      </c>
      <c r="AK3543">
        <v>49.414480720244804</v>
      </c>
      <c r="AL3543">
        <v>80.252890091144707</v>
      </c>
      <c r="AM3543">
        <v>92.129998079214403</v>
      </c>
      <c r="AN3543">
        <v>1.00000005550494</v>
      </c>
    </row>
    <row r="3544" spans="1:40" x14ac:dyDescent="0.25">
      <c r="A3544" t="str">
        <f>"20190304155703202"</f>
        <v>20190304155703202</v>
      </c>
      <c r="B3544" t="str">
        <f>"1551686223198318"</f>
        <v>1551686223198318</v>
      </c>
      <c r="C3544" t="s">
        <v>40</v>
      </c>
      <c r="D3544">
        <v>4.8299459999999996</v>
      </c>
      <c r="E3544">
        <v>0.52384140000000001</v>
      </c>
      <c r="F3544" t="s">
        <v>64</v>
      </c>
      <c r="G3544">
        <v>-313.51209999999998</v>
      </c>
      <c r="H3544" s="1">
        <v>2.4631429999999999E-6</v>
      </c>
      <c r="I3544">
        <v>212.5994</v>
      </c>
      <c r="J3544">
        <v>-363.0197</v>
      </c>
      <c r="K3544">
        <v>1.109054</v>
      </c>
      <c r="L3544">
        <v>214.4331</v>
      </c>
      <c r="M3544">
        <v>0.99994919999999998</v>
      </c>
      <c r="N3544">
        <v>-9.5216559999999999E-3</v>
      </c>
      <c r="O3544">
        <v>-3.3291499999999999E-3</v>
      </c>
      <c r="P3544">
        <v>0.98655709999999996</v>
      </c>
      <c r="Q3544">
        <v>0.16003020000000001</v>
      </c>
      <c r="R3544">
        <v>3.3101730000000003E-2</v>
      </c>
      <c r="S3544">
        <v>3.0556640000000002</v>
      </c>
      <c r="T3544">
        <v>-6.7585950000000006E-2</v>
      </c>
      <c r="U3544">
        <v>-0.1118774</v>
      </c>
      <c r="V3544">
        <v>-3.6309750000000002E-2</v>
      </c>
      <c r="W3544">
        <v>0.16943179999999999</v>
      </c>
      <c r="X3544">
        <v>0.98487279999999999</v>
      </c>
      <c r="Y3544">
        <v>3.324999E-2</v>
      </c>
      <c r="Z3544">
        <v>-4.8401690000000002E-4</v>
      </c>
      <c r="AA3544">
        <v>0.99944690000000003</v>
      </c>
      <c r="AB3544">
        <v>43</v>
      </c>
      <c r="AC3544">
        <v>49.507599999999996</v>
      </c>
      <c r="AD3544">
        <v>-1.109051536857</v>
      </c>
      <c r="AE3544">
        <v>-1.8336999999999899</v>
      </c>
      <c r="AF3544">
        <v>1.66802822536727</v>
      </c>
      <c r="AG3544">
        <v>-1.109051536857</v>
      </c>
      <c r="AH3544">
        <v>49.488629528949602</v>
      </c>
      <c r="AI3544">
        <v>91.283068310046005</v>
      </c>
      <c r="AJ3544">
        <v>88.069560382457496</v>
      </c>
      <c r="AK3544">
        <v>49.529150670344102</v>
      </c>
      <c r="AL3544">
        <v>80.245215466522794</v>
      </c>
      <c r="AM3544">
        <v>92.111393099772798</v>
      </c>
      <c r="AN3544">
        <v>0.99999998248807098</v>
      </c>
    </row>
    <row r="3545" spans="1:40" x14ac:dyDescent="0.25">
      <c r="A3545" t="str">
        <f>"20190304155703223"</f>
        <v>20190304155703223</v>
      </c>
      <c r="B3545" t="str">
        <f>"1551686223217838"</f>
        <v>1551686223217838</v>
      </c>
      <c r="C3545" t="s">
        <v>40</v>
      </c>
      <c r="D3545">
        <v>4.7981600000000002</v>
      </c>
      <c r="E3545">
        <v>0.52411350000000001</v>
      </c>
      <c r="F3545" t="s">
        <v>64</v>
      </c>
      <c r="G3545">
        <v>-313.8349</v>
      </c>
      <c r="H3545" s="1">
        <v>2.6062600000000001E-6</v>
      </c>
      <c r="I3545">
        <v>212.63059999999999</v>
      </c>
      <c r="J3545">
        <v>-362.60079999999999</v>
      </c>
      <c r="K3545">
        <v>1.1090799999999901</v>
      </c>
      <c r="L3545">
        <v>214.4316</v>
      </c>
      <c r="M3545">
        <v>0.99994890000000003</v>
      </c>
      <c r="N3545">
        <v>-9.5314809999999996E-3</v>
      </c>
      <c r="O3545">
        <v>-3.3926160000000002E-3</v>
      </c>
      <c r="P3545">
        <v>0.98656489999999997</v>
      </c>
      <c r="Q3545">
        <v>0.1599855</v>
      </c>
      <c r="R3545">
        <v>3.3082569999999999E-2</v>
      </c>
      <c r="S3545">
        <v>3.0558169999999998</v>
      </c>
      <c r="T3545">
        <v>-6.8904519999999997E-2</v>
      </c>
      <c r="U3545">
        <v>-0.11198429999999999</v>
      </c>
      <c r="V3545">
        <v>-3.6365399999999999E-2</v>
      </c>
      <c r="W3545">
        <v>0.16939419999999999</v>
      </c>
      <c r="X3545">
        <v>0.98487720000000001</v>
      </c>
      <c r="Y3545">
        <v>3.321926E-2</v>
      </c>
      <c r="Z3545">
        <v>-4.886135E-4</v>
      </c>
      <c r="AA3545">
        <v>0.99944789999999994</v>
      </c>
      <c r="AB3545">
        <v>43</v>
      </c>
      <c r="AC3545">
        <v>48.765899999999903</v>
      </c>
      <c r="AD3545">
        <v>-1.10907739373999</v>
      </c>
      <c r="AE3545">
        <v>-1.8010000000000099</v>
      </c>
      <c r="AF3545">
        <v>1.6346937838431299</v>
      </c>
      <c r="AG3545">
        <v>-1.10907739373999</v>
      </c>
      <c r="AH3545">
        <v>48.746550436868702</v>
      </c>
      <c r="AI3545">
        <v>91.302631876940794</v>
      </c>
      <c r="AJ3545">
        <v>88.079331397024504</v>
      </c>
      <c r="AK3545">
        <v>48.7865601977268</v>
      </c>
      <c r="AL3545">
        <v>80.247401244249801</v>
      </c>
      <c r="AM3545">
        <v>92.114616744152599</v>
      </c>
      <c r="AN3545">
        <v>0.999999968195319</v>
      </c>
    </row>
    <row r="3546" spans="1:40" x14ac:dyDescent="0.25">
      <c r="A3546" t="str">
        <f>"20190304155703246"</f>
        <v>20190304155703246</v>
      </c>
      <c r="B3546" t="str">
        <f>"1551686223238337"</f>
        <v>1551686223238337</v>
      </c>
      <c r="C3546" t="s">
        <v>40</v>
      </c>
      <c r="D3546">
        <v>4.8301990000000004</v>
      </c>
      <c r="E3546">
        <v>0.53801489999999996</v>
      </c>
      <c r="F3546" t="s">
        <v>64</v>
      </c>
      <c r="G3546">
        <v>-314.29520000000002</v>
      </c>
      <c r="H3546" s="1">
        <v>2.8103940000000001E-6</v>
      </c>
      <c r="I3546">
        <v>212.62389999999999</v>
      </c>
      <c r="J3546">
        <v>-362.17399999999998</v>
      </c>
      <c r="K3546">
        <v>1.1091</v>
      </c>
      <c r="L3546">
        <v>214.43010000000001</v>
      </c>
      <c r="M3546">
        <v>0.99994859999999997</v>
      </c>
      <c r="N3546">
        <v>-9.5415080000000006E-3</v>
      </c>
      <c r="O3546">
        <v>-3.4365749999999999E-3</v>
      </c>
      <c r="P3546">
        <v>0.98661030000000005</v>
      </c>
      <c r="Q3546">
        <v>0.15975699999999901</v>
      </c>
      <c r="R3546">
        <v>3.2831989999999998E-2</v>
      </c>
      <c r="S3546">
        <v>3.0560909999999999</v>
      </c>
      <c r="T3546">
        <v>-7.0166590000000001E-2</v>
      </c>
      <c r="U3546">
        <v>-0.1143646</v>
      </c>
      <c r="V3546">
        <v>-3.6169069999999998E-2</v>
      </c>
      <c r="W3546">
        <v>0.16917380000000001</v>
      </c>
      <c r="X3546">
        <v>0.98492230000000003</v>
      </c>
      <c r="Y3546">
        <v>3.394879E-2</v>
      </c>
      <c r="Z3546">
        <v>-5.0550379999999998E-4</v>
      </c>
      <c r="AA3546">
        <v>0.99942339999999996</v>
      </c>
      <c r="AB3546">
        <v>43</v>
      </c>
      <c r="AC3546">
        <v>47.878799999999998</v>
      </c>
      <c r="AD3546">
        <v>-1.109097189606</v>
      </c>
      <c r="AE3546">
        <v>-1.80620000000001</v>
      </c>
      <c r="AF3546">
        <v>1.64076357359375</v>
      </c>
      <c r="AG3546">
        <v>-1.109097189606</v>
      </c>
      <c r="AH3546">
        <v>47.859079865960297</v>
      </c>
      <c r="AI3546">
        <v>91.3267686003108</v>
      </c>
      <c r="AJ3546">
        <v>88.036484959631593</v>
      </c>
      <c r="AK3546">
        <v>47.900038907048803</v>
      </c>
      <c r="AL3546">
        <v>80.260214045596001</v>
      </c>
      <c r="AM3546">
        <v>92.1031143836246</v>
      </c>
      <c r="AN3546">
        <v>0.99999995663419605</v>
      </c>
    </row>
    <row r="3547" spans="1:40" x14ac:dyDescent="0.25">
      <c r="A3547" t="str">
        <f>"20190304155703268"</f>
        <v>20190304155703268</v>
      </c>
      <c r="B3547" t="str">
        <f>"1551686223257853"</f>
        <v>1551686223257853</v>
      </c>
      <c r="C3547" t="s">
        <v>40</v>
      </c>
      <c r="D3547">
        <v>4.8254720000000004</v>
      </c>
      <c r="E3547">
        <v>0.53558779999999995</v>
      </c>
      <c r="F3547" t="s">
        <v>64</v>
      </c>
      <c r="G3547">
        <v>-317.01310000000001</v>
      </c>
      <c r="H3547" s="1">
        <v>4.0156460000000001E-6</v>
      </c>
      <c r="I3547">
        <v>211.09299999999999</v>
      </c>
      <c r="J3547">
        <v>-361.74829999999997</v>
      </c>
      <c r="K3547">
        <v>1.109121</v>
      </c>
      <c r="L3547">
        <v>214.42869999999999</v>
      </c>
      <c r="M3547">
        <v>0.99994850000000002</v>
      </c>
      <c r="N3547">
        <v>-9.5515019999999999E-3</v>
      </c>
      <c r="O3547">
        <v>-3.4642679999999999E-3</v>
      </c>
      <c r="P3547">
        <v>0.98655859999999995</v>
      </c>
      <c r="Q3547">
        <v>0.16006970000000001</v>
      </c>
      <c r="R3547">
        <v>3.2860880000000002E-2</v>
      </c>
      <c r="S3547">
        <v>3.060425</v>
      </c>
      <c r="T3547">
        <v>-7.5160149999999995E-2</v>
      </c>
      <c r="U3547">
        <v>-0.2261505</v>
      </c>
      <c r="V3547">
        <v>-3.6233750000000002E-2</v>
      </c>
      <c r="W3547">
        <v>0.1694938</v>
      </c>
      <c r="X3547">
        <v>0.98486499999999999</v>
      </c>
      <c r="Y3547">
        <v>7.0209869999999994E-2</v>
      </c>
      <c r="Z3547">
        <v>-1.1447639999999999E-3</v>
      </c>
      <c r="AA3547">
        <v>0.99753159999999996</v>
      </c>
      <c r="AB3547">
        <v>43</v>
      </c>
      <c r="AC3547">
        <v>44.735199999999899</v>
      </c>
      <c r="AD3547">
        <v>-1.1091169843539901</v>
      </c>
      <c r="AE3547">
        <v>-3.3357000000000001</v>
      </c>
      <c r="AF3547">
        <v>3.1787550644793701</v>
      </c>
      <c r="AG3547">
        <v>-1.1091169843539901</v>
      </c>
      <c r="AH3547">
        <v>44.719151410597597</v>
      </c>
      <c r="AI3547">
        <v>91.417174829459199</v>
      </c>
      <c r="AJ3547">
        <v>85.934103855968402</v>
      </c>
      <c r="AK3547">
        <v>44.8457035526135</v>
      </c>
      <c r="AL3547">
        <v>80.241611665845795</v>
      </c>
      <c r="AM3547">
        <v>92.106994398507297</v>
      </c>
      <c r="AN3547">
        <v>1.0000000505512501</v>
      </c>
    </row>
    <row r="3548" spans="1:40" x14ac:dyDescent="0.25">
      <c r="A3548" t="str">
        <f>"20190304155703292"</f>
        <v>20190304155703292</v>
      </c>
      <c r="B3548" t="str">
        <f>"1551686223288110"</f>
        <v>1551686223288110</v>
      </c>
      <c r="C3548" t="s">
        <v>40</v>
      </c>
      <c r="D3548">
        <v>4.7835580000000002</v>
      </c>
      <c r="E3548">
        <v>0.53483099999999995</v>
      </c>
      <c r="F3548" t="s">
        <v>64</v>
      </c>
      <c r="G3548">
        <v>-319.32060000000001</v>
      </c>
      <c r="H3548" s="1">
        <v>5.0389199999999999E-6</v>
      </c>
      <c r="I3548">
        <v>211.55879999999999</v>
      </c>
      <c r="J3548">
        <v>-361.3177</v>
      </c>
      <c r="K3548">
        <v>1.1091390000000001</v>
      </c>
      <c r="L3548">
        <v>214.4272</v>
      </c>
      <c r="M3548">
        <v>0.99994839999999996</v>
      </c>
      <c r="N3548">
        <v>-9.5615600000000002E-3</v>
      </c>
      <c r="O3548">
        <v>-3.4796229999999998E-3</v>
      </c>
      <c r="P3548">
        <v>0.98645159999999998</v>
      </c>
      <c r="Q3548">
        <v>0.1607971</v>
      </c>
      <c r="R3548">
        <v>3.2528500000000002E-2</v>
      </c>
      <c r="S3548">
        <v>3.06073</v>
      </c>
      <c r="T3548">
        <v>-8.0011369999999998E-2</v>
      </c>
      <c r="U3548">
        <v>-0.2070313</v>
      </c>
      <c r="V3548">
        <v>-3.5922929999999999E-2</v>
      </c>
      <c r="W3548">
        <v>0.17022880000000001</v>
      </c>
      <c r="X3548">
        <v>0.9847496</v>
      </c>
      <c r="Y3548">
        <v>6.3985410000000006E-2</v>
      </c>
      <c r="Z3548">
        <v>-1.083952E-3</v>
      </c>
      <c r="AA3548">
        <v>0.99795029999999996</v>
      </c>
      <c r="AB3548">
        <v>43</v>
      </c>
      <c r="AC3548">
        <v>41.997099999999897</v>
      </c>
      <c r="AD3548">
        <v>-1.10913396108</v>
      </c>
      <c r="AE3548">
        <v>-2.8683999999999998</v>
      </c>
      <c r="AF3548">
        <v>2.72035333042427</v>
      </c>
      <c r="AG3548">
        <v>-1.10913396108</v>
      </c>
      <c r="AH3548">
        <v>41.977684645283802</v>
      </c>
      <c r="AI3548">
        <v>91.510349689527402</v>
      </c>
      <c r="AJ3548">
        <v>86.2921461410765</v>
      </c>
      <c r="AK3548">
        <v>42.080357752339303</v>
      </c>
      <c r="AL3548">
        <v>80.198878141918101</v>
      </c>
      <c r="AM3548">
        <v>92.089180860950805</v>
      </c>
      <c r="AN3548">
        <v>1.0000000379746901</v>
      </c>
    </row>
    <row r="3549" spans="1:40" x14ac:dyDescent="0.25">
      <c r="A3549" t="str">
        <f>"20190304155703313"</f>
        <v>20190304155703313</v>
      </c>
      <c r="B3549" t="str">
        <f>"1551686223308606"</f>
        <v>1551686223308606</v>
      </c>
      <c r="C3549" t="s">
        <v>40</v>
      </c>
      <c r="D3549">
        <v>4.7876300000000001</v>
      </c>
      <c r="E3549">
        <v>0.53431289999999998</v>
      </c>
      <c r="F3549" t="s">
        <v>64</v>
      </c>
      <c r="G3549">
        <v>-318.71570000000003</v>
      </c>
      <c r="H3549" s="1">
        <v>4.770679E-6</v>
      </c>
      <c r="I3549">
        <v>211.60980000000001</v>
      </c>
      <c r="J3549">
        <v>-360.89170000000001</v>
      </c>
      <c r="K3549">
        <v>1.109154</v>
      </c>
      <c r="L3549">
        <v>214.42570000000001</v>
      </c>
      <c r="M3549">
        <v>0.99994810000000001</v>
      </c>
      <c r="N3549">
        <v>-9.5717519999999993E-3</v>
      </c>
      <c r="O3549">
        <v>-3.4863199999999998E-3</v>
      </c>
      <c r="P3549">
        <v>0.98632819999999999</v>
      </c>
      <c r="Q3549">
        <v>0.16139479999999901</v>
      </c>
      <c r="R3549">
        <v>3.3289939999999997E-2</v>
      </c>
      <c r="S3549">
        <v>3.060883</v>
      </c>
      <c r="T3549">
        <v>-7.9689259999999998E-2</v>
      </c>
      <c r="U3549">
        <v>-0.20242309999999999</v>
      </c>
      <c r="V3549">
        <v>-3.6695209999999999E-2</v>
      </c>
      <c r="W3549">
        <v>0.1708344</v>
      </c>
      <c r="X3549">
        <v>0.98461620000000005</v>
      </c>
      <c r="Y3549">
        <v>6.2480460000000002E-2</v>
      </c>
      <c r="Z3549">
        <v>-1.0544160000000001E-3</v>
      </c>
      <c r="AA3549">
        <v>0.99804559999999998</v>
      </c>
      <c r="AB3549">
        <v>43</v>
      </c>
      <c r="AC3549">
        <v>42.175999999999902</v>
      </c>
      <c r="AD3549">
        <v>-1.1091492293209999</v>
      </c>
      <c r="AE3549">
        <v>-2.8158999999999899</v>
      </c>
      <c r="AF3549">
        <v>2.6670008275683199</v>
      </c>
      <c r="AG3549">
        <v>-1.1091492293209999</v>
      </c>
      <c r="AH3549">
        <v>42.156535556444503</v>
      </c>
      <c r="AI3549">
        <v>91.504113302994597</v>
      </c>
      <c r="AJ3549">
        <v>86.380050843492299</v>
      </c>
      <c r="AK3549">
        <v>42.255373570102499</v>
      </c>
      <c r="AL3549">
        <v>80.163663592142797</v>
      </c>
      <c r="AM3549">
        <v>92.134342358275106</v>
      </c>
      <c r="AN3549">
        <v>0.99999999598137201</v>
      </c>
    </row>
    <row r="3550" spans="1:40" x14ac:dyDescent="0.25">
      <c r="A3550" t="str">
        <f>"20190304155703335"</f>
        <v>20190304155703335</v>
      </c>
      <c r="B3550" t="str">
        <f>"1551686223328129"</f>
        <v>1551686223328129</v>
      </c>
      <c r="C3550" t="s">
        <v>40</v>
      </c>
      <c r="D3550">
        <v>4.8446860000000003</v>
      </c>
      <c r="E3550">
        <v>0.53396119999999903</v>
      </c>
      <c r="F3550" t="s">
        <v>64</v>
      </c>
      <c r="G3550">
        <v>-318.87900000000002</v>
      </c>
      <c r="H3550" s="1">
        <v>4.843106E-6</v>
      </c>
      <c r="I3550">
        <v>211.73070000000001</v>
      </c>
      <c r="J3550">
        <v>-360.4547</v>
      </c>
      <c r="K3550">
        <v>1.109167</v>
      </c>
      <c r="L3550">
        <v>214.42420000000001</v>
      </c>
      <c r="M3550">
        <v>0.99994819999999995</v>
      </c>
      <c r="N3550">
        <v>-9.5819530000000007E-3</v>
      </c>
      <c r="O3550">
        <v>-3.489462E-3</v>
      </c>
      <c r="P3550">
        <v>0.98624339999999999</v>
      </c>
      <c r="Q3550">
        <v>0.16187480000000001</v>
      </c>
      <c r="R3550">
        <v>3.3478580000000001E-2</v>
      </c>
      <c r="S3550">
        <v>3.0614319999999999</v>
      </c>
      <c r="T3550">
        <v>-8.0822829999999998E-2</v>
      </c>
      <c r="U3550">
        <v>-0.19638059999999999</v>
      </c>
      <c r="V3550">
        <v>-3.6891100000000003E-2</v>
      </c>
      <c r="W3550">
        <v>0.17132249999999999</v>
      </c>
      <c r="X3550">
        <v>0.98452410000000001</v>
      </c>
      <c r="Y3550">
        <v>6.0504090000000003E-2</v>
      </c>
      <c r="Z3550">
        <v>-1.0293419999999999E-3</v>
      </c>
      <c r="AA3550">
        <v>0.99816740000000004</v>
      </c>
      <c r="AB3550">
        <v>43</v>
      </c>
      <c r="AC3550">
        <v>41.575699999999898</v>
      </c>
      <c r="AD3550">
        <v>-1.109162156894</v>
      </c>
      <c r="AE3550">
        <v>-2.6934999999999998</v>
      </c>
      <c r="AF3550">
        <v>2.5465952479315299</v>
      </c>
      <c r="AG3550">
        <v>-1.109162156894</v>
      </c>
      <c r="AH3550">
        <v>41.555393841539797</v>
      </c>
      <c r="AI3550">
        <v>91.526066973837601</v>
      </c>
      <c r="AJ3550">
        <v>86.493188873296702</v>
      </c>
      <c r="AK3550">
        <v>41.648122951371498</v>
      </c>
      <c r="AL3550">
        <v>80.135279377967393</v>
      </c>
      <c r="AM3550">
        <v>92.145926033946694</v>
      </c>
      <c r="AN3550">
        <v>1.00000002787313</v>
      </c>
    </row>
    <row r="3551" spans="1:40" x14ac:dyDescent="0.25">
      <c r="A3551" t="str">
        <f>"20190304155703359"</f>
        <v>20190304155703359</v>
      </c>
      <c r="B3551" t="str">
        <f>"1551686223347646"</f>
        <v>1551686223347646</v>
      </c>
      <c r="C3551" t="s">
        <v>40</v>
      </c>
      <c r="D3551">
        <v>4.798603</v>
      </c>
      <c r="E3551">
        <v>0.53366219999999998</v>
      </c>
      <c r="F3551" t="s">
        <v>64</v>
      </c>
      <c r="G3551">
        <v>-318.52640000000002</v>
      </c>
      <c r="H3551" s="1">
        <v>4.6867590000000001E-6</v>
      </c>
      <c r="I3551">
        <v>211.7792</v>
      </c>
      <c r="J3551">
        <v>-360.01209999999998</v>
      </c>
      <c r="K3551">
        <v>1.1091789999999999</v>
      </c>
      <c r="L3551">
        <v>214.42259999999999</v>
      </c>
      <c r="M3551">
        <v>0.99994799999999995</v>
      </c>
      <c r="N3551">
        <v>-9.5919999999999998E-3</v>
      </c>
      <c r="O3551">
        <v>-3.4911849999999999E-3</v>
      </c>
      <c r="P3551">
        <v>0.98614749999999995</v>
      </c>
      <c r="Q3551">
        <v>0.1623416</v>
      </c>
      <c r="R3551">
        <v>3.4037520000000002E-2</v>
      </c>
      <c r="S3551">
        <v>3.0617070000000002</v>
      </c>
      <c r="T3551">
        <v>-8.0993770000000007E-2</v>
      </c>
      <c r="U3551">
        <v>-0.19314580000000001</v>
      </c>
      <c r="V3551">
        <v>-3.7455530000000001E-2</v>
      </c>
      <c r="W3551">
        <v>0.17179749999999999</v>
      </c>
      <c r="X3551">
        <v>0.98441999999999996</v>
      </c>
      <c r="Y3551">
        <v>5.9446640000000002E-2</v>
      </c>
      <c r="Z3551">
        <v>-1.012048E-3</v>
      </c>
      <c r="AA3551">
        <v>0.99823099999999998</v>
      </c>
      <c r="AB3551">
        <v>43</v>
      </c>
      <c r="AC3551">
        <v>41.485699999999902</v>
      </c>
      <c r="AD3551">
        <v>-1.1091743132409999</v>
      </c>
      <c r="AE3551">
        <v>-2.6433999999999802</v>
      </c>
      <c r="AF3551">
        <v>2.49676544062934</v>
      </c>
      <c r="AG3551">
        <v>-1.1091743132409999</v>
      </c>
      <c r="AH3551">
        <v>41.465155494782501</v>
      </c>
      <c r="AI3551">
        <v>91.529502098723199</v>
      </c>
      <c r="AJ3551">
        <v>86.554176480211098</v>
      </c>
      <c r="AK3551">
        <v>41.555062574001298</v>
      </c>
      <c r="AL3551">
        <v>80.107654196857098</v>
      </c>
      <c r="AM3551">
        <v>92.178957249744002</v>
      </c>
      <c r="AN3551">
        <v>1.0000000170669101</v>
      </c>
    </row>
    <row r="3552" spans="1:40" x14ac:dyDescent="0.25">
      <c r="A3552" t="str">
        <f>"20190304155703380"</f>
        <v>20190304155703380</v>
      </c>
      <c r="B3552" t="str">
        <f>"1551686223368142"</f>
        <v>1551686223368142</v>
      </c>
      <c r="C3552" t="s">
        <v>40</v>
      </c>
      <c r="D3552">
        <v>4.8113270000000004</v>
      </c>
      <c r="E3552">
        <v>0.53370109999999904</v>
      </c>
      <c r="F3552" t="s">
        <v>64</v>
      </c>
      <c r="G3552">
        <v>-318.62880000000001</v>
      </c>
      <c r="H3552" s="1">
        <v>4.7321760000000004E-6</v>
      </c>
      <c r="I3552">
        <v>211.8621</v>
      </c>
      <c r="J3552">
        <v>-359.60149999999999</v>
      </c>
      <c r="K3552">
        <v>1.1091869999999999</v>
      </c>
      <c r="L3552">
        <v>214.4212</v>
      </c>
      <c r="M3552">
        <v>0.99994780000000005</v>
      </c>
      <c r="N3552">
        <v>-9.6012300000000005E-3</v>
      </c>
      <c r="O3552">
        <v>-3.4929230000000002E-3</v>
      </c>
      <c r="P3552">
        <v>0.98609899999999995</v>
      </c>
      <c r="Q3552">
        <v>0.1625597</v>
      </c>
      <c r="R3552">
        <v>3.4395799999999997E-2</v>
      </c>
      <c r="S3552">
        <v>3.0622250000000002</v>
      </c>
      <c r="T3552">
        <v>-8.2075120000000001E-2</v>
      </c>
      <c r="U3552">
        <v>-0.18946840000000001</v>
      </c>
      <c r="V3552">
        <v>-3.7818259999999999E-2</v>
      </c>
      <c r="W3552">
        <v>0.17202339999999999</v>
      </c>
      <c r="X3552">
        <v>0.98436670000000004</v>
      </c>
      <c r="Y3552">
        <v>5.824008E-2</v>
      </c>
      <c r="Z3552">
        <v>-9.9952469999999992E-4</v>
      </c>
      <c r="AA3552">
        <v>0.99830209999999997</v>
      </c>
      <c r="AB3552">
        <v>43</v>
      </c>
      <c r="AC3552">
        <v>40.972699999999897</v>
      </c>
      <c r="AD3552">
        <v>-1.109182267824</v>
      </c>
      <c r="AE3552">
        <v>-2.5590999999999999</v>
      </c>
      <c r="AF3552">
        <v>2.4142009249621799</v>
      </c>
      <c r="AG3552">
        <v>-1.109182267824</v>
      </c>
      <c r="AH3552">
        <v>40.951494394099797</v>
      </c>
      <c r="AI3552">
        <v>91.548804588019607</v>
      </c>
      <c r="AJ3552">
        <v>86.626164316040203</v>
      </c>
      <c r="AK3552">
        <v>41.037586972424798</v>
      </c>
      <c r="AL3552">
        <v>80.094515663320493</v>
      </c>
      <c r="AM3552">
        <v>92.200157262342202</v>
      </c>
      <c r="AN3552">
        <v>1.0000000355029299</v>
      </c>
    </row>
    <row r="3553" spans="1:40" x14ac:dyDescent="0.25">
      <c r="A3553" t="str">
        <f>"20190304155703403"</f>
        <v>20190304155703403</v>
      </c>
      <c r="B3553" t="str">
        <f>"1551686223398398"</f>
        <v>1551686223398398</v>
      </c>
      <c r="C3553" t="s">
        <v>40</v>
      </c>
      <c r="D3553">
        <v>4.8184399999999998</v>
      </c>
      <c r="E3553">
        <v>0.53364659999999997</v>
      </c>
      <c r="F3553" t="s">
        <v>64</v>
      </c>
      <c r="G3553">
        <v>-318.9796</v>
      </c>
      <c r="H3553" s="1">
        <v>4.8877270000000003E-6</v>
      </c>
      <c r="I3553">
        <v>211.91329999999999</v>
      </c>
      <c r="J3553">
        <v>-359.16719999999998</v>
      </c>
      <c r="K3553">
        <v>1.1091899999999999</v>
      </c>
      <c r="L3553">
        <v>214.4196</v>
      </c>
      <c r="M3553">
        <v>0.99994769999999999</v>
      </c>
      <c r="N3553">
        <v>-9.6128059999999998E-3</v>
      </c>
      <c r="O3553">
        <v>-3.4946790000000001E-3</v>
      </c>
      <c r="P3553">
        <v>0.98607060000000002</v>
      </c>
      <c r="Q3553">
        <v>0.1626263</v>
      </c>
      <c r="R3553">
        <v>3.4888860000000001E-2</v>
      </c>
      <c r="S3553">
        <v>3.0627140000000002</v>
      </c>
      <c r="T3553">
        <v>-8.3627580000000007E-2</v>
      </c>
      <c r="U3553">
        <v>-0.1890869</v>
      </c>
      <c r="V3553">
        <v>-3.831623E-2</v>
      </c>
      <c r="W3553">
        <v>0.17210049999999999</v>
      </c>
      <c r="X3553">
        <v>0.98433389999999998</v>
      </c>
      <c r="Y3553">
        <v>5.8103809999999999E-2</v>
      </c>
      <c r="Z3553">
        <v>-1.010223E-3</v>
      </c>
      <c r="AA3553">
        <v>0.99831000000000003</v>
      </c>
      <c r="AB3553">
        <v>43</v>
      </c>
      <c r="AC3553">
        <v>40.187599999999897</v>
      </c>
      <c r="AD3553">
        <v>-1.1091851122730001</v>
      </c>
      <c r="AE3553">
        <v>-2.5063</v>
      </c>
      <c r="AF3553">
        <v>2.36404156542247</v>
      </c>
      <c r="AG3553">
        <v>-1.1091851122730001</v>
      </c>
      <c r="AH3553">
        <v>40.1656352567026</v>
      </c>
      <c r="AI3553">
        <v>91.579105350917402</v>
      </c>
      <c r="AJ3553">
        <v>86.631610074765902</v>
      </c>
      <c r="AK3553">
        <v>40.250431546889097</v>
      </c>
      <c r="AL3553">
        <v>80.090030635047498</v>
      </c>
      <c r="AM3553">
        <v>92.229172888645394</v>
      </c>
      <c r="AN3553">
        <v>0.99999997113543604</v>
      </c>
    </row>
    <row r="3554" spans="1:40" x14ac:dyDescent="0.25">
      <c r="A3554" t="str">
        <f>"20190304155703424"</f>
        <v>20190304155703424</v>
      </c>
      <c r="B3554" t="str">
        <f>"1551686223417918"</f>
        <v>1551686223417918</v>
      </c>
      <c r="C3554" t="s">
        <v>40</v>
      </c>
      <c r="D3554">
        <v>4.786384</v>
      </c>
      <c r="E3554">
        <v>0.5337056</v>
      </c>
      <c r="F3554" t="s">
        <v>64</v>
      </c>
      <c r="G3554">
        <v>-319.46710000000002</v>
      </c>
      <c r="H3554" s="1">
        <v>5.1039109999999996E-6</v>
      </c>
      <c r="I3554">
        <v>211.9913</v>
      </c>
      <c r="J3554">
        <v>-358.73779999999999</v>
      </c>
      <c r="K3554">
        <v>1.1092</v>
      </c>
      <c r="L3554">
        <v>214.41810000000001</v>
      </c>
      <c r="M3554">
        <v>0.99994760000000005</v>
      </c>
      <c r="N3554">
        <v>-9.6277199999999993E-3</v>
      </c>
      <c r="O3554">
        <v>-3.4970610000000001E-3</v>
      </c>
      <c r="P3554">
        <v>0.98604309999999995</v>
      </c>
      <c r="Q3554">
        <v>0.162655299999999</v>
      </c>
      <c r="R3554">
        <v>3.5531920000000002E-2</v>
      </c>
      <c r="S3554">
        <v>3.0630799999999998</v>
      </c>
      <c r="T3554">
        <v>-8.5579630000000004E-2</v>
      </c>
      <c r="U3554">
        <v>-0.18736269999999999</v>
      </c>
      <c r="V3554">
        <v>-3.8964119999999998E-2</v>
      </c>
      <c r="W3554">
        <v>0.17214370000000001</v>
      </c>
      <c r="X3554">
        <v>0.98430099999999998</v>
      </c>
      <c r="Y3554">
        <v>5.753337E-2</v>
      </c>
      <c r="Z3554">
        <v>-1.0161460000000001E-3</v>
      </c>
      <c r="AA3554">
        <v>0.99834310000000004</v>
      </c>
      <c r="AB3554">
        <v>43</v>
      </c>
      <c r="AC3554">
        <v>39.270699999999898</v>
      </c>
      <c r="AD3554">
        <v>-1.1091948960889999</v>
      </c>
      <c r="AE3554">
        <v>-2.4268000000000098</v>
      </c>
      <c r="AF3554">
        <v>2.2876287074812698</v>
      </c>
      <c r="AG3554">
        <v>-1.1091948960889999</v>
      </c>
      <c r="AH3554">
        <v>39.247755288815902</v>
      </c>
      <c r="AI3554">
        <v>91.616084265939406</v>
      </c>
      <c r="AJ3554">
        <v>86.664182737915496</v>
      </c>
      <c r="AK3554">
        <v>39.330012123460897</v>
      </c>
      <c r="AL3554">
        <v>80.087518820366199</v>
      </c>
      <c r="AM3554">
        <v>92.266902717701299</v>
      </c>
      <c r="AN3554">
        <v>1.00000005734903</v>
      </c>
    </row>
    <row r="3555" spans="1:40" x14ac:dyDescent="0.25">
      <c r="A3555" t="str">
        <f>"20190304155703448"</f>
        <v>20190304155703448</v>
      </c>
      <c r="B3555" t="str">
        <f>"1551686223438414"</f>
        <v>1551686223438414</v>
      </c>
      <c r="C3555" t="s">
        <v>40</v>
      </c>
      <c r="D3555">
        <v>4.7760530000000001</v>
      </c>
      <c r="E3555">
        <v>0.53380039999999995</v>
      </c>
      <c r="F3555" t="s">
        <v>64</v>
      </c>
      <c r="G3555">
        <v>-319.60849999999999</v>
      </c>
      <c r="H3555" s="1">
        <v>5.1666120000000001E-6</v>
      </c>
      <c r="I3555">
        <v>212.04249999999999</v>
      </c>
      <c r="J3555">
        <v>-358.30070000000001</v>
      </c>
      <c r="K3555">
        <v>1.1091979999999999</v>
      </c>
      <c r="L3555">
        <v>214.41659999999999</v>
      </c>
      <c r="M3555">
        <v>0.99994740000000004</v>
      </c>
      <c r="N3555">
        <v>-9.6453019999999997E-3</v>
      </c>
      <c r="O3555">
        <v>-3.4998249999999998E-3</v>
      </c>
      <c r="P3555">
        <v>0.9859002</v>
      </c>
      <c r="Q3555">
        <v>0.16346079999999999</v>
      </c>
      <c r="R3555">
        <v>3.5796710000000002E-2</v>
      </c>
      <c r="S3555">
        <v>3.063507</v>
      </c>
      <c r="T3555">
        <v>-8.6840870000000001E-2</v>
      </c>
      <c r="U3555">
        <v>-0.1859894</v>
      </c>
      <c r="V3555">
        <v>-3.9233419999999998E-2</v>
      </c>
      <c r="W3555">
        <v>0.17296420000000001</v>
      </c>
      <c r="X3555">
        <v>0.98414639999999998</v>
      </c>
      <c r="Y3555">
        <v>5.707574E-2</v>
      </c>
      <c r="Z3555">
        <v>-1.0182710000000001E-3</v>
      </c>
      <c r="AA3555">
        <v>0.99836930000000002</v>
      </c>
      <c r="AB3555">
        <v>43</v>
      </c>
      <c r="AC3555">
        <v>38.6922</v>
      </c>
      <c r="AD3555">
        <v>-1.1091928333879999</v>
      </c>
      <c r="AE3555">
        <v>-2.3740999999999901</v>
      </c>
      <c r="AF3555">
        <v>2.23683189759595</v>
      </c>
      <c r="AG3555">
        <v>-1.1091928333879999</v>
      </c>
      <c r="AH3555">
        <v>38.668613574415303</v>
      </c>
      <c r="AI3555">
        <v>91.640314074266001</v>
      </c>
      <c r="AJ3555">
        <v>86.689346948913098</v>
      </c>
      <c r="AK3555">
        <v>38.749134202549598</v>
      </c>
      <c r="AL3555">
        <v>80.039791216638207</v>
      </c>
      <c r="AM3555">
        <v>92.282912058801301</v>
      </c>
      <c r="AN3555">
        <v>1.0000000061797401</v>
      </c>
    </row>
    <row r="3556" spans="1:40" x14ac:dyDescent="0.25">
      <c r="A3556" t="str">
        <f>"20190304155703469"</f>
        <v>20190304155703469</v>
      </c>
      <c r="B3556" t="str">
        <f>"1551686223457934"</f>
        <v>1551686223457934</v>
      </c>
      <c r="C3556" t="s">
        <v>40</v>
      </c>
      <c r="D3556">
        <v>4.79467</v>
      </c>
      <c r="E3556">
        <v>0.53387240000000002</v>
      </c>
      <c r="F3556" t="s">
        <v>64</v>
      </c>
      <c r="G3556">
        <v>-318.43189999999998</v>
      </c>
      <c r="H3556" s="1">
        <v>4.644832E-6</v>
      </c>
      <c r="I3556">
        <v>211.99469999999999</v>
      </c>
      <c r="J3556">
        <v>-357.88529999999997</v>
      </c>
      <c r="K3556">
        <v>1.109213</v>
      </c>
      <c r="L3556">
        <v>214.4151</v>
      </c>
      <c r="M3556">
        <v>0.99994720000000004</v>
      </c>
      <c r="N3556">
        <v>-9.6624039999999994E-3</v>
      </c>
      <c r="O3556">
        <v>-3.4994940000000001E-3</v>
      </c>
      <c r="P3556">
        <v>0.98588779999999998</v>
      </c>
      <c r="Q3556">
        <v>0.1635402</v>
      </c>
      <c r="R3556">
        <v>3.5773149999999997E-2</v>
      </c>
      <c r="S3556">
        <v>3.0637819999999998</v>
      </c>
      <c r="T3556">
        <v>-8.523762E-2</v>
      </c>
      <c r="U3556">
        <v>-0.18611150000000001</v>
      </c>
      <c r="V3556">
        <v>-3.9211639999999999E-2</v>
      </c>
      <c r="W3556">
        <v>0.17305999999999999</v>
      </c>
      <c r="X3556">
        <v>0.98413039999999996</v>
      </c>
      <c r="Y3556">
        <v>5.7111200000000001E-2</v>
      </c>
      <c r="Z3556">
        <v>-1.0063419999999999E-3</v>
      </c>
      <c r="AA3556">
        <v>0.99836729999999996</v>
      </c>
      <c r="AB3556">
        <v>43</v>
      </c>
      <c r="AC3556">
        <v>39.453399999999903</v>
      </c>
      <c r="AD3556">
        <v>-1.1092083551680001</v>
      </c>
      <c r="AE3556">
        <v>-2.4203999999999999</v>
      </c>
      <c r="AF3556">
        <v>2.2805159920090401</v>
      </c>
      <c r="AG3556">
        <v>-1.1092083551680001</v>
      </c>
      <c r="AH3556">
        <v>39.430579144265003</v>
      </c>
      <c r="AI3556">
        <v>91.6086565090894</v>
      </c>
      <c r="AJ3556">
        <v>86.689915684157597</v>
      </c>
      <c r="AK3556">
        <v>39.512044594239001</v>
      </c>
      <c r="AL3556">
        <v>80.034217977840399</v>
      </c>
      <c r="AM3556">
        <v>92.281683120968594</v>
      </c>
      <c r="AN3556">
        <v>0.99999998025782399</v>
      </c>
    </row>
    <row r="3557" spans="1:40" x14ac:dyDescent="0.25">
      <c r="A3557" t="str">
        <f>"20190304155703493"</f>
        <v>20190304155703493</v>
      </c>
      <c r="B3557" t="str">
        <f>"1551686223488190"</f>
        <v>1551686223488190</v>
      </c>
      <c r="C3557" t="s">
        <v>40</v>
      </c>
      <c r="D3557">
        <v>4.7926510000000002</v>
      </c>
      <c r="E3557">
        <v>0.53420990000000002</v>
      </c>
      <c r="F3557" t="s">
        <v>64</v>
      </c>
      <c r="G3557">
        <v>-317.93729999999999</v>
      </c>
      <c r="H3557" s="1">
        <v>4.4255089999999998E-6</v>
      </c>
      <c r="I3557">
        <v>211.97800000000001</v>
      </c>
      <c r="J3557">
        <v>-357.43220000000002</v>
      </c>
      <c r="K3557">
        <v>1.109218</v>
      </c>
      <c r="L3557">
        <v>214.4136</v>
      </c>
      <c r="M3557">
        <v>0.99994720000000004</v>
      </c>
      <c r="N3557">
        <v>-9.6806900000000005E-3</v>
      </c>
      <c r="O3557">
        <v>-3.4897159999999999E-3</v>
      </c>
      <c r="P3557">
        <v>0.98589990000000005</v>
      </c>
      <c r="Q3557">
        <v>0.16351550000000001</v>
      </c>
      <c r="R3557">
        <v>3.5561199999999897E-2</v>
      </c>
      <c r="S3557">
        <v>3.0638429999999999</v>
      </c>
      <c r="T3557">
        <v>-8.5071560000000004E-2</v>
      </c>
      <c r="U3557">
        <v>-0.18692020000000001</v>
      </c>
      <c r="V3557">
        <v>-3.8993010000000002E-2</v>
      </c>
      <c r="W3557">
        <v>0.17305299999999901</v>
      </c>
      <c r="X3557">
        <v>0.98414029999999997</v>
      </c>
      <c r="Y3557">
        <v>5.7382240000000001E-2</v>
      </c>
      <c r="Z3557">
        <v>-1.010803E-3</v>
      </c>
      <c r="AA3557">
        <v>0.99835180000000001</v>
      </c>
      <c r="AB3557">
        <v>43</v>
      </c>
      <c r="AC3557">
        <v>39.494900000000001</v>
      </c>
      <c r="AD3557">
        <v>-1.1092135744910001</v>
      </c>
      <c r="AE3557">
        <v>-2.43560000000002</v>
      </c>
      <c r="AF3557">
        <v>2.2959486396613999</v>
      </c>
      <c r="AG3557">
        <v>-1.1092135744910001</v>
      </c>
      <c r="AH3557">
        <v>39.472143101526299</v>
      </c>
      <c r="AI3557">
        <v>91.606940402965094</v>
      </c>
      <c r="AJ3557">
        <v>86.671067221586199</v>
      </c>
      <c r="AK3557">
        <v>39.554415884161003</v>
      </c>
      <c r="AL3557">
        <v>80.034625017264005</v>
      </c>
      <c r="AM3557">
        <v>92.268951809322601</v>
      </c>
      <c r="AN3557">
        <v>0.99999996286097403</v>
      </c>
    </row>
    <row r="3558" spans="1:40" x14ac:dyDescent="0.25">
      <c r="A3558" t="str">
        <f>"20190304155703514"</f>
        <v>20190304155703514</v>
      </c>
      <c r="B3558" t="str">
        <f>"1551686223507710"</f>
        <v>1551686223507710</v>
      </c>
      <c r="C3558" t="s">
        <v>40</v>
      </c>
      <c r="D3558">
        <v>4.7572960000000002</v>
      </c>
      <c r="E3558">
        <v>0.53441359999999904</v>
      </c>
      <c r="F3558" t="s">
        <v>64</v>
      </c>
      <c r="G3558">
        <v>-318.04559999999998</v>
      </c>
      <c r="H3558" s="1">
        <v>4.4735149999999998E-6</v>
      </c>
      <c r="I3558">
        <v>211.9614</v>
      </c>
      <c r="J3558">
        <v>-357.00990000000002</v>
      </c>
      <c r="K3558">
        <v>1.109235</v>
      </c>
      <c r="L3558">
        <v>214.41210000000001</v>
      </c>
      <c r="M3558">
        <v>0.99994709999999998</v>
      </c>
      <c r="N3558">
        <v>-9.6971090000000006E-3</v>
      </c>
      <c r="O3558">
        <v>-3.4667830000000002E-3</v>
      </c>
      <c r="P3558">
        <v>0.98594579999999998</v>
      </c>
      <c r="Q3558">
        <v>0.163276</v>
      </c>
      <c r="R3558">
        <v>3.5389299999999999E-2</v>
      </c>
      <c r="S3558">
        <v>3.064117</v>
      </c>
      <c r="T3558">
        <v>-8.6292270000000004E-2</v>
      </c>
      <c r="U3558">
        <v>-0.1907654</v>
      </c>
      <c r="V3558">
        <v>-3.8804030000000003E-2</v>
      </c>
      <c r="W3558">
        <v>0.17282890000000001</v>
      </c>
      <c r="X3558">
        <v>0.98418720000000004</v>
      </c>
      <c r="Y3558">
        <v>5.8646360000000002E-2</v>
      </c>
      <c r="Z3558">
        <v>-1.0456179999999999E-3</v>
      </c>
      <c r="AA3558">
        <v>0.99827829999999995</v>
      </c>
      <c r="AB3558">
        <v>43</v>
      </c>
      <c r="AC3558">
        <v>38.964300000000001</v>
      </c>
      <c r="AD3558">
        <v>-1.109230526485</v>
      </c>
      <c r="AE3558">
        <v>-2.4507000000000101</v>
      </c>
      <c r="AF3558">
        <v>2.3137304607099201</v>
      </c>
      <c r="AG3558">
        <v>-1.109230526485</v>
      </c>
      <c r="AH3558">
        <v>38.941127975758199</v>
      </c>
      <c r="AI3558">
        <v>91.628747166228607</v>
      </c>
      <c r="AJ3558">
        <v>86.599705054118104</v>
      </c>
      <c r="AK3558">
        <v>39.025570963537298</v>
      </c>
      <c r="AL3558">
        <v>80.047661936536798</v>
      </c>
      <c r="AM3558">
        <v>92.257859233360193</v>
      </c>
      <c r="AN3558">
        <v>1.00000001303164</v>
      </c>
    </row>
    <row r="3559" spans="1:40" x14ac:dyDescent="0.25">
      <c r="A3559" t="str">
        <f>"20190304155703536"</f>
        <v>20190304155703536</v>
      </c>
      <c r="B3559" t="str">
        <f>"1551686223527662"</f>
        <v>1551686223527662</v>
      </c>
      <c r="C3559" t="s">
        <v>40</v>
      </c>
      <c r="D3559">
        <v>4.7581179999999996</v>
      </c>
      <c r="E3559">
        <v>0.53792430000000002</v>
      </c>
      <c r="F3559" t="s">
        <v>64</v>
      </c>
      <c r="G3559">
        <v>-317.93860000000001</v>
      </c>
      <c r="H3559" s="1">
        <v>4.4260849999999997E-6</v>
      </c>
      <c r="I3559">
        <v>211.95099999999999</v>
      </c>
      <c r="J3559">
        <v>-356.57679999999999</v>
      </c>
      <c r="K3559">
        <v>1.1092489999999999</v>
      </c>
      <c r="L3559">
        <v>214.41059999999999</v>
      </c>
      <c r="M3559">
        <v>0.99994700000000003</v>
      </c>
      <c r="N3559">
        <v>-9.7142889999999992E-3</v>
      </c>
      <c r="O3559">
        <v>-3.4292760000000002E-3</v>
      </c>
      <c r="P3559">
        <v>0.98597239999999997</v>
      </c>
      <c r="Q3559">
        <v>0.16323750000000001</v>
      </c>
      <c r="R3559">
        <v>3.4815220000000001E-2</v>
      </c>
      <c r="S3559">
        <v>3.064117</v>
      </c>
      <c r="T3559">
        <v>-8.6989880000000006E-2</v>
      </c>
      <c r="U3559">
        <v>-0.1930084</v>
      </c>
      <c r="V3559">
        <v>-3.8197849999999998E-2</v>
      </c>
      <c r="W3559">
        <v>0.1728064</v>
      </c>
      <c r="X3559">
        <v>0.98421479999999995</v>
      </c>
      <c r="Y3559">
        <v>5.9410839999999999E-2</v>
      </c>
      <c r="Z3559">
        <v>-1.0673049999999999E-3</v>
      </c>
      <c r="AA3559">
        <v>0.99823300000000004</v>
      </c>
      <c r="AB3559">
        <v>43</v>
      </c>
      <c r="AC3559">
        <v>38.638199999999898</v>
      </c>
      <c r="AD3559">
        <v>-1.1092445739150001</v>
      </c>
      <c r="AE3559">
        <v>-2.4595999999999898</v>
      </c>
      <c r="AF3559">
        <v>2.3251696218324298</v>
      </c>
      <c r="AG3559">
        <v>-1.1092445739150001</v>
      </c>
      <c r="AH3559">
        <v>38.6147108917312</v>
      </c>
      <c r="AI3559">
        <v>91.642450411294604</v>
      </c>
      <c r="AJ3559">
        <v>86.554117854650698</v>
      </c>
      <c r="AK3559">
        <v>38.700552121992203</v>
      </c>
      <c r="AL3559">
        <v>80.048970151916194</v>
      </c>
      <c r="AM3559">
        <v>92.222561308413702</v>
      </c>
      <c r="AN3559">
        <v>0.99999995008230902</v>
      </c>
    </row>
    <row r="3560" spans="1:40" x14ac:dyDescent="0.25">
      <c r="A3560" t="str">
        <f>"20190304155703561"</f>
        <v>20190304155703561</v>
      </c>
      <c r="B3560" t="str">
        <f>"1551686223557918"</f>
        <v>1551686223557918</v>
      </c>
      <c r="C3560" t="s">
        <v>40</v>
      </c>
      <c r="D3560">
        <v>4.7276559999999996</v>
      </c>
      <c r="E3560">
        <v>0.53707450000000001</v>
      </c>
      <c r="F3560" t="s">
        <v>55</v>
      </c>
      <c r="G3560">
        <v>-324.30119999999999</v>
      </c>
      <c r="H3560" s="1">
        <v>7.5209439999999998E-7</v>
      </c>
      <c r="I3560">
        <v>212.06039999999999</v>
      </c>
      <c r="J3560">
        <v>-356.10430000000002</v>
      </c>
      <c r="K3560">
        <v>1.1092679999999999</v>
      </c>
      <c r="L3560">
        <v>214.4091</v>
      </c>
      <c r="M3560">
        <v>0.99994700000000003</v>
      </c>
      <c r="N3560">
        <v>-9.7363610000000007E-3</v>
      </c>
      <c r="O3560">
        <v>-3.3635900000000001E-3</v>
      </c>
      <c r="P3560">
        <v>0.9860141</v>
      </c>
      <c r="Q3560">
        <v>0.1629447</v>
      </c>
      <c r="R3560">
        <v>3.500926E-2</v>
      </c>
      <c r="S3560">
        <v>3.0680540000000001</v>
      </c>
      <c r="T3560">
        <v>-0.105443</v>
      </c>
      <c r="U3560">
        <v>-0.22340389999999999</v>
      </c>
      <c r="V3560">
        <v>-3.833582E-2</v>
      </c>
      <c r="W3560">
        <v>0.17253399999999999</v>
      </c>
      <c r="X3560">
        <v>0.9842573</v>
      </c>
      <c r="Y3560">
        <v>6.9217409999999993E-2</v>
      </c>
      <c r="Z3560">
        <v>-1.4423459999999999E-3</v>
      </c>
      <c r="AA3560">
        <v>0.99760059999999995</v>
      </c>
      <c r="AB3560">
        <v>43</v>
      </c>
      <c r="AC3560">
        <v>31.803100000000001</v>
      </c>
      <c r="AD3560">
        <v>-1.1092672479055901</v>
      </c>
      <c r="AE3560">
        <v>-2.3487</v>
      </c>
      <c r="AF3560">
        <v>2.2389999567401602</v>
      </c>
      <c r="AG3560">
        <v>-1.1092672479055901</v>
      </c>
      <c r="AH3560">
        <v>31.772377187098101</v>
      </c>
      <c r="AI3560">
        <v>91.994609723444199</v>
      </c>
      <c r="AJ3560">
        <v>85.969029268498304</v>
      </c>
      <c r="AK3560">
        <v>31.870480805171201</v>
      </c>
      <c r="AL3560">
        <v>80.064816271559295</v>
      </c>
      <c r="AM3560">
        <v>92.230484849840593</v>
      </c>
      <c r="AN3560">
        <v>1.0000000244271801</v>
      </c>
    </row>
    <row r="3561" spans="1:40" x14ac:dyDescent="0.25">
      <c r="A3561" t="str">
        <f>"20190304155703582"</f>
        <v>20190304155703582</v>
      </c>
      <c r="B3561" t="str">
        <f>"1551686223578414"</f>
        <v>1551686223578414</v>
      </c>
      <c r="C3561" t="s">
        <v>40</v>
      </c>
      <c r="D3561">
        <v>4.7608360000000003</v>
      </c>
      <c r="E3561">
        <v>0.53683780000000003</v>
      </c>
      <c r="F3561" t="s">
        <v>55</v>
      </c>
      <c r="G3561">
        <v>-322.95269999999999</v>
      </c>
      <c r="H3561" s="1">
        <v>3.449571E-8</v>
      </c>
      <c r="I3561">
        <v>212.07390000000001</v>
      </c>
      <c r="J3561">
        <v>-355.6902</v>
      </c>
      <c r="K3561">
        <v>1.109294</v>
      </c>
      <c r="L3561">
        <v>214.40770000000001</v>
      </c>
      <c r="M3561">
        <v>0.99994700000000003</v>
      </c>
      <c r="N3561">
        <v>-9.7577629999999992E-3</v>
      </c>
      <c r="O3561">
        <v>-3.2791640000000002E-3</v>
      </c>
      <c r="P3561">
        <v>0.98602480000000003</v>
      </c>
      <c r="Q3561">
        <v>0.1628675</v>
      </c>
      <c r="R3561">
        <v>3.5063219999999999E-2</v>
      </c>
      <c r="S3561">
        <v>3.0671689999999998</v>
      </c>
      <c r="T3561">
        <v>-0.10262880000000001</v>
      </c>
      <c r="U3561">
        <v>-0.2160492</v>
      </c>
      <c r="V3561">
        <v>-3.8315549999999997E-2</v>
      </c>
      <c r="W3561">
        <v>0.17247579999999901</v>
      </c>
      <c r="X3561">
        <v>0.98426820000000004</v>
      </c>
      <c r="Y3561">
        <v>6.6946309999999995E-2</v>
      </c>
      <c r="Z3561">
        <v>-1.367882E-3</v>
      </c>
      <c r="AA3561">
        <v>0.99775559999999996</v>
      </c>
      <c r="AB3561">
        <v>43</v>
      </c>
      <c r="AC3561">
        <v>32.737499999999997</v>
      </c>
      <c r="AD3561">
        <v>-1.1092939655042899</v>
      </c>
      <c r="AE3561">
        <v>-2.3337999999999899</v>
      </c>
      <c r="AF3561">
        <v>2.2238902367580602</v>
      </c>
      <c r="AG3561">
        <v>-1.1092939655042899</v>
      </c>
      <c r="AH3561">
        <v>32.707613569333397</v>
      </c>
      <c r="AI3561">
        <v>91.937997382597999</v>
      </c>
      <c r="AJ3561">
        <v>86.110272261978807</v>
      </c>
      <c r="AK3561">
        <v>32.80189333389</v>
      </c>
      <c r="AL3561">
        <v>80.0682007523164</v>
      </c>
      <c r="AM3561">
        <v>92.229282012069703</v>
      </c>
      <c r="AN3561">
        <v>0.99999993624433903</v>
      </c>
    </row>
    <row r="3562" spans="1:40" x14ac:dyDescent="0.25">
      <c r="A3562" t="str">
        <f>"20190304155703603"</f>
        <v>20190304155703603</v>
      </c>
      <c r="B3562" t="str">
        <f>"1551686223597934"</f>
        <v>1551686223597934</v>
      </c>
      <c r="C3562" t="s">
        <v>40</v>
      </c>
      <c r="D3562">
        <v>4.6921780000000002</v>
      </c>
      <c r="E3562">
        <v>0.53682200000000002</v>
      </c>
      <c r="F3562" t="s">
        <v>55</v>
      </c>
      <c r="G3562">
        <v>-321.11200000000002</v>
      </c>
      <c r="H3562" s="1">
        <v>-9.4505499999999999E-7</v>
      </c>
      <c r="I3562">
        <v>211.999</v>
      </c>
      <c r="J3562">
        <v>-355.26769999999999</v>
      </c>
      <c r="K3562">
        <v>1.1093219999999999</v>
      </c>
      <c r="L3562">
        <v>214.40639999999999</v>
      </c>
      <c r="M3562">
        <v>0.99994720000000004</v>
      </c>
      <c r="N3562">
        <v>-9.7798090000000004E-3</v>
      </c>
      <c r="O3562">
        <v>-3.1646550000000002E-3</v>
      </c>
      <c r="P3562">
        <v>0.98595730000000004</v>
      </c>
      <c r="Q3562">
        <v>0.16328139999999999</v>
      </c>
      <c r="R3562">
        <v>3.5038310000000003E-2</v>
      </c>
      <c r="S3562">
        <v>3.0664060000000002</v>
      </c>
      <c r="T3562">
        <v>-9.8372459999999995E-2</v>
      </c>
      <c r="U3562">
        <v>-0.21360779999999999</v>
      </c>
      <c r="V3562">
        <v>-3.8187760000000001E-2</v>
      </c>
      <c r="W3562">
        <v>0.1729088</v>
      </c>
      <c r="X3562">
        <v>0.98419730000000005</v>
      </c>
      <c r="Y3562">
        <v>6.6291180000000005E-2</v>
      </c>
      <c r="Z3562">
        <v>-1.315976E-3</v>
      </c>
      <c r="AA3562">
        <v>0.99779949999999995</v>
      </c>
      <c r="AB3562">
        <v>43</v>
      </c>
      <c r="AC3562">
        <v>34.155699999999896</v>
      </c>
      <c r="AD3562">
        <v>-1.109322945055</v>
      </c>
      <c r="AE3562">
        <v>-2.40739999999996</v>
      </c>
      <c r="AF3562">
        <v>2.2968808890251502</v>
      </c>
      <c r="AG3562">
        <v>-1.109322945055</v>
      </c>
      <c r="AH3562">
        <v>34.1273267375175</v>
      </c>
      <c r="AI3562">
        <v>91.857568169977498</v>
      </c>
      <c r="AJ3562">
        <v>86.149613073351603</v>
      </c>
      <c r="AK3562">
        <v>34.222517287073899</v>
      </c>
      <c r="AL3562">
        <v>80.043014317527707</v>
      </c>
      <c r="AM3562">
        <v>92.222014274479804</v>
      </c>
      <c r="AN3562">
        <v>1.00000004172927</v>
      </c>
    </row>
    <row r="3563" spans="1:40" x14ac:dyDescent="0.25">
      <c r="A3563" t="str">
        <f>"20190304155703625"</f>
        <v>20190304155703625</v>
      </c>
      <c r="B3563" t="str">
        <f>"1551686223618433"</f>
        <v>1551686223618433</v>
      </c>
      <c r="C3563" t="s">
        <v>40</v>
      </c>
      <c r="D3563">
        <v>4.7286449999999904</v>
      </c>
      <c r="E3563">
        <v>0.53706580000000004</v>
      </c>
      <c r="F3563" t="s">
        <v>64</v>
      </c>
      <c r="G3563">
        <v>-319.6026</v>
      </c>
      <c r="H3563" s="1">
        <v>5.1640169999999999E-6</v>
      </c>
      <c r="I3563">
        <v>211.9297</v>
      </c>
      <c r="J3563">
        <v>-354.8356</v>
      </c>
      <c r="K3563">
        <v>1.1093440000000001</v>
      </c>
      <c r="L3563">
        <v>214.40520000000001</v>
      </c>
      <c r="M3563">
        <v>0.99994740000000004</v>
      </c>
      <c r="N3563">
        <v>-9.8015440000000006E-3</v>
      </c>
      <c r="O3563">
        <v>-3.0180490000000001E-3</v>
      </c>
      <c r="P3563">
        <v>0.98606099999999997</v>
      </c>
      <c r="Q3563">
        <v>0.16261929999999999</v>
      </c>
      <c r="R3563">
        <v>3.5200849999999999E-2</v>
      </c>
      <c r="S3563">
        <v>3.0661010000000002</v>
      </c>
      <c r="T3563">
        <v>-9.5367309999999997E-2</v>
      </c>
      <c r="U3563">
        <v>-0.2129211</v>
      </c>
      <c r="V3563">
        <v>-3.8217939999999999E-2</v>
      </c>
      <c r="W3563">
        <v>0.17226629999999901</v>
      </c>
      <c r="X3563">
        <v>0.98430879999999998</v>
      </c>
      <c r="Y3563">
        <v>6.6224229999999995E-2</v>
      </c>
      <c r="Z3563">
        <v>-1.2892839999999999E-3</v>
      </c>
      <c r="AA3563">
        <v>0.99780389999999997</v>
      </c>
      <c r="AB3563">
        <v>44</v>
      </c>
      <c r="AC3563">
        <v>35.232999999999997</v>
      </c>
      <c r="AD3563">
        <v>-1.1093388359829901</v>
      </c>
      <c r="AE3563">
        <v>-2.47550000000001</v>
      </c>
      <c r="AF3563">
        <v>2.36681386851083</v>
      </c>
      <c r="AG3563">
        <v>-1.1093388359829901</v>
      </c>
      <c r="AH3563">
        <v>35.2055812801554</v>
      </c>
      <c r="AI3563">
        <v>91.800748584385005</v>
      </c>
      <c r="AJ3563">
        <v>86.153885497744795</v>
      </c>
      <c r="AK3563">
        <v>35.302484244240198</v>
      </c>
      <c r="AL3563">
        <v>80.080387769734998</v>
      </c>
      <c r="AM3563">
        <v>92.223516932459603</v>
      </c>
      <c r="AN3563">
        <v>1.0000000514054801</v>
      </c>
    </row>
    <row r="3564" spans="1:40" x14ac:dyDescent="0.25">
      <c r="A3564" t="str">
        <f>"20190304155703648"</f>
        <v>20190304155703648</v>
      </c>
      <c r="B3564" t="str">
        <f>"1551686223638475"</f>
        <v>1551686223638475</v>
      </c>
      <c r="C3564" t="s">
        <v>40</v>
      </c>
      <c r="D3564">
        <v>4.7027289999999997</v>
      </c>
      <c r="E3564">
        <v>0.53729589999999905</v>
      </c>
      <c r="F3564" t="s">
        <v>64</v>
      </c>
      <c r="G3564">
        <v>-319.44709999999998</v>
      </c>
      <c r="H3564" s="1">
        <v>5.0950320000000004E-6</v>
      </c>
      <c r="I3564">
        <v>211.92779999999999</v>
      </c>
      <c r="J3564">
        <v>-354.40910000000002</v>
      </c>
      <c r="K3564">
        <v>1.1093660000000001</v>
      </c>
      <c r="L3564">
        <v>214.404</v>
      </c>
      <c r="M3564">
        <v>0.99994769999999999</v>
      </c>
      <c r="N3564">
        <v>-9.8219589999999999E-3</v>
      </c>
      <c r="O3564">
        <v>-2.848087E-3</v>
      </c>
      <c r="P3564">
        <v>0.98610589999999998</v>
      </c>
      <c r="Q3564">
        <v>0.1622864</v>
      </c>
      <c r="R3564">
        <v>3.547347E-2</v>
      </c>
      <c r="S3564">
        <v>3.0659179999999999</v>
      </c>
      <c r="T3564">
        <v>-9.6108559999999996E-2</v>
      </c>
      <c r="U3564">
        <v>-0.21463009999999999</v>
      </c>
      <c r="V3564">
        <v>-3.833367E-2</v>
      </c>
      <c r="W3564">
        <v>0.17195150000000001</v>
      </c>
      <c r="X3564">
        <v>0.98435930000000005</v>
      </c>
      <c r="Y3564">
        <v>6.695036E-2</v>
      </c>
      <c r="Z3564">
        <v>-1.3159179999999999E-3</v>
      </c>
      <c r="AA3564">
        <v>0.99775550000000002</v>
      </c>
      <c r="AB3564">
        <v>44</v>
      </c>
      <c r="AC3564">
        <v>34.962000000000003</v>
      </c>
      <c r="AD3564">
        <v>-1.109360904968</v>
      </c>
      <c r="AE3564">
        <v>-2.4762000000000302</v>
      </c>
      <c r="AF3564">
        <v>2.37423183388578</v>
      </c>
      <c r="AG3564">
        <v>-1.109360904968</v>
      </c>
      <c r="AH3564">
        <v>34.933914240353097</v>
      </c>
      <c r="AI3564">
        <v>91.814689324489507</v>
      </c>
      <c r="AJ3564">
        <v>86.111956041385696</v>
      </c>
      <c r="AK3564">
        <v>35.032071342854501</v>
      </c>
      <c r="AL3564">
        <v>80.098697288789097</v>
      </c>
      <c r="AM3564">
        <v>92.230129005096501</v>
      </c>
      <c r="AN3564">
        <v>1.0000000100522</v>
      </c>
    </row>
    <row r="3565" spans="1:40" x14ac:dyDescent="0.25">
      <c r="A3565" t="str">
        <f>"20190304155703671"</f>
        <v>20190304155703671</v>
      </c>
      <c r="B3565" t="str">
        <f>"1551686223667736"</f>
        <v>1551686223667736</v>
      </c>
      <c r="C3565" t="s">
        <v>40</v>
      </c>
      <c r="D3565">
        <v>4.6976579999999997</v>
      </c>
      <c r="E3565">
        <v>0.53614099999999998</v>
      </c>
      <c r="F3565" t="s">
        <v>64</v>
      </c>
      <c r="G3565">
        <v>-318.76409999999998</v>
      </c>
      <c r="H3565" s="1">
        <v>4.7921619999999998E-6</v>
      </c>
      <c r="I3565">
        <v>211.8878</v>
      </c>
      <c r="J3565">
        <v>-353.95929999999998</v>
      </c>
      <c r="K3565">
        <v>1.1093919999999999</v>
      </c>
      <c r="L3565">
        <v>214.40289999999999</v>
      </c>
      <c r="M3565">
        <v>0.99994799999999995</v>
      </c>
      <c r="N3565">
        <v>-9.8424670000000006E-3</v>
      </c>
      <c r="O3565">
        <v>-2.6471530000000002E-3</v>
      </c>
      <c r="P3565">
        <v>0.98604729999999996</v>
      </c>
      <c r="Q3565">
        <v>0.1624835</v>
      </c>
      <c r="R3565">
        <v>3.6193620000000003E-2</v>
      </c>
      <c r="S3565">
        <v>3.0657649999999999</v>
      </c>
      <c r="T3565">
        <v>-9.5414159999999998E-2</v>
      </c>
      <c r="U3565">
        <v>-0.21641540000000001</v>
      </c>
      <c r="V3565">
        <v>-3.8866339999999999E-2</v>
      </c>
      <c r="W3565">
        <v>0.17216579999999901</v>
      </c>
      <c r="X3565">
        <v>0.98430099999999998</v>
      </c>
      <c r="Y3565">
        <v>6.7732410000000007E-2</v>
      </c>
      <c r="Z3565">
        <v>-1.3300479999999999E-3</v>
      </c>
      <c r="AA3565">
        <v>0.99770270000000005</v>
      </c>
      <c r="AB3565">
        <v>44</v>
      </c>
      <c r="AC3565">
        <v>35.1952</v>
      </c>
      <c r="AD3565">
        <v>-1.109387207838</v>
      </c>
      <c r="AE3565">
        <v>-2.5150999999999799</v>
      </c>
      <c r="AF3565">
        <v>2.4195278277318799</v>
      </c>
      <c r="AG3565">
        <v>-1.109387207838</v>
      </c>
      <c r="AH3565">
        <v>35.166971453774401</v>
      </c>
      <c r="AI3565">
        <v>91.802611053469803</v>
      </c>
      <c r="AJ3565">
        <v>86.064187251620496</v>
      </c>
      <c r="AK3565">
        <v>35.267559259419599</v>
      </c>
      <c r="AL3565">
        <v>80.086233387045198</v>
      </c>
      <c r="AM3565">
        <v>92.261219864621395</v>
      </c>
      <c r="AN3565">
        <v>1.00000005683781</v>
      </c>
    </row>
    <row r="3566" spans="1:40" x14ac:dyDescent="0.25">
      <c r="A3566" t="str">
        <f>"20190304155703695"</f>
        <v>20190304155703695</v>
      </c>
      <c r="B3566" t="str">
        <f>"1551686223688233"</f>
        <v>1551686223688233</v>
      </c>
      <c r="C3566" t="s">
        <v>40</v>
      </c>
      <c r="D3566">
        <v>4.6925019999999904</v>
      </c>
      <c r="E3566">
        <v>0.53509739999999995</v>
      </c>
      <c r="F3566" t="s">
        <v>64</v>
      </c>
      <c r="G3566">
        <v>-317.41969999999998</v>
      </c>
      <c r="H3566" s="1">
        <v>4.1959669999999999E-6</v>
      </c>
      <c r="I3566">
        <v>211.95660000000001</v>
      </c>
      <c r="J3566">
        <v>-353.4975</v>
      </c>
      <c r="K3566">
        <v>1.10941</v>
      </c>
      <c r="L3566">
        <v>214.40180000000001</v>
      </c>
      <c r="M3566">
        <v>0.99994850000000002</v>
      </c>
      <c r="N3566">
        <v>-9.8660439999999992E-3</v>
      </c>
      <c r="O3566">
        <v>-2.4231589999999998E-3</v>
      </c>
      <c r="P3566">
        <v>0.98599369999999997</v>
      </c>
      <c r="Q3566">
        <v>0.1626716</v>
      </c>
      <c r="R3566">
        <v>3.6805240000000003E-2</v>
      </c>
      <c r="S3566">
        <v>3.0653079999999999</v>
      </c>
      <c r="T3566">
        <v>-9.3066570000000001E-2</v>
      </c>
      <c r="U3566">
        <v>-0.2052155</v>
      </c>
      <c r="V3566">
        <v>-3.9265710000000002E-2</v>
      </c>
      <c r="W3566">
        <v>0.17237429999999901</v>
      </c>
      <c r="X3566">
        <v>0.98424860000000003</v>
      </c>
      <c r="Y3566">
        <v>6.4341529999999994E-2</v>
      </c>
      <c r="Z3566">
        <v>-1.243694E-3</v>
      </c>
      <c r="AA3566">
        <v>0.99792720000000001</v>
      </c>
      <c r="AB3566">
        <v>44</v>
      </c>
      <c r="AC3566">
        <v>36.077800000000003</v>
      </c>
      <c r="AD3566">
        <v>-1.1094058040329999</v>
      </c>
      <c r="AE3566">
        <v>-2.4451999999999998</v>
      </c>
      <c r="AF3566">
        <v>2.3555491408140101</v>
      </c>
      <c r="AG3566">
        <v>-1.1094058040329999</v>
      </c>
      <c r="AH3566">
        <v>36.049687276788603</v>
      </c>
      <c r="AI3566">
        <v>91.758935669740495</v>
      </c>
      <c r="AJ3566">
        <v>86.261508818769499</v>
      </c>
      <c r="AK3566">
        <v>36.1435934260425</v>
      </c>
      <c r="AL3566">
        <v>80.074105348553203</v>
      </c>
      <c r="AM3566">
        <v>92.284551966180402</v>
      </c>
      <c r="AN3566">
        <v>1.0000000009421199</v>
      </c>
    </row>
    <row r="3567" spans="1:40" x14ac:dyDescent="0.25">
      <c r="A3567" t="str">
        <f>"20190304155703717"</f>
        <v>20190304155703717</v>
      </c>
      <c r="B3567" t="str">
        <f>"1551686223707754"</f>
        <v>1551686223707754</v>
      </c>
      <c r="C3567" t="s">
        <v>40</v>
      </c>
      <c r="D3567">
        <v>4.7183029999999997</v>
      </c>
      <c r="E3567">
        <v>0.50777190000000005</v>
      </c>
      <c r="F3567" t="s">
        <v>64</v>
      </c>
      <c r="G3567">
        <v>-315.52229999999997</v>
      </c>
      <c r="H3567" s="1">
        <v>3.3545580000000001E-6</v>
      </c>
      <c r="I3567">
        <v>211.98670000000001</v>
      </c>
      <c r="J3567">
        <v>-353.06349999999998</v>
      </c>
      <c r="K3567">
        <v>1.109424</v>
      </c>
      <c r="L3567">
        <v>214.40100000000001</v>
      </c>
      <c r="M3567">
        <v>0.99994870000000002</v>
      </c>
      <c r="N3567">
        <v>-9.8901579999999996E-3</v>
      </c>
      <c r="O3567">
        <v>-2.2023260000000001E-3</v>
      </c>
      <c r="P3567">
        <v>0.98602339999999999</v>
      </c>
      <c r="Q3567">
        <v>0.1622777</v>
      </c>
      <c r="R3567">
        <v>3.7734040000000003E-2</v>
      </c>
      <c r="S3567">
        <v>3.0646360000000001</v>
      </c>
      <c r="T3567">
        <v>-8.9530230000000002E-2</v>
      </c>
      <c r="U3567">
        <v>-0.1949005</v>
      </c>
      <c r="V3567">
        <v>-3.9982650000000002E-2</v>
      </c>
      <c r="W3567">
        <v>0.17200319999999999</v>
      </c>
      <c r="X3567">
        <v>0.98428459999999995</v>
      </c>
      <c r="Y3567">
        <v>6.12358E-2</v>
      </c>
      <c r="Z3567">
        <v>-1.154092E-3</v>
      </c>
      <c r="AA3567">
        <v>0.99812259999999997</v>
      </c>
      <c r="AB3567">
        <v>44</v>
      </c>
      <c r="AC3567">
        <v>37.541200000000003</v>
      </c>
      <c r="AD3567">
        <v>-1.1094206454419999</v>
      </c>
      <c r="AE3567">
        <v>-2.4142999999999599</v>
      </c>
      <c r="AF3567">
        <v>2.3295860351653399</v>
      </c>
      <c r="AG3567">
        <v>-1.1094206454419999</v>
      </c>
      <c r="AH3567">
        <v>37.513799463666302</v>
      </c>
      <c r="AI3567">
        <v>91.690697702714004</v>
      </c>
      <c r="AJ3567">
        <v>86.446527143825193</v>
      </c>
      <c r="AK3567">
        <v>37.602432573757</v>
      </c>
      <c r="AL3567">
        <v>80.095689629280699</v>
      </c>
      <c r="AM3567">
        <v>92.326134466212906</v>
      </c>
      <c r="AN3567">
        <v>0.99999994345420895</v>
      </c>
    </row>
    <row r="3568" spans="1:40" x14ac:dyDescent="0.25">
      <c r="A3568" t="str">
        <f>"20190304155703738"</f>
        <v>20190304155703738</v>
      </c>
      <c r="B3568" t="str">
        <f>"1551686223728249"</f>
        <v>1551686223728249</v>
      </c>
      <c r="C3568" t="s">
        <v>40</v>
      </c>
      <c r="D3568">
        <v>4.696542</v>
      </c>
      <c r="E3568">
        <v>0.50650720000000005</v>
      </c>
      <c r="F3568" t="s">
        <v>64</v>
      </c>
      <c r="G3568">
        <v>-313.01690000000002</v>
      </c>
      <c r="H3568" s="1">
        <v>2.2435210000000001E-6</v>
      </c>
      <c r="I3568">
        <v>214.7517</v>
      </c>
      <c r="J3568">
        <v>-352.62610000000001</v>
      </c>
      <c r="K3568">
        <v>1.1094329999999999</v>
      </c>
      <c r="L3568">
        <v>214.40020000000001</v>
      </c>
      <c r="M3568">
        <v>0.99994899999999998</v>
      </c>
      <c r="N3568">
        <v>-9.9159480000000008E-3</v>
      </c>
      <c r="O3568">
        <v>-1.9735439999999998E-3</v>
      </c>
      <c r="P3568">
        <v>0.98608669999999998</v>
      </c>
      <c r="Q3568">
        <v>0.1617044</v>
      </c>
      <c r="R3568">
        <v>3.853504E-2</v>
      </c>
      <c r="S3568">
        <v>3.0554199999999998</v>
      </c>
      <c r="T3568">
        <v>-8.4645150000000002E-2</v>
      </c>
      <c r="U3568">
        <v>2.676392E-2</v>
      </c>
      <c r="V3568">
        <v>-4.0563399999999999E-2</v>
      </c>
      <c r="W3568">
        <v>0.1714541</v>
      </c>
      <c r="X3568">
        <v>0.98435669999999997</v>
      </c>
      <c r="Y3568">
        <v>-1.0726799999999899E-2</v>
      </c>
      <c r="Z3568">
        <v>2.368468E-4</v>
      </c>
      <c r="AA3568">
        <v>0.99994240000000001</v>
      </c>
      <c r="AB3568">
        <v>44</v>
      </c>
      <c r="AC3568">
        <v>39.609199999999902</v>
      </c>
      <c r="AD3568">
        <v>-1.10943075647899</v>
      </c>
      <c r="AE3568">
        <v>0.35149999999998699</v>
      </c>
      <c r="AF3568">
        <v>-0.42933684894533902</v>
      </c>
      <c r="AG3568">
        <v>-1.10943075647899</v>
      </c>
      <c r="AH3568">
        <v>39.577382015167103</v>
      </c>
      <c r="AI3568">
        <v>91.605596882041198</v>
      </c>
      <c r="AJ3568">
        <v>90.621522276271904</v>
      </c>
      <c r="AK3568">
        <v>39.595256457153504</v>
      </c>
      <c r="AL3568">
        <v>80.1276257862161</v>
      </c>
      <c r="AM3568">
        <v>92.359711104164703</v>
      </c>
      <c r="AN3568">
        <v>1.0000000053306299</v>
      </c>
    </row>
    <row r="3569" spans="1:40" x14ac:dyDescent="0.25">
      <c r="A3569" t="str">
        <f>"20190304155703763"</f>
        <v>20190304155703763</v>
      </c>
      <c r="B3569" t="str">
        <f>"1551686223758505"</f>
        <v>1551686223758505</v>
      </c>
      <c r="C3569" t="s">
        <v>40</v>
      </c>
      <c r="D3569">
        <v>4.6937850000000001</v>
      </c>
      <c r="E3569">
        <v>0.50595299999999999</v>
      </c>
      <c r="F3569" t="s">
        <v>64</v>
      </c>
      <c r="G3569">
        <v>-317.83179999999999</v>
      </c>
      <c r="H3569" s="1">
        <v>4.3787199999999998E-6</v>
      </c>
      <c r="I3569">
        <v>214.84690000000001</v>
      </c>
      <c r="J3569">
        <v>-352.16699999999997</v>
      </c>
      <c r="K3569">
        <v>1.1094459999999999</v>
      </c>
      <c r="L3569">
        <v>214.39940000000001</v>
      </c>
      <c r="M3569">
        <v>0.99994910000000004</v>
      </c>
      <c r="N3569">
        <v>-9.9475350000000004E-3</v>
      </c>
      <c r="O3569">
        <v>-1.7295450000000001E-3</v>
      </c>
      <c r="P3569">
        <v>0.98612529999999998</v>
      </c>
      <c r="Q3569">
        <v>0.1613492</v>
      </c>
      <c r="R3569">
        <v>3.9031209999999997E-2</v>
      </c>
      <c r="S3569">
        <v>3.0567630000000001</v>
      </c>
      <c r="T3569">
        <v>-9.7465990000000002E-2</v>
      </c>
      <c r="U3569">
        <v>3.924561E-2</v>
      </c>
      <c r="V3569">
        <v>-4.0823900000000003E-2</v>
      </c>
      <c r="W3569">
        <v>0.17112949999999999</v>
      </c>
      <c r="X3569">
        <v>0.98440240000000001</v>
      </c>
      <c r="Y3569">
        <v>-1.4557240000000001E-2</v>
      </c>
      <c r="Z3569">
        <v>3.4237569999999998E-4</v>
      </c>
      <c r="AA3569">
        <v>0.99989399999999995</v>
      </c>
      <c r="AB3569">
        <v>44</v>
      </c>
      <c r="AC3569">
        <v>34.335199999999901</v>
      </c>
      <c r="AD3569">
        <v>-1.10944162128</v>
      </c>
      <c r="AE3569">
        <v>0.44749999999999002</v>
      </c>
      <c r="AF3569">
        <v>-0.50635795457080901</v>
      </c>
      <c r="AG3569">
        <v>-1.10944162128</v>
      </c>
      <c r="AH3569">
        <v>34.298570594009199</v>
      </c>
      <c r="AI3569">
        <v>91.852475091658803</v>
      </c>
      <c r="AJ3569">
        <v>90.845809773634301</v>
      </c>
      <c r="AK3569">
        <v>34.3202448109191</v>
      </c>
      <c r="AL3569">
        <v>80.146502850881504</v>
      </c>
      <c r="AM3569">
        <v>92.374737856761797</v>
      </c>
      <c r="AN3569">
        <v>0.99999999085361002</v>
      </c>
    </row>
    <row r="3570" spans="1:40" x14ac:dyDescent="0.25">
      <c r="A3570" t="str">
        <f>"20190304155703784"</f>
        <v>20190304155703784</v>
      </c>
      <c r="B3570" t="str">
        <f>"1551686223778025"</f>
        <v>1551686223778025</v>
      </c>
      <c r="C3570" t="s">
        <v>40</v>
      </c>
      <c r="D3570">
        <v>4.6868840000000001</v>
      </c>
      <c r="E3570">
        <v>0.50587409999999999</v>
      </c>
      <c r="F3570" t="s">
        <v>55</v>
      </c>
      <c r="G3570">
        <v>-320.08100000000002</v>
      </c>
      <c r="H3570" s="1">
        <v>-1.4936739999999999E-6</v>
      </c>
      <c r="I3570">
        <v>214.87180000000001</v>
      </c>
      <c r="J3570">
        <v>-351.7396</v>
      </c>
      <c r="K3570">
        <v>1.1094630000000001</v>
      </c>
      <c r="L3570">
        <v>214.39879999999999</v>
      </c>
      <c r="M3570">
        <v>0.99994910000000004</v>
      </c>
      <c r="N3570">
        <v>-9.9834669999999993E-3</v>
      </c>
      <c r="O3570">
        <v>-1.5013229999999999E-3</v>
      </c>
      <c r="P3570">
        <v>0.98607800000000001</v>
      </c>
      <c r="Q3570">
        <v>0.16156479999999901</v>
      </c>
      <c r="R3570">
        <v>3.9331400000000002E-2</v>
      </c>
      <c r="S3570">
        <v>3.0577390000000002</v>
      </c>
      <c r="T3570">
        <v>-0.1057284</v>
      </c>
      <c r="U3570">
        <v>4.501343E-2</v>
      </c>
      <c r="V3570">
        <v>-4.0903299999999997E-2</v>
      </c>
      <c r="W3570">
        <v>0.1713789</v>
      </c>
      <c r="X3570">
        <v>0.98435569999999895</v>
      </c>
      <c r="Y3570">
        <v>-1.6207829999999999E-2</v>
      </c>
      <c r="Z3570">
        <v>3.9796429999999999E-4</v>
      </c>
      <c r="AA3570">
        <v>0.9998686</v>
      </c>
      <c r="AB3570">
        <v>44</v>
      </c>
      <c r="AC3570">
        <v>31.6586</v>
      </c>
      <c r="AD3570">
        <v>-1.1094644936739999</v>
      </c>
      <c r="AE3570">
        <v>0.47300000000001302</v>
      </c>
      <c r="AF3570">
        <v>-0.51989326438160299</v>
      </c>
      <c r="AG3570">
        <v>-1.1094644936739999</v>
      </c>
      <c r="AH3570">
        <v>31.619030626389598</v>
      </c>
      <c r="AI3570">
        <v>92.009327364992401</v>
      </c>
      <c r="AJ3570">
        <v>90.941996174266194</v>
      </c>
      <c r="AK3570">
        <v>31.642760597356801</v>
      </c>
      <c r="AL3570">
        <v>80.131998865522206</v>
      </c>
      <c r="AM3570">
        <v>92.379464026105495</v>
      </c>
      <c r="AN3570">
        <v>0.999999975719294</v>
      </c>
    </row>
    <row r="3571" spans="1:40" x14ac:dyDescent="0.25">
      <c r="A3571" t="str">
        <f>"20190304155703804"</f>
        <v>20190304155703804</v>
      </c>
      <c r="B3571" t="str">
        <f>"1551686223798521"</f>
        <v>1551686223798521</v>
      </c>
      <c r="C3571" t="s">
        <v>40</v>
      </c>
      <c r="D3571">
        <v>4.6817190000000002</v>
      </c>
      <c r="E3571">
        <v>0.50571239999999995</v>
      </c>
      <c r="F3571" t="s">
        <v>64</v>
      </c>
      <c r="G3571">
        <v>-319.87650000000002</v>
      </c>
      <c r="H3571" s="1">
        <v>5.2854710000000003E-6</v>
      </c>
      <c r="I3571">
        <v>214.88390000000001</v>
      </c>
      <c r="J3571">
        <v>-351.33580000000001</v>
      </c>
      <c r="K3571">
        <v>1.1094820000000001</v>
      </c>
      <c r="L3571">
        <v>214.39830000000001</v>
      </c>
      <c r="M3571">
        <v>0.99994899999999998</v>
      </c>
      <c r="N3571">
        <v>-1.002196E-2</v>
      </c>
      <c r="O3571">
        <v>-1.285766E-3</v>
      </c>
      <c r="P3571">
        <v>0.98604329999999996</v>
      </c>
      <c r="Q3571">
        <v>0.16191939999999999</v>
      </c>
      <c r="R3571">
        <v>3.8741999999999999E-2</v>
      </c>
      <c r="S3571">
        <v>3.0579529999999999</v>
      </c>
      <c r="T3571">
        <v>-0.106476399999999</v>
      </c>
      <c r="U3571">
        <v>4.6554570000000003E-2</v>
      </c>
      <c r="V3571">
        <v>-4.0104910000000001E-2</v>
      </c>
      <c r="W3571">
        <v>0.1717707</v>
      </c>
      <c r="X3571">
        <v>0.98432030000000004</v>
      </c>
      <c r="Y3571">
        <v>-1.6494740000000001E-2</v>
      </c>
      <c r="Z3571">
        <v>4.0163059999999998E-4</v>
      </c>
      <c r="AA3571">
        <v>0.99986390000000003</v>
      </c>
      <c r="AB3571">
        <v>44</v>
      </c>
      <c r="AC3571">
        <v>31.459299999999899</v>
      </c>
      <c r="AD3571">
        <v>-1.1094767145290001</v>
      </c>
      <c r="AE3571">
        <v>0.48560000000000503</v>
      </c>
      <c r="AF3571">
        <v>-0.52539761105586502</v>
      </c>
      <c r="AG3571">
        <v>-1.1094767145290001</v>
      </c>
      <c r="AH3571">
        <v>31.419580333591998</v>
      </c>
      <c r="AI3571">
        <v>92.022084834231904</v>
      </c>
      <c r="AJ3571">
        <v>90.958009622596094</v>
      </c>
      <c r="AK3571">
        <v>31.443552750426001</v>
      </c>
      <c r="AL3571">
        <v>80.109212874582497</v>
      </c>
      <c r="AM3571">
        <v>92.333155002251203</v>
      </c>
      <c r="AN3571">
        <v>1.0000000150883399</v>
      </c>
    </row>
    <row r="3572" spans="1:40" x14ac:dyDescent="0.25">
      <c r="A3572" t="str">
        <f>"20190304155703828"</f>
        <v>20190304155703828</v>
      </c>
      <c r="B3572" t="str">
        <f>"1551686223818040"</f>
        <v>1551686223818040</v>
      </c>
      <c r="C3572" t="s">
        <v>40</v>
      </c>
      <c r="D3572">
        <v>4.7059530000000001</v>
      </c>
      <c r="E3572">
        <v>0.50564209999999998</v>
      </c>
      <c r="F3572" t="s">
        <v>64</v>
      </c>
      <c r="G3572">
        <v>-319.21120000000002</v>
      </c>
      <c r="H3572" s="1">
        <v>4.9904359999999998E-6</v>
      </c>
      <c r="I3572">
        <v>214.88</v>
      </c>
      <c r="J3572">
        <v>-350.88650000000001</v>
      </c>
      <c r="K3572">
        <v>1.109502</v>
      </c>
      <c r="L3572">
        <v>214.39789999999999</v>
      </c>
      <c r="M3572">
        <v>0.99994890000000003</v>
      </c>
      <c r="N3572">
        <v>-1.0068809999999999E-2</v>
      </c>
      <c r="O3572">
        <v>-1.046527E-3</v>
      </c>
      <c r="P3572">
        <v>0.98580440000000003</v>
      </c>
      <c r="Q3572">
        <v>0.16352720000000001</v>
      </c>
      <c r="R3572">
        <v>3.8063710000000001E-2</v>
      </c>
      <c r="S3572">
        <v>3.058014</v>
      </c>
      <c r="T3572">
        <v>-0.1056137</v>
      </c>
      <c r="U3572">
        <v>4.5852660000000003E-2</v>
      </c>
      <c r="V3572">
        <v>-3.9195029999999999E-2</v>
      </c>
      <c r="W3572">
        <v>0.1734221</v>
      </c>
      <c r="X3572">
        <v>0.98406729999999998</v>
      </c>
      <c r="Y3572">
        <v>-1.602638E-2</v>
      </c>
      <c r="Z3572">
        <v>3.8296819999999998E-4</v>
      </c>
      <c r="AA3572">
        <v>0.99987150000000002</v>
      </c>
      <c r="AB3572">
        <v>44</v>
      </c>
      <c r="AC3572">
        <v>31.6753</v>
      </c>
      <c r="AD3572">
        <v>-1.109497009564</v>
      </c>
      <c r="AE3572">
        <v>0.48210000000000203</v>
      </c>
      <c r="AF3572">
        <v>-0.51461922602825705</v>
      </c>
      <c r="AG3572">
        <v>-1.109497009564</v>
      </c>
      <c r="AH3572">
        <v>31.635972764807001</v>
      </c>
      <c r="AI3572">
        <v>92.008316750982999</v>
      </c>
      <c r="AJ3572">
        <v>90.931942557899802</v>
      </c>
      <c r="AK3572">
        <v>31.659605009185402</v>
      </c>
      <c r="AL3572">
        <v>80.0131524826201</v>
      </c>
      <c r="AM3572">
        <v>92.280863712703194</v>
      </c>
      <c r="AN3572">
        <v>0.99999996303719896</v>
      </c>
    </row>
    <row r="3573" spans="1:40" x14ac:dyDescent="0.25">
      <c r="A3573" t="str">
        <f>"20190304155703849"</f>
        <v>20190304155703849</v>
      </c>
      <c r="B3573" t="str">
        <f>"1551686223838071"</f>
        <v>1551686223838071</v>
      </c>
      <c r="C3573" t="s">
        <v>40</v>
      </c>
      <c r="D3573">
        <v>4.714925</v>
      </c>
      <c r="E3573">
        <v>0.50556670000000004</v>
      </c>
      <c r="F3573" t="s">
        <v>64</v>
      </c>
      <c r="G3573">
        <v>-317.66910000000001</v>
      </c>
      <c r="H3573" s="1">
        <v>4.3065719999999996E-6</v>
      </c>
      <c r="I3573">
        <v>214.87799999999999</v>
      </c>
      <c r="J3573">
        <v>-350.45870000000002</v>
      </c>
      <c r="K3573">
        <v>1.109518</v>
      </c>
      <c r="L3573">
        <v>214.39760000000001</v>
      </c>
      <c r="M3573">
        <v>0.99994870000000002</v>
      </c>
      <c r="N3573">
        <v>-1.0115209999999999E-2</v>
      </c>
      <c r="O3573">
        <v>-8.1922500000000003E-4</v>
      </c>
      <c r="P3573">
        <v>0.98551909999999998</v>
      </c>
      <c r="Q3573">
        <v>0.16542119999999999</v>
      </c>
      <c r="R3573">
        <v>3.7261450000000002E-2</v>
      </c>
      <c r="S3573">
        <v>3.0584410000000002</v>
      </c>
      <c r="T3573">
        <v>-0.1021553</v>
      </c>
      <c r="U3573">
        <v>4.4204710000000001E-2</v>
      </c>
      <c r="V3573">
        <v>-3.8171910000000003E-2</v>
      </c>
      <c r="W3573">
        <v>0.17535889999999901</v>
      </c>
      <c r="X3573">
        <v>0.98376430000000004</v>
      </c>
      <c r="Y3573">
        <v>-1.5259709999999999E-2</v>
      </c>
      <c r="Z3573">
        <v>3.5104199999999998E-4</v>
      </c>
      <c r="AA3573">
        <v>0.99988350000000004</v>
      </c>
      <c r="AB3573">
        <v>44</v>
      </c>
      <c r="AC3573">
        <v>32.7896</v>
      </c>
      <c r="AD3573">
        <v>-1.1095136934280001</v>
      </c>
      <c r="AE3573">
        <v>0.48039999999997401</v>
      </c>
      <c r="AF3573">
        <v>-0.50668325664087799</v>
      </c>
      <c r="AG3573">
        <v>-1.1095136934280001</v>
      </c>
      <c r="AH3573">
        <v>32.751703836750004</v>
      </c>
      <c r="AI3573">
        <v>91.940007566207498</v>
      </c>
      <c r="AJ3573">
        <v>90.886320192918603</v>
      </c>
      <c r="AK3573">
        <v>32.774408503719101</v>
      </c>
      <c r="AL3573">
        <v>79.900455646034601</v>
      </c>
      <c r="AM3573">
        <v>92.222069567014202</v>
      </c>
      <c r="AN3573">
        <v>1.0000000182383699</v>
      </c>
    </row>
    <row r="3574" spans="1:40" x14ac:dyDescent="0.25">
      <c r="A3574" t="str">
        <f>"20190304155703872"</f>
        <v>20190304155703872</v>
      </c>
      <c r="B3574" t="str">
        <f>"1551686223868324"</f>
        <v>1551686223868324</v>
      </c>
      <c r="C3574" t="s">
        <v>40</v>
      </c>
      <c r="D3574">
        <v>4.709994</v>
      </c>
      <c r="E3574">
        <v>0.5068819</v>
      </c>
      <c r="F3574" t="s">
        <v>64</v>
      </c>
      <c r="G3574">
        <v>-315.61869999999999</v>
      </c>
      <c r="H3574" s="1">
        <v>3.3973169999999999E-6</v>
      </c>
      <c r="I3574">
        <v>214.881</v>
      </c>
      <c r="J3574">
        <v>-350.0179</v>
      </c>
      <c r="K3574">
        <v>1.109532</v>
      </c>
      <c r="L3574">
        <v>214.3974</v>
      </c>
      <c r="M3574">
        <v>0.99994830000000001</v>
      </c>
      <c r="N3574">
        <v>-1.01656E-2</v>
      </c>
      <c r="O3574">
        <v>-5.8444729999999998E-4</v>
      </c>
      <c r="P3574">
        <v>0.98542730000000001</v>
      </c>
      <c r="Q3574">
        <v>0.16611679999999901</v>
      </c>
      <c r="R3574">
        <v>3.6590980000000002E-2</v>
      </c>
      <c r="S3574">
        <v>3.0588380000000002</v>
      </c>
      <c r="T3574">
        <v>-9.7411869999999998E-2</v>
      </c>
      <c r="U3574">
        <v>4.2434689999999997E-2</v>
      </c>
      <c r="V3574">
        <v>-3.7273229999999997E-2</v>
      </c>
      <c r="W3574">
        <v>0.17610300000000001</v>
      </c>
      <c r="X3574">
        <v>0.98366580000000003</v>
      </c>
      <c r="Y3574">
        <v>-1.44461E-2</v>
      </c>
      <c r="Z3574">
        <v>3.1607949999999999E-4</v>
      </c>
      <c r="AA3574">
        <v>0.9998956</v>
      </c>
      <c r="AB3574">
        <v>44</v>
      </c>
      <c r="AC3574">
        <v>34.3992</v>
      </c>
      <c r="AD3574">
        <v>-1.109528602683</v>
      </c>
      <c r="AE3574">
        <v>0.483599999999967</v>
      </c>
      <c r="AF3574">
        <v>-0.50318208991513902</v>
      </c>
      <c r="AG3574">
        <v>-1.109528602683</v>
      </c>
      <c r="AH3574">
        <v>34.363168742884099</v>
      </c>
      <c r="AI3574">
        <v>91.849143233328704</v>
      </c>
      <c r="AJ3574">
        <v>90.838925827087294</v>
      </c>
      <c r="AK3574">
        <v>34.384758425612198</v>
      </c>
      <c r="AL3574">
        <v>79.857147551995894</v>
      </c>
      <c r="AM3574">
        <v>92.170023130009696</v>
      </c>
      <c r="AN3574">
        <v>0.99999998318663597</v>
      </c>
    </row>
    <row r="3575" spans="1:40" x14ac:dyDescent="0.25">
      <c r="A3575" t="str">
        <f>"20190304155703893"</f>
        <v>20190304155703893</v>
      </c>
      <c r="B3575" t="str">
        <f>"1551686223887844"</f>
        <v>1551686223887844</v>
      </c>
      <c r="C3575" t="s">
        <v>40</v>
      </c>
      <c r="D3575">
        <v>4.6892490000000002</v>
      </c>
      <c r="E3575">
        <v>0.50761449999999997</v>
      </c>
      <c r="F3575" t="s">
        <v>64</v>
      </c>
      <c r="G3575">
        <v>-313.59840000000003</v>
      </c>
      <c r="H3575" s="1">
        <v>2.501374E-6</v>
      </c>
      <c r="I3575">
        <v>214.76390000000001</v>
      </c>
      <c r="J3575">
        <v>-349.5881</v>
      </c>
      <c r="K3575">
        <v>1.1095440000000001</v>
      </c>
      <c r="L3575">
        <v>214.3973</v>
      </c>
      <c r="M3575">
        <v>0.9999479</v>
      </c>
      <c r="N3575">
        <v>-1.021858E-2</v>
      </c>
      <c r="O3575">
        <v>-3.5553679999999999E-4</v>
      </c>
      <c r="P3575">
        <v>0.98542960000000002</v>
      </c>
      <c r="Q3575">
        <v>0.16625989999999999</v>
      </c>
      <c r="R3575">
        <v>3.5870329999999999E-2</v>
      </c>
      <c r="S3575">
        <v>3.0588989999999998</v>
      </c>
      <c r="T3575">
        <v>-9.319007E-2</v>
      </c>
      <c r="U3575">
        <v>3.0776979999999999E-2</v>
      </c>
      <c r="V3575">
        <v>-3.632867E-2</v>
      </c>
      <c r="W3575">
        <v>0.1762987</v>
      </c>
      <c r="X3575">
        <v>0.98366609999999999</v>
      </c>
      <c r="Y3575">
        <v>-1.0409959999999999E-2</v>
      </c>
      <c r="Z3575">
        <v>2.1893309999999999E-4</v>
      </c>
      <c r="AA3575">
        <v>0.9999458</v>
      </c>
      <c r="AB3575">
        <v>44</v>
      </c>
      <c r="AC3575">
        <v>35.9896999999999</v>
      </c>
      <c r="AD3575">
        <v>-1.1095414986259999</v>
      </c>
      <c r="AE3575">
        <v>0.36660000000000498</v>
      </c>
      <c r="AF3575">
        <v>-0.37903608686719797</v>
      </c>
      <c r="AG3575">
        <v>-1.1095414986259999</v>
      </c>
      <c r="AH3575">
        <v>35.955397008958002</v>
      </c>
      <c r="AI3575">
        <v>91.767421692958493</v>
      </c>
      <c r="AJ3575">
        <v>90.603980638276894</v>
      </c>
      <c r="AK3575">
        <v>35.9745093748908</v>
      </c>
      <c r="AL3575">
        <v>79.845756720176396</v>
      </c>
      <c r="AM3575">
        <v>92.115081412496906</v>
      </c>
      <c r="AN3575">
        <v>1.0000000000874301</v>
      </c>
    </row>
    <row r="3576" spans="1:40" x14ac:dyDescent="0.25">
      <c r="A3576" t="str">
        <f>"20190304155703916"</f>
        <v>20190304155703916</v>
      </c>
      <c r="B3576" t="str">
        <f>"1551686223908343"</f>
        <v>1551686223908343</v>
      </c>
      <c r="C3576" t="s">
        <v>40</v>
      </c>
      <c r="D3576">
        <v>4.6674559999999996</v>
      </c>
      <c r="E3576">
        <v>0.50802360000000002</v>
      </c>
      <c r="F3576" t="s">
        <v>64</v>
      </c>
      <c r="G3576">
        <v>-311.91879999999998</v>
      </c>
      <c r="H3576" s="1">
        <v>1.756566E-6</v>
      </c>
      <c r="I3576">
        <v>214.68219999999999</v>
      </c>
      <c r="J3576">
        <v>-349.13679999999999</v>
      </c>
      <c r="K3576">
        <v>1.109551</v>
      </c>
      <c r="L3576">
        <v>214.3974</v>
      </c>
      <c r="M3576">
        <v>0.99994740000000004</v>
      </c>
      <c r="N3576">
        <v>-1.0276189999999999E-2</v>
      </c>
      <c r="O3576">
        <v>-1.146175E-4</v>
      </c>
      <c r="P3576">
        <v>0.98543179999999997</v>
      </c>
      <c r="Q3576">
        <v>0.1662052</v>
      </c>
      <c r="R3576">
        <v>3.6058519999999997E-2</v>
      </c>
      <c r="S3576">
        <v>3.058716</v>
      </c>
      <c r="T3576">
        <v>-9.0093850000000003E-2</v>
      </c>
      <c r="U3576">
        <v>2.3132320000000001E-2</v>
      </c>
      <c r="V3576">
        <v>-3.6280809999999997E-2</v>
      </c>
      <c r="W3576">
        <v>0.17630009999999999</v>
      </c>
      <c r="X3576">
        <v>0.98366759999999998</v>
      </c>
      <c r="Y3576">
        <v>-7.672651E-3</v>
      </c>
      <c r="Z3576">
        <v>1.546056E-4</v>
      </c>
      <c r="AA3576">
        <v>0.99997060000000004</v>
      </c>
      <c r="AB3576">
        <v>44</v>
      </c>
      <c r="AC3576">
        <v>37.218000000000004</v>
      </c>
      <c r="AD3576">
        <v>-1.109549243434</v>
      </c>
      <c r="AE3576">
        <v>0.28479999999998901</v>
      </c>
      <c r="AF3576">
        <v>-0.28880938787211602</v>
      </c>
      <c r="AG3576">
        <v>-1.109549243434</v>
      </c>
      <c r="AH3576">
        <v>37.184920378141499</v>
      </c>
      <c r="AI3576">
        <v>91.709072262713505</v>
      </c>
      <c r="AJ3576">
        <v>90.444998298106498</v>
      </c>
      <c r="AK3576">
        <v>37.202591494610402</v>
      </c>
      <c r="AL3576">
        <v>79.845675073422598</v>
      </c>
      <c r="AM3576">
        <v>92.112294276343604</v>
      </c>
      <c r="AN3576">
        <v>0.99999998486201203</v>
      </c>
    </row>
    <row r="3577" spans="1:40" x14ac:dyDescent="0.25">
      <c r="A3577" t="str">
        <f>"20190304155703938"</f>
        <v>20190304155703938</v>
      </c>
      <c r="B3577" t="str">
        <f>"1551686223927860"</f>
        <v>1551686223927860</v>
      </c>
      <c r="C3577" t="s">
        <v>40</v>
      </c>
      <c r="D3577">
        <v>4.6559200000000001</v>
      </c>
      <c r="E3577">
        <v>0.50820089999999996</v>
      </c>
      <c r="F3577" t="s">
        <v>64</v>
      </c>
      <c r="G3577">
        <v>-310.79750000000001</v>
      </c>
      <c r="H3577" s="1">
        <v>1.25928E-6</v>
      </c>
      <c r="I3577">
        <v>214.65809999999999</v>
      </c>
      <c r="J3577">
        <v>-348.7038</v>
      </c>
      <c r="K3577">
        <v>1.1095699999999999</v>
      </c>
      <c r="L3577">
        <v>214.39750000000001</v>
      </c>
      <c r="M3577">
        <v>0.99994669999999997</v>
      </c>
      <c r="N3577">
        <v>-1.0333999999999999E-2</v>
      </c>
      <c r="O3577">
        <v>1.170502E-4</v>
      </c>
      <c r="P3577">
        <v>0.98538219999999999</v>
      </c>
      <c r="Q3577">
        <v>0.1664474</v>
      </c>
      <c r="R3577">
        <v>3.6295260000000003E-2</v>
      </c>
      <c r="S3577">
        <v>3.0585330000000002</v>
      </c>
      <c r="T3577">
        <v>-8.8514689999999993E-2</v>
      </c>
      <c r="U3577">
        <v>2.079773E-2</v>
      </c>
      <c r="V3577">
        <v>-3.6291030000000002E-2</v>
      </c>
      <c r="W3577">
        <v>0.17659900000000001</v>
      </c>
      <c r="X3577">
        <v>0.98361359999999998</v>
      </c>
      <c r="Y3577">
        <v>-6.6789190000000002E-3</v>
      </c>
      <c r="Z3577">
        <v>1.2896730000000001E-4</v>
      </c>
      <c r="AA3577">
        <v>0.99997769999999997</v>
      </c>
      <c r="AB3577">
        <v>44</v>
      </c>
      <c r="AC3577">
        <v>37.906299999999902</v>
      </c>
      <c r="AD3577">
        <v>-1.1095687407199999</v>
      </c>
      <c r="AE3577">
        <v>0.26059999999998201</v>
      </c>
      <c r="AF3577">
        <v>-0.255943536569953</v>
      </c>
      <c r="AG3577">
        <v>-1.1095687407199999</v>
      </c>
      <c r="AH3577">
        <v>37.873880976065102</v>
      </c>
      <c r="AI3577">
        <v>91.678042369416701</v>
      </c>
      <c r="AJ3577">
        <v>90.387186653082097</v>
      </c>
      <c r="AK3577">
        <v>37.890995105347201</v>
      </c>
      <c r="AL3577">
        <v>79.828276322314906</v>
      </c>
      <c r="AM3577">
        <v>92.113004644330999</v>
      </c>
      <c r="AN3577">
        <v>0.99999997988221001</v>
      </c>
    </row>
    <row r="3578" spans="1:40" x14ac:dyDescent="0.25">
      <c r="A3578" t="str">
        <f>"20190304155703952"</f>
        <v>20190304155703952</v>
      </c>
      <c r="B3578" t="str">
        <f>"1551686223948356"</f>
        <v>1551686223948356</v>
      </c>
      <c r="C3578" t="s">
        <v>40</v>
      </c>
      <c r="D3578">
        <v>4.6520419999999998</v>
      </c>
      <c r="E3578">
        <v>0.50843819999999995</v>
      </c>
      <c r="F3578" t="s">
        <v>64</v>
      </c>
      <c r="G3578">
        <v>-309.53539999999998</v>
      </c>
      <c r="H3578" s="1">
        <v>9.6183399999999993E-7</v>
      </c>
      <c r="I3578">
        <v>214.66499999999999</v>
      </c>
      <c r="J3578">
        <v>-348.42689999999999</v>
      </c>
      <c r="K3578">
        <v>1.109577</v>
      </c>
      <c r="L3578">
        <v>214.39760000000001</v>
      </c>
      <c r="M3578">
        <v>0.99994620000000001</v>
      </c>
      <c r="N3578">
        <v>-1.0372350000000001E-2</v>
      </c>
      <c r="O3578">
        <v>2.6523369999999999E-4</v>
      </c>
      <c r="P3578">
        <v>0.98537050000000004</v>
      </c>
      <c r="Q3578">
        <v>0.16646150000000001</v>
      </c>
      <c r="R3578">
        <v>3.6545979999999999E-2</v>
      </c>
      <c r="S3578">
        <v>3.0583499999999999</v>
      </c>
      <c r="T3578">
        <v>-8.6637500000000006E-2</v>
      </c>
      <c r="U3578">
        <v>2.088928E-2</v>
      </c>
      <c r="V3578">
        <v>-3.639622E-2</v>
      </c>
      <c r="W3578">
        <v>0.17665020000000001</v>
      </c>
      <c r="X3578">
        <v>0.98360060000000005</v>
      </c>
      <c r="Y3578">
        <v>-6.5612910000000003E-3</v>
      </c>
      <c r="Z3578">
        <v>1.2219250000000001E-4</v>
      </c>
      <c r="AA3578">
        <v>0.99997849999999999</v>
      </c>
      <c r="AB3578">
        <v>44</v>
      </c>
      <c r="AC3578">
        <v>38.891500000000001</v>
      </c>
      <c r="AD3578">
        <v>-1.109576038166</v>
      </c>
      <c r="AE3578">
        <v>0.26739999999997999</v>
      </c>
      <c r="AF3578">
        <v>-0.25687502259524098</v>
      </c>
      <c r="AG3578">
        <v>-1.109576038166</v>
      </c>
      <c r="AH3578">
        <v>38.859940494251497</v>
      </c>
      <c r="AI3578">
        <v>91.635498327917105</v>
      </c>
      <c r="AJ3578">
        <v>90.378735533458993</v>
      </c>
      <c r="AK3578">
        <v>38.876626898156601</v>
      </c>
      <c r="AL3578">
        <v>79.825296736507994</v>
      </c>
      <c r="AM3578">
        <v>92.119151621070301</v>
      </c>
      <c r="AN3578">
        <v>1.00000005915534</v>
      </c>
    </row>
    <row r="3579" spans="1:40" x14ac:dyDescent="0.25">
      <c r="A3579" t="str">
        <f>"20190304155703973"</f>
        <v>20190304155703973</v>
      </c>
      <c r="B3579" t="str">
        <f>"1551686223967876"</f>
        <v>1551686223967876</v>
      </c>
      <c r="C3579" t="s">
        <v>40</v>
      </c>
      <c r="D3579">
        <v>4.6425010000000002</v>
      </c>
      <c r="E3579">
        <v>0.50799070000000002</v>
      </c>
      <c r="F3579" t="s">
        <v>64</v>
      </c>
      <c r="G3579">
        <v>-308.8519</v>
      </c>
      <c r="H3579" s="1">
        <v>1.0830729999999999E-6</v>
      </c>
      <c r="I3579">
        <v>214.65899999999999</v>
      </c>
      <c r="J3579">
        <v>-348.01119999999997</v>
      </c>
      <c r="K3579">
        <v>1.109586</v>
      </c>
      <c r="L3579">
        <v>214.39789999999999</v>
      </c>
      <c r="M3579">
        <v>0.99994550000000004</v>
      </c>
      <c r="N3579">
        <v>-1.0431640000000001E-2</v>
      </c>
      <c r="O3579">
        <v>4.8782110000000002E-4</v>
      </c>
      <c r="P3579">
        <v>0.98531619999999998</v>
      </c>
      <c r="Q3579">
        <v>0.16679189999999999</v>
      </c>
      <c r="R3579">
        <v>3.6501869999999999E-2</v>
      </c>
      <c r="S3579">
        <v>3.058319</v>
      </c>
      <c r="T3579">
        <v>-8.5747000000000004E-2</v>
      </c>
      <c r="U3579">
        <v>2.0202640000000001E-2</v>
      </c>
      <c r="V3579">
        <v>-3.6133829999999999E-2</v>
      </c>
      <c r="W3579">
        <v>0.17703829999999901</v>
      </c>
      <c r="X3579">
        <v>0.98354039999999998</v>
      </c>
      <c r="Y3579">
        <v>-6.1145940000000001E-3</v>
      </c>
      <c r="Z3579">
        <v>1.090169E-4</v>
      </c>
      <c r="AA3579">
        <v>0.99998129999999996</v>
      </c>
      <c r="AB3579">
        <v>44</v>
      </c>
      <c r="AC3579">
        <v>39.159299999999902</v>
      </c>
      <c r="AD3579">
        <v>-1.109584916927</v>
      </c>
      <c r="AE3579">
        <v>0.26110000000002698</v>
      </c>
      <c r="AF3579">
        <v>-0.24180206756007699</v>
      </c>
      <c r="AG3579">
        <v>-1.109584916927</v>
      </c>
      <c r="AH3579">
        <v>39.128008973775302</v>
      </c>
      <c r="AI3579">
        <v>91.624316907934201</v>
      </c>
      <c r="AJ3579">
        <v>90.354070190478893</v>
      </c>
      <c r="AK3579">
        <v>39.144485348252999</v>
      </c>
      <c r="AL3579">
        <v>79.802703199393306</v>
      </c>
      <c r="AM3579">
        <v>92.104016532000202</v>
      </c>
      <c r="AN3579">
        <v>0.99999996588475804</v>
      </c>
    </row>
    <row r="3580" spans="1:40" x14ac:dyDescent="0.25">
      <c r="A3580" t="str">
        <f>"20190304155703995"</f>
        <v>20190304155703995</v>
      </c>
      <c r="B3580" t="str">
        <f>"1551686223988372"</f>
        <v>1551686223988372</v>
      </c>
      <c r="C3580" t="s">
        <v>40</v>
      </c>
      <c r="D3580">
        <v>4.7019000000000002</v>
      </c>
      <c r="E3580">
        <v>0.50796600000000003</v>
      </c>
      <c r="F3580" t="s">
        <v>64</v>
      </c>
      <c r="G3580">
        <v>-308.86849999999998</v>
      </c>
      <c r="H3580" s="1">
        <v>1.0801409999999999E-6</v>
      </c>
      <c r="I3580">
        <v>214.7062</v>
      </c>
      <c r="J3580">
        <v>-347.57670000000002</v>
      </c>
      <c r="K3580">
        <v>1.109591</v>
      </c>
      <c r="L3580">
        <v>214.39830000000001</v>
      </c>
      <c r="M3580">
        <v>0.99994479999999997</v>
      </c>
      <c r="N3580">
        <v>-1.0499349999999999E-2</v>
      </c>
      <c r="O3580">
        <v>7.2007880000000003E-4</v>
      </c>
      <c r="P3580">
        <v>0.98531100000000005</v>
      </c>
      <c r="Q3580">
        <v>0.16679059999999901</v>
      </c>
      <c r="R3580">
        <v>3.6656599999999998E-2</v>
      </c>
      <c r="S3580">
        <v>3.0585019999999998</v>
      </c>
      <c r="T3580">
        <v>-8.669984E-2</v>
      </c>
      <c r="U3580">
        <v>2.4093630000000001E-2</v>
      </c>
      <c r="V3580">
        <v>-3.6060229999999999E-2</v>
      </c>
      <c r="W3580">
        <v>0.17710399999999901</v>
      </c>
      <c r="X3580">
        <v>0.9835313</v>
      </c>
      <c r="Y3580">
        <v>-7.1534260000000001E-3</v>
      </c>
      <c r="Z3580">
        <v>1.2608459999999901E-4</v>
      </c>
      <c r="AA3580">
        <v>0.99997440000000004</v>
      </c>
      <c r="AB3580">
        <v>44</v>
      </c>
      <c r="AC3580">
        <v>38.708199999999998</v>
      </c>
      <c r="AD3580">
        <v>-1.109589919859</v>
      </c>
      <c r="AE3580">
        <v>0.30789999999998902</v>
      </c>
      <c r="AF3580">
        <v>-0.27979553801549001</v>
      </c>
      <c r="AG3580">
        <v>-1.109589919859</v>
      </c>
      <c r="AH3580">
        <v>38.676632687699403</v>
      </c>
      <c r="AI3580">
        <v>91.643258982198603</v>
      </c>
      <c r="AJ3580">
        <v>90.414483441090596</v>
      </c>
      <c r="AK3580">
        <v>38.693557492075598</v>
      </c>
      <c r="AL3580">
        <v>79.798878702547697</v>
      </c>
      <c r="AM3580">
        <v>92.099754168997805</v>
      </c>
      <c r="AN3580">
        <v>0.99999999254167105</v>
      </c>
    </row>
    <row r="3581" spans="1:40" x14ac:dyDescent="0.25">
      <c r="A3581" t="str">
        <f>"20190304155704094"</f>
        <v>20190304155704094</v>
      </c>
      <c r="B3581" t="str">
        <f>"1551686224087924"</f>
        <v>1551686224087924</v>
      </c>
      <c r="C3581" t="s">
        <v>40</v>
      </c>
      <c r="D3581">
        <v>4.6806099999999997</v>
      </c>
      <c r="E3581">
        <v>0.50519190000000003</v>
      </c>
      <c r="F3581" t="s">
        <v>64</v>
      </c>
      <c r="G3581">
        <v>-308.75470000000001</v>
      </c>
      <c r="H3581" s="1">
        <v>1.100328E-6</v>
      </c>
      <c r="I3581">
        <v>214.71530000000001</v>
      </c>
      <c r="J3581">
        <v>-345.61250000000001</v>
      </c>
      <c r="K3581">
        <v>1.109672</v>
      </c>
      <c r="L3581">
        <v>214.40119999999999</v>
      </c>
      <c r="M3581">
        <v>0.99993869999999896</v>
      </c>
      <c r="N3581">
        <v>-1.0935E-2</v>
      </c>
      <c r="O3581">
        <v>1.765165E-3</v>
      </c>
      <c r="P3581">
        <v>0.9854773</v>
      </c>
      <c r="Q3581">
        <v>0.16622210000000001</v>
      </c>
      <c r="R3581">
        <v>3.4708839999999998E-2</v>
      </c>
      <c r="S3581">
        <v>3.0586549999999999</v>
      </c>
      <c r="T3581">
        <v>-8.7420819999999996E-2</v>
      </c>
      <c r="U3581">
        <v>2.497864E-2</v>
      </c>
      <c r="V3581">
        <v>-3.3084719999999998E-2</v>
      </c>
      <c r="W3581">
        <v>0.1769675</v>
      </c>
      <c r="X3581">
        <v>0.98366050000000005</v>
      </c>
      <c r="Y3581">
        <v>-6.3977110000000004E-3</v>
      </c>
      <c r="Z3581" s="1">
        <v>9.5258990000000003E-5</v>
      </c>
      <c r="AA3581">
        <v>0.99997959999999997</v>
      </c>
      <c r="AB3581">
        <v>44</v>
      </c>
      <c r="AC3581">
        <v>36.857799999999997</v>
      </c>
      <c r="AD3581">
        <v>-1.1096708996719999</v>
      </c>
      <c r="AE3581">
        <v>0.31410000000002403</v>
      </c>
      <c r="AF3581">
        <v>-0.24881001496733801</v>
      </c>
      <c r="AG3581">
        <v>-1.1096708996719999</v>
      </c>
      <c r="AH3581">
        <v>36.824920615598401</v>
      </c>
      <c r="AI3581">
        <v>91.725971828903596</v>
      </c>
      <c r="AJ3581">
        <v>90.387116838135697</v>
      </c>
      <c r="AK3581">
        <v>36.842476223433401</v>
      </c>
      <c r="AL3581">
        <v>79.806825552460396</v>
      </c>
      <c r="AM3581">
        <v>91.926376521929001</v>
      </c>
      <c r="AN3581">
        <v>1.0000000370069799</v>
      </c>
    </row>
    <row r="3582" spans="1:40" x14ac:dyDescent="0.25">
      <c r="A3582" t="str">
        <f>"20190304155704117"</f>
        <v>20190304155704117</v>
      </c>
      <c r="B3582" t="str">
        <f>"1551686224108423"</f>
        <v>1551686224108423</v>
      </c>
      <c r="C3582" t="s">
        <v>40</v>
      </c>
      <c r="D3582">
        <v>5.7426500000000003</v>
      </c>
      <c r="E3582">
        <v>0.50318739999999995</v>
      </c>
      <c r="F3582" t="s">
        <v>42</v>
      </c>
      <c r="G3582">
        <v>-344.6232</v>
      </c>
      <c r="H3582">
        <v>0.95724739999999997</v>
      </c>
      <c r="I3582">
        <v>214.41030000000001</v>
      </c>
      <c r="J3582">
        <v>-345.16550000000001</v>
      </c>
      <c r="K3582">
        <v>1.1096870000000001</v>
      </c>
      <c r="L3582">
        <v>214.40219999999999</v>
      </c>
      <c r="M3582">
        <v>0.99993710000000002</v>
      </c>
      <c r="N3582">
        <v>-1.1046129999999999E-2</v>
      </c>
      <c r="O3582">
        <v>1.9932550000000002E-3</v>
      </c>
      <c r="P3582">
        <v>0.98544710000000002</v>
      </c>
      <c r="Q3582">
        <v>0.16649539999999999</v>
      </c>
      <c r="R3582">
        <v>3.4256549999999997E-2</v>
      </c>
      <c r="S3582">
        <v>3.1244200000000002</v>
      </c>
      <c r="T3582">
        <v>-0.48147319999999999</v>
      </c>
      <c r="U3582">
        <v>2.9281620000000001E-2</v>
      </c>
      <c r="V3582">
        <v>-3.2407020000000002E-2</v>
      </c>
      <c r="W3582">
        <v>0.17735090000000001</v>
      </c>
      <c r="X3582">
        <v>0.98361399999999999</v>
      </c>
      <c r="Y3582">
        <v>-7.3059240000000001E-3</v>
      </c>
      <c r="Z3582">
        <v>3.1676099999999998E-4</v>
      </c>
      <c r="AA3582">
        <v>0.99997320000000001</v>
      </c>
      <c r="AB3582">
        <v>44</v>
      </c>
      <c r="AC3582">
        <v>0.542300000000011</v>
      </c>
      <c r="AD3582">
        <v>-0.15243960000000001</v>
      </c>
      <c r="AE3582">
        <v>8.1000000000130898E-3</v>
      </c>
      <c r="AF3582">
        <v>-6.50508326150534E-3</v>
      </c>
      <c r="AG3582">
        <v>-0.15243960000000001</v>
      </c>
      <c r="AH3582">
        <v>0.50260960305636604</v>
      </c>
      <c r="AI3582">
        <v>106.871020303535</v>
      </c>
      <c r="AJ3582">
        <v>90.741515889926603</v>
      </c>
      <c r="AK3582">
        <v>0.525258565699673</v>
      </c>
      <c r="AL3582">
        <v>79.784505209703397</v>
      </c>
      <c r="AM3582">
        <v>91.887035020399694</v>
      </c>
      <c r="AN3582">
        <v>1.00000002883604</v>
      </c>
    </row>
    <row r="3583" spans="1:40" x14ac:dyDescent="0.25">
      <c r="A3583" t="str">
        <f>"20190304155704133"</f>
        <v>20190304155704133</v>
      </c>
      <c r="B3583" t="str">
        <f>"1551686224127940"</f>
        <v>1551686224127940</v>
      </c>
      <c r="C3583" t="s">
        <v>40</v>
      </c>
      <c r="D3583">
        <v>4.688917</v>
      </c>
      <c r="E3583">
        <v>0.50143209999999905</v>
      </c>
      <c r="F3583" t="s">
        <v>42</v>
      </c>
      <c r="G3583">
        <v>-344.20049999999998</v>
      </c>
      <c r="H3583">
        <v>1.012758</v>
      </c>
      <c r="I3583">
        <v>214.4177</v>
      </c>
      <c r="J3583">
        <v>-344.8329</v>
      </c>
      <c r="K3583">
        <v>1.1096919999999999</v>
      </c>
      <c r="L3583">
        <v>214.40299999999999</v>
      </c>
      <c r="M3583">
        <v>0.99993589999999999</v>
      </c>
      <c r="N3583">
        <v>-1.1127349999999999E-2</v>
      </c>
      <c r="O3583">
        <v>2.1573429999999999E-3</v>
      </c>
      <c r="P3583">
        <v>0.98543289999999994</v>
      </c>
      <c r="Q3583">
        <v>0.16659579999999999</v>
      </c>
      <c r="R3583">
        <v>3.4173729999999999E-2</v>
      </c>
      <c r="S3583">
        <v>3.0951230000000001</v>
      </c>
      <c r="T3583">
        <v>-0.31102590000000002</v>
      </c>
      <c r="U3583">
        <v>5.0506589999999997E-2</v>
      </c>
      <c r="V3583">
        <v>-3.2160649999999999E-2</v>
      </c>
      <c r="W3583">
        <v>0.1775311</v>
      </c>
      <c r="X3583">
        <v>0.98358950000000001</v>
      </c>
      <c r="Y3583">
        <v>-1.408848E-2</v>
      </c>
      <c r="Z3583">
        <v>5.9237579999999997E-4</v>
      </c>
      <c r="AA3583">
        <v>0.99990060000000003</v>
      </c>
      <c r="AB3583">
        <v>44</v>
      </c>
      <c r="AC3583">
        <v>0.63240000000001795</v>
      </c>
      <c r="AD3583">
        <v>-9.6933999999999798E-2</v>
      </c>
      <c r="AE3583">
        <v>1.47000000000048E-2</v>
      </c>
      <c r="AF3583">
        <v>-1.30296171209729E-2</v>
      </c>
      <c r="AG3583">
        <v>-9.6933999999999798E-2</v>
      </c>
      <c r="AH3583">
        <v>0.61792027696261698</v>
      </c>
      <c r="AI3583">
        <v>98.913459674034499</v>
      </c>
      <c r="AJ3583">
        <v>91.207973717853704</v>
      </c>
      <c r="AK3583">
        <v>0.62561285149833401</v>
      </c>
      <c r="AL3583">
        <v>79.774013233275099</v>
      </c>
      <c r="AM3583">
        <v>91.872745958518905</v>
      </c>
      <c r="AN3583">
        <v>0.99999995169293998</v>
      </c>
    </row>
    <row r="3584" spans="1:40" x14ac:dyDescent="0.25">
      <c r="A3584" t="str">
        <f>"20190304155704150"</f>
        <v>20190304155704150</v>
      </c>
      <c r="B3584" t="str">
        <f>"1551686224148436"</f>
        <v>1551686224148436</v>
      </c>
      <c r="C3584" t="s">
        <v>40</v>
      </c>
      <c r="D3584">
        <v>4.7321439999999999</v>
      </c>
      <c r="E3584">
        <v>0.49683929999999998</v>
      </c>
      <c r="F3584" t="s">
        <v>42</v>
      </c>
      <c r="G3584">
        <v>-343.79360000000003</v>
      </c>
      <c r="H3584">
        <v>1.0292829999999999</v>
      </c>
      <c r="I3584">
        <v>214.4254</v>
      </c>
      <c r="J3584">
        <v>-344.50150000000002</v>
      </c>
      <c r="K3584">
        <v>1.109693</v>
      </c>
      <c r="L3584">
        <v>214.40379999999999</v>
      </c>
      <c r="M3584">
        <v>0.99993460000000001</v>
      </c>
      <c r="N3584">
        <v>-1.120736E-2</v>
      </c>
      <c r="O3584">
        <v>2.3150879999999999E-3</v>
      </c>
      <c r="P3584">
        <v>0.98544219999999905</v>
      </c>
      <c r="Q3584">
        <v>0.1665836</v>
      </c>
      <c r="R3584">
        <v>3.3969199999999998E-2</v>
      </c>
      <c r="S3584">
        <v>3.082306</v>
      </c>
      <c r="T3584">
        <v>-0.23850740000000001</v>
      </c>
      <c r="U3584">
        <v>6.6848749999999998E-2</v>
      </c>
      <c r="V3584">
        <v>-3.1798170000000001E-2</v>
      </c>
      <c r="W3584">
        <v>0.1775986</v>
      </c>
      <c r="X3584">
        <v>0.98358909999999999</v>
      </c>
      <c r="Y3584">
        <v>-1.9307040000000001E-2</v>
      </c>
      <c r="Z3584">
        <v>7.0123429999999903E-4</v>
      </c>
      <c r="AA3584">
        <v>0.99981339999999996</v>
      </c>
      <c r="AB3584">
        <v>44</v>
      </c>
      <c r="AC3584">
        <v>0.70789999999999498</v>
      </c>
      <c r="AD3584">
        <v>-8.0409999999999995E-2</v>
      </c>
      <c r="AE3584">
        <v>2.1600000000006499E-2</v>
      </c>
      <c r="AF3584">
        <v>-1.9706954625584101E-2</v>
      </c>
      <c r="AG3584">
        <v>-8.0409999999999995E-2</v>
      </c>
      <c r="AH3584">
        <v>0.69893839690695903</v>
      </c>
      <c r="AI3584">
        <v>96.560207796857895</v>
      </c>
      <c r="AJ3584">
        <v>91.615058294964001</v>
      </c>
      <c r="AK3584">
        <v>0.70382456253777104</v>
      </c>
      <c r="AL3584">
        <v>79.7700833211331</v>
      </c>
      <c r="AM3584">
        <v>91.851653925052901</v>
      </c>
      <c r="AN3584">
        <v>0.99999995198805802</v>
      </c>
    </row>
    <row r="3585" spans="1:40" x14ac:dyDescent="0.25">
      <c r="A3585" t="str">
        <f>"20190304155704174"</f>
        <v>20190304155704174</v>
      </c>
      <c r="B3585" t="str">
        <f>"1551686224167956"</f>
        <v>1551686224167956</v>
      </c>
      <c r="C3585" t="s">
        <v>40</v>
      </c>
      <c r="D3585">
        <v>4.7921279999999999</v>
      </c>
      <c r="E3585">
        <v>0.49470799999999998</v>
      </c>
      <c r="F3585" t="s">
        <v>55</v>
      </c>
      <c r="G3585">
        <v>-328.15550000000002</v>
      </c>
      <c r="H3585" s="1">
        <v>2.8031330000000002E-6</v>
      </c>
      <c r="I3585">
        <v>214.95769999999999</v>
      </c>
      <c r="J3585">
        <v>-344.02260000000001</v>
      </c>
      <c r="K3585">
        <v>1.109685</v>
      </c>
      <c r="L3585">
        <v>214.4051</v>
      </c>
      <c r="M3585">
        <v>0.99993279999999995</v>
      </c>
      <c r="N3585">
        <v>-1.132289E-2</v>
      </c>
      <c r="O3585">
        <v>2.5263149999999999E-3</v>
      </c>
      <c r="P3585">
        <v>0.98540550000000005</v>
      </c>
      <c r="Q3585">
        <v>0.16674249999999999</v>
      </c>
      <c r="R3585">
        <v>3.4251599999999903E-2</v>
      </c>
      <c r="S3585">
        <v>3.0760190000000001</v>
      </c>
      <c r="T3585">
        <v>-0.20882319999999999</v>
      </c>
      <c r="U3585">
        <v>0.1042328</v>
      </c>
      <c r="V3585">
        <v>-3.1866930000000002E-2</v>
      </c>
      <c r="W3585">
        <v>0.1778718</v>
      </c>
      <c r="X3585">
        <v>0.98353760000000001</v>
      </c>
      <c r="Y3585">
        <v>-3.1261169999999998E-2</v>
      </c>
      <c r="Z3585">
        <v>1.094189E-3</v>
      </c>
      <c r="AA3585">
        <v>0.99951060000000003</v>
      </c>
      <c r="AB3585">
        <v>44</v>
      </c>
      <c r="AC3585">
        <v>15.867099999999899</v>
      </c>
      <c r="AD3585">
        <v>-1.1096821968670001</v>
      </c>
      <c r="AE3585">
        <v>0.55259999999998399</v>
      </c>
      <c r="AF3585">
        <v>-0.51001887170423299</v>
      </c>
      <c r="AG3585">
        <v>-1.1096821968670001</v>
      </c>
      <c r="AH3585">
        <v>15.7913030013717</v>
      </c>
      <c r="AI3585">
        <v>94.017577763606297</v>
      </c>
      <c r="AJ3585">
        <v>91.849864729958497</v>
      </c>
      <c r="AK3585">
        <v>15.838458394322</v>
      </c>
      <c r="AL3585">
        <v>79.754177814661006</v>
      </c>
      <c r="AM3585">
        <v>91.855752221902605</v>
      </c>
      <c r="AN3585">
        <v>1.0000000445383099</v>
      </c>
    </row>
    <row r="3586" spans="1:40" x14ac:dyDescent="0.25">
      <c r="A3586" t="str">
        <f>"20190304155704207"</f>
        <v>20190304155704207</v>
      </c>
      <c r="B3586" t="str">
        <f>"1551686224198212"</f>
        <v>1551686224198212</v>
      </c>
      <c r="C3586" t="s">
        <v>40</v>
      </c>
      <c r="D3586">
        <v>4.6627960000000002</v>
      </c>
      <c r="E3586">
        <v>0.49242550000000002</v>
      </c>
      <c r="F3586" t="s">
        <v>55</v>
      </c>
      <c r="G3586">
        <v>-326.00259999999997</v>
      </c>
      <c r="H3586" s="1">
        <v>1.6574739999999999E-6</v>
      </c>
      <c r="I3586">
        <v>215.12620000000001</v>
      </c>
      <c r="J3586">
        <v>-343.37509999999997</v>
      </c>
      <c r="K3586">
        <v>1.109677</v>
      </c>
      <c r="L3586">
        <v>214.40700000000001</v>
      </c>
      <c r="M3586">
        <v>0.99993030000000005</v>
      </c>
      <c r="N3586">
        <v>-1.147951E-2</v>
      </c>
      <c r="O3586">
        <v>2.7790699999999998E-3</v>
      </c>
      <c r="P3586">
        <v>0.98540399999999995</v>
      </c>
      <c r="Q3586">
        <v>0.16672100000000001</v>
      </c>
      <c r="R3586">
        <v>3.4399100000000002E-2</v>
      </c>
      <c r="S3586">
        <v>3.072174</v>
      </c>
      <c r="T3586">
        <v>-0.18918560000000001</v>
      </c>
      <c r="U3586">
        <v>0.1229401</v>
      </c>
      <c r="V3586">
        <v>-3.1755470000000001E-2</v>
      </c>
      <c r="W3586">
        <v>0.178006</v>
      </c>
      <c r="X3586">
        <v>0.98351690000000003</v>
      </c>
      <c r="Y3586">
        <v>-3.7128229999999998E-2</v>
      </c>
      <c r="Z3586">
        <v>1.2160490000000001E-3</v>
      </c>
      <c r="AA3586">
        <v>0.99930980000000003</v>
      </c>
      <c r="AB3586">
        <v>44</v>
      </c>
      <c r="AC3586">
        <v>17.372499999999999</v>
      </c>
      <c r="AD3586">
        <v>-1.109675342526</v>
      </c>
      <c r="AE3586">
        <v>0.71919999999999995</v>
      </c>
      <c r="AF3586">
        <v>-0.66819304241172495</v>
      </c>
      <c r="AG3586">
        <v>-1.109675342526</v>
      </c>
      <c r="AH3586">
        <v>17.303951267184701</v>
      </c>
      <c r="AI3586">
        <v>93.666539225231901</v>
      </c>
      <c r="AJ3586">
        <v>92.2113810086299</v>
      </c>
      <c r="AK3586">
        <v>17.352365566828102</v>
      </c>
      <c r="AL3586">
        <v>79.746363763215697</v>
      </c>
      <c r="AM3586">
        <v>91.849304822370399</v>
      </c>
      <c r="AN3586">
        <v>1.0000000192482601</v>
      </c>
    </row>
    <row r="3587" spans="1:40" x14ac:dyDescent="0.25">
      <c r="A3587" t="str">
        <f>"20190304155704228"</f>
        <v>20190304155704228</v>
      </c>
      <c r="B3587" t="str">
        <f>"1551686224218708"</f>
        <v>1551686224218708</v>
      </c>
      <c r="C3587" t="s">
        <v>40</v>
      </c>
      <c r="D3587">
        <v>4.7363280000000003</v>
      </c>
      <c r="E3587">
        <v>0.49100880000000002</v>
      </c>
      <c r="F3587" t="s">
        <v>55</v>
      </c>
      <c r="G3587">
        <v>-323.27949999999998</v>
      </c>
      <c r="H3587" s="1">
        <v>2.0840070000000001E-7</v>
      </c>
      <c r="I3587">
        <v>215.3417</v>
      </c>
      <c r="J3587">
        <v>-342.97379999999998</v>
      </c>
      <c r="K3587">
        <v>1.109667</v>
      </c>
      <c r="L3587">
        <v>214.40819999999999</v>
      </c>
      <c r="M3587">
        <v>0.99992879999999995</v>
      </c>
      <c r="N3587">
        <v>-1.157909E-2</v>
      </c>
      <c r="O3587">
        <v>2.9082079999999998E-3</v>
      </c>
      <c r="P3587">
        <v>0.98543519999999896</v>
      </c>
      <c r="Q3587">
        <v>0.16650960000000001</v>
      </c>
      <c r="R3587">
        <v>3.452943E-2</v>
      </c>
      <c r="S3587">
        <v>3.068146</v>
      </c>
      <c r="T3587">
        <v>-0.16942309999999999</v>
      </c>
      <c r="U3587">
        <v>0.1427002</v>
      </c>
      <c r="V3587">
        <v>-3.1750489999999999E-2</v>
      </c>
      <c r="W3587">
        <v>0.17789430000000001</v>
      </c>
      <c r="X3587">
        <v>0.98353729999999995</v>
      </c>
      <c r="Y3587">
        <v>-4.3477330000000002E-2</v>
      </c>
      <c r="Z3587">
        <v>1.324197E-3</v>
      </c>
      <c r="AA3587">
        <v>0.99905350000000004</v>
      </c>
      <c r="AB3587">
        <v>44</v>
      </c>
      <c r="AC3587">
        <v>19.694299999999998</v>
      </c>
      <c r="AD3587">
        <v>-1.1096667915992999</v>
      </c>
      <c r="AE3587">
        <v>0.93350000000000899</v>
      </c>
      <c r="AF3587">
        <v>-0.87345035934755699</v>
      </c>
      <c r="AG3587">
        <v>-1.1096667915992999</v>
      </c>
      <c r="AH3587">
        <v>19.634736834375602</v>
      </c>
      <c r="AI3587">
        <v>93.231469170544898</v>
      </c>
      <c r="AJ3587">
        <v>92.547120810397104</v>
      </c>
      <c r="AK3587">
        <v>19.685455709071299</v>
      </c>
      <c r="AL3587">
        <v>79.752867802820703</v>
      </c>
      <c r="AM3587">
        <v>91.848976684824095</v>
      </c>
      <c r="AN3587">
        <v>1.0000000480394999</v>
      </c>
    </row>
    <row r="3588" spans="1:40" x14ac:dyDescent="0.25">
      <c r="A3588" t="str">
        <f>"20190304155704251"</f>
        <v>20190304155704251</v>
      </c>
      <c r="B3588" t="str">
        <f>"1551686224247988"</f>
        <v>1551686224247988</v>
      </c>
      <c r="C3588" t="s">
        <v>40</v>
      </c>
      <c r="D3588">
        <v>4.7730509999999997</v>
      </c>
      <c r="E3588">
        <v>0.4892223</v>
      </c>
      <c r="F3588" t="s">
        <v>55</v>
      </c>
      <c r="G3588">
        <v>-322.209</v>
      </c>
      <c r="H3588" s="1">
        <v>-3.6126910000000002E-7</v>
      </c>
      <c r="I3588">
        <v>215.4556</v>
      </c>
      <c r="J3588">
        <v>-342.51100000000002</v>
      </c>
      <c r="K3588">
        <v>1.109661</v>
      </c>
      <c r="L3588">
        <v>214.40969999999999</v>
      </c>
      <c r="M3588">
        <v>0.99992700000000001</v>
      </c>
      <c r="N3588">
        <v>-1.1704239999999999E-2</v>
      </c>
      <c r="O3588">
        <v>3.0149830000000002E-3</v>
      </c>
      <c r="P3588">
        <v>0.98544370000000003</v>
      </c>
      <c r="Q3588">
        <v>0.16641789999999901</v>
      </c>
      <c r="R3588">
        <v>3.4727769999999998E-2</v>
      </c>
      <c r="S3588">
        <v>3.066589</v>
      </c>
      <c r="T3588">
        <v>-0.16387829999999901</v>
      </c>
      <c r="U3588">
        <v>0.15467829999999999</v>
      </c>
      <c r="V3588">
        <v>-3.1830959999999998E-2</v>
      </c>
      <c r="W3588">
        <v>0.17792849999999999</v>
      </c>
      <c r="X3588">
        <v>0.98352839999999997</v>
      </c>
      <c r="Y3588">
        <v>-4.7284760000000002E-2</v>
      </c>
      <c r="Z3588">
        <v>1.4132350000000001E-3</v>
      </c>
      <c r="AA3588">
        <v>0.9988804</v>
      </c>
      <c r="AB3588">
        <v>44</v>
      </c>
      <c r="AC3588">
        <v>20.3019999999999</v>
      </c>
      <c r="AD3588">
        <v>-1.1096613612691</v>
      </c>
      <c r="AE3588">
        <v>1.04590000000001</v>
      </c>
      <c r="AF3588">
        <v>-0.98175567012164999</v>
      </c>
      <c r="AG3588">
        <v>-1.1096613612691</v>
      </c>
      <c r="AH3588">
        <v>20.244740872793201</v>
      </c>
      <c r="AI3588">
        <v>93.133700311453197</v>
      </c>
      <c r="AJ3588">
        <v>92.776346908946195</v>
      </c>
      <c r="AK3588">
        <v>20.2988848348635</v>
      </c>
      <c r="AL3588">
        <v>79.750875372782005</v>
      </c>
      <c r="AM3588">
        <v>91.853676319114498</v>
      </c>
      <c r="AN3588">
        <v>0.99999993736666304</v>
      </c>
    </row>
    <row r="3589" spans="1:40" x14ac:dyDescent="0.25">
      <c r="A3589" t="str">
        <f>"20190304155704273"</f>
        <v>20190304155704273</v>
      </c>
      <c r="B3589" t="str">
        <f>"1551686224268485"</f>
        <v>1551686224268485</v>
      </c>
      <c r="C3589" t="s">
        <v>40</v>
      </c>
      <c r="D3589">
        <v>4.778397</v>
      </c>
      <c r="E3589">
        <v>0.4883421</v>
      </c>
      <c r="F3589" t="s">
        <v>55</v>
      </c>
      <c r="G3589">
        <v>-321.22160000000002</v>
      </c>
      <c r="H3589" s="1">
        <v>-8.8671250000000005E-7</v>
      </c>
      <c r="I3589">
        <v>215.58619999999999</v>
      </c>
      <c r="J3589">
        <v>-342.08699999999999</v>
      </c>
      <c r="K3589">
        <v>1.1096549999999901</v>
      </c>
      <c r="L3589">
        <v>214.411</v>
      </c>
      <c r="M3589">
        <v>0.99992539999999996</v>
      </c>
      <c r="N3589">
        <v>-1.183379E-2</v>
      </c>
      <c r="O3589">
        <v>3.0746250000000001E-3</v>
      </c>
      <c r="P3589">
        <v>0.98542580000000002</v>
      </c>
      <c r="Q3589">
        <v>0.1665693</v>
      </c>
      <c r="R3589">
        <v>3.4507410000000002E-2</v>
      </c>
      <c r="S3589">
        <v>3.0653990000000002</v>
      </c>
      <c r="T3589">
        <v>-0.1597769</v>
      </c>
      <c r="U3589">
        <v>0.1694031</v>
      </c>
      <c r="V3589">
        <v>-3.1539030000000003E-2</v>
      </c>
      <c r="W3589">
        <v>0.17820920000000001</v>
      </c>
      <c r="X3589">
        <v>0.98348709999999995</v>
      </c>
      <c r="Y3589">
        <v>-5.2024399999999998E-2</v>
      </c>
      <c r="Z3589">
        <v>1.538516E-3</v>
      </c>
      <c r="AA3589">
        <v>0.99864459999999999</v>
      </c>
      <c r="AB3589">
        <v>44</v>
      </c>
      <c r="AC3589">
        <v>20.865399999999902</v>
      </c>
      <c r="AD3589">
        <v>-1.1096558867124999</v>
      </c>
      <c r="AE3589">
        <v>1.17520000000001</v>
      </c>
      <c r="AF3589">
        <v>-1.10791309562564</v>
      </c>
      <c r="AG3589">
        <v>-1.1096558867124999</v>
      </c>
      <c r="AH3589">
        <v>20.810243728944599</v>
      </c>
      <c r="AI3589">
        <v>93.047959827705</v>
      </c>
      <c r="AJ3589">
        <v>93.047483388755097</v>
      </c>
      <c r="AK3589">
        <v>20.869236969100101</v>
      </c>
      <c r="AL3589">
        <v>79.734532430837902</v>
      </c>
      <c r="AM3589">
        <v>91.836764546188803</v>
      </c>
      <c r="AN3589">
        <v>1.0000000526221899</v>
      </c>
    </row>
    <row r="3590" spans="1:40" x14ac:dyDescent="0.25">
      <c r="A3590" t="str">
        <f>"20190304155704295"</f>
        <v>20190304155704295</v>
      </c>
      <c r="B3590" t="str">
        <f>"1551686224288004"</f>
        <v>1551686224288004</v>
      </c>
      <c r="C3590" t="s">
        <v>40</v>
      </c>
      <c r="D3590">
        <v>4.7611410000000003</v>
      </c>
      <c r="E3590">
        <v>0.48765700000000001</v>
      </c>
      <c r="F3590" t="s">
        <v>55</v>
      </c>
      <c r="G3590">
        <v>-320.58229999999998</v>
      </c>
      <c r="H3590" s="1">
        <v>-1.226912E-6</v>
      </c>
      <c r="I3590">
        <v>215.6456</v>
      </c>
      <c r="J3590">
        <v>-341.6361</v>
      </c>
      <c r="K3590">
        <v>1.1096459999999999</v>
      </c>
      <c r="L3590">
        <v>214.41249999999999</v>
      </c>
      <c r="M3590">
        <v>0.99992340000000002</v>
      </c>
      <c r="N3590">
        <v>-1.197846E-2</v>
      </c>
      <c r="O3590">
        <v>3.1124030000000001E-3</v>
      </c>
      <c r="P3590">
        <v>0.9853674</v>
      </c>
      <c r="Q3590">
        <v>0.16691819999999999</v>
      </c>
      <c r="R3590">
        <v>3.4491210000000001E-2</v>
      </c>
      <c r="S3590">
        <v>3.0649109999999999</v>
      </c>
      <c r="T3590">
        <v>-0.15815109999999999</v>
      </c>
      <c r="U3590">
        <v>0.1759491</v>
      </c>
      <c r="V3590">
        <v>-3.1472859999999998E-2</v>
      </c>
      <c r="W3590">
        <v>0.17870179999999999</v>
      </c>
      <c r="X3590">
        <v>0.98339980000000005</v>
      </c>
      <c r="Y3590">
        <v>-5.411937E-2</v>
      </c>
      <c r="Z3590">
        <v>1.595773E-3</v>
      </c>
      <c r="AA3590">
        <v>0.99853320000000001</v>
      </c>
      <c r="AB3590">
        <v>44</v>
      </c>
      <c r="AC3590">
        <v>21.053799999999999</v>
      </c>
      <c r="AD3590">
        <v>-1.1096472269119999</v>
      </c>
      <c r="AE3590">
        <v>1.2331000000000001</v>
      </c>
      <c r="AF3590">
        <v>-1.16433811362497</v>
      </c>
      <c r="AG3590">
        <v>-1.1096472269119999</v>
      </c>
      <c r="AH3590">
        <v>20.999402406241401</v>
      </c>
      <c r="AI3590">
        <v>93.020171345958602</v>
      </c>
      <c r="AJ3590">
        <v>93.173586599517094</v>
      </c>
      <c r="AK3590">
        <v>21.0609093258171</v>
      </c>
      <c r="AL3590">
        <v>79.705847754643997</v>
      </c>
      <c r="AM3590">
        <v>91.833076184037594</v>
      </c>
      <c r="AN3590">
        <v>1.00000002043992</v>
      </c>
    </row>
    <row r="3591" spans="1:40" x14ac:dyDescent="0.25">
      <c r="A3591" t="str">
        <f>"20190304155704318"</f>
        <v>20190304155704318</v>
      </c>
      <c r="B3591" t="str">
        <f>"1551686224308500"</f>
        <v>1551686224308500</v>
      </c>
      <c r="C3591" t="s">
        <v>40</v>
      </c>
      <c r="D3591">
        <v>4.7377929999999999</v>
      </c>
      <c r="E3591">
        <v>0.48742570000000002</v>
      </c>
      <c r="F3591" t="s">
        <v>64</v>
      </c>
      <c r="G3591">
        <v>-319.83929999999998</v>
      </c>
      <c r="H3591" s="1">
        <v>5.2689700000000003E-6</v>
      </c>
      <c r="I3591">
        <v>215.70599999999999</v>
      </c>
      <c r="J3591">
        <v>-341.19420000000002</v>
      </c>
      <c r="K3591">
        <v>1.1096469999999901</v>
      </c>
      <c r="L3591">
        <v>214.41390000000001</v>
      </c>
      <c r="M3591">
        <v>0.99992179999999997</v>
      </c>
      <c r="N3591">
        <v>-1.212323E-2</v>
      </c>
      <c r="O3591">
        <v>3.13139E-3</v>
      </c>
      <c r="P3591">
        <v>0.9853944</v>
      </c>
      <c r="Q3591">
        <v>0.16668450000000001</v>
      </c>
      <c r="R3591">
        <v>3.484698E-2</v>
      </c>
      <c r="S3591">
        <v>3.0646059999999999</v>
      </c>
      <c r="T3591">
        <v>-0.1560144</v>
      </c>
      <c r="U3591">
        <v>0.18186949999999999</v>
      </c>
      <c r="V3591">
        <v>-3.1799279999999999E-2</v>
      </c>
      <c r="W3591">
        <v>0.1786131</v>
      </c>
      <c r="X3591">
        <v>0.98340539999999999</v>
      </c>
      <c r="Y3591">
        <v>-5.6027269999999997E-2</v>
      </c>
      <c r="Z3591">
        <v>1.6429019999999999E-3</v>
      </c>
      <c r="AA3591">
        <v>0.99842790000000003</v>
      </c>
      <c r="AB3591">
        <v>44</v>
      </c>
      <c r="AC3591">
        <v>21.354900000000001</v>
      </c>
      <c r="AD3591">
        <v>-1.10964173102999</v>
      </c>
      <c r="AE3591">
        <v>1.2920999999999701</v>
      </c>
      <c r="AF3591">
        <v>-1.2219310118203801</v>
      </c>
      <c r="AG3591">
        <v>-1.10964173102999</v>
      </c>
      <c r="AH3591">
        <v>21.301536406965798</v>
      </c>
      <c r="AI3591">
        <v>92.977076768150894</v>
      </c>
      <c r="AJ3591">
        <v>93.2830894035027</v>
      </c>
      <c r="AK3591">
        <v>21.365389616531299</v>
      </c>
      <c r="AL3591">
        <v>79.711012854500495</v>
      </c>
      <c r="AM3591">
        <v>91.852064176876695</v>
      </c>
      <c r="AN3591">
        <v>1.00000000722464</v>
      </c>
    </row>
    <row r="3592" spans="1:40" x14ac:dyDescent="0.25">
      <c r="A3592" t="str">
        <f>"20190304155704340"</f>
        <v>20190304155704340</v>
      </c>
      <c r="B3592" t="str">
        <f>"1551686224328020"</f>
        <v>1551686224328020</v>
      </c>
      <c r="C3592" t="s">
        <v>40</v>
      </c>
      <c r="D3592">
        <v>4.7322240000000004</v>
      </c>
      <c r="E3592">
        <v>0.48721330000000002</v>
      </c>
      <c r="F3592" t="s">
        <v>64</v>
      </c>
      <c r="G3592">
        <v>-319.08670000000001</v>
      </c>
      <c r="H3592" s="1">
        <v>4.9352239999999996E-6</v>
      </c>
      <c r="I3592">
        <v>215.7474</v>
      </c>
      <c r="J3592">
        <v>-340.74630000000002</v>
      </c>
      <c r="K3592">
        <v>1.109648</v>
      </c>
      <c r="L3592">
        <v>214.4153</v>
      </c>
      <c r="M3592">
        <v>0.99992000000000003</v>
      </c>
      <c r="N3592">
        <v>-1.226996E-2</v>
      </c>
      <c r="O3592">
        <v>3.1407980000000002E-3</v>
      </c>
      <c r="P3592">
        <v>0.9853227</v>
      </c>
      <c r="Q3592">
        <v>0.1671811</v>
      </c>
      <c r="R3592">
        <v>3.44994E-2</v>
      </c>
      <c r="S3592">
        <v>3.063904</v>
      </c>
      <c r="T3592">
        <v>-0.15378649999999999</v>
      </c>
      <c r="U3592">
        <v>0.18481449999999999</v>
      </c>
      <c r="V3592">
        <v>-3.143307E-2</v>
      </c>
      <c r="W3592">
        <v>0.17925489999999999</v>
      </c>
      <c r="X3592">
        <v>0.98330039999999996</v>
      </c>
      <c r="Y3592">
        <v>-5.6988080000000003E-2</v>
      </c>
      <c r="Z3592">
        <v>1.659317E-3</v>
      </c>
      <c r="AA3592">
        <v>0.99837350000000002</v>
      </c>
      <c r="AB3592">
        <v>44</v>
      </c>
      <c r="AC3592">
        <v>21.659600000000001</v>
      </c>
      <c r="AD3592">
        <v>-1.1096430647759901</v>
      </c>
      <c r="AE3592">
        <v>1.3320999999999901</v>
      </c>
      <c r="AF3592">
        <v>-1.26076334282668</v>
      </c>
      <c r="AG3592">
        <v>-1.1096430647759901</v>
      </c>
      <c r="AH3592">
        <v>21.6071804716405</v>
      </c>
      <c r="AI3592">
        <v>92.934875714050804</v>
      </c>
      <c r="AJ3592">
        <v>93.339380908322099</v>
      </c>
      <c r="AK3592">
        <v>21.672357506091998</v>
      </c>
      <c r="AL3592">
        <v>79.673637320881994</v>
      </c>
      <c r="AM3592">
        <v>91.830945212293798</v>
      </c>
      <c r="AN3592">
        <v>1.0000000168518901</v>
      </c>
    </row>
    <row r="3593" spans="1:40" x14ac:dyDescent="0.25">
      <c r="A3593" t="str">
        <f>"20190304155704362"</f>
        <v>20190304155704362</v>
      </c>
      <c r="B3593" t="str">
        <f>"1551686224358277"</f>
        <v>1551686224358277</v>
      </c>
      <c r="C3593" t="s">
        <v>40</v>
      </c>
      <c r="D3593">
        <v>4.7398669999999896</v>
      </c>
      <c r="E3593">
        <v>0.48696339999999999</v>
      </c>
      <c r="F3593" t="s">
        <v>64</v>
      </c>
      <c r="G3593">
        <v>-318.08109999999999</v>
      </c>
      <c r="H3593" s="1">
        <v>4.4892899999999997E-6</v>
      </c>
      <c r="I3593">
        <v>215.79130000000001</v>
      </c>
      <c r="J3593">
        <v>-340.31509999999997</v>
      </c>
      <c r="K3593">
        <v>1.109645</v>
      </c>
      <c r="L3593">
        <v>214.41669999999999</v>
      </c>
      <c r="M3593">
        <v>0.99991810000000003</v>
      </c>
      <c r="N3593">
        <v>-1.240758E-2</v>
      </c>
      <c r="O3593">
        <v>3.1474239999999998E-3</v>
      </c>
      <c r="P3593">
        <v>0.98528720000000003</v>
      </c>
      <c r="Q3593">
        <v>0.16750370000000001</v>
      </c>
      <c r="R3593">
        <v>3.3943090000000002E-2</v>
      </c>
      <c r="S3593">
        <v>3.063599</v>
      </c>
      <c r="T3593">
        <v>-0.14998789999999901</v>
      </c>
      <c r="U3593">
        <v>0.1859894</v>
      </c>
      <c r="V3593">
        <v>-3.0862170000000001E-2</v>
      </c>
      <c r="W3593">
        <v>0.1797137</v>
      </c>
      <c r="X3593">
        <v>0.98323470000000002</v>
      </c>
      <c r="Y3593">
        <v>-5.7371909999999998E-2</v>
      </c>
      <c r="Z3593">
        <v>1.6439579999999901E-3</v>
      </c>
      <c r="AA3593">
        <v>0.99835149999999995</v>
      </c>
      <c r="AB3593">
        <v>44</v>
      </c>
      <c r="AC3593">
        <v>22.233999999999899</v>
      </c>
      <c r="AD3593">
        <v>-1.10964051071</v>
      </c>
      <c r="AE3593">
        <v>1.37460000000001</v>
      </c>
      <c r="AF3593">
        <v>-1.30137891819714</v>
      </c>
      <c r="AG3593">
        <v>-1.10964051071</v>
      </c>
      <c r="AH3593">
        <v>22.1831743730373</v>
      </c>
      <c r="AI3593">
        <v>92.858739600623593</v>
      </c>
      <c r="AJ3593">
        <v>93.357416539584406</v>
      </c>
      <c r="AK3593">
        <v>22.249002548795701</v>
      </c>
      <c r="AL3593">
        <v>79.646915715844301</v>
      </c>
      <c r="AM3593">
        <v>91.797832919469499</v>
      </c>
      <c r="AN3593">
        <v>0.99999998139444402</v>
      </c>
    </row>
    <row r="3594" spans="1:40" x14ac:dyDescent="0.25">
      <c r="A3594" t="str">
        <f>"20190304155704386"</f>
        <v>20190304155704386</v>
      </c>
      <c r="B3594" t="str">
        <f>"1551686224378772"</f>
        <v>1551686224378772</v>
      </c>
      <c r="C3594" t="s">
        <v>40</v>
      </c>
      <c r="D3594">
        <v>4.8059059999999896</v>
      </c>
      <c r="E3594">
        <v>0.48653220000000003</v>
      </c>
      <c r="F3594" t="s">
        <v>64</v>
      </c>
      <c r="G3594">
        <v>-317.15140000000002</v>
      </c>
      <c r="H3594" s="1">
        <v>4.0769839999999997E-6</v>
      </c>
      <c r="I3594">
        <v>215.8357</v>
      </c>
      <c r="J3594">
        <v>-339.84010000000001</v>
      </c>
      <c r="K3594">
        <v>1.109639</v>
      </c>
      <c r="L3594">
        <v>214.41820000000001</v>
      </c>
      <c r="M3594">
        <v>0.99991640000000004</v>
      </c>
      <c r="N3594">
        <v>-1.254953E-2</v>
      </c>
      <c r="O3594">
        <v>3.1541490000000002E-3</v>
      </c>
      <c r="P3594">
        <v>0.98542209999999997</v>
      </c>
      <c r="Q3594">
        <v>0.16683589999999901</v>
      </c>
      <c r="R3594">
        <v>3.3307610000000001E-2</v>
      </c>
      <c r="S3594">
        <v>3.0632630000000001</v>
      </c>
      <c r="T3594">
        <v>-0.14674319999999999</v>
      </c>
      <c r="U3594">
        <v>0.1876526</v>
      </c>
      <c r="V3594">
        <v>-3.0211999999999999E-2</v>
      </c>
      <c r="W3594">
        <v>0.17918829999999999</v>
      </c>
      <c r="X3594">
        <v>0.98335079999999997</v>
      </c>
      <c r="Y3594">
        <v>-5.7914029999999998E-2</v>
      </c>
      <c r="Z3594">
        <v>1.6377519999999999E-3</v>
      </c>
      <c r="AA3594">
        <v>0.99832019999999999</v>
      </c>
      <c r="AB3594">
        <v>44</v>
      </c>
      <c r="AC3594">
        <v>22.688699999999901</v>
      </c>
      <c r="AD3594">
        <v>-1.1096349230159901</v>
      </c>
      <c r="AE3594">
        <v>1.41749999999998</v>
      </c>
      <c r="AF3594">
        <v>-1.34272461919801</v>
      </c>
      <c r="AG3594">
        <v>-1.1096349230159901</v>
      </c>
      <c r="AH3594">
        <v>22.6391187617442</v>
      </c>
      <c r="AI3594">
        <v>92.8011380832002</v>
      </c>
      <c r="AJ3594">
        <v>93.394232648267703</v>
      </c>
      <c r="AK3594">
        <v>22.706032180320101</v>
      </c>
      <c r="AL3594">
        <v>79.677515884924105</v>
      </c>
      <c r="AM3594">
        <v>91.759774581164706</v>
      </c>
      <c r="AN3594">
        <v>1.0000000038307599</v>
      </c>
    </row>
    <row r="3595" spans="1:40" x14ac:dyDescent="0.25">
      <c r="A3595" t="str">
        <f>"20190304155704408"</f>
        <v>20190304155704408</v>
      </c>
      <c r="B3595" t="str">
        <f>"1551686224398292"</f>
        <v>1551686224398292</v>
      </c>
      <c r="C3595" t="s">
        <v>40</v>
      </c>
      <c r="D3595">
        <v>4.8301100000000003</v>
      </c>
      <c r="E3595">
        <v>0.48635240000000002</v>
      </c>
      <c r="F3595" t="s">
        <v>64</v>
      </c>
      <c r="G3595">
        <v>-317.10469999999998</v>
      </c>
      <c r="H3595" s="1">
        <v>4.0562999999999996E-6</v>
      </c>
      <c r="I3595">
        <v>215.82239999999999</v>
      </c>
      <c r="J3595">
        <v>-339.41590000000002</v>
      </c>
      <c r="K3595">
        <v>1.109637</v>
      </c>
      <c r="L3595">
        <v>214.4196</v>
      </c>
      <c r="M3595">
        <v>0.99991490000000005</v>
      </c>
      <c r="N3595">
        <v>-1.266453E-2</v>
      </c>
      <c r="O3595">
        <v>3.1591470000000002E-3</v>
      </c>
      <c r="P3595">
        <v>0.98552399999999996</v>
      </c>
      <c r="Q3595">
        <v>0.16636870000000001</v>
      </c>
      <c r="R3595">
        <v>3.2621839999999999E-2</v>
      </c>
      <c r="S3595">
        <v>3.0632630000000001</v>
      </c>
      <c r="T3595">
        <v>-0.14950720000000001</v>
      </c>
      <c r="U3595">
        <v>0.18919369999999999</v>
      </c>
      <c r="V3595">
        <v>-2.9515719999999999E-2</v>
      </c>
      <c r="W3595">
        <v>0.17883640000000001</v>
      </c>
      <c r="X3595">
        <v>0.98343599999999998</v>
      </c>
      <c r="Y3595">
        <v>-5.8405739999999998E-2</v>
      </c>
      <c r="Z3595">
        <v>1.679584E-3</v>
      </c>
      <c r="AA3595">
        <v>0.9982915</v>
      </c>
      <c r="AB3595">
        <v>44</v>
      </c>
      <c r="AC3595">
        <v>22.311199999999999</v>
      </c>
      <c r="AD3595">
        <v>-1.1096329437000001</v>
      </c>
      <c r="AE3595">
        <v>1.4027999999999801</v>
      </c>
      <c r="AF3595">
        <v>-1.3290285765234</v>
      </c>
      <c r="AG3595">
        <v>-1.1096329437000001</v>
      </c>
      <c r="AH3595">
        <v>22.260675568663601</v>
      </c>
      <c r="AI3595">
        <v>92.848609764356695</v>
      </c>
      <c r="AJ3595">
        <v>93.416672879126494</v>
      </c>
      <c r="AK3595">
        <v>22.327903596178899</v>
      </c>
      <c r="AL3595">
        <v>79.698009272929198</v>
      </c>
      <c r="AM3595">
        <v>91.719093755851503</v>
      </c>
      <c r="AN3595">
        <v>1.00000000089403</v>
      </c>
    </row>
    <row r="3596" spans="1:40" x14ac:dyDescent="0.25">
      <c r="A3596" t="str">
        <f>"20190304155704430"</f>
        <v>20190304155704430</v>
      </c>
      <c r="B3596" t="str">
        <f>"1551686224418792"</f>
        <v>1551686224418792</v>
      </c>
      <c r="C3596" t="s">
        <v>40</v>
      </c>
      <c r="D3596">
        <v>4.7488449999999904</v>
      </c>
      <c r="E3596">
        <v>0.48684719999999998</v>
      </c>
      <c r="F3596" t="s">
        <v>64</v>
      </c>
      <c r="G3596">
        <v>-316.91590000000002</v>
      </c>
      <c r="H3596" s="1">
        <v>3.9725550000000001E-6</v>
      </c>
      <c r="I3596">
        <v>215.80549999999999</v>
      </c>
      <c r="J3596">
        <v>-338.98790000000002</v>
      </c>
      <c r="K3596">
        <v>1.109637</v>
      </c>
      <c r="L3596">
        <v>214.42089999999999</v>
      </c>
      <c r="M3596">
        <v>0.99991350000000001</v>
      </c>
      <c r="N3596">
        <v>-1.276854E-2</v>
      </c>
      <c r="O3596">
        <v>3.1624119999999999E-3</v>
      </c>
      <c r="P3596">
        <v>0.98550040000000005</v>
      </c>
      <c r="Q3596">
        <v>0.16665139999999901</v>
      </c>
      <c r="R3596">
        <v>3.188324E-2</v>
      </c>
      <c r="S3596">
        <v>3.0633539999999999</v>
      </c>
      <c r="T3596">
        <v>-0.15107519999999999</v>
      </c>
      <c r="U3596">
        <v>0.1886902</v>
      </c>
      <c r="V3596">
        <v>-2.877039E-2</v>
      </c>
      <c r="W3596">
        <v>0.17922160000000001</v>
      </c>
      <c r="X3596">
        <v>0.98338789999999998</v>
      </c>
      <c r="Y3596">
        <v>-5.823569E-2</v>
      </c>
      <c r="Z3596">
        <v>1.690829E-3</v>
      </c>
      <c r="AA3596">
        <v>0.99830140000000001</v>
      </c>
      <c r="AB3596">
        <v>44</v>
      </c>
      <c r="AC3596">
        <v>22.071999999999999</v>
      </c>
      <c r="AD3596">
        <v>-1.1096330274449999</v>
      </c>
      <c r="AE3596">
        <v>1.3846000000000001</v>
      </c>
      <c r="AF3596">
        <v>-1.3114849633710499</v>
      </c>
      <c r="AG3596">
        <v>-1.1096330274449999</v>
      </c>
      <c r="AH3596">
        <v>22.020831174391802</v>
      </c>
      <c r="AI3596">
        <v>92.879609268979706</v>
      </c>
      <c r="AJ3596">
        <v>93.408313617089803</v>
      </c>
      <c r="AK3596">
        <v>22.0877405787874</v>
      </c>
      <c r="AL3596">
        <v>79.675575870046302</v>
      </c>
      <c r="AM3596">
        <v>91.675790243355095</v>
      </c>
      <c r="AN3596">
        <v>0.99999993955685895</v>
      </c>
    </row>
    <row r="3597" spans="1:40" x14ac:dyDescent="0.25">
      <c r="A3597" t="str">
        <f>"20190304155704452"</f>
        <v>20190304155704452</v>
      </c>
      <c r="B3597" t="str">
        <f>"1551686224448068"</f>
        <v>1551686224448068</v>
      </c>
      <c r="C3597" t="s">
        <v>40</v>
      </c>
      <c r="D3597">
        <v>4.8780359999999998</v>
      </c>
      <c r="E3597">
        <v>0.51162180000000002</v>
      </c>
      <c r="F3597" t="s">
        <v>64</v>
      </c>
      <c r="G3597">
        <v>-316.20119999999997</v>
      </c>
      <c r="H3597" s="1">
        <v>3.6556140000000002E-6</v>
      </c>
      <c r="I3597">
        <v>215.7792</v>
      </c>
      <c r="J3597">
        <v>-338.52800000000002</v>
      </c>
      <c r="K3597">
        <v>1.109637</v>
      </c>
      <c r="L3597">
        <v>214.42240000000001</v>
      </c>
      <c r="M3597">
        <v>0.99991220000000003</v>
      </c>
      <c r="N3597">
        <v>-1.2870629999999999E-2</v>
      </c>
      <c r="O3597">
        <v>3.1636889999999999E-3</v>
      </c>
      <c r="P3597">
        <v>0.98550280000000001</v>
      </c>
      <c r="Q3597">
        <v>0.16672290000000001</v>
      </c>
      <c r="R3597">
        <v>3.1432259999999997E-2</v>
      </c>
      <c r="S3597">
        <v>3.0634459999999999</v>
      </c>
      <c r="T3597">
        <v>-0.14917900000000001</v>
      </c>
      <c r="U3597">
        <v>0.18260190000000001</v>
      </c>
      <c r="V3597">
        <v>-2.831558E-2</v>
      </c>
      <c r="W3597">
        <v>0.1793942</v>
      </c>
      <c r="X3597">
        <v>0.98336970000000001</v>
      </c>
      <c r="Y3597">
        <v>-5.626043E-2</v>
      </c>
      <c r="Z3597">
        <v>1.617318E-3</v>
      </c>
      <c r="AA3597">
        <v>0.99841480000000005</v>
      </c>
      <c r="AB3597">
        <v>44</v>
      </c>
      <c r="AC3597">
        <v>22.326799999999999</v>
      </c>
      <c r="AD3597">
        <v>-1.109633344386</v>
      </c>
      <c r="AE3597">
        <v>1.35679999999999</v>
      </c>
      <c r="AF3597">
        <v>-1.28299490511665</v>
      </c>
      <c r="AG3597">
        <v>-1.109633344386</v>
      </c>
      <c r="AH3597">
        <v>22.276160282886401</v>
      </c>
      <c r="AI3597">
        <v>92.846984082014302</v>
      </c>
      <c r="AJ3597">
        <v>93.296307417955404</v>
      </c>
      <c r="AK3597">
        <v>22.340650819400398</v>
      </c>
      <c r="AL3597">
        <v>79.665524427685497</v>
      </c>
      <c r="AM3597">
        <v>91.649344161784896</v>
      </c>
      <c r="AN3597">
        <v>1.00000000897123</v>
      </c>
    </row>
    <row r="3598" spans="1:40" x14ac:dyDescent="0.25">
      <c r="A3598" t="str">
        <f>"20190304155704474"</f>
        <v>20190304155704474</v>
      </c>
      <c r="B3598" t="str">
        <f>"1551686224468564"</f>
        <v>1551686224468564</v>
      </c>
      <c r="C3598" t="s">
        <v>40</v>
      </c>
      <c r="D3598">
        <v>4.877745</v>
      </c>
      <c r="E3598">
        <v>0.5111696</v>
      </c>
      <c r="F3598" t="s">
        <v>64</v>
      </c>
      <c r="G3598">
        <v>-317.16070000000002</v>
      </c>
      <c r="H3598" s="1">
        <v>4.0811310000000004E-6</v>
      </c>
      <c r="I3598">
        <v>214.31229999999999</v>
      </c>
      <c r="J3598">
        <v>-338.10309999999998</v>
      </c>
      <c r="K3598">
        <v>1.1096490000000001</v>
      </c>
      <c r="L3598">
        <v>214.4237</v>
      </c>
      <c r="M3598">
        <v>0.99991110000000005</v>
      </c>
      <c r="N3598">
        <v>-1.2957689999999999E-2</v>
      </c>
      <c r="O3598">
        <v>3.1635389999999999E-3</v>
      </c>
      <c r="P3598">
        <v>0.9855488</v>
      </c>
      <c r="Q3598">
        <v>0.16654229999999901</v>
      </c>
      <c r="R3598">
        <v>3.093953E-2</v>
      </c>
      <c r="S3598">
        <v>3.071625</v>
      </c>
      <c r="T3598">
        <v>-0.15951399999999999</v>
      </c>
      <c r="U3598">
        <v>-1.5823360000000002E-2</v>
      </c>
      <c r="V3598">
        <v>-2.7820899999999999E-2</v>
      </c>
      <c r="W3598">
        <v>0.17929999999999999</v>
      </c>
      <c r="X3598">
        <v>0.98340099999999997</v>
      </c>
      <c r="Y3598">
        <v>8.2987559999999991E-3</v>
      </c>
      <c r="Z3598">
        <v>-3.9235369999999998E-4</v>
      </c>
      <c r="AA3598">
        <v>0.99996549999999995</v>
      </c>
      <c r="AB3598">
        <v>44</v>
      </c>
      <c r="AC3598">
        <v>20.9423999999999</v>
      </c>
      <c r="AD3598">
        <v>-1.1096449188690001</v>
      </c>
      <c r="AE3598">
        <v>-0.111400000000003</v>
      </c>
      <c r="AF3598">
        <v>0.17715974370851301</v>
      </c>
      <c r="AG3598">
        <v>-1.1096449188690001</v>
      </c>
      <c r="AH3598">
        <v>20.883315112585102</v>
      </c>
      <c r="AI3598">
        <v>93.041469007238106</v>
      </c>
      <c r="AJ3598">
        <v>89.513953504476504</v>
      </c>
      <c r="AK3598">
        <v>20.913525468277399</v>
      </c>
      <c r="AL3598">
        <v>79.671010651326796</v>
      </c>
      <c r="AM3598">
        <v>91.620493671713206</v>
      </c>
      <c r="AN3598">
        <v>1.0000000096388999</v>
      </c>
    </row>
    <row r="3599" spans="1:40" x14ac:dyDescent="0.25">
      <c r="A3599" t="str">
        <f>"20190304155704497"</f>
        <v>20190304155704497</v>
      </c>
      <c r="B3599" t="str">
        <f>"1551686224488084"</f>
        <v>1551686224488084</v>
      </c>
      <c r="C3599" t="s">
        <v>40</v>
      </c>
      <c r="D3599">
        <v>4.9632069999999997</v>
      </c>
      <c r="E3599">
        <v>0.51059900000000003</v>
      </c>
      <c r="F3599" t="s">
        <v>64</v>
      </c>
      <c r="G3599">
        <v>-316.7878</v>
      </c>
      <c r="H3599" s="1">
        <v>3.9157649999999999E-6</v>
      </c>
      <c r="I3599">
        <v>214.33199999999999</v>
      </c>
      <c r="J3599">
        <v>-337.65710000000001</v>
      </c>
      <c r="K3599">
        <v>1.1096490000000001</v>
      </c>
      <c r="L3599">
        <v>214.42519999999999</v>
      </c>
      <c r="M3599">
        <v>0.99991010000000002</v>
      </c>
      <c r="N3599">
        <v>-1.304137E-2</v>
      </c>
      <c r="O3599">
        <v>3.163655E-3</v>
      </c>
      <c r="P3599">
        <v>0.98561520000000002</v>
      </c>
      <c r="Q3599">
        <v>0.16617879999999999</v>
      </c>
      <c r="R3599">
        <v>3.0782210000000001E-2</v>
      </c>
      <c r="S3599">
        <v>3.0714109999999999</v>
      </c>
      <c r="T3599">
        <v>-0.159893799999999</v>
      </c>
      <c r="U3599">
        <v>-1.3214109999999999E-2</v>
      </c>
      <c r="V3599">
        <v>-2.7661959999999999E-2</v>
      </c>
      <c r="W3599">
        <v>0.17901989999999901</v>
      </c>
      <c r="X3599">
        <v>0.98345649999999996</v>
      </c>
      <c r="Y3599">
        <v>7.4510990000000001E-3</v>
      </c>
      <c r="Z3599">
        <v>-3.6578959999999998E-4</v>
      </c>
      <c r="AA3599">
        <v>0.99997219999999998</v>
      </c>
      <c r="AB3599">
        <v>44</v>
      </c>
      <c r="AC3599">
        <v>20.869299999999999</v>
      </c>
      <c r="AD3599">
        <v>-1.1096450842350001</v>
      </c>
      <c r="AE3599">
        <v>-9.3199999999995897E-2</v>
      </c>
      <c r="AF3599">
        <v>0.15877951609208299</v>
      </c>
      <c r="AG3599">
        <v>-1.1096450842350001</v>
      </c>
      <c r="AH3599">
        <v>20.810068172234601</v>
      </c>
      <c r="AI3599">
        <v>93.052175512664306</v>
      </c>
      <c r="AJ3599">
        <v>89.562845275746099</v>
      </c>
      <c r="AK3599">
        <v>20.840236574490898</v>
      </c>
      <c r="AL3599">
        <v>79.687323014488896</v>
      </c>
      <c r="AM3599">
        <v>91.611149851926598</v>
      </c>
      <c r="AN3599">
        <v>0.99999999800965</v>
      </c>
    </row>
    <row r="3600" spans="1:40" x14ac:dyDescent="0.25">
      <c r="A3600" t="str">
        <f>"20190304155704519"</f>
        <v>20190304155704519</v>
      </c>
      <c r="B3600" t="str">
        <f>"1551686224508580"</f>
        <v>1551686224508580</v>
      </c>
      <c r="C3600" t="s">
        <v>40</v>
      </c>
      <c r="D3600">
        <v>4.8877329999999999</v>
      </c>
      <c r="E3600">
        <v>0.51040289999999999</v>
      </c>
      <c r="F3600" t="s">
        <v>64</v>
      </c>
      <c r="G3600">
        <v>-316.553</v>
      </c>
      <c r="H3600" s="1">
        <v>3.811644E-6</v>
      </c>
      <c r="I3600">
        <v>214.36510000000001</v>
      </c>
      <c r="J3600">
        <v>-337.21379999999999</v>
      </c>
      <c r="K3600">
        <v>1.109656</v>
      </c>
      <c r="L3600">
        <v>214.42660000000001</v>
      </c>
      <c r="M3600">
        <v>0.99990900000000005</v>
      </c>
      <c r="N3600">
        <v>-1.312144E-2</v>
      </c>
      <c r="O3600">
        <v>3.1642160000000001E-3</v>
      </c>
      <c r="P3600">
        <v>0.98567210000000005</v>
      </c>
      <c r="Q3600">
        <v>0.1659292</v>
      </c>
      <c r="R3600">
        <v>3.0300000000000001E-2</v>
      </c>
      <c r="S3600">
        <v>3.071259</v>
      </c>
      <c r="T3600">
        <v>-0.16148599999999999</v>
      </c>
      <c r="U3600">
        <v>-8.7432859999999994E-3</v>
      </c>
      <c r="V3600">
        <v>-2.7177920000000001E-2</v>
      </c>
      <c r="W3600">
        <v>0.1788505</v>
      </c>
      <c r="X3600">
        <v>0.98350079999999995</v>
      </c>
      <c r="Y3600">
        <v>5.9984410000000002E-3</v>
      </c>
      <c r="Z3600">
        <v>-3.2173819999999998E-4</v>
      </c>
      <c r="AA3600">
        <v>0.99998189999999998</v>
      </c>
      <c r="AB3600">
        <v>44</v>
      </c>
      <c r="AC3600">
        <v>20.660799999999899</v>
      </c>
      <c r="AD3600">
        <v>-1.109652188356</v>
      </c>
      <c r="AE3600">
        <v>-6.1499999999995197E-2</v>
      </c>
      <c r="AF3600">
        <v>0.12651560977290199</v>
      </c>
      <c r="AG3600">
        <v>-1.109652188356</v>
      </c>
      <c r="AH3600">
        <v>20.601077431042</v>
      </c>
      <c r="AI3600">
        <v>93.083130574193007</v>
      </c>
      <c r="AJ3600">
        <v>89.648138822815596</v>
      </c>
      <c r="AK3600">
        <v>20.631328738072799</v>
      </c>
      <c r="AL3600">
        <v>79.697187968852404</v>
      </c>
      <c r="AM3600">
        <v>91.582900515813606</v>
      </c>
      <c r="AN3600">
        <v>0.99999998214320795</v>
      </c>
    </row>
    <row r="3601" spans="1:40" x14ac:dyDescent="0.25">
      <c r="A3601" t="str">
        <f>"20190304155704541"</f>
        <v>20190304155704541</v>
      </c>
      <c r="B3601" t="str">
        <f>"1551686224538837"</f>
        <v>1551686224538837</v>
      </c>
      <c r="C3601" t="s">
        <v>40</v>
      </c>
      <c r="D3601">
        <v>4.8596830000000004</v>
      </c>
      <c r="E3601">
        <v>0.51026260000000001</v>
      </c>
      <c r="F3601" t="s">
        <v>64</v>
      </c>
      <c r="G3601">
        <v>-316.2</v>
      </c>
      <c r="H3601" s="1">
        <v>3.6550679999999999E-6</v>
      </c>
      <c r="I3601">
        <v>214.36760000000001</v>
      </c>
      <c r="J3601">
        <v>-336.77940000000001</v>
      </c>
      <c r="K3601">
        <v>1.1096710000000001</v>
      </c>
      <c r="L3601">
        <v>214.42789999999999</v>
      </c>
      <c r="M3601">
        <v>0.99990789999999996</v>
      </c>
      <c r="N3601">
        <v>-1.320292E-2</v>
      </c>
      <c r="O3601">
        <v>3.1654890000000001E-3</v>
      </c>
      <c r="P3601">
        <v>0.98562369999999999</v>
      </c>
      <c r="Q3601">
        <v>0.16629530000000001</v>
      </c>
      <c r="R3601">
        <v>2.9861309999999999E-2</v>
      </c>
      <c r="S3601">
        <v>3.0711360000000001</v>
      </c>
      <c r="T3601">
        <v>-0.1621736</v>
      </c>
      <c r="U3601">
        <v>-8.6212159999999993E-3</v>
      </c>
      <c r="V3601">
        <v>-2.6737219999999999E-2</v>
      </c>
      <c r="W3601">
        <v>0.1792957</v>
      </c>
      <c r="X3601">
        <v>0.98343179999999997</v>
      </c>
      <c r="Y3601">
        <v>5.9600390000000003E-3</v>
      </c>
      <c r="Z3601">
        <v>-3.21899E-4</v>
      </c>
      <c r="AA3601">
        <v>0.99998220000000004</v>
      </c>
      <c r="AB3601">
        <v>44</v>
      </c>
      <c r="AC3601">
        <v>20.5794</v>
      </c>
      <c r="AD3601">
        <v>-1.10966734493199</v>
      </c>
      <c r="AE3601">
        <v>-6.0299999999983797E-2</v>
      </c>
      <c r="AF3601">
        <v>0.12508555247813299</v>
      </c>
      <c r="AG3601">
        <v>-1.10966734493199</v>
      </c>
      <c r="AH3601">
        <v>20.519446137914301</v>
      </c>
      <c r="AI3601">
        <v>93.095415257324902</v>
      </c>
      <c r="AJ3601">
        <v>89.650732022019994</v>
      </c>
      <c r="AK3601">
        <v>20.549809678403602</v>
      </c>
      <c r="AL3601">
        <v>79.671260626919803</v>
      </c>
      <c r="AM3601">
        <v>91.557355148889201</v>
      </c>
      <c r="AN3601">
        <v>0.99999996611152797</v>
      </c>
    </row>
    <row r="3602" spans="1:40" x14ac:dyDescent="0.25">
      <c r="A3602" t="str">
        <f>"20190304155704564"</f>
        <v>20190304155704564</v>
      </c>
      <c r="B3602" t="str">
        <f>"1551686224558357"</f>
        <v>1551686224558357</v>
      </c>
      <c r="C3602" t="s">
        <v>40</v>
      </c>
      <c r="D3602">
        <v>4.8734219999999997</v>
      </c>
      <c r="E3602">
        <v>0.51016530000000004</v>
      </c>
      <c r="F3602" t="s">
        <v>64</v>
      </c>
      <c r="G3602">
        <v>-315.5104</v>
      </c>
      <c r="H3602" s="1">
        <v>3.3493019999999999E-6</v>
      </c>
      <c r="I3602">
        <v>214.37209999999999</v>
      </c>
      <c r="J3602">
        <v>-336.3449</v>
      </c>
      <c r="K3602">
        <v>1.109686</v>
      </c>
      <c r="L3602">
        <v>214.42930000000001</v>
      </c>
      <c r="M3602">
        <v>0.99990679999999998</v>
      </c>
      <c r="N3602">
        <v>-1.328821E-2</v>
      </c>
      <c r="O3602">
        <v>3.1664420000000002E-3</v>
      </c>
      <c r="P3602">
        <v>0.98557620000000001</v>
      </c>
      <c r="Q3602">
        <v>0.16672020000000001</v>
      </c>
      <c r="R3602">
        <v>2.9059479999999999E-2</v>
      </c>
      <c r="S3602">
        <v>3.0710449999999998</v>
      </c>
      <c r="T3602">
        <v>-0.1602259</v>
      </c>
      <c r="U3602">
        <v>-8.0566409999999998E-3</v>
      </c>
      <c r="V3602">
        <v>-2.593382E-2</v>
      </c>
      <c r="W3602">
        <v>0.17980370000000001</v>
      </c>
      <c r="X3602">
        <v>0.98336060000000003</v>
      </c>
      <c r="Y3602">
        <v>5.7778539999999998E-3</v>
      </c>
      <c r="Z3602">
        <v>-3.1207830000000002E-4</v>
      </c>
      <c r="AA3602">
        <v>0.99998330000000002</v>
      </c>
      <c r="AB3602">
        <v>44</v>
      </c>
      <c r="AC3602">
        <v>20.834499999999899</v>
      </c>
      <c r="AD3602">
        <v>-1.109682650698</v>
      </c>
      <c r="AE3602">
        <v>-5.7200000000023003E-2</v>
      </c>
      <c r="AF3602">
        <v>0.12282832837159301</v>
      </c>
      <c r="AG3602">
        <v>-1.109682650698</v>
      </c>
      <c r="AH3602">
        <v>20.775279162468099</v>
      </c>
      <c r="AI3602">
        <v>93.057415607691894</v>
      </c>
      <c r="AJ3602">
        <v>89.661257845489203</v>
      </c>
      <c r="AK3602">
        <v>20.805256707428299</v>
      </c>
      <c r="AL3602">
        <v>79.641673918648706</v>
      </c>
      <c r="AM3602">
        <v>91.510691080594199</v>
      </c>
      <c r="AN3602">
        <v>1.00000000159292</v>
      </c>
    </row>
    <row r="3603" spans="1:40" x14ac:dyDescent="0.25">
      <c r="A3603" t="str">
        <f>"20190304155704587"</f>
        <v>20190304155704587</v>
      </c>
      <c r="B3603" t="str">
        <f>"1551686224578852"</f>
        <v>1551686224578852</v>
      </c>
      <c r="C3603" t="s">
        <v>40</v>
      </c>
      <c r="D3603">
        <v>4.883966</v>
      </c>
      <c r="E3603">
        <v>0.51008209999999998</v>
      </c>
      <c r="F3603" t="s">
        <v>64</v>
      </c>
      <c r="G3603">
        <v>-314.89359999999999</v>
      </c>
      <c r="H3603" s="1">
        <v>3.0757640000000001E-6</v>
      </c>
      <c r="I3603">
        <v>214.3656</v>
      </c>
      <c r="J3603">
        <v>-335.87699999999899</v>
      </c>
      <c r="K3603">
        <v>1.1097049999999999</v>
      </c>
      <c r="L3603">
        <v>214.4308</v>
      </c>
      <c r="M3603">
        <v>0.9999055</v>
      </c>
      <c r="N3603">
        <v>-1.3382979999999999E-2</v>
      </c>
      <c r="O3603">
        <v>3.1659499999999998E-3</v>
      </c>
      <c r="P3603">
        <v>0.98544549999999997</v>
      </c>
      <c r="Q3603">
        <v>0.16753180000000001</v>
      </c>
      <c r="R3603">
        <v>2.8817639999999999E-2</v>
      </c>
      <c r="S3603">
        <v>3.071075</v>
      </c>
      <c r="T3603">
        <v>-0.158867799999999</v>
      </c>
      <c r="U3603">
        <v>-9.1247559999999995E-3</v>
      </c>
      <c r="V3603">
        <v>-2.5691760000000001E-2</v>
      </c>
      <c r="W3603">
        <v>0.18070710000000001</v>
      </c>
      <c r="X3603">
        <v>0.98320129999999994</v>
      </c>
      <c r="Y3603">
        <v>6.1247469999999998E-3</v>
      </c>
      <c r="Z3603">
        <v>-3.2064689999999999E-4</v>
      </c>
      <c r="AA3603">
        <v>0.99998120000000001</v>
      </c>
      <c r="AB3603">
        <v>44</v>
      </c>
      <c r="AC3603">
        <v>20.9833999999999</v>
      </c>
      <c r="AD3603">
        <v>-1.109701924236</v>
      </c>
      <c r="AE3603">
        <v>-6.5200000000004296E-2</v>
      </c>
      <c r="AF3603">
        <v>0.131270879373069</v>
      </c>
      <c r="AG3603">
        <v>-1.109701924236</v>
      </c>
      <c r="AH3603">
        <v>20.924567178085599</v>
      </c>
      <c r="AI3603">
        <v>93.035689129773701</v>
      </c>
      <c r="AJ3603">
        <v>89.640557980127198</v>
      </c>
      <c r="AK3603">
        <v>20.9543833599236</v>
      </c>
      <c r="AL3603">
        <v>79.589050492749294</v>
      </c>
      <c r="AM3603">
        <v>91.496839469577196</v>
      </c>
      <c r="AN3603">
        <v>0.99999995942199704</v>
      </c>
    </row>
    <row r="3604" spans="1:40" x14ac:dyDescent="0.25">
      <c r="A3604" t="str">
        <f>"20190304155704609"</f>
        <v>20190304155704609</v>
      </c>
      <c r="B3604" t="str">
        <f>"1551686224598373"</f>
        <v>1551686224598373</v>
      </c>
      <c r="C3604" t="s">
        <v>40</v>
      </c>
      <c r="D3604">
        <v>4.8754939999999998</v>
      </c>
      <c r="E3604">
        <v>0.51009459999999995</v>
      </c>
      <c r="F3604" t="s">
        <v>64</v>
      </c>
      <c r="G3604">
        <v>-314.101</v>
      </c>
      <c r="H3604" s="1">
        <v>2.7242629999999999E-6</v>
      </c>
      <c r="I3604">
        <v>214.3665</v>
      </c>
      <c r="J3604">
        <v>-335.45479999999998</v>
      </c>
      <c r="K3604">
        <v>1.1097170000000001</v>
      </c>
      <c r="L3604">
        <v>214.43209999999999</v>
      </c>
      <c r="M3604">
        <v>0.99990429999999997</v>
      </c>
      <c r="N3604">
        <v>-1.346752E-2</v>
      </c>
      <c r="O3604">
        <v>3.159055E-3</v>
      </c>
      <c r="P3604">
        <v>0.9853712</v>
      </c>
      <c r="Q3604">
        <v>0.167957</v>
      </c>
      <c r="R3604">
        <v>2.8881960000000002E-2</v>
      </c>
      <c r="S3604">
        <v>3.071167</v>
      </c>
      <c r="T3604">
        <v>-0.15650629999999999</v>
      </c>
      <c r="U3604">
        <v>-9.0637210000000003E-3</v>
      </c>
      <c r="V3604">
        <v>-2.576152E-2</v>
      </c>
      <c r="W3604">
        <v>0.18121499999999999</v>
      </c>
      <c r="X3604">
        <v>0.98310600000000004</v>
      </c>
      <c r="Y3604">
        <v>6.0983039999999997E-3</v>
      </c>
      <c r="Z3604">
        <v>-3.1473759999999998E-4</v>
      </c>
      <c r="AA3604">
        <v>0.99998129999999996</v>
      </c>
      <c r="AB3604">
        <v>44</v>
      </c>
      <c r="AC3604">
        <v>21.3537999999999</v>
      </c>
      <c r="AD3604">
        <v>-1.109714275737</v>
      </c>
      <c r="AE3604">
        <v>-6.5599999999989195E-2</v>
      </c>
      <c r="AF3604">
        <v>0.13270523084979699</v>
      </c>
      <c r="AG3604">
        <v>-1.109714275737</v>
      </c>
      <c r="AH3604">
        <v>21.295973258652701</v>
      </c>
      <c r="AI3604">
        <v>92.982876475590899</v>
      </c>
      <c r="AJ3604">
        <v>89.642967656849507</v>
      </c>
      <c r="AK3604">
        <v>21.325279681291899</v>
      </c>
      <c r="AL3604">
        <v>79.559461565956298</v>
      </c>
      <c r="AM3604">
        <v>91.501047359897399</v>
      </c>
      <c r="AN3604">
        <v>0.99999996968685401</v>
      </c>
    </row>
    <row r="3605" spans="1:40" x14ac:dyDescent="0.25">
      <c r="A3605" t="str">
        <f>"20190304155704631"</f>
        <v>20190304155704631</v>
      </c>
      <c r="B3605" t="str">
        <f>"1551686224628629"</f>
        <v>1551686224628629</v>
      </c>
      <c r="C3605" t="s">
        <v>40</v>
      </c>
      <c r="D3605">
        <v>4.8588399999999998</v>
      </c>
      <c r="E3605">
        <v>0.51003719999999997</v>
      </c>
      <c r="F3605" t="s">
        <v>64</v>
      </c>
      <c r="G3605">
        <v>-313.31150000000002</v>
      </c>
      <c r="H3605" s="1">
        <v>2.3741479999999999E-6</v>
      </c>
      <c r="I3605">
        <v>214.3717</v>
      </c>
      <c r="J3605">
        <v>-335.01920000000001</v>
      </c>
      <c r="K3605">
        <v>1.109721</v>
      </c>
      <c r="L3605">
        <v>214.43350000000001</v>
      </c>
      <c r="M3605">
        <v>0.9999034</v>
      </c>
      <c r="N3605">
        <v>-1.3552639999999999E-2</v>
      </c>
      <c r="O3605">
        <v>3.1396879999999999E-3</v>
      </c>
      <c r="P3605">
        <v>0.98526709999999995</v>
      </c>
      <c r="Q3605">
        <v>0.16860439999999999</v>
      </c>
      <c r="R3605">
        <v>2.866372E-2</v>
      </c>
      <c r="S3605">
        <v>3.0710449999999998</v>
      </c>
      <c r="T3605">
        <v>-0.1539056</v>
      </c>
      <c r="U3605">
        <v>-8.3770749999999995E-3</v>
      </c>
      <c r="V3605">
        <v>-2.555878E-2</v>
      </c>
      <c r="W3605">
        <v>0.18194460000000001</v>
      </c>
      <c r="X3605">
        <v>0.98297659999999998</v>
      </c>
      <c r="Y3605">
        <v>5.8562650000000003E-3</v>
      </c>
      <c r="Z3605">
        <v>-3.0108190000000001E-4</v>
      </c>
      <c r="AA3605">
        <v>0.99998279999999995</v>
      </c>
      <c r="AB3605">
        <v>44</v>
      </c>
      <c r="AC3605">
        <v>21.7076999999999</v>
      </c>
      <c r="AD3605">
        <v>-1.109718625852</v>
      </c>
      <c r="AE3605">
        <v>-6.1800000000005101E-2</v>
      </c>
      <c r="AF3605">
        <v>0.129622602056011</v>
      </c>
      <c r="AG3605">
        <v>-1.109718625852</v>
      </c>
      <c r="AH3605">
        <v>21.650818157402899</v>
      </c>
      <c r="AI3605">
        <v>92.9340907747073</v>
      </c>
      <c r="AJ3605">
        <v>89.6569765059118</v>
      </c>
      <c r="AK3605">
        <v>21.6796264804644</v>
      </c>
      <c r="AL3605">
        <v>79.516952662225407</v>
      </c>
      <c r="AM3605">
        <v>91.489435598993495</v>
      </c>
      <c r="AN3605">
        <v>1.0000000424258999</v>
      </c>
    </row>
    <row r="3606" spans="1:40" x14ac:dyDescent="0.25">
      <c r="A3606" t="str">
        <f>"20190304155704654"</f>
        <v>20190304155704654</v>
      </c>
      <c r="B3606" t="str">
        <f>"1551686224648149"</f>
        <v>1551686224648149</v>
      </c>
      <c r="C3606" t="s">
        <v>40</v>
      </c>
      <c r="D3606">
        <v>4.8751790000000002</v>
      </c>
      <c r="E3606">
        <v>0.50999459999999996</v>
      </c>
      <c r="F3606" t="s">
        <v>64</v>
      </c>
      <c r="G3606">
        <v>-312.42610000000002</v>
      </c>
      <c r="H3606" s="1">
        <v>1.9815150000000002E-6</v>
      </c>
      <c r="I3606">
        <v>214.374</v>
      </c>
      <c r="J3606">
        <v>-334.58080000000001</v>
      </c>
      <c r="K3606">
        <v>1.1097220000000001</v>
      </c>
      <c r="L3606">
        <v>214.4348</v>
      </c>
      <c r="M3606">
        <v>0.99990219999999996</v>
      </c>
      <c r="N3606">
        <v>-1.363751E-2</v>
      </c>
      <c r="O3606">
        <v>3.1018740000000001E-3</v>
      </c>
      <c r="P3606">
        <v>0.98516090000000001</v>
      </c>
      <c r="Q3606">
        <v>0.16922690000000001</v>
      </c>
      <c r="R3606">
        <v>2.864804E-2</v>
      </c>
      <c r="S3606">
        <v>3.070862</v>
      </c>
      <c r="T3606">
        <v>-0.15083350000000001</v>
      </c>
      <c r="U3606">
        <v>-8.0871580000000005E-3</v>
      </c>
      <c r="V3606">
        <v>-2.5575069999999998E-2</v>
      </c>
      <c r="W3606">
        <v>0.1826497</v>
      </c>
      <c r="X3606">
        <v>0.98284539999999998</v>
      </c>
      <c r="Y3606">
        <v>5.7248739999999996E-3</v>
      </c>
      <c r="Z3606">
        <v>-2.8955909999999998E-4</v>
      </c>
      <c r="AA3606">
        <v>0.99998350000000003</v>
      </c>
      <c r="AB3606">
        <v>44</v>
      </c>
      <c r="AC3606">
        <v>22.154699999999899</v>
      </c>
      <c r="AD3606">
        <v>-1.10972001848499</v>
      </c>
      <c r="AE3606">
        <v>-6.0799999999971897E-2</v>
      </c>
      <c r="AF3606">
        <v>0.129203022450149</v>
      </c>
      <c r="AG3606">
        <v>-1.10972001848499</v>
      </c>
      <c r="AH3606">
        <v>22.0989596250479</v>
      </c>
      <c r="AI3606">
        <v>92.874697609222807</v>
      </c>
      <c r="AJ3606">
        <v>89.665020269466297</v>
      </c>
      <c r="AK3606">
        <v>22.127182117249699</v>
      </c>
      <c r="AL3606">
        <v>79.475864881960206</v>
      </c>
      <c r="AM3606">
        <v>91.490583330875893</v>
      </c>
      <c r="AN3606">
        <v>1.0000000387083701</v>
      </c>
    </row>
    <row r="3607" spans="1:40" x14ac:dyDescent="0.25">
      <c r="A3607" t="str">
        <f>"20190304155704677"</f>
        <v>20190304155704677</v>
      </c>
      <c r="B3607" t="str">
        <f>"1551686224668645"</f>
        <v>1551686224668645</v>
      </c>
      <c r="C3607" t="s">
        <v>40</v>
      </c>
      <c r="D3607">
        <v>4.8776659999999996</v>
      </c>
      <c r="E3607">
        <v>0.50992360000000003</v>
      </c>
      <c r="F3607" t="s">
        <v>64</v>
      </c>
      <c r="G3607">
        <v>-311.50760000000002</v>
      </c>
      <c r="H3607" s="1">
        <v>1.574203E-6</v>
      </c>
      <c r="I3607">
        <v>214.37629999999999</v>
      </c>
      <c r="J3607">
        <v>-334.11200000000002</v>
      </c>
      <c r="K3607">
        <v>1.10972</v>
      </c>
      <c r="L3607">
        <v>214.43620000000001</v>
      </c>
      <c r="M3607">
        <v>0.99990140000000005</v>
      </c>
      <c r="N3607">
        <v>-1.3724460000000001E-2</v>
      </c>
      <c r="O3607">
        <v>3.0415580000000002E-3</v>
      </c>
      <c r="P3607">
        <v>0.98512699999999997</v>
      </c>
      <c r="Q3607">
        <v>0.16940559999999999</v>
      </c>
      <c r="R3607">
        <v>2.8756469999999999E-2</v>
      </c>
      <c r="S3607">
        <v>3.0708009999999999</v>
      </c>
      <c r="T3607">
        <v>-0.14769179999999901</v>
      </c>
      <c r="U3607">
        <v>-7.7819819999999998E-3</v>
      </c>
      <c r="V3607">
        <v>-2.5735000000000001E-2</v>
      </c>
      <c r="W3607">
        <v>0.18291460000000001</v>
      </c>
      <c r="X3607">
        <v>0.98279190000000005</v>
      </c>
      <c r="Y3607">
        <v>5.5659339999999998E-3</v>
      </c>
      <c r="Z3607">
        <v>-2.7646799999999998E-4</v>
      </c>
      <c r="AA3607">
        <v>0.9999844</v>
      </c>
      <c r="AB3607">
        <v>44</v>
      </c>
      <c r="AC3607">
        <v>22.604399999999899</v>
      </c>
      <c r="AD3607">
        <v>-1.1097184257969901</v>
      </c>
      <c r="AE3607">
        <v>-5.9900000000027299E-2</v>
      </c>
      <c r="AF3607">
        <v>0.12834944202864701</v>
      </c>
      <c r="AG3607">
        <v>-1.1097184257969901</v>
      </c>
      <c r="AH3607">
        <v>22.549765836023699</v>
      </c>
      <c r="AI3607">
        <v>92.817319770993393</v>
      </c>
      <c r="AJ3607">
        <v>89.673885663748393</v>
      </c>
      <c r="AK3607">
        <v>22.577419866391399</v>
      </c>
      <c r="AL3607">
        <v>79.460426531198095</v>
      </c>
      <c r="AM3607">
        <v>91.499981845768403</v>
      </c>
      <c r="AN3607">
        <v>0.99999997991188405</v>
      </c>
    </row>
    <row r="3608" spans="1:40" x14ac:dyDescent="0.25">
      <c r="A3608" t="str">
        <f>"20190304155704697"</f>
        <v>20190304155704697</v>
      </c>
      <c r="B3608" t="str">
        <f>"1551686224688165"</f>
        <v>1551686224688165</v>
      </c>
      <c r="C3608" t="s">
        <v>40</v>
      </c>
      <c r="D3608">
        <v>4.8667249999999997</v>
      </c>
      <c r="E3608">
        <v>0.50990400000000002</v>
      </c>
      <c r="F3608" t="s">
        <v>64</v>
      </c>
      <c r="G3608">
        <v>-310.85559999999998</v>
      </c>
      <c r="H3608" s="1">
        <v>1.285046E-6</v>
      </c>
      <c r="I3608">
        <v>214.3827</v>
      </c>
      <c r="J3608">
        <v>-333.70859999999999</v>
      </c>
      <c r="K3608">
        <v>1.109712</v>
      </c>
      <c r="L3608">
        <v>214.4374</v>
      </c>
      <c r="M3608">
        <v>0.99990049999999997</v>
      </c>
      <c r="N3608">
        <v>-1.379471E-2</v>
      </c>
      <c r="O3608">
        <v>2.9697220000000002E-3</v>
      </c>
      <c r="P3608">
        <v>0.98514579999999996</v>
      </c>
      <c r="Q3608">
        <v>0.16935699999999901</v>
      </c>
      <c r="R3608">
        <v>2.8391570000000001E-2</v>
      </c>
      <c r="S3608">
        <v>3.0707089999999999</v>
      </c>
      <c r="T3608">
        <v>-0.14652399999999999</v>
      </c>
      <c r="U3608">
        <v>-7.064819E-3</v>
      </c>
      <c r="V3608">
        <v>-2.5433089999999998E-2</v>
      </c>
      <c r="W3608">
        <v>0.18293619999999999</v>
      </c>
      <c r="X3608">
        <v>0.9827958</v>
      </c>
      <c r="Y3608">
        <v>5.2612669999999896E-3</v>
      </c>
      <c r="Z3608">
        <v>-2.624433E-4</v>
      </c>
      <c r="AA3608">
        <v>0.99998609999999999</v>
      </c>
      <c r="AB3608">
        <v>44</v>
      </c>
      <c r="AC3608">
        <v>22.853000000000002</v>
      </c>
      <c r="AD3608">
        <v>-1.109710714954</v>
      </c>
      <c r="AE3608">
        <v>-5.46999999999968E-2</v>
      </c>
      <c r="AF3608">
        <v>0.122284930578894</v>
      </c>
      <c r="AG3608">
        <v>-1.109710714954</v>
      </c>
      <c r="AH3608">
        <v>22.798978387342999</v>
      </c>
      <c r="AI3608">
        <v>92.786558551334096</v>
      </c>
      <c r="AJ3608">
        <v>89.692690474340495</v>
      </c>
      <c r="AK3608">
        <v>22.826296830227701</v>
      </c>
      <c r="AL3608">
        <v>79.459168341594307</v>
      </c>
      <c r="AM3608">
        <v>91.482386836127901</v>
      </c>
      <c r="AN3608">
        <v>1.00000003991751</v>
      </c>
    </row>
    <row r="3609" spans="1:40" x14ac:dyDescent="0.25">
      <c r="A3609" t="str">
        <f>"20190304155704721"</f>
        <v>20190304155704721</v>
      </c>
      <c r="B3609" t="str">
        <f>"1551686224718421"</f>
        <v>1551686224718421</v>
      </c>
      <c r="C3609" t="s">
        <v>40</v>
      </c>
      <c r="D3609">
        <v>4.8472109999999997</v>
      </c>
      <c r="E3609">
        <v>0.51000040000000002</v>
      </c>
      <c r="F3609" t="s">
        <v>64</v>
      </c>
      <c r="G3609">
        <v>-310.44349999999997</v>
      </c>
      <c r="H3609" s="1">
        <v>1.1023030000000001E-6</v>
      </c>
      <c r="I3609">
        <v>214.3783</v>
      </c>
      <c r="J3609">
        <v>-333.24619999999999</v>
      </c>
      <c r="K3609">
        <v>1.109694</v>
      </c>
      <c r="L3609">
        <v>214.43870000000001</v>
      </c>
      <c r="M3609">
        <v>0.99989989999999995</v>
      </c>
      <c r="N3609">
        <v>-1.387124E-2</v>
      </c>
      <c r="O3609">
        <v>2.8574920000000001E-3</v>
      </c>
      <c r="P3609">
        <v>0.98520509999999994</v>
      </c>
      <c r="Q3609">
        <v>0.16906669999999999</v>
      </c>
      <c r="R3609">
        <v>2.8070520000000002E-2</v>
      </c>
      <c r="S3609">
        <v>3.0706790000000002</v>
      </c>
      <c r="T3609">
        <v>-0.14646689999999901</v>
      </c>
      <c r="U3609">
        <v>-7.7972409999999999E-3</v>
      </c>
      <c r="V3609">
        <v>-2.521197E-2</v>
      </c>
      <c r="W3609">
        <v>0.18272379999999999</v>
      </c>
      <c r="X3609">
        <v>0.98284099999999996</v>
      </c>
      <c r="Y3609">
        <v>5.3874530000000004E-3</v>
      </c>
      <c r="Z3609">
        <v>-2.6240580000000001E-4</v>
      </c>
      <c r="AA3609">
        <v>0.99998549999999997</v>
      </c>
      <c r="AB3609">
        <v>44</v>
      </c>
      <c r="AC3609">
        <v>22.802700000000002</v>
      </c>
      <c r="AD3609">
        <v>-1.109692897697</v>
      </c>
      <c r="AE3609">
        <v>-6.0400000000015497E-2</v>
      </c>
      <c r="AF3609">
        <v>0.12526787577937601</v>
      </c>
      <c r="AG3609">
        <v>-1.109692897697</v>
      </c>
      <c r="AH3609">
        <v>22.748559694607899</v>
      </c>
      <c r="AI3609">
        <v>92.792677828752403</v>
      </c>
      <c r="AJ3609">
        <v>89.684496594838194</v>
      </c>
      <c r="AK3609">
        <v>22.775953954709301</v>
      </c>
      <c r="AL3609">
        <v>79.471546509967595</v>
      </c>
      <c r="AM3609">
        <v>91.469436814469503</v>
      </c>
      <c r="AN3609">
        <v>1.00000003089936</v>
      </c>
    </row>
    <row r="3610" spans="1:40" x14ac:dyDescent="0.25">
      <c r="A3610" t="str">
        <f>"20190304155704743"</f>
        <v>20190304155704743</v>
      </c>
      <c r="B3610" t="str">
        <f>"1551686224738227"</f>
        <v>1551686224738227</v>
      </c>
      <c r="C3610" t="s">
        <v>40</v>
      </c>
      <c r="D3610">
        <v>4.8431059999999997</v>
      </c>
      <c r="E3610">
        <v>0.51004919999999998</v>
      </c>
      <c r="F3610" t="s">
        <v>64</v>
      </c>
      <c r="G3610">
        <v>-310.02519999999998</v>
      </c>
      <c r="H3610" s="1">
        <v>9.1683339999999998E-7</v>
      </c>
      <c r="I3610">
        <v>214.3682</v>
      </c>
      <c r="J3610">
        <v>-332.8297</v>
      </c>
      <c r="K3610">
        <v>1.1096760000000001</v>
      </c>
      <c r="L3610">
        <v>214.43969999999999</v>
      </c>
      <c r="M3610">
        <v>0.99989930000000005</v>
      </c>
      <c r="N3610">
        <v>-1.393732E-2</v>
      </c>
      <c r="O3610">
        <v>2.7264720000000002E-3</v>
      </c>
      <c r="P3610">
        <v>0.98525609999999997</v>
      </c>
      <c r="Q3610">
        <v>0.16881750000000001</v>
      </c>
      <c r="R3610">
        <v>2.7776189999999999E-2</v>
      </c>
      <c r="S3610">
        <v>3.070465</v>
      </c>
      <c r="T3610">
        <v>-0.14673269999999999</v>
      </c>
      <c r="U3610">
        <v>-9.3231200000000007E-3</v>
      </c>
      <c r="V3610">
        <v>-2.5035209999999999E-2</v>
      </c>
      <c r="W3610">
        <v>0.18254139999999999</v>
      </c>
      <c r="X3610">
        <v>0.98287939999999996</v>
      </c>
      <c r="Y3610">
        <v>5.7530410000000004E-3</v>
      </c>
      <c r="Z3610">
        <v>-2.6974129999999999E-4</v>
      </c>
      <c r="AA3610">
        <v>0.99998339999999997</v>
      </c>
      <c r="AB3610">
        <v>44</v>
      </c>
      <c r="AC3610">
        <v>22.804500000000001</v>
      </c>
      <c r="AD3610">
        <v>-1.1096750831666</v>
      </c>
      <c r="AE3610">
        <v>-7.1499999999986102E-2</v>
      </c>
      <c r="AF3610">
        <v>0.133365810996668</v>
      </c>
      <c r="AG3610">
        <v>-1.1096750831666</v>
      </c>
      <c r="AH3610">
        <v>22.750351820320699</v>
      </c>
      <c r="AI3610">
        <v>92.792407795883094</v>
      </c>
      <c r="AJ3610">
        <v>89.664127806319101</v>
      </c>
      <c r="AK3610">
        <v>22.777789031820301</v>
      </c>
      <c r="AL3610">
        <v>79.482175916218793</v>
      </c>
      <c r="AM3610">
        <v>91.459082145536996</v>
      </c>
      <c r="AN3610">
        <v>1.00000001969903</v>
      </c>
    </row>
    <row r="3611" spans="1:40" x14ac:dyDescent="0.25">
      <c r="A3611" t="str">
        <f>"20190304155704765"</f>
        <v>20190304155704765</v>
      </c>
      <c r="B3611" t="str">
        <f>"1551686224758723"</f>
        <v>1551686224758723</v>
      </c>
      <c r="C3611" t="s">
        <v>40</v>
      </c>
      <c r="D3611">
        <v>4.8564819999999997</v>
      </c>
      <c r="E3611">
        <v>0.5100924</v>
      </c>
      <c r="F3611" t="s">
        <v>64</v>
      </c>
      <c r="G3611">
        <v>-309.65370000000001</v>
      </c>
      <c r="H3611" s="1">
        <v>9.4085930000000002E-7</v>
      </c>
      <c r="I3611">
        <v>214.36269999999999</v>
      </c>
      <c r="J3611">
        <v>-332.38830000000002</v>
      </c>
      <c r="K3611">
        <v>1.1096549999999901</v>
      </c>
      <c r="L3611">
        <v>214.4408</v>
      </c>
      <c r="M3611">
        <v>0.99989870000000003</v>
      </c>
      <c r="N3611">
        <v>-1.4009290000000001E-2</v>
      </c>
      <c r="O3611">
        <v>2.556404E-3</v>
      </c>
      <c r="P3611">
        <v>0.98531190000000002</v>
      </c>
      <c r="Q3611">
        <v>0.16855970000000001</v>
      </c>
      <c r="R3611">
        <v>2.735974E-2</v>
      </c>
      <c r="S3611">
        <v>3.0703429999999998</v>
      </c>
      <c r="T3611">
        <v>-0.147009</v>
      </c>
      <c r="U3611">
        <v>-1.0208129999999999E-2</v>
      </c>
      <c r="V3611">
        <v>-2.4772679999999998E-2</v>
      </c>
      <c r="W3611">
        <v>0.1823572</v>
      </c>
      <c r="X3611">
        <v>0.98292020000000002</v>
      </c>
      <c r="Y3611">
        <v>5.8712030000000002E-3</v>
      </c>
      <c r="Z3611">
        <v>-2.6816550000000001E-4</v>
      </c>
      <c r="AA3611">
        <v>0.9999827</v>
      </c>
      <c r="AB3611">
        <v>44</v>
      </c>
      <c r="AC3611">
        <v>22.7346</v>
      </c>
      <c r="AD3611">
        <v>-1.10965405914069</v>
      </c>
      <c r="AE3611">
        <v>-7.8100000000006206E-2</v>
      </c>
      <c r="AF3611">
        <v>0.13590051015467999</v>
      </c>
      <c r="AG3611">
        <v>-1.10965405914069</v>
      </c>
      <c r="AH3611">
        <v>22.680294880731299</v>
      </c>
      <c r="AI3611">
        <v>92.800964385274</v>
      </c>
      <c r="AJ3611">
        <v>89.656687335021999</v>
      </c>
      <c r="AK3611">
        <v>22.707830740882201</v>
      </c>
      <c r="AL3611">
        <v>79.4929095111424</v>
      </c>
      <c r="AM3611">
        <v>91.443728187169398</v>
      </c>
      <c r="AN3611">
        <v>0.99999997681713004</v>
      </c>
    </row>
    <row r="3612" spans="1:40" x14ac:dyDescent="0.25">
      <c r="A3612" t="str">
        <f>"20190304155704789"</f>
        <v>20190304155704789</v>
      </c>
      <c r="B3612" t="str">
        <f>"1551686224778244"</f>
        <v>1551686224778244</v>
      </c>
      <c r="C3612" t="s">
        <v>40</v>
      </c>
      <c r="D3612">
        <v>4.7894119999999996</v>
      </c>
      <c r="E3612">
        <v>0.52652369999999904</v>
      </c>
      <c r="F3612" t="s">
        <v>64</v>
      </c>
      <c r="G3612">
        <v>-309.29520000000002</v>
      </c>
      <c r="H3612" s="1">
        <v>1.0044479999999999E-6</v>
      </c>
      <c r="I3612">
        <v>214.35230000000001</v>
      </c>
      <c r="J3612">
        <v>-331.92939999999999</v>
      </c>
      <c r="K3612">
        <v>1.1096330000000001</v>
      </c>
      <c r="L3612">
        <v>214.4418</v>
      </c>
      <c r="M3612">
        <v>0.99989830000000002</v>
      </c>
      <c r="N3612">
        <v>-1.408736E-2</v>
      </c>
      <c r="O3612">
        <v>2.3463070000000002E-3</v>
      </c>
      <c r="P3612">
        <v>0.9854214</v>
      </c>
      <c r="Q3612">
        <v>0.1680509</v>
      </c>
      <c r="R3612">
        <v>2.6531909999999999E-2</v>
      </c>
      <c r="S3612">
        <v>3.0702820000000002</v>
      </c>
      <c r="T3612">
        <v>-0.14753079999999999</v>
      </c>
      <c r="U3612">
        <v>-1.176453E-2</v>
      </c>
      <c r="V3612">
        <v>-2.413767E-2</v>
      </c>
      <c r="W3612">
        <v>0.18192820000000001</v>
      </c>
      <c r="X3612">
        <v>0.98301550000000004</v>
      </c>
      <c r="Y3612">
        <v>6.1676669999999999E-3</v>
      </c>
      <c r="Z3612">
        <v>-2.7120999999999997E-4</v>
      </c>
      <c r="AA3612">
        <v>0.99998089999999995</v>
      </c>
      <c r="AB3612">
        <v>44</v>
      </c>
      <c r="AC3612">
        <v>22.6341999999999</v>
      </c>
      <c r="AD3612">
        <v>-1.109631995552</v>
      </c>
      <c r="AE3612">
        <v>-8.9499999999986798E-2</v>
      </c>
      <c r="AF3612">
        <v>0.14226986348608101</v>
      </c>
      <c r="AG3612">
        <v>-1.109631995552</v>
      </c>
      <c r="AH3612">
        <v>22.579660364430701</v>
      </c>
      <c r="AI3612">
        <v>92.8133667140104</v>
      </c>
      <c r="AJ3612">
        <v>89.6389956833046</v>
      </c>
      <c r="AK3612">
        <v>22.607356901076599</v>
      </c>
      <c r="AL3612">
        <v>79.5179076545204</v>
      </c>
      <c r="AM3612">
        <v>91.406599152083402</v>
      </c>
      <c r="AN3612">
        <v>0.99999998515425903</v>
      </c>
    </row>
    <row r="3613" spans="1:40" x14ac:dyDescent="0.25">
      <c r="A3613" t="str">
        <f>"20190304155704811"</f>
        <v>20190304155704811</v>
      </c>
      <c r="B3613" t="str">
        <f>"1551686224798740"</f>
        <v>1551686224798740</v>
      </c>
      <c r="C3613" t="s">
        <v>40</v>
      </c>
      <c r="D3613">
        <v>4.6112929999999999</v>
      </c>
      <c r="E3613">
        <v>0.54238819999999999</v>
      </c>
      <c r="F3613" t="s">
        <v>64</v>
      </c>
      <c r="G3613">
        <v>-301.4599</v>
      </c>
      <c r="H3613" s="1">
        <v>2.3942939999999999E-6</v>
      </c>
      <c r="I3613">
        <v>213.0076</v>
      </c>
      <c r="J3613">
        <v>-331.51130000000001</v>
      </c>
      <c r="K3613">
        <v>1.1096159999999999</v>
      </c>
      <c r="L3613">
        <v>214.4426</v>
      </c>
      <c r="M3613">
        <v>0.99989749999999999</v>
      </c>
      <c r="N3613">
        <v>-1.415975E-2</v>
      </c>
      <c r="O3613">
        <v>2.127356E-3</v>
      </c>
      <c r="P3613">
        <v>0.98539810000000005</v>
      </c>
      <c r="Q3613">
        <v>0.16829140000000001</v>
      </c>
      <c r="R3613">
        <v>2.586219E-2</v>
      </c>
      <c r="S3613">
        <v>3.0673520000000001</v>
      </c>
      <c r="T3613">
        <v>-0.111706</v>
      </c>
      <c r="U3613">
        <v>-0.1443787</v>
      </c>
      <c r="V3613">
        <v>-2.3670819999999999E-2</v>
      </c>
      <c r="W3613">
        <v>0.18224090000000001</v>
      </c>
      <c r="X3613">
        <v>0.98296890000000003</v>
      </c>
      <c r="Y3613">
        <v>4.9096870000000001E-2</v>
      </c>
      <c r="Z3613">
        <v>-1.2884820000000001E-3</v>
      </c>
      <c r="AA3613">
        <v>0.99879320000000005</v>
      </c>
      <c r="AB3613">
        <v>44</v>
      </c>
      <c r="AC3613">
        <v>30.051400000000001</v>
      </c>
      <c r="AD3613">
        <v>-1.109613605706</v>
      </c>
      <c r="AE3613">
        <v>-1.4350000000000001</v>
      </c>
      <c r="AF3613">
        <v>1.49689700368581</v>
      </c>
      <c r="AG3613">
        <v>-1.109613605706</v>
      </c>
      <c r="AH3613">
        <v>30.007460688626601</v>
      </c>
      <c r="AI3613">
        <v>92.115086517118201</v>
      </c>
      <c r="AJ3613">
        <v>87.144215339922695</v>
      </c>
      <c r="AK3613">
        <v>30.065256359676798</v>
      </c>
      <c r="AL3613">
        <v>79.499686350235905</v>
      </c>
      <c r="AM3613">
        <v>91.379469907567696</v>
      </c>
      <c r="AN3613">
        <v>0.99999995585974499</v>
      </c>
    </row>
    <row r="3614" spans="1:40" x14ac:dyDescent="0.25">
      <c r="A3614" t="str">
        <f>"20190304155704832"</f>
        <v>20190304155704832</v>
      </c>
      <c r="B3614" t="str">
        <f>"1551686224828020"</f>
        <v>1551686224828020</v>
      </c>
      <c r="C3614" t="s">
        <v>40</v>
      </c>
      <c r="D3614">
        <v>4.6037569999999999</v>
      </c>
      <c r="E3614">
        <v>0.55168530000000005</v>
      </c>
      <c r="F3614" t="s">
        <v>64</v>
      </c>
      <c r="G3614">
        <v>-289.78410000000002</v>
      </c>
      <c r="H3614" s="1">
        <v>3.214389E-6</v>
      </c>
      <c r="I3614">
        <v>210.7381</v>
      </c>
      <c r="J3614">
        <v>-331.08350000000002</v>
      </c>
      <c r="K3614">
        <v>1.1096029999999999</v>
      </c>
      <c r="L3614">
        <v>214.44329999999999</v>
      </c>
      <c r="M3614">
        <v>0.99989709999999998</v>
      </c>
      <c r="N3614">
        <v>-1.423526E-2</v>
      </c>
      <c r="O3614">
        <v>1.8806509999999999E-3</v>
      </c>
      <c r="P3614">
        <v>0.9853556</v>
      </c>
      <c r="Q3614">
        <v>0.16860939999999999</v>
      </c>
      <c r="R3614">
        <v>2.54174E-2</v>
      </c>
      <c r="S3614">
        <v>3.0655209999999999</v>
      </c>
      <c r="T3614">
        <v>-8.1518530000000006E-2</v>
      </c>
      <c r="U3614">
        <v>-0.2721558</v>
      </c>
      <c r="V3614">
        <v>-2.3457220000000001E-2</v>
      </c>
      <c r="W3614">
        <v>0.18263380000000001</v>
      </c>
      <c r="X3614">
        <v>0.98290120000000003</v>
      </c>
      <c r="Y3614">
        <v>9.0256240000000001E-2</v>
      </c>
      <c r="Z3614">
        <v>-1.8645479999999999E-3</v>
      </c>
      <c r="AA3614">
        <v>0.99591680000000005</v>
      </c>
      <c r="AB3614">
        <v>44</v>
      </c>
      <c r="AC3614">
        <v>41.299399999999899</v>
      </c>
      <c r="AD3614">
        <v>-1.109599785611</v>
      </c>
      <c r="AE3614">
        <v>-3.7051999999999898</v>
      </c>
      <c r="AF3614">
        <v>3.7801641467944398</v>
      </c>
      <c r="AG3614">
        <v>-1.109599785611</v>
      </c>
      <c r="AH3614">
        <v>41.262810440913498</v>
      </c>
      <c r="AI3614">
        <v>91.533951247449494</v>
      </c>
      <c r="AJ3614">
        <v>84.765636136738607</v>
      </c>
      <c r="AK3614">
        <v>41.450456911157097</v>
      </c>
      <c r="AL3614">
        <v>79.476791670653995</v>
      </c>
      <c r="AM3614">
        <v>91.367120757455297</v>
      </c>
      <c r="AN3614">
        <v>1.0000000575170001</v>
      </c>
    </row>
    <row r="3615" spans="1:40" x14ac:dyDescent="0.25">
      <c r="A3615" t="str">
        <f>"20190304155704854"</f>
        <v>20190304155704854</v>
      </c>
      <c r="B3615" t="str">
        <f>"1551686224848516"</f>
        <v>1551686224848516</v>
      </c>
      <c r="C3615" t="s">
        <v>40</v>
      </c>
      <c r="D3615">
        <v>4.6114290000000002</v>
      </c>
      <c r="E3615">
        <v>0.55433489999999996</v>
      </c>
      <c r="F3615" t="s">
        <v>64</v>
      </c>
      <c r="G3615">
        <v>-284.89620000000002</v>
      </c>
      <c r="H3615">
        <v>7.9999249999999994E-2</v>
      </c>
      <c r="I3615">
        <v>209.21549999999999</v>
      </c>
      <c r="J3615">
        <v>-330.65899999999999</v>
      </c>
      <c r="K3615">
        <v>1.1095950000000001</v>
      </c>
      <c r="L3615">
        <v>214.44390000000001</v>
      </c>
      <c r="M3615">
        <v>0.99989640000000002</v>
      </c>
      <c r="N3615">
        <v>-1.4308420000000001E-2</v>
      </c>
      <c r="O3615">
        <v>1.620504E-3</v>
      </c>
      <c r="P3615">
        <v>0.98528210000000005</v>
      </c>
      <c r="Q3615">
        <v>0.1691464</v>
      </c>
      <c r="R3615">
        <v>2.468387E-2</v>
      </c>
      <c r="S3615">
        <v>3.0652159999999999</v>
      </c>
      <c r="T3615">
        <v>-6.8329570000000006E-2</v>
      </c>
      <c r="U3615">
        <v>-0.346939099999999</v>
      </c>
      <c r="V3615">
        <v>-2.2970419999999998E-2</v>
      </c>
      <c r="W3615">
        <v>0.1832423</v>
      </c>
      <c r="X3615">
        <v>0.98279939999999999</v>
      </c>
      <c r="Y3615">
        <v>0.1140318</v>
      </c>
      <c r="Z3615">
        <v>-2.0982969999999998E-3</v>
      </c>
      <c r="AA3615">
        <v>0.99347490000000005</v>
      </c>
      <c r="AB3615">
        <v>44</v>
      </c>
      <c r="AC3615">
        <v>45.762799999999899</v>
      </c>
      <c r="AD3615">
        <v>-1.0295957499999999</v>
      </c>
      <c r="AE3615">
        <v>-5.2284000000000201</v>
      </c>
      <c r="AF3615">
        <v>5.2999113572927099</v>
      </c>
      <c r="AG3615">
        <v>-1.0295957499999999</v>
      </c>
      <c r="AH3615">
        <v>45.731416150775999</v>
      </c>
      <c r="AI3615">
        <v>91.2811655252641</v>
      </c>
      <c r="AJ3615">
        <v>83.389360449784206</v>
      </c>
      <c r="AK3615">
        <v>46.049012486252501</v>
      </c>
      <c r="AL3615">
        <v>79.441328339956897</v>
      </c>
      <c r="AM3615">
        <v>91.338898403495094</v>
      </c>
      <c r="AN3615">
        <v>1.0000000206723101</v>
      </c>
    </row>
    <row r="3616" spans="1:40" x14ac:dyDescent="0.25">
      <c r="A3616" t="str">
        <f>"20190304155704875"</f>
        <v>20190304155704875</v>
      </c>
      <c r="B3616" t="str">
        <f>"1551686224868036"</f>
        <v>1551686224868036</v>
      </c>
      <c r="C3616" t="s">
        <v>40</v>
      </c>
      <c r="D3616">
        <v>4.5843319999999999</v>
      </c>
      <c r="E3616">
        <v>0.55601559999999906</v>
      </c>
      <c r="F3616" t="s">
        <v>64</v>
      </c>
      <c r="G3616">
        <v>-281.02050000000003</v>
      </c>
      <c r="H3616">
        <v>7.9999849999999997E-2</v>
      </c>
      <c r="I3616">
        <v>208.44399999999999</v>
      </c>
      <c r="J3616">
        <v>-330.22449999999998</v>
      </c>
      <c r="K3616">
        <v>1.109585</v>
      </c>
      <c r="L3616">
        <v>214.4443</v>
      </c>
      <c r="M3616">
        <v>0.9998958</v>
      </c>
      <c r="N3616">
        <v>-1.437861E-2</v>
      </c>
      <c r="O3616">
        <v>1.3427370000000001E-3</v>
      </c>
      <c r="P3616">
        <v>0.9852921</v>
      </c>
      <c r="Q3616">
        <v>0.16914799999999999</v>
      </c>
      <c r="R3616">
        <v>2.4265950000000001E-2</v>
      </c>
      <c r="S3616">
        <v>3.0650019999999998</v>
      </c>
      <c r="T3616">
        <v>-6.3573959999999999E-2</v>
      </c>
      <c r="U3616">
        <v>-0.37046810000000002</v>
      </c>
      <c r="V3616">
        <v>-2.2817799999999999E-2</v>
      </c>
      <c r="W3616">
        <v>0.183314</v>
      </c>
      <c r="X3616">
        <v>0.98278960000000004</v>
      </c>
      <c r="Y3616">
        <v>0.1212863</v>
      </c>
      <c r="Z3616">
        <v>-2.1369990000000001E-3</v>
      </c>
      <c r="AA3616">
        <v>0.99261529999999998</v>
      </c>
      <c r="AB3616">
        <v>44</v>
      </c>
      <c r="AC3616">
        <v>49.203999999999901</v>
      </c>
      <c r="AD3616">
        <v>-1.0295851499999999</v>
      </c>
      <c r="AE3616">
        <v>-6.0002999999999798</v>
      </c>
      <c r="AF3616">
        <v>6.0637533466080402</v>
      </c>
      <c r="AG3616">
        <v>-1.0295851499999999</v>
      </c>
      <c r="AH3616">
        <v>49.1746824240346</v>
      </c>
      <c r="AI3616">
        <v>91.190430005337305</v>
      </c>
      <c r="AJ3616">
        <v>82.970316883171506</v>
      </c>
      <c r="AK3616">
        <v>49.5578302767005</v>
      </c>
      <c r="AL3616">
        <v>79.4371496130114</v>
      </c>
      <c r="AM3616">
        <v>91.330018962023601</v>
      </c>
      <c r="AN3616">
        <v>1.0000000362304899</v>
      </c>
    </row>
    <row r="3617" spans="1:40" x14ac:dyDescent="0.25">
      <c r="A3617" t="str">
        <f>"20190304155704890"</f>
        <v>20190304155704890</v>
      </c>
      <c r="B3617" t="str">
        <f>"1551686224888532"</f>
        <v>1551686224888532</v>
      </c>
      <c r="C3617" t="s">
        <v>40</v>
      </c>
      <c r="D3617">
        <v>4.6479970000000002</v>
      </c>
      <c r="E3617">
        <v>0.55711849999999996</v>
      </c>
      <c r="F3617" t="s">
        <v>55</v>
      </c>
      <c r="G3617">
        <v>-278.86180000000002</v>
      </c>
      <c r="H3617">
        <v>8.0000619999999995E-2</v>
      </c>
      <c r="I3617">
        <v>207.99860000000001</v>
      </c>
      <c r="J3617">
        <v>-329.94420000000002</v>
      </c>
      <c r="K3617">
        <v>1.10958</v>
      </c>
      <c r="L3617">
        <v>214.44460000000001</v>
      </c>
      <c r="M3617">
        <v>0.99989530000000004</v>
      </c>
      <c r="N3617">
        <v>-1.4422590000000001E-2</v>
      </c>
      <c r="O3617">
        <v>1.159602E-3</v>
      </c>
      <c r="P3617">
        <v>0.98530410000000002</v>
      </c>
      <c r="Q3617">
        <v>0.16910059999999999</v>
      </c>
      <c r="R3617">
        <v>2.4099209999999999E-2</v>
      </c>
      <c r="S3617">
        <v>3.0647579999999999</v>
      </c>
      <c r="T3617">
        <v>-6.1434269999999999E-2</v>
      </c>
      <c r="U3617">
        <v>-0.38461299999999998</v>
      </c>
      <c r="V3617">
        <v>-2.2827190000000001E-2</v>
      </c>
      <c r="W3617">
        <v>0.18331020000000001</v>
      </c>
      <c r="X3617">
        <v>0.9827901</v>
      </c>
      <c r="Y3617">
        <v>0.1256263</v>
      </c>
      <c r="Z3617">
        <v>-2.1702340000000001E-3</v>
      </c>
      <c r="AA3617">
        <v>0.99207529999999999</v>
      </c>
      <c r="AB3617">
        <v>44</v>
      </c>
      <c r="AC3617">
        <v>51.0824</v>
      </c>
      <c r="AD3617">
        <v>-1.0295793799999999</v>
      </c>
      <c r="AE3617">
        <v>-6.44599999999999</v>
      </c>
      <c r="AF3617">
        <v>6.5026368881169097</v>
      </c>
      <c r="AG3617">
        <v>-1.0295793799999999</v>
      </c>
      <c r="AH3617">
        <v>51.054475051686097</v>
      </c>
      <c r="AI3617">
        <v>91.146031034305494</v>
      </c>
      <c r="AJ3617">
        <v>82.741510479464196</v>
      </c>
      <c r="AK3617">
        <v>51.477215765828497</v>
      </c>
      <c r="AL3617">
        <v>79.4373711872976</v>
      </c>
      <c r="AM3617">
        <v>91.330565419120802</v>
      </c>
      <c r="AN3617">
        <v>1.0000000453426701</v>
      </c>
    </row>
    <row r="3618" spans="1:40" x14ac:dyDescent="0.25">
      <c r="A3618" t="str">
        <f>"20190304155704909"</f>
        <v>20190304155704909</v>
      </c>
      <c r="B3618" t="str">
        <f>"1551686224898292"</f>
        <v>1551686224898292</v>
      </c>
      <c r="C3618" t="s">
        <v>40</v>
      </c>
      <c r="D3618">
        <v>4.6182889999999999</v>
      </c>
      <c r="E3618">
        <v>0.55763940000000001</v>
      </c>
      <c r="F3618" t="s">
        <v>55</v>
      </c>
      <c r="G3618">
        <v>-278.5025</v>
      </c>
      <c r="H3618">
        <v>8.0000740000000001E-2</v>
      </c>
      <c r="I3618">
        <v>207.8289</v>
      </c>
      <c r="J3618">
        <v>-329.57760000000002</v>
      </c>
      <c r="K3618">
        <v>1.109577</v>
      </c>
      <c r="L3618">
        <v>214.44479999999999</v>
      </c>
      <c r="M3618">
        <v>0.99989479999999997</v>
      </c>
      <c r="N3618">
        <v>-1.448031E-2</v>
      </c>
      <c r="O3618">
        <v>9.1632499999999995E-4</v>
      </c>
      <c r="P3618">
        <v>0.98531360000000001</v>
      </c>
      <c r="Q3618">
        <v>0.1690738</v>
      </c>
      <c r="R3618">
        <v>2.3898320000000001E-2</v>
      </c>
      <c r="S3618">
        <v>3.0649109999999999</v>
      </c>
      <c r="T3618">
        <v>-6.13425999999999E-2</v>
      </c>
      <c r="U3618">
        <v>-0.39416499999999999</v>
      </c>
      <c r="V3618">
        <v>-2.2861260000000001E-2</v>
      </c>
      <c r="W3618">
        <v>0.18334120000000001</v>
      </c>
      <c r="X3618">
        <v>0.98278350000000003</v>
      </c>
      <c r="Y3618">
        <v>0.12842020000000001</v>
      </c>
      <c r="Z3618">
        <v>-2.2185859999999998E-3</v>
      </c>
      <c r="AA3618">
        <v>0.99171730000000002</v>
      </c>
      <c r="AB3618">
        <v>43</v>
      </c>
      <c r="AC3618">
        <v>51.075099999999999</v>
      </c>
      <c r="AD3618">
        <v>-1.02957626</v>
      </c>
      <c r="AE3618">
        <v>-6.6158999999999804</v>
      </c>
      <c r="AF3618">
        <v>6.6600418786407101</v>
      </c>
      <c r="AG3618">
        <v>-1.02957626</v>
      </c>
      <c r="AH3618">
        <v>51.048614385355997</v>
      </c>
      <c r="AI3618">
        <v>91.145709028335006</v>
      </c>
      <c r="AJ3618">
        <v>82.566906882079493</v>
      </c>
      <c r="AK3618">
        <v>51.491525669426203</v>
      </c>
      <c r="AL3618">
        <v>79.435564130077793</v>
      </c>
      <c r="AM3618">
        <v>91.332559542592506</v>
      </c>
      <c r="AN3618">
        <v>1.0000000203492301</v>
      </c>
    </row>
    <row r="3619" spans="1:40" x14ac:dyDescent="0.25">
      <c r="A3619" t="str">
        <f>"20190304155704922"</f>
        <v>20190304155704922</v>
      </c>
      <c r="B3619" t="str">
        <f>"1551686224917820"</f>
        <v>1551686224917820</v>
      </c>
      <c r="C3619" t="s">
        <v>40</v>
      </c>
      <c r="D3619">
        <v>4.6201040000000004</v>
      </c>
      <c r="E3619">
        <v>0.5585386</v>
      </c>
      <c r="F3619" t="s">
        <v>55</v>
      </c>
      <c r="G3619">
        <v>-276.95100000000002</v>
      </c>
      <c r="H3619">
        <v>8.0001199999999995E-2</v>
      </c>
      <c r="I3619">
        <v>207.5908</v>
      </c>
      <c r="J3619">
        <v>-329.31920000000002</v>
      </c>
      <c r="K3619">
        <v>1.109578</v>
      </c>
      <c r="L3619">
        <v>214.44489999999999</v>
      </c>
      <c r="M3619">
        <v>0.99989439999999996</v>
      </c>
      <c r="N3619">
        <v>-1.4520379999999999E-2</v>
      </c>
      <c r="O3619">
        <v>7.4317549999999995E-4</v>
      </c>
      <c r="P3619">
        <v>0.98525669999999999</v>
      </c>
      <c r="Q3619">
        <v>0.1694377</v>
      </c>
      <c r="R3619">
        <v>2.367876E-2</v>
      </c>
      <c r="S3619">
        <v>3.064667</v>
      </c>
      <c r="T3619">
        <v>-5.9956429999999998E-2</v>
      </c>
      <c r="U3619">
        <v>-0.39913939999999998</v>
      </c>
      <c r="V3619">
        <v>-2.2809380000000001E-2</v>
      </c>
      <c r="W3619">
        <v>0.18374380000000001</v>
      </c>
      <c r="X3619">
        <v>0.98270950000000001</v>
      </c>
      <c r="Y3619">
        <v>0.1298425</v>
      </c>
      <c r="Z3619">
        <v>-2.2152259999999998E-3</v>
      </c>
      <c r="AA3619">
        <v>0.99153210000000003</v>
      </c>
      <c r="AB3619">
        <v>43</v>
      </c>
      <c r="AC3619">
        <v>52.368200000000002</v>
      </c>
      <c r="AD3619">
        <v>-1.0295768000000001</v>
      </c>
      <c r="AE3619">
        <v>-6.8540999999999803</v>
      </c>
      <c r="AF3619">
        <v>6.8904024839248397</v>
      </c>
      <c r="AG3619">
        <v>-1.0295768000000001</v>
      </c>
      <c r="AH3619">
        <v>52.343199775776696</v>
      </c>
      <c r="AI3619">
        <v>91.117211494293997</v>
      </c>
      <c r="AJ3619">
        <v>82.500764474996998</v>
      </c>
      <c r="AK3619">
        <v>52.804812636202499</v>
      </c>
      <c r="AL3619">
        <v>79.412098058135498</v>
      </c>
      <c r="AM3619">
        <v>91.329636677780698</v>
      </c>
      <c r="AN3619">
        <v>1.00000000662233</v>
      </c>
    </row>
    <row r="3620" spans="1:40" x14ac:dyDescent="0.25">
      <c r="A3620" t="str">
        <f>"20190304155704943"</f>
        <v>20190304155704943</v>
      </c>
      <c r="B3620" t="str">
        <f>"1551686224938309"</f>
        <v>1551686224938309</v>
      </c>
      <c r="C3620" t="s">
        <v>40</v>
      </c>
      <c r="D3620">
        <v>4.5890829999999996</v>
      </c>
      <c r="E3620">
        <v>0.55896169999999901</v>
      </c>
      <c r="F3620" t="s">
        <v>55</v>
      </c>
      <c r="G3620">
        <v>-274.26609999999999</v>
      </c>
      <c r="H3620">
        <v>8.000053E-2</v>
      </c>
      <c r="I3620">
        <v>207.1343</v>
      </c>
      <c r="J3620">
        <v>-328.92320000000001</v>
      </c>
      <c r="K3620">
        <v>1.109586</v>
      </c>
      <c r="L3620">
        <v>214.44499999999999</v>
      </c>
      <c r="M3620">
        <v>0.9998937</v>
      </c>
      <c r="N3620">
        <v>-1.4581419999999999E-2</v>
      </c>
      <c r="O3620">
        <v>4.774348E-4</v>
      </c>
      <c r="P3620">
        <v>0.98513569999999995</v>
      </c>
      <c r="Q3620">
        <v>0.17019719999999999</v>
      </c>
      <c r="R3620">
        <v>2.3257960000000001E-2</v>
      </c>
      <c r="S3620">
        <v>3.064575</v>
      </c>
      <c r="T3620">
        <v>-5.7312250000000002E-2</v>
      </c>
      <c r="U3620">
        <v>-0.40695189999999998</v>
      </c>
      <c r="V3620">
        <v>-2.264559E-2</v>
      </c>
      <c r="W3620">
        <v>0.18456120000000001</v>
      </c>
      <c r="X3620">
        <v>0.98256010000000005</v>
      </c>
      <c r="Y3620">
        <v>0.1320693</v>
      </c>
      <c r="Z3620">
        <v>-2.198691E-3</v>
      </c>
      <c r="AA3620">
        <v>0.99123810000000001</v>
      </c>
      <c r="AB3620">
        <v>43</v>
      </c>
      <c r="AC3620">
        <v>54.6571</v>
      </c>
      <c r="AD3620">
        <v>-1.02958547</v>
      </c>
      <c r="AE3620">
        <v>-7.31069999999999</v>
      </c>
      <c r="AF3620">
        <v>7.33424040467147</v>
      </c>
      <c r="AG3620">
        <v>-1.02958547</v>
      </c>
      <c r="AH3620">
        <v>54.634557270977901</v>
      </c>
      <c r="AI3620">
        <v>91.0700123209254</v>
      </c>
      <c r="AJ3620">
        <v>82.354221551016494</v>
      </c>
      <c r="AK3620">
        <v>55.1342541143826</v>
      </c>
      <c r="AL3620">
        <v>79.364449566916804</v>
      </c>
      <c r="AM3620">
        <v>91.320292841256901</v>
      </c>
      <c r="AN3620">
        <v>1.0000000047019399</v>
      </c>
    </row>
    <row r="3621" spans="1:40" x14ac:dyDescent="0.25">
      <c r="A3621" t="str">
        <f>"20190304155704957"</f>
        <v>20190304155704957</v>
      </c>
      <c r="B3621" t="str">
        <f>"1551686224948068"</f>
        <v>1551686224948068</v>
      </c>
      <c r="C3621" t="s">
        <v>40</v>
      </c>
      <c r="D3621">
        <v>4.6131089999999997</v>
      </c>
      <c r="E3621">
        <v>0.55919200000000002</v>
      </c>
      <c r="F3621" t="s">
        <v>55</v>
      </c>
      <c r="G3621">
        <v>-270.41759999999999</v>
      </c>
      <c r="H3621">
        <v>8.000169E-2</v>
      </c>
      <c r="I3621">
        <v>206.5917</v>
      </c>
      <c r="J3621">
        <v>-328.6465</v>
      </c>
      <c r="K3621">
        <v>1.1095900000000001</v>
      </c>
      <c r="L3621">
        <v>214.44499999999999</v>
      </c>
      <c r="M3621">
        <v>0.99989309999999998</v>
      </c>
      <c r="N3621">
        <v>-1.462337E-2</v>
      </c>
      <c r="O3621">
        <v>2.9147180000000002E-4</v>
      </c>
      <c r="P3621">
        <v>0.98513640000000002</v>
      </c>
      <c r="Q3621">
        <v>0.170235</v>
      </c>
      <c r="R3621">
        <v>2.295092E-2</v>
      </c>
      <c r="S3621">
        <v>3.0643310000000001</v>
      </c>
      <c r="T3621">
        <v>-5.3926229999999999E-2</v>
      </c>
      <c r="U3621">
        <v>-0.41133120000000001</v>
      </c>
      <c r="V3621">
        <v>-2.251968E-2</v>
      </c>
      <c r="W3621">
        <v>0.18464040000000001</v>
      </c>
      <c r="X3621">
        <v>0.98254810000000004</v>
      </c>
      <c r="Y3621">
        <v>0.133290299999999</v>
      </c>
      <c r="Z3621">
        <v>-2.147478E-3</v>
      </c>
      <c r="AA3621">
        <v>0.99107469999999998</v>
      </c>
      <c r="AB3621">
        <v>43</v>
      </c>
      <c r="AC3621">
        <v>58.228900000000003</v>
      </c>
      <c r="AD3621">
        <v>-1.0295883099999901</v>
      </c>
      <c r="AE3621">
        <v>-7.8532999999999902</v>
      </c>
      <c r="AF3621">
        <v>7.8678576688410304</v>
      </c>
      <c r="AG3621">
        <v>-1.0295883099999901</v>
      </c>
      <c r="AH3621">
        <v>58.208734771694402</v>
      </c>
      <c r="AI3621">
        <v>91.004204459140098</v>
      </c>
      <c r="AJ3621">
        <v>82.302196276553005</v>
      </c>
      <c r="AK3621">
        <v>58.747085375418301</v>
      </c>
      <c r="AL3621">
        <v>79.359832241577394</v>
      </c>
      <c r="AM3621">
        <v>91.312970589224705</v>
      </c>
      <c r="AN3621">
        <v>0.99999999105653603</v>
      </c>
    </row>
    <row r="3622" spans="1:40" x14ac:dyDescent="0.25">
      <c r="A3622" t="str">
        <f>"20190304155704978"</f>
        <v>20190304155704978</v>
      </c>
      <c r="B3622" t="str">
        <f>"1551686224968565"</f>
        <v>1551686224968565</v>
      </c>
      <c r="C3622" t="s">
        <v>40</v>
      </c>
      <c r="D3622">
        <v>4.6351199999999997</v>
      </c>
      <c r="E3622">
        <v>0.55983109999999903</v>
      </c>
      <c r="F3622" t="s">
        <v>55</v>
      </c>
      <c r="G3622">
        <v>-269.33370000000002</v>
      </c>
      <c r="H3622">
        <v>8.0000550000000004E-2</v>
      </c>
      <c r="I3622">
        <v>206.4254</v>
      </c>
      <c r="J3622">
        <v>-328.25720000000001</v>
      </c>
      <c r="K3622">
        <v>1.1095889999999999</v>
      </c>
      <c r="L3622">
        <v>214.44489999999999</v>
      </c>
      <c r="M3622">
        <v>0.99989220000000001</v>
      </c>
      <c r="N3622">
        <v>-1.4681319999999999E-2</v>
      </c>
      <c r="O3622" s="1">
        <v>3.0143220000000001E-5</v>
      </c>
      <c r="P3622">
        <v>0.98508519999999999</v>
      </c>
      <c r="Q3622">
        <v>0.17062840000000001</v>
      </c>
      <c r="R3622">
        <v>2.2212809999999999E-2</v>
      </c>
      <c r="S3622">
        <v>3.064117</v>
      </c>
      <c r="T3622">
        <v>-5.3188920000000001E-2</v>
      </c>
      <c r="U3622">
        <v>-0.41429139999999998</v>
      </c>
      <c r="V3622">
        <v>-2.2035220000000001E-2</v>
      </c>
      <c r="W3622">
        <v>0.18509030000000001</v>
      </c>
      <c r="X3622">
        <v>0.98247439999999997</v>
      </c>
      <c r="Y3622">
        <v>0.13398119999999999</v>
      </c>
      <c r="Z3622">
        <v>-2.1457469999999999E-3</v>
      </c>
      <c r="AA3622">
        <v>0.99098149999999996</v>
      </c>
      <c r="AB3622">
        <v>43</v>
      </c>
      <c r="AC3622">
        <v>58.923499999999898</v>
      </c>
      <c r="AD3622">
        <v>-1.0295884500000001</v>
      </c>
      <c r="AE3622">
        <v>-8.0194999999999901</v>
      </c>
      <c r="AF3622">
        <v>8.0188725635245799</v>
      </c>
      <c r="AG3622">
        <v>-1.0295884500000001</v>
      </c>
      <c r="AH3622">
        <v>58.905600442339598</v>
      </c>
      <c r="AI3622">
        <v>90.992199566347907</v>
      </c>
      <c r="AJ3622">
        <v>82.247925612885695</v>
      </c>
      <c r="AK3622">
        <v>59.4578180985392</v>
      </c>
      <c r="AL3622">
        <v>79.333602422315295</v>
      </c>
      <c r="AM3622">
        <v>91.284830907844906</v>
      </c>
      <c r="AN3622">
        <v>0.99999995836494804</v>
      </c>
    </row>
    <row r="3623" spans="1:40" x14ac:dyDescent="0.25">
      <c r="A3623" t="str">
        <f>"20190304155705000"</f>
        <v>20190304155705000</v>
      </c>
      <c r="B3623" t="str">
        <f>"1551686224988084"</f>
        <v>1551686224988084</v>
      </c>
      <c r="C3623" t="s">
        <v>40</v>
      </c>
      <c r="D3623">
        <v>4.5889410000000002</v>
      </c>
      <c r="E3623">
        <v>0.5602279</v>
      </c>
      <c r="F3623" t="s">
        <v>55</v>
      </c>
      <c r="G3623">
        <v>-266.47879999999998</v>
      </c>
      <c r="H3623">
        <v>8.0001409999999995E-2</v>
      </c>
      <c r="I3623">
        <v>205.94739999999999</v>
      </c>
      <c r="J3623">
        <v>-327.82310000000001</v>
      </c>
      <c r="K3623">
        <v>1.1095930000000001</v>
      </c>
      <c r="L3623">
        <v>214.44460000000001</v>
      </c>
      <c r="M3623">
        <v>0.99989139999999999</v>
      </c>
      <c r="N3623">
        <v>-1.47442999999999E-2</v>
      </c>
      <c r="O3623">
        <v>-2.6149680000000001E-4</v>
      </c>
      <c r="P3623">
        <v>0.98505540000000003</v>
      </c>
      <c r="Q3623">
        <v>0.17082439999999999</v>
      </c>
      <c r="R3623">
        <v>2.2023640000000001E-2</v>
      </c>
      <c r="S3623">
        <v>3.0637819999999998</v>
      </c>
      <c r="T3623">
        <v>-5.1060439999999999E-2</v>
      </c>
      <c r="U3623">
        <v>-0.42141719999999999</v>
      </c>
      <c r="V3623">
        <v>-2.2130159999999999E-2</v>
      </c>
      <c r="W3623">
        <v>0.1853475</v>
      </c>
      <c r="X3623">
        <v>0.98242379999999996</v>
      </c>
      <c r="Y3623">
        <v>0.1359707</v>
      </c>
      <c r="Z3623">
        <v>-2.1344239999999998E-3</v>
      </c>
      <c r="AA3623">
        <v>0.9907106</v>
      </c>
      <c r="AB3623">
        <v>43</v>
      </c>
      <c r="AC3623">
        <v>61.344299999999997</v>
      </c>
      <c r="AD3623">
        <v>-1.0295915899999999</v>
      </c>
      <c r="AE3623">
        <v>-8.4972000000000101</v>
      </c>
      <c r="AF3623">
        <v>8.4788131411620409</v>
      </c>
      <c r="AG3623">
        <v>-1.0295915899999999</v>
      </c>
      <c r="AH3623">
        <v>61.329569043154002</v>
      </c>
      <c r="AI3623">
        <v>90.952722654370703</v>
      </c>
      <c r="AJ3623">
        <v>82.128753089625505</v>
      </c>
      <c r="AK3623">
        <v>61.921453230232999</v>
      </c>
      <c r="AL3623">
        <v>79.318606724162507</v>
      </c>
      <c r="AM3623">
        <v>91.290431245451003</v>
      </c>
      <c r="AN3623">
        <v>0.99999998127215695</v>
      </c>
    </row>
    <row r="3624" spans="1:40" x14ac:dyDescent="0.25">
      <c r="A3624" t="str">
        <f>"20190304155705023"</f>
        <v>20190304155705023</v>
      </c>
      <c r="B3624" t="str">
        <f>"1551686225018340"</f>
        <v>1551686225018340</v>
      </c>
      <c r="C3624" t="s">
        <v>40</v>
      </c>
      <c r="D3624">
        <v>4.5691759999999997</v>
      </c>
      <c r="E3624">
        <v>0.56067749999999905</v>
      </c>
      <c r="F3624" t="s">
        <v>55</v>
      </c>
      <c r="G3624">
        <v>-266.1902</v>
      </c>
      <c r="H3624">
        <v>8.0001500000000003E-2</v>
      </c>
      <c r="I3624">
        <v>205.8905</v>
      </c>
      <c r="J3624">
        <v>-327.37549999999999</v>
      </c>
      <c r="K3624">
        <v>1.109594</v>
      </c>
      <c r="L3624">
        <v>214.4443</v>
      </c>
      <c r="M3624">
        <v>0.99989019999999995</v>
      </c>
      <c r="N3624">
        <v>-1.480566E-2</v>
      </c>
      <c r="O3624">
        <v>-5.6174760000000002E-4</v>
      </c>
      <c r="P3624">
        <v>0.98504510000000001</v>
      </c>
      <c r="Q3624">
        <v>0.170967799999999</v>
      </c>
      <c r="R3624">
        <v>2.1361740000000001E-2</v>
      </c>
      <c r="S3624">
        <v>3.063904</v>
      </c>
      <c r="T3624">
        <v>-5.1183220000000001E-2</v>
      </c>
      <c r="U3624">
        <v>-0.42524719999999999</v>
      </c>
      <c r="V3624">
        <v>-2.176204E-2</v>
      </c>
      <c r="W3624">
        <v>0.18555140000000001</v>
      </c>
      <c r="X3624">
        <v>0.98239359999999998</v>
      </c>
      <c r="Y3624">
        <v>0.1368827</v>
      </c>
      <c r="Z3624">
        <v>-2.1550760000000001E-3</v>
      </c>
      <c r="AA3624">
        <v>0.99058489999999999</v>
      </c>
      <c r="AB3624">
        <v>43</v>
      </c>
      <c r="AC3624">
        <v>61.185299999999899</v>
      </c>
      <c r="AD3624">
        <v>-1.0295924999999999</v>
      </c>
      <c r="AE3624">
        <v>-8.5537999999999901</v>
      </c>
      <c r="AF3624">
        <v>8.5170587017424797</v>
      </c>
      <c r="AG3624">
        <v>-1.0295924999999999</v>
      </c>
      <c r="AH3624">
        <v>61.1731060441547</v>
      </c>
      <c r="AI3624">
        <v>90.955032606798795</v>
      </c>
      <c r="AJ3624">
        <v>82.073730775126094</v>
      </c>
      <c r="AK3624">
        <v>61.771751251962897</v>
      </c>
      <c r="AL3624">
        <v>79.306718598171202</v>
      </c>
      <c r="AM3624">
        <v>91.269011883905193</v>
      </c>
      <c r="AN3624">
        <v>1.0000000468739301</v>
      </c>
    </row>
    <row r="3625" spans="1:40" x14ac:dyDescent="0.25">
      <c r="A3625" t="str">
        <f>"20190304155705043"</f>
        <v>20190304155705043</v>
      </c>
      <c r="B3625" t="str">
        <f>"1551686225037860"</f>
        <v>1551686225037860</v>
      </c>
      <c r="C3625" t="s">
        <v>40</v>
      </c>
      <c r="D3625">
        <v>4.5876710000000003</v>
      </c>
      <c r="E3625">
        <v>0.56111140000000004</v>
      </c>
      <c r="F3625" t="s">
        <v>55</v>
      </c>
      <c r="G3625">
        <v>-263.46170000000001</v>
      </c>
      <c r="H3625">
        <v>8.0000849999999998E-2</v>
      </c>
      <c r="I3625">
        <v>205.4589</v>
      </c>
      <c r="J3625">
        <v>-326.98660000000001</v>
      </c>
      <c r="K3625">
        <v>1.109602</v>
      </c>
      <c r="L3625">
        <v>214.44380000000001</v>
      </c>
      <c r="M3625">
        <v>0.99988929999999998</v>
      </c>
      <c r="N3625">
        <v>-1.4854269999999999E-2</v>
      </c>
      <c r="O3625">
        <v>-8.2348489999999996E-4</v>
      </c>
      <c r="P3625">
        <v>0.98505149999999997</v>
      </c>
      <c r="Q3625">
        <v>0.17097190000000001</v>
      </c>
      <c r="R3625">
        <v>2.1027339999999999E-2</v>
      </c>
      <c r="S3625">
        <v>3.0634459999999999</v>
      </c>
      <c r="T3625">
        <v>-4.934931E-2</v>
      </c>
      <c r="U3625">
        <v>-0.43067929999999999</v>
      </c>
      <c r="V3625">
        <v>-2.1683589999999999E-2</v>
      </c>
      <c r="W3625">
        <v>0.18560289999999999</v>
      </c>
      <c r="X3625">
        <v>0.98238559999999997</v>
      </c>
      <c r="Y3625">
        <v>0.13836770000000001</v>
      </c>
      <c r="Z3625">
        <v>-2.1408270000000001E-3</v>
      </c>
      <c r="AA3625">
        <v>0.9903786</v>
      </c>
      <c r="AB3625">
        <v>43</v>
      </c>
      <c r="AC3625">
        <v>63.524900000000002</v>
      </c>
      <c r="AD3625">
        <v>-1.02960115</v>
      </c>
      <c r="AE3625">
        <v>-8.9849000000000103</v>
      </c>
      <c r="AF3625">
        <v>8.9302794627227993</v>
      </c>
      <c r="AG3625">
        <v>-1.02960115</v>
      </c>
      <c r="AH3625">
        <v>63.515920196782098</v>
      </c>
      <c r="AI3625">
        <v>90.919646765962298</v>
      </c>
      <c r="AJ3625">
        <v>81.996727882099194</v>
      </c>
      <c r="AK3625">
        <v>64.148905588906203</v>
      </c>
      <c r="AL3625">
        <v>79.303715639038401</v>
      </c>
      <c r="AM3625">
        <v>91.264449003075796</v>
      </c>
      <c r="AN3625">
        <v>1.0000000408255201</v>
      </c>
    </row>
    <row r="3626" spans="1:40" x14ac:dyDescent="0.25">
      <c r="A3626" t="str">
        <f>"20190304155705058"</f>
        <v>20190304155705058</v>
      </c>
      <c r="B3626" t="str">
        <f>"1551686225048596"</f>
        <v>1551686225048596</v>
      </c>
      <c r="C3626" t="s">
        <v>40</v>
      </c>
      <c r="D3626">
        <v>4.5968059999999999</v>
      </c>
      <c r="E3626">
        <v>0.56123880000000004</v>
      </c>
      <c r="F3626" t="s">
        <v>55</v>
      </c>
      <c r="G3626">
        <v>-262.51519999999999</v>
      </c>
      <c r="H3626">
        <v>8.0001130000000004E-2</v>
      </c>
      <c r="I3626">
        <v>205.28270000000001</v>
      </c>
      <c r="J3626">
        <v>-326.70679999999999</v>
      </c>
      <c r="K3626">
        <v>1.109607</v>
      </c>
      <c r="L3626">
        <v>214.4435</v>
      </c>
      <c r="M3626">
        <v>0.99988869999999996</v>
      </c>
      <c r="N3626">
        <v>-1.4886119999999999E-2</v>
      </c>
      <c r="O3626">
        <v>-1.011992E-3</v>
      </c>
      <c r="P3626">
        <v>0.98502749999999994</v>
      </c>
      <c r="Q3626">
        <v>0.1711356</v>
      </c>
      <c r="R3626">
        <v>2.082082E-2</v>
      </c>
      <c r="S3626">
        <v>3.0633240000000002</v>
      </c>
      <c r="T3626">
        <v>-4.8920989999999998E-2</v>
      </c>
      <c r="U3626">
        <v>-0.43528749999999999</v>
      </c>
      <c r="V3626">
        <v>-2.1661699999999999E-2</v>
      </c>
      <c r="W3626">
        <v>0.18579780000000001</v>
      </c>
      <c r="X3626">
        <v>0.98234920000000003</v>
      </c>
      <c r="Y3626">
        <v>0.1396471</v>
      </c>
      <c r="Z3626">
        <v>-2.1531250000000001E-3</v>
      </c>
      <c r="AA3626">
        <v>0.99019900000000005</v>
      </c>
      <c r="AB3626">
        <v>43</v>
      </c>
      <c r="AC3626">
        <v>64.191599999999994</v>
      </c>
      <c r="AD3626">
        <v>-1.0296058699999999</v>
      </c>
      <c r="AE3626">
        <v>-9.1607999999999894</v>
      </c>
      <c r="AF3626">
        <v>9.0935339454165405</v>
      </c>
      <c r="AG3626">
        <v>-1.0296058699999999</v>
      </c>
      <c r="AH3626">
        <v>64.184655741605496</v>
      </c>
      <c r="AI3626">
        <v>90.909935014934405</v>
      </c>
      <c r="AJ3626">
        <v>81.936134507848195</v>
      </c>
      <c r="AK3626">
        <v>64.833806617631197</v>
      </c>
      <c r="AL3626">
        <v>79.292350591770401</v>
      </c>
      <c r="AM3626">
        <v>91.263219721832797</v>
      </c>
      <c r="AN3626">
        <v>1.00000000123618</v>
      </c>
    </row>
    <row r="3627" spans="1:40" x14ac:dyDescent="0.25">
      <c r="A3627" t="str">
        <f>"20190304155705072"</f>
        <v>20190304155705072</v>
      </c>
      <c r="B3627" t="str">
        <f>"1551686225068117"</f>
        <v>1551686225068117</v>
      </c>
      <c r="C3627" t="s">
        <v>40</v>
      </c>
      <c r="D3627">
        <v>4.6160949999999996</v>
      </c>
      <c r="E3627">
        <v>0.56145880000000004</v>
      </c>
      <c r="F3627" t="s">
        <v>55</v>
      </c>
      <c r="G3627">
        <v>-261.49619999999999</v>
      </c>
      <c r="H3627">
        <v>8.0001439999999993E-2</v>
      </c>
      <c r="I3627">
        <v>205.1352</v>
      </c>
      <c r="J3627">
        <v>-326.42529999999999</v>
      </c>
      <c r="K3627">
        <v>1.10961</v>
      </c>
      <c r="L3627">
        <v>214.44309999999999</v>
      </c>
      <c r="M3627">
        <v>0.99988809999999995</v>
      </c>
      <c r="N3627">
        <v>-1.4915980000000001E-2</v>
      </c>
      <c r="O3627">
        <v>-1.2017900000000001E-3</v>
      </c>
      <c r="P3627">
        <v>0.98504559999999997</v>
      </c>
      <c r="Q3627">
        <v>0.17106060000000001</v>
      </c>
      <c r="R3627">
        <v>2.0579009999999998E-2</v>
      </c>
      <c r="S3627">
        <v>3.0632630000000001</v>
      </c>
      <c r="T3627">
        <v>-4.836559E-2</v>
      </c>
      <c r="U3627">
        <v>-0.43725589999999998</v>
      </c>
      <c r="V3627">
        <v>-2.1606150000000001E-2</v>
      </c>
      <c r="W3627">
        <v>0.18575240000000001</v>
      </c>
      <c r="X3627">
        <v>0.98235899999999998</v>
      </c>
      <c r="Y3627">
        <v>0.14008599999999999</v>
      </c>
      <c r="Z3627">
        <v>-2.149429E-3</v>
      </c>
      <c r="AA3627">
        <v>0.99013700000000004</v>
      </c>
      <c r="AB3627">
        <v>43</v>
      </c>
      <c r="AC3627">
        <v>64.929100000000005</v>
      </c>
      <c r="AD3627">
        <v>-1.02960856</v>
      </c>
      <c r="AE3627">
        <v>-9.3078999999999894</v>
      </c>
      <c r="AF3627">
        <v>9.2275798326704894</v>
      </c>
      <c r="AG3627">
        <v>-1.02960856</v>
      </c>
      <c r="AH3627">
        <v>64.924243510606004</v>
      </c>
      <c r="AI3627">
        <v>90.899517118765203</v>
      </c>
      <c r="AJ3627">
        <v>81.910819777425303</v>
      </c>
      <c r="AK3627">
        <v>65.5847979243635</v>
      </c>
      <c r="AL3627">
        <v>79.294997807567597</v>
      </c>
      <c r="AM3627">
        <v>91.259968758352102</v>
      </c>
      <c r="AN3627">
        <v>0.99999999235229098</v>
      </c>
    </row>
    <row r="3628" spans="1:40" x14ac:dyDescent="0.25">
      <c r="A3628" t="str">
        <f>"20190304155705087"</f>
        <v>20190304155705087</v>
      </c>
      <c r="B3628" t="str">
        <f>"1551686225077876"</f>
        <v>1551686225077876</v>
      </c>
      <c r="C3628" t="s">
        <v>40</v>
      </c>
      <c r="D3628">
        <v>4.6035180000000002</v>
      </c>
      <c r="E3628">
        <v>0.56156669999999997</v>
      </c>
      <c r="F3628" t="s">
        <v>55</v>
      </c>
      <c r="G3628">
        <v>-261.52190000000002</v>
      </c>
      <c r="H3628">
        <v>8.0001429999999998E-2</v>
      </c>
      <c r="I3628">
        <v>205.126</v>
      </c>
      <c r="J3628">
        <v>-326.12259999999998</v>
      </c>
      <c r="K3628">
        <v>1.1096090000000001</v>
      </c>
      <c r="L3628">
        <v>214.4425</v>
      </c>
      <c r="M3628">
        <v>0.99988739999999998</v>
      </c>
      <c r="N3628">
        <v>-1.494521E-2</v>
      </c>
      <c r="O3628">
        <v>-1.406359E-3</v>
      </c>
      <c r="P3628">
        <v>0.98507650000000002</v>
      </c>
      <c r="Q3628">
        <v>0.1708905</v>
      </c>
      <c r="R3628">
        <v>2.0514640000000001E-2</v>
      </c>
      <c r="S3628">
        <v>3.0631710000000001</v>
      </c>
      <c r="T3628">
        <v>-4.8593280000000003E-2</v>
      </c>
      <c r="U3628">
        <v>-0.4397278</v>
      </c>
      <c r="V3628">
        <v>-2.174305E-2</v>
      </c>
      <c r="W3628">
        <v>0.18561179999999999</v>
      </c>
      <c r="X3628">
        <v>0.98238250000000005</v>
      </c>
      <c r="Y3628">
        <v>0.14067009999999999</v>
      </c>
      <c r="Z3628">
        <v>-2.1654529999999999E-3</v>
      </c>
      <c r="AA3628">
        <v>0.9900542</v>
      </c>
      <c r="AB3628">
        <v>43</v>
      </c>
      <c r="AC3628">
        <v>64.600699999999904</v>
      </c>
      <c r="AD3628">
        <v>-1.02960757</v>
      </c>
      <c r="AE3628">
        <v>-9.3165000000000102</v>
      </c>
      <c r="AF3628">
        <v>9.2233336866970994</v>
      </c>
      <c r="AG3628">
        <v>-1.02960757</v>
      </c>
      <c r="AH3628">
        <v>64.597665097746898</v>
      </c>
      <c r="AI3628">
        <v>90.903980689617001</v>
      </c>
      <c r="AJ3628">
        <v>81.874160527685902</v>
      </c>
      <c r="AK3628">
        <v>65.260924848833</v>
      </c>
      <c r="AL3628">
        <v>79.303195580969501</v>
      </c>
      <c r="AM3628">
        <v>91.267919201347198</v>
      </c>
      <c r="AN3628">
        <v>0.99999993841439405</v>
      </c>
    </row>
    <row r="3629" spans="1:40" x14ac:dyDescent="0.25">
      <c r="A3629" t="str">
        <f>"20190304155705112"</f>
        <v>20190304155705112</v>
      </c>
      <c r="B3629" t="str">
        <f>"1551686225108132"</f>
        <v>1551686225108132</v>
      </c>
      <c r="C3629" t="s">
        <v>40</v>
      </c>
      <c r="D3629">
        <v>4.5741680000000002</v>
      </c>
      <c r="E3629">
        <v>0.5618843</v>
      </c>
      <c r="F3629" t="s">
        <v>55</v>
      </c>
      <c r="G3629">
        <v>-261.54899999999998</v>
      </c>
      <c r="H3629">
        <v>8.0001429999999998E-2</v>
      </c>
      <c r="I3629">
        <v>205.1472</v>
      </c>
      <c r="J3629">
        <v>-325.68329999999997</v>
      </c>
      <c r="K3629">
        <v>1.109607</v>
      </c>
      <c r="L3629">
        <v>214.4417</v>
      </c>
      <c r="M3629">
        <v>0.99988639999999995</v>
      </c>
      <c r="N3629">
        <v>-1.4982499999999999E-2</v>
      </c>
      <c r="O3629">
        <v>-1.7032569999999999E-3</v>
      </c>
      <c r="P3629">
        <v>0.98507230000000001</v>
      </c>
      <c r="Q3629">
        <v>0.17091589999999901</v>
      </c>
      <c r="R3629">
        <v>2.0510500000000001E-2</v>
      </c>
      <c r="S3629">
        <v>3.06311</v>
      </c>
      <c r="T3629">
        <v>-4.8840399999999999E-2</v>
      </c>
      <c r="U3629">
        <v>-0.44093320000000003</v>
      </c>
      <c r="V3629">
        <v>-2.203041E-2</v>
      </c>
      <c r="W3629">
        <v>0.1856737</v>
      </c>
      <c r="X3629">
        <v>0.98236449999999997</v>
      </c>
      <c r="Y3629">
        <v>0.14076029999999901</v>
      </c>
      <c r="Z3629">
        <v>-2.174807E-3</v>
      </c>
      <c r="AA3629">
        <v>0.99004130000000001</v>
      </c>
      <c r="AB3629">
        <v>43</v>
      </c>
      <c r="AC3629">
        <v>64.134299999999897</v>
      </c>
      <c r="AD3629">
        <v>-1.02960557</v>
      </c>
      <c r="AE3629">
        <v>-9.2944999999999993</v>
      </c>
      <c r="AF3629">
        <v>9.1829190589070695</v>
      </c>
      <c r="AG3629">
        <v>-1.02960557</v>
      </c>
      <c r="AH3629">
        <v>64.133850590380206</v>
      </c>
      <c r="AI3629">
        <v>90.910464060090703</v>
      </c>
      <c r="AJ3629">
        <v>81.851564940251393</v>
      </c>
      <c r="AK3629">
        <v>64.796117797453107</v>
      </c>
      <c r="AL3629">
        <v>79.299587292066704</v>
      </c>
      <c r="AM3629">
        <v>91.284694198343701</v>
      </c>
      <c r="AN3629">
        <v>1.0000000363483501</v>
      </c>
    </row>
    <row r="3630" spans="1:40" x14ac:dyDescent="0.25">
      <c r="A3630" t="str">
        <f>"20190304155705133"</f>
        <v>20190304155705133</v>
      </c>
      <c r="B3630" t="str">
        <f>"1551686225128629"</f>
        <v>1551686225128629</v>
      </c>
      <c r="C3630" t="s">
        <v>40</v>
      </c>
      <c r="D3630">
        <v>4.5495199999999896</v>
      </c>
      <c r="E3630">
        <v>0.56212609999999996</v>
      </c>
      <c r="F3630" t="s">
        <v>55</v>
      </c>
      <c r="G3630">
        <v>-261.09500000000003</v>
      </c>
      <c r="H3630">
        <v>8.0001559999999999E-2</v>
      </c>
      <c r="I3630">
        <v>205.0855</v>
      </c>
      <c r="J3630">
        <v>-325.25510000000003</v>
      </c>
      <c r="K3630">
        <v>1.109612</v>
      </c>
      <c r="L3630">
        <v>214.44069999999999</v>
      </c>
      <c r="M3630">
        <v>0.99988540000000004</v>
      </c>
      <c r="N3630">
        <v>-1.501389E-2</v>
      </c>
      <c r="O3630">
        <v>-1.9931850000000002E-3</v>
      </c>
      <c r="P3630">
        <v>0.98499049999999999</v>
      </c>
      <c r="Q3630">
        <v>0.17140469999999999</v>
      </c>
      <c r="R3630">
        <v>2.036346E-2</v>
      </c>
      <c r="S3630">
        <v>3.0631710000000001</v>
      </c>
      <c r="T3630">
        <v>-4.8830150000000003E-2</v>
      </c>
      <c r="U3630">
        <v>-0.4437256</v>
      </c>
      <c r="V3630">
        <v>-2.2168719999999999E-2</v>
      </c>
      <c r="W3630">
        <v>0.18619230000000001</v>
      </c>
      <c r="X3630">
        <v>0.9822632</v>
      </c>
      <c r="Y3630">
        <v>0.14135429999999999</v>
      </c>
      <c r="Z3630">
        <v>-2.1857539999999998E-3</v>
      </c>
      <c r="AA3630">
        <v>0.98995670000000002</v>
      </c>
      <c r="AB3630">
        <v>43</v>
      </c>
      <c r="AC3630">
        <v>64.1601</v>
      </c>
      <c r="AD3630">
        <v>-1.0296104399999999</v>
      </c>
      <c r="AE3630">
        <v>-9.3551999999999893</v>
      </c>
      <c r="AF3630">
        <v>9.2249578792320701</v>
      </c>
      <c r="AG3630">
        <v>-1.0296104399999999</v>
      </c>
      <c r="AH3630">
        <v>64.162441954298998</v>
      </c>
      <c r="AI3630">
        <v>90.909987073824695</v>
      </c>
      <c r="AJ3630">
        <v>81.818364289238005</v>
      </c>
      <c r="AK3630">
        <v>64.830385646474099</v>
      </c>
      <c r="AL3630">
        <v>79.269346080663098</v>
      </c>
      <c r="AM3630">
        <v>91.292890235675202</v>
      </c>
      <c r="AN3630">
        <v>1.0000000093999799</v>
      </c>
    </row>
    <row r="3631" spans="1:40" x14ac:dyDescent="0.25">
      <c r="A3631" t="str">
        <f>"20190304155705155"</f>
        <v>20190304155705155</v>
      </c>
      <c r="B3631" t="str">
        <f>"1551686225148152"</f>
        <v>1551686225148152</v>
      </c>
      <c r="C3631" t="s">
        <v>40</v>
      </c>
      <c r="D3631">
        <v>4.5202910000000003</v>
      </c>
      <c r="E3631">
        <v>0.56243120000000002</v>
      </c>
      <c r="F3631" t="s">
        <v>55</v>
      </c>
      <c r="G3631">
        <v>-258.85759999999999</v>
      </c>
      <c r="H3631">
        <v>8.0000760000000004E-2</v>
      </c>
      <c r="I3631">
        <v>204.77160000000001</v>
      </c>
      <c r="J3631">
        <v>-324.8331</v>
      </c>
      <c r="K3631">
        <v>1.109613</v>
      </c>
      <c r="L3631">
        <v>214.43960000000001</v>
      </c>
      <c r="M3631">
        <v>0.99988440000000001</v>
      </c>
      <c r="N3631">
        <v>-1.5040670000000001E-2</v>
      </c>
      <c r="O3631">
        <v>-2.2791360000000002E-3</v>
      </c>
      <c r="P3631">
        <v>0.98505069999999995</v>
      </c>
      <c r="Q3631">
        <v>0.1710921</v>
      </c>
      <c r="R3631">
        <v>2.0074479999999999E-2</v>
      </c>
      <c r="S3631">
        <v>3.063202</v>
      </c>
      <c r="T3631">
        <v>-4.750037E-2</v>
      </c>
      <c r="U3631">
        <v>-0.44607540000000001</v>
      </c>
      <c r="V3631">
        <v>-2.216104E-2</v>
      </c>
      <c r="W3631">
        <v>0.18590699999999999</v>
      </c>
      <c r="X3631">
        <v>0.98231740000000001</v>
      </c>
      <c r="Y3631">
        <v>0.14181479999999999</v>
      </c>
      <c r="Z3631">
        <v>-2.164937E-3</v>
      </c>
      <c r="AA3631">
        <v>0.98989079999999996</v>
      </c>
      <c r="AB3631">
        <v>43</v>
      </c>
      <c r="AC3631">
        <v>65.975499999999997</v>
      </c>
      <c r="AD3631">
        <v>-1.0296122400000001</v>
      </c>
      <c r="AE3631">
        <v>-9.6679999999999993</v>
      </c>
      <c r="AF3631">
        <v>9.5153220469322406</v>
      </c>
      <c r="AG3631">
        <v>-1.0296122400000001</v>
      </c>
      <c r="AH3631">
        <v>65.981634004410097</v>
      </c>
      <c r="AI3631">
        <v>90.884848746421198</v>
      </c>
      <c r="AJ3631">
        <v>81.793855240458896</v>
      </c>
      <c r="AK3631">
        <v>66.672164213512104</v>
      </c>
      <c r="AL3631">
        <v>79.285982933058307</v>
      </c>
      <c r="AM3631">
        <v>91.2923711992254</v>
      </c>
      <c r="AN3631">
        <v>0.99999999934282002</v>
      </c>
    </row>
    <row r="3632" spans="1:40" x14ac:dyDescent="0.25">
      <c r="A3632" t="str">
        <f>"20190304155705168"</f>
        <v>20190304155705168</v>
      </c>
      <c r="B3632" t="str">
        <f>"1551686225157908"</f>
        <v>1551686225157908</v>
      </c>
      <c r="C3632" t="s">
        <v>40</v>
      </c>
      <c r="D3632">
        <v>4.5252739999999996</v>
      </c>
      <c r="E3632">
        <v>0.56253430000000004</v>
      </c>
      <c r="F3632" t="s">
        <v>55</v>
      </c>
      <c r="G3632">
        <v>-259.33550000000002</v>
      </c>
      <c r="H3632">
        <v>8.0000619999999995E-2</v>
      </c>
      <c r="I3632">
        <v>204.8355</v>
      </c>
      <c r="J3632">
        <v>-324.5727</v>
      </c>
      <c r="K3632">
        <v>1.1096159999999999</v>
      </c>
      <c r="L3632">
        <v>214.43889999999999</v>
      </c>
      <c r="M3632">
        <v>0.99988370000000004</v>
      </c>
      <c r="N3632">
        <v>-1.505546E-2</v>
      </c>
      <c r="O3632">
        <v>-2.4557960000000001E-3</v>
      </c>
      <c r="P3632">
        <v>0.98508680000000004</v>
      </c>
      <c r="Q3632">
        <v>0.17089779999999999</v>
      </c>
      <c r="R3632">
        <v>1.995071E-2</v>
      </c>
      <c r="S3632">
        <v>3.0630489999999999</v>
      </c>
      <c r="T3632">
        <v>-4.8150659999999998E-2</v>
      </c>
      <c r="U3632">
        <v>-0.4491425</v>
      </c>
      <c r="V3632">
        <v>-2.2211450000000001E-2</v>
      </c>
      <c r="W3632">
        <v>0.18572749999999999</v>
      </c>
      <c r="X3632">
        <v>0.98235019999999995</v>
      </c>
      <c r="Y3632">
        <v>0.1426164</v>
      </c>
      <c r="Z3632">
        <v>-2.1927869999999999E-3</v>
      </c>
      <c r="AA3632">
        <v>0.98977559999999998</v>
      </c>
      <c r="AB3632">
        <v>43</v>
      </c>
      <c r="AC3632">
        <v>65.237199999999902</v>
      </c>
      <c r="AD3632">
        <v>-1.0296153800000001</v>
      </c>
      <c r="AE3632">
        <v>-9.6033999999999899</v>
      </c>
      <c r="AF3632">
        <v>9.4408418715290505</v>
      </c>
      <c r="AG3632">
        <v>-1.0296153800000001</v>
      </c>
      <c r="AH3632">
        <v>65.244682692408603</v>
      </c>
      <c r="AI3632">
        <v>90.894782699550802</v>
      </c>
      <c r="AJ3632">
        <v>81.766503074576093</v>
      </c>
      <c r="AK3632">
        <v>65.932224463512796</v>
      </c>
      <c r="AL3632">
        <v>79.296449648284195</v>
      </c>
      <c r="AM3632">
        <v>91.295266737245896</v>
      </c>
      <c r="AN3632">
        <v>0.99999998410369595</v>
      </c>
    </row>
    <row r="3633" spans="1:40" x14ac:dyDescent="0.25">
      <c r="A3633" t="str">
        <f>"20190304155705190"</f>
        <v>20190304155705190</v>
      </c>
      <c r="B3633" t="str">
        <f>"1551686225178408"</f>
        <v>1551686225178408</v>
      </c>
      <c r="C3633" t="s">
        <v>40</v>
      </c>
      <c r="D3633">
        <v>4.5338209999999997</v>
      </c>
      <c r="E3633">
        <v>0.56277630000000001</v>
      </c>
      <c r="F3633" t="s">
        <v>55</v>
      </c>
      <c r="G3633">
        <v>-259.73020000000002</v>
      </c>
      <c r="H3633">
        <v>8.0000500000000002E-2</v>
      </c>
      <c r="I3633">
        <v>204.8955</v>
      </c>
      <c r="J3633">
        <v>-324.17809999999997</v>
      </c>
      <c r="K3633">
        <v>1.1096200000000001</v>
      </c>
      <c r="L3633">
        <v>214.43770000000001</v>
      </c>
      <c r="M3633">
        <v>0.99988279999999996</v>
      </c>
      <c r="N3633">
        <v>-1.507494E-2</v>
      </c>
      <c r="O3633">
        <v>-2.7234440000000002E-3</v>
      </c>
      <c r="P3633">
        <v>0.98506669999999996</v>
      </c>
      <c r="Q3633">
        <v>0.17100499999999999</v>
      </c>
      <c r="R3633">
        <v>2.002435E-2</v>
      </c>
      <c r="S3633">
        <v>3.0629879999999998</v>
      </c>
      <c r="T3633">
        <v>-4.8636319999999997E-2</v>
      </c>
      <c r="U3633">
        <v>-0.45080569999999998</v>
      </c>
      <c r="V3633">
        <v>-2.2548169999999999E-2</v>
      </c>
      <c r="W3633">
        <v>0.18585360000000001</v>
      </c>
      <c r="X3633">
        <v>0.98231869999999999</v>
      </c>
      <c r="Y3633">
        <v>0.142879799999999</v>
      </c>
      <c r="Z3633">
        <v>-2.208972E-3</v>
      </c>
      <c r="AA3633">
        <v>0.9897376</v>
      </c>
      <c r="AB3633">
        <v>43</v>
      </c>
      <c r="AC3633">
        <v>64.447899999999905</v>
      </c>
      <c r="AD3633">
        <v>-1.0296194999999999</v>
      </c>
      <c r="AE3633">
        <v>-9.5421999999999993</v>
      </c>
      <c r="AF3633">
        <v>9.3642856361760494</v>
      </c>
      <c r="AG3633">
        <v>-1.0296194999999999</v>
      </c>
      <c r="AH3633">
        <v>64.457552786276096</v>
      </c>
      <c r="AI3633">
        <v>90.905636751543796</v>
      </c>
      <c r="AJ3633">
        <v>81.733994628714797</v>
      </c>
      <c r="AK3633">
        <v>65.142352375288397</v>
      </c>
      <c r="AL3633">
        <v>79.289096850579995</v>
      </c>
      <c r="AM3633">
        <v>91.314937963165093</v>
      </c>
      <c r="AN3633">
        <v>1.0000000044864901</v>
      </c>
    </row>
    <row r="3634" spans="1:40" x14ac:dyDescent="0.25">
      <c r="A3634" t="str">
        <f>"20190304155705213"</f>
        <v>20190304155705213</v>
      </c>
      <c r="B3634" t="str">
        <f>"1551686225208661"</f>
        <v>1551686225208661</v>
      </c>
      <c r="C3634" t="s">
        <v>40</v>
      </c>
      <c r="D3634">
        <v>4.5562820000000004</v>
      </c>
      <c r="E3634">
        <v>0.56319209999999997</v>
      </c>
      <c r="F3634" t="s">
        <v>55</v>
      </c>
      <c r="G3634">
        <v>-258.67880000000002</v>
      </c>
      <c r="H3634">
        <v>8.0000810000000006E-2</v>
      </c>
      <c r="I3634">
        <v>204.7534</v>
      </c>
      <c r="J3634">
        <v>-323.75009999999997</v>
      </c>
      <c r="K3634">
        <v>1.109626</v>
      </c>
      <c r="L3634">
        <v>214.43629999999999</v>
      </c>
      <c r="M3634">
        <v>0.99988160000000004</v>
      </c>
      <c r="N3634">
        <v>-1.5092670000000001E-2</v>
      </c>
      <c r="O3634">
        <v>-3.0143190000000001E-3</v>
      </c>
      <c r="P3634">
        <v>0.9850565</v>
      </c>
      <c r="Q3634">
        <v>0.17107120000000001</v>
      </c>
      <c r="R3634">
        <v>1.99632E-2</v>
      </c>
      <c r="S3634">
        <v>3.0630489999999999</v>
      </c>
      <c r="T3634">
        <v>-4.8149699999999997E-2</v>
      </c>
      <c r="U3634">
        <v>-0.45288089999999998</v>
      </c>
      <c r="V3634">
        <v>-2.2774039999999999E-2</v>
      </c>
      <c r="W3634">
        <v>0.1859374</v>
      </c>
      <c r="X3634">
        <v>0.98229759999999999</v>
      </c>
      <c r="Y3634">
        <v>0.1432457</v>
      </c>
      <c r="Z3634">
        <v>-2.2048699999999998E-3</v>
      </c>
      <c r="AA3634">
        <v>0.98968469999999997</v>
      </c>
      <c r="AB3634">
        <v>43</v>
      </c>
      <c r="AC3634">
        <v>65.071299999999894</v>
      </c>
      <c r="AD3634">
        <v>-1.02962519</v>
      </c>
      <c r="AE3634">
        <v>-9.6828999999999894</v>
      </c>
      <c r="AF3634">
        <v>9.4843648654220001</v>
      </c>
      <c r="AG3634">
        <v>-1.02962519</v>
      </c>
      <c r="AH3634">
        <v>65.084252948767897</v>
      </c>
      <c r="AI3634">
        <v>90.896865710522505</v>
      </c>
      <c r="AJ3634">
        <v>81.708965575474195</v>
      </c>
      <c r="AK3634">
        <v>65.779733100944796</v>
      </c>
      <c r="AL3634">
        <v>79.284209961777705</v>
      </c>
      <c r="AM3634">
        <v>91.328133810681095</v>
      </c>
      <c r="AN3634">
        <v>0.99999997429122001</v>
      </c>
    </row>
    <row r="3635" spans="1:40" x14ac:dyDescent="0.25">
      <c r="A3635" t="str">
        <f>"20190304155705234"</f>
        <v>20190304155705234</v>
      </c>
      <c r="B3635" t="str">
        <f>"1551686225228180"</f>
        <v>1551686225228180</v>
      </c>
      <c r="C3635" t="s">
        <v>40</v>
      </c>
      <c r="D3635">
        <v>4.5688209999999998</v>
      </c>
      <c r="E3635">
        <v>0.56325009999999998</v>
      </c>
      <c r="F3635" t="s">
        <v>55</v>
      </c>
      <c r="G3635">
        <v>-258.11559999999997</v>
      </c>
      <c r="H3635">
        <v>8.0000979999999999E-2</v>
      </c>
      <c r="I3635">
        <v>204.6523</v>
      </c>
      <c r="J3635">
        <v>-323.327</v>
      </c>
      <c r="K3635">
        <v>1.1096269999999999</v>
      </c>
      <c r="L3635">
        <v>214.43469999999999</v>
      </c>
      <c r="M3635">
        <v>0.9998804</v>
      </c>
      <c r="N3635">
        <v>-1.510732E-2</v>
      </c>
      <c r="O3635">
        <v>-3.30183E-3</v>
      </c>
      <c r="P3635">
        <v>0.98501899999999998</v>
      </c>
      <c r="Q3635">
        <v>0.171271799999999</v>
      </c>
      <c r="R3635">
        <v>2.008716E-2</v>
      </c>
      <c r="S3635">
        <v>3.0631710000000001</v>
      </c>
      <c r="T3635">
        <v>-4.8052789999999998E-2</v>
      </c>
      <c r="U3635">
        <v>-0.45661930000000001</v>
      </c>
      <c r="V3635">
        <v>-2.3180590000000001E-2</v>
      </c>
      <c r="W3635">
        <v>0.18615200000000001</v>
      </c>
      <c r="X3635">
        <v>0.98224750000000005</v>
      </c>
      <c r="Y3635">
        <v>0.14413699999999999</v>
      </c>
      <c r="Z3635">
        <v>-2.2173230000000002E-3</v>
      </c>
      <c r="AA3635">
        <v>0.98955519999999997</v>
      </c>
      <c r="AB3635">
        <v>43</v>
      </c>
      <c r="AC3635">
        <v>65.211399999999998</v>
      </c>
      <c r="AD3635">
        <v>-1.02962602</v>
      </c>
      <c r="AE3635">
        <v>-9.7823999999999902</v>
      </c>
      <c r="AF3635">
        <v>9.5646731853123494</v>
      </c>
      <c r="AG3635">
        <v>-1.02962602</v>
      </c>
      <c r="AH3635">
        <v>65.227445007812705</v>
      </c>
      <c r="AI3635">
        <v>90.894781195072994</v>
      </c>
      <c r="AJ3635">
        <v>81.657844350970393</v>
      </c>
      <c r="AK3635">
        <v>65.933016654254004</v>
      </c>
      <c r="AL3635">
        <v>79.271696400518096</v>
      </c>
      <c r="AM3635">
        <v>91.351903150792694</v>
      </c>
      <c r="AN3635">
        <v>1.0000000290564901</v>
      </c>
    </row>
    <row r="3636" spans="1:40" x14ac:dyDescent="0.25">
      <c r="A3636" t="str">
        <f>"20190304155705255"</f>
        <v>20190304155705255</v>
      </c>
      <c r="B3636" t="str">
        <f>"1551686225248676"</f>
        <v>1551686225248676</v>
      </c>
      <c r="C3636" t="s">
        <v>40</v>
      </c>
      <c r="D3636">
        <v>4.6064540000000003</v>
      </c>
      <c r="E3636">
        <v>0.53446680000000002</v>
      </c>
      <c r="F3636" t="s">
        <v>44</v>
      </c>
      <c r="G3636">
        <v>-248.27850000000001</v>
      </c>
      <c r="H3636">
        <v>-0.05</v>
      </c>
      <c r="I3636">
        <v>203.24440000000001</v>
      </c>
      <c r="J3636">
        <v>-322.9144</v>
      </c>
      <c r="K3636">
        <v>1.1096299999999999</v>
      </c>
      <c r="L3636">
        <v>214.4331</v>
      </c>
      <c r="M3636">
        <v>0.99987939999999997</v>
      </c>
      <c r="N3636">
        <v>-1.511909E-2</v>
      </c>
      <c r="O3636">
        <v>-3.5824020000000002E-3</v>
      </c>
      <c r="P3636">
        <v>0.98502400000000001</v>
      </c>
      <c r="Q3636">
        <v>0.1712062</v>
      </c>
      <c r="R3636">
        <v>2.040208E-2</v>
      </c>
      <c r="S3636">
        <v>3.0631710000000001</v>
      </c>
      <c r="T3636">
        <v>-4.7331209999999999E-2</v>
      </c>
      <c r="U3636">
        <v>-0.45674130000000002</v>
      </c>
      <c r="V3636">
        <v>-2.3772379999999999E-2</v>
      </c>
      <c r="W3636">
        <v>0.1860986</v>
      </c>
      <c r="X3636">
        <v>0.98224339999999999</v>
      </c>
      <c r="Y3636">
        <v>0.14389869999999999</v>
      </c>
      <c r="Z3636">
        <v>-2.1983710000000002E-3</v>
      </c>
      <c r="AA3636">
        <v>0.98958999999999997</v>
      </c>
      <c r="AB3636">
        <v>43</v>
      </c>
      <c r="AC3636">
        <v>74.635899999999907</v>
      </c>
      <c r="AD3636">
        <v>-1.1596299999999999</v>
      </c>
      <c r="AE3636">
        <v>-11.1886999999999</v>
      </c>
      <c r="AF3636">
        <v>10.9186439923668</v>
      </c>
      <c r="AG3636">
        <v>-1.1596299999999999</v>
      </c>
      <c r="AH3636">
        <v>74.657881422961395</v>
      </c>
      <c r="AI3636">
        <v>90.880514839057795</v>
      </c>
      <c r="AJ3636">
        <v>81.679533800627198</v>
      </c>
      <c r="AK3636">
        <v>75.460988510182702</v>
      </c>
      <c r="AL3636">
        <v>79.274809615366095</v>
      </c>
      <c r="AM3636">
        <v>91.386409109958606</v>
      </c>
      <c r="AN3636">
        <v>0.99999995590819102</v>
      </c>
    </row>
    <row r="3637" spans="1:40" x14ac:dyDescent="0.25">
      <c r="A3637" t="str">
        <f>"20190304155705277"</f>
        <v>20190304155705277</v>
      </c>
      <c r="B3637" t="str">
        <f>"1551686225268200"</f>
        <v>1551686225268200</v>
      </c>
      <c r="C3637" t="s">
        <v>40</v>
      </c>
      <c r="D3637">
        <v>4.5828480000000003</v>
      </c>
      <c r="E3637">
        <v>0.52452769999999904</v>
      </c>
      <c r="F3637" t="s">
        <v>53</v>
      </c>
      <c r="G3637">
        <v>-201.863</v>
      </c>
      <c r="H3637">
        <v>8.0001399999999903E-2</v>
      </c>
      <c r="I3637">
        <v>205.48849999999999</v>
      </c>
      <c r="J3637">
        <v>-322.4957</v>
      </c>
      <c r="K3637">
        <v>1.1096410000000001</v>
      </c>
      <c r="L3637">
        <v>214.4314</v>
      </c>
      <c r="M3637">
        <v>0.99987820000000005</v>
      </c>
      <c r="N3637">
        <v>-1.5128829999999999E-2</v>
      </c>
      <c r="O3637">
        <v>-3.8671280000000001E-3</v>
      </c>
      <c r="P3637">
        <v>0.98502520000000005</v>
      </c>
      <c r="Q3637">
        <v>0.17120299999999999</v>
      </c>
      <c r="R3637">
        <v>2.0372390000000001E-2</v>
      </c>
      <c r="S3637">
        <v>3.0548099999999998</v>
      </c>
      <c r="T3637">
        <v>-2.5983329999999999E-2</v>
      </c>
      <c r="U3637">
        <v>-0.22572329999999999</v>
      </c>
      <c r="V3637">
        <v>-2.4022930000000001E-2</v>
      </c>
      <c r="W3637">
        <v>0.18610470000000001</v>
      </c>
      <c r="X3637">
        <v>0.9822362</v>
      </c>
      <c r="Y3637">
        <v>6.9825689999999996E-2</v>
      </c>
      <c r="Z3637">
        <v>-8.5110100000000005E-4</v>
      </c>
      <c r="AA3637">
        <v>0.99755879999999997</v>
      </c>
      <c r="AB3637">
        <v>43</v>
      </c>
      <c r="AC3637">
        <v>120.6327</v>
      </c>
      <c r="AD3637">
        <v>-1.0296396000000001</v>
      </c>
      <c r="AE3637">
        <v>-8.9428999999999998</v>
      </c>
      <c r="AF3637">
        <v>8.4756635934454305</v>
      </c>
      <c r="AG3637">
        <v>-1.0296396000000001</v>
      </c>
      <c r="AH3637">
        <v>120.657642987725</v>
      </c>
      <c r="AI3637">
        <v>90.487723495462404</v>
      </c>
      <c r="AJ3637">
        <v>85.981826402407705</v>
      </c>
      <c r="AK3637">
        <v>120.959347891796</v>
      </c>
      <c r="AL3637">
        <v>79.274454446564604</v>
      </c>
      <c r="AM3637">
        <v>91.401025699294905</v>
      </c>
      <c r="AN3637">
        <v>1.0000000065591499</v>
      </c>
    </row>
    <row r="3638" spans="1:40" x14ac:dyDescent="0.25">
      <c r="A3638" t="str">
        <f>"20190304155705301"</f>
        <v>20190304155705301</v>
      </c>
      <c r="B3638" t="str">
        <f>"1551686225298453"</f>
        <v>1551686225298453</v>
      </c>
      <c r="C3638" t="s">
        <v>40</v>
      </c>
      <c r="D3638">
        <v>4.6229259999999996</v>
      </c>
      <c r="E3638">
        <v>0.51866020000000002</v>
      </c>
      <c r="F3638" t="s">
        <v>55</v>
      </c>
      <c r="G3638">
        <v>-234.9614</v>
      </c>
      <c r="H3638" s="1">
        <v>1.2956200000000001E-6</v>
      </c>
      <c r="I3638">
        <v>210.21940000000001</v>
      </c>
      <c r="J3638">
        <v>-322.05220000000003</v>
      </c>
      <c r="K3638">
        <v>1.1096469999999901</v>
      </c>
      <c r="L3638">
        <v>214.42939999999999</v>
      </c>
      <c r="M3638">
        <v>0.99987669999999995</v>
      </c>
      <c r="N3638">
        <v>-1.513715E-2</v>
      </c>
      <c r="O3638">
        <v>-4.1688879999999999E-3</v>
      </c>
      <c r="P3638">
        <v>0.9850023</v>
      </c>
      <c r="Q3638">
        <v>0.17130379999999901</v>
      </c>
      <c r="R3638">
        <v>2.0634349999999999E-2</v>
      </c>
      <c r="S3638">
        <v>3.0553889999999999</v>
      </c>
      <c r="T3638">
        <v>-3.8732049999999997E-2</v>
      </c>
      <c r="U3638">
        <v>-0.14701839999999999</v>
      </c>
      <c r="V3638">
        <v>-2.4582570000000002E-2</v>
      </c>
      <c r="W3638">
        <v>0.18621389999999999</v>
      </c>
      <c r="X3638">
        <v>0.98220160000000001</v>
      </c>
      <c r="Y3638">
        <v>4.3889450000000003E-2</v>
      </c>
      <c r="Z3638">
        <v>-6.2069529999999999E-4</v>
      </c>
      <c r="AA3638">
        <v>0.99903620000000004</v>
      </c>
      <c r="AB3638">
        <v>43</v>
      </c>
      <c r="AC3638">
        <v>87.090800000000002</v>
      </c>
      <c r="AD3638">
        <v>-1.1096457043800001</v>
      </c>
      <c r="AE3638">
        <v>-4.2099999999999804</v>
      </c>
      <c r="AF3638">
        <v>3.8462270614184599</v>
      </c>
      <c r="AG3638">
        <v>-1.1096457043800001</v>
      </c>
      <c r="AH3638">
        <v>87.093490302080994</v>
      </c>
      <c r="AI3638">
        <v>90.729247139301705</v>
      </c>
      <c r="AJ3638">
        <v>87.471343942217402</v>
      </c>
      <c r="AK3638">
        <v>87.185439318706798</v>
      </c>
      <c r="AL3638">
        <v>79.268085830413895</v>
      </c>
      <c r="AM3638">
        <v>91.433701115856806</v>
      </c>
      <c r="AN3638">
        <v>0.99999995117178597</v>
      </c>
    </row>
    <row r="3639" spans="1:40" x14ac:dyDescent="0.25">
      <c r="A3639" t="str">
        <f>"20190304155705322"</f>
        <v>20190304155705322</v>
      </c>
      <c r="B3639" t="str">
        <f>"1551686225317973"</f>
        <v>1551686225317973</v>
      </c>
      <c r="C3639" t="s">
        <v>40</v>
      </c>
      <c r="D3639">
        <v>4.703271</v>
      </c>
      <c r="E3639">
        <v>0.51715129999999998</v>
      </c>
      <c r="F3639" t="s">
        <v>55</v>
      </c>
      <c r="G3639">
        <v>-265.26209999999998</v>
      </c>
      <c r="H3639" s="1">
        <v>1.3528659999999999E-6</v>
      </c>
      <c r="I3639">
        <v>212.57079999999999</v>
      </c>
      <c r="J3639">
        <v>-321.64640000000003</v>
      </c>
      <c r="K3639">
        <v>1.109658</v>
      </c>
      <c r="L3639">
        <v>214.42750000000001</v>
      </c>
      <c r="M3639">
        <v>0.99987550000000003</v>
      </c>
      <c r="N3639">
        <v>-1.5143119999999999E-2</v>
      </c>
      <c r="O3639">
        <v>-4.4451179999999996E-3</v>
      </c>
      <c r="P3639">
        <v>0.98495949999999999</v>
      </c>
      <c r="Q3639">
        <v>0.17158599999999999</v>
      </c>
      <c r="R3639">
        <v>2.0322650000000001E-2</v>
      </c>
      <c r="S3639">
        <v>3.0581049999999999</v>
      </c>
      <c r="T3639">
        <v>-5.975366E-2</v>
      </c>
      <c r="U3639">
        <v>-0.1000824</v>
      </c>
      <c r="V3639">
        <v>-2.4542810000000002E-2</v>
      </c>
      <c r="W3639">
        <v>0.186501</v>
      </c>
      <c r="X3639">
        <v>0.98214820000000003</v>
      </c>
      <c r="Y3639">
        <v>2.8256320000000001E-2</v>
      </c>
      <c r="Z3639">
        <v>-4.7048320000000002E-4</v>
      </c>
      <c r="AA3639">
        <v>0.99960059999999995</v>
      </c>
      <c r="AB3639">
        <v>43</v>
      </c>
      <c r="AC3639">
        <v>56.384300000000003</v>
      </c>
      <c r="AD3639">
        <v>-1.1096566471339999</v>
      </c>
      <c r="AE3639">
        <v>-1.85670000000001</v>
      </c>
      <c r="AF3639">
        <v>1.6053969387870799</v>
      </c>
      <c r="AG3639">
        <v>-1.1096566471339999</v>
      </c>
      <c r="AH3639">
        <v>56.370187818994502</v>
      </c>
      <c r="AI3639">
        <v>91.127274476619107</v>
      </c>
      <c r="AJ3639">
        <v>88.368683586443197</v>
      </c>
      <c r="AK3639">
        <v>56.403960073334503</v>
      </c>
      <c r="AL3639">
        <v>79.251343762395607</v>
      </c>
      <c r="AM3639">
        <v>91.431460997147099</v>
      </c>
      <c r="AN3639">
        <v>1.0000000296434599</v>
      </c>
    </row>
    <row r="3640" spans="1:40" x14ac:dyDescent="0.25">
      <c r="A3640" t="str">
        <f>"20190304155705337"</f>
        <v>20190304155705337</v>
      </c>
      <c r="B3640" t="str">
        <f>"1551686225328709"</f>
        <v>1551686225328709</v>
      </c>
      <c r="C3640" t="s">
        <v>40</v>
      </c>
      <c r="D3640">
        <v>4.5962209999999999</v>
      </c>
      <c r="E3640">
        <v>0.51619989999999905</v>
      </c>
      <c r="F3640" t="s">
        <v>55</v>
      </c>
      <c r="G3640">
        <v>-268.58519999999999</v>
      </c>
      <c r="H3640" s="1">
        <v>3.1077619999999999E-6</v>
      </c>
      <c r="I3640">
        <v>212.87950000000001</v>
      </c>
      <c r="J3640">
        <v>-321.37599999999998</v>
      </c>
      <c r="K3640">
        <v>1.109661</v>
      </c>
      <c r="L3640">
        <v>214.42609999999999</v>
      </c>
      <c r="M3640">
        <v>0.99987459999999995</v>
      </c>
      <c r="N3640">
        <v>-1.5147330000000001E-2</v>
      </c>
      <c r="O3640">
        <v>-4.6293130000000004E-3</v>
      </c>
      <c r="P3640">
        <v>0.98493649999999999</v>
      </c>
      <c r="Q3640">
        <v>0.17173569999999999</v>
      </c>
      <c r="R3640">
        <v>2.0181919999999999E-2</v>
      </c>
      <c r="S3640">
        <v>3.0588380000000002</v>
      </c>
      <c r="T3640">
        <v>-6.3968659999999997E-2</v>
      </c>
      <c r="U3640">
        <v>-8.9233399999999893E-2</v>
      </c>
      <c r="V3640">
        <v>-2.4583290000000001E-2</v>
      </c>
      <c r="W3640">
        <v>0.18665419999999999</v>
      </c>
      <c r="X3640">
        <v>0.98211809999999999</v>
      </c>
      <c r="Y3640">
        <v>2.452257E-2</v>
      </c>
      <c r="Z3640">
        <v>-4.154769E-4</v>
      </c>
      <c r="AA3640">
        <v>0.99969920000000001</v>
      </c>
      <c r="AB3640">
        <v>43</v>
      </c>
      <c r="AC3640">
        <v>52.790799999999898</v>
      </c>
      <c r="AD3640">
        <v>-1.109657892238</v>
      </c>
      <c r="AE3640">
        <v>-1.54659999999998</v>
      </c>
      <c r="AF3640">
        <v>1.3015956575390299</v>
      </c>
      <c r="AG3640">
        <v>-1.109657892238</v>
      </c>
      <c r="AH3640">
        <v>52.774097182840102</v>
      </c>
      <c r="AI3640">
        <v>91.204189750079905</v>
      </c>
      <c r="AJ3640">
        <v>88.587170107218896</v>
      </c>
      <c r="AK3640">
        <v>52.801807027386701</v>
      </c>
      <c r="AL3640">
        <v>79.242409331552594</v>
      </c>
      <c r="AM3640">
        <v>91.433864936483303</v>
      </c>
      <c r="AN3640">
        <v>1.0000000454362299</v>
      </c>
    </row>
    <row r="3641" spans="1:40" x14ac:dyDescent="0.25">
      <c r="A3641" t="str">
        <f>"20190304155705357"</f>
        <v>20190304155705357</v>
      </c>
      <c r="B3641" t="str">
        <f>"1551686225348232"</f>
        <v>1551686225348232</v>
      </c>
      <c r="C3641" t="s">
        <v>40</v>
      </c>
      <c r="D3641">
        <v>4.6133050000000004</v>
      </c>
      <c r="E3641">
        <v>0.51473999999999998</v>
      </c>
      <c r="F3641" t="s">
        <v>55</v>
      </c>
      <c r="G3641">
        <v>-269.68619999999999</v>
      </c>
      <c r="H3641" s="1">
        <v>3.686761E-6</v>
      </c>
      <c r="I3641">
        <v>213.03659999999999</v>
      </c>
      <c r="J3641">
        <v>-321.00060000000002</v>
      </c>
      <c r="K3641">
        <v>1.109664</v>
      </c>
      <c r="L3641">
        <v>214.42420000000001</v>
      </c>
      <c r="M3641">
        <v>0.99987329999999996</v>
      </c>
      <c r="N3641">
        <v>-1.515503E-2</v>
      </c>
      <c r="O3641">
        <v>-4.8851729999999996E-3</v>
      </c>
      <c r="P3641">
        <v>0.98484389999999999</v>
      </c>
      <c r="Q3641">
        <v>0.17227190000000001</v>
      </c>
      <c r="R3641">
        <v>2.0131550000000002E-2</v>
      </c>
      <c r="S3641">
        <v>3.059021</v>
      </c>
      <c r="T3641">
        <v>-6.5669889999999995E-2</v>
      </c>
      <c r="U3641">
        <v>-8.2229609999999995E-2</v>
      </c>
      <c r="V3641">
        <v>-2.4784400000000002E-2</v>
      </c>
      <c r="W3641">
        <v>0.18719710000000001</v>
      </c>
      <c r="X3641">
        <v>0.98200960000000004</v>
      </c>
      <c r="Y3641">
        <v>2.197849E-2</v>
      </c>
      <c r="Z3641">
        <v>-3.7164270000000001E-4</v>
      </c>
      <c r="AA3641">
        <v>0.99975840000000005</v>
      </c>
      <c r="AB3641">
        <v>42</v>
      </c>
      <c r="AC3641">
        <v>51.314399999999999</v>
      </c>
      <c r="AD3641">
        <v>-1.1096603132389999</v>
      </c>
      <c r="AE3641">
        <v>-1.3876000000000199</v>
      </c>
      <c r="AF3641">
        <v>1.1363439450933299</v>
      </c>
      <c r="AG3641">
        <v>-1.1096603132389999</v>
      </c>
      <c r="AH3641">
        <v>51.296596735453697</v>
      </c>
      <c r="AI3641">
        <v>91.2389389385973</v>
      </c>
      <c r="AJ3641">
        <v>88.730967173130793</v>
      </c>
      <c r="AK3641">
        <v>51.321179450711099</v>
      </c>
      <c r="AL3641">
        <v>79.2107441692105</v>
      </c>
      <c r="AM3641">
        <v>91.445749736634099</v>
      </c>
      <c r="AN3641">
        <v>0.99999993761196304</v>
      </c>
    </row>
    <row r="3642" spans="1:40" x14ac:dyDescent="0.25">
      <c r="A3642" t="str">
        <f>"20190304155705370"</f>
        <v>20190304155705370</v>
      </c>
      <c r="B3642" t="str">
        <f>"1551686225368725"</f>
        <v>1551686225368725</v>
      </c>
      <c r="C3642" t="s">
        <v>40</v>
      </c>
      <c r="D3642">
        <v>4.5698619999999996</v>
      </c>
      <c r="E3642">
        <v>0.51299659999999903</v>
      </c>
      <c r="F3642" t="s">
        <v>55</v>
      </c>
      <c r="G3642">
        <v>-271.04300000000001</v>
      </c>
      <c r="H3642" s="1">
        <v>-9.2267889999999998E-7</v>
      </c>
      <c r="I3642">
        <v>213.26480000000001</v>
      </c>
      <c r="J3642">
        <v>-320.73099999999999</v>
      </c>
      <c r="K3642">
        <v>1.1096699999999999</v>
      </c>
      <c r="L3642">
        <v>214.42269999999999</v>
      </c>
      <c r="M3642">
        <v>0.99987230000000005</v>
      </c>
      <c r="N3642">
        <v>-1.516177E-2</v>
      </c>
      <c r="O3642">
        <v>-5.0689109999999997E-3</v>
      </c>
      <c r="P3642">
        <v>0.98481320000000006</v>
      </c>
      <c r="Q3642">
        <v>0.17247789999999999</v>
      </c>
      <c r="R3642">
        <v>1.987038E-2</v>
      </c>
      <c r="S3642">
        <v>3.0595089999999998</v>
      </c>
      <c r="T3642">
        <v>-6.7958240000000003E-2</v>
      </c>
      <c r="U3642">
        <v>-7.0999149999999997E-2</v>
      </c>
      <c r="V3642">
        <v>-2.4703780000000002E-2</v>
      </c>
      <c r="W3642">
        <v>0.18740889999999999</v>
      </c>
      <c r="X3642">
        <v>0.98197129999999999</v>
      </c>
      <c r="Y3642">
        <v>1.812399E-2</v>
      </c>
      <c r="Z3642">
        <v>-3.0297089999999999E-4</v>
      </c>
      <c r="AA3642">
        <v>0.99983569999999999</v>
      </c>
      <c r="AB3642">
        <v>42</v>
      </c>
      <c r="AC3642">
        <v>49.687999999999903</v>
      </c>
      <c r="AD3642">
        <v>-1.1096709226788899</v>
      </c>
      <c r="AE3642">
        <v>-1.1578999999999799</v>
      </c>
      <c r="AF3642">
        <v>0.90554074508335403</v>
      </c>
      <c r="AG3642">
        <v>-1.1096709226788899</v>
      </c>
      <c r="AH3642">
        <v>49.668472630832497</v>
      </c>
      <c r="AI3642">
        <v>91.2796513163768</v>
      </c>
      <c r="AJ3642">
        <v>88.955516192733299</v>
      </c>
      <c r="AK3642">
        <v>49.689119000817499</v>
      </c>
      <c r="AL3642">
        <v>79.198391003469297</v>
      </c>
      <c r="AM3642">
        <v>91.441105093864195</v>
      </c>
      <c r="AN3642">
        <v>1.0000000032845899</v>
      </c>
    </row>
    <row r="3643" spans="1:40" x14ac:dyDescent="0.25">
      <c r="A3643" t="str">
        <f>"20190304155705391"</f>
        <v>20190304155705391</v>
      </c>
      <c r="B3643" t="str">
        <f>"1551686225388245"</f>
        <v>1551686225388245</v>
      </c>
      <c r="C3643" t="s">
        <v>40</v>
      </c>
      <c r="D3643">
        <v>4.590497</v>
      </c>
      <c r="E3643">
        <v>0.51177399999999995</v>
      </c>
      <c r="F3643" t="s">
        <v>55</v>
      </c>
      <c r="G3643">
        <v>-272.1626</v>
      </c>
      <c r="H3643" s="1">
        <v>-3.3732629999999999E-7</v>
      </c>
      <c r="I3643">
        <v>213.5033</v>
      </c>
      <c r="J3643">
        <v>-320.35809999999998</v>
      </c>
      <c r="K3643">
        <v>1.1096680000000001</v>
      </c>
      <c r="L3643">
        <v>214.42060000000001</v>
      </c>
      <c r="M3643">
        <v>0.99987079999999995</v>
      </c>
      <c r="N3643">
        <v>-1.5171469999999999E-2</v>
      </c>
      <c r="O3643">
        <v>-5.3235909999999999E-3</v>
      </c>
      <c r="P3643">
        <v>0.98474530000000005</v>
      </c>
      <c r="Q3643">
        <v>0.1728682</v>
      </c>
      <c r="R3643">
        <v>1.9843489999999998E-2</v>
      </c>
      <c r="S3643">
        <v>3.059631</v>
      </c>
      <c r="T3643">
        <v>-6.9905159999999994E-2</v>
      </c>
      <c r="U3643">
        <v>-5.7922359999999999E-2</v>
      </c>
      <c r="V3643">
        <v>-2.4927069999999999E-2</v>
      </c>
      <c r="W3643">
        <v>0.18780740000000001</v>
      </c>
      <c r="X3643">
        <v>0.98188949999999997</v>
      </c>
      <c r="Y3643">
        <v>1.3598499999999999E-2</v>
      </c>
      <c r="Z3643">
        <v>-2.176639E-4</v>
      </c>
      <c r="AA3643">
        <v>0.99990749999999995</v>
      </c>
      <c r="AB3643">
        <v>42</v>
      </c>
      <c r="AC3643">
        <v>48.195499999999903</v>
      </c>
      <c r="AD3643">
        <v>-1.1096683373263001</v>
      </c>
      <c r="AE3643">
        <v>-0.917300000000011</v>
      </c>
      <c r="AF3643">
        <v>0.66033442287949495</v>
      </c>
      <c r="AG3643">
        <v>-1.1096683373263001</v>
      </c>
      <c r="AH3643">
        <v>48.1741719863358</v>
      </c>
      <c r="AI3643">
        <v>91.319422828384205</v>
      </c>
      <c r="AJ3643">
        <v>89.214682792418301</v>
      </c>
      <c r="AK3643">
        <v>48.191474888593802</v>
      </c>
      <c r="AL3643">
        <v>79.175145685563393</v>
      </c>
      <c r="AM3643">
        <v>91.454246328994998</v>
      </c>
      <c r="AN3643">
        <v>0.99999998426189696</v>
      </c>
    </row>
    <row r="3644" spans="1:40" x14ac:dyDescent="0.25">
      <c r="A3644" t="str">
        <f>"20190304155705412"</f>
        <v>20190304155705412</v>
      </c>
      <c r="B3644" t="str">
        <f>"1551686225407766"</f>
        <v>1551686225407766</v>
      </c>
      <c r="C3644" t="s">
        <v>40</v>
      </c>
      <c r="D3644">
        <v>4.5881369999999997</v>
      </c>
      <c r="E3644">
        <v>0.51084989999999997</v>
      </c>
      <c r="F3644" t="s">
        <v>55</v>
      </c>
      <c r="G3644">
        <v>-272.7176</v>
      </c>
      <c r="H3644" s="1">
        <v>-4.9090950000000003E-8</v>
      </c>
      <c r="I3644">
        <v>213.66659999999999</v>
      </c>
      <c r="J3644">
        <v>-319.9359</v>
      </c>
      <c r="K3644">
        <v>1.109672</v>
      </c>
      <c r="L3644">
        <v>214.41810000000001</v>
      </c>
      <c r="M3644">
        <v>0.99986900000000001</v>
      </c>
      <c r="N3644">
        <v>-1.5182630000000001E-2</v>
      </c>
      <c r="O3644">
        <v>-5.6115409999999899E-3</v>
      </c>
      <c r="P3644">
        <v>0.98467550000000004</v>
      </c>
      <c r="Q3644">
        <v>0.1732706</v>
      </c>
      <c r="R3644">
        <v>1.9789540000000001E-2</v>
      </c>
      <c r="S3644">
        <v>3.0599669999999999</v>
      </c>
      <c r="T3644">
        <v>-7.1274519999999994E-2</v>
      </c>
      <c r="U3644">
        <v>-4.8431399999999999E-2</v>
      </c>
      <c r="V3644">
        <v>-2.5156350000000001E-2</v>
      </c>
      <c r="W3644">
        <v>0.18821959999999999</v>
      </c>
      <c r="X3644">
        <v>0.98180469999999997</v>
      </c>
      <c r="Y3644">
        <v>1.0209319999999999E-2</v>
      </c>
      <c r="Z3644">
        <v>-1.5092139999999999E-4</v>
      </c>
      <c r="AA3644">
        <v>0.99994780000000005</v>
      </c>
      <c r="AB3644">
        <v>42</v>
      </c>
      <c r="AC3644">
        <v>47.218299999999999</v>
      </c>
      <c r="AD3644">
        <v>-1.10967204909095</v>
      </c>
      <c r="AE3644">
        <v>-0.75150000000002104</v>
      </c>
      <c r="AF3644">
        <v>0.48622172845887301</v>
      </c>
      <c r="AG3644">
        <v>-1.10967204909095</v>
      </c>
      <c r="AH3644">
        <v>47.195714738422197</v>
      </c>
      <c r="AI3644">
        <v>91.346826536239107</v>
      </c>
      <c r="AJ3644">
        <v>89.409745830347006</v>
      </c>
      <c r="AK3644">
        <v>47.211262144707398</v>
      </c>
      <c r="AL3644">
        <v>79.151099317744595</v>
      </c>
      <c r="AM3644">
        <v>91.467743415408094</v>
      </c>
      <c r="AN3644">
        <v>0.99999996435578498</v>
      </c>
    </row>
    <row r="3645" spans="1:40" x14ac:dyDescent="0.25">
      <c r="A3645" t="str">
        <f>"20190304155705435"</f>
        <v>20190304155705435</v>
      </c>
      <c r="B3645" t="str">
        <f>"1551686225428260"</f>
        <v>1551686225428260</v>
      </c>
      <c r="C3645" t="s">
        <v>40</v>
      </c>
      <c r="D3645">
        <v>4.6900769999999996</v>
      </c>
      <c r="E3645">
        <v>0.51050739999999994</v>
      </c>
      <c r="F3645" t="s">
        <v>55</v>
      </c>
      <c r="G3645">
        <v>-272.72669999999999</v>
      </c>
      <c r="H3645" s="1">
        <v>-4.9426709999999997E-8</v>
      </c>
      <c r="I3645">
        <v>213.78540000000001</v>
      </c>
      <c r="J3645">
        <v>-319.51119999999997</v>
      </c>
      <c r="K3645">
        <v>1.1096779999999999</v>
      </c>
      <c r="L3645">
        <v>214.41550000000001</v>
      </c>
      <c r="M3645">
        <v>0.99986730000000001</v>
      </c>
      <c r="N3645">
        <v>-1.519352E-2</v>
      </c>
      <c r="O3645">
        <v>-5.9015169999999898E-3</v>
      </c>
      <c r="P3645">
        <v>0.98468219999999995</v>
      </c>
      <c r="Q3645">
        <v>0.1732397</v>
      </c>
      <c r="R3645">
        <v>1.9723629999999999E-2</v>
      </c>
      <c r="S3645">
        <v>3.0602109999999998</v>
      </c>
      <c r="T3645">
        <v>-7.1931599999999998E-2</v>
      </c>
      <c r="U3645">
        <v>-4.1015629999999997E-2</v>
      </c>
      <c r="V3645">
        <v>-2.537648E-2</v>
      </c>
      <c r="W3645">
        <v>0.1881999</v>
      </c>
      <c r="X3645">
        <v>0.98180279999999998</v>
      </c>
      <c r="Y3645">
        <v>7.4965659999999996E-3</v>
      </c>
      <c r="Z3645" s="1">
        <v>-9.6029820000000001E-5</v>
      </c>
      <c r="AA3645">
        <v>0.99997190000000002</v>
      </c>
      <c r="AB3645">
        <v>42</v>
      </c>
      <c r="AC3645">
        <v>46.784499999999902</v>
      </c>
      <c r="AD3645">
        <v>-1.10967804942671</v>
      </c>
      <c r="AE3645">
        <v>-0.630099999999998</v>
      </c>
      <c r="AF3645">
        <v>0.35375868517301701</v>
      </c>
      <c r="AG3645">
        <v>-1.10967804942671</v>
      </c>
      <c r="AH3645">
        <v>46.761101640759101</v>
      </c>
      <c r="AI3645">
        <v>91.359380282206203</v>
      </c>
      <c r="AJ3645">
        <v>89.566552278555406</v>
      </c>
      <c r="AK3645">
        <v>46.775604295809103</v>
      </c>
      <c r="AL3645">
        <v>79.152248459671199</v>
      </c>
      <c r="AM3645">
        <v>91.480584038748205</v>
      </c>
      <c r="AN3645">
        <v>0.99999995309251899</v>
      </c>
    </row>
    <row r="3646" spans="1:40" x14ac:dyDescent="0.25">
      <c r="A3646" t="str">
        <f>"20190304155705457"</f>
        <v>20190304155705457</v>
      </c>
      <c r="B3646" t="str">
        <f>"1551686225448292"</f>
        <v>1551686225448292</v>
      </c>
      <c r="C3646" t="s">
        <v>40</v>
      </c>
      <c r="D3646">
        <v>4.5562849999999999</v>
      </c>
      <c r="E3646">
        <v>0.50980950000000003</v>
      </c>
      <c r="F3646" t="s">
        <v>55</v>
      </c>
      <c r="G3646">
        <v>-272.42689999999999</v>
      </c>
      <c r="H3646" s="1">
        <v>-2.1055669999999999E-7</v>
      </c>
      <c r="I3646">
        <v>213.8212</v>
      </c>
      <c r="J3646">
        <v>-319.10090000000002</v>
      </c>
      <c r="K3646">
        <v>1.1096870000000001</v>
      </c>
      <c r="L3646">
        <v>214.4128</v>
      </c>
      <c r="M3646">
        <v>0.99986529999999996</v>
      </c>
      <c r="N3646">
        <v>-1.5203390000000001E-2</v>
      </c>
      <c r="O3646">
        <v>-6.1812350000000002E-3</v>
      </c>
      <c r="P3646">
        <v>0.98466319999999996</v>
      </c>
      <c r="Q3646">
        <v>0.17333119999999999</v>
      </c>
      <c r="R3646">
        <v>1.986576E-2</v>
      </c>
      <c r="S3646">
        <v>3.0600890000000001</v>
      </c>
      <c r="T3646">
        <v>-7.2119829999999996E-2</v>
      </c>
      <c r="U3646">
        <v>-3.8620000000000002E-2</v>
      </c>
      <c r="V3646">
        <v>-2.5794029999999999E-2</v>
      </c>
      <c r="W3646">
        <v>0.1883011</v>
      </c>
      <c r="X3646">
        <v>0.98177250000000005</v>
      </c>
      <c r="Y3646">
        <v>6.4351199999999999E-3</v>
      </c>
      <c r="Z3646" s="1">
        <v>-7.3074919999999995E-5</v>
      </c>
      <c r="AA3646">
        <v>0.99997930000000002</v>
      </c>
      <c r="AB3646">
        <v>42</v>
      </c>
      <c r="AC3646">
        <v>46.673999999999999</v>
      </c>
      <c r="AD3646">
        <v>-1.1096872105566999</v>
      </c>
      <c r="AE3646">
        <v>-0.59159999999999902</v>
      </c>
      <c r="AF3646">
        <v>0.30288119980477601</v>
      </c>
      <c r="AG3646">
        <v>-1.1096872105566999</v>
      </c>
      <c r="AH3646">
        <v>46.650399831378898</v>
      </c>
      <c r="AI3646">
        <v>91.362626403081606</v>
      </c>
      <c r="AJ3646">
        <v>89.628008105609297</v>
      </c>
      <c r="AK3646">
        <v>46.664579149007501</v>
      </c>
      <c r="AL3646">
        <v>79.146344416343595</v>
      </c>
      <c r="AM3646">
        <v>91.504981195464694</v>
      </c>
      <c r="AN3646">
        <v>0.99999993900054795</v>
      </c>
    </row>
    <row r="3647" spans="1:40" x14ac:dyDescent="0.25">
      <c r="A3647" t="str">
        <f>"20190304155705479"</f>
        <v>20190304155705479</v>
      </c>
      <c r="B3647" t="str">
        <f>"1551686225467808"</f>
        <v>1551686225467808</v>
      </c>
      <c r="C3647" t="s">
        <v>40</v>
      </c>
      <c r="D3647">
        <v>4.7316250000000002</v>
      </c>
      <c r="E3647">
        <v>0.50958309999999996</v>
      </c>
      <c r="F3647" t="s">
        <v>55</v>
      </c>
      <c r="G3647">
        <v>-273.95749999999998</v>
      </c>
      <c r="H3647" s="1">
        <v>5.9926139999999998E-7</v>
      </c>
      <c r="I3647">
        <v>213.9289</v>
      </c>
      <c r="J3647">
        <v>-318.67259999999999</v>
      </c>
      <c r="K3647">
        <v>1.1096950000000001</v>
      </c>
      <c r="L3647">
        <v>214.40989999999999</v>
      </c>
      <c r="M3647">
        <v>0.99986339999999996</v>
      </c>
      <c r="N3647">
        <v>-1.5212460000000001E-2</v>
      </c>
      <c r="O3647">
        <v>-6.4738169999999998E-3</v>
      </c>
      <c r="P3647">
        <v>0.98470089999999999</v>
      </c>
      <c r="Q3647">
        <v>0.17314299999999999</v>
      </c>
      <c r="R3647">
        <v>1.964167E-2</v>
      </c>
      <c r="S3647">
        <v>3.060638</v>
      </c>
      <c r="T3647">
        <v>-7.5234770000000006E-2</v>
      </c>
      <c r="U3647">
        <v>-3.2806399999999999E-2</v>
      </c>
      <c r="V3647">
        <v>-2.5858599999999999E-2</v>
      </c>
      <c r="W3647">
        <v>0.1881226</v>
      </c>
      <c r="X3647">
        <v>0.98180509999999999</v>
      </c>
      <c r="Y3647">
        <v>4.2419839999999999E-3</v>
      </c>
      <c r="Z3647" s="1">
        <v>-2.378039E-5</v>
      </c>
      <c r="AA3647">
        <v>0.99999099999999996</v>
      </c>
      <c r="AB3647">
        <v>42</v>
      </c>
      <c r="AC3647">
        <v>44.7151</v>
      </c>
      <c r="AD3647">
        <v>-1.1096944007386</v>
      </c>
      <c r="AE3647">
        <v>-0.48099999999999399</v>
      </c>
      <c r="AF3647">
        <v>0.19136122139350101</v>
      </c>
      <c r="AG3647">
        <v>-1.1096944007386</v>
      </c>
      <c r="AH3647">
        <v>44.689756540766403</v>
      </c>
      <c r="AI3647">
        <v>91.422410085602706</v>
      </c>
      <c r="AJ3647">
        <v>89.754661376866494</v>
      </c>
      <c r="AK3647">
        <v>44.7039414420369</v>
      </c>
      <c r="AL3647">
        <v>79.156758674392606</v>
      </c>
      <c r="AM3647">
        <v>91.508696790851005</v>
      </c>
      <c r="AN3647">
        <v>1.00000001710536</v>
      </c>
    </row>
    <row r="3648" spans="1:40" x14ac:dyDescent="0.25">
      <c r="A3648" t="str">
        <f>"20190304155705501"</f>
        <v>20190304155705501</v>
      </c>
      <c r="B3648" t="str">
        <f>"1551686225498064"</f>
        <v>1551686225498064</v>
      </c>
      <c r="C3648" t="s">
        <v>40</v>
      </c>
      <c r="D3648">
        <v>4.8066440000000004</v>
      </c>
      <c r="E3648">
        <v>0.50941219999999998</v>
      </c>
      <c r="F3648" t="s">
        <v>55</v>
      </c>
      <c r="G3648">
        <v>-273.9479</v>
      </c>
      <c r="H3648" s="1">
        <v>5.9328449999999999E-7</v>
      </c>
      <c r="I3648">
        <v>213.94810000000001</v>
      </c>
      <c r="J3648">
        <v>-318.25650000000002</v>
      </c>
      <c r="K3648">
        <v>1.1096980000000001</v>
      </c>
      <c r="L3648">
        <v>214.40700000000001</v>
      </c>
      <c r="M3648">
        <v>0.99986140000000001</v>
      </c>
      <c r="N3648">
        <v>-1.522012E-2</v>
      </c>
      <c r="O3648">
        <v>-6.758165E-3</v>
      </c>
      <c r="P3648">
        <v>0.98472680000000001</v>
      </c>
      <c r="Q3648">
        <v>0.17302919999999999</v>
      </c>
      <c r="R3648">
        <v>1.9337050000000001E-2</v>
      </c>
      <c r="S3648">
        <v>3.0606080000000002</v>
      </c>
      <c r="T3648">
        <v>-7.5938699999999998E-2</v>
      </c>
      <c r="U3648">
        <v>-3.1600950000000003E-2</v>
      </c>
      <c r="V3648">
        <v>-2.583479E-2</v>
      </c>
      <c r="W3648">
        <v>0.1880163</v>
      </c>
      <c r="X3648">
        <v>0.98182610000000003</v>
      </c>
      <c r="Y3648">
        <v>3.5642249999999999E-3</v>
      </c>
      <c r="Z3648" s="1">
        <v>-6.5523550000000004E-6</v>
      </c>
      <c r="AA3648">
        <v>0.99999360000000004</v>
      </c>
      <c r="AB3648">
        <v>42</v>
      </c>
      <c r="AC3648">
        <v>44.308599999999998</v>
      </c>
      <c r="AD3648">
        <v>-1.1096974067155001</v>
      </c>
      <c r="AE3648">
        <v>-0.45889999999999898</v>
      </c>
      <c r="AF3648">
        <v>0.159310105355011</v>
      </c>
      <c r="AG3648">
        <v>-1.1096974067155001</v>
      </c>
      <c r="AH3648">
        <v>44.282916591013702</v>
      </c>
      <c r="AI3648">
        <v>91.435480491114802</v>
      </c>
      <c r="AJ3648">
        <v>89.793876329855195</v>
      </c>
      <c r="AK3648">
        <v>44.297104982727902</v>
      </c>
      <c r="AL3648">
        <v>79.162959991411995</v>
      </c>
      <c r="AM3648">
        <v>91.507276034426795</v>
      </c>
      <c r="AN3648">
        <v>1.00000002804062</v>
      </c>
    </row>
    <row r="3649" spans="1:40" x14ac:dyDescent="0.25">
      <c r="A3649" t="str">
        <f>"20190304155705514"</f>
        <v>20190304155705514</v>
      </c>
      <c r="B3649" t="str">
        <f>"1551686225507824"</f>
        <v>1551686225507824</v>
      </c>
      <c r="C3649" t="s">
        <v>40</v>
      </c>
      <c r="D3649">
        <v>4.721285</v>
      </c>
      <c r="E3649">
        <v>0.50943269999999996</v>
      </c>
      <c r="F3649" t="s">
        <v>55</v>
      </c>
      <c r="G3649">
        <v>-272.79090000000002</v>
      </c>
      <c r="H3649" s="1">
        <v>-2.2318819999999998E-8</v>
      </c>
      <c r="I3649">
        <v>213.94560000000001</v>
      </c>
      <c r="J3649">
        <v>-318.0138</v>
      </c>
      <c r="K3649">
        <v>1.1096999999999999</v>
      </c>
      <c r="L3649">
        <v>214.40520000000001</v>
      </c>
      <c r="M3649">
        <v>0.99986019999999998</v>
      </c>
      <c r="N3649">
        <v>-1.5224089999999999E-2</v>
      </c>
      <c r="O3649">
        <v>-6.9239999999999996E-3</v>
      </c>
      <c r="P3649">
        <v>0.98476189999999997</v>
      </c>
      <c r="Q3649">
        <v>0.172823799999999</v>
      </c>
      <c r="R3649">
        <v>1.938869E-2</v>
      </c>
      <c r="S3649">
        <v>3.0602719999999999</v>
      </c>
      <c r="T3649">
        <v>-7.4693319999999994E-2</v>
      </c>
      <c r="U3649">
        <v>-3.1051639999999998E-2</v>
      </c>
      <c r="V3649">
        <v>-2.6050230000000001E-2</v>
      </c>
      <c r="W3649">
        <v>0.18781539999999999</v>
      </c>
      <c r="X3649">
        <v>0.98185880000000003</v>
      </c>
      <c r="Y3649">
        <v>3.2202139999999999E-3</v>
      </c>
      <c r="Z3649" s="1">
        <v>-2.5779170000000001E-7</v>
      </c>
      <c r="AA3649">
        <v>0.99999479999999996</v>
      </c>
      <c r="AB3649">
        <v>42</v>
      </c>
      <c r="AC3649">
        <v>45.222899999999903</v>
      </c>
      <c r="AD3649">
        <v>-1.10970002231881</v>
      </c>
      <c r="AE3649">
        <v>-0.45959999999999401</v>
      </c>
      <c r="AF3649">
        <v>0.146341240468845</v>
      </c>
      <c r="AG3649">
        <v>-1.10970002231881</v>
      </c>
      <c r="AH3649">
        <v>45.197785952297203</v>
      </c>
      <c r="AI3649">
        <v>91.406441097540693</v>
      </c>
      <c r="AJ3649">
        <v>89.814488564624995</v>
      </c>
      <c r="AK3649">
        <v>45.211643465902398</v>
      </c>
      <c r="AL3649">
        <v>79.174678870205497</v>
      </c>
      <c r="AM3649">
        <v>91.519788960050207</v>
      </c>
      <c r="AN3649">
        <v>0.99999997104882599</v>
      </c>
    </row>
    <row r="3650" spans="1:40" x14ac:dyDescent="0.25">
      <c r="A3650" t="str">
        <f>"20190304155705535"</f>
        <v>20190304155705535</v>
      </c>
      <c r="B3650" t="str">
        <f>"1551686225528324"</f>
        <v>1551686225528324</v>
      </c>
      <c r="C3650" t="s">
        <v>40</v>
      </c>
      <c r="D3650">
        <v>4.8658530000000004</v>
      </c>
      <c r="E3650">
        <v>0.50935659999999905</v>
      </c>
      <c r="F3650" t="s">
        <v>55</v>
      </c>
      <c r="G3650">
        <v>-272.81880000000001</v>
      </c>
      <c r="H3650" s="1">
        <v>-7.433526E-9</v>
      </c>
      <c r="I3650">
        <v>213.94540000000001</v>
      </c>
      <c r="J3650">
        <v>-317.62470000000002</v>
      </c>
      <c r="K3650">
        <v>1.1097030000000001</v>
      </c>
      <c r="L3650">
        <v>214.4023</v>
      </c>
      <c r="M3650">
        <v>0.99985809999999997</v>
      </c>
      <c r="N3650">
        <v>-1.522946E-2</v>
      </c>
      <c r="O3650">
        <v>-7.1896159999999898E-3</v>
      </c>
      <c r="P3650">
        <v>0.98473730000000004</v>
      </c>
      <c r="Q3650">
        <v>0.1729812</v>
      </c>
      <c r="R3650">
        <v>1.9230879999999999E-2</v>
      </c>
      <c r="S3650">
        <v>3.0602109999999998</v>
      </c>
      <c r="T3650">
        <v>-7.5139159999999997E-2</v>
      </c>
      <c r="U3650">
        <v>-3.1127930000000002E-2</v>
      </c>
      <c r="V3650">
        <v>-2.615381E-2</v>
      </c>
      <c r="W3650">
        <v>0.18797739999999999</v>
      </c>
      <c r="X3650">
        <v>0.98182510000000001</v>
      </c>
      <c r="Y3650">
        <v>2.9798149999999998E-3</v>
      </c>
      <c r="Z3650" s="1">
        <v>7.7299769999999993E-6</v>
      </c>
      <c r="AA3650">
        <v>0.99999559999999998</v>
      </c>
      <c r="AB3650">
        <v>42</v>
      </c>
      <c r="AC3650">
        <v>44.805900000000001</v>
      </c>
      <c r="AD3650">
        <v>-1.1097030074335199</v>
      </c>
      <c r="AE3650">
        <v>-0.45689999999998998</v>
      </c>
      <c r="AF3650">
        <v>0.13463101010216799</v>
      </c>
      <c r="AG3650">
        <v>-1.1097030074335199</v>
      </c>
      <c r="AH3650">
        <v>44.7805615126519</v>
      </c>
      <c r="AI3650">
        <v>91.419544538097099</v>
      </c>
      <c r="AJ3650">
        <v>89.827742994530396</v>
      </c>
      <c r="AK3650">
        <v>44.794511445734003</v>
      </c>
      <c r="AL3650">
        <v>79.165229234908495</v>
      </c>
      <c r="AM3650">
        <v>91.525881387491197</v>
      </c>
      <c r="AN3650">
        <v>1.0000000258391399</v>
      </c>
    </row>
    <row r="3651" spans="1:40" x14ac:dyDescent="0.25">
      <c r="A3651" t="str">
        <f>"20190304155705548"</f>
        <v>20190304155705548</v>
      </c>
      <c r="B3651" t="str">
        <f>"1551686225538080"</f>
        <v>1551686225538080</v>
      </c>
      <c r="C3651" t="s">
        <v>40</v>
      </c>
      <c r="D3651">
        <v>4.7174230000000001</v>
      </c>
      <c r="E3651">
        <v>0.50936610000000004</v>
      </c>
      <c r="F3651" t="s">
        <v>55</v>
      </c>
      <c r="G3651">
        <v>-271.64710000000002</v>
      </c>
      <c r="H3651" s="1">
        <v>-6.3042329999999996E-7</v>
      </c>
      <c r="I3651">
        <v>213.9332</v>
      </c>
      <c r="J3651">
        <v>-317.36250000000001</v>
      </c>
      <c r="K3651">
        <v>1.109704</v>
      </c>
      <c r="L3651">
        <v>214.40020000000001</v>
      </c>
      <c r="M3651">
        <v>0.99985690000000005</v>
      </c>
      <c r="N3651">
        <v>-1.5232549999999999E-2</v>
      </c>
      <c r="O3651">
        <v>-7.3689119999999896E-3</v>
      </c>
      <c r="P3651">
        <v>0.98474589999999995</v>
      </c>
      <c r="Q3651">
        <v>0.1729377</v>
      </c>
      <c r="R3651">
        <v>1.9192230000000001E-2</v>
      </c>
      <c r="S3651">
        <v>3.0600890000000001</v>
      </c>
      <c r="T3651">
        <v>-7.3857549999999994E-2</v>
      </c>
      <c r="U3651">
        <v>-3.1219480000000001E-2</v>
      </c>
      <c r="V3651">
        <v>-2.629213E-2</v>
      </c>
      <c r="W3651">
        <v>0.1879372</v>
      </c>
      <c r="X3651">
        <v>0.98182910000000001</v>
      </c>
      <c r="Y3651">
        <v>2.830904E-3</v>
      </c>
      <c r="Z3651" s="1">
        <v>9.849159E-6</v>
      </c>
      <c r="AA3651">
        <v>0.999996</v>
      </c>
      <c r="AB3651">
        <v>42</v>
      </c>
      <c r="AC3651">
        <v>45.715399999999903</v>
      </c>
      <c r="AD3651">
        <v>-1.1097046304233</v>
      </c>
      <c r="AE3651">
        <v>-0.46700000000001302</v>
      </c>
      <c r="AF3651">
        <v>0.12999890227074301</v>
      </c>
      <c r="AG3651">
        <v>-1.1097046304233</v>
      </c>
      <c r="AH3651">
        <v>45.690680369332703</v>
      </c>
      <c r="AI3651">
        <v>91.391282354808993</v>
      </c>
      <c r="AJ3651">
        <v>89.836982765790097</v>
      </c>
      <c r="AK3651">
        <v>45.704339145139201</v>
      </c>
      <c r="AL3651">
        <v>79.167574305685093</v>
      </c>
      <c r="AM3651">
        <v>91.533941244681202</v>
      </c>
      <c r="AN3651">
        <v>1.00000002442529</v>
      </c>
    </row>
    <row r="3652" spans="1:40" x14ac:dyDescent="0.25">
      <c r="A3652" t="str">
        <f>"20190304155705568"</f>
        <v>20190304155705568</v>
      </c>
      <c r="B3652" t="str">
        <f>"1551686225558576"</f>
        <v>1551686225558576</v>
      </c>
      <c r="C3652" t="s">
        <v>40</v>
      </c>
      <c r="D3652">
        <v>4.8544929999999997</v>
      </c>
      <c r="E3652">
        <v>0.50959989999999999</v>
      </c>
      <c r="F3652" t="s">
        <v>55</v>
      </c>
      <c r="G3652">
        <v>-271.38639999999998</v>
      </c>
      <c r="H3652" s="1">
        <v>-7.6869860000000005E-7</v>
      </c>
      <c r="I3652">
        <v>213.9222</v>
      </c>
      <c r="J3652">
        <v>-317.00779999999997</v>
      </c>
      <c r="K3652">
        <v>1.1096999999999999</v>
      </c>
      <c r="L3652">
        <v>214.3974</v>
      </c>
      <c r="M3652">
        <v>0.99985489999999999</v>
      </c>
      <c r="N3652">
        <v>-1.5235810000000001E-2</v>
      </c>
      <c r="O3652">
        <v>-7.6116229999999997E-3</v>
      </c>
      <c r="P3652">
        <v>0.98476540000000001</v>
      </c>
      <c r="Q3652">
        <v>0.17286360000000001</v>
      </c>
      <c r="R3652">
        <v>1.8847180000000002E-2</v>
      </c>
      <c r="S3652">
        <v>3.0600890000000001</v>
      </c>
      <c r="T3652">
        <v>-7.3860049999999997E-2</v>
      </c>
      <c r="U3652">
        <v>-3.1814580000000002E-2</v>
      </c>
      <c r="V3652">
        <v>-2.6186210000000001E-2</v>
      </c>
      <c r="W3652">
        <v>0.18786649999999999</v>
      </c>
      <c r="X3652">
        <v>0.98184539999999998</v>
      </c>
      <c r="Y3652">
        <v>2.782638E-3</v>
      </c>
      <c r="Z3652" s="1">
        <v>1.293443E-5</v>
      </c>
      <c r="AA3652">
        <v>0.99999610000000005</v>
      </c>
      <c r="AB3652">
        <v>42</v>
      </c>
      <c r="AC3652">
        <v>45.621400000000001</v>
      </c>
      <c r="AD3652">
        <v>-1.1097007686986</v>
      </c>
      <c r="AE3652">
        <v>-0.47520000000000101</v>
      </c>
      <c r="AF3652">
        <v>0.127817386243191</v>
      </c>
      <c r="AG3652">
        <v>-1.1097007686986</v>
      </c>
      <c r="AH3652">
        <v>45.596720583278596</v>
      </c>
      <c r="AI3652">
        <v>91.394143513600099</v>
      </c>
      <c r="AJ3652">
        <v>89.839388063349901</v>
      </c>
      <c r="AK3652">
        <v>45.610401237325902</v>
      </c>
      <c r="AL3652">
        <v>79.171697922364999</v>
      </c>
      <c r="AM3652">
        <v>91.527739220315496</v>
      </c>
      <c r="AN3652">
        <v>0.99999996445878603</v>
      </c>
    </row>
    <row r="3653" spans="1:40" x14ac:dyDescent="0.25">
      <c r="A3653" t="str">
        <f>"20190304155705582"</f>
        <v>20190304155705582</v>
      </c>
      <c r="B3653" t="str">
        <f>"1551686225578096"</f>
        <v>1551686225578096</v>
      </c>
      <c r="C3653" t="s">
        <v>40</v>
      </c>
      <c r="D3653">
        <v>4.7495010000000004</v>
      </c>
      <c r="E3653">
        <v>0.5095326</v>
      </c>
      <c r="F3653" t="s">
        <v>55</v>
      </c>
      <c r="G3653">
        <v>-271.3553</v>
      </c>
      <c r="H3653" s="1">
        <v>-7.8339459999999999E-7</v>
      </c>
      <c r="I3653">
        <v>213.8802</v>
      </c>
      <c r="J3653">
        <v>-316.75450000000001</v>
      </c>
      <c r="K3653">
        <v>1.1097030000000001</v>
      </c>
      <c r="L3653">
        <v>214.39529999999999</v>
      </c>
      <c r="M3653">
        <v>0.99985369999999996</v>
      </c>
      <c r="N3653">
        <v>-1.523762E-2</v>
      </c>
      <c r="O3653">
        <v>-7.78518599999999E-3</v>
      </c>
      <c r="P3653">
        <v>0.98477820000000005</v>
      </c>
      <c r="Q3653">
        <v>0.1727929</v>
      </c>
      <c r="R3653">
        <v>1.8834489999999999E-2</v>
      </c>
      <c r="S3653">
        <v>3.0600890000000001</v>
      </c>
      <c r="T3653">
        <v>-7.4383379999999999E-2</v>
      </c>
      <c r="U3653">
        <v>-3.4667969999999999E-2</v>
      </c>
      <c r="V3653">
        <v>-2.6345279999999999E-2</v>
      </c>
      <c r="W3653">
        <v>0.18779760000000001</v>
      </c>
      <c r="X3653">
        <v>0.98185440000000002</v>
      </c>
      <c r="Y3653">
        <v>3.541031E-3</v>
      </c>
      <c r="Z3653" s="1">
        <v>5.5855160000000002E-7</v>
      </c>
      <c r="AA3653">
        <v>0.99999369999999999</v>
      </c>
      <c r="AB3653">
        <v>42</v>
      </c>
      <c r="AC3653">
        <v>45.3992</v>
      </c>
      <c r="AD3653">
        <v>-1.1097037833946</v>
      </c>
      <c r="AE3653">
        <v>-0.51509999999998901</v>
      </c>
      <c r="AF3653">
        <v>0.16150568634693099</v>
      </c>
      <c r="AG3653">
        <v>-1.1097037833946</v>
      </c>
      <c r="AH3653">
        <v>45.374727820747502</v>
      </c>
      <c r="AI3653">
        <v>91.400961989717999</v>
      </c>
      <c r="AJ3653">
        <v>89.796063677703998</v>
      </c>
      <c r="AK3653">
        <v>45.388582830713297</v>
      </c>
      <c r="AL3653">
        <v>79.175717940057197</v>
      </c>
      <c r="AM3653">
        <v>91.537001060893402</v>
      </c>
      <c r="AN3653">
        <v>1.00000003757169</v>
      </c>
    </row>
    <row r="3654" spans="1:40" x14ac:dyDescent="0.25">
      <c r="A3654" t="str">
        <f>"20190304155705603"</f>
        <v>20190304155705603</v>
      </c>
      <c r="B3654" t="str">
        <f>"1551686225598592"</f>
        <v>1551686225598592</v>
      </c>
      <c r="C3654" t="s">
        <v>40</v>
      </c>
      <c r="D3654">
        <v>4.7575909999999997</v>
      </c>
      <c r="E3654">
        <v>0.50939950000000001</v>
      </c>
      <c r="F3654" t="s">
        <v>55</v>
      </c>
      <c r="G3654">
        <v>-270.83870000000002</v>
      </c>
      <c r="H3654" s="1">
        <v>-1.05835E-6</v>
      </c>
      <c r="I3654">
        <v>213.88130000000001</v>
      </c>
      <c r="J3654">
        <v>-316.3494</v>
      </c>
      <c r="K3654">
        <v>1.109699</v>
      </c>
      <c r="L3654">
        <v>214.39189999999999</v>
      </c>
      <c r="M3654">
        <v>0.9998513</v>
      </c>
      <c r="N3654">
        <v>-1.5239900000000001E-2</v>
      </c>
      <c r="O3654">
        <v>-8.0629289999999999E-3</v>
      </c>
      <c r="P3654">
        <v>0.98474830000000002</v>
      </c>
      <c r="Q3654">
        <v>0.17301710000000001</v>
      </c>
      <c r="R3654">
        <v>1.8325480000000002E-2</v>
      </c>
      <c r="S3654">
        <v>3.0599980000000002</v>
      </c>
      <c r="T3654">
        <v>-7.3954699999999998E-2</v>
      </c>
      <c r="U3654">
        <v>-3.4255979999999998E-2</v>
      </c>
      <c r="V3654">
        <v>-2.6109569999999999E-2</v>
      </c>
      <c r="W3654">
        <v>0.18802379999999999</v>
      </c>
      <c r="X3654">
        <v>0.98181739999999995</v>
      </c>
      <c r="Y3654">
        <v>3.1291790000000002E-3</v>
      </c>
      <c r="Z3654" s="1">
        <v>1.02924499999999E-5</v>
      </c>
      <c r="AA3654">
        <v>0.99999510000000003</v>
      </c>
      <c r="AB3654">
        <v>42</v>
      </c>
      <c r="AC3654">
        <v>45.5106999999999</v>
      </c>
      <c r="AD3654">
        <v>-1.1097000583499901</v>
      </c>
      <c r="AE3654">
        <v>-0.51059999999998196</v>
      </c>
      <c r="AF3654">
        <v>0.14350590497037399</v>
      </c>
      <c r="AG3654">
        <v>-1.1097000583499901</v>
      </c>
      <c r="AH3654">
        <v>45.486297484811601</v>
      </c>
      <c r="AI3654">
        <v>91.397524255124793</v>
      </c>
      <c r="AJ3654">
        <v>89.819236652255697</v>
      </c>
      <c r="AK3654">
        <v>45.500058099314998</v>
      </c>
      <c r="AL3654">
        <v>79.1625225241159</v>
      </c>
      <c r="AM3654">
        <v>91.523313468836093</v>
      </c>
      <c r="AN3654">
        <v>1.0000000329773899</v>
      </c>
    </row>
    <row r="3655" spans="1:40" x14ac:dyDescent="0.25">
      <c r="A3655" t="str">
        <f>"20190304155705625"</f>
        <v>20190304155705625</v>
      </c>
      <c r="B3655" t="str">
        <f>"1551686225618112"</f>
        <v>1551686225618112</v>
      </c>
      <c r="C3655" t="s">
        <v>40</v>
      </c>
      <c r="D3655">
        <v>4.7463680000000004</v>
      </c>
      <c r="E3655">
        <v>0.50932639999999996</v>
      </c>
      <c r="F3655" t="s">
        <v>55</v>
      </c>
      <c r="G3655">
        <v>-269.50580000000002</v>
      </c>
      <c r="H3655" s="1">
        <v>3.554774E-6</v>
      </c>
      <c r="I3655">
        <v>213.86</v>
      </c>
      <c r="J3655">
        <v>-315.93630000000002</v>
      </c>
      <c r="K3655">
        <v>1.109701</v>
      </c>
      <c r="L3655">
        <v>214.38829999999999</v>
      </c>
      <c r="M3655">
        <v>0.99984910000000005</v>
      </c>
      <c r="N3655">
        <v>-1.524142E-2</v>
      </c>
      <c r="O3655">
        <v>-8.3450680000000006E-3</v>
      </c>
      <c r="P3655">
        <v>0.98471439999999999</v>
      </c>
      <c r="Q3655">
        <v>0.1732342</v>
      </c>
      <c r="R3655">
        <v>1.809595E-2</v>
      </c>
      <c r="S3655">
        <v>3.0598749999999999</v>
      </c>
      <c r="T3655">
        <v>-7.2486519999999999E-2</v>
      </c>
      <c r="U3655">
        <v>-3.4744259999999999E-2</v>
      </c>
      <c r="V3655">
        <v>-2.615808E-2</v>
      </c>
      <c r="W3655">
        <v>0.18824109999999999</v>
      </c>
      <c r="X3655">
        <v>0.98177440000000005</v>
      </c>
      <c r="Y3655">
        <v>3.0070819999999999E-3</v>
      </c>
      <c r="Z3655" s="1">
        <v>1.19258E-5</v>
      </c>
      <c r="AA3655">
        <v>0.99999550000000004</v>
      </c>
      <c r="AB3655">
        <v>42</v>
      </c>
      <c r="AC3655">
        <v>46.430500000000002</v>
      </c>
      <c r="AD3655">
        <v>-1.109697445226</v>
      </c>
      <c r="AE3655">
        <v>-0.52829999999997301</v>
      </c>
      <c r="AF3655">
        <v>0.14069058508461799</v>
      </c>
      <c r="AG3655">
        <v>-1.109697445226</v>
      </c>
      <c r="AH3655">
        <v>46.406787098716002</v>
      </c>
      <c r="AI3655">
        <v>91.369811996620697</v>
      </c>
      <c r="AJ3655">
        <v>89.826297993240203</v>
      </c>
      <c r="AK3655">
        <v>46.420266167765803</v>
      </c>
      <c r="AL3655">
        <v>79.149845041711899</v>
      </c>
      <c r="AM3655">
        <v>91.526209166524694</v>
      </c>
      <c r="AN3655">
        <v>0.99999996468692698</v>
      </c>
    </row>
    <row r="3656" spans="1:40" x14ac:dyDescent="0.25">
      <c r="A3656" t="str">
        <f>"20190304155705647"</f>
        <v>20190304155705647</v>
      </c>
      <c r="B3656" t="str">
        <f>"1551686225638608"</f>
        <v>1551686225638608</v>
      </c>
      <c r="C3656" t="s">
        <v>40</v>
      </c>
      <c r="D3656">
        <v>4.7430089999999998</v>
      </c>
      <c r="E3656">
        <v>0.50931029999999999</v>
      </c>
      <c r="F3656" t="s">
        <v>55</v>
      </c>
      <c r="G3656">
        <v>-268.36070000000001</v>
      </c>
      <c r="H3656" s="1">
        <v>2.9458889999999999E-6</v>
      </c>
      <c r="I3656">
        <v>213.8493</v>
      </c>
      <c r="J3656">
        <v>-315.54489999999998</v>
      </c>
      <c r="K3656">
        <v>1.1097140000000001</v>
      </c>
      <c r="L3656">
        <v>214.38480000000001</v>
      </c>
      <c r="M3656">
        <v>0.99984689999999998</v>
      </c>
      <c r="N3656">
        <v>-1.524228E-2</v>
      </c>
      <c r="O3656">
        <v>-8.6076169999999997E-3</v>
      </c>
      <c r="P3656">
        <v>0.98470020000000003</v>
      </c>
      <c r="Q3656">
        <v>0.1733257</v>
      </c>
      <c r="R3656">
        <v>1.7998750000000001E-2</v>
      </c>
      <c r="S3656">
        <v>3.0597530000000002</v>
      </c>
      <c r="T3656">
        <v>-7.1368580000000001E-2</v>
      </c>
      <c r="U3656">
        <v>-3.4667969999999999E-2</v>
      </c>
      <c r="V3656">
        <v>-2.6321000000000001E-2</v>
      </c>
      <c r="W3656">
        <v>0.18833340000000001</v>
      </c>
      <c r="X3656">
        <v>0.98175239999999997</v>
      </c>
      <c r="Y3656">
        <v>2.720161E-3</v>
      </c>
      <c r="Z3656" s="1">
        <v>1.707866E-5</v>
      </c>
      <c r="AA3656">
        <v>0.99999629999999995</v>
      </c>
      <c r="AB3656">
        <v>42</v>
      </c>
      <c r="AC3656">
        <v>47.184199999999898</v>
      </c>
      <c r="AD3656">
        <v>-1.10971105411099</v>
      </c>
      <c r="AE3656">
        <v>-0.53550000000001297</v>
      </c>
      <c r="AF3656">
        <v>0.12921803180802799</v>
      </c>
      <c r="AG3656">
        <v>-1.10971105411099</v>
      </c>
      <c r="AH3656">
        <v>47.160978754067401</v>
      </c>
      <c r="AI3656">
        <v>91.347931964151798</v>
      </c>
      <c r="AJ3656">
        <v>89.843013662390703</v>
      </c>
      <c r="AK3656">
        <v>47.174209828729097</v>
      </c>
      <c r="AL3656">
        <v>79.144460935130994</v>
      </c>
      <c r="AM3656">
        <v>91.535744692696994</v>
      </c>
      <c r="AN3656">
        <v>1.00000001975115</v>
      </c>
    </row>
    <row r="3657" spans="1:40" x14ac:dyDescent="0.25">
      <c r="A3657" t="str">
        <f>"20190304155705669"</f>
        <v>20190304155705669</v>
      </c>
      <c r="B3657" t="str">
        <f>"1551686225658132"</f>
        <v>1551686225658132</v>
      </c>
      <c r="C3657" t="s">
        <v>40</v>
      </c>
      <c r="D3657">
        <v>4.7135660000000001</v>
      </c>
      <c r="E3657">
        <v>0.50925149999999997</v>
      </c>
      <c r="F3657" t="s">
        <v>55</v>
      </c>
      <c r="G3657">
        <v>-267.52699999999999</v>
      </c>
      <c r="H3657" s="1">
        <v>2.5026189999999999E-6</v>
      </c>
      <c r="I3657">
        <v>213.84049999999999</v>
      </c>
      <c r="J3657">
        <v>-315.11829999999998</v>
      </c>
      <c r="K3657">
        <v>1.1097250000000001</v>
      </c>
      <c r="L3657">
        <v>214.3809</v>
      </c>
      <c r="M3657">
        <v>0.99984450000000002</v>
      </c>
      <c r="N3657">
        <v>-1.524242E-2</v>
      </c>
      <c r="O3657">
        <v>-8.8825969999999903E-3</v>
      </c>
      <c r="P3657">
        <v>0.98472570000000004</v>
      </c>
      <c r="Q3657">
        <v>0.17315639999999999</v>
      </c>
      <c r="R3657">
        <v>1.8234199999999999E-2</v>
      </c>
      <c r="S3657">
        <v>3.0596619999999999</v>
      </c>
      <c r="T3657">
        <v>-7.0709939999999999E-2</v>
      </c>
      <c r="U3657">
        <v>-3.4683230000000002E-2</v>
      </c>
      <c r="V3657">
        <v>-2.6830739999999999E-2</v>
      </c>
      <c r="W3657">
        <v>0.18816430000000001</v>
      </c>
      <c r="X3657">
        <v>0.98177099999999995</v>
      </c>
      <c r="Y3657">
        <v>2.4505960000000002E-3</v>
      </c>
      <c r="Z3657" s="1">
        <v>2.285417E-5</v>
      </c>
      <c r="AA3657">
        <v>0.99999700000000002</v>
      </c>
      <c r="AB3657">
        <v>42</v>
      </c>
      <c r="AC3657">
        <v>47.591299999999897</v>
      </c>
      <c r="AD3657">
        <v>-1.109722497381</v>
      </c>
      <c r="AE3657">
        <v>-0.54040000000000499</v>
      </c>
      <c r="AF3657">
        <v>0.11753137978594599</v>
      </c>
      <c r="AG3657">
        <v>-1.109722497381</v>
      </c>
      <c r="AH3657">
        <v>47.568362313709102</v>
      </c>
      <c r="AI3657">
        <v>91.336406962154697</v>
      </c>
      <c r="AJ3657">
        <v>89.858434514218004</v>
      </c>
      <c r="AK3657">
        <v>47.581450070954503</v>
      </c>
      <c r="AL3657">
        <v>79.154325747601405</v>
      </c>
      <c r="AM3657">
        <v>91.565442059898103</v>
      </c>
      <c r="AN3657">
        <v>0.99999999442221799</v>
      </c>
    </row>
    <row r="3658" spans="1:40" x14ac:dyDescent="0.25">
      <c r="A3658" t="str">
        <f>"20190304155705693"</f>
        <v>20190304155705693</v>
      </c>
      <c r="B3658" t="str">
        <f>"1551686225688384"</f>
        <v>1551686225688384</v>
      </c>
      <c r="C3658" t="s">
        <v>40</v>
      </c>
      <c r="D3658">
        <v>4.7661150000000001</v>
      </c>
      <c r="E3658">
        <v>0.47328759999999997</v>
      </c>
      <c r="F3658" t="s">
        <v>55</v>
      </c>
      <c r="G3658">
        <v>-267.40379999999999</v>
      </c>
      <c r="H3658" s="1">
        <v>2.4363700000000001E-6</v>
      </c>
      <c r="I3658">
        <v>213.85669999999999</v>
      </c>
      <c r="J3658">
        <v>-314.69600000000003</v>
      </c>
      <c r="K3658">
        <v>1.1097379999999999</v>
      </c>
      <c r="L3658">
        <v>214.37690000000001</v>
      </c>
      <c r="M3658">
        <v>0.99984220000000001</v>
      </c>
      <c r="N3658">
        <v>-1.5241859999999999E-2</v>
      </c>
      <c r="O3658">
        <v>-9.1375659999999997E-3</v>
      </c>
      <c r="P3658">
        <v>0.98471310000000001</v>
      </c>
      <c r="Q3658">
        <v>0.1731953</v>
      </c>
      <c r="R3658">
        <v>1.8542199999999998E-2</v>
      </c>
      <c r="S3658">
        <v>3.0596619999999999</v>
      </c>
      <c r="T3658">
        <v>-7.1160319999999999E-2</v>
      </c>
      <c r="U3658">
        <v>-3.3615109999999997E-2</v>
      </c>
      <c r="V3658">
        <v>-2.7395119999999999E-2</v>
      </c>
      <c r="W3658">
        <v>0.1882018</v>
      </c>
      <c r="X3658">
        <v>0.98174819999999996</v>
      </c>
      <c r="Y3658">
        <v>1.8468149999999999E-3</v>
      </c>
      <c r="Z3658" s="1">
        <v>3.7651989999999997E-5</v>
      </c>
      <c r="AA3658">
        <v>0.99999830000000001</v>
      </c>
      <c r="AB3658">
        <v>42</v>
      </c>
      <c r="AC3658">
        <v>47.292199999999902</v>
      </c>
      <c r="AD3658">
        <v>-1.1097355636299999</v>
      </c>
      <c r="AE3658">
        <v>-0.52020000000001598</v>
      </c>
      <c r="AF3658">
        <v>8.7944106082984405E-2</v>
      </c>
      <c r="AG3658">
        <v>-1.1097355636299999</v>
      </c>
      <c r="AH3658">
        <v>47.268954518352601</v>
      </c>
      <c r="AI3658">
        <v>91.344886447063899</v>
      </c>
      <c r="AJ3658">
        <v>89.893401063149497</v>
      </c>
      <c r="AK3658">
        <v>47.282061169592303</v>
      </c>
      <c r="AL3658">
        <v>79.152137793433695</v>
      </c>
      <c r="AM3658">
        <v>91.598391059663399</v>
      </c>
      <c r="AN3658">
        <v>0.99999996916314604</v>
      </c>
    </row>
    <row r="3659" spans="1:40" x14ac:dyDescent="0.25">
      <c r="A3659" t="str">
        <f>"20190304155705714"</f>
        <v>20190304155705714</v>
      </c>
      <c r="B3659" t="str">
        <f>"1551686225707904"</f>
        <v>1551686225707904</v>
      </c>
      <c r="C3659" t="s">
        <v>40</v>
      </c>
      <c r="D3659">
        <v>4.6901580000000003</v>
      </c>
      <c r="E3659">
        <v>0.46453220000000001</v>
      </c>
      <c r="F3659" t="s">
        <v>64</v>
      </c>
      <c r="G3659">
        <v>-288.62639999999999</v>
      </c>
      <c r="H3659" s="1">
        <v>3.0376170000000002E-6</v>
      </c>
      <c r="I3659">
        <v>216.52770000000001</v>
      </c>
      <c r="J3659">
        <v>-314.28120000000001</v>
      </c>
      <c r="K3659">
        <v>1.109761</v>
      </c>
      <c r="L3659">
        <v>214.37289999999999</v>
      </c>
      <c r="M3659">
        <v>0.99983999999999995</v>
      </c>
      <c r="N3659">
        <v>-1.5240770000000001E-2</v>
      </c>
      <c r="O3659">
        <v>-9.3692099999999993E-3</v>
      </c>
      <c r="P3659">
        <v>0.98465579999999997</v>
      </c>
      <c r="Q3659">
        <v>0.17352219999999999</v>
      </c>
      <c r="R3659">
        <v>1.8524559999999999E-2</v>
      </c>
      <c r="S3659">
        <v>3.0647579999999999</v>
      </c>
      <c r="T3659">
        <v>-0.13046070000000001</v>
      </c>
      <c r="U3659">
        <v>0.25285340000000001</v>
      </c>
      <c r="V3659">
        <v>-2.7611989999999999E-2</v>
      </c>
      <c r="W3659">
        <v>0.18852579999999999</v>
      </c>
      <c r="X3659">
        <v>0.98168</v>
      </c>
      <c r="Y3659">
        <v>-9.1443720000000006E-2</v>
      </c>
      <c r="Z3659">
        <v>2.8961E-3</v>
      </c>
      <c r="AA3659">
        <v>0.99580599999999997</v>
      </c>
      <c r="AB3659">
        <v>42</v>
      </c>
      <c r="AC3659">
        <v>25.654800000000002</v>
      </c>
      <c r="AD3659">
        <v>-1.1097579623830001</v>
      </c>
      <c r="AE3659">
        <v>2.1548000000000198</v>
      </c>
      <c r="AF3659">
        <v>-2.3906564690200298</v>
      </c>
      <c r="AG3659">
        <v>-1.1097579623830001</v>
      </c>
      <c r="AH3659">
        <v>25.585941654423099</v>
      </c>
      <c r="AI3659">
        <v>92.472818181374393</v>
      </c>
      <c r="AJ3659">
        <v>95.338009095821803</v>
      </c>
      <c r="AK3659">
        <v>25.721337668004001</v>
      </c>
      <c r="AL3659">
        <v>79.1332360563554</v>
      </c>
      <c r="AM3659">
        <v>91.611149742259499</v>
      </c>
      <c r="AN3659">
        <v>1.0000000108286999</v>
      </c>
    </row>
    <row r="3660" spans="1:40" x14ac:dyDescent="0.25">
      <c r="A3660" t="str">
        <f>"20190304155705736"</f>
        <v>20190304155705736</v>
      </c>
      <c r="B3660" t="str">
        <f>"1551686225728400"</f>
        <v>1551686225728400</v>
      </c>
      <c r="C3660" t="s">
        <v>40</v>
      </c>
      <c r="D3660">
        <v>4.6690509999999996</v>
      </c>
      <c r="E3660">
        <v>0.46216780000000002</v>
      </c>
      <c r="F3660" t="s">
        <v>64</v>
      </c>
      <c r="G3660">
        <v>-287.15609999999998</v>
      </c>
      <c r="H3660" s="1">
        <v>3.6053969999999999E-6</v>
      </c>
      <c r="I3660">
        <v>217.23419999999999</v>
      </c>
      <c r="J3660">
        <v>-313.87819999999999</v>
      </c>
      <c r="K3660">
        <v>1.1097840000000001</v>
      </c>
      <c r="L3660">
        <v>214.3689</v>
      </c>
      <c r="M3660">
        <v>0.99983820000000001</v>
      </c>
      <c r="N3660">
        <v>-1.5239239999999999E-2</v>
      </c>
      <c r="O3660">
        <v>-9.5763979999999999E-3</v>
      </c>
      <c r="P3660">
        <v>0.98468299999999997</v>
      </c>
      <c r="Q3660">
        <v>0.17339479999999999</v>
      </c>
      <c r="R3660">
        <v>1.827167E-2</v>
      </c>
      <c r="S3660">
        <v>3.0627439999999999</v>
      </c>
      <c r="T3660">
        <v>-0.12530479999999999</v>
      </c>
      <c r="U3660">
        <v>0.32307429999999998</v>
      </c>
      <c r="V3660">
        <v>-2.7571490000000001E-2</v>
      </c>
      <c r="W3660">
        <v>0.18839610000000001</v>
      </c>
      <c r="X3660">
        <v>0.98170599999999997</v>
      </c>
      <c r="Y3660">
        <v>-0.1142898</v>
      </c>
      <c r="Z3660">
        <v>3.4494199999999999E-3</v>
      </c>
      <c r="AA3660">
        <v>0.99344149999999998</v>
      </c>
      <c r="AB3660">
        <v>42</v>
      </c>
      <c r="AC3660">
        <v>26.722100000000001</v>
      </c>
      <c r="AD3660">
        <v>-1.109780394603</v>
      </c>
      <c r="AE3660">
        <v>2.8652999999999902</v>
      </c>
      <c r="AF3660">
        <v>-3.1157867675542099</v>
      </c>
      <c r="AG3660">
        <v>-1.109780394603</v>
      </c>
      <c r="AH3660">
        <v>26.647992538089099</v>
      </c>
      <c r="AI3660">
        <v>92.368640342945199</v>
      </c>
      <c r="AJ3660">
        <v>96.668964139072102</v>
      </c>
      <c r="AK3660">
        <v>26.852471879049901</v>
      </c>
      <c r="AL3660">
        <v>79.140802506919698</v>
      </c>
      <c r="AM3660">
        <v>91.608745238988703</v>
      </c>
      <c r="AN3660">
        <v>0.99999997399601404</v>
      </c>
    </row>
    <row r="3661" spans="1:40" x14ac:dyDescent="0.25">
      <c r="A3661" t="str">
        <f>"20190304155705750"</f>
        <v>20190304155705750</v>
      </c>
      <c r="B3661" t="str">
        <f>"1551686225738160"</f>
        <v>1551686225738160</v>
      </c>
      <c r="C3661" t="s">
        <v>40</v>
      </c>
      <c r="D3661">
        <v>4.6804180000000004</v>
      </c>
      <c r="E3661">
        <v>0.46155119999999999</v>
      </c>
      <c r="F3661" t="s">
        <v>64</v>
      </c>
      <c r="G3661">
        <v>-286.28289999999998</v>
      </c>
      <c r="H3661" s="1">
        <v>3.9676010000000002E-6</v>
      </c>
      <c r="I3661">
        <v>217.4442</v>
      </c>
      <c r="J3661">
        <v>-313.60969999999998</v>
      </c>
      <c r="K3661">
        <v>1.1097980000000001</v>
      </c>
      <c r="L3661">
        <v>214.3663</v>
      </c>
      <c r="M3661">
        <v>0.99983690000000003</v>
      </c>
      <c r="N3661">
        <v>-1.523804E-2</v>
      </c>
      <c r="O3661">
        <v>-9.7053699999999996E-3</v>
      </c>
      <c r="P3661">
        <v>0.98471690000000001</v>
      </c>
      <c r="Q3661">
        <v>0.17321589999999901</v>
      </c>
      <c r="R3661">
        <v>1.8149189999999999E-2</v>
      </c>
      <c r="S3661">
        <v>3.0619809999999998</v>
      </c>
      <c r="T3661">
        <v>-0.1231414</v>
      </c>
      <c r="U3661">
        <v>0.34123229999999999</v>
      </c>
      <c r="V3661">
        <v>-2.7581830000000002E-2</v>
      </c>
      <c r="W3661">
        <v>0.1882163</v>
      </c>
      <c r="X3661">
        <v>0.98174019999999995</v>
      </c>
      <c r="Y3661">
        <v>-0.1202618</v>
      </c>
      <c r="Z3661">
        <v>3.571088E-3</v>
      </c>
      <c r="AA3661">
        <v>0.99273579999999995</v>
      </c>
      <c r="AB3661">
        <v>42</v>
      </c>
      <c r="AC3661">
        <v>27.326799999999899</v>
      </c>
      <c r="AD3661">
        <v>-1.1097940323989901</v>
      </c>
      <c r="AE3661">
        <v>3.0779000000000001</v>
      </c>
      <c r="AF3661">
        <v>-3.3375666903625398</v>
      </c>
      <c r="AG3661">
        <v>-1.1097940323989901</v>
      </c>
      <c r="AH3661">
        <v>27.2512538136416</v>
      </c>
      <c r="AI3661">
        <v>92.314777033462306</v>
      </c>
      <c r="AJ3661">
        <v>96.982462810297505</v>
      </c>
      <c r="AK3661">
        <v>27.477296603241101</v>
      </c>
      <c r="AL3661">
        <v>79.151291969220907</v>
      </c>
      <c r="AM3661">
        <v>91.609292207631</v>
      </c>
      <c r="AN3661">
        <v>0.99999997661393902</v>
      </c>
    </row>
    <row r="3662" spans="1:40" x14ac:dyDescent="0.25">
      <c r="A3662" t="str">
        <f>"20190304155705764"</f>
        <v>20190304155705764</v>
      </c>
      <c r="B3662" t="str">
        <f>"1551686225758657"</f>
        <v>1551686225758657</v>
      </c>
      <c r="C3662" t="s">
        <v>40</v>
      </c>
      <c r="D3662">
        <v>4.6592969999999996</v>
      </c>
      <c r="E3662">
        <v>0.46075840000000001</v>
      </c>
      <c r="F3662" t="s">
        <v>64</v>
      </c>
      <c r="G3662">
        <v>-286.17750000000001</v>
      </c>
      <c r="H3662" s="1">
        <v>4.011827E-6</v>
      </c>
      <c r="I3662">
        <v>217.46530000000001</v>
      </c>
      <c r="J3662">
        <v>-313.35079999999999</v>
      </c>
      <c r="K3662">
        <v>1.10981</v>
      </c>
      <c r="L3662">
        <v>214.36359999999999</v>
      </c>
      <c r="M3662">
        <v>0.99983580000000005</v>
      </c>
      <c r="N3662">
        <v>-1.5236660000000001E-2</v>
      </c>
      <c r="O3662">
        <v>-9.8158540000000006E-3</v>
      </c>
      <c r="P3662">
        <v>0.98469220000000002</v>
      </c>
      <c r="Q3662">
        <v>0.1734089</v>
      </c>
      <c r="R3662">
        <v>1.7628339999999999E-2</v>
      </c>
      <c r="S3662">
        <v>3.0620120000000002</v>
      </c>
      <c r="T3662">
        <v>-0.12387620000000001</v>
      </c>
      <c r="U3662">
        <v>0.34591670000000002</v>
      </c>
      <c r="V3662">
        <v>-2.717495E-2</v>
      </c>
      <c r="W3662">
        <v>0.18840599999999999</v>
      </c>
      <c r="X3662">
        <v>0.98171520000000001</v>
      </c>
      <c r="Y3662">
        <v>-0.1218669</v>
      </c>
      <c r="Z3662">
        <v>3.6349389999999998E-3</v>
      </c>
      <c r="AA3662">
        <v>0.99253979999999997</v>
      </c>
      <c r="AB3662">
        <v>42</v>
      </c>
      <c r="AC3662">
        <v>27.173299999999902</v>
      </c>
      <c r="AD3662">
        <v>-1.109805988173</v>
      </c>
      <c r="AE3662">
        <v>3.1017000000000201</v>
      </c>
      <c r="AF3662">
        <v>-3.3627734959813398</v>
      </c>
      <c r="AG3662">
        <v>-1.109805988173</v>
      </c>
      <c r="AH3662">
        <v>27.096923485747599</v>
      </c>
      <c r="AI3662">
        <v>92.327511769378305</v>
      </c>
      <c r="AJ3662">
        <v>97.074332177123495</v>
      </c>
      <c r="AK3662">
        <v>27.3273338858572</v>
      </c>
      <c r="AL3662">
        <v>79.140225400936203</v>
      </c>
      <c r="AM3662">
        <v>91.585604912295096</v>
      </c>
      <c r="AN3662">
        <v>1.00000001632727</v>
      </c>
    </row>
    <row r="3663" spans="1:40" x14ac:dyDescent="0.25">
      <c r="A3663" t="str">
        <f>"20190304155705782"</f>
        <v>20190304155705782</v>
      </c>
      <c r="B3663" t="str">
        <f>"1551686225778176"</f>
        <v>1551686225778176</v>
      </c>
      <c r="C3663" t="s">
        <v>40</v>
      </c>
      <c r="D3663">
        <v>4.6588440000000002</v>
      </c>
      <c r="E3663">
        <v>0.46005430000000003</v>
      </c>
      <c r="F3663" t="s">
        <v>64</v>
      </c>
      <c r="G3663">
        <v>-286.09440000000001</v>
      </c>
      <c r="H3663" s="1">
        <v>4.0462959999999996E-6</v>
      </c>
      <c r="I3663">
        <v>217.4853</v>
      </c>
      <c r="J3663">
        <v>-313.03699999999998</v>
      </c>
      <c r="K3663">
        <v>1.1098209999999999</v>
      </c>
      <c r="L3663">
        <v>214.3605</v>
      </c>
      <c r="M3663">
        <v>0.99983449999999996</v>
      </c>
      <c r="N3663">
        <v>-1.523481E-2</v>
      </c>
      <c r="O3663">
        <v>-9.9360219999999992E-3</v>
      </c>
      <c r="P3663">
        <v>0.98466719999999996</v>
      </c>
      <c r="Q3663">
        <v>0.17360329999999999</v>
      </c>
      <c r="R3663">
        <v>1.7098499999999999E-2</v>
      </c>
      <c r="S3663">
        <v>3.0623469999999999</v>
      </c>
      <c r="T3663">
        <v>-0.12469040000000001</v>
      </c>
      <c r="U3663">
        <v>0.35072330000000002</v>
      </c>
      <c r="V3663">
        <v>-2.6771360000000001E-2</v>
      </c>
      <c r="W3663">
        <v>0.18859699999999999</v>
      </c>
      <c r="X3663">
        <v>0.98168960000000005</v>
      </c>
      <c r="Y3663">
        <v>-0.1235083</v>
      </c>
      <c r="Z3663">
        <v>3.7020109999999998E-3</v>
      </c>
      <c r="AA3663">
        <v>0.99233660000000001</v>
      </c>
      <c r="AB3663">
        <v>42</v>
      </c>
      <c r="AC3663">
        <v>26.942599999999999</v>
      </c>
      <c r="AD3663">
        <v>-1.1098169537039999</v>
      </c>
      <c r="AE3663">
        <v>3.1247999999999898</v>
      </c>
      <c r="AF3663">
        <v>-3.3867088677804902</v>
      </c>
      <c r="AG3663">
        <v>-1.1098169537039999</v>
      </c>
      <c r="AH3663">
        <v>26.8652388453627</v>
      </c>
      <c r="AI3663">
        <v>92.347018625184603</v>
      </c>
      <c r="AJ3663">
        <v>97.184969044778001</v>
      </c>
      <c r="AK3663">
        <v>27.100600525527401</v>
      </c>
      <c r="AL3663">
        <v>79.129081988056996</v>
      </c>
      <c r="AM3663">
        <v>91.562108698835701</v>
      </c>
      <c r="AN3663">
        <v>1.0000000024367</v>
      </c>
    </row>
    <row r="3664" spans="1:40" x14ac:dyDescent="0.25">
      <c r="A3664" t="str">
        <f>"20190304155705805"</f>
        <v>20190304155705805</v>
      </c>
      <c r="B3664" t="str">
        <f>"1551686225798672"</f>
        <v>1551686225798672</v>
      </c>
      <c r="C3664" t="s">
        <v>40</v>
      </c>
      <c r="D3664">
        <v>4.6666319999999999</v>
      </c>
      <c r="E3664">
        <v>0.4596267</v>
      </c>
      <c r="F3664" t="s">
        <v>64</v>
      </c>
      <c r="G3664">
        <v>-285.80040000000002</v>
      </c>
      <c r="H3664" s="1">
        <v>4.1732229999999997E-6</v>
      </c>
      <c r="I3664">
        <v>217.51429999999999</v>
      </c>
      <c r="J3664">
        <v>-312.61270000000002</v>
      </c>
      <c r="K3664">
        <v>1.1098429999999999</v>
      </c>
      <c r="L3664">
        <v>214.3561</v>
      </c>
      <c r="M3664">
        <v>0.99983330000000004</v>
      </c>
      <c r="N3664">
        <v>-1.5232030000000001E-2</v>
      </c>
      <c r="O3664">
        <v>-1.0068010000000001E-2</v>
      </c>
      <c r="P3664">
        <v>0.98465539999999996</v>
      </c>
      <c r="Q3664">
        <v>0.1737416</v>
      </c>
      <c r="R3664">
        <v>1.635911E-2</v>
      </c>
      <c r="S3664">
        <v>3.0625610000000001</v>
      </c>
      <c r="T3664">
        <v>-0.1247905</v>
      </c>
      <c r="U3664">
        <v>0.35462949999999999</v>
      </c>
      <c r="V3664">
        <v>-2.6174780000000002E-2</v>
      </c>
      <c r="W3664">
        <v>0.1887305</v>
      </c>
      <c r="X3664">
        <v>0.98168</v>
      </c>
      <c r="Y3664">
        <v>-0.1248788</v>
      </c>
      <c r="Z3664">
        <v>3.7455190000000001E-3</v>
      </c>
      <c r="AA3664">
        <v>0.99216490000000002</v>
      </c>
      <c r="AB3664">
        <v>41</v>
      </c>
      <c r="AC3664">
        <v>26.8123</v>
      </c>
      <c r="AD3664">
        <v>-1.1098388267770001</v>
      </c>
      <c r="AE3664">
        <v>3.1581999999999901</v>
      </c>
      <c r="AF3664">
        <v>-3.4222343970050302</v>
      </c>
      <c r="AG3664">
        <v>-1.1098388267770001</v>
      </c>
      <c r="AH3664">
        <v>26.733961854466401</v>
      </c>
      <c r="AI3664">
        <v>92.358003447764403</v>
      </c>
      <c r="AJ3664">
        <v>97.294802075719204</v>
      </c>
      <c r="AK3664">
        <v>26.974954067162599</v>
      </c>
      <c r="AL3664">
        <v>79.1212927872633</v>
      </c>
      <c r="AM3664">
        <v>91.527329863883097</v>
      </c>
      <c r="AN3664">
        <v>0.99999997156914799</v>
      </c>
    </row>
    <row r="3665" spans="1:40" x14ac:dyDescent="0.25">
      <c r="A3665" t="str">
        <f>"20190304155705826"</f>
        <v>20190304155705826</v>
      </c>
      <c r="B3665" t="str">
        <f>"1551686225818192"</f>
        <v>1551686225818192</v>
      </c>
      <c r="C3665" t="s">
        <v>40</v>
      </c>
      <c r="D3665">
        <v>4.6988839999999996</v>
      </c>
      <c r="E3665">
        <v>0.459256</v>
      </c>
      <c r="F3665" t="s">
        <v>64</v>
      </c>
      <c r="G3665">
        <v>-285.21159999999998</v>
      </c>
      <c r="H3665" s="1">
        <v>4.4310240000000003E-6</v>
      </c>
      <c r="I3665">
        <v>217.54179999999999</v>
      </c>
      <c r="J3665">
        <v>-312.20359999999999</v>
      </c>
      <c r="K3665">
        <v>1.1098760000000001</v>
      </c>
      <c r="L3665">
        <v>214.3519</v>
      </c>
      <c r="M3665">
        <v>0.99983259999999996</v>
      </c>
      <c r="N3665">
        <v>-1.5229080000000001E-2</v>
      </c>
      <c r="O3665">
        <v>-1.0160600000000001E-2</v>
      </c>
      <c r="P3665">
        <v>0.98466299999999995</v>
      </c>
      <c r="Q3665">
        <v>0.1737197</v>
      </c>
      <c r="R3665">
        <v>1.614142E-2</v>
      </c>
      <c r="S3665">
        <v>3.0627140000000002</v>
      </c>
      <c r="T3665">
        <v>-0.1240506</v>
      </c>
      <c r="U3665">
        <v>0.35607909999999998</v>
      </c>
      <c r="V3665">
        <v>-2.606257E-2</v>
      </c>
      <c r="W3665">
        <v>0.1887038</v>
      </c>
      <c r="X3665">
        <v>0.98168809999999995</v>
      </c>
      <c r="Y3665">
        <v>-0.12542919999999999</v>
      </c>
      <c r="Z3665">
        <v>3.74537E-3</v>
      </c>
      <c r="AA3665">
        <v>0.99209550000000002</v>
      </c>
      <c r="AB3665">
        <v>41</v>
      </c>
      <c r="AC3665">
        <v>26.992000000000001</v>
      </c>
      <c r="AD3665">
        <v>-1.1098715689759999</v>
      </c>
      <c r="AE3665">
        <v>3.18989999999999</v>
      </c>
      <c r="AF3665">
        <v>-3.4582555147587399</v>
      </c>
      <c r="AG3665">
        <v>-1.1098715689759999</v>
      </c>
      <c r="AH3665">
        <v>26.913314795627699</v>
      </c>
      <c r="AI3665">
        <v>92.342232789946493</v>
      </c>
      <c r="AJ3665">
        <v>97.322159802697499</v>
      </c>
      <c r="AK3665">
        <v>27.157280044097401</v>
      </c>
      <c r="AL3665">
        <v>79.122850378873807</v>
      </c>
      <c r="AM3665">
        <v>91.520772814738393</v>
      </c>
      <c r="AN3665">
        <v>0.99999995368552597</v>
      </c>
    </row>
    <row r="3666" spans="1:40" x14ac:dyDescent="0.25">
      <c r="A3666" t="str">
        <f>"20190304155705847"</f>
        <v>20190304155705847</v>
      </c>
      <c r="B3666" t="str">
        <f>"1551686225838688"</f>
        <v>1551686225838688</v>
      </c>
      <c r="C3666" t="s">
        <v>40</v>
      </c>
      <c r="D3666">
        <v>4.6765030000000003</v>
      </c>
      <c r="E3666">
        <v>0.45887840000000002</v>
      </c>
      <c r="F3666" t="s">
        <v>64</v>
      </c>
      <c r="G3666">
        <v>-284.6157</v>
      </c>
      <c r="H3666" s="1">
        <v>4.6906410000000001E-6</v>
      </c>
      <c r="I3666">
        <v>217.58090000000001</v>
      </c>
      <c r="J3666">
        <v>-311.82569999999998</v>
      </c>
      <c r="K3666">
        <v>1.1099030000000001</v>
      </c>
      <c r="L3666">
        <v>214.34800000000001</v>
      </c>
      <c r="M3666">
        <v>0.99983200000000005</v>
      </c>
      <c r="N3666">
        <v>-1.5226150000000001E-2</v>
      </c>
      <c r="O3666">
        <v>-1.021962E-2</v>
      </c>
      <c r="P3666">
        <v>0.98463540000000005</v>
      </c>
      <c r="Q3666">
        <v>0.17388239999999999</v>
      </c>
      <c r="R3666">
        <v>1.6064490000000001E-2</v>
      </c>
      <c r="S3666">
        <v>3.062592</v>
      </c>
      <c r="T3666">
        <v>-0.1232092</v>
      </c>
      <c r="U3666">
        <v>0.35845949999999999</v>
      </c>
      <c r="V3666">
        <v>-2.6056619999999999E-2</v>
      </c>
      <c r="W3666">
        <v>0.1888611</v>
      </c>
      <c r="X3666">
        <v>0.98165800000000003</v>
      </c>
      <c r="Y3666">
        <v>-0.1262538</v>
      </c>
      <c r="Z3666">
        <v>3.7496109999999999E-3</v>
      </c>
      <c r="AA3666">
        <v>0.99199090000000001</v>
      </c>
      <c r="AB3666">
        <v>41</v>
      </c>
      <c r="AC3666">
        <v>27.209999999999901</v>
      </c>
      <c r="AD3666">
        <v>-1.109898309359</v>
      </c>
      <c r="AE3666">
        <v>3.2329000000000199</v>
      </c>
      <c r="AF3666">
        <v>-3.5050884945875498</v>
      </c>
      <c r="AG3666">
        <v>-1.109898309359</v>
      </c>
      <c r="AH3666">
        <v>27.131022807930499</v>
      </c>
      <c r="AI3666">
        <v>92.323310107687107</v>
      </c>
      <c r="AJ3666">
        <v>97.361334876056105</v>
      </c>
      <c r="AK3666">
        <v>27.379005062573999</v>
      </c>
      <c r="AL3666">
        <v>79.113672640945893</v>
      </c>
      <c r="AM3666">
        <v>91.520472388268402</v>
      </c>
      <c r="AN3666">
        <v>0.99999994575151496</v>
      </c>
    </row>
    <row r="3667" spans="1:40" x14ac:dyDescent="0.25">
      <c r="A3667" t="str">
        <f>"20190304155705870"</f>
        <v>20190304155705870</v>
      </c>
      <c r="B3667" t="str">
        <f>"1551686225867969"</f>
        <v>1551686225867969</v>
      </c>
      <c r="C3667" t="s">
        <v>40</v>
      </c>
      <c r="D3667">
        <v>4.6739959999999998</v>
      </c>
      <c r="E3667">
        <v>0.4583063</v>
      </c>
      <c r="F3667" t="s">
        <v>64</v>
      </c>
      <c r="G3667">
        <v>-283.99340000000001</v>
      </c>
      <c r="H3667" s="1">
        <v>4.9610030000000003E-6</v>
      </c>
      <c r="I3667">
        <v>217.6277</v>
      </c>
      <c r="J3667">
        <v>-311.39159999999998</v>
      </c>
      <c r="K3667">
        <v>1.1099429999999999</v>
      </c>
      <c r="L3667">
        <v>214.34350000000001</v>
      </c>
      <c r="M3667">
        <v>0.99983149999999998</v>
      </c>
      <c r="N3667">
        <v>-1.522257E-2</v>
      </c>
      <c r="O3667">
        <v>-1.0265160000000001E-2</v>
      </c>
      <c r="P3667">
        <v>0.9846066</v>
      </c>
      <c r="Q3667">
        <v>0.1740708</v>
      </c>
      <c r="R3667">
        <v>1.5783189999999999E-2</v>
      </c>
      <c r="S3667">
        <v>3.0625309999999999</v>
      </c>
      <c r="T3667">
        <v>-0.12212770000000001</v>
      </c>
      <c r="U3667">
        <v>0.36088559999999997</v>
      </c>
      <c r="V3667">
        <v>-2.583382E-2</v>
      </c>
      <c r="W3667">
        <v>0.18904370000000001</v>
      </c>
      <c r="X3667">
        <v>0.98162879999999997</v>
      </c>
      <c r="Y3667">
        <v>-0.12707769999999999</v>
      </c>
      <c r="Z3667">
        <v>3.7473820000000001E-3</v>
      </c>
      <c r="AA3667">
        <v>0.99188569999999998</v>
      </c>
      <c r="AB3667">
        <v>41</v>
      </c>
      <c r="AC3667">
        <v>27.3981999999999</v>
      </c>
      <c r="AD3667">
        <v>-1.1099380389969999</v>
      </c>
      <c r="AE3667">
        <v>3.28419999999999</v>
      </c>
      <c r="AF3667">
        <v>-3.5595473317971398</v>
      </c>
      <c r="AG3667">
        <v>-1.1099380389969999</v>
      </c>
      <c r="AH3667">
        <v>27.318839608522001</v>
      </c>
      <c r="AI3667">
        <v>92.307112159925495</v>
      </c>
      <c r="AJ3667">
        <v>97.423613542308203</v>
      </c>
      <c r="AK3667">
        <v>27.5721115842416</v>
      </c>
      <c r="AL3667">
        <v>79.1030191512736</v>
      </c>
      <c r="AM3667">
        <v>91.507522267927399</v>
      </c>
      <c r="AN3667">
        <v>1.0000000038774599</v>
      </c>
    </row>
    <row r="3668" spans="1:40" x14ac:dyDescent="0.25">
      <c r="A3668" t="str">
        <f>"20190304155705892"</f>
        <v>20190304155705892</v>
      </c>
      <c r="B3668" t="str">
        <f>"1551686225888464"</f>
        <v>1551686225888464</v>
      </c>
      <c r="C3668" t="s">
        <v>40</v>
      </c>
      <c r="D3668">
        <v>4.7040800000000003</v>
      </c>
      <c r="E3668">
        <v>0.45790310000000001</v>
      </c>
      <c r="F3668" t="s">
        <v>64</v>
      </c>
      <c r="G3668">
        <v>-283.24169999999998</v>
      </c>
      <c r="H3668" s="1">
        <v>5.286358E-6</v>
      </c>
      <c r="I3668">
        <v>217.69479999999999</v>
      </c>
      <c r="J3668">
        <v>-310.99349999999998</v>
      </c>
      <c r="K3668">
        <v>1.1099669999999999</v>
      </c>
      <c r="L3668">
        <v>214.33940000000001</v>
      </c>
      <c r="M3668">
        <v>0.99983120000000003</v>
      </c>
      <c r="N3668">
        <v>-1.5219089999999999E-2</v>
      </c>
      <c r="O3668">
        <v>-1.0288800000000001E-2</v>
      </c>
      <c r="P3668">
        <v>0.98449889999999995</v>
      </c>
      <c r="Q3668">
        <v>0.17460400000000001</v>
      </c>
      <c r="R3668">
        <v>1.6594060000000001E-2</v>
      </c>
      <c r="S3668">
        <v>3.062408</v>
      </c>
      <c r="T3668">
        <v>-0.1207495</v>
      </c>
      <c r="U3668">
        <v>0.36457820000000002</v>
      </c>
      <c r="V3668">
        <v>-2.667686E-2</v>
      </c>
      <c r="W3668">
        <v>0.1895705</v>
      </c>
      <c r="X3668">
        <v>0.98150459999999995</v>
      </c>
      <c r="Y3668">
        <v>-0.1282866</v>
      </c>
      <c r="Z3668">
        <v>3.7476620000000001E-3</v>
      </c>
      <c r="AA3668">
        <v>0.99173</v>
      </c>
      <c r="AB3668">
        <v>41</v>
      </c>
      <c r="AC3668">
        <v>27.751799999999999</v>
      </c>
      <c r="AD3668">
        <v>-1.1099617136419999</v>
      </c>
      <c r="AE3668">
        <v>3.3553999999999702</v>
      </c>
      <c r="AF3668">
        <v>-3.6350570060378802</v>
      </c>
      <c r="AG3668">
        <v>-1.1099617136419999</v>
      </c>
      <c r="AH3668">
        <v>27.672174797713701</v>
      </c>
      <c r="AI3668">
        <v>92.277421625959704</v>
      </c>
      <c r="AJ3668">
        <v>97.483607691584297</v>
      </c>
      <c r="AK3668">
        <v>27.9319693626876</v>
      </c>
      <c r="AL3668">
        <v>79.072279359767194</v>
      </c>
      <c r="AM3668">
        <v>91.556890594649502</v>
      </c>
      <c r="AN3668">
        <v>0.999999954575433</v>
      </c>
    </row>
    <row r="3669" spans="1:40" x14ac:dyDescent="0.25">
      <c r="A3669" t="str">
        <f>"20190304155705914"</f>
        <v>20190304155705914</v>
      </c>
      <c r="B3669" t="str">
        <f>"1551686225907984"</f>
        <v>1551686225907984</v>
      </c>
      <c r="C3669" t="s">
        <v>40</v>
      </c>
      <c r="D3669">
        <v>4.7100090000000003</v>
      </c>
      <c r="E3669">
        <v>0.45759109999999997</v>
      </c>
      <c r="F3669" t="s">
        <v>64</v>
      </c>
      <c r="G3669">
        <v>-282.28149999999999</v>
      </c>
      <c r="H3669" s="1">
        <v>5.6986080000000002E-6</v>
      </c>
      <c r="I3669">
        <v>217.80869999999999</v>
      </c>
      <c r="J3669">
        <v>-310.58760000000001</v>
      </c>
      <c r="K3669">
        <v>1.1099969999999999</v>
      </c>
      <c r="L3669">
        <v>214.33519999999999</v>
      </c>
      <c r="M3669">
        <v>0.99983129999999998</v>
      </c>
      <c r="N3669">
        <v>-1.5215390000000001E-2</v>
      </c>
      <c r="O3669">
        <v>-1.030061E-2</v>
      </c>
      <c r="P3669">
        <v>0.9843847</v>
      </c>
      <c r="Q3669">
        <v>0.17523649999999999</v>
      </c>
      <c r="R3669">
        <v>1.671052E-2</v>
      </c>
      <c r="S3669">
        <v>3.0619809999999998</v>
      </c>
      <c r="T3669">
        <v>-0.1183715</v>
      </c>
      <c r="U3669">
        <v>0.36997989999999997</v>
      </c>
      <c r="V3669">
        <v>-2.6811620000000001E-2</v>
      </c>
      <c r="W3669">
        <v>0.19019639999999999</v>
      </c>
      <c r="X3669">
        <v>0.98137989999999997</v>
      </c>
      <c r="Y3669">
        <v>-0.13004199999999999</v>
      </c>
      <c r="Z3669">
        <v>3.7376129999999999E-3</v>
      </c>
      <c r="AA3669">
        <v>0.99150150000000004</v>
      </c>
      <c r="AB3669">
        <v>41</v>
      </c>
      <c r="AC3669">
        <v>28.306100000000001</v>
      </c>
      <c r="AD3669">
        <v>-1.109991301392</v>
      </c>
      <c r="AE3669">
        <v>3.4735</v>
      </c>
      <c r="AF3669">
        <v>-3.7592245932744701</v>
      </c>
      <c r="AG3669">
        <v>-1.109991301392</v>
      </c>
      <c r="AH3669">
        <v>28.226054572692199</v>
      </c>
      <c r="AI3669">
        <v>92.232308859411802</v>
      </c>
      <c r="AJ3669">
        <v>97.586168157351594</v>
      </c>
      <c r="AK3669">
        <v>28.496912235757101</v>
      </c>
      <c r="AL3669">
        <v>79.035754134448993</v>
      </c>
      <c r="AM3669">
        <v>91.564950162628193</v>
      </c>
      <c r="AN3669">
        <v>1.0000000208319899</v>
      </c>
    </row>
    <row r="3670" spans="1:40" x14ac:dyDescent="0.25">
      <c r="A3670" t="str">
        <f>"20190304155705936"</f>
        <v>20190304155705936</v>
      </c>
      <c r="B3670" t="str">
        <f>"1551686225928480"</f>
        <v>1551686225928480</v>
      </c>
      <c r="C3670" t="s">
        <v>40</v>
      </c>
      <c r="D3670">
        <v>4.65869</v>
      </c>
      <c r="E3670">
        <v>0.45732</v>
      </c>
      <c r="F3670" t="s">
        <v>64</v>
      </c>
      <c r="G3670">
        <v>-281.1617</v>
      </c>
      <c r="H3670" s="1">
        <v>6.1821399999999999E-6</v>
      </c>
      <c r="I3670">
        <v>217.91820000000001</v>
      </c>
      <c r="J3670">
        <v>-310.1771</v>
      </c>
      <c r="K3670">
        <v>1.1100190000000001</v>
      </c>
      <c r="L3670">
        <v>214.33099999999999</v>
      </c>
      <c r="M3670">
        <v>0.99983129999999998</v>
      </c>
      <c r="N3670">
        <v>-1.521142E-2</v>
      </c>
      <c r="O3670">
        <v>-1.03027E-2</v>
      </c>
      <c r="P3670">
        <v>0.98416250000000005</v>
      </c>
      <c r="Q3670">
        <v>0.17644399999999999</v>
      </c>
      <c r="R3670">
        <v>1.7091209999999999E-2</v>
      </c>
      <c r="S3670">
        <v>3.061798</v>
      </c>
      <c r="T3670">
        <v>-0.11549570000000001</v>
      </c>
      <c r="U3670">
        <v>0.37281799999999998</v>
      </c>
      <c r="V3670">
        <v>-2.719825E-2</v>
      </c>
      <c r="W3670">
        <v>0.19139519999999999</v>
      </c>
      <c r="X3670">
        <v>0.98113609999999896</v>
      </c>
      <c r="Y3670">
        <v>-0.13096169999999999</v>
      </c>
      <c r="Z3670">
        <v>3.6913810000000001E-3</v>
      </c>
      <c r="AA3670">
        <v>0.99138059999999995</v>
      </c>
      <c r="AB3670">
        <v>41</v>
      </c>
      <c r="AC3670">
        <v>29.0154</v>
      </c>
      <c r="AD3670">
        <v>-1.1100128178599999</v>
      </c>
      <c r="AE3670">
        <v>3.5872000000000202</v>
      </c>
      <c r="AF3670">
        <v>-3.8803875641335299</v>
      </c>
      <c r="AG3670">
        <v>-1.1100128178599999</v>
      </c>
      <c r="AH3670">
        <v>28.935187825787001</v>
      </c>
      <c r="AI3670">
        <v>92.177431977786895</v>
      </c>
      <c r="AJ3670">
        <v>97.6381464545901</v>
      </c>
      <c r="AK3670">
        <v>29.215315001164502</v>
      </c>
      <c r="AL3670">
        <v>78.965781842612699</v>
      </c>
      <c r="AM3670">
        <v>91.587899927309905</v>
      </c>
      <c r="AN3670">
        <v>0.99999995705465505</v>
      </c>
    </row>
    <row r="3671" spans="1:40" x14ac:dyDescent="0.25">
      <c r="A3671" t="str">
        <f>"20190304155705959"</f>
        <v>20190304155705959</v>
      </c>
      <c r="B3671" t="str">
        <f>"1551686225948001"</f>
        <v>1551686225948001</v>
      </c>
      <c r="C3671" t="s">
        <v>40</v>
      </c>
      <c r="D3671">
        <v>4.6997799999999996</v>
      </c>
      <c r="E3671">
        <v>0.45708149999999997</v>
      </c>
      <c r="F3671" t="s">
        <v>64</v>
      </c>
      <c r="G3671">
        <v>-280.32600000000002</v>
      </c>
      <c r="H3671" s="1">
        <v>6.5433739999999996E-6</v>
      </c>
      <c r="I3671">
        <v>217.99680000000001</v>
      </c>
      <c r="J3671">
        <v>-309.7525</v>
      </c>
      <c r="K3671">
        <v>1.110036</v>
      </c>
      <c r="L3671">
        <v>214.32660000000001</v>
      </c>
      <c r="M3671">
        <v>0.99983140000000004</v>
      </c>
      <c r="N3671">
        <v>-1.5207149999999999E-2</v>
      </c>
      <c r="O3671">
        <v>-1.029177E-2</v>
      </c>
      <c r="P3671">
        <v>0.98411660000000001</v>
      </c>
      <c r="Q3671">
        <v>0.17669379999999901</v>
      </c>
      <c r="R3671">
        <v>1.713632E-2</v>
      </c>
      <c r="S3671">
        <v>3.0621640000000001</v>
      </c>
      <c r="T3671">
        <v>-0.1138666</v>
      </c>
      <c r="U3671">
        <v>0.37603760000000003</v>
      </c>
      <c r="V3671">
        <v>-2.7239030000000001E-2</v>
      </c>
      <c r="W3671">
        <v>0.19163939999999999</v>
      </c>
      <c r="X3671">
        <v>0.9810873</v>
      </c>
      <c r="Y3671">
        <v>-0.1319659</v>
      </c>
      <c r="Z3671">
        <v>3.6765819999999999E-3</v>
      </c>
      <c r="AA3671">
        <v>0.9912474</v>
      </c>
      <c r="AB3671">
        <v>41</v>
      </c>
      <c r="AC3671">
        <v>29.426500000000001</v>
      </c>
      <c r="AD3671">
        <v>-1.1100294566260001</v>
      </c>
      <c r="AE3671">
        <v>3.6701999999999901</v>
      </c>
      <c r="AF3671">
        <v>-3.9673324993150598</v>
      </c>
      <c r="AG3671">
        <v>-1.1100294566260001</v>
      </c>
      <c r="AH3671">
        <v>29.346045424646299</v>
      </c>
      <c r="AI3671">
        <v>92.146700025473606</v>
      </c>
      <c r="AJ3671">
        <v>97.699216729414204</v>
      </c>
      <c r="AK3671">
        <v>29.633802905130199</v>
      </c>
      <c r="AL3671">
        <v>78.951526335023104</v>
      </c>
      <c r="AM3671">
        <v>91.590358602198606</v>
      </c>
      <c r="AN3671">
        <v>0.99999995730449398</v>
      </c>
    </row>
    <row r="3672" spans="1:40" x14ac:dyDescent="0.25">
      <c r="A3672" t="str">
        <f>"20190304155705982"</f>
        <v>20190304155705982</v>
      </c>
      <c r="B3672" t="str">
        <f>"1551686225978256"</f>
        <v>1551686225978256</v>
      </c>
      <c r="C3672" t="s">
        <v>40</v>
      </c>
      <c r="D3672">
        <v>4.6985380000000001</v>
      </c>
      <c r="E3672">
        <v>0.45677509999999999</v>
      </c>
      <c r="F3672" t="s">
        <v>55</v>
      </c>
      <c r="G3672">
        <v>-279.30059999999997</v>
      </c>
      <c r="H3672" s="1">
        <v>3.2607E-6</v>
      </c>
      <c r="I3672">
        <v>218.08959999999999</v>
      </c>
      <c r="J3672">
        <v>-309.35410000000002</v>
      </c>
      <c r="K3672">
        <v>1.1100589999999999</v>
      </c>
      <c r="L3672">
        <v>214.32249999999999</v>
      </c>
      <c r="M3672">
        <v>0.99983169999999999</v>
      </c>
      <c r="N3672">
        <v>-1.5203070000000001E-2</v>
      </c>
      <c r="O3672">
        <v>-1.026649E-2</v>
      </c>
      <c r="P3672">
        <v>0.98416409999999999</v>
      </c>
      <c r="Q3672">
        <v>0.17643029999999901</v>
      </c>
      <c r="R3672">
        <v>1.71293E-2</v>
      </c>
      <c r="S3672">
        <v>3.0618590000000001</v>
      </c>
      <c r="T3672">
        <v>-0.1116109</v>
      </c>
      <c r="U3672">
        <v>0.3783569</v>
      </c>
      <c r="V3672">
        <v>-2.721616E-2</v>
      </c>
      <c r="W3672">
        <v>0.19137129999999999</v>
      </c>
      <c r="X3672">
        <v>0.98114029999999997</v>
      </c>
      <c r="Y3672">
        <v>-0.13269610000000001</v>
      </c>
      <c r="Z3672">
        <v>3.63891E-3</v>
      </c>
      <c r="AA3672">
        <v>0.99115010000000003</v>
      </c>
      <c r="AB3672">
        <v>41</v>
      </c>
      <c r="AC3672">
        <v>30.0535</v>
      </c>
      <c r="AD3672">
        <v>-1.1100557392999999</v>
      </c>
      <c r="AE3672">
        <v>3.7670999999999899</v>
      </c>
      <c r="AF3672">
        <v>-4.0700143516639002</v>
      </c>
      <c r="AG3672">
        <v>-1.1100557392999999</v>
      </c>
      <c r="AH3672">
        <v>29.9729777750957</v>
      </c>
      <c r="AI3672">
        <v>92.101721719102102</v>
      </c>
      <c r="AJ3672">
        <v>97.732866010704896</v>
      </c>
      <c r="AK3672">
        <v>30.268409890073301</v>
      </c>
      <c r="AL3672">
        <v>78.967177380607296</v>
      </c>
      <c r="AM3672">
        <v>91.588938222410903</v>
      </c>
      <c r="AN3672">
        <v>0.99999999105646198</v>
      </c>
    </row>
    <row r="3673" spans="1:40" x14ac:dyDescent="0.25">
      <c r="A3673" t="str">
        <f>"20190304155706005"</f>
        <v>20190304155706005</v>
      </c>
      <c r="B3673" t="str">
        <f>"1551686225998754"</f>
        <v>1551686225998754</v>
      </c>
      <c r="C3673" t="s">
        <v>40</v>
      </c>
      <c r="D3673">
        <v>4.6974830000000001</v>
      </c>
      <c r="E3673">
        <v>0.4566133</v>
      </c>
      <c r="F3673" t="s">
        <v>55</v>
      </c>
      <c r="G3673">
        <v>-279.04500000000002</v>
      </c>
      <c r="H3673" s="1">
        <v>3.1248269999999998E-6</v>
      </c>
      <c r="I3673">
        <v>218.08680000000001</v>
      </c>
      <c r="J3673">
        <v>-308.92779999999999</v>
      </c>
      <c r="K3673">
        <v>1.1100810000000001</v>
      </c>
      <c r="L3673">
        <v>214.31819999999999</v>
      </c>
      <c r="M3673">
        <v>0.99983239999999995</v>
      </c>
      <c r="N3673">
        <v>-1.5198669999999999E-2</v>
      </c>
      <c r="O3673">
        <v>-1.022061E-2</v>
      </c>
      <c r="P3673">
        <v>0.98411630000000005</v>
      </c>
      <c r="Q3673">
        <v>0.17664099999999999</v>
      </c>
      <c r="R3673">
        <v>1.770913E-2</v>
      </c>
      <c r="S3673">
        <v>3.0617070000000002</v>
      </c>
      <c r="T3673">
        <v>-0.1121336</v>
      </c>
      <c r="U3673">
        <v>0.380249</v>
      </c>
      <c r="V3673">
        <v>-2.7761000000000001E-2</v>
      </c>
      <c r="W3673">
        <v>0.1915753</v>
      </c>
      <c r="X3673">
        <v>0.98108519999999999</v>
      </c>
      <c r="Y3673">
        <v>-0.1332583</v>
      </c>
      <c r="Z3673">
        <v>3.665326E-3</v>
      </c>
      <c r="AA3673">
        <v>0.99107460000000003</v>
      </c>
      <c r="AB3673">
        <v>41</v>
      </c>
      <c r="AC3673">
        <v>29.8827999999999</v>
      </c>
      <c r="AD3673">
        <v>-1.1100778751729901</v>
      </c>
      <c r="AE3673">
        <v>3.7686000000000202</v>
      </c>
      <c r="AF3673">
        <v>-4.06833257952895</v>
      </c>
      <c r="AG3673">
        <v>-1.1100778751729901</v>
      </c>
      <c r="AH3673">
        <v>29.802235126518301</v>
      </c>
      <c r="AI3673">
        <v>92.113590423534703</v>
      </c>
      <c r="AJ3673">
        <v>97.773454390295001</v>
      </c>
      <c r="AK3673">
        <v>30.099116621636799</v>
      </c>
      <c r="AL3673">
        <v>78.955268460311302</v>
      </c>
      <c r="AM3673">
        <v>91.620821335071795</v>
      </c>
      <c r="AN3673">
        <v>0.99999996917506395</v>
      </c>
    </row>
    <row r="3674" spans="1:40" x14ac:dyDescent="0.25">
      <c r="A3674" t="str">
        <f>"20190304155706027"</f>
        <v>20190304155706027</v>
      </c>
      <c r="B3674" t="str">
        <f>"1551686226018272"</f>
        <v>1551686226018272</v>
      </c>
      <c r="C3674" t="s">
        <v>40</v>
      </c>
      <c r="D3674">
        <v>4.6758119999999996</v>
      </c>
      <c r="E3674">
        <v>0.45643549999999999</v>
      </c>
      <c r="F3674" t="s">
        <v>55</v>
      </c>
      <c r="G3674">
        <v>-278.27800000000002</v>
      </c>
      <c r="H3674" s="1">
        <v>2.7137649999999998E-6</v>
      </c>
      <c r="I3674">
        <v>218.1534</v>
      </c>
      <c r="J3674">
        <v>-308.52010000000001</v>
      </c>
      <c r="K3674">
        <v>1.1101110000000001</v>
      </c>
      <c r="L3674">
        <v>214.31399999999999</v>
      </c>
      <c r="M3674">
        <v>0.99983299999999997</v>
      </c>
      <c r="N3674">
        <v>-1.519441E-2</v>
      </c>
      <c r="O3674">
        <v>-1.0155519999999999E-2</v>
      </c>
      <c r="P3674">
        <v>0.98411539999999997</v>
      </c>
      <c r="Q3674">
        <v>0.17661479999999999</v>
      </c>
      <c r="R3674">
        <v>1.8006879999999999E-2</v>
      </c>
      <c r="S3674">
        <v>3.0614620000000001</v>
      </c>
      <c r="T3674">
        <v>-0.11088050000000001</v>
      </c>
      <c r="U3674">
        <v>0.38308720000000002</v>
      </c>
      <c r="V3674">
        <v>-2.8006320000000001E-2</v>
      </c>
      <c r="W3674">
        <v>0.19154299999999999</v>
      </c>
      <c r="X3674">
        <v>0.98108459999999997</v>
      </c>
      <c r="Y3674">
        <v>-0.1341099</v>
      </c>
      <c r="Z3674">
        <v>3.6543890000000001E-3</v>
      </c>
      <c r="AA3674">
        <v>0.99095979999999995</v>
      </c>
      <c r="AB3674">
        <v>41</v>
      </c>
      <c r="AC3674">
        <v>30.242099999999901</v>
      </c>
      <c r="AD3674">
        <v>-1.110108286235</v>
      </c>
      <c r="AE3674">
        <v>3.8393999999999799</v>
      </c>
      <c r="AF3674">
        <v>-4.14087062915854</v>
      </c>
      <c r="AG3674">
        <v>-1.110108286235</v>
      </c>
      <c r="AH3674">
        <v>30.1615485047137</v>
      </c>
      <c r="AI3674">
        <v>92.088272543811897</v>
      </c>
      <c r="AJ3674">
        <v>97.817251726450394</v>
      </c>
      <c r="AK3674">
        <v>30.4647034808612</v>
      </c>
      <c r="AL3674">
        <v>78.957154753020205</v>
      </c>
      <c r="AM3674">
        <v>91.635137560063299</v>
      </c>
      <c r="AN3674">
        <v>1.0000000335830499</v>
      </c>
    </row>
    <row r="3675" spans="1:40" x14ac:dyDescent="0.25">
      <c r="A3675" t="str">
        <f>"20190304155706049"</f>
        <v>20190304155706049</v>
      </c>
      <c r="B3675" t="str">
        <f>"1551686226038769"</f>
        <v>1551686226038769</v>
      </c>
      <c r="C3675" t="s">
        <v>40</v>
      </c>
      <c r="D3675">
        <v>4.7252919999999996</v>
      </c>
      <c r="E3675">
        <v>0.456293</v>
      </c>
      <c r="F3675" t="s">
        <v>55</v>
      </c>
      <c r="G3675">
        <v>-278.02940000000001</v>
      </c>
      <c r="H3675" s="1">
        <v>2.5814899999999999E-6</v>
      </c>
      <c r="I3675">
        <v>218.15260000000001</v>
      </c>
      <c r="J3675">
        <v>-308.12759999999997</v>
      </c>
      <c r="K3675">
        <v>1.110134</v>
      </c>
      <c r="L3675">
        <v>214.31010000000001</v>
      </c>
      <c r="M3675">
        <v>0.99983390000000005</v>
      </c>
      <c r="N3675">
        <v>-1.519028E-2</v>
      </c>
      <c r="O3675">
        <v>-1.0070630000000001E-2</v>
      </c>
      <c r="P3675">
        <v>0.98417410000000005</v>
      </c>
      <c r="Q3675">
        <v>0.1762222</v>
      </c>
      <c r="R3675">
        <v>1.8635570000000001E-2</v>
      </c>
      <c r="S3675">
        <v>3.0613709999999998</v>
      </c>
      <c r="T3675">
        <v>-0.11145869999999999</v>
      </c>
      <c r="U3675">
        <v>0.38540649999999999</v>
      </c>
      <c r="V3675">
        <v>-2.8563399999999999E-2</v>
      </c>
      <c r="W3675">
        <v>0.1911457</v>
      </c>
      <c r="X3675">
        <v>0.98114599999999996</v>
      </c>
      <c r="Y3675">
        <v>-0.13476669999999999</v>
      </c>
      <c r="Z3675">
        <v>3.6837979999999998E-3</v>
      </c>
      <c r="AA3675">
        <v>0.99087049999999999</v>
      </c>
      <c r="AB3675">
        <v>41</v>
      </c>
      <c r="AC3675">
        <v>30.098199999999899</v>
      </c>
      <c r="AD3675">
        <v>-1.11013141851</v>
      </c>
      <c r="AE3675">
        <v>3.8424999999999998</v>
      </c>
      <c r="AF3675">
        <v>-4.1399062921984298</v>
      </c>
      <c r="AG3675">
        <v>-1.11013141851</v>
      </c>
      <c r="AH3675">
        <v>30.017791091622001</v>
      </c>
      <c r="AI3675">
        <v>92.098131159175907</v>
      </c>
      <c r="AJ3675">
        <v>97.852416677276807</v>
      </c>
      <c r="AK3675">
        <v>30.322252520134601</v>
      </c>
      <c r="AL3675">
        <v>78.980346622927598</v>
      </c>
      <c r="AM3675">
        <v>91.667539959414498</v>
      </c>
      <c r="AN3675">
        <v>1.0000000098820201</v>
      </c>
    </row>
    <row r="3676" spans="1:40" x14ac:dyDescent="0.25">
      <c r="A3676" t="str">
        <f>"20190304155706071"</f>
        <v>20190304155706071</v>
      </c>
      <c r="B3676" t="str">
        <f>"1551686226068049"</f>
        <v>1551686226068049</v>
      </c>
      <c r="C3676" t="s">
        <v>40</v>
      </c>
      <c r="D3676">
        <v>4.7109519999999998</v>
      </c>
      <c r="E3676">
        <v>0.4561172</v>
      </c>
      <c r="F3676" t="s">
        <v>55</v>
      </c>
      <c r="G3676">
        <v>-277.77510000000001</v>
      </c>
      <c r="H3676" s="1">
        <v>2.4456520000000001E-6</v>
      </c>
      <c r="I3676">
        <v>218.1643</v>
      </c>
      <c r="J3676">
        <v>-307.7174</v>
      </c>
      <c r="K3676">
        <v>1.1101529999999999</v>
      </c>
      <c r="L3676">
        <v>214.30609999999999</v>
      </c>
      <c r="M3676">
        <v>0.99983529999999998</v>
      </c>
      <c r="N3676">
        <v>-1.518592E-2</v>
      </c>
      <c r="O3676">
        <v>-9.9541219999999993E-3</v>
      </c>
      <c r="P3676">
        <v>0.98424449999999997</v>
      </c>
      <c r="Q3676">
        <v>0.17576810000000001</v>
      </c>
      <c r="R3676">
        <v>1.919243E-2</v>
      </c>
      <c r="S3676">
        <v>3.0609130000000002</v>
      </c>
      <c r="T3676">
        <v>-0.1119517</v>
      </c>
      <c r="U3676">
        <v>0.38867190000000001</v>
      </c>
      <c r="V3676">
        <v>-2.901844E-2</v>
      </c>
      <c r="W3676">
        <v>0.19068660000000001</v>
      </c>
      <c r="X3676">
        <v>0.98122200000000004</v>
      </c>
      <c r="Y3676">
        <v>-0.1357081</v>
      </c>
      <c r="Z3676">
        <v>3.7181139999999998E-3</v>
      </c>
      <c r="AA3676">
        <v>0.99074189999999995</v>
      </c>
      <c r="AB3676">
        <v>41</v>
      </c>
      <c r="AC3676">
        <v>29.9422999999999</v>
      </c>
      <c r="AD3676">
        <v>-1.1101505543479999</v>
      </c>
      <c r="AE3676">
        <v>3.8582000000000001</v>
      </c>
      <c r="AF3676">
        <v>-4.15048014780466</v>
      </c>
      <c r="AG3676">
        <v>-1.1101505543479999</v>
      </c>
      <c r="AH3676">
        <v>29.862027276641101</v>
      </c>
      <c r="AI3676">
        <v>92.1087944527698</v>
      </c>
      <c r="AJ3676">
        <v>97.912765243374196</v>
      </c>
      <c r="AK3676">
        <v>30.169514294756102</v>
      </c>
      <c r="AL3676">
        <v>79.007144255401897</v>
      </c>
      <c r="AM3676">
        <v>91.693958835424695</v>
      </c>
      <c r="AN3676">
        <v>1.00000003128179</v>
      </c>
    </row>
    <row r="3677" spans="1:40" x14ac:dyDescent="0.25">
      <c r="A3677" t="str">
        <f>"20190304155706093"</f>
        <v>20190304155706093</v>
      </c>
      <c r="B3677" t="str">
        <f>"1551686226088545"</f>
        <v>1551686226088545</v>
      </c>
      <c r="C3677" t="s">
        <v>40</v>
      </c>
      <c r="D3677">
        <v>4.6955920000000004</v>
      </c>
      <c r="E3677">
        <v>0.45603690000000002</v>
      </c>
      <c r="F3677" t="s">
        <v>55</v>
      </c>
      <c r="G3677">
        <v>-277.50560000000002</v>
      </c>
      <c r="H3677" s="1">
        <v>2.3020059999999999E-6</v>
      </c>
      <c r="I3677">
        <v>218.17</v>
      </c>
      <c r="J3677">
        <v>-307.31659999999999</v>
      </c>
      <c r="K3677">
        <v>1.1101780000000001</v>
      </c>
      <c r="L3677">
        <v>214.3022</v>
      </c>
      <c r="M3677">
        <v>0.99983670000000002</v>
      </c>
      <c r="N3677">
        <v>-1.518163E-2</v>
      </c>
      <c r="O3677">
        <v>-9.8126040000000008E-3</v>
      </c>
      <c r="P3677">
        <v>0.9842765</v>
      </c>
      <c r="Q3677">
        <v>0.17557249999999999</v>
      </c>
      <c r="R3677">
        <v>1.9348250000000001E-2</v>
      </c>
      <c r="S3677">
        <v>3.060486</v>
      </c>
      <c r="T3677">
        <v>-0.1124597</v>
      </c>
      <c r="U3677">
        <v>0.3914185</v>
      </c>
      <c r="V3677">
        <v>-2.904814E-2</v>
      </c>
      <c r="W3677">
        <v>0.1904853</v>
      </c>
      <c r="X3677">
        <v>0.98126020000000003</v>
      </c>
      <c r="Y3677">
        <v>-0.13645839999999901</v>
      </c>
      <c r="Z3677">
        <v>3.7474219999999998E-3</v>
      </c>
      <c r="AA3677">
        <v>0.99063869999999998</v>
      </c>
      <c r="AB3677">
        <v>41</v>
      </c>
      <c r="AC3677">
        <v>29.8109999999999</v>
      </c>
      <c r="AD3677">
        <v>-1.1101756979940001</v>
      </c>
      <c r="AE3677">
        <v>3.8677999999999799</v>
      </c>
      <c r="AF3677">
        <v>-4.1545046662356997</v>
      </c>
      <c r="AG3677">
        <v>-1.1101756979940001</v>
      </c>
      <c r="AH3677">
        <v>29.731056867495202</v>
      </c>
      <c r="AI3677">
        <v>92.117907261701703</v>
      </c>
      <c r="AJ3677">
        <v>97.954785324690704</v>
      </c>
      <c r="AK3677">
        <v>30.040441767065001</v>
      </c>
      <c r="AL3677">
        <v>79.018893034437994</v>
      </c>
      <c r="AM3677">
        <v>91.695625594874599</v>
      </c>
      <c r="AN3677">
        <v>1.00000001202879</v>
      </c>
    </row>
    <row r="3678" spans="1:40" x14ac:dyDescent="0.25">
      <c r="A3678" t="str">
        <f>"20190304155706115"</f>
        <v>20190304155706115</v>
      </c>
      <c r="B3678" t="str">
        <f>"1551686226108064"</f>
        <v>1551686226108064</v>
      </c>
      <c r="C3678" t="s">
        <v>40</v>
      </c>
      <c r="D3678">
        <v>4.6883429999999997</v>
      </c>
      <c r="E3678">
        <v>0.4560825</v>
      </c>
      <c r="F3678" t="s">
        <v>55</v>
      </c>
      <c r="G3678">
        <v>-277.21690000000001</v>
      </c>
      <c r="H3678" s="1">
        <v>2.1485759999999998E-6</v>
      </c>
      <c r="I3678">
        <v>218.1644</v>
      </c>
      <c r="J3678">
        <v>-306.91140000000001</v>
      </c>
      <c r="K3678">
        <v>1.1102099999999999</v>
      </c>
      <c r="L3678">
        <v>214.29839999999999</v>
      </c>
      <c r="M3678">
        <v>0.99983840000000002</v>
      </c>
      <c r="N3678">
        <v>-1.5177299999999999E-2</v>
      </c>
      <c r="O3678">
        <v>-9.6466759999999999E-3</v>
      </c>
      <c r="P3678">
        <v>0.98417460000000001</v>
      </c>
      <c r="Q3678">
        <v>0.176123</v>
      </c>
      <c r="R3678">
        <v>1.9521589999999998E-2</v>
      </c>
      <c r="S3678">
        <v>3.0603639999999999</v>
      </c>
      <c r="T3678">
        <v>-0.1128762</v>
      </c>
      <c r="U3678">
        <v>0.3926849</v>
      </c>
      <c r="V3678">
        <v>-2.906794E-2</v>
      </c>
      <c r="W3678">
        <v>0.1910287</v>
      </c>
      <c r="X3678">
        <v>0.98115399999999997</v>
      </c>
      <c r="Y3678">
        <v>-0.1367013</v>
      </c>
      <c r="Z3678">
        <v>3.760532E-3</v>
      </c>
      <c r="AA3678">
        <v>0.99060519999999996</v>
      </c>
      <c r="AB3678">
        <v>41</v>
      </c>
      <c r="AC3678">
        <v>29.694500000000001</v>
      </c>
      <c r="AD3678">
        <v>-1.1102078514239999</v>
      </c>
      <c r="AE3678">
        <v>3.8660000000000099</v>
      </c>
      <c r="AF3678">
        <v>-4.14660658687749</v>
      </c>
      <c r="AG3678">
        <v>-1.1102078514239999</v>
      </c>
      <c r="AH3678">
        <v>29.615112534442101</v>
      </c>
      <c r="AI3678">
        <v>92.126171167834997</v>
      </c>
      <c r="AJ3678">
        <v>97.970541740952896</v>
      </c>
      <c r="AK3678">
        <v>29.924601886864998</v>
      </c>
      <c r="AL3678">
        <v>78.987176416760505</v>
      </c>
      <c r="AM3678">
        <v>91.696964255829698</v>
      </c>
      <c r="AN3678">
        <v>1.00000004053776</v>
      </c>
    </row>
    <row r="3679" spans="1:40" x14ac:dyDescent="0.25">
      <c r="A3679" t="str">
        <f>"20190304155706137"</f>
        <v>20190304155706137</v>
      </c>
      <c r="B3679" t="str">
        <f>"1551686226128560"</f>
        <v>1551686226128560</v>
      </c>
      <c r="C3679" t="s">
        <v>40</v>
      </c>
      <c r="D3679">
        <v>5.7859030000000002</v>
      </c>
      <c r="E3679">
        <v>0.48069010000000001</v>
      </c>
      <c r="F3679" t="s">
        <v>55</v>
      </c>
      <c r="G3679">
        <v>-276.24860000000001</v>
      </c>
      <c r="H3679" s="1">
        <v>1.630297E-6</v>
      </c>
      <c r="I3679">
        <v>218.23339999999999</v>
      </c>
      <c r="J3679">
        <v>-306.51819999999998</v>
      </c>
      <c r="K3679">
        <v>1.110236</v>
      </c>
      <c r="L3679">
        <v>214.29480000000001</v>
      </c>
      <c r="M3679">
        <v>0.99984010000000001</v>
      </c>
      <c r="N3679">
        <v>-1.517306E-2</v>
      </c>
      <c r="O3679">
        <v>-9.4634920000000004E-3</v>
      </c>
      <c r="P3679">
        <v>0.9840565</v>
      </c>
      <c r="Q3679">
        <v>0.17681140000000001</v>
      </c>
      <c r="R3679">
        <v>1.924936E-2</v>
      </c>
      <c r="S3679">
        <v>3.0602719999999999</v>
      </c>
      <c r="T3679">
        <v>-0.110803399999999</v>
      </c>
      <c r="U3679">
        <v>0.39273069999999999</v>
      </c>
      <c r="V3679">
        <v>-2.862522E-2</v>
      </c>
      <c r="W3679">
        <v>0.1917092</v>
      </c>
      <c r="X3679">
        <v>0.98103419999999997</v>
      </c>
      <c r="Y3679">
        <v>-0.13654240000000001</v>
      </c>
      <c r="Z3679">
        <v>3.699875E-3</v>
      </c>
      <c r="AA3679">
        <v>0.99062729999999999</v>
      </c>
      <c r="AB3679">
        <v>41</v>
      </c>
      <c r="AC3679">
        <v>30.269599999999901</v>
      </c>
      <c r="AD3679">
        <v>-1.1102343697029999</v>
      </c>
      <c r="AE3679">
        <v>3.9385999999999801</v>
      </c>
      <c r="AF3679">
        <v>-4.2193309631220304</v>
      </c>
      <c r="AG3679">
        <v>-1.1102343697029999</v>
      </c>
      <c r="AH3679">
        <v>30.1910275229605</v>
      </c>
      <c r="AI3679">
        <v>92.085773843545894</v>
      </c>
      <c r="AJ3679">
        <v>97.955812363643702</v>
      </c>
      <c r="AK3679">
        <v>30.504647465987599</v>
      </c>
      <c r="AL3679">
        <v>78.947451579152997</v>
      </c>
      <c r="AM3679">
        <v>91.6713373236568</v>
      </c>
      <c r="AN3679">
        <v>0.99999996107716305</v>
      </c>
    </row>
    <row r="3680" spans="1:40" x14ac:dyDescent="0.25">
      <c r="A3680" t="str">
        <f>"20190304155706159"</f>
        <v>20190304155706159</v>
      </c>
      <c r="B3680" t="str">
        <f>"1551686226148080"</f>
        <v>1551686226148080</v>
      </c>
      <c r="C3680" t="s">
        <v>40</v>
      </c>
      <c r="D3680">
        <v>4.9435359999999999</v>
      </c>
      <c r="E3680">
        <v>0.5029749</v>
      </c>
      <c r="F3680" t="s">
        <v>73</v>
      </c>
      <c r="G3680">
        <v>-167.89859999999999</v>
      </c>
      <c r="H3680">
        <v>11.82029</v>
      </c>
      <c r="I3680">
        <v>223.72620000000001</v>
      </c>
      <c r="J3680">
        <v>-306.10610000000003</v>
      </c>
      <c r="K3680">
        <v>1.1102639999999999</v>
      </c>
      <c r="L3680">
        <v>214.291</v>
      </c>
      <c r="M3680">
        <v>0.99984229999999996</v>
      </c>
      <c r="N3680">
        <v>-1.5168579999999999E-2</v>
      </c>
      <c r="O3680">
        <v>-9.2470150000000008E-3</v>
      </c>
      <c r="P3680">
        <v>0.98401839999999996</v>
      </c>
      <c r="Q3680">
        <v>0.17707709999999999</v>
      </c>
      <c r="R3680">
        <v>1.875137E-2</v>
      </c>
      <c r="S3680">
        <v>3.0029599999999999</v>
      </c>
      <c r="T3680">
        <v>0.23201630000000001</v>
      </c>
      <c r="U3680">
        <v>0.2043152</v>
      </c>
      <c r="V3680">
        <v>-2.7925829999999999E-2</v>
      </c>
      <c r="W3680">
        <v>0.19196849999999999</v>
      </c>
      <c r="X3680">
        <v>0.98100370000000003</v>
      </c>
      <c r="Y3680">
        <v>-7.6882510000000001E-2</v>
      </c>
      <c r="Z3680">
        <v>-3.2302070000000001E-3</v>
      </c>
      <c r="AA3680">
        <v>0.99703489999999995</v>
      </c>
      <c r="AB3680">
        <v>41</v>
      </c>
      <c r="AC3680">
        <v>138.20750000000001</v>
      </c>
      <c r="AD3680">
        <v>10.710025999999999</v>
      </c>
      <c r="AE3680">
        <v>9.4352</v>
      </c>
      <c r="AF3680">
        <v>-10.6492971676709</v>
      </c>
      <c r="AG3680">
        <v>10.710025999999999</v>
      </c>
      <c r="AH3680">
        <v>137.29369898839499</v>
      </c>
      <c r="AI3680">
        <v>85.552800302346697</v>
      </c>
      <c r="AJ3680">
        <v>94.435312902541597</v>
      </c>
      <c r="AK3680">
        <v>138.12194600787399</v>
      </c>
      <c r="AL3680">
        <v>78.932314145070904</v>
      </c>
      <c r="AM3680">
        <v>91.6305751087272</v>
      </c>
      <c r="AN3680">
        <v>1.0000000081935601</v>
      </c>
    </row>
    <row r="3681" spans="1:40" x14ac:dyDescent="0.25">
      <c r="A3681" t="str">
        <f>"20190304155706182"</f>
        <v>20190304155706182</v>
      </c>
      <c r="B3681" t="str">
        <f>"1551686226178336"</f>
        <v>1551686226178336</v>
      </c>
      <c r="C3681" t="s">
        <v>40</v>
      </c>
      <c r="D3681">
        <v>4.784135</v>
      </c>
      <c r="E3681">
        <v>0.51121280000000002</v>
      </c>
      <c r="F3681" t="s">
        <v>74</v>
      </c>
      <c r="G3681">
        <v>-107.39749999999999</v>
      </c>
      <c r="H3681">
        <v>20.857700000000001</v>
      </c>
      <c r="I3681">
        <v>216.04769999999999</v>
      </c>
      <c r="J3681">
        <v>-305.70940000000002</v>
      </c>
      <c r="K3681">
        <v>1.1102959999999999</v>
      </c>
      <c r="L3681">
        <v>214.2876</v>
      </c>
      <c r="M3681">
        <v>0.99984439999999997</v>
      </c>
      <c r="N3681">
        <v>-1.5164240000000001E-2</v>
      </c>
      <c r="O3681">
        <v>-9.0144500000000002E-3</v>
      </c>
      <c r="P3681">
        <v>0.98390449999999996</v>
      </c>
      <c r="Q3681">
        <v>0.17767659999999999</v>
      </c>
      <c r="R3681">
        <v>1.9051459999999999E-2</v>
      </c>
      <c r="S3681">
        <v>2.9946899999999999</v>
      </c>
      <c r="T3681">
        <v>0.29760969999999998</v>
      </c>
      <c r="U3681">
        <v>2.6474000000000001E-2</v>
      </c>
      <c r="V3681">
        <v>-2.8008109999999999E-2</v>
      </c>
      <c r="W3681">
        <v>0.19256090000000001</v>
      </c>
      <c r="X3681">
        <v>0.98088529999999996</v>
      </c>
      <c r="Y3681">
        <v>-1.7721850000000001E-2</v>
      </c>
      <c r="Z3681">
        <v>-1.773696E-3</v>
      </c>
      <c r="AA3681">
        <v>0.99984139999999999</v>
      </c>
      <c r="AB3681">
        <v>41</v>
      </c>
      <c r="AC3681">
        <v>198.31190000000001</v>
      </c>
      <c r="AD3681">
        <v>19.747404</v>
      </c>
      <c r="AE3681">
        <v>1.76009999999999</v>
      </c>
      <c r="AF3681">
        <v>-3.51307493758762</v>
      </c>
      <c r="AG3681">
        <v>19.747404</v>
      </c>
      <c r="AH3681">
        <v>196.34126867895799</v>
      </c>
      <c r="AI3681">
        <v>84.257592791863601</v>
      </c>
      <c r="AJ3681">
        <v>91.025066671982898</v>
      </c>
      <c r="AK3681">
        <v>197.363105586427</v>
      </c>
      <c r="AL3681">
        <v>78.897727450351695</v>
      </c>
      <c r="AM3681">
        <v>91.635574085972095</v>
      </c>
      <c r="AN3681">
        <v>1.0000000630953301</v>
      </c>
    </row>
    <row r="3682" spans="1:40" x14ac:dyDescent="0.25">
      <c r="A3682" t="str">
        <f>"20190304155706205"</f>
        <v>20190304155706205</v>
      </c>
      <c r="B3682" t="str">
        <f>"1551686226197856"</f>
        <v>1551686226197856</v>
      </c>
      <c r="C3682" t="s">
        <v>40</v>
      </c>
      <c r="D3682">
        <v>4.7734769999999997</v>
      </c>
      <c r="E3682">
        <v>0.5150593</v>
      </c>
      <c r="F3682" t="s">
        <v>74</v>
      </c>
      <c r="G3682">
        <v>-107.39749999999999</v>
      </c>
      <c r="H3682">
        <v>12.550240000000001</v>
      </c>
      <c r="I3682">
        <v>211.5788</v>
      </c>
      <c r="J3682">
        <v>-305.29399999999998</v>
      </c>
      <c r="K3682">
        <v>1.11032</v>
      </c>
      <c r="L3682">
        <v>214.2841</v>
      </c>
      <c r="M3682">
        <v>0.99984689999999998</v>
      </c>
      <c r="N3682">
        <v>-1.515969E-2</v>
      </c>
      <c r="O3682">
        <v>-8.7465689999999992E-3</v>
      </c>
      <c r="P3682">
        <v>0.98381229999999997</v>
      </c>
      <c r="Q3682">
        <v>0.17819760000000001</v>
      </c>
      <c r="R3682">
        <v>1.8954550000000001E-2</v>
      </c>
      <c r="S3682">
        <v>3.0184630000000001</v>
      </c>
      <c r="T3682">
        <v>0.17412569999999999</v>
      </c>
      <c r="U3682">
        <v>-4.1229250000000002E-2</v>
      </c>
      <c r="V3682">
        <v>-2.7659159999999999E-2</v>
      </c>
      <c r="W3682">
        <v>0.1930742</v>
      </c>
      <c r="X3682">
        <v>0.98079430000000001</v>
      </c>
      <c r="Y3682">
        <v>4.927613E-3</v>
      </c>
      <c r="Z3682">
        <v>-5.3194080000000001E-4</v>
      </c>
      <c r="AA3682">
        <v>0.99998770000000003</v>
      </c>
      <c r="AB3682">
        <v>41</v>
      </c>
      <c r="AC3682">
        <v>197.8965</v>
      </c>
      <c r="AD3682">
        <v>11.439920000000001</v>
      </c>
      <c r="AE3682">
        <v>-2.70529999999999</v>
      </c>
      <c r="AF3682">
        <v>0.97083863122504799</v>
      </c>
      <c r="AG3682">
        <v>11.439920000000001</v>
      </c>
      <c r="AH3682">
        <v>197.253550635995</v>
      </c>
      <c r="AI3682">
        <v>86.6808312851159</v>
      </c>
      <c r="AJ3682">
        <v>89.718005040552498</v>
      </c>
      <c r="AK3682">
        <v>197.587392147782</v>
      </c>
      <c r="AL3682">
        <v>78.867755133916404</v>
      </c>
      <c r="AM3682">
        <v>91.6153572912866</v>
      </c>
      <c r="AN3682">
        <v>1.00000006737501</v>
      </c>
    </row>
    <row r="3683" spans="1:40" x14ac:dyDescent="0.25">
      <c r="A3683" t="str">
        <f>"20190304155706228"</f>
        <v>20190304155706228</v>
      </c>
      <c r="B3683" t="str">
        <f>"1551686226218352"</f>
        <v>1551686226218352</v>
      </c>
      <c r="C3683" t="s">
        <v>40</v>
      </c>
      <c r="D3683">
        <v>4.7828049999999998</v>
      </c>
      <c r="E3683">
        <v>0.5172641</v>
      </c>
      <c r="F3683" t="s">
        <v>69</v>
      </c>
      <c r="G3683">
        <v>-121.2559</v>
      </c>
      <c r="H3683">
        <v>9.4835890000000003</v>
      </c>
      <c r="I3683">
        <v>209.85429999999999</v>
      </c>
      <c r="J3683">
        <v>-304.88130000000001</v>
      </c>
      <c r="K3683">
        <v>1.110352</v>
      </c>
      <c r="L3683">
        <v>214.2807</v>
      </c>
      <c r="M3683">
        <v>0.99984949999999995</v>
      </c>
      <c r="N3683">
        <v>-1.5155149999999999E-2</v>
      </c>
      <c r="O3683">
        <v>-8.4582010000000003E-3</v>
      </c>
      <c r="P3683">
        <v>0.9837939</v>
      </c>
      <c r="Q3683">
        <v>0.17827770000000001</v>
      </c>
      <c r="R3683">
        <v>1.9154520000000001E-2</v>
      </c>
      <c r="S3683">
        <v>3.0258180000000001</v>
      </c>
      <c r="T3683">
        <v>0.1376675</v>
      </c>
      <c r="U3683">
        <v>-7.2830199999999998E-2</v>
      </c>
      <c r="V3683">
        <v>-2.758766E-2</v>
      </c>
      <c r="W3683">
        <v>0.1931476</v>
      </c>
      <c r="X3683">
        <v>0.98078180000000004</v>
      </c>
      <c r="Y3683">
        <v>1.560983E-2</v>
      </c>
      <c r="Z3683">
        <v>-2.7612969999999998E-4</v>
      </c>
      <c r="AA3683">
        <v>0.99987809999999999</v>
      </c>
      <c r="AB3683">
        <v>40</v>
      </c>
      <c r="AC3683">
        <v>183.62540000000001</v>
      </c>
      <c r="AD3683">
        <v>8.3732369999999996</v>
      </c>
      <c r="AE3683">
        <v>-4.4264000000000001</v>
      </c>
      <c r="AF3683">
        <v>2.8669650053601798</v>
      </c>
      <c r="AG3683">
        <v>8.3732369999999996</v>
      </c>
      <c r="AH3683">
        <v>183.275406823309</v>
      </c>
      <c r="AI3683">
        <v>87.384487030059901</v>
      </c>
      <c r="AJ3683">
        <v>89.103799025687096</v>
      </c>
      <c r="AK3683">
        <v>183.488978776518</v>
      </c>
      <c r="AL3683">
        <v>78.863468261455495</v>
      </c>
      <c r="AM3683">
        <v>91.611204257576802</v>
      </c>
      <c r="AN3683">
        <v>1.0000000067906301</v>
      </c>
    </row>
    <row r="3684" spans="1:40" x14ac:dyDescent="0.25">
      <c r="A3684" t="str">
        <f>"20190304155706250"</f>
        <v>20190304155706250</v>
      </c>
      <c r="B3684" t="str">
        <f>"1551686226248609"</f>
        <v>1551686226248609</v>
      </c>
      <c r="C3684" t="s">
        <v>40</v>
      </c>
      <c r="D3684">
        <v>4.9352359999999997</v>
      </c>
      <c r="E3684">
        <v>0.51961299999999999</v>
      </c>
      <c r="F3684" t="s">
        <v>69</v>
      </c>
      <c r="G3684">
        <v>-169.34780000000001</v>
      </c>
      <c r="H3684">
        <v>6.1300160000000004</v>
      </c>
      <c r="I3684">
        <v>210.23509999999999</v>
      </c>
      <c r="J3684">
        <v>-304.47669999999999</v>
      </c>
      <c r="K3684">
        <v>1.1103780000000001</v>
      </c>
      <c r="L3684">
        <v>214.2775</v>
      </c>
      <c r="M3684">
        <v>0.99985199999999996</v>
      </c>
      <c r="N3684">
        <v>-1.515067E-2</v>
      </c>
      <c r="O3684">
        <v>-8.1566529999999998E-3</v>
      </c>
      <c r="P3684">
        <v>0.9837844</v>
      </c>
      <c r="Q3684">
        <v>0.17823919999999999</v>
      </c>
      <c r="R3684">
        <v>1.997846E-2</v>
      </c>
      <c r="S3684">
        <v>3.0308839999999999</v>
      </c>
      <c r="T3684">
        <v>0.11225350000000001</v>
      </c>
      <c r="U3684">
        <v>-9.0469359999999999E-2</v>
      </c>
      <c r="V3684">
        <v>-2.8126209999999999E-2</v>
      </c>
      <c r="W3684">
        <v>0.19310269999999999</v>
      </c>
      <c r="X3684">
        <v>0.98077539999999996</v>
      </c>
      <c r="Y3684">
        <v>2.1683259999999999E-2</v>
      </c>
      <c r="Z3684">
        <v>-1.8844289999999999E-4</v>
      </c>
      <c r="AA3684">
        <v>0.99976489999999996</v>
      </c>
      <c r="AB3684">
        <v>40</v>
      </c>
      <c r="AC3684">
        <v>135.12889999999999</v>
      </c>
      <c r="AD3684">
        <v>5.0196379999999996</v>
      </c>
      <c r="AE3684">
        <v>-4.0424000000000104</v>
      </c>
      <c r="AF3684">
        <v>2.9358918554688298</v>
      </c>
      <c r="AG3684">
        <v>5.0196379999999996</v>
      </c>
      <c r="AH3684">
        <v>134.971299332109</v>
      </c>
      <c r="AI3684">
        <v>87.870631280914793</v>
      </c>
      <c r="AJ3684">
        <v>88.753900342524702</v>
      </c>
      <c r="AK3684">
        <v>135.096513167571</v>
      </c>
      <c r="AL3684">
        <v>78.866090811729705</v>
      </c>
      <c r="AM3684">
        <v>91.642650881016294</v>
      </c>
      <c r="AN3684">
        <v>1.0000000608407</v>
      </c>
    </row>
    <row r="3685" spans="1:40" x14ac:dyDescent="0.25">
      <c r="A3685" t="str">
        <f>"20190304155706272"</f>
        <v>20190304155706272</v>
      </c>
      <c r="B3685" t="str">
        <f>"1551686226268129"</f>
        <v>1551686226268129</v>
      </c>
      <c r="C3685" t="s">
        <v>40</v>
      </c>
      <c r="D3685">
        <v>4.760853</v>
      </c>
      <c r="E3685">
        <v>0.52054140000000004</v>
      </c>
      <c r="F3685" t="s">
        <v>69</v>
      </c>
      <c r="G3685">
        <v>-169.3938</v>
      </c>
      <c r="H3685">
        <v>4.9514559999999896</v>
      </c>
      <c r="I3685">
        <v>209.48910000000001</v>
      </c>
      <c r="J3685">
        <v>-304.08960000000002</v>
      </c>
      <c r="K3685">
        <v>1.1104000000000001</v>
      </c>
      <c r="L3685">
        <v>214.27459999999999</v>
      </c>
      <c r="M3685">
        <v>0.99985460000000004</v>
      </c>
      <c r="N3685">
        <v>-1.5146369999999999E-2</v>
      </c>
      <c r="O3685">
        <v>-7.8525650000000006E-3</v>
      </c>
      <c r="P3685">
        <v>0.98379740000000004</v>
      </c>
      <c r="Q3685">
        <v>0.1781325</v>
      </c>
      <c r="R3685">
        <v>2.0290289999999999E-2</v>
      </c>
      <c r="S3685">
        <v>3.0359799999999999</v>
      </c>
      <c r="T3685">
        <v>8.6328740000000001E-2</v>
      </c>
      <c r="U3685">
        <v>-0.1076202</v>
      </c>
      <c r="V3685">
        <v>-2.8146939999999999E-2</v>
      </c>
      <c r="W3685">
        <v>0.19299089999999999</v>
      </c>
      <c r="X3685">
        <v>0.98079680000000002</v>
      </c>
      <c r="Y3685">
        <v>2.757863E-2</v>
      </c>
      <c r="Z3685">
        <v>-1.5909569999999999E-4</v>
      </c>
      <c r="AA3685">
        <v>0.99961960000000005</v>
      </c>
      <c r="AB3685">
        <v>40</v>
      </c>
      <c r="AC3685">
        <v>134.69579999999999</v>
      </c>
      <c r="AD3685">
        <v>3.8410559999999898</v>
      </c>
      <c r="AE3685">
        <v>-4.7854999999999803</v>
      </c>
      <c r="AF3685">
        <v>3.7244987909320399</v>
      </c>
      <c r="AG3685">
        <v>3.8410559999999898</v>
      </c>
      <c r="AH3685">
        <v>134.61989504824101</v>
      </c>
      <c r="AI3685">
        <v>88.366270507848995</v>
      </c>
      <c r="AJ3685">
        <v>88.415214646550695</v>
      </c>
      <c r="AK3685">
        <v>134.726173200452</v>
      </c>
      <c r="AL3685">
        <v>78.872619164197303</v>
      </c>
      <c r="AM3685">
        <v>91.643825060383904</v>
      </c>
      <c r="AN3685">
        <v>1.0000000503022</v>
      </c>
    </row>
    <row r="3686" spans="1:40" x14ac:dyDescent="0.25">
      <c r="A3686" t="str">
        <f>"20190304155706293"</f>
        <v>20190304155706293</v>
      </c>
      <c r="B3686" t="str">
        <f>"1551686226288625"</f>
        <v>1551686226288625</v>
      </c>
      <c r="C3686" t="s">
        <v>40</v>
      </c>
      <c r="D3686">
        <v>4.7743650000000004</v>
      </c>
      <c r="E3686">
        <v>0.52127239999999997</v>
      </c>
      <c r="F3686" t="s">
        <v>69</v>
      </c>
      <c r="G3686">
        <v>-169.3937</v>
      </c>
      <c r="H3686">
        <v>4.4038240000000002</v>
      </c>
      <c r="I3686">
        <v>209.20400000000001</v>
      </c>
      <c r="J3686">
        <v>-303.697</v>
      </c>
      <c r="K3686">
        <v>1.1104130000000001</v>
      </c>
      <c r="L3686">
        <v>214.27189999999999</v>
      </c>
      <c r="M3686">
        <v>0.99985710000000005</v>
      </c>
      <c r="N3686">
        <v>-1.5141979999999999E-2</v>
      </c>
      <c r="O3686">
        <v>-7.5332740000000004E-3</v>
      </c>
      <c r="P3686">
        <v>0.98387619999999998</v>
      </c>
      <c r="Q3686">
        <v>0.177651</v>
      </c>
      <c r="R3686">
        <v>2.068857E-2</v>
      </c>
      <c r="S3686">
        <v>3.0383610000000001</v>
      </c>
      <c r="T3686">
        <v>7.4291109999999994E-2</v>
      </c>
      <c r="U3686">
        <v>-0.11437990000000001</v>
      </c>
      <c r="V3686">
        <v>-2.823902E-2</v>
      </c>
      <c r="W3686">
        <v>0.19250519999999999</v>
      </c>
      <c r="X3686">
        <v>0.98088960000000003</v>
      </c>
      <c r="Y3686">
        <v>3.009123E-2</v>
      </c>
      <c r="Z3686">
        <v>-1.583392E-4</v>
      </c>
      <c r="AA3686">
        <v>0.99954710000000002</v>
      </c>
      <c r="AB3686">
        <v>40</v>
      </c>
      <c r="AC3686">
        <v>134.30330000000001</v>
      </c>
      <c r="AD3686">
        <v>3.2934109999999999</v>
      </c>
      <c r="AE3686">
        <v>-5.0678999999999803</v>
      </c>
      <c r="AF3686">
        <v>4.0534626909632703</v>
      </c>
      <c r="AG3686">
        <v>3.2934109999999999</v>
      </c>
      <c r="AH3686">
        <v>134.257051410196</v>
      </c>
      <c r="AI3686">
        <v>88.595419614394203</v>
      </c>
      <c r="AJ3686">
        <v>88.270662337069993</v>
      </c>
      <c r="AK3686">
        <v>134.358598419163</v>
      </c>
      <c r="AL3686">
        <v>78.900979534717905</v>
      </c>
      <c r="AM3686">
        <v>91.649043769262605</v>
      </c>
      <c r="AN3686">
        <v>1.0000000508328699</v>
      </c>
    </row>
    <row r="3687" spans="1:40" x14ac:dyDescent="0.25">
      <c r="A3687" t="str">
        <f>"20190304155706315"</f>
        <v>20190304155706315</v>
      </c>
      <c r="B3687" t="str">
        <f>"1551686226308148"</f>
        <v>1551686226308148</v>
      </c>
      <c r="C3687" t="s">
        <v>40</v>
      </c>
      <c r="D3687">
        <v>4.7660330000000002</v>
      </c>
      <c r="E3687">
        <v>0.52189110000000005</v>
      </c>
      <c r="F3687" t="s">
        <v>69</v>
      </c>
      <c r="G3687">
        <v>-169.39359999999999</v>
      </c>
      <c r="H3687">
        <v>3.9002289999999999</v>
      </c>
      <c r="I3687">
        <v>209.01419999999999</v>
      </c>
      <c r="J3687">
        <v>-303.28789999999998</v>
      </c>
      <c r="K3687">
        <v>1.11042</v>
      </c>
      <c r="L3687">
        <v>214.26910000000001</v>
      </c>
      <c r="M3687">
        <v>0.99985959999999996</v>
      </c>
      <c r="N3687">
        <v>-1.5137400000000001E-2</v>
      </c>
      <c r="O3687">
        <v>-7.1917409999999998E-3</v>
      </c>
      <c r="P3687">
        <v>0.98395960000000005</v>
      </c>
      <c r="Q3687">
        <v>0.1771414</v>
      </c>
      <c r="R3687">
        <v>2.1080270000000002E-2</v>
      </c>
      <c r="S3687">
        <v>3.0402529999999999</v>
      </c>
      <c r="T3687">
        <v>6.3154340000000003E-2</v>
      </c>
      <c r="U3687">
        <v>-0.1190186</v>
      </c>
      <c r="V3687">
        <v>-2.8300849999999999E-2</v>
      </c>
      <c r="W3687">
        <v>0.19199140000000001</v>
      </c>
      <c r="X3687">
        <v>0.98098839999999998</v>
      </c>
      <c r="Y3687">
        <v>3.1932330000000002E-2</v>
      </c>
      <c r="Z3687">
        <v>-1.6842699999999999E-4</v>
      </c>
      <c r="AA3687">
        <v>0.99948999999999999</v>
      </c>
      <c r="AB3687">
        <v>40</v>
      </c>
      <c r="AC3687">
        <v>133.89429999999999</v>
      </c>
      <c r="AD3687">
        <v>2.789809</v>
      </c>
      <c r="AE3687">
        <v>-5.2549000000000197</v>
      </c>
      <c r="AF3687">
        <v>4.2898611276552803</v>
      </c>
      <c r="AG3687">
        <v>2.789809</v>
      </c>
      <c r="AH3687">
        <v>133.87060425918099</v>
      </c>
      <c r="AI3687">
        <v>88.8067643548832</v>
      </c>
      <c r="AJ3687">
        <v>88.164594396341997</v>
      </c>
      <c r="AK3687">
        <v>133.968371742995</v>
      </c>
      <c r="AL3687">
        <v>78.930976420313698</v>
      </c>
      <c r="AM3687">
        <v>91.652486035145699</v>
      </c>
      <c r="AN3687">
        <v>0.99999993835961898</v>
      </c>
    </row>
    <row r="3688" spans="1:40" x14ac:dyDescent="0.25">
      <c r="A3688" t="str">
        <f>"20190304155706338"</f>
        <v>20190304155706338</v>
      </c>
      <c r="B3688" t="str">
        <f>"1551686226328641"</f>
        <v>1551686226328641</v>
      </c>
      <c r="C3688" t="s">
        <v>40</v>
      </c>
      <c r="D3688">
        <v>4.7327899999999996</v>
      </c>
      <c r="E3688">
        <v>0.52237169999999999</v>
      </c>
      <c r="F3688" t="s">
        <v>69</v>
      </c>
      <c r="G3688">
        <v>-169.39349999999999</v>
      </c>
      <c r="H3688">
        <v>3.501417</v>
      </c>
      <c r="I3688">
        <v>208.86750000000001</v>
      </c>
      <c r="J3688">
        <v>-302.89139999999998</v>
      </c>
      <c r="K3688">
        <v>1.110433</v>
      </c>
      <c r="L3688">
        <v>214.26650000000001</v>
      </c>
      <c r="M3688">
        <v>0.99986209999999998</v>
      </c>
      <c r="N3688">
        <v>-1.5133010000000001E-2</v>
      </c>
      <c r="O3688">
        <v>-6.8565780000000003E-3</v>
      </c>
      <c r="P3688">
        <v>0.98397679999999998</v>
      </c>
      <c r="Q3688">
        <v>0.17694799999999999</v>
      </c>
      <c r="R3688">
        <v>2.18946E-2</v>
      </c>
      <c r="S3688">
        <v>3.0417480000000001</v>
      </c>
      <c r="T3688">
        <v>5.4318310000000002E-2</v>
      </c>
      <c r="U3688">
        <v>-0.12271120000000001</v>
      </c>
      <c r="V3688">
        <v>-2.8790340000000001E-2</v>
      </c>
      <c r="W3688">
        <v>0.1917934</v>
      </c>
      <c r="X3688">
        <v>0.98101289999999997</v>
      </c>
      <c r="Y3688">
        <v>3.3459719999999998E-2</v>
      </c>
      <c r="Z3688">
        <v>-1.8077450000000001E-4</v>
      </c>
      <c r="AA3688">
        <v>0.99944010000000005</v>
      </c>
      <c r="AB3688">
        <v>40</v>
      </c>
      <c r="AC3688">
        <v>133.49789999999999</v>
      </c>
      <c r="AD3688">
        <v>2.390984</v>
      </c>
      <c r="AE3688">
        <v>-5.399</v>
      </c>
      <c r="AF3688">
        <v>4.4819941992911199</v>
      </c>
      <c r="AG3688">
        <v>2.390984</v>
      </c>
      <c r="AH3688">
        <v>133.48903368658</v>
      </c>
      <c r="AI3688">
        <v>88.974436231891801</v>
      </c>
      <c r="AJ3688">
        <v>88.076973738798301</v>
      </c>
      <c r="AK3688">
        <v>133.58565488504999</v>
      </c>
      <c r="AL3688">
        <v>78.942535946484398</v>
      </c>
      <c r="AM3688">
        <v>91.681009126842795</v>
      </c>
      <c r="AN3688">
        <v>0.99999995096364103</v>
      </c>
    </row>
    <row r="3689" spans="1:40" x14ac:dyDescent="0.25">
      <c r="A3689" t="str">
        <f>"20190304155706352"</f>
        <v>20190304155706352</v>
      </c>
      <c r="B3689" t="str">
        <f>"1551686226348161"</f>
        <v>1551686226348161</v>
      </c>
      <c r="C3689" t="s">
        <v>40</v>
      </c>
      <c r="D3689">
        <v>4.7413829999999999</v>
      </c>
      <c r="E3689">
        <v>0.52286929999999998</v>
      </c>
      <c r="F3689" t="s">
        <v>69</v>
      </c>
      <c r="G3689">
        <v>-169.39340000000001</v>
      </c>
      <c r="H3689">
        <v>3.2168999999999999</v>
      </c>
      <c r="I3689">
        <v>208.82679999999999</v>
      </c>
      <c r="J3689">
        <v>-302.64069999999998</v>
      </c>
      <c r="K3689">
        <v>1.110439</v>
      </c>
      <c r="L3689">
        <v>214.26499999999999</v>
      </c>
      <c r="M3689">
        <v>0.99986339999999996</v>
      </c>
      <c r="N3689">
        <v>-1.5130289999999999E-2</v>
      </c>
      <c r="O3689">
        <v>-6.6432139999999997E-3</v>
      </c>
      <c r="P3689">
        <v>0.98396859999999997</v>
      </c>
      <c r="Q3689">
        <v>0.17695710000000001</v>
      </c>
      <c r="R3689">
        <v>2.2183020000000001E-2</v>
      </c>
      <c r="S3689">
        <v>3.0429379999999999</v>
      </c>
      <c r="T3689">
        <v>4.801536E-2</v>
      </c>
      <c r="U3689">
        <v>-0.1239929</v>
      </c>
      <c r="V3689">
        <v>-2.8871230000000001E-2</v>
      </c>
      <c r="W3689">
        <v>0.191799</v>
      </c>
      <c r="X3689">
        <v>0.98100949999999998</v>
      </c>
      <c r="Y3689">
        <v>3.4077610000000001E-2</v>
      </c>
      <c r="Z3689">
        <v>-1.9443309999999999E-4</v>
      </c>
      <c r="AA3689">
        <v>0.99941919999999995</v>
      </c>
      <c r="AB3689">
        <v>40</v>
      </c>
      <c r="AC3689">
        <v>133.247299999999</v>
      </c>
      <c r="AD3689">
        <v>2.1064609999999999</v>
      </c>
      <c r="AE3689">
        <v>-5.4381999999999904</v>
      </c>
      <c r="AF3689">
        <v>4.5516526202219598</v>
      </c>
      <c r="AG3689">
        <v>2.1064609999999999</v>
      </c>
      <c r="AH3689">
        <v>133.24724537176499</v>
      </c>
      <c r="AI3689">
        <v>89.094833549900898</v>
      </c>
      <c r="AJ3689">
        <v>88.043568411840596</v>
      </c>
      <c r="AK3689">
        <v>133.341603105269</v>
      </c>
      <c r="AL3689">
        <v>78.942209812769804</v>
      </c>
      <c r="AM3689">
        <v>91.685735246440302</v>
      </c>
      <c r="AN3689">
        <v>1.0000000217064799</v>
      </c>
    </row>
    <row r="3690" spans="1:40" x14ac:dyDescent="0.25">
      <c r="A3690" t="str">
        <f>"20190304155706371"</f>
        <v>20190304155706371</v>
      </c>
      <c r="B3690" t="str">
        <f>"1551686226368657"</f>
        <v>1551686226368657</v>
      </c>
      <c r="C3690" t="s">
        <v>40</v>
      </c>
      <c r="D3690">
        <v>4.7046789999999996</v>
      </c>
      <c r="E3690">
        <v>0.52319910000000003</v>
      </c>
      <c r="F3690" t="s">
        <v>69</v>
      </c>
      <c r="G3690">
        <v>-169.39340000000001</v>
      </c>
      <c r="H3690">
        <v>3.0290599999999999</v>
      </c>
      <c r="I3690">
        <v>208.70410000000001</v>
      </c>
      <c r="J3690">
        <v>-302.29689999999999</v>
      </c>
      <c r="K3690">
        <v>1.110441</v>
      </c>
      <c r="L3690">
        <v>214.2629</v>
      </c>
      <c r="M3690">
        <v>0.99986549999999996</v>
      </c>
      <c r="N3690">
        <v>-1.512642E-2</v>
      </c>
      <c r="O3690">
        <v>-6.349609E-3</v>
      </c>
      <c r="P3690">
        <v>0.98399599999999998</v>
      </c>
      <c r="Q3690">
        <v>0.17670739999999999</v>
      </c>
      <c r="R3690">
        <v>2.29415E-2</v>
      </c>
      <c r="S3690">
        <v>3.0438540000000001</v>
      </c>
      <c r="T3690">
        <v>4.3829079999999999E-2</v>
      </c>
      <c r="U3690">
        <v>-0.12702939999999999</v>
      </c>
      <c r="V3690">
        <v>-2.934283E-2</v>
      </c>
      <c r="W3690">
        <v>0.19154589999999999</v>
      </c>
      <c r="X3690">
        <v>0.9810449</v>
      </c>
      <c r="Y3690">
        <v>3.5354089999999998E-2</v>
      </c>
      <c r="Z3690">
        <v>-2.0049520000000001E-4</v>
      </c>
      <c r="AA3690">
        <v>0.99937480000000001</v>
      </c>
      <c r="AB3690">
        <v>40</v>
      </c>
      <c r="AC3690">
        <v>132.90349999999901</v>
      </c>
      <c r="AD3690">
        <v>1.9186190000000001</v>
      </c>
      <c r="AE3690">
        <v>-5.55879999999999</v>
      </c>
      <c r="AF3690">
        <v>4.7137255146144099</v>
      </c>
      <c r="AG3690">
        <v>1.9186190000000001</v>
      </c>
      <c r="AH3690">
        <v>132.90847023621899</v>
      </c>
      <c r="AI3690">
        <v>89.173475704825506</v>
      </c>
      <c r="AJ3690">
        <v>87.968801946746595</v>
      </c>
      <c r="AK3690">
        <v>133.00587117727599</v>
      </c>
      <c r="AL3690">
        <v>78.956984689814007</v>
      </c>
      <c r="AM3690">
        <v>91.713192994606601</v>
      </c>
      <c r="AN3690">
        <v>0.99999996464761298</v>
      </c>
    </row>
    <row r="3691" spans="1:40" x14ac:dyDescent="0.25">
      <c r="A3691" t="str">
        <f>"20190304155706385"</f>
        <v>20190304155706385</v>
      </c>
      <c r="B3691" t="str">
        <f>"1551686226378416"</f>
        <v>1551686226378416</v>
      </c>
      <c r="C3691" t="s">
        <v>40</v>
      </c>
      <c r="D3691">
        <v>4.7276470000000002</v>
      </c>
      <c r="E3691">
        <v>0.52339529999999901</v>
      </c>
      <c r="F3691" t="s">
        <v>69</v>
      </c>
      <c r="G3691">
        <v>-169.39330000000001</v>
      </c>
      <c r="H3691">
        <v>2.8076150000000002</v>
      </c>
      <c r="I3691">
        <v>208.70689999999999</v>
      </c>
      <c r="J3691">
        <v>-302.03410000000002</v>
      </c>
      <c r="K3691">
        <v>1.1104449999999999</v>
      </c>
      <c r="L3691">
        <v>214.26150000000001</v>
      </c>
      <c r="M3691">
        <v>0.9998669</v>
      </c>
      <c r="N3691">
        <v>-1.512346E-2</v>
      </c>
      <c r="O3691">
        <v>-6.1249449999999997E-3</v>
      </c>
      <c r="P3691">
        <v>0.98396249999999996</v>
      </c>
      <c r="Q3691">
        <v>0.17686299999999999</v>
      </c>
      <c r="R3691">
        <v>2.3181230000000001E-2</v>
      </c>
      <c r="S3691">
        <v>3.0448</v>
      </c>
      <c r="T3691">
        <v>3.8882729999999997E-2</v>
      </c>
      <c r="U3691">
        <v>-0.12728879999999901</v>
      </c>
      <c r="V3691">
        <v>-2.9363460000000001E-2</v>
      </c>
      <c r="W3691">
        <v>0.19169800000000001</v>
      </c>
      <c r="X3691">
        <v>0.98101459999999996</v>
      </c>
      <c r="Y3691">
        <v>3.5650670000000002E-2</v>
      </c>
      <c r="Z3691">
        <v>-2.1295419999999999E-4</v>
      </c>
      <c r="AA3691">
        <v>0.99936429999999998</v>
      </c>
      <c r="AB3691">
        <v>40</v>
      </c>
      <c r="AC3691">
        <v>132.64080000000001</v>
      </c>
      <c r="AD3691">
        <v>1.6971700000000001</v>
      </c>
      <c r="AE3691">
        <v>-5.5546000000000202</v>
      </c>
      <c r="AF3691">
        <v>4.7412104149280596</v>
      </c>
      <c r="AG3691">
        <v>1.6971700000000001</v>
      </c>
      <c r="AH3691">
        <v>132.6506576294</v>
      </c>
      <c r="AI3691">
        <v>89.267449315559105</v>
      </c>
      <c r="AJ3691">
        <v>87.953001046992497</v>
      </c>
      <c r="AK3691">
        <v>132.746210611527</v>
      </c>
      <c r="AL3691">
        <v>78.948105750271793</v>
      </c>
      <c r="AM3691">
        <v>91.714449686871006</v>
      </c>
      <c r="AN3691">
        <v>0.99999999070016499</v>
      </c>
    </row>
    <row r="3692" spans="1:40" x14ac:dyDescent="0.25">
      <c r="A3692" t="str">
        <f>"20190304155706398"</f>
        <v>20190304155706398</v>
      </c>
      <c r="B3692" t="str">
        <f>"1551686226388176"</f>
        <v>1551686226388176</v>
      </c>
      <c r="C3692" t="s">
        <v>40</v>
      </c>
      <c r="D3692">
        <v>4.714982</v>
      </c>
      <c r="E3692">
        <v>0.52357770000000003</v>
      </c>
      <c r="F3692" t="s">
        <v>69</v>
      </c>
      <c r="G3692">
        <v>-169.39330000000001</v>
      </c>
      <c r="H3692">
        <v>2.7441879999999998</v>
      </c>
      <c r="I3692">
        <v>208.6865</v>
      </c>
      <c r="J3692">
        <v>-301.80279999999999</v>
      </c>
      <c r="K3692">
        <v>1.110452</v>
      </c>
      <c r="L3692">
        <v>214.2602</v>
      </c>
      <c r="M3692">
        <v>0.99986810000000004</v>
      </c>
      <c r="N3692">
        <v>-1.512085E-2</v>
      </c>
      <c r="O3692">
        <v>-5.9271209999999996E-3</v>
      </c>
      <c r="P3692">
        <v>0.98395690000000002</v>
      </c>
      <c r="Q3692">
        <v>0.176860299999999</v>
      </c>
      <c r="R3692">
        <v>2.343166E-2</v>
      </c>
      <c r="S3692">
        <v>3.045166</v>
      </c>
      <c r="T3692">
        <v>3.750825E-2</v>
      </c>
      <c r="U3692">
        <v>-0.12799070000000001</v>
      </c>
      <c r="V3692">
        <v>-2.9420559999999998E-2</v>
      </c>
      <c r="W3692">
        <v>0.1916919</v>
      </c>
      <c r="X3692">
        <v>0.9810141</v>
      </c>
      <c r="Y3692">
        <v>3.6073260000000003E-2</v>
      </c>
      <c r="Z3692">
        <v>-2.1335930000000001E-4</v>
      </c>
      <c r="AA3692">
        <v>0.99934909999999999</v>
      </c>
      <c r="AB3692">
        <v>40</v>
      </c>
      <c r="AC3692">
        <v>132.40949999999901</v>
      </c>
      <c r="AD3692">
        <v>1.6337360000000001</v>
      </c>
      <c r="AE3692">
        <v>-5.5736999999999997</v>
      </c>
      <c r="AF3692">
        <v>4.7879775785023098</v>
      </c>
      <c r="AG3692">
        <v>1.6337360000000001</v>
      </c>
      <c r="AH3692">
        <v>132.42008957340499</v>
      </c>
      <c r="AI3692">
        <v>89.293609379574093</v>
      </c>
      <c r="AJ3692">
        <v>87.929230737392402</v>
      </c>
      <c r="AK3692">
        <v>132.51669308143201</v>
      </c>
      <c r="AL3692">
        <v>78.948462065046201</v>
      </c>
      <c r="AM3692">
        <v>91.717782474450104</v>
      </c>
      <c r="AN3692">
        <v>1.00000000913756</v>
      </c>
    </row>
    <row r="3693" spans="1:40" x14ac:dyDescent="0.25">
      <c r="A3693" t="str">
        <f>"20190304155706418"</f>
        <v>20190304155706418</v>
      </c>
      <c r="B3693" t="str">
        <f>"1551686226408673"</f>
        <v>1551686226408673</v>
      </c>
      <c r="C3693" t="s">
        <v>40</v>
      </c>
      <c r="D3693">
        <v>4.7217880000000001</v>
      </c>
      <c r="E3693">
        <v>0.52396489999999996</v>
      </c>
      <c r="F3693" t="s">
        <v>69</v>
      </c>
      <c r="G3693">
        <v>-169.39330000000001</v>
      </c>
      <c r="H3693">
        <v>2.674032</v>
      </c>
      <c r="I3693">
        <v>208.66499999999999</v>
      </c>
      <c r="J3693">
        <v>-301.46910000000003</v>
      </c>
      <c r="K3693">
        <v>1.11046</v>
      </c>
      <c r="L3693">
        <v>214.2585</v>
      </c>
      <c r="M3693">
        <v>0.99986989999999998</v>
      </c>
      <c r="N3693">
        <v>-1.511707E-2</v>
      </c>
      <c r="O3693">
        <v>-5.6416620000000004E-3</v>
      </c>
      <c r="P3693">
        <v>0.98392590000000002</v>
      </c>
      <c r="Q3693">
        <v>0.17705589999999999</v>
      </c>
      <c r="R3693">
        <v>2.3260570000000001E-2</v>
      </c>
      <c r="S3693">
        <v>3.0455019999999999</v>
      </c>
      <c r="T3693">
        <v>3.5964129999999997E-2</v>
      </c>
      <c r="U3693">
        <v>-0.12869259999999999</v>
      </c>
      <c r="V3693">
        <v>-2.896992E-2</v>
      </c>
      <c r="W3693">
        <v>0.19188379999999999</v>
      </c>
      <c r="X3693">
        <v>0.98099000000000003</v>
      </c>
      <c r="Y3693">
        <v>3.658376E-2</v>
      </c>
      <c r="Z3693">
        <v>-2.125885E-4</v>
      </c>
      <c r="AA3693">
        <v>0.99933059999999996</v>
      </c>
      <c r="AB3693">
        <v>40</v>
      </c>
      <c r="AC3693">
        <v>132.07579999999999</v>
      </c>
      <c r="AD3693">
        <v>1.563572</v>
      </c>
      <c r="AE3693">
        <v>-5.5934999999999997</v>
      </c>
      <c r="AF3693">
        <v>4.84752069213138</v>
      </c>
      <c r="AG3693">
        <v>1.563572</v>
      </c>
      <c r="AH3693">
        <v>132.086779210065</v>
      </c>
      <c r="AI3693">
        <v>89.322251381753901</v>
      </c>
      <c r="AJ3693">
        <v>87.898215959230797</v>
      </c>
      <c r="AK3693">
        <v>132.18494791899801</v>
      </c>
      <c r="AL3693">
        <v>78.937259097027507</v>
      </c>
      <c r="AM3693">
        <v>91.691527826487302</v>
      </c>
      <c r="AN3693">
        <v>1.0000000145336201</v>
      </c>
    </row>
    <row r="3694" spans="1:40" x14ac:dyDescent="0.25">
      <c r="A3694" t="str">
        <f>"20190304155706440"</f>
        <v>20190304155706440</v>
      </c>
      <c r="B3694" t="str">
        <f>"1551686226428193"</f>
        <v>1551686226428193</v>
      </c>
      <c r="C3694" t="s">
        <v>40</v>
      </c>
      <c r="D3694">
        <v>4.6896969999999998</v>
      </c>
      <c r="E3694">
        <v>0.52382139999999999</v>
      </c>
      <c r="F3694" t="s">
        <v>69</v>
      </c>
      <c r="G3694">
        <v>-169.39330000000001</v>
      </c>
      <c r="H3694">
        <v>2.5889630000000001</v>
      </c>
      <c r="I3694">
        <v>208.51429999999999</v>
      </c>
      <c r="J3694">
        <v>-301.06740000000002</v>
      </c>
      <c r="K3694">
        <v>1.1104719999999999</v>
      </c>
      <c r="L3694">
        <v>214.25649999999999</v>
      </c>
      <c r="M3694">
        <v>0.99987190000000004</v>
      </c>
      <c r="N3694">
        <v>-1.5112509999999999E-2</v>
      </c>
      <c r="O3694">
        <v>-5.2979119999999897E-3</v>
      </c>
      <c r="P3694">
        <v>0.98384879999999997</v>
      </c>
      <c r="Q3694">
        <v>0.17749189999999901</v>
      </c>
      <c r="R3694">
        <v>2.3198679999999999E-2</v>
      </c>
      <c r="S3694">
        <v>3.0460509999999998</v>
      </c>
      <c r="T3694">
        <v>3.4099339999999999E-2</v>
      </c>
      <c r="U3694">
        <v>-0.13247679999999901</v>
      </c>
      <c r="V3694">
        <v>-2.8571249999999999E-2</v>
      </c>
      <c r="W3694">
        <v>0.19231429999999999</v>
      </c>
      <c r="X3694">
        <v>0.98091740000000005</v>
      </c>
      <c r="Y3694">
        <v>3.81588E-2</v>
      </c>
      <c r="Z3694">
        <v>-2.1431290000000001E-4</v>
      </c>
      <c r="AA3694">
        <v>0.99927169999999998</v>
      </c>
      <c r="AB3694">
        <v>40</v>
      </c>
      <c r="AC3694">
        <v>131.67410000000001</v>
      </c>
      <c r="AD3694">
        <v>1.478491</v>
      </c>
      <c r="AE3694">
        <v>-5.7421999999999898</v>
      </c>
      <c r="AF3694">
        <v>5.0438073185796997</v>
      </c>
      <c r="AG3694">
        <v>1.478491</v>
      </c>
      <c r="AH3694">
        <v>131.68610569529</v>
      </c>
      <c r="AI3694">
        <v>89.357216358277299</v>
      </c>
      <c r="AJ3694">
        <v>87.806544001389099</v>
      </c>
      <c r="AK3694">
        <v>131.79095705356701</v>
      </c>
      <c r="AL3694">
        <v>78.912125286493705</v>
      </c>
      <c r="AM3694">
        <v>91.668386488439793</v>
      </c>
      <c r="AN3694">
        <v>1.0000000259669</v>
      </c>
    </row>
    <row r="3695" spans="1:40" x14ac:dyDescent="0.25">
      <c r="A3695" t="str">
        <f>"20190304155706461"</f>
        <v>20190304155706461</v>
      </c>
      <c r="B3695" t="str">
        <f>"1551686226458449"</f>
        <v>1551686226458449</v>
      </c>
      <c r="C3695" t="s">
        <v>40</v>
      </c>
      <c r="D3695">
        <v>4.6613329999999999</v>
      </c>
      <c r="E3695">
        <v>0.52414170000000004</v>
      </c>
      <c r="F3695" t="s">
        <v>69</v>
      </c>
      <c r="G3695">
        <v>-169.39320000000001</v>
      </c>
      <c r="H3695">
        <v>2.4184130000000001</v>
      </c>
      <c r="I3695">
        <v>208.5651</v>
      </c>
      <c r="J3695">
        <v>-300.69479999999999</v>
      </c>
      <c r="K3695">
        <v>1.1104750000000001</v>
      </c>
      <c r="L3695">
        <v>214.25479999999999</v>
      </c>
      <c r="M3695">
        <v>0.99987360000000003</v>
      </c>
      <c r="N3695">
        <v>-1.5108359999999999E-2</v>
      </c>
      <c r="O3695">
        <v>-4.9790959999999997E-3</v>
      </c>
      <c r="P3695">
        <v>0.98372389999999998</v>
      </c>
      <c r="Q3695">
        <v>0.1781799</v>
      </c>
      <c r="R3695">
        <v>2.322948E-2</v>
      </c>
      <c r="S3695">
        <v>3.0469360000000001</v>
      </c>
      <c r="T3695">
        <v>3.0266520000000002E-2</v>
      </c>
      <c r="U3695">
        <v>-0.1316986</v>
      </c>
      <c r="V3695">
        <v>-2.8289559999999998E-2</v>
      </c>
      <c r="W3695">
        <v>0.19299649999999999</v>
      </c>
      <c r="X3695">
        <v>0.98079159999999999</v>
      </c>
      <c r="Y3695">
        <v>3.8209970000000003E-2</v>
      </c>
      <c r="Z3695">
        <v>-2.2373400000000001E-4</v>
      </c>
      <c r="AA3695">
        <v>0.99926970000000004</v>
      </c>
      <c r="AB3695">
        <v>40</v>
      </c>
      <c r="AC3695">
        <v>131.30159999999901</v>
      </c>
      <c r="AD3695">
        <v>1.3079379999999901</v>
      </c>
      <c r="AE3695">
        <v>-5.6896999999999798</v>
      </c>
      <c r="AF3695">
        <v>5.0352929393231296</v>
      </c>
      <c r="AG3695">
        <v>1.3079379999999901</v>
      </c>
      <c r="AH3695">
        <v>131.315299102079</v>
      </c>
      <c r="AI3695">
        <v>89.429755537975794</v>
      </c>
      <c r="AJ3695">
        <v>87.804065770924495</v>
      </c>
      <c r="AK3695">
        <v>131.418311718973</v>
      </c>
      <c r="AL3695">
        <v>78.872292217891996</v>
      </c>
      <c r="AM3695">
        <v>91.652158440032593</v>
      </c>
      <c r="AN3695">
        <v>1.0000000554238999</v>
      </c>
    </row>
    <row r="3696" spans="1:40" x14ac:dyDescent="0.25">
      <c r="A3696" t="str">
        <f>"20190304155706476"</f>
        <v>20190304155706476</v>
      </c>
      <c r="B3696" t="str">
        <f>"1551686226468209"</f>
        <v>1551686226468209</v>
      </c>
      <c r="C3696" t="s">
        <v>40</v>
      </c>
      <c r="D3696">
        <v>4.6696790000000004</v>
      </c>
      <c r="E3696">
        <v>0.52411289999999999</v>
      </c>
      <c r="F3696" t="s">
        <v>69</v>
      </c>
      <c r="G3696">
        <v>-169.39320000000001</v>
      </c>
      <c r="H3696">
        <v>2.2811810000000001</v>
      </c>
      <c r="I3696">
        <v>208.4657</v>
      </c>
      <c r="J3696">
        <v>-300.41890000000001</v>
      </c>
      <c r="K3696">
        <v>1.110479</v>
      </c>
      <c r="L3696">
        <v>214.25370000000001</v>
      </c>
      <c r="M3696">
        <v>0.99987470000000001</v>
      </c>
      <c r="N3696">
        <v>-1.510533E-2</v>
      </c>
      <c r="O3696">
        <v>-4.7427939999999998E-3</v>
      </c>
      <c r="P3696">
        <v>0.98369589999999996</v>
      </c>
      <c r="Q3696">
        <v>0.1783216</v>
      </c>
      <c r="R3696">
        <v>2.3326240000000002E-2</v>
      </c>
      <c r="S3696">
        <v>3.0479129999999999</v>
      </c>
      <c r="T3696">
        <v>2.7176499999999999E-2</v>
      </c>
      <c r="U3696">
        <v>-0.13438420000000001</v>
      </c>
      <c r="V3696">
        <v>-2.815455E-2</v>
      </c>
      <c r="W3696">
        <v>0.19313449999999999</v>
      </c>
      <c r="X3696">
        <v>0.98076830000000004</v>
      </c>
      <c r="Y3696">
        <v>3.9310989999999997E-2</v>
      </c>
      <c r="Z3696">
        <v>-2.3576660000000001E-4</v>
      </c>
      <c r="AA3696">
        <v>0.99922699999999998</v>
      </c>
      <c r="AB3696">
        <v>40</v>
      </c>
      <c r="AC3696">
        <v>131.0257</v>
      </c>
      <c r="AD3696">
        <v>1.1707019999999999</v>
      </c>
      <c r="AE3696">
        <v>-5.78800000000001</v>
      </c>
      <c r="AF3696">
        <v>5.1660244866861103</v>
      </c>
      <c r="AG3696">
        <v>1.1707019999999999</v>
      </c>
      <c r="AH3696">
        <v>131.041239450468</v>
      </c>
      <c r="AI3696">
        <v>89.488539328933697</v>
      </c>
      <c r="AJ3696">
        <v>87.742403809203694</v>
      </c>
      <c r="AK3696">
        <v>131.14825499748201</v>
      </c>
      <c r="AL3696">
        <v>78.864233569710507</v>
      </c>
      <c r="AM3696">
        <v>91.644317006618195</v>
      </c>
      <c r="AN3696">
        <v>1.00000003603042</v>
      </c>
    </row>
    <row r="3697" spans="1:40" x14ac:dyDescent="0.25">
      <c r="A3697" t="str">
        <f>"20190304155706490"</f>
        <v>20190304155706490</v>
      </c>
      <c r="B3697" t="str">
        <f>"1551686226488705"</f>
        <v>1551686226488705</v>
      </c>
      <c r="C3697" t="s">
        <v>40</v>
      </c>
      <c r="D3697">
        <v>4.6783979999999996</v>
      </c>
      <c r="E3697">
        <v>0.52404309999999998</v>
      </c>
      <c r="F3697" t="s">
        <v>69</v>
      </c>
      <c r="G3697">
        <v>-169.39320000000001</v>
      </c>
      <c r="H3697">
        <v>2.200148</v>
      </c>
      <c r="I3697">
        <v>208.5016</v>
      </c>
      <c r="J3697">
        <v>-300.1617</v>
      </c>
      <c r="K3697">
        <v>1.1104830000000001</v>
      </c>
      <c r="L3697">
        <v>214.2526</v>
      </c>
      <c r="M3697">
        <v>0.99987590000000004</v>
      </c>
      <c r="N3697">
        <v>-1.5102529999999999E-2</v>
      </c>
      <c r="O3697">
        <v>-4.5224729999999999E-3</v>
      </c>
      <c r="P3697">
        <v>0.98372720000000002</v>
      </c>
      <c r="Q3697">
        <v>0.1781037</v>
      </c>
      <c r="R3697">
        <v>2.3670360000000001E-2</v>
      </c>
      <c r="S3697">
        <v>3.048279</v>
      </c>
      <c r="T3697">
        <v>2.5351640000000002E-2</v>
      </c>
      <c r="U3697">
        <v>-0.13381960000000001</v>
      </c>
      <c r="V3697">
        <v>-2.8282069999999999E-2</v>
      </c>
      <c r="W3697">
        <v>0.19291459999999999</v>
      </c>
      <c r="X3697">
        <v>0.98080780000000001</v>
      </c>
      <c r="Y3697">
        <v>3.9341069999999999E-2</v>
      </c>
      <c r="Z3697">
        <v>-2.3958080000000001E-4</v>
      </c>
      <c r="AA3697">
        <v>0.99922580000000005</v>
      </c>
      <c r="AB3697">
        <v>40</v>
      </c>
      <c r="AC3697">
        <v>130.76849999999999</v>
      </c>
      <c r="AD3697">
        <v>1.0896649999999899</v>
      </c>
      <c r="AE3697">
        <v>-5.7510000000000003</v>
      </c>
      <c r="AF3697">
        <v>5.1591192794221596</v>
      </c>
      <c r="AG3697">
        <v>1.0896649999999899</v>
      </c>
      <c r="AH3697">
        <v>130.78411061257299</v>
      </c>
      <c r="AI3697">
        <v>89.523005936315897</v>
      </c>
      <c r="AJ3697">
        <v>87.740990281519402</v>
      </c>
      <c r="AK3697">
        <v>130.89036431408201</v>
      </c>
      <c r="AL3697">
        <v>78.8770731962003</v>
      </c>
      <c r="AM3697">
        <v>91.651693987266597</v>
      </c>
      <c r="AN3697">
        <v>0.99999992945873994</v>
      </c>
    </row>
    <row r="3698" spans="1:40" x14ac:dyDescent="0.25">
      <c r="A3698" t="str">
        <f>"20190304155706505"</f>
        <v>20190304155706505</v>
      </c>
      <c r="B3698" t="str">
        <f>"1551686226498465"</f>
        <v>1551686226498465</v>
      </c>
      <c r="C3698" t="s">
        <v>40</v>
      </c>
      <c r="D3698">
        <v>4.6723970000000001</v>
      </c>
      <c r="E3698">
        <v>0.5240186</v>
      </c>
      <c r="F3698" t="s">
        <v>69</v>
      </c>
      <c r="G3698">
        <v>-169.3931</v>
      </c>
      <c r="H3698">
        <v>2.002205</v>
      </c>
      <c r="I3698">
        <v>208.58</v>
      </c>
      <c r="J3698">
        <v>-299.8965</v>
      </c>
      <c r="K3698">
        <v>1.1104810000000001</v>
      </c>
      <c r="L3698">
        <v>214.2516</v>
      </c>
      <c r="M3698">
        <v>0.99987689999999996</v>
      </c>
      <c r="N3698">
        <v>-1.5099690000000001E-2</v>
      </c>
      <c r="O3698">
        <v>-4.2950030000000004E-3</v>
      </c>
      <c r="P3698">
        <v>0.98368699999999998</v>
      </c>
      <c r="Q3698">
        <v>0.17829819999999999</v>
      </c>
      <c r="R3698">
        <v>2.3876689999999999E-2</v>
      </c>
      <c r="S3698">
        <v>3.049042</v>
      </c>
      <c r="T3698">
        <v>2.0792479999999999E-2</v>
      </c>
      <c r="U3698">
        <v>-0.1322632</v>
      </c>
      <c r="V3698">
        <v>-2.8265080000000001E-2</v>
      </c>
      <c r="W3698">
        <v>0.193106</v>
      </c>
      <c r="X3698">
        <v>0.9807707</v>
      </c>
      <c r="Y3698">
        <v>3.9048140000000002E-2</v>
      </c>
      <c r="Z3698">
        <v>-2.5598119999999997E-4</v>
      </c>
      <c r="AA3698">
        <v>0.99923729999999999</v>
      </c>
      <c r="AB3698">
        <v>40</v>
      </c>
      <c r="AC3698">
        <v>130.5034</v>
      </c>
      <c r="AD3698">
        <v>0.89172399999999996</v>
      </c>
      <c r="AE3698">
        <v>-5.6715999999999802</v>
      </c>
      <c r="AF3698">
        <v>5.1107331786751802</v>
      </c>
      <c r="AG3698">
        <v>0.89172399999999996</v>
      </c>
      <c r="AH3698">
        <v>130.52047591191601</v>
      </c>
      <c r="AI3698">
        <v>89.6088574980418</v>
      </c>
      <c r="AJ3698">
        <v>87.757639780404403</v>
      </c>
      <c r="AK3698">
        <v>130.62354074817</v>
      </c>
      <c r="AL3698">
        <v>78.865897467481901</v>
      </c>
      <c r="AM3698">
        <v>91.650764714934994</v>
      </c>
      <c r="AN3698">
        <v>1.00000000398094</v>
      </c>
    </row>
    <row r="3699" spans="1:40" x14ac:dyDescent="0.25">
      <c r="A3699" t="str">
        <f>"20190304155706520"</f>
        <v>20190304155706520</v>
      </c>
      <c r="B3699" t="str">
        <f>"1551686226518961"</f>
        <v>1551686226518961</v>
      </c>
      <c r="C3699" t="s">
        <v>40</v>
      </c>
      <c r="D3699">
        <v>4.6784869999999996</v>
      </c>
      <c r="E3699">
        <v>0.52396350000000003</v>
      </c>
      <c r="F3699" t="s">
        <v>69</v>
      </c>
      <c r="G3699">
        <v>-169.3931</v>
      </c>
      <c r="H3699">
        <v>1.943333</v>
      </c>
      <c r="I3699">
        <v>208.62200000000001</v>
      </c>
      <c r="J3699">
        <v>-299.63380000000001</v>
      </c>
      <c r="K3699">
        <v>1.1104830000000001</v>
      </c>
      <c r="L3699">
        <v>214.25069999999999</v>
      </c>
      <c r="M3699">
        <v>0.99987780000000004</v>
      </c>
      <c r="N3699">
        <v>-1.509687E-2</v>
      </c>
      <c r="O3699">
        <v>-4.0694440000000002E-3</v>
      </c>
      <c r="P3699">
        <v>0.98369680000000004</v>
      </c>
      <c r="Q3699">
        <v>0.1782088</v>
      </c>
      <c r="R3699">
        <v>2.4129129999999999E-2</v>
      </c>
      <c r="S3699">
        <v>3.0494379999999999</v>
      </c>
      <c r="T3699">
        <v>1.9461869999999999E-2</v>
      </c>
      <c r="U3699">
        <v>-0.131546</v>
      </c>
      <c r="V3699">
        <v>-2.8296000000000002E-2</v>
      </c>
      <c r="W3699">
        <v>0.19301380000000001</v>
      </c>
      <c r="X3699">
        <v>0.98078790000000005</v>
      </c>
      <c r="Y3699">
        <v>3.9033249999999999E-2</v>
      </c>
      <c r="Z3699">
        <v>-2.5766020000000001E-4</v>
      </c>
      <c r="AA3699">
        <v>0.99923790000000001</v>
      </c>
      <c r="AB3699">
        <v>40</v>
      </c>
      <c r="AC3699">
        <v>130.2407</v>
      </c>
      <c r="AD3699">
        <v>0.83284999999999998</v>
      </c>
      <c r="AE3699">
        <v>-5.6286999999999798</v>
      </c>
      <c r="AF3699">
        <v>5.0983776675967496</v>
      </c>
      <c r="AG3699">
        <v>0.83284999999999998</v>
      </c>
      <c r="AH3699">
        <v>130.257213051805</v>
      </c>
      <c r="AI3699">
        <v>89.633942495064503</v>
      </c>
      <c r="AJ3699">
        <v>87.758538827817702</v>
      </c>
      <c r="AK3699">
        <v>130.35961278704099</v>
      </c>
      <c r="AL3699">
        <v>78.871280792537803</v>
      </c>
      <c r="AM3699">
        <v>91.652540569158802</v>
      </c>
      <c r="AN3699">
        <v>0.99999994769642297</v>
      </c>
    </row>
    <row r="3700" spans="1:40" x14ac:dyDescent="0.25">
      <c r="A3700" t="str">
        <f>"20190304155706539"</f>
        <v>20190304155706539</v>
      </c>
      <c r="B3700" t="str">
        <f>"1551686226528721"</f>
        <v>1551686226528721</v>
      </c>
      <c r="C3700" t="s">
        <v>40</v>
      </c>
      <c r="D3700">
        <v>4.6606759999999996</v>
      </c>
      <c r="E3700">
        <v>0.52416119999999999</v>
      </c>
      <c r="F3700" t="s">
        <v>69</v>
      </c>
      <c r="G3700">
        <v>-169.393</v>
      </c>
      <c r="H3700">
        <v>1.78017799999999</v>
      </c>
      <c r="I3700">
        <v>208.68299999999999</v>
      </c>
      <c r="J3700">
        <v>-299.30220000000003</v>
      </c>
      <c r="K3700">
        <v>1.110479</v>
      </c>
      <c r="L3700">
        <v>214.24959999999999</v>
      </c>
      <c r="M3700">
        <v>0.99987899999999996</v>
      </c>
      <c r="N3700">
        <v>-1.50933E-2</v>
      </c>
      <c r="O3700">
        <v>-3.7847570000000001E-3</v>
      </c>
      <c r="P3700">
        <v>0.98360559999999997</v>
      </c>
      <c r="Q3700">
        <v>0.17862430000000001</v>
      </c>
      <c r="R3700">
        <v>2.4774250000000001E-2</v>
      </c>
      <c r="S3700">
        <v>3.050049</v>
      </c>
      <c r="T3700">
        <v>1.5684130000000001E-2</v>
      </c>
      <c r="U3700">
        <v>-0.13038640000000001</v>
      </c>
      <c r="V3700">
        <v>-2.8661229999999999E-2</v>
      </c>
      <c r="W3700">
        <v>0.19342409999999999</v>
      </c>
      <c r="X3700">
        <v>0.98069649999999997</v>
      </c>
      <c r="Y3700">
        <v>3.8929659999999998E-2</v>
      </c>
      <c r="Z3700">
        <v>-2.7044299999999999E-4</v>
      </c>
      <c r="AA3700">
        <v>0.99924190000000002</v>
      </c>
      <c r="AB3700">
        <v>40</v>
      </c>
      <c r="AC3700">
        <v>129.9092</v>
      </c>
      <c r="AD3700">
        <v>0.66969899999999905</v>
      </c>
      <c r="AE3700">
        <v>-5.5665999999999896</v>
      </c>
      <c r="AF3700">
        <v>5.0746947757431702</v>
      </c>
      <c r="AG3700">
        <v>0.66969899999999905</v>
      </c>
      <c r="AH3700">
        <v>129.92589347517199</v>
      </c>
      <c r="AI3700">
        <v>89.704898299261899</v>
      </c>
      <c r="AJ3700">
        <v>87.763256698726906</v>
      </c>
      <c r="AK3700">
        <v>130.02668502711001</v>
      </c>
      <c r="AL3700">
        <v>78.847321265167295</v>
      </c>
      <c r="AM3700">
        <v>91.674014556437697</v>
      </c>
      <c r="AN3700">
        <v>0.99999998683908597</v>
      </c>
    </row>
    <row r="3701" spans="1:40" x14ac:dyDescent="0.25">
      <c r="A3701" t="str">
        <f>"20190304155706562"</f>
        <v>20190304155706562</v>
      </c>
      <c r="B3701" t="str">
        <f>"1551686226558977"</f>
        <v>1551686226558977</v>
      </c>
      <c r="C3701" t="s">
        <v>40</v>
      </c>
      <c r="D3701">
        <v>4.6414989999999996</v>
      </c>
      <c r="E3701">
        <v>0.52425100000000002</v>
      </c>
      <c r="F3701" t="s">
        <v>69</v>
      </c>
      <c r="G3701">
        <v>-169.393</v>
      </c>
      <c r="H3701">
        <v>1.8083610000000001</v>
      </c>
      <c r="I3701">
        <v>208.71870000000001</v>
      </c>
      <c r="J3701">
        <v>-298.90269999999998</v>
      </c>
      <c r="K3701">
        <v>1.1104830000000001</v>
      </c>
      <c r="L3701">
        <v>214.2484</v>
      </c>
      <c r="M3701">
        <v>0.9998804</v>
      </c>
      <c r="N3701">
        <v>-1.508902E-2</v>
      </c>
      <c r="O3701">
        <v>-3.4418980000000001E-3</v>
      </c>
      <c r="P3701">
        <v>0.98350599999999999</v>
      </c>
      <c r="Q3701">
        <v>0.17907049999999999</v>
      </c>
      <c r="R3701">
        <v>2.5498730000000001E-2</v>
      </c>
      <c r="S3701">
        <v>3.0502929999999999</v>
      </c>
      <c r="T3701">
        <v>1.6387220000000001E-2</v>
      </c>
      <c r="U3701">
        <v>-0.1298676</v>
      </c>
      <c r="V3701">
        <v>-2.90482E-2</v>
      </c>
      <c r="W3701">
        <v>0.19386429999999999</v>
      </c>
      <c r="X3701">
        <v>0.98059819999999998</v>
      </c>
      <c r="Y3701">
        <v>3.9099210000000002E-2</v>
      </c>
      <c r="Z3701">
        <v>-2.6054810000000002E-4</v>
      </c>
      <c r="AA3701">
        <v>0.99923530000000005</v>
      </c>
      <c r="AB3701">
        <v>40</v>
      </c>
      <c r="AC3701">
        <v>129.50969999999899</v>
      </c>
      <c r="AD3701">
        <v>0.697878</v>
      </c>
      <c r="AE3701">
        <v>-5.5296999999999903</v>
      </c>
      <c r="AF3701">
        <v>5.0837100349547404</v>
      </c>
      <c r="AG3701">
        <v>0.697878</v>
      </c>
      <c r="AH3701">
        <v>129.52421334793701</v>
      </c>
      <c r="AI3701">
        <v>89.691530148464395</v>
      </c>
      <c r="AJ3701">
        <v>87.752345366321194</v>
      </c>
      <c r="AK3701">
        <v>129.62581912884599</v>
      </c>
      <c r="AL3701">
        <v>78.821613171212107</v>
      </c>
      <c r="AM3701">
        <v>91.696773142280506</v>
      </c>
      <c r="AN3701">
        <v>0.99999999729048406</v>
      </c>
    </row>
    <row r="3702" spans="1:40" x14ac:dyDescent="0.25">
      <c r="A3702" t="str">
        <f>"20190304155706577"</f>
        <v>20190304155706577</v>
      </c>
      <c r="B3702" t="str">
        <f>"1551686226568737"</f>
        <v>1551686226568737</v>
      </c>
      <c r="C3702" t="s">
        <v>40</v>
      </c>
      <c r="D3702">
        <v>4.733212</v>
      </c>
      <c r="E3702">
        <v>0.52436319999999903</v>
      </c>
      <c r="F3702" t="s">
        <v>69</v>
      </c>
      <c r="G3702">
        <v>-169.3929</v>
      </c>
      <c r="H3702">
        <v>1.7228509999999999</v>
      </c>
      <c r="I3702">
        <v>208.79929999999999</v>
      </c>
      <c r="J3702">
        <v>-298.6268</v>
      </c>
      <c r="K3702">
        <v>1.1104810000000001</v>
      </c>
      <c r="L3702">
        <v>214.24770000000001</v>
      </c>
      <c r="M3702">
        <v>0.99988120000000003</v>
      </c>
      <c r="N3702">
        <v>-1.508606E-2</v>
      </c>
      <c r="O3702">
        <v>-3.2049019999999999E-3</v>
      </c>
      <c r="P3702">
        <v>0.98345800000000005</v>
      </c>
      <c r="Q3702">
        <v>0.1792859</v>
      </c>
      <c r="R3702">
        <v>2.583044E-2</v>
      </c>
      <c r="S3702">
        <v>3.051056</v>
      </c>
      <c r="T3702">
        <v>1.4427300000000001E-2</v>
      </c>
      <c r="U3702">
        <v>-0.12837219999999999</v>
      </c>
      <c r="V3702">
        <v>-2.914748E-2</v>
      </c>
      <c r="W3702">
        <v>0.1940762</v>
      </c>
      <c r="X3702">
        <v>0.98055329999999996</v>
      </c>
      <c r="Y3702">
        <v>3.8836420000000003E-2</v>
      </c>
      <c r="Z3702">
        <v>-2.6478459999999999E-4</v>
      </c>
      <c r="AA3702">
        <v>0.99924550000000001</v>
      </c>
      <c r="AB3702">
        <v>40</v>
      </c>
      <c r="AC3702">
        <v>129.23390000000001</v>
      </c>
      <c r="AD3702">
        <v>0.61236999999999897</v>
      </c>
      <c r="AE3702">
        <v>-5.4484000000000199</v>
      </c>
      <c r="AF3702">
        <v>5.03403011616283</v>
      </c>
      <c r="AG3702">
        <v>0.61236999999999897</v>
      </c>
      <c r="AH3702">
        <v>129.247802858461</v>
      </c>
      <c r="AI3702">
        <v>89.728742994868696</v>
      </c>
      <c r="AJ3702">
        <v>87.769532965654506</v>
      </c>
      <c r="AK3702">
        <v>129.34724968072101</v>
      </c>
      <c r="AL3702">
        <v>78.809236726409694</v>
      </c>
      <c r="AM3702">
        <v>91.702646826887303</v>
      </c>
      <c r="AN3702">
        <v>0.999999960568839</v>
      </c>
    </row>
    <row r="3703" spans="1:40" x14ac:dyDescent="0.25">
      <c r="A3703" t="str">
        <f>"20190304155706591"</f>
        <v>20190304155706591</v>
      </c>
      <c r="B3703" t="str">
        <f>"1551686226588257"</f>
        <v>1551686226588257</v>
      </c>
      <c r="C3703" t="s">
        <v>40</v>
      </c>
      <c r="D3703">
        <v>4.7640070000000003</v>
      </c>
      <c r="E3703">
        <v>0.52434019999999903</v>
      </c>
      <c r="F3703" t="s">
        <v>69</v>
      </c>
      <c r="G3703">
        <v>-169.3929</v>
      </c>
      <c r="H3703">
        <v>1.7417560000000001</v>
      </c>
      <c r="I3703">
        <v>208.81030000000001</v>
      </c>
      <c r="J3703">
        <v>-298.3929</v>
      </c>
      <c r="K3703">
        <v>1.110482</v>
      </c>
      <c r="L3703">
        <v>214.24709999999999</v>
      </c>
      <c r="M3703">
        <v>0.99988169999999998</v>
      </c>
      <c r="N3703">
        <v>-1.508353E-2</v>
      </c>
      <c r="O3703">
        <v>-3.0039099999999998E-3</v>
      </c>
      <c r="P3703">
        <v>0.98347910000000005</v>
      </c>
      <c r="Q3703">
        <v>0.1791239</v>
      </c>
      <c r="R3703">
        <v>2.6142439999999999E-2</v>
      </c>
      <c r="S3703">
        <v>3.0511170000000001</v>
      </c>
      <c r="T3703">
        <v>1.490474E-2</v>
      </c>
      <c r="U3703">
        <v>-0.12837219999999999</v>
      </c>
      <c r="V3703">
        <v>-2.926113E-2</v>
      </c>
      <c r="W3703">
        <v>0.193912</v>
      </c>
      <c r="X3703">
        <v>0.98058239999999997</v>
      </c>
      <c r="Y3703">
        <v>3.9036420000000002E-2</v>
      </c>
      <c r="Z3703">
        <v>-2.5920210000000002E-4</v>
      </c>
      <c r="AA3703">
        <v>0.99923779999999995</v>
      </c>
      <c r="AB3703">
        <v>40</v>
      </c>
      <c r="AC3703">
        <v>129</v>
      </c>
      <c r="AD3703">
        <v>0.631274</v>
      </c>
      <c r="AE3703">
        <v>-5.4367999999999697</v>
      </c>
      <c r="AF3703">
        <v>5.0491062786560699</v>
      </c>
      <c r="AG3703">
        <v>0.631274</v>
      </c>
      <c r="AH3703">
        <v>129.01266734270101</v>
      </c>
      <c r="AI3703">
        <v>89.719861772047693</v>
      </c>
      <c r="AJ3703">
        <v>87.758786623655098</v>
      </c>
      <c r="AK3703">
        <v>129.112975010084</v>
      </c>
      <c r="AL3703">
        <v>78.818826878195395</v>
      </c>
      <c r="AM3703">
        <v>91.709231053486306</v>
      </c>
      <c r="AN3703">
        <v>0.99999996033131699</v>
      </c>
    </row>
    <row r="3704" spans="1:40" x14ac:dyDescent="0.25">
      <c r="A3704" t="str">
        <f>"20190304155706605"</f>
        <v>20190304155706605</v>
      </c>
      <c r="B3704" t="str">
        <f>"1551686226598996"</f>
        <v>1551686226598996</v>
      </c>
      <c r="C3704" t="s">
        <v>40</v>
      </c>
      <c r="D3704">
        <v>4.7355660000000004</v>
      </c>
      <c r="E3704">
        <v>0.52440019999999998</v>
      </c>
      <c r="F3704" t="s">
        <v>69</v>
      </c>
      <c r="G3704">
        <v>-169.3929</v>
      </c>
      <c r="H3704">
        <v>1.577644</v>
      </c>
      <c r="I3704">
        <v>208.86259999999999</v>
      </c>
      <c r="J3704">
        <v>-298.11509999999998</v>
      </c>
      <c r="K3704">
        <v>1.1104849999999999</v>
      </c>
      <c r="L3704">
        <v>214.2465</v>
      </c>
      <c r="M3704">
        <v>0.99988250000000001</v>
      </c>
      <c r="N3704">
        <v>-1.508052E-2</v>
      </c>
      <c r="O3704">
        <v>-2.7648909999999998E-3</v>
      </c>
      <c r="P3704">
        <v>0.98351200000000005</v>
      </c>
      <c r="Q3704">
        <v>0.17888609999999999</v>
      </c>
      <c r="R3704">
        <v>2.6533580000000001E-2</v>
      </c>
      <c r="S3704">
        <v>3.051758</v>
      </c>
      <c r="T3704">
        <v>1.105249E-2</v>
      </c>
      <c r="U3704">
        <v>-0.12738039999999901</v>
      </c>
      <c r="V3704">
        <v>-2.941732E-2</v>
      </c>
      <c r="W3704">
        <v>0.19367200000000001</v>
      </c>
      <c r="X3704">
        <v>0.98062519999999997</v>
      </c>
      <c r="Y3704">
        <v>3.8942009999999999E-2</v>
      </c>
      <c r="Z3704">
        <v>-2.749769E-4</v>
      </c>
      <c r="AA3704">
        <v>0.99924139999999995</v>
      </c>
      <c r="AB3704">
        <v>40</v>
      </c>
      <c r="AC3704">
        <v>128.72219999999999</v>
      </c>
      <c r="AD3704">
        <v>0.46715899999999999</v>
      </c>
      <c r="AE3704">
        <v>-5.3839000000000103</v>
      </c>
      <c r="AF3704">
        <v>5.0278699943984702</v>
      </c>
      <c r="AG3704">
        <v>0.46715899999999999</v>
      </c>
      <c r="AH3704">
        <v>128.73490283879801</v>
      </c>
      <c r="AI3704">
        <v>89.792241805803798</v>
      </c>
      <c r="AJ3704">
        <v>87.76339295663</v>
      </c>
      <c r="AK3704">
        <v>128.83389663876</v>
      </c>
      <c r="AL3704">
        <v>78.832844063607396</v>
      </c>
      <c r="AM3704">
        <v>91.718274174765696</v>
      </c>
      <c r="AN3704">
        <v>1.00000000258751</v>
      </c>
    </row>
    <row r="3705" spans="1:40" x14ac:dyDescent="0.25">
      <c r="A3705" t="str">
        <f>"20190304155706623"</f>
        <v>20190304155706623</v>
      </c>
      <c r="B3705" t="str">
        <f>"1551686226618513"</f>
        <v>1551686226618513</v>
      </c>
      <c r="C3705" t="s">
        <v>40</v>
      </c>
      <c r="D3705">
        <v>4.5014000000000003</v>
      </c>
      <c r="E3705">
        <v>0.55731119999999901</v>
      </c>
      <c r="F3705" t="s">
        <v>69</v>
      </c>
      <c r="G3705">
        <v>-169.39279999999999</v>
      </c>
      <c r="H3705">
        <v>1.4559329999999999</v>
      </c>
      <c r="I3705">
        <v>208.9041</v>
      </c>
      <c r="J3705">
        <v>-297.82029999999997</v>
      </c>
      <c r="K3705">
        <v>1.110484</v>
      </c>
      <c r="L3705">
        <v>214.24590000000001</v>
      </c>
      <c r="M3705">
        <v>0.99988339999999998</v>
      </c>
      <c r="N3705">
        <v>-1.50773E-2</v>
      </c>
      <c r="O3705">
        <v>-2.5113290000000001E-3</v>
      </c>
      <c r="P3705">
        <v>0.98350099999999996</v>
      </c>
      <c r="Q3705">
        <v>0.17891679999999999</v>
      </c>
      <c r="R3705">
        <v>2.6739120000000002E-2</v>
      </c>
      <c r="S3705">
        <v>3.0522459999999998</v>
      </c>
      <c r="T3705">
        <v>8.192062E-3</v>
      </c>
      <c r="U3705">
        <v>-0.1266785</v>
      </c>
      <c r="V3705">
        <v>-2.937321E-2</v>
      </c>
      <c r="W3705">
        <v>0.19369919999999999</v>
      </c>
      <c r="X3705">
        <v>0.98062119999999997</v>
      </c>
      <c r="Y3705">
        <v>3.895912E-2</v>
      </c>
      <c r="Z3705">
        <v>-2.8616749999999999E-4</v>
      </c>
      <c r="AA3705">
        <v>0.99924080000000004</v>
      </c>
      <c r="AB3705">
        <v>40</v>
      </c>
      <c r="AC3705">
        <v>128.42749999999899</v>
      </c>
      <c r="AD3705">
        <v>0.34544899999999901</v>
      </c>
      <c r="AE3705">
        <v>-5.3418000000000001</v>
      </c>
      <c r="AF3705">
        <v>5.0191866007780899</v>
      </c>
      <c r="AG3705">
        <v>0.34544899999999901</v>
      </c>
      <c r="AH3705">
        <v>128.43958378132101</v>
      </c>
      <c r="AI3705">
        <v>89.846016111184994</v>
      </c>
      <c r="AJ3705">
        <v>87.762123272601698</v>
      </c>
      <c r="AK3705">
        <v>128.538080937378</v>
      </c>
      <c r="AL3705">
        <v>78.831256093307402</v>
      </c>
      <c r="AM3705">
        <v>91.715706232196595</v>
      </c>
      <c r="AN3705">
        <v>1.00000005171789</v>
      </c>
    </row>
    <row r="3706" spans="1:40" x14ac:dyDescent="0.25">
      <c r="A3706" t="str">
        <f>"20190304155706641"</f>
        <v>20190304155706641</v>
      </c>
      <c r="B3706" t="str">
        <f>"1551686226639009"</f>
        <v>1551686226639009</v>
      </c>
      <c r="C3706" t="s">
        <v>40</v>
      </c>
      <c r="D3706">
        <v>4.5476640000000002</v>
      </c>
      <c r="E3706">
        <v>0.56577650000000002</v>
      </c>
      <c r="F3706" t="s">
        <v>69</v>
      </c>
      <c r="G3706">
        <v>-168.4134</v>
      </c>
      <c r="H3706">
        <v>0.23941609999999999</v>
      </c>
      <c r="I3706">
        <v>197.8031</v>
      </c>
      <c r="J3706">
        <v>-297.50290000000001</v>
      </c>
      <c r="K3706">
        <v>1.110487</v>
      </c>
      <c r="L3706">
        <v>214.24529999999999</v>
      </c>
      <c r="M3706">
        <v>0.99988390000000005</v>
      </c>
      <c r="N3706">
        <v>-1.507382E-2</v>
      </c>
      <c r="O3706">
        <v>-2.2382169999999998E-3</v>
      </c>
      <c r="P3706">
        <v>0.98351820000000001</v>
      </c>
      <c r="Q3706">
        <v>0.17869279999999901</v>
      </c>
      <c r="R3706">
        <v>2.758768E-2</v>
      </c>
      <c r="S3706">
        <v>3.064667</v>
      </c>
      <c r="T3706">
        <v>-2.0628210000000001E-2</v>
      </c>
      <c r="U3706">
        <v>-0.38940429999999998</v>
      </c>
      <c r="V3706">
        <v>-2.995252E-2</v>
      </c>
      <c r="W3706">
        <v>0.1934718</v>
      </c>
      <c r="X3706">
        <v>0.98064850000000003</v>
      </c>
      <c r="Y3706">
        <v>0.1238192</v>
      </c>
      <c r="Z3706">
        <v>-1.3706790000000001E-3</v>
      </c>
      <c r="AA3706">
        <v>0.99230379999999996</v>
      </c>
      <c r="AB3706">
        <v>40</v>
      </c>
      <c r="AC3706">
        <v>129.08949999999999</v>
      </c>
      <c r="AD3706">
        <v>-0.87107089999999998</v>
      </c>
      <c r="AE3706">
        <v>-16.4421999999999</v>
      </c>
      <c r="AF3706">
        <v>16.152471940439099</v>
      </c>
      <c r="AG3706">
        <v>-0.87107089999999998</v>
      </c>
      <c r="AH3706">
        <v>129.12019661642</v>
      </c>
      <c r="AI3706">
        <v>90.3835337848992</v>
      </c>
      <c r="AJ3706">
        <v>82.869545299456902</v>
      </c>
      <c r="AK3706">
        <v>130.1294981492</v>
      </c>
      <c r="AL3706">
        <v>78.844535624582093</v>
      </c>
      <c r="AM3706">
        <v>91.749474564948798</v>
      </c>
      <c r="AN3706">
        <v>0.99999998570091997</v>
      </c>
    </row>
    <row r="3707" spans="1:40" x14ac:dyDescent="0.25">
      <c r="A3707" t="str">
        <f>"20190304155706662"</f>
        <v>20190304155706662</v>
      </c>
      <c r="B3707" t="str">
        <f>"1551686226658530"</f>
        <v>1551686226658530</v>
      </c>
      <c r="C3707" t="s">
        <v>40</v>
      </c>
      <c r="D3707">
        <v>4.5374780000000001</v>
      </c>
      <c r="E3707">
        <v>0.56855389999999995</v>
      </c>
      <c r="F3707" t="s">
        <v>69</v>
      </c>
      <c r="G3707">
        <v>-168.4144</v>
      </c>
      <c r="H3707">
        <v>0.55013849999999997</v>
      </c>
      <c r="I3707">
        <v>195.1207</v>
      </c>
      <c r="J3707">
        <v>-297.13909999999998</v>
      </c>
      <c r="K3707">
        <v>1.1104879999999999</v>
      </c>
      <c r="L3707">
        <v>214.2448</v>
      </c>
      <c r="M3707">
        <v>0.99988469999999996</v>
      </c>
      <c r="N3707">
        <v>-1.5069819999999999E-2</v>
      </c>
      <c r="O3707">
        <v>-1.925052E-3</v>
      </c>
      <c r="P3707">
        <v>0.98351889999999997</v>
      </c>
      <c r="Q3707">
        <v>0.17866770000000001</v>
      </c>
      <c r="R3707">
        <v>2.7725130000000001E-2</v>
      </c>
      <c r="S3707">
        <v>3.0654300000000001</v>
      </c>
      <c r="T3707">
        <v>-1.330566E-2</v>
      </c>
      <c r="U3707">
        <v>-0.45414729999999998</v>
      </c>
      <c r="V3707">
        <v>-2.9782019999999999E-2</v>
      </c>
      <c r="W3707">
        <v>0.1934428</v>
      </c>
      <c r="X3707">
        <v>0.98065939999999996</v>
      </c>
      <c r="Y3707">
        <v>0.14464089999999999</v>
      </c>
      <c r="Z3707">
        <v>-1.4286079999999901E-3</v>
      </c>
      <c r="AA3707">
        <v>0.98948320000000001</v>
      </c>
      <c r="AB3707">
        <v>40</v>
      </c>
      <c r="AC3707">
        <v>128.72469999999899</v>
      </c>
      <c r="AD3707">
        <v>-0.56034949999999994</v>
      </c>
      <c r="AE3707">
        <v>-19.124099999999999</v>
      </c>
      <c r="AF3707">
        <v>18.875884738567901</v>
      </c>
      <c r="AG3707">
        <v>-0.56034949999999994</v>
      </c>
      <c r="AH3707">
        <v>128.758893287321</v>
      </c>
      <c r="AI3707">
        <v>90.246708658875903</v>
      </c>
      <c r="AJ3707">
        <v>81.659921362095105</v>
      </c>
      <c r="AK3707">
        <v>130.13633472939699</v>
      </c>
      <c r="AL3707">
        <v>78.846229043441994</v>
      </c>
      <c r="AM3707">
        <v>91.739502769777602</v>
      </c>
      <c r="AN3707">
        <v>0.99999997219773895</v>
      </c>
    </row>
    <row r="3708" spans="1:40" x14ac:dyDescent="0.25">
      <c r="A3708" t="str">
        <f>"20190304155706679"</f>
        <v>20190304155706679</v>
      </c>
      <c r="B3708" t="str">
        <f>"1551686226668289"</f>
        <v>1551686226668289</v>
      </c>
      <c r="C3708" t="s">
        <v>40</v>
      </c>
      <c r="D3708">
        <v>4.5472440000000001</v>
      </c>
      <c r="E3708">
        <v>0.56942899999999996</v>
      </c>
      <c r="F3708" t="s">
        <v>69</v>
      </c>
      <c r="G3708">
        <v>-168.41489999999999</v>
      </c>
      <c r="H3708">
        <v>0.96424100000000001</v>
      </c>
      <c r="I3708">
        <v>194.25649999999999</v>
      </c>
      <c r="J3708">
        <v>-296.85480000000001</v>
      </c>
      <c r="K3708">
        <v>1.1104849999999999</v>
      </c>
      <c r="L3708">
        <v>214.24449999999999</v>
      </c>
      <c r="M3708">
        <v>0.99988520000000003</v>
      </c>
      <c r="N3708">
        <v>-1.5066680000000001E-2</v>
      </c>
      <c r="O3708">
        <v>-1.6801940000000001E-3</v>
      </c>
      <c r="P3708">
        <v>0.98351420000000001</v>
      </c>
      <c r="Q3708">
        <v>0.17865010000000001</v>
      </c>
      <c r="R3708">
        <v>2.8002800000000001E-2</v>
      </c>
      <c r="S3708">
        <v>3.0643310000000001</v>
      </c>
      <c r="T3708">
        <v>-3.4806730000000001E-3</v>
      </c>
      <c r="U3708">
        <v>-0.47583009999999898</v>
      </c>
      <c r="V3708">
        <v>-2.9818620000000001E-2</v>
      </c>
      <c r="W3708">
        <v>0.19342219999999999</v>
      </c>
      <c r="X3708">
        <v>0.98066240000000005</v>
      </c>
      <c r="Y3708">
        <v>0.15177939999999901</v>
      </c>
      <c r="Z3708">
        <v>-1.259243E-3</v>
      </c>
      <c r="AA3708">
        <v>0.9884136</v>
      </c>
      <c r="AB3708">
        <v>39</v>
      </c>
      <c r="AC3708">
        <v>128.43989999999999</v>
      </c>
      <c r="AD3708">
        <v>-0.14624399999999901</v>
      </c>
      <c r="AE3708">
        <v>-19.988</v>
      </c>
      <c r="AF3708">
        <v>19.772118330767199</v>
      </c>
      <c r="AG3708">
        <v>-0.14624399999999901</v>
      </c>
      <c r="AH3708">
        <v>128.473143567791</v>
      </c>
      <c r="AI3708">
        <v>90.064462165305102</v>
      </c>
      <c r="AJ3708">
        <v>81.250779702955995</v>
      </c>
      <c r="AK3708">
        <v>129.98579410375399</v>
      </c>
      <c r="AL3708">
        <v>78.847432598941296</v>
      </c>
      <c r="AM3708">
        <v>91.741633855422506</v>
      </c>
      <c r="AN3708">
        <v>1.00000002016265</v>
      </c>
    </row>
    <row r="3709" spans="1:40" x14ac:dyDescent="0.25">
      <c r="A3709" t="str">
        <f>"20190304155706696"</f>
        <v>20190304155706696</v>
      </c>
      <c r="B3709" t="str">
        <f>"1551686226688786"</f>
        <v>1551686226688786</v>
      </c>
      <c r="C3709" t="s">
        <v>40</v>
      </c>
      <c r="D3709">
        <v>4.497611</v>
      </c>
      <c r="E3709">
        <v>0.57020479999999996</v>
      </c>
      <c r="F3709" t="s">
        <v>69</v>
      </c>
      <c r="G3709">
        <v>-168.41499999999999</v>
      </c>
      <c r="H3709">
        <v>1.1146590000000001</v>
      </c>
      <c r="I3709">
        <v>194.041</v>
      </c>
      <c r="J3709">
        <v>-296.53230000000002</v>
      </c>
      <c r="K3709">
        <v>1.1104810000000001</v>
      </c>
      <c r="L3709">
        <v>214.24420000000001</v>
      </c>
      <c r="M3709">
        <v>0.99988560000000004</v>
      </c>
      <c r="N3709">
        <v>-1.5063119999999999E-2</v>
      </c>
      <c r="O3709">
        <v>-1.4019589999999999E-3</v>
      </c>
      <c r="P3709">
        <v>0.98349960000000003</v>
      </c>
      <c r="Q3709">
        <v>0.17863979999999999</v>
      </c>
      <c r="R3709">
        <v>2.8577780000000001E-2</v>
      </c>
      <c r="S3709">
        <v>3.0639949999999998</v>
      </c>
      <c r="T3709">
        <v>1.003742E-4</v>
      </c>
      <c r="U3709">
        <v>-0.48196410000000001</v>
      </c>
      <c r="V3709">
        <v>-3.0119839999999998E-2</v>
      </c>
      <c r="W3709">
        <v>0.19340869999999999</v>
      </c>
      <c r="X3709">
        <v>0.98065579999999997</v>
      </c>
      <c r="Y3709">
        <v>0.15400339999999901</v>
      </c>
      <c r="Z3709">
        <v>-1.185569E-3</v>
      </c>
      <c r="AA3709">
        <v>0.98806959999999999</v>
      </c>
      <c r="AB3709">
        <v>39</v>
      </c>
      <c r="AC3709">
        <v>128.1173</v>
      </c>
      <c r="AD3709">
        <v>4.1780000000000098E-3</v>
      </c>
      <c r="AE3709">
        <v>-20.203199999999999</v>
      </c>
      <c r="AF3709">
        <v>20.0235445445796</v>
      </c>
      <c r="AG3709">
        <v>4.1780000000000098E-3</v>
      </c>
      <c r="AH3709">
        <v>128.14550120269399</v>
      </c>
      <c r="AI3709">
        <v>89.998154349267494</v>
      </c>
      <c r="AJ3709">
        <v>81.118987325805094</v>
      </c>
      <c r="AK3709">
        <v>129.70046966790099</v>
      </c>
      <c r="AL3709">
        <v>78.848220345027002</v>
      </c>
      <c r="AM3709">
        <v>91.759228223213697</v>
      </c>
      <c r="AN3709">
        <v>0.99999996403547697</v>
      </c>
    </row>
    <row r="3710" spans="1:40" x14ac:dyDescent="0.25">
      <c r="A3710" t="str">
        <f>"20190304155706719"</f>
        <v>20190304155706719</v>
      </c>
      <c r="B3710" t="str">
        <f>"1551686226708305"</f>
        <v>1551686226708305</v>
      </c>
      <c r="C3710" t="s">
        <v>40</v>
      </c>
      <c r="D3710">
        <v>4.5487500000000001</v>
      </c>
      <c r="E3710">
        <v>0.57093619999999901</v>
      </c>
      <c r="F3710" t="s">
        <v>69</v>
      </c>
      <c r="G3710">
        <v>-168.4151</v>
      </c>
      <c r="H3710">
        <v>1.383381</v>
      </c>
      <c r="I3710">
        <v>193.9145</v>
      </c>
      <c r="J3710">
        <v>-296.13920000000002</v>
      </c>
      <c r="K3710">
        <v>1.1104830000000001</v>
      </c>
      <c r="L3710">
        <v>214.244</v>
      </c>
      <c r="M3710">
        <v>0.99988619999999995</v>
      </c>
      <c r="N3710">
        <v>-1.50587E-2</v>
      </c>
      <c r="O3710">
        <v>-1.0634030000000001E-3</v>
      </c>
      <c r="P3710">
        <v>0.98353760000000001</v>
      </c>
      <c r="Q3710">
        <v>0.17832400000000001</v>
      </c>
      <c r="R3710">
        <v>2.9239930000000001E-2</v>
      </c>
      <c r="S3710">
        <v>3.0632929999999998</v>
      </c>
      <c r="T3710">
        <v>6.5258740000000001E-3</v>
      </c>
      <c r="U3710">
        <v>-0.48608400000000002</v>
      </c>
      <c r="V3710">
        <v>-3.0448659999999999E-2</v>
      </c>
      <c r="W3710">
        <v>0.1930887</v>
      </c>
      <c r="X3710">
        <v>0.98070880000000005</v>
      </c>
      <c r="Y3710">
        <v>0.15567110000000001</v>
      </c>
      <c r="Z3710">
        <v>-1.0328290000000001E-3</v>
      </c>
      <c r="AA3710">
        <v>0.98780840000000003</v>
      </c>
      <c r="AB3710">
        <v>39</v>
      </c>
      <c r="AC3710">
        <v>127.72410000000001</v>
      </c>
      <c r="AD3710">
        <v>0.27289799999999997</v>
      </c>
      <c r="AE3710">
        <v>-20.329499999999999</v>
      </c>
      <c r="AF3710">
        <v>20.193561021361798</v>
      </c>
      <c r="AG3710">
        <v>0.27289799999999997</v>
      </c>
      <c r="AH3710">
        <v>127.745079900145</v>
      </c>
      <c r="AI3710">
        <v>89.879102117236201</v>
      </c>
      <c r="AJ3710">
        <v>81.017183891769605</v>
      </c>
      <c r="AK3710">
        <v>129.33158863454901</v>
      </c>
      <c r="AL3710">
        <v>78.866908314147693</v>
      </c>
      <c r="AM3710">
        <v>91.778325501991205</v>
      </c>
      <c r="AN3710">
        <v>1.00000005868046</v>
      </c>
    </row>
    <row r="3711" spans="1:40" x14ac:dyDescent="0.25">
      <c r="A3711" t="str">
        <f>"20190304155706740"</f>
        <v>20190304155706740</v>
      </c>
      <c r="B3711" t="str">
        <f>"1551686226738561"</f>
        <v>1551686226738561</v>
      </c>
      <c r="C3711" t="s">
        <v>40</v>
      </c>
      <c r="D3711">
        <v>4.5126239999999997</v>
      </c>
      <c r="E3711">
        <v>0.57184559999999995</v>
      </c>
      <c r="F3711" t="s">
        <v>69</v>
      </c>
      <c r="G3711">
        <v>-168.4152</v>
      </c>
      <c r="H3711">
        <v>1.504559</v>
      </c>
      <c r="I3711">
        <v>193.8296</v>
      </c>
      <c r="J3711">
        <v>-295.75049999999999</v>
      </c>
      <c r="K3711">
        <v>1.1104879999999999</v>
      </c>
      <c r="L3711">
        <v>214.2439</v>
      </c>
      <c r="M3711">
        <v>0.99988650000000001</v>
      </c>
      <c r="N3711">
        <v>-1.505426E-2</v>
      </c>
      <c r="O3711">
        <v>-7.283039E-4</v>
      </c>
      <c r="P3711">
        <v>0.98353139999999994</v>
      </c>
      <c r="Q3711">
        <v>0.17821919999999999</v>
      </c>
      <c r="R3711">
        <v>3.0067300000000002E-2</v>
      </c>
      <c r="S3711">
        <v>3.0630799999999998</v>
      </c>
      <c r="T3711">
        <v>9.4515090000000003E-3</v>
      </c>
      <c r="U3711">
        <v>-0.48957820000000002</v>
      </c>
      <c r="V3711">
        <v>-3.0945489999999999E-2</v>
      </c>
      <c r="W3711">
        <v>0.1929796</v>
      </c>
      <c r="X3711">
        <v>0.98071470000000005</v>
      </c>
      <c r="Y3711">
        <v>0.15711240000000001</v>
      </c>
      <c r="Z3711">
        <v>-9.6238330000000003E-4</v>
      </c>
      <c r="AA3711">
        <v>0.98758020000000002</v>
      </c>
      <c r="AB3711">
        <v>39</v>
      </c>
      <c r="AC3711">
        <v>127.3353</v>
      </c>
      <c r="AD3711">
        <v>0.394071</v>
      </c>
      <c r="AE3711">
        <v>-20.414300000000001</v>
      </c>
      <c r="AF3711">
        <v>20.321355536195799</v>
      </c>
      <c r="AG3711">
        <v>0.394071</v>
      </c>
      <c r="AH3711">
        <v>127.348946600258</v>
      </c>
      <c r="AI3711">
        <v>89.824918467545302</v>
      </c>
      <c r="AJ3711">
        <v>80.933622247816302</v>
      </c>
      <c r="AK3711">
        <v>128.96071875953899</v>
      </c>
      <c r="AL3711">
        <v>78.873278850242301</v>
      </c>
      <c r="AM3711">
        <v>91.807312437795304</v>
      </c>
      <c r="AN3711">
        <v>1.00000003608179</v>
      </c>
    </row>
    <row r="3712" spans="1:40" x14ac:dyDescent="0.25">
      <c r="A3712" t="str">
        <f>"20190304155706756"</f>
        <v>20190304155706756</v>
      </c>
      <c r="B3712" t="str">
        <f>"1551686226748322"</f>
        <v>1551686226748322</v>
      </c>
      <c r="C3712" t="s">
        <v>40</v>
      </c>
      <c r="D3712">
        <v>4.560365</v>
      </c>
      <c r="E3712">
        <v>0.57234130000000005</v>
      </c>
      <c r="F3712" t="s">
        <v>69</v>
      </c>
      <c r="G3712">
        <v>-168.4153</v>
      </c>
      <c r="H3712">
        <v>1.660336</v>
      </c>
      <c r="I3712">
        <v>193.68530000000001</v>
      </c>
      <c r="J3712">
        <v>-295.48689999999999</v>
      </c>
      <c r="K3712">
        <v>1.1104889999999901</v>
      </c>
      <c r="L3712">
        <v>214.2439</v>
      </c>
      <c r="M3712">
        <v>0.99988659999999996</v>
      </c>
      <c r="N3712">
        <v>-1.505131E-2</v>
      </c>
      <c r="O3712">
        <v>-5.0109069999999996E-4</v>
      </c>
      <c r="P3712">
        <v>0.98348789999999997</v>
      </c>
      <c r="Q3712">
        <v>0.17838499999999999</v>
      </c>
      <c r="R3712">
        <v>3.0510120000000002E-2</v>
      </c>
      <c r="S3712">
        <v>3.0629580000000001</v>
      </c>
      <c r="T3712">
        <v>1.3226989999999999E-2</v>
      </c>
      <c r="U3712">
        <v>-0.49452210000000002</v>
      </c>
      <c r="V3712">
        <v>-3.116474E-2</v>
      </c>
      <c r="W3712">
        <v>0.19314149999999999</v>
      </c>
      <c r="X3712">
        <v>0.98067579999999999</v>
      </c>
      <c r="Y3712">
        <v>0.15889739999999999</v>
      </c>
      <c r="Z3712">
        <v>-8.7231759999999896E-4</v>
      </c>
      <c r="AA3712">
        <v>0.98729469999999997</v>
      </c>
      <c r="AB3712">
        <v>39</v>
      </c>
      <c r="AC3712">
        <v>127.0716</v>
      </c>
      <c r="AD3712">
        <v>0.54984699999999997</v>
      </c>
      <c r="AE3712">
        <v>-20.558599999999899</v>
      </c>
      <c r="AF3712">
        <v>20.494541866583699</v>
      </c>
      <c r="AG3712">
        <v>0.54984699999999997</v>
      </c>
      <c r="AH3712">
        <v>127.07956825273099</v>
      </c>
      <c r="AI3712">
        <v>89.755256865238096</v>
      </c>
      <c r="AJ3712">
        <v>80.8386033158571</v>
      </c>
      <c r="AK3712">
        <v>128.72274564095099</v>
      </c>
      <c r="AL3712">
        <v>78.863823859315204</v>
      </c>
      <c r="AM3712">
        <v>91.820180882950893</v>
      </c>
      <c r="AN3712">
        <v>0.99999995237357697</v>
      </c>
    </row>
    <row r="3713" spans="1:40" x14ac:dyDescent="0.25">
      <c r="A3713" t="str">
        <f>"20190304155706768"</f>
        <v>20190304155706768</v>
      </c>
      <c r="B3713" t="str">
        <f>"1551686226758081"</f>
        <v>1551686226758081</v>
      </c>
      <c r="C3713" t="s">
        <v>40</v>
      </c>
      <c r="D3713">
        <v>4.5041479999999998</v>
      </c>
      <c r="E3713">
        <v>0.57273390000000002</v>
      </c>
      <c r="F3713" t="s">
        <v>69</v>
      </c>
      <c r="G3713">
        <v>-168.4153</v>
      </c>
      <c r="H3713">
        <v>1.7342029999999999</v>
      </c>
      <c r="I3713">
        <v>193.62209999999999</v>
      </c>
      <c r="J3713">
        <v>-295.25369999999998</v>
      </c>
      <c r="K3713">
        <v>1.1104889999999901</v>
      </c>
      <c r="L3713">
        <v>214.244</v>
      </c>
      <c r="M3713">
        <v>0.99988679999999996</v>
      </c>
      <c r="N3713">
        <v>-1.50487E-2</v>
      </c>
      <c r="O3713">
        <v>-2.9998459999999998E-4</v>
      </c>
      <c r="P3713">
        <v>0.98348530000000001</v>
      </c>
      <c r="Q3713">
        <v>0.1783477</v>
      </c>
      <c r="R3713">
        <v>3.0800480000000002E-2</v>
      </c>
      <c r="S3713">
        <v>3.0630489999999999</v>
      </c>
      <c r="T3713">
        <v>1.5035389999999999E-2</v>
      </c>
      <c r="U3713">
        <v>-0.49708560000000002</v>
      </c>
      <c r="V3713">
        <v>-3.1257109999999998E-2</v>
      </c>
      <c r="W3713">
        <v>0.1931013</v>
      </c>
      <c r="X3713">
        <v>0.98068080000000002</v>
      </c>
      <c r="Y3713">
        <v>0.1598967</v>
      </c>
      <c r="Z3713">
        <v>-8.2705439999999995E-4</v>
      </c>
      <c r="AA3713">
        <v>0.98713340000000005</v>
      </c>
      <c r="AB3713">
        <v>39</v>
      </c>
      <c r="AC3713">
        <v>126.838399999999</v>
      </c>
      <c r="AD3713">
        <v>0.62371399999999999</v>
      </c>
      <c r="AE3713">
        <v>-20.6219</v>
      </c>
      <c r="AF3713">
        <v>20.583360296189401</v>
      </c>
      <c r="AG3713">
        <v>0.62371399999999999</v>
      </c>
      <c r="AH3713">
        <v>126.841593108382</v>
      </c>
      <c r="AI3713">
        <v>89.721901423187404</v>
      </c>
      <c r="AJ3713">
        <v>80.782612136384401</v>
      </c>
      <c r="AK3713">
        <v>128.50234815951299</v>
      </c>
      <c r="AL3713">
        <v>78.8661715992437</v>
      </c>
      <c r="AM3713">
        <v>91.825562818861798</v>
      </c>
      <c r="AN3713">
        <v>0.99999997523794004</v>
      </c>
    </row>
    <row r="3714" spans="1:40" x14ac:dyDescent="0.25">
      <c r="A3714" t="str">
        <f>"20190304155706785"</f>
        <v>20190304155706785</v>
      </c>
      <c r="B3714" t="str">
        <f>"1551686226778577"</f>
        <v>1551686226778577</v>
      </c>
      <c r="C3714" t="s">
        <v>40</v>
      </c>
      <c r="D3714">
        <v>4.5081980000000001</v>
      </c>
      <c r="E3714">
        <v>0.57327640000000002</v>
      </c>
      <c r="F3714" t="s">
        <v>69</v>
      </c>
      <c r="G3714">
        <v>-168.4153</v>
      </c>
      <c r="H3714">
        <v>1.7675259999999999</v>
      </c>
      <c r="I3714">
        <v>193.57849999999999</v>
      </c>
      <c r="J3714">
        <v>-294.96480000000003</v>
      </c>
      <c r="K3714">
        <v>1.110487</v>
      </c>
      <c r="L3714">
        <v>214.2441</v>
      </c>
      <c r="M3714">
        <v>0.99988690000000002</v>
      </c>
      <c r="N3714">
        <v>-1.504547E-2</v>
      </c>
      <c r="O3714" s="1">
        <v>-5.0837790000000002E-5</v>
      </c>
      <c r="P3714">
        <v>0.98353020000000002</v>
      </c>
      <c r="Q3714">
        <v>0.1779732</v>
      </c>
      <c r="R3714">
        <v>3.1526239999999997E-2</v>
      </c>
      <c r="S3714">
        <v>3.0631409999999999</v>
      </c>
      <c r="T3714">
        <v>1.5868190000000001E-2</v>
      </c>
      <c r="U3714">
        <v>-0.49906919999999999</v>
      </c>
      <c r="V3714">
        <v>-3.173695E-2</v>
      </c>
      <c r="W3714">
        <v>0.19272420000000001</v>
      </c>
      <c r="X3714">
        <v>0.98073960000000004</v>
      </c>
      <c r="Y3714">
        <v>0.16076079999999901</v>
      </c>
      <c r="Z3714">
        <v>-8.0468670000000001E-4</v>
      </c>
      <c r="AA3714">
        <v>0.98699309999999996</v>
      </c>
      <c r="AB3714">
        <v>39</v>
      </c>
      <c r="AC3714">
        <v>126.54949999999999</v>
      </c>
      <c r="AD3714">
        <v>0.65703899999999904</v>
      </c>
      <c r="AE3714">
        <v>-20.665600000000001</v>
      </c>
      <c r="AF3714">
        <v>20.658623331822898</v>
      </c>
      <c r="AG3714">
        <v>0.65703899999999904</v>
      </c>
      <c r="AH3714">
        <v>126.54722789991099</v>
      </c>
      <c r="AI3714">
        <v>89.706406703836905</v>
      </c>
      <c r="AJ3714">
        <v>80.728345759311694</v>
      </c>
      <c r="AK3714">
        <v>128.22406680247499</v>
      </c>
      <c r="AL3714">
        <v>78.888191820315399</v>
      </c>
      <c r="AM3714">
        <v>91.853457286121596</v>
      </c>
      <c r="AN3714">
        <v>1.0000000071345501</v>
      </c>
    </row>
    <row r="3715" spans="1:40" x14ac:dyDescent="0.25">
      <c r="A3715" t="str">
        <f>"20190304155706801"</f>
        <v>20190304155706801</v>
      </c>
      <c r="B3715" t="str">
        <f>"1551686226798097"</f>
        <v>1551686226798097</v>
      </c>
      <c r="C3715" t="s">
        <v>40</v>
      </c>
      <c r="D3715">
        <v>4.6055760000000001</v>
      </c>
      <c r="E3715">
        <v>0.5735422</v>
      </c>
      <c r="F3715" t="s">
        <v>69</v>
      </c>
      <c r="G3715">
        <v>-168.41540000000001</v>
      </c>
      <c r="H3715">
        <v>1.843324</v>
      </c>
      <c r="I3715">
        <v>193.523</v>
      </c>
      <c r="J3715">
        <v>-294.7002</v>
      </c>
      <c r="K3715">
        <v>1.110487</v>
      </c>
      <c r="L3715">
        <v>214.24430000000001</v>
      </c>
      <c r="M3715">
        <v>0.99988699999999997</v>
      </c>
      <c r="N3715">
        <v>-1.50425E-2</v>
      </c>
      <c r="O3715">
        <v>1.7744939999999999E-4</v>
      </c>
      <c r="P3715">
        <v>0.98354779999999997</v>
      </c>
      <c r="Q3715">
        <v>0.17783009999999999</v>
      </c>
      <c r="R3715">
        <v>3.1787240000000001E-2</v>
      </c>
      <c r="S3715">
        <v>3.0631409999999999</v>
      </c>
      <c r="T3715">
        <v>1.773918E-2</v>
      </c>
      <c r="U3715">
        <v>-0.50155640000000001</v>
      </c>
      <c r="V3715">
        <v>-3.1773419999999997E-2</v>
      </c>
      <c r="W3715">
        <v>0.19257869999999999</v>
      </c>
      <c r="X3715">
        <v>0.98076700000000006</v>
      </c>
      <c r="Y3715">
        <v>0.16176679999999999</v>
      </c>
      <c r="Z3715">
        <v>-7.5580820000000003E-4</v>
      </c>
      <c r="AA3715">
        <v>0.9868287</v>
      </c>
      <c r="AB3715">
        <v>39</v>
      </c>
      <c r="AC3715">
        <v>126.2848</v>
      </c>
      <c r="AD3715">
        <v>0.73283699999999996</v>
      </c>
      <c r="AE3715">
        <v>-20.721299999999999</v>
      </c>
      <c r="AF3715">
        <v>20.743031152016201</v>
      </c>
      <c r="AG3715">
        <v>0.73283699999999996</v>
      </c>
      <c r="AH3715">
        <v>126.276979675832</v>
      </c>
      <c r="AI3715">
        <v>89.671890063028897</v>
      </c>
      <c r="AJ3715">
        <v>80.671552794938293</v>
      </c>
      <c r="AK3715">
        <v>127.971426449394</v>
      </c>
      <c r="AL3715">
        <v>78.896687503299503</v>
      </c>
      <c r="AM3715">
        <v>91.855533864451701</v>
      </c>
      <c r="AN3715">
        <v>1.0000000071005899</v>
      </c>
    </row>
    <row r="3716" spans="1:40" x14ac:dyDescent="0.25">
      <c r="A3716" t="str">
        <f>"20190304155706820"</f>
        <v>20190304155706820</v>
      </c>
      <c r="B3716" t="str">
        <f>"1551686226808833"</f>
        <v>1551686226808833</v>
      </c>
      <c r="C3716" t="s">
        <v>40</v>
      </c>
      <c r="D3716">
        <v>4.5587239999999998</v>
      </c>
      <c r="E3716">
        <v>0.58284609999999903</v>
      </c>
      <c r="F3716" t="s">
        <v>69</v>
      </c>
      <c r="G3716">
        <v>-168.41540000000001</v>
      </c>
      <c r="H3716">
        <v>1.883596</v>
      </c>
      <c r="I3716">
        <v>193.5078</v>
      </c>
      <c r="J3716">
        <v>-294.36169999999998</v>
      </c>
      <c r="K3716">
        <v>1.1104879999999999</v>
      </c>
      <c r="L3716">
        <v>214.24459999999999</v>
      </c>
      <c r="M3716">
        <v>0.99988679999999996</v>
      </c>
      <c r="N3716">
        <v>-1.503869E-2</v>
      </c>
      <c r="O3716">
        <v>4.6957450000000001E-4</v>
      </c>
      <c r="P3716">
        <v>0.98356929999999998</v>
      </c>
      <c r="Q3716">
        <v>0.17763080000000001</v>
      </c>
      <c r="R3716">
        <v>3.2231740000000002E-2</v>
      </c>
      <c r="S3716">
        <v>3.0630190000000002</v>
      </c>
      <c r="T3716">
        <v>1.8752459999999999E-2</v>
      </c>
      <c r="U3716">
        <v>-0.50296019999999997</v>
      </c>
      <c r="V3716">
        <v>-3.1930439999999997E-2</v>
      </c>
      <c r="W3716">
        <v>0.19237650000000001</v>
      </c>
      <c r="X3716">
        <v>0.98080160000000005</v>
      </c>
      <c r="Y3716">
        <v>0.162501799999999</v>
      </c>
      <c r="Z3716">
        <v>-7.2609460000000003E-4</v>
      </c>
      <c r="AA3716">
        <v>0.98670800000000003</v>
      </c>
      <c r="AB3716">
        <v>39</v>
      </c>
      <c r="AC3716">
        <v>125.946299999999</v>
      </c>
      <c r="AD3716">
        <v>0.77310799999999902</v>
      </c>
      <c r="AE3716">
        <v>-20.736799999999899</v>
      </c>
      <c r="AF3716">
        <v>20.7951826939812</v>
      </c>
      <c r="AG3716">
        <v>0.77310799999999902</v>
      </c>
      <c r="AH3716">
        <v>125.931927677104</v>
      </c>
      <c r="AI3716">
        <v>89.652959827182798</v>
      </c>
      <c r="AJ3716">
        <v>80.623344757539201</v>
      </c>
      <c r="AK3716">
        <v>127.639679284019</v>
      </c>
      <c r="AL3716">
        <v>78.908493662392601</v>
      </c>
      <c r="AM3716">
        <v>91.864631472385895</v>
      </c>
      <c r="AN3716">
        <v>1.0000000246567</v>
      </c>
    </row>
    <row r="3717" spans="1:40" x14ac:dyDescent="0.25">
      <c r="A3717" t="str">
        <f>"20190304155706842"</f>
        <v>20190304155706842</v>
      </c>
      <c r="B3717" t="str">
        <f>"1551686226838113"</f>
        <v>1551686226838113</v>
      </c>
      <c r="C3717" t="s">
        <v>40</v>
      </c>
      <c r="D3717">
        <v>4.4643739999999896</v>
      </c>
      <c r="E3717">
        <v>0.57812140000000001</v>
      </c>
      <c r="F3717" t="s">
        <v>69</v>
      </c>
      <c r="G3717">
        <v>-168.41659999999999</v>
      </c>
      <c r="H3717">
        <v>2.5939000000000001</v>
      </c>
      <c r="I3717">
        <v>190.57839999999999</v>
      </c>
      <c r="J3717">
        <v>-293.98239999999998</v>
      </c>
      <c r="K3717">
        <v>1.1104849999999999</v>
      </c>
      <c r="L3717">
        <v>214.24510000000001</v>
      </c>
      <c r="M3717">
        <v>0.99988679999999996</v>
      </c>
      <c r="N3717">
        <v>-1.503441E-2</v>
      </c>
      <c r="O3717">
        <v>7.968653E-4</v>
      </c>
      <c r="P3717">
        <v>0.98362939999999999</v>
      </c>
      <c r="Q3717">
        <v>0.1772291</v>
      </c>
      <c r="R3717">
        <v>3.2608289999999998E-2</v>
      </c>
      <c r="S3717">
        <v>3.062408</v>
      </c>
      <c r="T3717">
        <v>3.607059E-2</v>
      </c>
      <c r="U3717">
        <v>-0.57545469999999999</v>
      </c>
      <c r="V3717">
        <v>-3.198401E-2</v>
      </c>
      <c r="W3717">
        <v>0.19197130000000001</v>
      </c>
      <c r="X3717">
        <v>0.98087919999999995</v>
      </c>
      <c r="Y3717">
        <v>0.18546360000000001</v>
      </c>
      <c r="Z3717">
        <v>-3.0241699999999997E-4</v>
      </c>
      <c r="AA3717">
        <v>0.9826511</v>
      </c>
      <c r="AB3717">
        <v>39</v>
      </c>
      <c r="AC3717">
        <v>125.5658</v>
      </c>
      <c r="AD3717">
        <v>1.4834149999999999</v>
      </c>
      <c r="AE3717">
        <v>-23.666699999999999</v>
      </c>
      <c r="AF3717">
        <v>23.763559981690001</v>
      </c>
      <c r="AG3717">
        <v>1.4834149999999999</v>
      </c>
      <c r="AH3717">
        <v>125.52998002466801</v>
      </c>
      <c r="AI3717">
        <v>89.334768699960193</v>
      </c>
      <c r="AJ3717">
        <v>79.280423737148993</v>
      </c>
      <c r="AK3717">
        <v>127.768083604862</v>
      </c>
      <c r="AL3717">
        <v>78.9321503712397</v>
      </c>
      <c r="AM3717">
        <v>91.867609909577496</v>
      </c>
      <c r="AN3717">
        <v>0.99999998095600395</v>
      </c>
    </row>
    <row r="3718" spans="1:40" x14ac:dyDescent="0.25">
      <c r="A3718" t="str">
        <f>"20190304155706864"</f>
        <v>20190304155706864</v>
      </c>
      <c r="B3718" t="str">
        <f>"1551686226858609"</f>
        <v>1551686226858609</v>
      </c>
      <c r="C3718" t="s">
        <v>40</v>
      </c>
      <c r="D3718">
        <v>4.4660549999999999</v>
      </c>
      <c r="E3718">
        <v>0.57852510000000001</v>
      </c>
      <c r="F3718" t="s">
        <v>69</v>
      </c>
      <c r="G3718">
        <v>-168.4162</v>
      </c>
      <c r="H3718">
        <v>2.9713660000000002</v>
      </c>
      <c r="I3718">
        <v>192.23609999999999</v>
      </c>
      <c r="J3718">
        <v>-293.59890000000001</v>
      </c>
      <c r="K3718">
        <v>1.1104799999999999</v>
      </c>
      <c r="L3718">
        <v>214.2457</v>
      </c>
      <c r="M3718">
        <v>0.99988650000000001</v>
      </c>
      <c r="N3718">
        <v>-1.5030109999999999E-2</v>
      </c>
      <c r="O3718">
        <v>1.128148E-3</v>
      </c>
      <c r="P3718">
        <v>0.98365210000000003</v>
      </c>
      <c r="Q3718">
        <v>0.17705679999999999</v>
      </c>
      <c r="R3718">
        <v>3.2865180000000001E-2</v>
      </c>
      <c r="S3718">
        <v>3.0595400000000001</v>
      </c>
      <c r="T3718">
        <v>4.5342920000000002E-2</v>
      </c>
      <c r="U3718">
        <v>-0.53627009999999997</v>
      </c>
      <c r="V3718">
        <v>-3.1914489999999997E-2</v>
      </c>
      <c r="W3718">
        <v>0.19179579999999999</v>
      </c>
      <c r="X3718">
        <v>0.9809158</v>
      </c>
      <c r="Y3718">
        <v>0.173757299999999</v>
      </c>
      <c r="Z3718" s="1">
        <v>-4.5781490000000001E-6</v>
      </c>
      <c r="AA3718">
        <v>0.98478849999999996</v>
      </c>
      <c r="AB3718">
        <v>39</v>
      </c>
      <c r="AC3718">
        <v>125.1827</v>
      </c>
      <c r="AD3718">
        <v>1.860886</v>
      </c>
      <c r="AE3718">
        <v>-22.009599999999999</v>
      </c>
      <c r="AF3718">
        <v>22.1460794713763</v>
      </c>
      <c r="AG3718">
        <v>1.860886</v>
      </c>
      <c r="AH3718">
        <v>125.130965265578</v>
      </c>
      <c r="AI3718">
        <v>89.161024648439707</v>
      </c>
      <c r="AJ3718">
        <v>79.963538873222205</v>
      </c>
      <c r="AK3718">
        <v>127.089221419257</v>
      </c>
      <c r="AL3718">
        <v>78.942396218012803</v>
      </c>
      <c r="AM3718">
        <v>91.863483880036696</v>
      </c>
      <c r="AN3718">
        <v>0.99999998512961996</v>
      </c>
    </row>
    <row r="3719" spans="1:40" x14ac:dyDescent="0.25">
      <c r="A3719" t="str">
        <f>"20190304155706886"</f>
        <v>20190304155706886</v>
      </c>
      <c r="B3719" t="str">
        <f>"1551686226878129"</f>
        <v>1551686226878129</v>
      </c>
      <c r="C3719" t="s">
        <v>40</v>
      </c>
      <c r="D3719">
        <v>4.5623230000000001</v>
      </c>
      <c r="E3719">
        <v>0.57919709999999902</v>
      </c>
      <c r="F3719" t="s">
        <v>69</v>
      </c>
      <c r="G3719">
        <v>-168.41630000000001</v>
      </c>
      <c r="H3719">
        <v>3.2533020000000001</v>
      </c>
      <c r="I3719">
        <v>192.1986</v>
      </c>
      <c r="J3719">
        <v>-293.20929999999998</v>
      </c>
      <c r="K3719">
        <v>1.1104799999999999</v>
      </c>
      <c r="L3719">
        <v>214.2465</v>
      </c>
      <c r="M3719">
        <v>0.9998861</v>
      </c>
      <c r="N3719">
        <v>-1.5025770000000001E-2</v>
      </c>
      <c r="O3719">
        <v>1.465091E-3</v>
      </c>
      <c r="P3719">
        <v>0.98369960000000001</v>
      </c>
      <c r="Q3719">
        <v>0.17671799999999999</v>
      </c>
      <c r="R3719">
        <v>3.3255979999999997E-2</v>
      </c>
      <c r="S3719">
        <v>3.0584410000000002</v>
      </c>
      <c r="T3719">
        <v>5.2353860000000002E-2</v>
      </c>
      <c r="U3719">
        <v>-0.53865050000000003</v>
      </c>
      <c r="V3719">
        <v>-3.1973269999999998E-2</v>
      </c>
      <c r="W3719">
        <v>0.19145319999999999</v>
      </c>
      <c r="X3719">
        <v>0.98098079999999999</v>
      </c>
      <c r="Y3719">
        <v>0.174889299999999</v>
      </c>
      <c r="Z3719">
        <v>2.0801439999999999E-4</v>
      </c>
      <c r="AA3719">
        <v>0.98458809999999997</v>
      </c>
      <c r="AB3719">
        <v>39</v>
      </c>
      <c r="AC3719">
        <v>124.792999999999</v>
      </c>
      <c r="AD3719">
        <v>2.1428219999999998</v>
      </c>
      <c r="AE3719">
        <v>-22.047899999999998</v>
      </c>
      <c r="AF3719">
        <v>22.224375695602301</v>
      </c>
      <c r="AG3719">
        <v>2.1428219999999998</v>
      </c>
      <c r="AH3719">
        <v>124.72489901038701</v>
      </c>
      <c r="AI3719">
        <v>89.030993300119505</v>
      </c>
      <c r="AJ3719">
        <v>79.896666282827795</v>
      </c>
      <c r="AK3719">
        <v>126.707596434998</v>
      </c>
      <c r="AL3719">
        <v>78.962396263622793</v>
      </c>
      <c r="AM3719">
        <v>91.866789997245505</v>
      </c>
      <c r="AN3719">
        <v>0.99999997387668604</v>
      </c>
    </row>
    <row r="3720" spans="1:40" x14ac:dyDescent="0.25">
      <c r="A3720" t="str">
        <f>"20190304155706908"</f>
        <v>20190304155706908</v>
      </c>
      <c r="B3720" t="str">
        <f>"1551686226898625"</f>
        <v>1551686226898625</v>
      </c>
      <c r="C3720" t="s">
        <v>40</v>
      </c>
      <c r="D3720">
        <v>4.5250890000000004</v>
      </c>
      <c r="E3720">
        <v>0.57915260000000002</v>
      </c>
      <c r="F3720" t="s">
        <v>69</v>
      </c>
      <c r="G3720">
        <v>-168.41640000000001</v>
      </c>
      <c r="H3720">
        <v>3.302378</v>
      </c>
      <c r="I3720">
        <v>192.09119999999999</v>
      </c>
      <c r="J3720">
        <v>-292.82749999999999</v>
      </c>
      <c r="K3720">
        <v>1.1104719999999999</v>
      </c>
      <c r="L3720">
        <v>214.2473</v>
      </c>
      <c r="M3720">
        <v>0.99988560000000004</v>
      </c>
      <c r="N3720">
        <v>-1.502149E-2</v>
      </c>
      <c r="O3720">
        <v>1.79524E-3</v>
      </c>
      <c r="P3720">
        <v>0.98370630000000003</v>
      </c>
      <c r="Q3720">
        <v>0.17666750000000001</v>
      </c>
      <c r="R3720">
        <v>3.3323579999999998E-2</v>
      </c>
      <c r="S3720">
        <v>3.0584410000000002</v>
      </c>
      <c r="T3720">
        <v>5.3720120000000003E-2</v>
      </c>
      <c r="U3720">
        <v>-0.54298400000000002</v>
      </c>
      <c r="V3720">
        <v>-3.1715399999999998E-2</v>
      </c>
      <c r="W3720">
        <v>0.1913994</v>
      </c>
      <c r="X3720">
        <v>0.98099970000000003</v>
      </c>
      <c r="Y3720">
        <v>0.1765659</v>
      </c>
      <c r="Z3720">
        <v>2.6002879999999999E-4</v>
      </c>
      <c r="AA3720">
        <v>0.98428879999999996</v>
      </c>
      <c r="AB3720">
        <v>39</v>
      </c>
      <c r="AC3720">
        <v>124.411099999999</v>
      </c>
      <c r="AD3720">
        <v>2.1919059999999999</v>
      </c>
      <c r="AE3720">
        <v>-22.156099999999999</v>
      </c>
      <c r="AF3720">
        <v>22.372706193390801</v>
      </c>
      <c r="AG3720">
        <v>2.1919059999999999</v>
      </c>
      <c r="AH3720">
        <v>124.333712318319</v>
      </c>
      <c r="AI3720">
        <v>89.005985848717401</v>
      </c>
      <c r="AJ3720">
        <v>79.799312428712398</v>
      </c>
      <c r="AK3720">
        <v>126.34957242976</v>
      </c>
      <c r="AL3720">
        <v>78.965537193984204</v>
      </c>
      <c r="AM3720">
        <v>91.851708883851401</v>
      </c>
      <c r="AN3720">
        <v>1.0000000041588</v>
      </c>
    </row>
    <row r="3721" spans="1:40" x14ac:dyDescent="0.25">
      <c r="A3721" t="str">
        <f>"20190304155706931"</f>
        <v>20190304155706931</v>
      </c>
      <c r="B3721" t="str">
        <f>"1551686226928881"</f>
        <v>1551686226928881</v>
      </c>
      <c r="C3721" t="s">
        <v>40</v>
      </c>
      <c r="D3721">
        <v>4.5951449999999996</v>
      </c>
      <c r="E3721">
        <v>0.56766079999999997</v>
      </c>
      <c r="F3721" t="s">
        <v>69</v>
      </c>
      <c r="G3721">
        <v>-168.41630000000001</v>
      </c>
      <c r="H3721">
        <v>3.300427</v>
      </c>
      <c r="I3721">
        <v>192.18709999999999</v>
      </c>
      <c r="J3721">
        <v>-292.43549999999999</v>
      </c>
      <c r="K3721">
        <v>1.1104750000000001</v>
      </c>
      <c r="L3721">
        <v>214.2484</v>
      </c>
      <c r="M3721">
        <v>0.99988509999999997</v>
      </c>
      <c r="N3721">
        <v>-1.5017050000000001E-2</v>
      </c>
      <c r="O3721">
        <v>2.1342700000000002E-3</v>
      </c>
      <c r="P3721">
        <v>0.98366810000000005</v>
      </c>
      <c r="Q3721">
        <v>0.17683070000000001</v>
      </c>
      <c r="R3721">
        <v>3.3590469999999997E-2</v>
      </c>
      <c r="S3721">
        <v>3.0583499999999999</v>
      </c>
      <c r="T3721">
        <v>5.3835630000000002E-2</v>
      </c>
      <c r="U3721">
        <v>-0.54229740000000004</v>
      </c>
      <c r="V3721">
        <v>-3.1648919999999997E-2</v>
      </c>
      <c r="W3721">
        <v>0.19155759999999999</v>
      </c>
      <c r="X3721">
        <v>0.98097100000000004</v>
      </c>
      <c r="Y3721">
        <v>0.17669019999999999</v>
      </c>
      <c r="Z3721">
        <v>2.7501000000000001E-4</v>
      </c>
      <c r="AA3721">
        <v>0.98426650000000004</v>
      </c>
      <c r="AB3721">
        <v>39</v>
      </c>
      <c r="AC3721">
        <v>124.019199999999</v>
      </c>
      <c r="AD3721">
        <v>2.1899519999999901</v>
      </c>
      <c r="AE3721">
        <v>-22.061299999999999</v>
      </c>
      <c r="AF3721">
        <v>22.319224100298101</v>
      </c>
      <c r="AG3721">
        <v>2.1899519999999901</v>
      </c>
      <c r="AH3721">
        <v>123.93436863615</v>
      </c>
      <c r="AI3721">
        <v>89.003698117109494</v>
      </c>
      <c r="AJ3721">
        <v>79.791083666250401</v>
      </c>
      <c r="AK3721">
        <v>125.947097558628</v>
      </c>
      <c r="AL3721">
        <v>78.956302474419203</v>
      </c>
      <c r="AM3721">
        <v>91.847884155697201</v>
      </c>
      <c r="AN3721">
        <v>1.0000000355479599</v>
      </c>
    </row>
    <row r="3722" spans="1:40" x14ac:dyDescent="0.25">
      <c r="A3722" t="str">
        <f>"20190304155706953"</f>
        <v>20190304155706953</v>
      </c>
      <c r="B3722" t="str">
        <f>"1551686226948402"</f>
        <v>1551686226948402</v>
      </c>
      <c r="C3722" t="s">
        <v>40</v>
      </c>
      <c r="D3722">
        <v>4.5860240000000001</v>
      </c>
      <c r="E3722">
        <v>0.56805169999999905</v>
      </c>
      <c r="F3722" t="s">
        <v>69</v>
      </c>
      <c r="G3722">
        <v>-168.4143</v>
      </c>
      <c r="H3722">
        <v>1.147737</v>
      </c>
      <c r="I3722">
        <v>195.98820000000001</v>
      </c>
      <c r="J3722">
        <v>-292.05180000000001</v>
      </c>
      <c r="K3722">
        <v>1.1104810000000001</v>
      </c>
      <c r="L3722">
        <v>214.24950000000001</v>
      </c>
      <c r="M3722">
        <v>0.99988429999999995</v>
      </c>
      <c r="N3722">
        <v>-1.501273E-2</v>
      </c>
      <c r="O3722">
        <v>2.4666850000000001E-3</v>
      </c>
      <c r="P3722">
        <v>0.9835969</v>
      </c>
      <c r="Q3722">
        <v>0.17726210000000001</v>
      </c>
      <c r="R3722">
        <v>3.340071E-2</v>
      </c>
      <c r="S3722">
        <v>3.0650330000000001</v>
      </c>
      <c r="T3722">
        <v>9.2172619999999995E-4</v>
      </c>
      <c r="U3722">
        <v>-0.45127869999999998</v>
      </c>
      <c r="V3722">
        <v>-3.113266E-2</v>
      </c>
      <c r="W3722">
        <v>0.1919844</v>
      </c>
      <c r="X3722">
        <v>0.980904</v>
      </c>
      <c r="Y3722">
        <v>0.14810429999999999</v>
      </c>
      <c r="Z3722">
        <v>-1.0580260000000001E-3</v>
      </c>
      <c r="AA3722">
        <v>0.98897120000000005</v>
      </c>
      <c r="AB3722">
        <v>39</v>
      </c>
      <c r="AC3722">
        <v>123.6375</v>
      </c>
      <c r="AD3722">
        <v>3.72559999999999E-2</v>
      </c>
      <c r="AE3722">
        <v>-18.261299999999999</v>
      </c>
      <c r="AF3722">
        <v>18.566251910007999</v>
      </c>
      <c r="AG3722">
        <v>3.72559999999999E-2</v>
      </c>
      <c r="AH3722">
        <v>123.592062843596</v>
      </c>
      <c r="AI3722">
        <v>89.982920213062897</v>
      </c>
      <c r="AJ3722">
        <v>81.456792739675905</v>
      </c>
      <c r="AK3722">
        <v>124.978818589114</v>
      </c>
      <c r="AL3722">
        <v>78.931385277365607</v>
      </c>
      <c r="AM3722">
        <v>91.817885772542098</v>
      </c>
      <c r="AN3722">
        <v>0.99999995478901604</v>
      </c>
    </row>
    <row r="3723" spans="1:40" x14ac:dyDescent="0.25">
      <c r="A3723" t="str">
        <f>"20190304155706968"</f>
        <v>20190304155706968</v>
      </c>
      <c r="B3723" t="str">
        <f>"1551686226958161"</f>
        <v>1551686226958161</v>
      </c>
      <c r="C3723" t="s">
        <v>40</v>
      </c>
      <c r="D3723">
        <v>4.570354</v>
      </c>
      <c r="E3723">
        <v>0.56823469999999998</v>
      </c>
      <c r="F3723" t="s">
        <v>69</v>
      </c>
      <c r="G3723">
        <v>-168.4145</v>
      </c>
      <c r="H3723">
        <v>1.4683949999999999</v>
      </c>
      <c r="I3723">
        <v>195.89609999999999</v>
      </c>
      <c r="J3723">
        <v>-291.77769999999998</v>
      </c>
      <c r="K3723">
        <v>1.110482</v>
      </c>
      <c r="L3723">
        <v>214.25040000000001</v>
      </c>
      <c r="M3723">
        <v>0.99988379999999999</v>
      </c>
      <c r="N3723">
        <v>-1.500963E-2</v>
      </c>
      <c r="O3723">
        <v>2.7039109999999998E-3</v>
      </c>
      <c r="P3723">
        <v>0.98355179999999998</v>
      </c>
      <c r="Q3723">
        <v>0.17748249999999999</v>
      </c>
      <c r="R3723">
        <v>3.3554479999999998E-2</v>
      </c>
      <c r="S3723">
        <v>3.0638730000000001</v>
      </c>
      <c r="T3723">
        <v>8.8703629999999992E-3</v>
      </c>
      <c r="U3723">
        <v>-0.45481870000000002</v>
      </c>
      <c r="V3723">
        <v>-3.105275E-2</v>
      </c>
      <c r="W3723">
        <v>0.19220100000000001</v>
      </c>
      <c r="X3723">
        <v>0.98086419999999996</v>
      </c>
      <c r="Y3723">
        <v>0.14951310000000001</v>
      </c>
      <c r="Z3723">
        <v>-8.6483570000000002E-4</v>
      </c>
      <c r="AA3723">
        <v>0.98875930000000001</v>
      </c>
      <c r="AB3723">
        <v>39</v>
      </c>
      <c r="AC3723">
        <v>123.363199999999</v>
      </c>
      <c r="AD3723">
        <v>0.35791299999999998</v>
      </c>
      <c r="AE3723">
        <v>-18.354299999999999</v>
      </c>
      <c r="AF3723">
        <v>18.687679650582002</v>
      </c>
      <c r="AG3723">
        <v>0.35791299999999998</v>
      </c>
      <c r="AH3723">
        <v>123.31209945395</v>
      </c>
      <c r="AI3723">
        <v>89.835577039256407</v>
      </c>
      <c r="AJ3723">
        <v>81.382522155339103</v>
      </c>
      <c r="AK3723">
        <v>124.720613148666</v>
      </c>
      <c r="AL3723">
        <v>78.918740442697299</v>
      </c>
      <c r="AM3723">
        <v>91.813296343789204</v>
      </c>
      <c r="AN3723">
        <v>1.0000000382626</v>
      </c>
    </row>
    <row r="3724" spans="1:40" x14ac:dyDescent="0.25">
      <c r="A3724" t="str">
        <f>"20190304155706987"</f>
        <v>20190304155706987</v>
      </c>
      <c r="B3724" t="str">
        <f>"1551686226978657"</f>
        <v>1551686226978657</v>
      </c>
      <c r="C3724" t="s">
        <v>40</v>
      </c>
      <c r="D3724">
        <v>4.5524950000000004</v>
      </c>
      <c r="E3724">
        <v>0.56756289999999998</v>
      </c>
      <c r="F3724" t="s">
        <v>69</v>
      </c>
      <c r="G3724">
        <v>-168.4145</v>
      </c>
      <c r="H3724">
        <v>1.4906280000000001</v>
      </c>
      <c r="I3724">
        <v>195.89940000000001</v>
      </c>
      <c r="J3724">
        <v>-291.46660000000003</v>
      </c>
      <c r="K3724">
        <v>1.1104889999999901</v>
      </c>
      <c r="L3724">
        <v>214.25149999999999</v>
      </c>
      <c r="M3724">
        <v>0.99988310000000002</v>
      </c>
      <c r="N3724">
        <v>-1.50061E-2</v>
      </c>
      <c r="O3724">
        <v>2.9733820000000001E-3</v>
      </c>
      <c r="P3724">
        <v>0.98347450000000003</v>
      </c>
      <c r="Q3724">
        <v>0.1779085</v>
      </c>
      <c r="R3724">
        <v>3.3565409999999997E-2</v>
      </c>
      <c r="S3724">
        <v>3.0640559999999999</v>
      </c>
      <c r="T3724">
        <v>9.4428059999999998E-3</v>
      </c>
      <c r="U3724">
        <v>-0.45579530000000001</v>
      </c>
      <c r="V3724">
        <v>-3.079898E-2</v>
      </c>
      <c r="W3724">
        <v>0.19262309999999999</v>
      </c>
      <c r="X3724">
        <v>0.98078940000000003</v>
      </c>
      <c r="Y3724">
        <v>0.150079399999999</v>
      </c>
      <c r="Z3724">
        <v>-8.4878899999999997E-4</v>
      </c>
      <c r="AA3724">
        <v>0.98867360000000004</v>
      </c>
      <c r="AB3724">
        <v>39</v>
      </c>
      <c r="AC3724">
        <v>123.0521</v>
      </c>
      <c r="AD3724">
        <v>0.380139</v>
      </c>
      <c r="AE3724">
        <v>-18.352099999999901</v>
      </c>
      <c r="AF3724">
        <v>18.717766168083799</v>
      </c>
      <c r="AG3724">
        <v>0.380139</v>
      </c>
      <c r="AH3724">
        <v>122.995833714908</v>
      </c>
      <c r="AI3724">
        <v>89.824934060149801</v>
      </c>
      <c r="AJ3724">
        <v>81.346998881926993</v>
      </c>
      <c r="AK3724">
        <v>124.412517003747</v>
      </c>
      <c r="AL3724">
        <v>78.894095419079704</v>
      </c>
      <c r="AM3724">
        <v>91.798624525347293</v>
      </c>
      <c r="AN3724">
        <v>1.0000000414875001</v>
      </c>
    </row>
    <row r="3725" spans="1:40" x14ac:dyDescent="0.25">
      <c r="A3725" t="str">
        <f>"20190304155707009"</f>
        <v>20190304155707009</v>
      </c>
      <c r="B3725" t="str">
        <f>"1551686226998177"</f>
        <v>1551686226998177</v>
      </c>
      <c r="C3725" t="s">
        <v>40</v>
      </c>
      <c r="D3725">
        <v>4.5435109999999996</v>
      </c>
      <c r="E3725">
        <v>0.56758299999999995</v>
      </c>
      <c r="F3725" t="s">
        <v>69</v>
      </c>
      <c r="G3725">
        <v>-168.4145</v>
      </c>
      <c r="H3725">
        <v>1.6423299999999901</v>
      </c>
      <c r="I3725">
        <v>196.15790000000001</v>
      </c>
      <c r="J3725">
        <v>-291.08019999999999</v>
      </c>
      <c r="K3725">
        <v>1.110492</v>
      </c>
      <c r="L3725">
        <v>214.25299999999999</v>
      </c>
      <c r="M3725">
        <v>0.9998821</v>
      </c>
      <c r="N3725">
        <v>-1.500172E-2</v>
      </c>
      <c r="O3725">
        <v>3.308002E-3</v>
      </c>
      <c r="P3725">
        <v>0.98338700000000001</v>
      </c>
      <c r="Q3725">
        <v>0.17832329999999999</v>
      </c>
      <c r="R3725">
        <v>3.3926989999999997E-2</v>
      </c>
      <c r="S3725">
        <v>3.0633849999999998</v>
      </c>
      <c r="T3725">
        <v>1.3241050000000001E-2</v>
      </c>
      <c r="U3725">
        <v>-0.45043949999999999</v>
      </c>
      <c r="V3725">
        <v>-3.0831529999999999E-2</v>
      </c>
      <c r="W3725">
        <v>0.19303210000000001</v>
      </c>
      <c r="X3725">
        <v>0.98070789999999997</v>
      </c>
      <c r="Y3725">
        <v>0.14875070000000001</v>
      </c>
      <c r="Z3725">
        <v>-7.3843679999999895E-4</v>
      </c>
      <c r="AA3725">
        <v>0.98887440000000004</v>
      </c>
      <c r="AB3725">
        <v>39</v>
      </c>
      <c r="AC3725">
        <v>122.6657</v>
      </c>
      <c r="AD3725">
        <v>0.53183799999999903</v>
      </c>
      <c r="AE3725">
        <v>-18.095099999999899</v>
      </c>
      <c r="AF3725">
        <v>18.500484612020799</v>
      </c>
      <c r="AG3725">
        <v>0.53183799999999903</v>
      </c>
      <c r="AH3725">
        <v>122.60290772210401</v>
      </c>
      <c r="AI3725">
        <v>89.7542409301265</v>
      </c>
      <c r="AJ3725">
        <v>81.418943977818401</v>
      </c>
      <c r="AK3725">
        <v>123.992031052212</v>
      </c>
      <c r="AL3725">
        <v>78.870212547812002</v>
      </c>
      <c r="AM3725">
        <v>91.800673687728803</v>
      </c>
      <c r="AN3725">
        <v>0.99999997999748003</v>
      </c>
    </row>
    <row r="3726" spans="1:40" x14ac:dyDescent="0.25">
      <c r="A3726" t="str">
        <f>"20190304155707025"</f>
        <v>20190304155707025</v>
      </c>
      <c r="B3726" t="str">
        <f>"1551686227018674"</f>
        <v>1551686227018674</v>
      </c>
      <c r="C3726" t="s">
        <v>40</v>
      </c>
      <c r="D3726">
        <v>4.5369270000000004</v>
      </c>
      <c r="E3726">
        <v>0.56770750000000003</v>
      </c>
      <c r="F3726" t="s">
        <v>69</v>
      </c>
      <c r="G3726">
        <v>-168.4144</v>
      </c>
      <c r="H3726">
        <v>1.6707939999999999</v>
      </c>
      <c r="I3726">
        <v>196.2602</v>
      </c>
      <c r="J3726">
        <v>-290.80849999999998</v>
      </c>
      <c r="K3726">
        <v>1.110492</v>
      </c>
      <c r="L3726">
        <v>214.25409999999999</v>
      </c>
      <c r="M3726">
        <v>0.99988129999999997</v>
      </c>
      <c r="N3726">
        <v>-1.49987E-2</v>
      </c>
      <c r="O3726">
        <v>3.543619E-3</v>
      </c>
      <c r="P3726">
        <v>0.98334500000000002</v>
      </c>
      <c r="Q3726">
        <v>0.17847789999999999</v>
      </c>
      <c r="R3726">
        <v>3.4330560000000003E-2</v>
      </c>
      <c r="S3726">
        <v>3.0636899999999998</v>
      </c>
      <c r="T3726">
        <v>1.3994929999999999E-2</v>
      </c>
      <c r="U3726">
        <v>-0.44938660000000002</v>
      </c>
      <c r="V3726">
        <v>-3.100315E-2</v>
      </c>
      <c r="W3726">
        <v>0.1931832</v>
      </c>
      <c r="X3726">
        <v>0.98067280000000001</v>
      </c>
      <c r="Y3726">
        <v>0.14863689999999999</v>
      </c>
      <c r="Z3726">
        <v>-7.1401660000000003E-4</v>
      </c>
      <c r="AA3726">
        <v>0.98889159999999998</v>
      </c>
      <c r="AB3726">
        <v>39</v>
      </c>
      <c r="AC3726">
        <v>122.394099999999</v>
      </c>
      <c r="AD3726">
        <v>0.56030199999999897</v>
      </c>
      <c r="AE3726">
        <v>-17.993899999999901</v>
      </c>
      <c r="AF3726">
        <v>18.4271758168492</v>
      </c>
      <c r="AG3726">
        <v>0.56030199999999897</v>
      </c>
      <c r="AH3726">
        <v>122.327051325909</v>
      </c>
      <c r="AI3726">
        <v>89.740494300096898</v>
      </c>
      <c r="AJ3726">
        <v>81.433453771847496</v>
      </c>
      <c r="AK3726">
        <v>123.708456594559</v>
      </c>
      <c r="AL3726">
        <v>78.8613897797986</v>
      </c>
      <c r="AM3726">
        <v>91.810755031858704</v>
      </c>
      <c r="AN3726">
        <v>1.000000042366</v>
      </c>
    </row>
    <row r="3727" spans="1:40" x14ac:dyDescent="0.25">
      <c r="A3727" t="str">
        <f>"20190304155707044"</f>
        <v>20190304155707044</v>
      </c>
      <c r="B3727" t="str">
        <f>"1551686227038194"</f>
        <v>1551686227038194</v>
      </c>
      <c r="C3727" t="s">
        <v>40</v>
      </c>
      <c r="D3727">
        <v>4.5113789999999998</v>
      </c>
      <c r="E3727">
        <v>0.567698699999999</v>
      </c>
      <c r="F3727" t="s">
        <v>69</v>
      </c>
      <c r="G3727">
        <v>-168.4144</v>
      </c>
      <c r="H3727">
        <v>1.740405</v>
      </c>
      <c r="I3727">
        <v>196.31379999999999</v>
      </c>
      <c r="J3727">
        <v>-290.49090000000001</v>
      </c>
      <c r="K3727">
        <v>1.11049</v>
      </c>
      <c r="L3727">
        <v>214.25540000000001</v>
      </c>
      <c r="M3727">
        <v>0.9998804</v>
      </c>
      <c r="N3727">
        <v>-1.4995110000000001E-2</v>
      </c>
      <c r="O3727">
        <v>3.8180919999999999E-3</v>
      </c>
      <c r="P3727">
        <v>0.98336570000000001</v>
      </c>
      <c r="Q3727">
        <v>0.1782532</v>
      </c>
      <c r="R3727">
        <v>3.4904259999999999E-2</v>
      </c>
      <c r="S3727">
        <v>3.0635680000000001</v>
      </c>
      <c r="T3727">
        <v>1.576781E-2</v>
      </c>
      <c r="U3727">
        <v>-0.44905089999999998</v>
      </c>
      <c r="V3727">
        <v>-3.1306670000000002E-2</v>
      </c>
      <c r="W3727">
        <v>0.1929553</v>
      </c>
      <c r="X3727">
        <v>0.98070800000000002</v>
      </c>
      <c r="Y3727">
        <v>0.1488081</v>
      </c>
      <c r="Z3727">
        <v>-6.6426929999999901E-4</v>
      </c>
      <c r="AA3727">
        <v>0.98886589999999996</v>
      </c>
      <c r="AB3727">
        <v>39</v>
      </c>
      <c r="AC3727">
        <v>122.0765</v>
      </c>
      <c r="AD3727">
        <v>0.629915</v>
      </c>
      <c r="AE3727">
        <v>-17.941600000000001</v>
      </c>
      <c r="AF3727">
        <v>18.4071411179109</v>
      </c>
      <c r="AG3727">
        <v>0.629915</v>
      </c>
      <c r="AH3727">
        <v>122.003919870978</v>
      </c>
      <c r="AI3727">
        <v>89.707490773283396</v>
      </c>
      <c r="AJ3727">
        <v>81.420302045136694</v>
      </c>
      <c r="AK3727">
        <v>123.38628813983399</v>
      </c>
      <c r="AL3727">
        <v>78.8746976066153</v>
      </c>
      <c r="AM3727">
        <v>91.828404715707904</v>
      </c>
      <c r="AN3727">
        <v>1.0000000183242801</v>
      </c>
    </row>
    <row r="3728" spans="1:40" x14ac:dyDescent="0.25">
      <c r="A3728" t="str">
        <f>"20190304155707065"</f>
        <v>20190304155707065</v>
      </c>
      <c r="B3728" t="str">
        <f>"1551686227058689"</f>
        <v>1551686227058689</v>
      </c>
      <c r="C3728" t="s">
        <v>40</v>
      </c>
      <c r="D3728">
        <v>4.5000349999999996</v>
      </c>
      <c r="E3728">
        <v>0.56766490000000003</v>
      </c>
      <c r="F3728" t="s">
        <v>69</v>
      </c>
      <c r="G3728">
        <v>-168.4144</v>
      </c>
      <c r="H3728">
        <v>1.738945</v>
      </c>
      <c r="I3728">
        <v>196.42320000000001</v>
      </c>
      <c r="J3728">
        <v>-290.10300000000001</v>
      </c>
      <c r="K3728">
        <v>1.1104889999999901</v>
      </c>
      <c r="L3728">
        <v>214.25729999999999</v>
      </c>
      <c r="M3728">
        <v>0.99987910000000002</v>
      </c>
      <c r="N3728">
        <v>-1.49906E-2</v>
      </c>
      <c r="O3728">
        <v>4.1522190000000004E-3</v>
      </c>
      <c r="P3728">
        <v>0.98331210000000002</v>
      </c>
      <c r="Q3728">
        <v>0.17838909999999999</v>
      </c>
      <c r="R3728">
        <v>3.5705580000000001E-2</v>
      </c>
      <c r="S3728">
        <v>3.0637819999999998</v>
      </c>
      <c r="T3728">
        <v>1.5773300000000001E-2</v>
      </c>
      <c r="U3728">
        <v>-0.4475403</v>
      </c>
      <c r="V3728">
        <v>-3.1778609999999999E-2</v>
      </c>
      <c r="W3728">
        <v>0.1930859</v>
      </c>
      <c r="X3728">
        <v>0.98066710000000001</v>
      </c>
      <c r="Y3728">
        <v>0.14865120000000001</v>
      </c>
      <c r="Z3728">
        <v>-6.5630789999999897E-4</v>
      </c>
      <c r="AA3728">
        <v>0.98888949999999998</v>
      </c>
      <c r="AB3728">
        <v>39</v>
      </c>
      <c r="AC3728">
        <v>121.68859999999999</v>
      </c>
      <c r="AD3728">
        <v>0.62845600000000001</v>
      </c>
      <c r="AE3728">
        <v>-17.8340999999999</v>
      </c>
      <c r="AF3728">
        <v>18.3388018404227</v>
      </c>
      <c r="AG3728">
        <v>0.62845600000000001</v>
      </c>
      <c r="AH3728">
        <v>121.610315996944</v>
      </c>
      <c r="AI3728">
        <v>89.707220561691997</v>
      </c>
      <c r="AJ3728">
        <v>81.424427241834707</v>
      </c>
      <c r="AK3728">
        <v>122.98689184934599</v>
      </c>
      <c r="AL3728">
        <v>78.867071190601393</v>
      </c>
      <c r="AM3728">
        <v>91.856025663804601</v>
      </c>
      <c r="AN3728">
        <v>1.0000000029273699</v>
      </c>
    </row>
    <row r="3729" spans="1:40" x14ac:dyDescent="0.25">
      <c r="A3729" t="str">
        <f>"20190304155707086"</f>
        <v>20190304155707086</v>
      </c>
      <c r="B3729" t="str">
        <f>"1551686227078209"</f>
        <v>1551686227078209</v>
      </c>
      <c r="C3729" t="s">
        <v>40</v>
      </c>
      <c r="D3729">
        <v>4.4860439999999997</v>
      </c>
      <c r="E3729">
        <v>0.56781419999999905</v>
      </c>
      <c r="F3729" t="s">
        <v>69</v>
      </c>
      <c r="G3729">
        <v>-168.4144</v>
      </c>
      <c r="H3729">
        <v>1.7597119999999999</v>
      </c>
      <c r="I3729">
        <v>196.58459999999999</v>
      </c>
      <c r="J3729">
        <v>-289.7423</v>
      </c>
      <c r="K3729">
        <v>1.1104860000000001</v>
      </c>
      <c r="L3729">
        <v>214.25909999999999</v>
      </c>
      <c r="M3729">
        <v>0.99987789999999999</v>
      </c>
      <c r="N3729">
        <v>-1.4986309999999999E-2</v>
      </c>
      <c r="O3729">
        <v>4.4605309999999898E-3</v>
      </c>
      <c r="P3729">
        <v>0.98333150000000002</v>
      </c>
      <c r="Q3729">
        <v>0.17819939999999901</v>
      </c>
      <c r="R3729">
        <v>3.6117929999999999E-2</v>
      </c>
      <c r="S3729">
        <v>3.0640869999999998</v>
      </c>
      <c r="T3729">
        <v>1.6348120000000001E-2</v>
      </c>
      <c r="U3729">
        <v>-0.4449921</v>
      </c>
      <c r="V3729">
        <v>-3.188647E-2</v>
      </c>
      <c r="W3729">
        <v>0.1928926</v>
      </c>
      <c r="X3729">
        <v>0.98070159999999995</v>
      </c>
      <c r="Y3729">
        <v>0.14813670000000001</v>
      </c>
      <c r="Z3729">
        <v>-6.3256130000000001E-4</v>
      </c>
      <c r="AA3729">
        <v>0.98896669999999998</v>
      </c>
      <c r="AB3729">
        <v>39</v>
      </c>
      <c r="AC3729">
        <v>121.3279</v>
      </c>
      <c r="AD3729">
        <v>0.64922599999999897</v>
      </c>
      <c r="AE3729">
        <v>-17.674499999999899</v>
      </c>
      <c r="AF3729">
        <v>18.2150609731342</v>
      </c>
      <c r="AG3729">
        <v>0.64922599999999897</v>
      </c>
      <c r="AH3729">
        <v>121.24444675554901</v>
      </c>
      <c r="AI3729">
        <v>89.696606668147297</v>
      </c>
      <c r="AJ3729">
        <v>81.456112134382593</v>
      </c>
      <c r="AK3729">
        <v>122.606793489241</v>
      </c>
      <c r="AL3729">
        <v>78.878358234104994</v>
      </c>
      <c r="AM3729">
        <v>91.862255316596702</v>
      </c>
      <c r="AN3729">
        <v>0.99999996517318901</v>
      </c>
    </row>
    <row r="3730" spans="1:40" x14ac:dyDescent="0.25">
      <c r="A3730" t="str">
        <f>"20190304155707102"</f>
        <v>20190304155707102</v>
      </c>
      <c r="B3730" t="str">
        <f>"1551686227098706"</f>
        <v>1551686227098706</v>
      </c>
      <c r="C3730" t="s">
        <v>40</v>
      </c>
      <c r="D3730">
        <v>4.4879730000000002</v>
      </c>
      <c r="E3730">
        <v>0.5679592</v>
      </c>
      <c r="F3730" t="s">
        <v>69</v>
      </c>
      <c r="G3730">
        <v>-168.4143</v>
      </c>
      <c r="H3730">
        <v>1.7561389999999999</v>
      </c>
      <c r="I3730">
        <v>196.64619999999999</v>
      </c>
      <c r="J3730">
        <v>-289.47910000000002</v>
      </c>
      <c r="K3730">
        <v>1.110484</v>
      </c>
      <c r="L3730">
        <v>214.2604</v>
      </c>
      <c r="M3730">
        <v>0.99987680000000001</v>
      </c>
      <c r="N3730">
        <v>-1.4983069999999999E-2</v>
      </c>
      <c r="O3730">
        <v>4.6847420000000004E-3</v>
      </c>
      <c r="P3730">
        <v>0.98332909999999996</v>
      </c>
      <c r="Q3730">
        <v>0.17816409999999999</v>
      </c>
      <c r="R3730">
        <v>3.6356329999999999E-2</v>
      </c>
      <c r="S3730">
        <v>3.064209</v>
      </c>
      <c r="T3730">
        <v>1.6307229999999999E-2</v>
      </c>
      <c r="U3730">
        <v>-0.4448242</v>
      </c>
      <c r="V3730">
        <v>-3.1903069999999999E-2</v>
      </c>
      <c r="W3730">
        <v>0.19285469999999999</v>
      </c>
      <c r="X3730">
        <v>0.98070849999999998</v>
      </c>
      <c r="Y3730">
        <v>0.14829979999999901</v>
      </c>
      <c r="Z3730">
        <v>-6.2965459999999999E-4</v>
      </c>
      <c r="AA3730">
        <v>0.98894230000000005</v>
      </c>
      <c r="AB3730">
        <v>39</v>
      </c>
      <c r="AC3730">
        <v>121.06480000000001</v>
      </c>
      <c r="AD3730">
        <v>0.64565499999999898</v>
      </c>
      <c r="AE3730">
        <v>-17.6142</v>
      </c>
      <c r="AF3730">
        <v>18.180721294835202</v>
      </c>
      <c r="AG3730">
        <v>0.64565499999999898</v>
      </c>
      <c r="AH3730">
        <v>120.977574401015</v>
      </c>
      <c r="AI3730">
        <v>89.697611952166397</v>
      </c>
      <c r="AJ3730">
        <v>81.453447321437494</v>
      </c>
      <c r="AK3730">
        <v>122.337766062375</v>
      </c>
      <c r="AL3730">
        <v>78.880571144513894</v>
      </c>
      <c r="AM3730">
        <v>91.863211018018305</v>
      </c>
      <c r="AN3730">
        <v>0.99999995157988097</v>
      </c>
    </row>
    <row r="3731" spans="1:40" x14ac:dyDescent="0.25">
      <c r="A3731" t="str">
        <f>"20190304155707115"</f>
        <v>20190304155707115</v>
      </c>
      <c r="B3731" t="str">
        <f>"1551686227108466"</f>
        <v>1551686227108466</v>
      </c>
      <c r="C3731" t="s">
        <v>40</v>
      </c>
      <c r="D3731">
        <v>4.4959339999999903</v>
      </c>
      <c r="E3731">
        <v>0.56817629999999997</v>
      </c>
      <c r="F3731" t="s">
        <v>69</v>
      </c>
      <c r="G3731">
        <v>-168.4143</v>
      </c>
      <c r="H3731">
        <v>1.7804230000000001</v>
      </c>
      <c r="I3731">
        <v>196.6763</v>
      </c>
      <c r="J3731">
        <v>-289.25920000000002</v>
      </c>
      <c r="K3731">
        <v>1.110487</v>
      </c>
      <c r="L3731">
        <v>214.26159999999999</v>
      </c>
      <c r="M3731">
        <v>0.99987599999999999</v>
      </c>
      <c r="N3731">
        <v>-1.498039E-2</v>
      </c>
      <c r="O3731">
        <v>4.8715249999999998E-3</v>
      </c>
      <c r="P3731">
        <v>0.98330930000000005</v>
      </c>
      <c r="Q3731">
        <v>0.178190299999999</v>
      </c>
      <c r="R3731">
        <v>3.6760000000000001E-2</v>
      </c>
      <c r="S3731">
        <v>3.0642399999999999</v>
      </c>
      <c r="T3731">
        <v>1.695752E-2</v>
      </c>
      <c r="U3731">
        <v>-0.44506839999999998</v>
      </c>
      <c r="V3731">
        <v>-3.2122709999999999E-2</v>
      </c>
      <c r="W3731">
        <v>0.19287760000000001</v>
      </c>
      <c r="X3731">
        <v>0.98069689999999998</v>
      </c>
      <c r="Y3731">
        <v>0.14856029999999901</v>
      </c>
      <c r="Z3731">
        <v>-6.1027029999999999E-4</v>
      </c>
      <c r="AA3731">
        <v>0.98890319999999998</v>
      </c>
      <c r="AB3731">
        <v>39</v>
      </c>
      <c r="AC3731">
        <v>120.8449</v>
      </c>
      <c r="AD3731">
        <v>0.66993599999999898</v>
      </c>
      <c r="AE3731">
        <v>-17.585299999999901</v>
      </c>
      <c r="AF3731">
        <v>18.173309313524602</v>
      </c>
      <c r="AG3731">
        <v>0.66993599999999898</v>
      </c>
      <c r="AH3731">
        <v>120.75415468102</v>
      </c>
      <c r="AI3731">
        <v>89.685669845639495</v>
      </c>
      <c r="AJ3731">
        <v>81.441307554331999</v>
      </c>
      <c r="AK3731">
        <v>122.115862435544</v>
      </c>
      <c r="AL3731">
        <v>78.879234774255906</v>
      </c>
      <c r="AM3731">
        <v>91.876051527350299</v>
      </c>
      <c r="AN3731">
        <v>1.0000000233745501</v>
      </c>
    </row>
    <row r="3732" spans="1:40" x14ac:dyDescent="0.25">
      <c r="A3732" t="str">
        <f>"20190304155707127"</f>
        <v>20190304155707127</v>
      </c>
      <c r="B3732" t="str">
        <f>"1551686227118226"</f>
        <v>1551686227118226</v>
      </c>
      <c r="C3732" t="s">
        <v>40</v>
      </c>
      <c r="D3732">
        <v>4.5833009999999996</v>
      </c>
      <c r="E3732">
        <v>0.56855749999999905</v>
      </c>
      <c r="F3732" t="s">
        <v>69</v>
      </c>
      <c r="G3732">
        <v>-168.4143</v>
      </c>
      <c r="H3732">
        <v>1.8005009999999999</v>
      </c>
      <c r="I3732">
        <v>196.68379999999999</v>
      </c>
      <c r="J3732">
        <v>-289.03140000000002</v>
      </c>
      <c r="K3732">
        <v>1.1104879999999999</v>
      </c>
      <c r="L3732">
        <v>214.2629</v>
      </c>
      <c r="M3732">
        <v>0.99987510000000002</v>
      </c>
      <c r="N3732">
        <v>-1.497767E-2</v>
      </c>
      <c r="O3732">
        <v>5.0643889999999999E-3</v>
      </c>
      <c r="P3732">
        <v>0.9833151</v>
      </c>
      <c r="Q3732">
        <v>0.17809649999999999</v>
      </c>
      <c r="R3732">
        <v>3.7057800000000002E-2</v>
      </c>
      <c r="S3732">
        <v>3.0643919999999998</v>
      </c>
      <c r="T3732">
        <v>1.749825E-2</v>
      </c>
      <c r="U3732">
        <v>-0.44573970000000002</v>
      </c>
      <c r="V3732">
        <v>-3.2230420000000003E-2</v>
      </c>
      <c r="W3732">
        <v>0.19278129999999999</v>
      </c>
      <c r="X3732">
        <v>0.98071229999999998</v>
      </c>
      <c r="Y3732">
        <v>0.14895620000000001</v>
      </c>
      <c r="Z3732">
        <v>-5.9412039999999998E-4</v>
      </c>
      <c r="AA3732">
        <v>0.98884360000000004</v>
      </c>
      <c r="AB3732">
        <v>38</v>
      </c>
      <c r="AC3732">
        <v>120.61709999999999</v>
      </c>
      <c r="AD3732">
        <v>0.69001299999999999</v>
      </c>
      <c r="AE3732">
        <v>-17.5791</v>
      </c>
      <c r="AF3732">
        <v>18.189212011972</v>
      </c>
      <c r="AG3732">
        <v>0.69001299999999999</v>
      </c>
      <c r="AH3732">
        <v>120.522653246158</v>
      </c>
      <c r="AI3732">
        <v>89.675648303511693</v>
      </c>
      <c r="AJ3732">
        <v>81.417720224407404</v>
      </c>
      <c r="AK3732">
        <v>121.88943144116401</v>
      </c>
      <c r="AL3732">
        <v>78.884857880732298</v>
      </c>
      <c r="AM3732">
        <v>91.882308022592795</v>
      </c>
      <c r="AN3732">
        <v>1.0000000224871699</v>
      </c>
    </row>
    <row r="3733" spans="1:40" x14ac:dyDescent="0.25">
      <c r="A3733" t="str">
        <f>"20190304155707142"</f>
        <v>20190304155707142</v>
      </c>
      <c r="B3733" t="str">
        <f>"1551686227138722"</f>
        <v>1551686227138722</v>
      </c>
      <c r="C3733" t="s">
        <v>40</v>
      </c>
      <c r="D3733">
        <v>4.5842369999999999</v>
      </c>
      <c r="E3733">
        <v>0.5781811</v>
      </c>
      <c r="F3733" t="s">
        <v>69</v>
      </c>
      <c r="G3733">
        <v>-168.4143</v>
      </c>
      <c r="H3733">
        <v>1.802441</v>
      </c>
      <c r="I3733">
        <v>196.63829999999999</v>
      </c>
      <c r="J3733">
        <v>-288.78280000000001</v>
      </c>
      <c r="K3733">
        <v>1.11049</v>
      </c>
      <c r="L3733">
        <v>214.26439999999999</v>
      </c>
      <c r="M3733">
        <v>0.99987409999999999</v>
      </c>
      <c r="N3733">
        <v>-1.497473E-2</v>
      </c>
      <c r="O3733">
        <v>5.274422E-3</v>
      </c>
      <c r="P3733">
        <v>0.98333610000000005</v>
      </c>
      <c r="Q3733">
        <v>0.17784179999999999</v>
      </c>
      <c r="R3733">
        <v>3.7716970000000002E-2</v>
      </c>
      <c r="S3733">
        <v>3.0646059999999999</v>
      </c>
      <c r="T3733">
        <v>1.7581820000000001E-2</v>
      </c>
      <c r="U3733">
        <v>-0.44779970000000002</v>
      </c>
      <c r="V3733">
        <v>-3.2681500000000002E-2</v>
      </c>
      <c r="W3733">
        <v>0.19252440000000001</v>
      </c>
      <c r="X3733">
        <v>0.98074779999999995</v>
      </c>
      <c r="Y3733">
        <v>0.14980489999999999</v>
      </c>
      <c r="Z3733">
        <v>-5.9150589999999996E-4</v>
      </c>
      <c r="AA3733">
        <v>0.98871540000000002</v>
      </c>
      <c r="AB3733">
        <v>38</v>
      </c>
      <c r="AC3733">
        <v>120.3685</v>
      </c>
      <c r="AD3733">
        <v>0.69195099999999998</v>
      </c>
      <c r="AE3733">
        <v>-17.626100000000001</v>
      </c>
      <c r="AF3733">
        <v>18.260209372149301</v>
      </c>
      <c r="AG3733">
        <v>0.69195099999999998</v>
      </c>
      <c r="AH3733">
        <v>120.26995635337001</v>
      </c>
      <c r="AI3733">
        <v>89.674097710997202</v>
      </c>
      <c r="AJ3733">
        <v>81.366894051347799</v>
      </c>
      <c r="AK3733">
        <v>121.65022171678299</v>
      </c>
      <c r="AL3733">
        <v>78.899857758109604</v>
      </c>
      <c r="AM3733">
        <v>91.908563429635095</v>
      </c>
      <c r="AN3733">
        <v>0.99999998612122398</v>
      </c>
    </row>
    <row r="3734" spans="1:40" x14ac:dyDescent="0.25">
      <c r="A3734" t="str">
        <f>"20190304155707157"</f>
        <v>20190304155707157</v>
      </c>
      <c r="B3734" t="str">
        <f>"1551686227148482"</f>
        <v>1551686227148482</v>
      </c>
      <c r="C3734" t="s">
        <v>40</v>
      </c>
      <c r="D3734">
        <v>4.4329489999999998</v>
      </c>
      <c r="E3734">
        <v>0.57587429999999995</v>
      </c>
      <c r="F3734" t="s">
        <v>69</v>
      </c>
      <c r="G3734">
        <v>-168.4153</v>
      </c>
      <c r="H3734">
        <v>1.9408570000000001</v>
      </c>
      <c r="I3734">
        <v>193.76259999999999</v>
      </c>
      <c r="J3734">
        <v>-288.53429999999997</v>
      </c>
      <c r="K3734">
        <v>1.11049</v>
      </c>
      <c r="L3734">
        <v>214.26580000000001</v>
      </c>
      <c r="M3734">
        <v>0.99987280000000001</v>
      </c>
      <c r="N3734">
        <v>-1.497183E-2</v>
      </c>
      <c r="O3734">
        <v>5.4840389999999996E-3</v>
      </c>
      <c r="P3734">
        <v>0.98330249999999997</v>
      </c>
      <c r="Q3734">
        <v>0.17793519999999999</v>
      </c>
      <c r="R3734">
        <v>3.8144169999999998E-2</v>
      </c>
      <c r="S3734">
        <v>3.0670470000000001</v>
      </c>
      <c r="T3734">
        <v>2.1159170000000001E-2</v>
      </c>
      <c r="U3734">
        <v>-0.52239990000000003</v>
      </c>
      <c r="V3734">
        <v>-3.2902109999999998E-2</v>
      </c>
      <c r="W3734">
        <v>0.19261420000000001</v>
      </c>
      <c r="X3734">
        <v>0.98072280000000001</v>
      </c>
      <c r="Y3734">
        <v>0.1733162</v>
      </c>
      <c r="Z3734">
        <v>-5.9412120000000004E-4</v>
      </c>
      <c r="AA3734">
        <v>0.98486609999999997</v>
      </c>
      <c r="AB3734">
        <v>38</v>
      </c>
      <c r="AC3734">
        <v>120.11899999999901</v>
      </c>
      <c r="AD3734">
        <v>0.83036699999999997</v>
      </c>
      <c r="AE3734">
        <v>-20.5032</v>
      </c>
      <c r="AF3734">
        <v>21.160720192995701</v>
      </c>
      <c r="AG3734">
        <v>0.83036699999999997</v>
      </c>
      <c r="AH3734">
        <v>119.99916820332599</v>
      </c>
      <c r="AI3734">
        <v>89.609556492014804</v>
      </c>
      <c r="AJ3734">
        <v>79.9992455779784</v>
      </c>
      <c r="AK3734">
        <v>121.853461001036</v>
      </c>
      <c r="AL3734">
        <v>78.8946145562536</v>
      </c>
      <c r="AM3734">
        <v>91.921486128096802</v>
      </c>
      <c r="AN3734">
        <v>0.99999999466196599</v>
      </c>
    </row>
    <row r="3735" spans="1:40" x14ac:dyDescent="0.25">
      <c r="A3735" t="str">
        <f>"20190304155707176"</f>
        <v>20190304155707176</v>
      </c>
      <c r="B3735" t="str">
        <f>"1551686227168001"</f>
        <v>1551686227168001</v>
      </c>
      <c r="C3735" t="s">
        <v>40</v>
      </c>
      <c r="D3735">
        <v>4.5640150000000004</v>
      </c>
      <c r="E3735">
        <v>0.57568240000000004</v>
      </c>
      <c r="F3735" t="s">
        <v>69</v>
      </c>
      <c r="G3735">
        <v>-168.4151</v>
      </c>
      <c r="H3735">
        <v>2.0107849999999998</v>
      </c>
      <c r="I3735">
        <v>194.57810000000001</v>
      </c>
      <c r="J3735">
        <v>-288.21480000000003</v>
      </c>
      <c r="K3735">
        <v>1.110482</v>
      </c>
      <c r="L3735">
        <v>214.2679</v>
      </c>
      <c r="M3735">
        <v>0.99987139999999997</v>
      </c>
      <c r="N3735">
        <v>-1.4968169999999999E-2</v>
      </c>
      <c r="O3735">
        <v>5.7528419999999898E-3</v>
      </c>
      <c r="P3735">
        <v>0.98328260000000001</v>
      </c>
      <c r="Q3735">
        <v>0.17804739999999999</v>
      </c>
      <c r="R3735">
        <v>3.8136719999999999E-2</v>
      </c>
      <c r="S3735">
        <v>3.0662539999999998</v>
      </c>
      <c r="T3735">
        <v>2.298248E-2</v>
      </c>
      <c r="U3735">
        <v>-0.50256350000000005</v>
      </c>
      <c r="V3735">
        <v>-3.2630159999999998E-2</v>
      </c>
      <c r="W3735">
        <v>0.1927228</v>
      </c>
      <c r="X3735">
        <v>0.98071059999999999</v>
      </c>
      <c r="Y3735">
        <v>0.1674216</v>
      </c>
      <c r="Z3735">
        <v>-5.0971610000000004E-4</v>
      </c>
      <c r="AA3735">
        <v>0.98588529999999996</v>
      </c>
      <c r="AB3735">
        <v>38</v>
      </c>
      <c r="AC3735">
        <v>119.7997</v>
      </c>
      <c r="AD3735">
        <v>0.90030299999999897</v>
      </c>
      <c r="AE3735">
        <v>-19.689799999999899</v>
      </c>
      <c r="AF3735">
        <v>20.377619502117401</v>
      </c>
      <c r="AG3735">
        <v>0.90030299999999897</v>
      </c>
      <c r="AH3735">
        <v>119.67785095948599</v>
      </c>
      <c r="AI3735">
        <v>89.575103091895699</v>
      </c>
      <c r="AJ3735">
        <v>80.336886601077694</v>
      </c>
      <c r="AK3735">
        <v>121.40364876043</v>
      </c>
      <c r="AL3735">
        <v>78.888273970128296</v>
      </c>
      <c r="AM3735">
        <v>91.905639670702001</v>
      </c>
      <c r="AN3735">
        <v>1.00000004296691</v>
      </c>
    </row>
    <row r="3736" spans="1:40" x14ac:dyDescent="0.25">
      <c r="A3736" t="str">
        <f>"20190304155707198"</f>
        <v>20190304155707198</v>
      </c>
      <c r="B3736" t="str">
        <f>"1551686227188497"</f>
        <v>1551686227188497</v>
      </c>
      <c r="C3736" t="s">
        <v>40</v>
      </c>
      <c r="D3736">
        <v>4.5149990000000004</v>
      </c>
      <c r="E3736">
        <v>0.57594330000000005</v>
      </c>
      <c r="F3736" t="s">
        <v>69</v>
      </c>
      <c r="G3736">
        <v>-168.4151</v>
      </c>
      <c r="H3736">
        <v>2.15246</v>
      </c>
      <c r="I3736">
        <v>194.69399999999999</v>
      </c>
      <c r="J3736">
        <v>-287.82979999999998</v>
      </c>
      <c r="K3736">
        <v>1.1104810000000001</v>
      </c>
      <c r="L3736">
        <v>214.2704</v>
      </c>
      <c r="M3736">
        <v>0.99986960000000003</v>
      </c>
      <c r="N3736">
        <v>-1.4963850000000001E-2</v>
      </c>
      <c r="O3736">
        <v>6.0758879999999998E-3</v>
      </c>
      <c r="P3736">
        <v>0.98319509999999999</v>
      </c>
      <c r="Q3736">
        <v>0.17858729999999901</v>
      </c>
      <c r="R3736">
        <v>3.7870529999999999E-2</v>
      </c>
      <c r="S3736">
        <v>3.0656129999999999</v>
      </c>
      <c r="T3736">
        <v>2.6664500000000001E-2</v>
      </c>
      <c r="U3736">
        <v>-0.50088500000000002</v>
      </c>
      <c r="V3736">
        <v>-3.2046390000000001E-2</v>
      </c>
      <c r="W3736">
        <v>0.19325800000000001</v>
      </c>
      <c r="X3736">
        <v>0.98062450000000001</v>
      </c>
      <c r="Y3736">
        <v>0.16724700000000001</v>
      </c>
      <c r="Z3736">
        <v>-3.9426279999999999E-4</v>
      </c>
      <c r="AA3736">
        <v>0.98591490000000004</v>
      </c>
      <c r="AB3736">
        <v>38</v>
      </c>
      <c r="AC3736">
        <v>119.414699999999</v>
      </c>
      <c r="AD3736">
        <v>1.041979</v>
      </c>
      <c r="AE3736">
        <v>-19.5763999999999</v>
      </c>
      <c r="AF3736">
        <v>20.300164974496202</v>
      </c>
      <c r="AG3736">
        <v>1.041979</v>
      </c>
      <c r="AH3736">
        <v>119.28469355313401</v>
      </c>
      <c r="AI3736">
        <v>89.506614411005103</v>
      </c>
      <c r="AJ3736">
        <v>80.341793328751194</v>
      </c>
      <c r="AK3736">
        <v>121.004217010373</v>
      </c>
      <c r="AL3736">
        <v>78.857021464666005</v>
      </c>
      <c r="AM3736">
        <v>91.871735493290203</v>
      </c>
      <c r="AN3736">
        <v>1.0000000178381401</v>
      </c>
    </row>
    <row r="3737" spans="1:40" x14ac:dyDescent="0.25">
      <c r="A3737" t="str">
        <f>"20190304155707221"</f>
        <v>20190304155707221</v>
      </c>
      <c r="B3737" t="str">
        <f>"1551686227218754"</f>
        <v>1551686227218754</v>
      </c>
      <c r="C3737" t="s">
        <v>40</v>
      </c>
      <c r="D3737">
        <v>4.5001879999999996</v>
      </c>
      <c r="E3737">
        <v>0.57581230000000005</v>
      </c>
      <c r="F3737" t="s">
        <v>69</v>
      </c>
      <c r="G3737">
        <v>-168.4152</v>
      </c>
      <c r="H3737">
        <v>2.3251300000000001</v>
      </c>
      <c r="I3737">
        <v>194.6481</v>
      </c>
      <c r="J3737">
        <v>-287.4427</v>
      </c>
      <c r="K3737">
        <v>1.1104810000000001</v>
      </c>
      <c r="L3737">
        <v>214.2731</v>
      </c>
      <c r="M3737">
        <v>0.99986759999999997</v>
      </c>
      <c r="N3737">
        <v>-1.495952E-2</v>
      </c>
      <c r="O3737">
        <v>6.3995229999999998E-3</v>
      </c>
      <c r="P3737">
        <v>0.9831183</v>
      </c>
      <c r="Q3737">
        <v>0.17906229999999901</v>
      </c>
      <c r="R3737">
        <v>3.7620819999999999E-2</v>
      </c>
      <c r="S3737">
        <v>3.0650330000000001</v>
      </c>
      <c r="T3737">
        <v>3.1177400000000001E-2</v>
      </c>
      <c r="U3737">
        <v>-0.50364690000000001</v>
      </c>
      <c r="V3737">
        <v>-3.1478069999999997E-2</v>
      </c>
      <c r="W3737">
        <v>0.19372819999999999</v>
      </c>
      <c r="X3737">
        <v>0.98055009999999998</v>
      </c>
      <c r="Y3737">
        <v>0.1684601</v>
      </c>
      <c r="Z3737">
        <v>-2.5768070000000001E-4</v>
      </c>
      <c r="AA3737">
        <v>0.98570840000000004</v>
      </c>
      <c r="AB3737">
        <v>38</v>
      </c>
      <c r="AC3737">
        <v>119.0275</v>
      </c>
      <c r="AD3737">
        <v>1.2146489999999901</v>
      </c>
      <c r="AE3737">
        <v>-19.625</v>
      </c>
      <c r="AF3737">
        <v>20.384335938105298</v>
      </c>
      <c r="AG3737">
        <v>1.2146489999999901</v>
      </c>
      <c r="AH3737">
        <v>118.887404437524</v>
      </c>
      <c r="AI3737">
        <v>89.423059279370193</v>
      </c>
      <c r="AJ3737">
        <v>80.270718222149895</v>
      </c>
      <c r="AK3737">
        <v>120.628402367444</v>
      </c>
      <c r="AL3737">
        <v>78.829561753235296</v>
      </c>
      <c r="AM3737">
        <v>91.838703985809801</v>
      </c>
      <c r="AN3737">
        <v>0.99999999148808705</v>
      </c>
    </row>
    <row r="3738" spans="1:40" x14ac:dyDescent="0.25">
      <c r="A3738" t="str">
        <f>"20190304155707245"</f>
        <v>20190304155707245</v>
      </c>
      <c r="B3738" t="str">
        <f>"1551686227238273"</f>
        <v>1551686227238273</v>
      </c>
      <c r="C3738" t="s">
        <v>40</v>
      </c>
      <c r="D3738">
        <v>4.4996799999999997</v>
      </c>
      <c r="E3738">
        <v>0.57578249999999997</v>
      </c>
      <c r="F3738" t="s">
        <v>69</v>
      </c>
      <c r="G3738">
        <v>-168.4152</v>
      </c>
      <c r="H3738">
        <v>2.541255</v>
      </c>
      <c r="I3738">
        <v>194.71870000000001</v>
      </c>
      <c r="J3738">
        <v>-287.0446</v>
      </c>
      <c r="K3738">
        <v>1.110487</v>
      </c>
      <c r="L3738">
        <v>214.27590000000001</v>
      </c>
      <c r="M3738">
        <v>0.99986569999999997</v>
      </c>
      <c r="N3738">
        <v>-1.4955E-2</v>
      </c>
      <c r="O3738">
        <v>6.7281969999999896E-3</v>
      </c>
      <c r="P3738">
        <v>0.98306510000000003</v>
      </c>
      <c r="Q3738">
        <v>0.1792859</v>
      </c>
      <c r="R3738">
        <v>3.7946779999999999E-2</v>
      </c>
      <c r="S3738">
        <v>3.0640260000000001</v>
      </c>
      <c r="T3738">
        <v>3.6832089999999998E-2</v>
      </c>
      <c r="U3738">
        <v>-0.50337219999999905</v>
      </c>
      <c r="V3738">
        <v>-3.147995E-2</v>
      </c>
      <c r="W3738">
        <v>0.19394710000000001</v>
      </c>
      <c r="X3738">
        <v>0.98050680000000001</v>
      </c>
      <c r="Y3738">
        <v>0.1687485</v>
      </c>
      <c r="Z3738" s="1">
        <v>-8.2535439999999999E-5</v>
      </c>
      <c r="AA3738">
        <v>0.98565910000000001</v>
      </c>
      <c r="AB3738">
        <v>38</v>
      </c>
      <c r="AC3738">
        <v>118.6294</v>
      </c>
      <c r="AD3738">
        <v>1.430768</v>
      </c>
      <c r="AE3738">
        <v>-19.557199999999899</v>
      </c>
      <c r="AF3738">
        <v>20.352126184023199</v>
      </c>
      <c r="AG3738">
        <v>1.430768</v>
      </c>
      <c r="AH3738">
        <v>118.47833663325</v>
      </c>
      <c r="AI3738">
        <v>89.318104998499393</v>
      </c>
      <c r="AJ3738">
        <v>80.252900805462204</v>
      </c>
      <c r="AK3738">
        <v>120.22217927097201</v>
      </c>
      <c r="AL3738">
        <v>78.816777608748595</v>
      </c>
      <c r="AM3738">
        <v>91.838894873198598</v>
      </c>
      <c r="AN3738">
        <v>1.0000000248483201</v>
      </c>
    </row>
    <row r="3739" spans="1:40" x14ac:dyDescent="0.25">
      <c r="A3739" t="str">
        <f>"20190304155707265"</f>
        <v>20190304155707265</v>
      </c>
      <c r="B3739" t="str">
        <f>"1551686227258769"</f>
        <v>1551686227258769</v>
      </c>
      <c r="C3739" t="s">
        <v>40</v>
      </c>
      <c r="D3739">
        <v>4.5520860000000001</v>
      </c>
      <c r="E3739">
        <v>0.57580640000000005</v>
      </c>
      <c r="F3739" t="s">
        <v>69</v>
      </c>
      <c r="G3739">
        <v>-168.4152</v>
      </c>
      <c r="H3739">
        <v>2.5837119999999998</v>
      </c>
      <c r="I3739">
        <v>194.83070000000001</v>
      </c>
      <c r="J3739">
        <v>-286.67739999999998</v>
      </c>
      <c r="K3739">
        <v>1.110484</v>
      </c>
      <c r="L3739">
        <v>214.27869999999999</v>
      </c>
      <c r="M3739">
        <v>0.99986359999999996</v>
      </c>
      <c r="N3739">
        <v>-1.495083E-2</v>
      </c>
      <c r="O3739">
        <v>7.0245849999999999E-3</v>
      </c>
      <c r="P3739">
        <v>0.98303660000000004</v>
      </c>
      <c r="Q3739">
        <v>0.1792976</v>
      </c>
      <c r="R3739">
        <v>3.8620710000000003E-2</v>
      </c>
      <c r="S3739">
        <v>3.064117</v>
      </c>
      <c r="T3739">
        <v>3.805327E-2</v>
      </c>
      <c r="U3739">
        <v>-0.50225829999999905</v>
      </c>
      <c r="V3739">
        <v>-3.1859560000000002E-2</v>
      </c>
      <c r="W3739">
        <v>0.1939546</v>
      </c>
      <c r="X3739">
        <v>0.98049299999999995</v>
      </c>
      <c r="Y3739">
        <v>0.16868649999999999</v>
      </c>
      <c r="Z3739" s="1">
        <v>-3.79649E-5</v>
      </c>
      <c r="AA3739">
        <v>0.98566969999999998</v>
      </c>
      <c r="AB3739">
        <v>38</v>
      </c>
      <c r="AC3739">
        <v>118.262199999999</v>
      </c>
      <c r="AD3739">
        <v>1.47322799999999</v>
      </c>
      <c r="AE3739">
        <v>-19.447999999999901</v>
      </c>
      <c r="AF3739">
        <v>20.275292198678699</v>
      </c>
      <c r="AG3739">
        <v>1.47322799999999</v>
      </c>
      <c r="AH3739">
        <v>118.10480668140001</v>
      </c>
      <c r="AI3739">
        <v>89.295637825050207</v>
      </c>
      <c r="AJ3739">
        <v>80.258870947333406</v>
      </c>
      <c r="AK3739">
        <v>119.84157557264</v>
      </c>
      <c r="AL3739">
        <v>78.8163389596846</v>
      </c>
      <c r="AM3739">
        <v>91.861080388237497</v>
      </c>
      <c r="AN3739">
        <v>0.99999997073677604</v>
      </c>
    </row>
    <row r="3740" spans="1:40" x14ac:dyDescent="0.25">
      <c r="A3740" t="str">
        <f>"20190304155707287"</f>
        <v>20190304155707287</v>
      </c>
      <c r="B3740" t="str">
        <f>"1551686227278290"</f>
        <v>1551686227278290</v>
      </c>
      <c r="C3740" t="s">
        <v>40</v>
      </c>
      <c r="D3740">
        <v>5.0774679999999996</v>
      </c>
      <c r="E3740">
        <v>0.54512229999999995</v>
      </c>
      <c r="F3740" t="s">
        <v>69</v>
      </c>
      <c r="G3740">
        <v>-168.4152</v>
      </c>
      <c r="H3740">
        <v>2.6347239999999998</v>
      </c>
      <c r="I3740">
        <v>194.96559999999999</v>
      </c>
      <c r="J3740">
        <v>-286.31200000000001</v>
      </c>
      <c r="K3740">
        <v>1.110479</v>
      </c>
      <c r="L3740">
        <v>214.28149999999999</v>
      </c>
      <c r="M3740">
        <v>0.99986169999999996</v>
      </c>
      <c r="N3740">
        <v>-1.4946650000000001E-2</v>
      </c>
      <c r="O3740">
        <v>7.3081630000000003E-3</v>
      </c>
      <c r="P3740">
        <v>0.98301629999999995</v>
      </c>
      <c r="Q3740">
        <v>0.17933789999999999</v>
      </c>
      <c r="R3740">
        <v>3.8948950000000003E-2</v>
      </c>
      <c r="S3740">
        <v>3.0642399999999999</v>
      </c>
      <c r="T3740">
        <v>3.9494750000000002E-2</v>
      </c>
      <c r="U3740">
        <v>-0.50041199999999997</v>
      </c>
      <c r="V3740">
        <v>-3.1905599999999999E-2</v>
      </c>
      <c r="W3740">
        <v>0.1939911</v>
      </c>
      <c r="X3740">
        <v>0.98048429999999998</v>
      </c>
      <c r="Y3740">
        <v>0.1683808</v>
      </c>
      <c r="Z3740" s="1">
        <v>1.331279E-5</v>
      </c>
      <c r="AA3740">
        <v>0.98572199999999999</v>
      </c>
      <c r="AB3740">
        <v>38</v>
      </c>
      <c r="AC3740">
        <v>117.8968</v>
      </c>
      <c r="AD3740">
        <v>1.5242450000000001</v>
      </c>
      <c r="AE3740">
        <v>-19.315899999999999</v>
      </c>
      <c r="AF3740">
        <v>20.173805348824398</v>
      </c>
      <c r="AG3740">
        <v>1.5242450000000001</v>
      </c>
      <c r="AH3740">
        <v>117.733306712605</v>
      </c>
      <c r="AI3740">
        <v>89.268910483511704</v>
      </c>
      <c r="AJ3740">
        <v>80.276698707154793</v>
      </c>
      <c r="AK3740">
        <v>119.458935432041</v>
      </c>
      <c r="AL3740">
        <v>78.8142073742235</v>
      </c>
      <c r="AM3740">
        <v>91.863784451343903</v>
      </c>
      <c r="AN3740">
        <v>0.99999998836852899</v>
      </c>
    </row>
    <row r="3741" spans="1:40" x14ac:dyDescent="0.25">
      <c r="A3741" t="str">
        <f>"20190304155707310"</f>
        <v>20190304155707310</v>
      </c>
      <c r="B3741" t="str">
        <f>"1551686227298786"</f>
        <v>1551686227298786</v>
      </c>
      <c r="C3741" t="s">
        <v>40</v>
      </c>
      <c r="D3741">
        <v>4.6518620000000004</v>
      </c>
      <c r="E3741">
        <v>0.49023470000000002</v>
      </c>
      <c r="F3741" t="s">
        <v>69</v>
      </c>
      <c r="G3741">
        <v>-168.41139999999999</v>
      </c>
      <c r="H3741">
        <v>0.69247060000000005</v>
      </c>
      <c r="I3741">
        <v>204.4255</v>
      </c>
      <c r="J3741">
        <v>-285.92880000000002</v>
      </c>
      <c r="K3741">
        <v>1.1104670000000001</v>
      </c>
      <c r="L3741">
        <v>214.28460000000001</v>
      </c>
      <c r="M3741">
        <v>0.99985959999999996</v>
      </c>
      <c r="N3741">
        <v>-1.4942270000000001E-2</v>
      </c>
      <c r="O3741">
        <v>7.5903009999999998E-3</v>
      </c>
      <c r="P3741">
        <v>0.98304669999999905</v>
      </c>
      <c r="Q3741">
        <v>0.1789541</v>
      </c>
      <c r="R3741">
        <v>3.993559E-2</v>
      </c>
      <c r="S3741">
        <v>3.063965</v>
      </c>
      <c r="T3741">
        <v>-1.086223E-2</v>
      </c>
      <c r="U3741">
        <v>-0.25613399999999997</v>
      </c>
      <c r="V3741">
        <v>-3.2607560000000001E-2</v>
      </c>
      <c r="W3741">
        <v>0.19360469999999999</v>
      </c>
      <c r="X3741">
        <v>0.98053760000000001</v>
      </c>
      <c r="Y3741">
        <v>9.0863940000000004E-2</v>
      </c>
      <c r="Z3741">
        <v>-7.54516E-4</v>
      </c>
      <c r="AA3741">
        <v>0.99586300000000005</v>
      </c>
      <c r="AB3741">
        <v>38</v>
      </c>
      <c r="AC3741">
        <v>117.51739999999999</v>
      </c>
      <c r="AD3741">
        <v>-0.41799639999999999</v>
      </c>
      <c r="AE3741">
        <v>-9.8591000000000104</v>
      </c>
      <c r="AF3741">
        <v>10.7507728529076</v>
      </c>
      <c r="AG3741">
        <v>-0.41799639999999999</v>
      </c>
      <c r="AH3741">
        <v>117.43769668738901</v>
      </c>
      <c r="AI3741">
        <v>90.203083029898394</v>
      </c>
      <c r="AJ3741">
        <v>84.769466465760203</v>
      </c>
      <c r="AK3741">
        <v>117.92949775677199</v>
      </c>
      <c r="AL3741">
        <v>78.836774531888096</v>
      </c>
      <c r="AM3741">
        <v>91.904656515446405</v>
      </c>
      <c r="AN3741">
        <v>1.0000000089225001</v>
      </c>
    </row>
    <row r="3742" spans="1:40" x14ac:dyDescent="0.25">
      <c r="A3742" t="str">
        <f>"20190304155707332"</f>
        <v>20190304155707332</v>
      </c>
      <c r="B3742" t="str">
        <f>"1551686227328066"</f>
        <v>1551686227328066</v>
      </c>
      <c r="C3742" t="s">
        <v>40</v>
      </c>
      <c r="D3742">
        <v>4.5998150000000004</v>
      </c>
      <c r="E3742">
        <v>0.48212090000000002</v>
      </c>
      <c r="F3742" t="s">
        <v>55</v>
      </c>
      <c r="G3742">
        <v>-250.7159</v>
      </c>
      <c r="H3742" s="1">
        <v>-1.233204E-6</v>
      </c>
      <c r="I3742">
        <v>216.386</v>
      </c>
      <c r="J3742">
        <v>-285.55259999999998</v>
      </c>
      <c r="K3742">
        <v>1.1104480000000001</v>
      </c>
      <c r="L3742">
        <v>214.2877</v>
      </c>
      <c r="M3742">
        <v>0.99985760000000001</v>
      </c>
      <c r="N3742">
        <v>-1.493796E-2</v>
      </c>
      <c r="O3742">
        <v>7.8466309999999997E-3</v>
      </c>
      <c r="P3742">
        <v>0.98306950000000004</v>
      </c>
      <c r="Q3742">
        <v>0.17873749999999999</v>
      </c>
      <c r="R3742">
        <v>4.0337249999999998E-2</v>
      </c>
      <c r="S3742">
        <v>3.06189</v>
      </c>
      <c r="T3742">
        <v>-9.655917E-2</v>
      </c>
      <c r="U3742">
        <v>0.182724</v>
      </c>
      <c r="V3742">
        <v>-3.2749269999999997E-2</v>
      </c>
      <c r="W3742">
        <v>0.19338530000000001</v>
      </c>
      <c r="X3742">
        <v>0.98057620000000001</v>
      </c>
      <c r="Y3742">
        <v>-5.1698790000000001E-2</v>
      </c>
      <c r="Z3742">
        <v>1.070854E-3</v>
      </c>
      <c r="AA3742">
        <v>0.99866220000000006</v>
      </c>
      <c r="AB3742">
        <v>38</v>
      </c>
      <c r="AC3742">
        <v>34.836699999999901</v>
      </c>
      <c r="AD3742">
        <v>-1.1104492332039999</v>
      </c>
      <c r="AE3742">
        <v>2.0982999999999898</v>
      </c>
      <c r="AF3742">
        <v>-1.82300853869019</v>
      </c>
      <c r="AG3742">
        <v>-1.1104492332039999</v>
      </c>
      <c r="AH3742">
        <v>34.8168452728086</v>
      </c>
      <c r="AI3742">
        <v>91.824276328935596</v>
      </c>
      <c r="AJ3742">
        <v>92.997267511673201</v>
      </c>
      <c r="AK3742">
        <v>34.8822185702452</v>
      </c>
      <c r="AL3742">
        <v>78.849587683498498</v>
      </c>
      <c r="AM3742">
        <v>91.912852626965702</v>
      </c>
      <c r="AN3742">
        <v>1.00000003647403</v>
      </c>
    </row>
    <row r="3743" spans="1:40" x14ac:dyDescent="0.25">
      <c r="A3743" t="str">
        <f>"20190304155707354"</f>
        <v>20190304155707354</v>
      </c>
      <c r="B3743" t="str">
        <f>"1551686227348561"</f>
        <v>1551686227348561</v>
      </c>
      <c r="C3743" t="s">
        <v>40</v>
      </c>
      <c r="D3743">
        <v>4.6149699999999996</v>
      </c>
      <c r="E3743">
        <v>0.47963420000000001</v>
      </c>
      <c r="F3743" t="s">
        <v>55</v>
      </c>
      <c r="G3743">
        <v>-255.49469999999999</v>
      </c>
      <c r="H3743" s="1">
        <v>1.2949070000000001E-6</v>
      </c>
      <c r="I3743">
        <v>216.72800000000001</v>
      </c>
      <c r="J3743">
        <v>-285.17340000000002</v>
      </c>
      <c r="K3743">
        <v>1.110425</v>
      </c>
      <c r="L3743">
        <v>214.29089999999999</v>
      </c>
      <c r="M3743">
        <v>0.99985599999999997</v>
      </c>
      <c r="N3743">
        <v>-1.4933510000000001E-2</v>
      </c>
      <c r="O3743">
        <v>8.0830740000000009E-3</v>
      </c>
      <c r="P3743">
        <v>0.9830681</v>
      </c>
      <c r="Q3743">
        <v>0.1786346</v>
      </c>
      <c r="R3743">
        <v>4.0833439999999999E-2</v>
      </c>
      <c r="S3743">
        <v>3.0620419999999999</v>
      </c>
      <c r="T3743">
        <v>-0.1131229</v>
      </c>
      <c r="U3743">
        <v>0.24859619999999999</v>
      </c>
      <c r="V3743">
        <v>-3.3004329999999998E-2</v>
      </c>
      <c r="W3743">
        <v>0.19327949999999999</v>
      </c>
      <c r="X3743">
        <v>0.98058840000000003</v>
      </c>
      <c r="Y3743">
        <v>-7.2792599999999999E-2</v>
      </c>
      <c r="Z3743">
        <v>1.7091579999999999E-3</v>
      </c>
      <c r="AA3743">
        <v>0.99734560000000005</v>
      </c>
      <c r="AB3743">
        <v>38</v>
      </c>
      <c r="AC3743">
        <v>29.678699999999999</v>
      </c>
      <c r="AD3743">
        <v>-1.1104237050929999</v>
      </c>
      <c r="AE3743">
        <v>2.4370999999999801</v>
      </c>
      <c r="AF3743">
        <v>-2.1940477176402799</v>
      </c>
      <c r="AG3743">
        <v>-1.1104237050929999</v>
      </c>
      <c r="AH3743">
        <v>29.6561949209635</v>
      </c>
      <c r="AI3743">
        <v>92.138498216531701</v>
      </c>
      <c r="AJ3743">
        <v>94.231192491804606</v>
      </c>
      <c r="AK3743">
        <v>29.757970081682299</v>
      </c>
      <c r="AL3743">
        <v>78.855764948437198</v>
      </c>
      <c r="AM3743">
        <v>91.927715267554902</v>
      </c>
      <c r="AN3743">
        <v>0.99999993056677705</v>
      </c>
    </row>
    <row r="3744" spans="1:40" x14ac:dyDescent="0.25">
      <c r="A3744" t="str">
        <f>"20190304155707376"</f>
        <v>20190304155707376</v>
      </c>
      <c r="B3744" t="str">
        <f>"1551686227368081"</f>
        <v>1551686227368081</v>
      </c>
      <c r="C3744" t="s">
        <v>40</v>
      </c>
      <c r="D3744">
        <v>4.5829959999999996</v>
      </c>
      <c r="E3744">
        <v>0.4784873</v>
      </c>
      <c r="F3744" t="s">
        <v>55</v>
      </c>
      <c r="G3744">
        <v>-258.51139999999998</v>
      </c>
      <c r="H3744" s="1">
        <v>2.904219E-6</v>
      </c>
      <c r="I3744">
        <v>216.6369</v>
      </c>
      <c r="J3744">
        <v>-284.79829999999998</v>
      </c>
      <c r="K3744">
        <v>1.1104130000000001</v>
      </c>
      <c r="L3744">
        <v>214.29419999999999</v>
      </c>
      <c r="M3744">
        <v>0.99985409999999997</v>
      </c>
      <c r="N3744">
        <v>-1.492923E-2</v>
      </c>
      <c r="O3744">
        <v>8.2988449999999991E-3</v>
      </c>
      <c r="P3744">
        <v>0.98305509999999996</v>
      </c>
      <c r="Q3744">
        <v>0.17862220000000001</v>
      </c>
      <c r="R3744">
        <v>4.1190610000000002E-2</v>
      </c>
      <c r="S3744">
        <v>3.06366</v>
      </c>
      <c r="T3744">
        <v>-0.12759569999999901</v>
      </c>
      <c r="U3744">
        <v>0.26957700000000001</v>
      </c>
      <c r="V3744">
        <v>-3.3140500000000003E-2</v>
      </c>
      <c r="W3744">
        <v>0.19326409999999999</v>
      </c>
      <c r="X3744">
        <v>0.98058690000000004</v>
      </c>
      <c r="Y3744">
        <v>-7.9292420000000002E-2</v>
      </c>
      <c r="Z3744">
        <v>2.0195640000000002E-3</v>
      </c>
      <c r="AA3744">
        <v>0.9968494</v>
      </c>
      <c r="AB3744">
        <v>38</v>
      </c>
      <c r="AC3744">
        <v>26.286899999999999</v>
      </c>
      <c r="AD3744">
        <v>-1.1104100957809999</v>
      </c>
      <c r="AE3744">
        <v>2.3426999999999998</v>
      </c>
      <c r="AF3744">
        <v>-2.12068977806896</v>
      </c>
      <c r="AG3744">
        <v>-1.1104100957809999</v>
      </c>
      <c r="AH3744">
        <v>26.258951648124899</v>
      </c>
      <c r="AI3744">
        <v>92.413570356521802</v>
      </c>
      <c r="AJ3744">
        <v>94.617223028295001</v>
      </c>
      <c r="AK3744">
        <v>26.367837935147101</v>
      </c>
      <c r="AL3744">
        <v>78.856664894104696</v>
      </c>
      <c r="AM3744">
        <v>91.935665598988095</v>
      </c>
      <c r="AN3744">
        <v>0.99999998677033497</v>
      </c>
    </row>
    <row r="3745" spans="1:40" x14ac:dyDescent="0.25">
      <c r="A3745" t="str">
        <f>"20190304155707399"</f>
        <v>20190304155707399</v>
      </c>
      <c r="B3745" t="str">
        <f>"1551686227388578"</f>
        <v>1551686227388578</v>
      </c>
      <c r="C3745" t="s">
        <v>40</v>
      </c>
      <c r="D3745">
        <v>4.5914270000000004</v>
      </c>
      <c r="E3745">
        <v>0.47899710000000001</v>
      </c>
      <c r="F3745" t="s">
        <v>55</v>
      </c>
      <c r="G3745">
        <v>-259.03469999999999</v>
      </c>
      <c r="H3745" s="1">
        <v>3.1822129999999999E-6</v>
      </c>
      <c r="I3745">
        <v>216.64779999999999</v>
      </c>
      <c r="J3745">
        <v>-284.41079999999999</v>
      </c>
      <c r="K3745">
        <v>1.1104000000000001</v>
      </c>
      <c r="L3745">
        <v>214.29759999999999</v>
      </c>
      <c r="M3745">
        <v>0.99985239999999997</v>
      </c>
      <c r="N3745">
        <v>-1.49247999999999E-2</v>
      </c>
      <c r="O3745">
        <v>8.5027119999999904E-3</v>
      </c>
      <c r="P3745">
        <v>0.98307999999999995</v>
      </c>
      <c r="Q3745">
        <v>0.17848139999999901</v>
      </c>
      <c r="R3745">
        <v>4.120571E-2</v>
      </c>
      <c r="S3745">
        <v>3.0639949999999998</v>
      </c>
      <c r="T3745">
        <v>-0.1320578</v>
      </c>
      <c r="U3745">
        <v>0.27990720000000002</v>
      </c>
      <c r="V3745">
        <v>-3.2946929999999999E-2</v>
      </c>
      <c r="W3745">
        <v>0.19312090000000001</v>
      </c>
      <c r="X3745">
        <v>0.98062159999999998</v>
      </c>
      <c r="Y3745">
        <v>-8.2404169999999999E-2</v>
      </c>
      <c r="Z3745">
        <v>2.1490480000000002E-3</v>
      </c>
      <c r="AA3745">
        <v>0.9965967</v>
      </c>
      <c r="AB3745">
        <v>38</v>
      </c>
      <c r="AC3745">
        <v>25.376100000000001</v>
      </c>
      <c r="AD3745">
        <v>-1.1103968177869901</v>
      </c>
      <c r="AE3745">
        <v>2.3502000000000001</v>
      </c>
      <c r="AF3745">
        <v>-2.1302810895457802</v>
      </c>
      <c r="AG3745">
        <v>-1.1103968177869901</v>
      </c>
      <c r="AH3745">
        <v>25.347047876249899</v>
      </c>
      <c r="AI3745">
        <v>92.499593498925606</v>
      </c>
      <c r="AJ3745">
        <v>94.804107661921094</v>
      </c>
      <c r="AK3745">
        <v>25.4606346082405</v>
      </c>
      <c r="AL3745">
        <v>78.865026799441395</v>
      </c>
      <c r="AM3745">
        <v>91.924300071645106</v>
      </c>
      <c r="AN3745">
        <v>0.99999995229989602</v>
      </c>
    </row>
    <row r="3746" spans="1:40" x14ac:dyDescent="0.25">
      <c r="A3746" t="str">
        <f>"20190304155707420"</f>
        <v>20190304155707420</v>
      </c>
      <c r="B3746" t="str">
        <f>"1551686227418833"</f>
        <v>1551686227418833</v>
      </c>
      <c r="C3746" t="s">
        <v>40</v>
      </c>
      <c r="D3746">
        <v>4.5999439999999998</v>
      </c>
      <c r="E3746">
        <v>0.47868280000000002</v>
      </c>
      <c r="F3746" t="s">
        <v>55</v>
      </c>
      <c r="G3746">
        <v>-259.07299999999998</v>
      </c>
      <c r="H3746" s="1">
        <v>3.2055999999999999E-6</v>
      </c>
      <c r="I3746">
        <v>216.57929999999999</v>
      </c>
      <c r="J3746">
        <v>-284.04820000000001</v>
      </c>
      <c r="K3746">
        <v>1.110387</v>
      </c>
      <c r="L3746">
        <v>214.30080000000001</v>
      </c>
      <c r="M3746">
        <v>0.99985109999999999</v>
      </c>
      <c r="N3746">
        <v>-1.4920630000000001E-2</v>
      </c>
      <c r="O3746">
        <v>8.6770530000000005E-3</v>
      </c>
      <c r="P3746">
        <v>0.98312750000000004</v>
      </c>
      <c r="Q3746">
        <v>0.17818510000000001</v>
      </c>
      <c r="R3746">
        <v>4.1361479999999999E-2</v>
      </c>
      <c r="S3746">
        <v>3.0644529999999999</v>
      </c>
      <c r="T3746">
        <v>-0.13429579999999999</v>
      </c>
      <c r="U3746">
        <v>0.27595520000000001</v>
      </c>
      <c r="V3746">
        <v>-3.2923649999999999E-2</v>
      </c>
      <c r="W3746">
        <v>0.1928224</v>
      </c>
      <c r="X3746">
        <v>0.98068120000000003</v>
      </c>
      <c r="Y3746">
        <v>-8.0941170000000007E-2</v>
      </c>
      <c r="Z3746">
        <v>2.124548E-3</v>
      </c>
      <c r="AA3746">
        <v>0.99671659999999995</v>
      </c>
      <c r="AB3746">
        <v>38</v>
      </c>
      <c r="AC3746">
        <v>24.975200000000001</v>
      </c>
      <c r="AD3746">
        <v>-1.1103837943999999</v>
      </c>
      <c r="AE3746">
        <v>2.2784999999999802</v>
      </c>
      <c r="AF3746">
        <v>-2.05764529956345</v>
      </c>
      <c r="AG3746">
        <v>-1.1103837943999999</v>
      </c>
      <c r="AH3746">
        <v>24.945131806288298</v>
      </c>
      <c r="AI3746">
        <v>92.54011163186</v>
      </c>
      <c r="AJ3746">
        <v>94.715472782583404</v>
      </c>
      <c r="AK3746">
        <v>25.054469804463601</v>
      </c>
      <c r="AL3746">
        <v>78.882458085491805</v>
      </c>
      <c r="AM3746">
        <v>91.922824622664805</v>
      </c>
      <c r="AN3746">
        <v>1.00000003035226</v>
      </c>
    </row>
    <row r="3747" spans="1:40" x14ac:dyDescent="0.25">
      <c r="A3747" t="str">
        <f>"20190304155707445"</f>
        <v>20190304155707445</v>
      </c>
      <c r="B3747" t="str">
        <f>"1551686227438355"</f>
        <v>1551686227438355</v>
      </c>
      <c r="C3747" t="s">
        <v>40</v>
      </c>
      <c r="D3747">
        <v>4.6065620000000003</v>
      </c>
      <c r="E3747">
        <v>0.47824499999999998</v>
      </c>
      <c r="F3747" t="s">
        <v>55</v>
      </c>
      <c r="G3747">
        <v>-258.81920000000002</v>
      </c>
      <c r="H3747" s="1">
        <v>3.0695969999999999E-6</v>
      </c>
      <c r="I3747">
        <v>216.60130000000001</v>
      </c>
      <c r="J3747">
        <v>-283.64330000000001</v>
      </c>
      <c r="K3747">
        <v>1.1103670000000001</v>
      </c>
      <c r="L3747">
        <v>214.30459999999999</v>
      </c>
      <c r="M3747">
        <v>0.99984969999999995</v>
      </c>
      <c r="N3747">
        <v>-1.4915980000000001E-2</v>
      </c>
      <c r="O3747">
        <v>8.8574190000000001E-3</v>
      </c>
      <c r="P3747">
        <v>0.98320090000000004</v>
      </c>
      <c r="Q3747">
        <v>0.1777985</v>
      </c>
      <c r="R3747">
        <v>4.1279860000000002E-2</v>
      </c>
      <c r="S3747">
        <v>3.0641780000000001</v>
      </c>
      <c r="T3747">
        <v>-0.13486139999999999</v>
      </c>
      <c r="U3747">
        <v>0.27940369999999998</v>
      </c>
      <c r="V3747">
        <v>-3.2656839999999999E-2</v>
      </c>
      <c r="W3747">
        <v>0.19243450000000001</v>
      </c>
      <c r="X3747">
        <v>0.98076629999999998</v>
      </c>
      <c r="Y3747">
        <v>-8.1880060000000005E-2</v>
      </c>
      <c r="Z3747">
        <v>2.1526449999999999E-3</v>
      </c>
      <c r="AA3747">
        <v>0.99663979999999996</v>
      </c>
      <c r="AB3747">
        <v>38</v>
      </c>
      <c r="AC3747">
        <v>24.824099999999898</v>
      </c>
      <c r="AD3747">
        <v>-1.110363930403</v>
      </c>
      <c r="AE3747">
        <v>2.2967000000000102</v>
      </c>
      <c r="AF3747">
        <v>-2.0725965397525501</v>
      </c>
      <c r="AG3747">
        <v>-1.110363930403</v>
      </c>
      <c r="AH3747">
        <v>24.794285976205099</v>
      </c>
      <c r="AI3747">
        <v>92.555266789557095</v>
      </c>
      <c r="AJ3747">
        <v>94.778342660492598</v>
      </c>
      <c r="AK3747">
        <v>24.905525120831602</v>
      </c>
      <c r="AL3747">
        <v>78.905107188005104</v>
      </c>
      <c r="AM3747">
        <v>91.907088429648894</v>
      </c>
      <c r="AN3747">
        <v>1.00000002060236</v>
      </c>
    </row>
    <row r="3748" spans="1:40" x14ac:dyDescent="0.25">
      <c r="A3748" t="str">
        <f>"20190304155707467"</f>
        <v>20190304155707467</v>
      </c>
      <c r="B3748" t="str">
        <f>"1551686227458849"</f>
        <v>1551686227458849</v>
      </c>
      <c r="C3748" t="s">
        <v>40</v>
      </c>
      <c r="D3748">
        <v>4.6068759999999997</v>
      </c>
      <c r="E3748">
        <v>0.47790199999999999</v>
      </c>
      <c r="F3748" t="s">
        <v>55</v>
      </c>
      <c r="G3748">
        <v>-258.9033</v>
      </c>
      <c r="H3748" s="1">
        <v>3.114951E-6</v>
      </c>
      <c r="I3748">
        <v>216.58680000000001</v>
      </c>
      <c r="J3748">
        <v>-283.2758</v>
      </c>
      <c r="K3748">
        <v>1.1103559999999999</v>
      </c>
      <c r="L3748">
        <v>214.30799999999999</v>
      </c>
      <c r="M3748">
        <v>0.99984819999999996</v>
      </c>
      <c r="N3748">
        <v>-1.4911809999999999E-2</v>
      </c>
      <c r="O3748">
        <v>9.0121469999999999E-3</v>
      </c>
      <c r="P3748">
        <v>0.98317319999999997</v>
      </c>
      <c r="Q3748">
        <v>0.17795620000000001</v>
      </c>
      <c r="R3748">
        <v>4.1255590000000002E-2</v>
      </c>
      <c r="S3748">
        <v>3.06427</v>
      </c>
      <c r="T3748">
        <v>-0.13752809999999999</v>
      </c>
      <c r="U3748">
        <v>0.28266910000000001</v>
      </c>
      <c r="V3748">
        <v>-3.247485E-2</v>
      </c>
      <c r="W3748">
        <v>0.1925885</v>
      </c>
      <c r="X3748">
        <v>0.98074209999999995</v>
      </c>
      <c r="Y3748">
        <v>-8.2771739999999996E-2</v>
      </c>
      <c r="Z3748">
        <v>2.2021860000000001E-3</v>
      </c>
      <c r="AA3748">
        <v>0.99656610000000001</v>
      </c>
      <c r="AB3748">
        <v>38</v>
      </c>
      <c r="AC3748">
        <v>24.372499999999999</v>
      </c>
      <c r="AD3748">
        <v>-1.1103528850490001</v>
      </c>
      <c r="AE3748">
        <v>2.2788000000000102</v>
      </c>
      <c r="AF3748">
        <v>-2.05480667614103</v>
      </c>
      <c r="AG3748">
        <v>-1.1103528850490001</v>
      </c>
      <c r="AH3748">
        <v>24.341965354899699</v>
      </c>
      <c r="AI3748">
        <v>92.602479714439198</v>
      </c>
      <c r="AJ3748">
        <v>94.825136167240998</v>
      </c>
      <c r="AK3748">
        <v>24.4537602700441</v>
      </c>
      <c r="AL3748">
        <v>78.896115286054695</v>
      </c>
      <c r="AM3748">
        <v>91.896515153484799</v>
      </c>
      <c r="AN3748">
        <v>1.0000000064635901</v>
      </c>
    </row>
    <row r="3749" spans="1:40" x14ac:dyDescent="0.25">
      <c r="A3749" t="str">
        <f>"20190304155707488"</f>
        <v>20190304155707488</v>
      </c>
      <c r="B3749" t="str">
        <f>"1551686227478370"</f>
        <v>1551686227478370</v>
      </c>
      <c r="C3749" t="s">
        <v>40</v>
      </c>
      <c r="D3749">
        <v>4.5518479999999997</v>
      </c>
      <c r="E3749">
        <v>0.47769289999999998</v>
      </c>
      <c r="F3749" t="s">
        <v>55</v>
      </c>
      <c r="G3749">
        <v>-258.68529999999998</v>
      </c>
      <c r="H3749" s="1">
        <v>2.9984290000000001E-6</v>
      </c>
      <c r="I3749">
        <v>216.59950000000001</v>
      </c>
      <c r="J3749">
        <v>-282.91359999999997</v>
      </c>
      <c r="K3749">
        <v>1.1103499999999999</v>
      </c>
      <c r="L3749">
        <v>214.31139999999999</v>
      </c>
      <c r="M3749">
        <v>0.99984700000000004</v>
      </c>
      <c r="N3749">
        <v>-1.4907729999999999E-2</v>
      </c>
      <c r="O3749">
        <v>9.1586240000000006E-3</v>
      </c>
      <c r="P3749">
        <v>0.98319509999999999</v>
      </c>
      <c r="Q3749">
        <v>0.17785809999999999</v>
      </c>
      <c r="R3749">
        <v>4.1161129999999997E-2</v>
      </c>
      <c r="S3749">
        <v>3.0644529999999999</v>
      </c>
      <c r="T3749">
        <v>-0.13837189999999999</v>
      </c>
      <c r="U3749">
        <v>0.28556819999999999</v>
      </c>
      <c r="V3749">
        <v>-3.2231379999999997E-2</v>
      </c>
      <c r="W3749">
        <v>0.1924874</v>
      </c>
      <c r="X3749">
        <v>0.98077000000000003</v>
      </c>
      <c r="Y3749">
        <v>-8.3552989999999994E-2</v>
      </c>
      <c r="Z3749">
        <v>2.229754E-3</v>
      </c>
      <c r="AA3749">
        <v>0.99650079999999996</v>
      </c>
      <c r="AB3749">
        <v>38</v>
      </c>
      <c r="AC3749">
        <v>24.228299999999901</v>
      </c>
      <c r="AD3749">
        <v>-1.110347001571</v>
      </c>
      <c r="AE3749">
        <v>2.2881000000000098</v>
      </c>
      <c r="AF3749">
        <v>-2.0617894782526101</v>
      </c>
      <c r="AG3749">
        <v>-1.110347001571</v>
      </c>
      <c r="AH3749">
        <v>24.197869405280802</v>
      </c>
      <c r="AI3749">
        <v>92.617767701450802</v>
      </c>
      <c r="AJ3749">
        <v>94.870147642434006</v>
      </c>
      <c r="AK3749">
        <v>24.3109179191481</v>
      </c>
      <c r="AL3749">
        <v>78.902018568550901</v>
      </c>
      <c r="AM3749">
        <v>91.882253385481206</v>
      </c>
      <c r="AN3749">
        <v>1.00000002695773</v>
      </c>
    </row>
    <row r="3750" spans="1:40" x14ac:dyDescent="0.25">
      <c r="A3750" t="str">
        <f>"20190304155707511"</f>
        <v>20190304155707511</v>
      </c>
      <c r="B3750" t="str">
        <f>"1551686227508626"</f>
        <v>1551686227508626</v>
      </c>
      <c r="C3750" t="s">
        <v>40</v>
      </c>
      <c r="D3750">
        <v>4.5989329999999997</v>
      </c>
      <c r="E3750">
        <v>0.47734799999999999</v>
      </c>
      <c r="F3750" t="s">
        <v>55</v>
      </c>
      <c r="G3750">
        <v>-258.226</v>
      </c>
      <c r="H3750" s="1">
        <v>2.7529459999999999E-6</v>
      </c>
      <c r="I3750">
        <v>216.62309999999999</v>
      </c>
      <c r="J3750">
        <v>-282.53399999999999</v>
      </c>
      <c r="K3750">
        <v>1.110341</v>
      </c>
      <c r="L3750">
        <v>214.315</v>
      </c>
      <c r="M3750">
        <v>0.99984580000000001</v>
      </c>
      <c r="N3750">
        <v>-1.490347E-2</v>
      </c>
      <c r="O3750">
        <v>9.3075080000000008E-3</v>
      </c>
      <c r="P3750">
        <v>0.98314060000000003</v>
      </c>
      <c r="Q3750">
        <v>0.17812829999999999</v>
      </c>
      <c r="R3750">
        <v>4.129555E-2</v>
      </c>
      <c r="S3750">
        <v>3.064209</v>
      </c>
      <c r="T3750">
        <v>-0.1378152</v>
      </c>
      <c r="U3750">
        <v>0.28692630000000002</v>
      </c>
      <c r="V3750">
        <v>-3.2216109999999999E-2</v>
      </c>
      <c r="W3750">
        <v>0.1927537</v>
      </c>
      <c r="X3750">
        <v>0.98071819999999998</v>
      </c>
      <c r="Y3750">
        <v>-8.3850170000000002E-2</v>
      </c>
      <c r="Z3750">
        <v>2.2281499999999999E-3</v>
      </c>
      <c r="AA3750">
        <v>0.99647589999999997</v>
      </c>
      <c r="AB3750">
        <v>38</v>
      </c>
      <c r="AC3750">
        <v>24.308</v>
      </c>
      <c r="AD3750">
        <v>-1.110338247054</v>
      </c>
      <c r="AE3750">
        <v>2.3080999999999898</v>
      </c>
      <c r="AF3750">
        <v>-2.0774322376225398</v>
      </c>
      <c r="AG3750">
        <v>-1.110338247054</v>
      </c>
      <c r="AH3750">
        <v>24.278228720335701</v>
      </c>
      <c r="AI3750">
        <v>92.609014500499399</v>
      </c>
      <c r="AJ3750">
        <v>94.890754969750503</v>
      </c>
      <c r="AK3750">
        <v>24.392231663415298</v>
      </c>
      <c r="AL3750">
        <v>78.8864695235917</v>
      </c>
      <c r="AM3750">
        <v>91.881461585720402</v>
      </c>
      <c r="AN3750">
        <v>1.00000002720923</v>
      </c>
    </row>
    <row r="3751" spans="1:40" x14ac:dyDescent="0.25">
      <c r="A3751" t="str">
        <f>"20190304155707533"</f>
        <v>20190304155707533</v>
      </c>
      <c r="B3751" t="str">
        <f>"1551686227528146"</f>
        <v>1551686227528146</v>
      </c>
      <c r="C3751" t="s">
        <v>40</v>
      </c>
      <c r="D3751">
        <v>4.5782569999999998</v>
      </c>
      <c r="E3751">
        <v>0.47703960000000001</v>
      </c>
      <c r="F3751" t="s">
        <v>55</v>
      </c>
      <c r="G3751">
        <v>-257.7226</v>
      </c>
      <c r="H3751" s="1">
        <v>2.4834330000000001E-6</v>
      </c>
      <c r="I3751">
        <v>216.6611</v>
      </c>
      <c r="J3751">
        <v>-282.154</v>
      </c>
      <c r="K3751">
        <v>1.1103379999999901</v>
      </c>
      <c r="L3751">
        <v>214.31870000000001</v>
      </c>
      <c r="M3751">
        <v>0.99984439999999997</v>
      </c>
      <c r="N3751">
        <v>-1.48992E-2</v>
      </c>
      <c r="O3751">
        <v>9.4525340000000003E-3</v>
      </c>
      <c r="P3751">
        <v>0.98301450000000001</v>
      </c>
      <c r="Q3751">
        <v>0.17871989999999999</v>
      </c>
      <c r="R3751">
        <v>4.1737089999999998E-2</v>
      </c>
      <c r="S3751">
        <v>3.064117</v>
      </c>
      <c r="T3751">
        <v>-0.13712299999999999</v>
      </c>
      <c r="U3751">
        <v>0.28973389999999999</v>
      </c>
      <c r="V3751">
        <v>-3.2512979999999997E-2</v>
      </c>
      <c r="W3751">
        <v>0.19333939999999999</v>
      </c>
      <c r="X3751">
        <v>0.9805931</v>
      </c>
      <c r="Y3751">
        <v>-8.461341E-2</v>
      </c>
      <c r="Z3751">
        <v>2.2390069999999999E-3</v>
      </c>
      <c r="AA3751">
        <v>0.9964113</v>
      </c>
      <c r="AB3751">
        <v>38</v>
      </c>
      <c r="AC3751">
        <v>24.4314</v>
      </c>
      <c r="AD3751">
        <v>-1.1103355165669999</v>
      </c>
      <c r="AE3751">
        <v>2.3423999999999898</v>
      </c>
      <c r="AF3751">
        <v>-2.1070187970085801</v>
      </c>
      <c r="AG3751">
        <v>-1.1103355165669999</v>
      </c>
      <c r="AH3751">
        <v>24.4025095941609</v>
      </c>
      <c r="AI3751">
        <v>92.595566981023296</v>
      </c>
      <c r="AJ3751">
        <v>94.934927186851695</v>
      </c>
      <c r="AK3751">
        <v>24.518459324831401</v>
      </c>
      <c r="AL3751">
        <v>78.8522679904721</v>
      </c>
      <c r="AM3751">
        <v>91.899028597782106</v>
      </c>
      <c r="AN3751">
        <v>1.0000000226142201</v>
      </c>
    </row>
    <row r="3752" spans="1:40" x14ac:dyDescent="0.25">
      <c r="A3752" t="str">
        <f>"20190304155707555"</f>
        <v>20190304155707555</v>
      </c>
      <c r="B3752" t="str">
        <f>"1551686227548642"</f>
        <v>1551686227548642</v>
      </c>
      <c r="C3752" t="s">
        <v>40</v>
      </c>
      <c r="D3752">
        <v>4.6157329999999996</v>
      </c>
      <c r="E3752">
        <v>0.47691129999999998</v>
      </c>
      <c r="F3752" t="s">
        <v>55</v>
      </c>
      <c r="G3752">
        <v>-257.17360000000002</v>
      </c>
      <c r="H3752" s="1">
        <v>2.18895E-6</v>
      </c>
      <c r="I3752">
        <v>216.71360000000001</v>
      </c>
      <c r="J3752">
        <v>-281.78820000000002</v>
      </c>
      <c r="K3752">
        <v>1.1103369999999999</v>
      </c>
      <c r="L3752">
        <v>214.32230000000001</v>
      </c>
      <c r="M3752">
        <v>0.99984309999999998</v>
      </c>
      <c r="N3752">
        <v>-1.489508E-2</v>
      </c>
      <c r="O3752">
        <v>9.5892370000000005E-3</v>
      </c>
      <c r="P3752">
        <v>0.983066</v>
      </c>
      <c r="Q3752">
        <v>0.17837539999999999</v>
      </c>
      <c r="R3752">
        <v>4.1990859999999998E-2</v>
      </c>
      <c r="S3752">
        <v>3.064117</v>
      </c>
      <c r="T3752">
        <v>-0.1361945</v>
      </c>
      <c r="U3752">
        <v>0.29376219999999997</v>
      </c>
      <c r="V3752">
        <v>-3.2628409999999997E-2</v>
      </c>
      <c r="W3752">
        <v>0.19299230000000001</v>
      </c>
      <c r="X3752">
        <v>0.98065760000000002</v>
      </c>
      <c r="Y3752">
        <v>-8.5775110000000002E-2</v>
      </c>
      <c r="Z3752">
        <v>2.259208E-3</v>
      </c>
      <c r="AA3752">
        <v>0.99631199999999998</v>
      </c>
      <c r="AB3752">
        <v>38</v>
      </c>
      <c r="AC3752">
        <v>24.614599999999999</v>
      </c>
      <c r="AD3752">
        <v>-1.11033481105</v>
      </c>
      <c r="AE3752">
        <v>2.3913000000000002</v>
      </c>
      <c r="AF3752">
        <v>-2.1507930914913298</v>
      </c>
      <c r="AG3752">
        <v>-1.11033481105</v>
      </c>
      <c r="AH3752">
        <v>24.586839702776601</v>
      </c>
      <c r="AI3752">
        <v>92.575880990556897</v>
      </c>
      <c r="AJ3752">
        <v>94.999360196769004</v>
      </c>
      <c r="AK3752">
        <v>24.705696527017199</v>
      </c>
      <c r="AL3752">
        <v>78.872536674124603</v>
      </c>
      <c r="AM3752">
        <v>91.905640453540897</v>
      </c>
      <c r="AN3752">
        <v>0.99999998471808804</v>
      </c>
    </row>
    <row r="3753" spans="1:40" x14ac:dyDescent="0.25">
      <c r="A3753" t="str">
        <f>"20190304155707576"</f>
        <v>20190304155707576</v>
      </c>
      <c r="B3753" t="str">
        <f>"1551686227568162"</f>
        <v>1551686227568162</v>
      </c>
      <c r="C3753" t="s">
        <v>40</v>
      </c>
      <c r="D3753">
        <v>4.6019030000000001</v>
      </c>
      <c r="E3753">
        <v>0.47673280000000001</v>
      </c>
      <c r="F3753" t="s">
        <v>55</v>
      </c>
      <c r="G3753">
        <v>-256.8492</v>
      </c>
      <c r="H3753" s="1">
        <v>2.0154530000000002E-6</v>
      </c>
      <c r="I3753">
        <v>216.7336</v>
      </c>
      <c r="J3753">
        <v>-281.42219999999998</v>
      </c>
      <c r="K3753">
        <v>1.110333</v>
      </c>
      <c r="L3753">
        <v>214.32589999999999</v>
      </c>
      <c r="M3753">
        <v>0.99984189999999995</v>
      </c>
      <c r="N3753">
        <v>-1.489096E-2</v>
      </c>
      <c r="O3753">
        <v>9.7218229999999992E-3</v>
      </c>
      <c r="P3753">
        <v>0.98314900000000005</v>
      </c>
      <c r="Q3753">
        <v>0.1778489</v>
      </c>
      <c r="R3753">
        <v>4.2286079999999997E-2</v>
      </c>
      <c r="S3753">
        <v>3.0637819999999998</v>
      </c>
      <c r="T3753">
        <v>-0.13640559999999999</v>
      </c>
      <c r="U3753">
        <v>0.2962341</v>
      </c>
      <c r="V3753">
        <v>-3.2789459999999999E-2</v>
      </c>
      <c r="W3753">
        <v>0.19246360000000001</v>
      </c>
      <c r="X3753">
        <v>0.98075619999999997</v>
      </c>
      <c r="Y3753">
        <v>-8.644868E-2</v>
      </c>
      <c r="Z3753">
        <v>2.2774700000000002E-3</v>
      </c>
      <c r="AA3753">
        <v>0.99625370000000002</v>
      </c>
      <c r="AB3753">
        <v>38</v>
      </c>
      <c r="AC3753">
        <v>24.572999999999901</v>
      </c>
      <c r="AD3753">
        <v>-1.110330984547</v>
      </c>
      <c r="AE3753">
        <v>2.4077000000000002</v>
      </c>
      <c r="AF3753">
        <v>-2.1642885788252002</v>
      </c>
      <c r="AG3753">
        <v>-1.110330984547</v>
      </c>
      <c r="AH3753">
        <v>24.545610456951799</v>
      </c>
      <c r="AI3753">
        <v>92.580036510400504</v>
      </c>
      <c r="AJ3753">
        <v>95.038975371980698</v>
      </c>
      <c r="AK3753">
        <v>24.6658462788549</v>
      </c>
      <c r="AL3753">
        <v>78.903408505826107</v>
      </c>
      <c r="AM3753">
        <v>91.914847099978601</v>
      </c>
      <c r="AN3753">
        <v>1.0000000549252399</v>
      </c>
    </row>
    <row r="3754" spans="1:40" x14ac:dyDescent="0.25">
      <c r="A3754" t="str">
        <f>"20190304155707600"</f>
        <v>20190304155707600</v>
      </c>
      <c r="B3754" t="str">
        <f>"1551686227598418"</f>
        <v>1551686227598418</v>
      </c>
      <c r="C3754" t="s">
        <v>40</v>
      </c>
      <c r="D3754">
        <v>4.6273970000000002</v>
      </c>
      <c r="E3754">
        <v>0.47634969999999999</v>
      </c>
      <c r="F3754" t="s">
        <v>55</v>
      </c>
      <c r="G3754">
        <v>-256.78519999999997</v>
      </c>
      <c r="H3754" s="1">
        <v>1.9819270000000001E-6</v>
      </c>
      <c r="I3754">
        <v>216.72139999999999</v>
      </c>
      <c r="J3754">
        <v>-281.03370000000001</v>
      </c>
      <c r="K3754">
        <v>1.1103270000000001</v>
      </c>
      <c r="L3754">
        <v>214.32990000000001</v>
      </c>
      <c r="M3754">
        <v>0.99984070000000003</v>
      </c>
      <c r="N3754">
        <v>-1.488652E-2</v>
      </c>
      <c r="O3754">
        <v>9.8550410000000001E-3</v>
      </c>
      <c r="P3754">
        <v>0.98309360000000001</v>
      </c>
      <c r="Q3754">
        <v>0.177982</v>
      </c>
      <c r="R3754">
        <v>4.3002770000000003E-2</v>
      </c>
      <c r="S3754">
        <v>3.0635680000000001</v>
      </c>
      <c r="T3754">
        <v>-0.13806740000000001</v>
      </c>
      <c r="U3754">
        <v>0.29786679999999999</v>
      </c>
      <c r="V3754">
        <v>-3.3371770000000002E-2</v>
      </c>
      <c r="W3754">
        <v>0.19259219999999999</v>
      </c>
      <c r="X3754">
        <v>0.98071129999999995</v>
      </c>
      <c r="Y3754">
        <v>-8.6845839999999994E-2</v>
      </c>
      <c r="Z3754">
        <v>2.3033060000000002E-3</v>
      </c>
      <c r="AA3754">
        <v>0.99621910000000002</v>
      </c>
      <c r="AB3754">
        <v>37</v>
      </c>
      <c r="AC3754">
        <v>24.2485</v>
      </c>
      <c r="AD3754">
        <v>-1.110325018073</v>
      </c>
      <c r="AE3754">
        <v>2.3914999999999802</v>
      </c>
      <c r="AF3754">
        <v>-2.14792729541441</v>
      </c>
      <c r="AG3754">
        <v>-1.110325018073</v>
      </c>
      <c r="AH3754">
        <v>24.220599664392999</v>
      </c>
      <c r="AI3754">
        <v>92.614479382874094</v>
      </c>
      <c r="AJ3754">
        <v>95.067837501165101</v>
      </c>
      <c r="AK3754">
        <v>24.340991381103201</v>
      </c>
      <c r="AL3754">
        <v>78.895899649585303</v>
      </c>
      <c r="AM3754">
        <v>91.948916146405594</v>
      </c>
      <c r="AN3754">
        <v>1.00000004224073</v>
      </c>
    </row>
    <row r="3755" spans="1:40" x14ac:dyDescent="0.25">
      <c r="A3755" t="str">
        <f>"20190304155707621"</f>
        <v>20190304155707621</v>
      </c>
      <c r="B3755" t="str">
        <f>"1551686227617938"</f>
        <v>1551686227617938</v>
      </c>
      <c r="C3755" t="s">
        <v>40</v>
      </c>
      <c r="D3755">
        <v>4.64046</v>
      </c>
      <c r="E3755">
        <v>0.4761206</v>
      </c>
      <c r="F3755" t="s">
        <v>55</v>
      </c>
      <c r="G3755">
        <v>-256.52679999999998</v>
      </c>
      <c r="H3755" s="1">
        <v>1.8429219999999999E-6</v>
      </c>
      <c r="I3755">
        <v>216.75540000000001</v>
      </c>
      <c r="J3755">
        <v>-280.67239999999998</v>
      </c>
      <c r="K3755">
        <v>1.110312</v>
      </c>
      <c r="L3755">
        <v>214.33359999999999</v>
      </c>
      <c r="M3755">
        <v>0.99983960000000005</v>
      </c>
      <c r="N3755">
        <v>-1.48824E-2</v>
      </c>
      <c r="O3755">
        <v>9.9688069999999997E-3</v>
      </c>
      <c r="P3755">
        <v>0.98309530000000001</v>
      </c>
      <c r="Q3755">
        <v>0.17781629999999901</v>
      </c>
      <c r="R3755">
        <v>4.3643899999999999E-2</v>
      </c>
      <c r="S3755">
        <v>3.0634160000000001</v>
      </c>
      <c r="T3755">
        <v>-0.13879279999999999</v>
      </c>
      <c r="U3755">
        <v>0.30319210000000002</v>
      </c>
      <c r="V3755">
        <v>-3.3896200000000001E-2</v>
      </c>
      <c r="W3755">
        <v>0.19242329999999999</v>
      </c>
      <c r="X3755">
        <v>0.9807264</v>
      </c>
      <c r="Y3755">
        <v>-8.8449319999999998E-2</v>
      </c>
      <c r="Z3755">
        <v>2.3557360000000002E-3</v>
      </c>
      <c r="AA3755">
        <v>0.99607789999999996</v>
      </c>
      <c r="AB3755">
        <v>37</v>
      </c>
      <c r="AC3755">
        <v>24.145600000000002</v>
      </c>
      <c r="AD3755">
        <v>-1.1103101570780001</v>
      </c>
      <c r="AE3755">
        <v>2.4218000000000202</v>
      </c>
      <c r="AF3755">
        <v>-2.17639395679985</v>
      </c>
      <c r="AG3755">
        <v>-1.1103101570780001</v>
      </c>
      <c r="AH3755">
        <v>24.1180548032962</v>
      </c>
      <c r="AI3755">
        <v>92.625182620276405</v>
      </c>
      <c r="AJ3755">
        <v>95.156359264548698</v>
      </c>
      <c r="AK3755">
        <v>24.241494318521401</v>
      </c>
      <c r="AL3755">
        <v>78.905760612135097</v>
      </c>
      <c r="AM3755">
        <v>91.979488302051394</v>
      </c>
      <c r="AN3755">
        <v>0.99999997520714401</v>
      </c>
    </row>
    <row r="3756" spans="1:40" x14ac:dyDescent="0.25">
      <c r="A3756" t="str">
        <f>"20190304155707644"</f>
        <v>20190304155707644</v>
      </c>
      <c r="B3756" t="str">
        <f>"1551686227638434"</f>
        <v>1551686227638434</v>
      </c>
      <c r="C3756" t="s">
        <v>40</v>
      </c>
      <c r="D3756">
        <v>4.6234060000000001</v>
      </c>
      <c r="E3756">
        <v>0.47596369999999999</v>
      </c>
      <c r="F3756" t="s">
        <v>55</v>
      </c>
      <c r="G3756">
        <v>-256.34280000000001</v>
      </c>
      <c r="H3756" s="1">
        <v>1.7442829999999999E-6</v>
      </c>
      <c r="I3756">
        <v>216.77279999999999</v>
      </c>
      <c r="J3756">
        <v>-280.29419999999999</v>
      </c>
      <c r="K3756">
        <v>1.1102970000000001</v>
      </c>
      <c r="L3756">
        <v>214.3374</v>
      </c>
      <c r="M3756">
        <v>0.99983869999999997</v>
      </c>
      <c r="N3756">
        <v>-1.4878280000000001E-2</v>
      </c>
      <c r="O3756">
        <v>1.007328E-2</v>
      </c>
      <c r="P3756">
        <v>0.9831491</v>
      </c>
      <c r="Q3756">
        <v>0.17728629999999901</v>
      </c>
      <c r="R3756">
        <v>4.4585279999999998E-2</v>
      </c>
      <c r="S3756">
        <v>3.0632630000000001</v>
      </c>
      <c r="T3756">
        <v>-0.13979569999999999</v>
      </c>
      <c r="U3756">
        <v>0.30711359999999999</v>
      </c>
      <c r="V3756">
        <v>-3.4728549999999997E-2</v>
      </c>
      <c r="W3756">
        <v>0.19189129999999999</v>
      </c>
      <c r="X3756">
        <v>0.98080149999999999</v>
      </c>
      <c r="Y3756">
        <v>-8.9609750000000002E-2</v>
      </c>
      <c r="Z3756">
        <v>2.3985569999999999E-3</v>
      </c>
      <c r="AA3756">
        <v>0.99597409999999997</v>
      </c>
      <c r="AB3756">
        <v>37</v>
      </c>
      <c r="AC3756">
        <v>23.9513999999999</v>
      </c>
      <c r="AD3756">
        <v>-1.1102952557169901</v>
      </c>
      <c r="AE3756">
        <v>2.43539999999998</v>
      </c>
      <c r="AF3756">
        <v>-2.1893240888560901</v>
      </c>
      <c r="AG3756">
        <v>-1.1102952557169901</v>
      </c>
      <c r="AH3756">
        <v>23.9238359728893</v>
      </c>
      <c r="AI3756">
        <v>92.646125563659297</v>
      </c>
      <c r="AJ3756">
        <v>95.228702315960106</v>
      </c>
      <c r="AK3756">
        <v>24.049445381933999</v>
      </c>
      <c r="AL3756">
        <v>78.936820662450003</v>
      </c>
      <c r="AM3756">
        <v>92.027901056506494</v>
      </c>
      <c r="AN3756">
        <v>0.99999996280152004</v>
      </c>
    </row>
    <row r="3757" spans="1:40" x14ac:dyDescent="0.25">
      <c r="A3757" t="str">
        <f>"20190304155707667"</f>
        <v>20190304155707667</v>
      </c>
      <c r="B3757" t="str">
        <f>"1551686227657954"</f>
        <v>1551686227657954</v>
      </c>
      <c r="C3757" t="s">
        <v>40</v>
      </c>
      <c r="D3757">
        <v>4.60093</v>
      </c>
      <c r="E3757">
        <v>0.47580869999999997</v>
      </c>
      <c r="F3757" t="s">
        <v>55</v>
      </c>
      <c r="G3757">
        <v>-256.34350000000001</v>
      </c>
      <c r="H3757" s="1">
        <v>1.744737E-6</v>
      </c>
      <c r="I3757">
        <v>216.77070000000001</v>
      </c>
      <c r="J3757">
        <v>-279.91379999999998</v>
      </c>
      <c r="K3757">
        <v>1.1102780000000001</v>
      </c>
      <c r="L3757">
        <v>214.34139999999999</v>
      </c>
      <c r="M3757">
        <v>0.9998378</v>
      </c>
      <c r="N3757">
        <v>-1.487429E-2</v>
      </c>
      <c r="O3757">
        <v>1.0159430000000001E-2</v>
      </c>
      <c r="P3757">
        <v>0.98315459999999999</v>
      </c>
      <c r="Q3757">
        <v>0.17701239999999999</v>
      </c>
      <c r="R3757">
        <v>4.5538490000000001E-2</v>
      </c>
      <c r="S3757">
        <v>3.0629270000000002</v>
      </c>
      <c r="T3757">
        <v>-0.14198959999999999</v>
      </c>
      <c r="U3757">
        <v>0.31117250000000002</v>
      </c>
      <c r="V3757">
        <v>-3.558915E-2</v>
      </c>
      <c r="W3757">
        <v>0.1916147</v>
      </c>
      <c r="X3757">
        <v>0.98082480000000005</v>
      </c>
      <c r="Y3757">
        <v>-9.0836340000000002E-2</v>
      </c>
      <c r="Z3757">
        <v>2.4580209999999999E-3</v>
      </c>
      <c r="AA3757">
        <v>0.99586280000000005</v>
      </c>
      <c r="AB3757">
        <v>37</v>
      </c>
      <c r="AC3757">
        <v>23.5702999999999</v>
      </c>
      <c r="AD3757">
        <v>-1.1102762552629999</v>
      </c>
      <c r="AE3757">
        <v>2.4293000000000098</v>
      </c>
      <c r="AF3757">
        <v>-2.1848902725898101</v>
      </c>
      <c r="AG3757">
        <v>-1.1102762552629999</v>
      </c>
      <c r="AH3757">
        <v>23.542078584732</v>
      </c>
      <c r="AI3757">
        <v>92.688608720985798</v>
      </c>
      <c r="AJ3757">
        <v>95.302310851317898</v>
      </c>
      <c r="AK3757">
        <v>23.6693033897484</v>
      </c>
      <c r="AL3757">
        <v>78.952969127253397</v>
      </c>
      <c r="AM3757">
        <v>92.0780611422486</v>
      </c>
      <c r="AN3757">
        <v>1.00000003457442</v>
      </c>
    </row>
    <row r="3758" spans="1:40" x14ac:dyDescent="0.25">
      <c r="A3758" t="str">
        <f>"20190304155707691"</f>
        <v>20190304155707691</v>
      </c>
      <c r="B3758" t="str">
        <f>"1551686227688210"</f>
        <v>1551686227688210</v>
      </c>
      <c r="C3758" t="s">
        <v>40</v>
      </c>
      <c r="D3758">
        <v>4.5996930000000003</v>
      </c>
      <c r="E3758">
        <v>0.47560750000000002</v>
      </c>
      <c r="F3758" t="s">
        <v>55</v>
      </c>
      <c r="G3758">
        <v>-256.17910000000001</v>
      </c>
      <c r="H3758" s="1">
        <v>1.6566210000000001E-6</v>
      </c>
      <c r="I3758">
        <v>216.78569999999999</v>
      </c>
      <c r="J3758">
        <v>-279.52929999999998</v>
      </c>
      <c r="K3758">
        <v>1.1102590000000001</v>
      </c>
      <c r="L3758">
        <v>214.34540000000001</v>
      </c>
      <c r="M3758">
        <v>0.99983719999999998</v>
      </c>
      <c r="N3758">
        <v>-1.4870410000000001E-2</v>
      </c>
      <c r="O3758">
        <v>1.0222820000000001E-2</v>
      </c>
      <c r="P3758">
        <v>0.98318989999999995</v>
      </c>
      <c r="Q3758">
        <v>0.17673079999999999</v>
      </c>
      <c r="R3758">
        <v>4.5865429999999999E-2</v>
      </c>
      <c r="S3758">
        <v>3.062592</v>
      </c>
      <c r="T3758">
        <v>-0.1432638</v>
      </c>
      <c r="U3758">
        <v>0.31539919999999999</v>
      </c>
      <c r="V3758">
        <v>-3.5844189999999998E-2</v>
      </c>
      <c r="W3758">
        <v>0.191332</v>
      </c>
      <c r="X3758">
        <v>0.98087069999999998</v>
      </c>
      <c r="Y3758">
        <v>-9.2140529999999998E-2</v>
      </c>
      <c r="Z3758">
        <v>2.5106429999999999E-3</v>
      </c>
      <c r="AA3758">
        <v>0.99574289999999999</v>
      </c>
      <c r="AB3758">
        <v>37</v>
      </c>
      <c r="AC3758">
        <v>23.350199999999901</v>
      </c>
      <c r="AD3758">
        <v>-1.110257343379</v>
      </c>
      <c r="AE3758">
        <v>2.4402999999999802</v>
      </c>
      <c r="AF3758">
        <v>-2.1965288694230898</v>
      </c>
      <c r="AG3758">
        <v>-1.110257343379</v>
      </c>
      <c r="AH3758">
        <v>23.321772401455998</v>
      </c>
      <c r="AI3758">
        <v>92.713576853138406</v>
      </c>
      <c r="AJ3758">
        <v>95.380451991385698</v>
      </c>
      <c r="AK3758">
        <v>23.451278822018502</v>
      </c>
      <c r="AL3758">
        <v>78.969471988947006</v>
      </c>
      <c r="AM3758">
        <v>92.092841955310305</v>
      </c>
      <c r="AN3758">
        <v>1.0000000351496201</v>
      </c>
    </row>
    <row r="3759" spans="1:40" x14ac:dyDescent="0.25">
      <c r="A3759" t="str">
        <f>"20190304155707712"</f>
        <v>20190304155707712</v>
      </c>
      <c r="B3759" t="str">
        <f>"1551686227708706"</f>
        <v>1551686227708706</v>
      </c>
      <c r="C3759" t="s">
        <v>40</v>
      </c>
      <c r="D3759">
        <v>4.5306649999999999</v>
      </c>
      <c r="E3759">
        <v>0.47532619999999998</v>
      </c>
      <c r="F3759" t="s">
        <v>55</v>
      </c>
      <c r="G3759">
        <v>-256.02350000000001</v>
      </c>
      <c r="H3759" s="1">
        <v>1.5737470000000001E-6</v>
      </c>
      <c r="I3759">
        <v>216.7868</v>
      </c>
      <c r="J3759">
        <v>-279.18020000000001</v>
      </c>
      <c r="K3759">
        <v>1.110244</v>
      </c>
      <c r="L3759">
        <v>214.34889999999999</v>
      </c>
      <c r="M3759">
        <v>0.99983690000000003</v>
      </c>
      <c r="N3759">
        <v>-1.486677E-2</v>
      </c>
      <c r="O3759">
        <v>1.026145E-2</v>
      </c>
      <c r="P3759">
        <v>0.98310730000000002</v>
      </c>
      <c r="Q3759">
        <v>0.1770108</v>
      </c>
      <c r="R3759">
        <v>4.655509E-2</v>
      </c>
      <c r="S3759">
        <v>3.0624690000000001</v>
      </c>
      <c r="T3759">
        <v>-0.14465069999999999</v>
      </c>
      <c r="U3759">
        <v>0.3180847</v>
      </c>
      <c r="V3759">
        <v>-3.6488560000000003E-2</v>
      </c>
      <c r="W3759">
        <v>0.19160859999999999</v>
      </c>
      <c r="X3759">
        <v>0.98079289999999997</v>
      </c>
      <c r="Y3759">
        <v>-9.2966740000000006E-2</v>
      </c>
      <c r="Z3759">
        <v>2.5509909999999998E-3</v>
      </c>
      <c r="AA3759">
        <v>0.99566600000000005</v>
      </c>
      <c r="AB3759">
        <v>37</v>
      </c>
      <c r="AC3759">
        <v>23.156700000000001</v>
      </c>
      <c r="AD3759">
        <v>-1.110242426253</v>
      </c>
      <c r="AE3759">
        <v>2.4379000000000102</v>
      </c>
      <c r="AF3759">
        <v>-2.1951334107846301</v>
      </c>
      <c r="AG3759">
        <v>-1.110242426253</v>
      </c>
      <c r="AH3759">
        <v>23.127918322254601</v>
      </c>
      <c r="AI3759">
        <v>92.736063776791099</v>
      </c>
      <c r="AJ3759">
        <v>95.421855857833506</v>
      </c>
      <c r="AK3759">
        <v>23.2583717155151</v>
      </c>
      <c r="AL3759">
        <v>78.953324749619995</v>
      </c>
      <c r="AM3759">
        <v>92.130599391653405</v>
      </c>
      <c r="AN3759">
        <v>0.99999999164762099</v>
      </c>
    </row>
    <row r="3760" spans="1:40" x14ac:dyDescent="0.25">
      <c r="A3760" t="str">
        <f>"20190304155707736"</f>
        <v>20190304155707736</v>
      </c>
      <c r="B3760" t="str">
        <f>"1551686227728226"</f>
        <v>1551686227728226</v>
      </c>
      <c r="C3760" t="s">
        <v>40</v>
      </c>
      <c r="D3760">
        <v>4.5502830000000003</v>
      </c>
      <c r="E3760">
        <v>0.45897179999999999</v>
      </c>
      <c r="F3760" t="s">
        <v>55</v>
      </c>
      <c r="G3760">
        <v>-255.53030000000001</v>
      </c>
      <c r="H3760" s="1">
        <v>1.3090000000000001E-6</v>
      </c>
      <c r="I3760">
        <v>216.83930000000001</v>
      </c>
      <c r="J3760">
        <v>-278.78640000000001</v>
      </c>
      <c r="K3760">
        <v>1.1102320000000001</v>
      </c>
      <c r="L3760">
        <v>214.35300000000001</v>
      </c>
      <c r="M3760">
        <v>0.99983659999999996</v>
      </c>
      <c r="N3760">
        <v>-1.486263E-2</v>
      </c>
      <c r="O3760">
        <v>1.028798E-2</v>
      </c>
      <c r="P3760">
        <v>0.98304950000000002</v>
      </c>
      <c r="Q3760">
        <v>0.17742349999999901</v>
      </c>
      <c r="R3760">
        <v>4.6202710000000001E-2</v>
      </c>
      <c r="S3760">
        <v>3.0621640000000001</v>
      </c>
      <c r="T3760">
        <v>-0.14375289999999999</v>
      </c>
      <c r="U3760">
        <v>0.32244869999999998</v>
      </c>
      <c r="V3760">
        <v>-3.6102589999999997E-2</v>
      </c>
      <c r="W3760">
        <v>0.19201760000000001</v>
      </c>
      <c r="X3760">
        <v>0.98072720000000002</v>
      </c>
      <c r="Y3760">
        <v>-9.4353450000000005E-2</v>
      </c>
      <c r="Z3760">
        <v>2.582198E-3</v>
      </c>
      <c r="AA3760">
        <v>0.99553539999999996</v>
      </c>
      <c r="AB3760">
        <v>37</v>
      </c>
      <c r="AC3760">
        <v>23.2561</v>
      </c>
      <c r="AD3760">
        <v>-1.1102306909999999</v>
      </c>
      <c r="AE3760">
        <v>2.4863000000000199</v>
      </c>
      <c r="AF3760">
        <v>-2.24183216651344</v>
      </c>
      <c r="AG3760">
        <v>-1.1102306909999999</v>
      </c>
      <c r="AH3760">
        <v>23.2281111241536</v>
      </c>
      <c r="AI3760">
        <v>92.723838004005302</v>
      </c>
      <c r="AJ3760">
        <v>95.512756059263495</v>
      </c>
      <c r="AK3760">
        <v>23.362439299997799</v>
      </c>
      <c r="AL3760">
        <v>78.929447482539601</v>
      </c>
      <c r="AM3760">
        <v>92.108223798671602</v>
      </c>
      <c r="AN3760">
        <v>0.99999999826715402</v>
      </c>
    </row>
    <row r="3761" spans="1:40" x14ac:dyDescent="0.25">
      <c r="A3761" t="str">
        <f>"20190304155707755"</f>
        <v>20190304155707755</v>
      </c>
      <c r="B3761" t="str">
        <f>"1551686227748722"</f>
        <v>1551686227748722</v>
      </c>
      <c r="C3761" t="s">
        <v>40</v>
      </c>
      <c r="D3761">
        <v>4.6211849999999997</v>
      </c>
      <c r="E3761">
        <v>0.45812330000000001</v>
      </c>
      <c r="F3761" t="s">
        <v>55</v>
      </c>
      <c r="G3761">
        <v>-253.70609999999999</v>
      </c>
      <c r="H3761" s="1">
        <v>2.8472270000000002E-7</v>
      </c>
      <c r="I3761">
        <v>218.06360000000001</v>
      </c>
      <c r="J3761">
        <v>-278.44499999999999</v>
      </c>
      <c r="K3761">
        <v>1.110225</v>
      </c>
      <c r="L3761">
        <v>214.35650000000001</v>
      </c>
      <c r="M3761">
        <v>0.99983659999999996</v>
      </c>
      <c r="N3761">
        <v>-1.4858990000000001E-2</v>
      </c>
      <c r="O3761">
        <v>1.030001E-2</v>
      </c>
      <c r="P3761">
        <v>0.98306349999999998</v>
      </c>
      <c r="Q3761">
        <v>0.177422</v>
      </c>
      <c r="R3761">
        <v>4.5908669999999999E-2</v>
      </c>
      <c r="S3761">
        <v>3.0549010000000001</v>
      </c>
      <c r="T3761">
        <v>-0.1352313</v>
      </c>
      <c r="U3761">
        <v>0.45196530000000001</v>
      </c>
      <c r="V3761">
        <v>-3.579069E-2</v>
      </c>
      <c r="W3761">
        <v>0.19201389999999999</v>
      </c>
      <c r="X3761">
        <v>0.98073940000000004</v>
      </c>
      <c r="Y3761">
        <v>-0.135986</v>
      </c>
      <c r="Z3761">
        <v>3.7076330000000001E-3</v>
      </c>
      <c r="AA3761">
        <v>0.99070380000000002</v>
      </c>
      <c r="AB3761">
        <v>37</v>
      </c>
      <c r="AC3761">
        <v>24.738900000000001</v>
      </c>
      <c r="AD3761">
        <v>-1.1102247152772999</v>
      </c>
      <c r="AE3761">
        <v>3.7070999999999898</v>
      </c>
      <c r="AF3761">
        <v>-3.44527784270801</v>
      </c>
      <c r="AG3761">
        <v>-1.1102247152772999</v>
      </c>
      <c r="AH3761">
        <v>24.727067984687601</v>
      </c>
      <c r="AI3761">
        <v>92.546242027083906</v>
      </c>
      <c r="AJ3761">
        <v>97.932082769502401</v>
      </c>
      <c r="AK3761">
        <v>24.990606824389602</v>
      </c>
      <c r="AL3761">
        <v>78.929663975568403</v>
      </c>
      <c r="AM3761">
        <v>92.090000532340497</v>
      </c>
      <c r="AN3761">
        <v>1.00000004099812</v>
      </c>
    </row>
    <row r="3762" spans="1:40" x14ac:dyDescent="0.25">
      <c r="A3762" t="str">
        <f>"20190304155707772"</f>
        <v>20190304155707772</v>
      </c>
      <c r="B3762" t="str">
        <f>"1551686227768242"</f>
        <v>1551686227768242</v>
      </c>
      <c r="C3762" t="s">
        <v>40</v>
      </c>
      <c r="D3762">
        <v>4.5964769999999904</v>
      </c>
      <c r="E3762">
        <v>0.45865230000000001</v>
      </c>
      <c r="F3762" t="s">
        <v>55</v>
      </c>
      <c r="G3762">
        <v>-254.39519999999999</v>
      </c>
      <c r="H3762" s="1">
        <v>6.5592369999999898E-7</v>
      </c>
      <c r="I3762">
        <v>217.96129999999999</v>
      </c>
      <c r="J3762">
        <v>-278.18490000000003</v>
      </c>
      <c r="K3762">
        <v>1.110222</v>
      </c>
      <c r="L3762">
        <v>214.35919999999999</v>
      </c>
      <c r="M3762">
        <v>0.99983659999999996</v>
      </c>
      <c r="N3762">
        <v>-1.4856100000000001E-2</v>
      </c>
      <c r="O3762">
        <v>1.0304789999999999E-2</v>
      </c>
      <c r="P3762">
        <v>0.98302849999999997</v>
      </c>
      <c r="Q3762">
        <v>0.17765549999999999</v>
      </c>
      <c r="R3762">
        <v>4.5758359999999998E-2</v>
      </c>
      <c r="S3762">
        <v>3.0557560000000001</v>
      </c>
      <c r="T3762">
        <v>-0.14106489999999999</v>
      </c>
      <c r="U3762">
        <v>0.45802310000000002</v>
      </c>
      <c r="V3762">
        <v>-3.5632850000000001E-2</v>
      </c>
      <c r="W3762">
        <v>0.19224450000000001</v>
      </c>
      <c r="X3762">
        <v>0.98069989999999996</v>
      </c>
      <c r="Y3762">
        <v>-0.1378471</v>
      </c>
      <c r="Z3762">
        <v>3.872328E-3</v>
      </c>
      <c r="AA3762">
        <v>0.99044600000000005</v>
      </c>
      <c r="AB3762">
        <v>37</v>
      </c>
      <c r="AC3762">
        <v>23.7897</v>
      </c>
      <c r="AD3762">
        <v>-1.1102213440763</v>
      </c>
      <c r="AE3762">
        <v>3.6021000000000001</v>
      </c>
      <c r="AF3762">
        <v>-3.3496021451575499</v>
      </c>
      <c r="AG3762">
        <v>-1.1102213440763</v>
      </c>
      <c r="AH3762">
        <v>23.774940247225</v>
      </c>
      <c r="AI3762">
        <v>92.647497139769499</v>
      </c>
      <c r="AJ3762">
        <v>98.019501031673002</v>
      </c>
      <c r="AK3762">
        <v>24.0353949358609</v>
      </c>
      <c r="AL3762">
        <v>78.916199956807006</v>
      </c>
      <c r="AM3762">
        <v>92.080875306637296</v>
      </c>
      <c r="AN3762">
        <v>0.99999997081969005</v>
      </c>
    </row>
    <row r="3763" spans="1:40" x14ac:dyDescent="0.25">
      <c r="A3763" t="str">
        <f>"20190304155707783"</f>
        <v>20190304155707783</v>
      </c>
      <c r="B3763" t="str">
        <f>"1551686227778002"</f>
        <v>1551686227778002</v>
      </c>
      <c r="C3763" t="s">
        <v>40</v>
      </c>
      <c r="D3763">
        <v>4.5567169999999999</v>
      </c>
      <c r="E3763">
        <v>0.45879769999999997</v>
      </c>
      <c r="F3763" t="s">
        <v>55</v>
      </c>
      <c r="G3763">
        <v>-253.99019999999999</v>
      </c>
      <c r="H3763" s="1">
        <v>4.4097769999999999E-7</v>
      </c>
      <c r="I3763">
        <v>217.9478</v>
      </c>
      <c r="J3763">
        <v>-277.97460000000001</v>
      </c>
      <c r="K3763">
        <v>1.1102190000000001</v>
      </c>
      <c r="L3763">
        <v>214.3614</v>
      </c>
      <c r="M3763">
        <v>0.99983659999999996</v>
      </c>
      <c r="N3763">
        <v>-1.4853740000000001E-2</v>
      </c>
      <c r="O3763">
        <v>1.0305750000000001E-2</v>
      </c>
      <c r="P3763">
        <v>0.98292729999999995</v>
      </c>
      <c r="Q3763">
        <v>0.17828429999999901</v>
      </c>
      <c r="R3763">
        <v>4.5482870000000002E-2</v>
      </c>
      <c r="S3763">
        <v>3.056</v>
      </c>
      <c r="T3763">
        <v>-0.14023050000000001</v>
      </c>
      <c r="U3763">
        <v>0.45326230000000001</v>
      </c>
      <c r="V3763">
        <v>-3.5355329999999997E-2</v>
      </c>
      <c r="W3763">
        <v>0.19287019999999999</v>
      </c>
      <c r="X3763">
        <v>0.98058710000000004</v>
      </c>
      <c r="Y3763">
        <v>-0.13632900000000001</v>
      </c>
      <c r="Z3763">
        <v>3.8102359999999998E-3</v>
      </c>
      <c r="AA3763">
        <v>0.99065630000000005</v>
      </c>
      <c r="AB3763">
        <v>37</v>
      </c>
      <c r="AC3763">
        <v>23.984400000000001</v>
      </c>
      <c r="AD3763">
        <v>-1.1102185590222999</v>
      </c>
      <c r="AE3763">
        <v>3.58639999999999</v>
      </c>
      <c r="AF3763">
        <v>-3.3320216610615501</v>
      </c>
      <c r="AG3763">
        <v>-1.1102185590222999</v>
      </c>
      <c r="AH3763">
        <v>23.9698539364176</v>
      </c>
      <c r="AI3763">
        <v>92.626668829989399</v>
      </c>
      <c r="AJ3763">
        <v>97.913905384111203</v>
      </c>
      <c r="AK3763">
        <v>24.2257889723281</v>
      </c>
      <c r="AL3763">
        <v>78.879666467231203</v>
      </c>
      <c r="AM3763">
        <v>92.064920168843003</v>
      </c>
      <c r="AN3763">
        <v>0.99999998704692905</v>
      </c>
    </row>
    <row r="3764" spans="1:40" x14ac:dyDescent="0.25">
      <c r="A3764" t="str">
        <f>"20190304155707796"</f>
        <v>20190304155707796</v>
      </c>
      <c r="B3764" t="str">
        <f>"1551686227788739"</f>
        <v>1551686227788739</v>
      </c>
      <c r="C3764" t="s">
        <v>40</v>
      </c>
      <c r="D3764">
        <v>4.5699339999999999</v>
      </c>
      <c r="E3764">
        <v>0.45895789999999997</v>
      </c>
      <c r="F3764" t="s">
        <v>55</v>
      </c>
      <c r="G3764">
        <v>-253.3509</v>
      </c>
      <c r="H3764" s="1">
        <v>9.8499129999999996E-8</v>
      </c>
      <c r="I3764">
        <v>217.9992</v>
      </c>
      <c r="J3764">
        <v>-277.77980000000002</v>
      </c>
      <c r="K3764">
        <v>1.110215</v>
      </c>
      <c r="L3764">
        <v>214.36340000000001</v>
      </c>
      <c r="M3764">
        <v>0.99983670000000002</v>
      </c>
      <c r="N3764">
        <v>-1.485157E-2</v>
      </c>
      <c r="O3764">
        <v>1.030552E-2</v>
      </c>
      <c r="P3764">
        <v>0.98292310000000005</v>
      </c>
      <c r="Q3764">
        <v>0.17834410000000001</v>
      </c>
      <c r="R3764">
        <v>4.5342569999999999E-2</v>
      </c>
      <c r="S3764">
        <v>3.0561829999999999</v>
      </c>
      <c r="T3764">
        <v>-0.13779520000000001</v>
      </c>
      <c r="U3764">
        <v>0.45150760000000001</v>
      </c>
      <c r="V3764">
        <v>-3.5213710000000002E-2</v>
      </c>
      <c r="W3764">
        <v>0.19292770000000001</v>
      </c>
      <c r="X3764">
        <v>0.98058089999999998</v>
      </c>
      <c r="Y3764">
        <v>-0.1357701</v>
      </c>
      <c r="Z3764">
        <v>3.7474829999999998E-3</v>
      </c>
      <c r="AA3764">
        <v>0.99073330000000004</v>
      </c>
      <c r="AB3764">
        <v>37</v>
      </c>
      <c r="AC3764">
        <v>24.428899999999999</v>
      </c>
      <c r="AD3764">
        <v>-1.11021490150087</v>
      </c>
      <c r="AE3764">
        <v>3.6357999999999802</v>
      </c>
      <c r="AF3764">
        <v>-3.3770028798348202</v>
      </c>
      <c r="AG3764">
        <v>-1.11021490150087</v>
      </c>
      <c r="AH3764">
        <v>24.415739716179999</v>
      </c>
      <c r="AI3764">
        <v>92.579000844067295</v>
      </c>
      <c r="AJ3764">
        <v>97.874762531367793</v>
      </c>
      <c r="AK3764">
        <v>24.6731650070715</v>
      </c>
      <c r="AL3764">
        <v>78.876309069976401</v>
      </c>
      <c r="AM3764">
        <v>92.056668994290405</v>
      </c>
      <c r="AN3764">
        <v>1.0000000021220301</v>
      </c>
    </row>
    <row r="3765" spans="1:40" x14ac:dyDescent="0.25">
      <c r="A3765" t="str">
        <f>"20190304155707809"</f>
        <v>20190304155707809</v>
      </c>
      <c r="B3765" t="str">
        <f>"1551686227798499"</f>
        <v>1551686227798499</v>
      </c>
      <c r="C3765" t="s">
        <v>40</v>
      </c>
      <c r="D3765">
        <v>4.5738659999999998</v>
      </c>
      <c r="E3765">
        <v>0.45908290000000002</v>
      </c>
      <c r="F3765" t="s">
        <v>55</v>
      </c>
      <c r="G3765">
        <v>-253.1456</v>
      </c>
      <c r="H3765" s="1">
        <v>-1.042959E-8</v>
      </c>
      <c r="I3765">
        <v>217.99189999999999</v>
      </c>
      <c r="J3765">
        <v>-277.55779999999999</v>
      </c>
      <c r="K3765">
        <v>1.110214</v>
      </c>
      <c r="L3765">
        <v>214.3657</v>
      </c>
      <c r="M3765">
        <v>0.99983670000000002</v>
      </c>
      <c r="N3765">
        <v>-1.48491E-2</v>
      </c>
      <c r="O3765">
        <v>1.030464E-2</v>
      </c>
      <c r="P3765">
        <v>0.98294230000000005</v>
      </c>
      <c r="Q3765">
        <v>0.1783188</v>
      </c>
      <c r="R3765">
        <v>4.5023809999999997E-2</v>
      </c>
      <c r="S3765">
        <v>3.0563349999999998</v>
      </c>
      <c r="T3765">
        <v>-0.13774310000000001</v>
      </c>
      <c r="U3765">
        <v>0.45018010000000003</v>
      </c>
      <c r="V3765">
        <v>-3.489362E-2</v>
      </c>
      <c r="W3765">
        <v>0.19290060000000001</v>
      </c>
      <c r="X3765">
        <v>0.98059770000000002</v>
      </c>
      <c r="Y3765">
        <v>-0.1353433</v>
      </c>
      <c r="Z3765">
        <v>3.7335179999999999E-3</v>
      </c>
      <c r="AA3765">
        <v>0.99079170000000005</v>
      </c>
      <c r="AB3765">
        <v>37</v>
      </c>
      <c r="AC3765">
        <v>24.412199999999899</v>
      </c>
      <c r="AD3765">
        <v>-1.1102140104295899</v>
      </c>
      <c r="AE3765">
        <v>3.6261999999999799</v>
      </c>
      <c r="AF3765">
        <v>-3.36760613405816</v>
      </c>
      <c r="AG3765">
        <v>-1.1102140104295899</v>
      </c>
      <c r="AH3765">
        <v>24.398901131608401</v>
      </c>
      <c r="AI3765">
        <v>92.580877456190095</v>
      </c>
      <c r="AJ3765">
        <v>97.858476270494293</v>
      </c>
      <c r="AK3765">
        <v>24.655216945975202</v>
      </c>
      <c r="AL3765">
        <v>78.877891799083301</v>
      </c>
      <c r="AM3765">
        <v>92.037954976936007</v>
      </c>
      <c r="AN3765">
        <v>1.00000002772117</v>
      </c>
    </row>
    <row r="3766" spans="1:40" x14ac:dyDescent="0.25">
      <c r="A3766" t="str">
        <f>"20190304155707823"</f>
        <v>20190304155707823</v>
      </c>
      <c r="B3766" t="str">
        <f>"1551686227818018"</f>
        <v>1551686227818018</v>
      </c>
      <c r="C3766" t="s">
        <v>40</v>
      </c>
      <c r="D3766">
        <v>4.5312580000000002</v>
      </c>
      <c r="E3766">
        <v>0.45915240000000002</v>
      </c>
      <c r="F3766" t="s">
        <v>55</v>
      </c>
      <c r="G3766">
        <v>-252.81139999999999</v>
      </c>
      <c r="H3766" s="1">
        <v>-1.8857349999999999E-7</v>
      </c>
      <c r="I3766">
        <v>217.9991</v>
      </c>
      <c r="J3766">
        <v>-277.32580000000002</v>
      </c>
      <c r="K3766">
        <v>1.110212</v>
      </c>
      <c r="L3766">
        <v>214.3681</v>
      </c>
      <c r="M3766">
        <v>0.99983659999999996</v>
      </c>
      <c r="N3766">
        <v>-1.484655E-2</v>
      </c>
      <c r="O3766">
        <v>1.0303410000000001E-2</v>
      </c>
      <c r="P3766">
        <v>0.98296030000000001</v>
      </c>
      <c r="Q3766">
        <v>0.17838129999999999</v>
      </c>
      <c r="R3766">
        <v>4.4376779999999998E-2</v>
      </c>
      <c r="S3766">
        <v>3.0564269999999998</v>
      </c>
      <c r="T3766">
        <v>-0.13712260000000001</v>
      </c>
      <c r="U3766">
        <v>0.44876100000000002</v>
      </c>
      <c r="V3766">
        <v>-3.4246989999999998E-2</v>
      </c>
      <c r="W3766">
        <v>0.19296089999999999</v>
      </c>
      <c r="X3766">
        <v>0.98060860000000005</v>
      </c>
      <c r="Y3766">
        <v>-0.13489189999999901</v>
      </c>
      <c r="Z3766">
        <v>3.7083250000000002E-3</v>
      </c>
      <c r="AA3766">
        <v>0.9908534</v>
      </c>
      <c r="AB3766">
        <v>37</v>
      </c>
      <c r="AC3766">
        <v>24.514399999999998</v>
      </c>
      <c r="AD3766">
        <v>-1.1102121885734999</v>
      </c>
      <c r="AE3766">
        <v>3.6309999999999998</v>
      </c>
      <c r="AF3766">
        <v>-3.3714310190931198</v>
      </c>
      <c r="AG3766">
        <v>-1.1102121885734999</v>
      </c>
      <c r="AH3766">
        <v>24.501340381503201</v>
      </c>
      <c r="AI3766">
        <v>92.570243313931996</v>
      </c>
      <c r="AJ3766">
        <v>97.8348066053465</v>
      </c>
      <c r="AK3766">
        <v>24.757116122651301</v>
      </c>
      <c r="AL3766">
        <v>78.874370351381302</v>
      </c>
      <c r="AM3766">
        <v>92.000197430714394</v>
      </c>
      <c r="AN3766">
        <v>0.99999999582341503</v>
      </c>
    </row>
    <row r="3767" spans="1:40" x14ac:dyDescent="0.25">
      <c r="A3767" t="str">
        <f>"20190304155707840"</f>
        <v>20190304155707840</v>
      </c>
      <c r="B3767" t="str">
        <f>"1551686227838515"</f>
        <v>1551686227838515</v>
      </c>
      <c r="C3767" t="s">
        <v>40</v>
      </c>
      <c r="D3767">
        <v>4.5573880000000004</v>
      </c>
      <c r="E3767">
        <v>0.45908060000000001</v>
      </c>
      <c r="F3767" t="s">
        <v>55</v>
      </c>
      <c r="G3767">
        <v>-252.63640000000001</v>
      </c>
      <c r="H3767" s="1">
        <v>-2.805744E-7</v>
      </c>
      <c r="I3767">
        <v>217.97409999999999</v>
      </c>
      <c r="J3767">
        <v>-277.04250000000002</v>
      </c>
      <c r="K3767">
        <v>1.1102069999999999</v>
      </c>
      <c r="L3767">
        <v>214.37100000000001</v>
      </c>
      <c r="M3767">
        <v>0.99983690000000003</v>
      </c>
      <c r="N3767">
        <v>-1.484333E-2</v>
      </c>
      <c r="O3767">
        <v>1.030171E-2</v>
      </c>
      <c r="P3767">
        <v>0.98293560000000002</v>
      </c>
      <c r="Q3767">
        <v>0.17859800000000001</v>
      </c>
      <c r="R3767">
        <v>4.4050319999999997E-2</v>
      </c>
      <c r="S3767">
        <v>3.0567929999999999</v>
      </c>
      <c r="T3767">
        <v>-0.13745560000000001</v>
      </c>
      <c r="U3767">
        <v>0.44645689999999999</v>
      </c>
      <c r="V3767">
        <v>-3.3920560000000002E-2</v>
      </c>
      <c r="W3767">
        <v>0.19317429999999999</v>
      </c>
      <c r="X3767">
        <v>0.9805779</v>
      </c>
      <c r="Y3767">
        <v>-0.1341456</v>
      </c>
      <c r="Z3767">
        <v>3.6918440000000001E-3</v>
      </c>
      <c r="AA3767">
        <v>0.99095480000000002</v>
      </c>
      <c r="AB3767">
        <v>37</v>
      </c>
      <c r="AC3767">
        <v>24.406099999999999</v>
      </c>
      <c r="AD3767">
        <v>-1.1102072805744001</v>
      </c>
      <c r="AE3767">
        <v>3.6031000000000102</v>
      </c>
      <c r="AF3767">
        <v>-3.3446831954012901</v>
      </c>
      <c r="AG3767">
        <v>-1.1102072805744001</v>
      </c>
      <c r="AH3767">
        <v>24.392529363625801</v>
      </c>
      <c r="AI3767">
        <v>92.581849663411106</v>
      </c>
      <c r="AJ3767">
        <v>97.807659910587802</v>
      </c>
      <c r="AK3767">
        <v>24.645789795394901</v>
      </c>
      <c r="AL3767">
        <v>78.861908643511299</v>
      </c>
      <c r="AM3767">
        <v>91.981209509834102</v>
      </c>
      <c r="AN3767">
        <v>0.99999996626980603</v>
      </c>
    </row>
    <row r="3768" spans="1:40" x14ac:dyDescent="0.25">
      <c r="A3768" t="str">
        <f>"20190304155707855"</f>
        <v>20190304155707855</v>
      </c>
      <c r="B3768" t="str">
        <f>"1551686227848276"</f>
        <v>1551686227848276</v>
      </c>
      <c r="C3768" t="s">
        <v>40</v>
      </c>
      <c r="D3768">
        <v>4.5849599999999997</v>
      </c>
      <c r="E3768">
        <v>0.45896300000000001</v>
      </c>
      <c r="F3768" t="s">
        <v>55</v>
      </c>
      <c r="G3768">
        <v>-252.64009999999999</v>
      </c>
      <c r="H3768" s="1">
        <v>-2.7667870000000001E-7</v>
      </c>
      <c r="I3768">
        <v>217.9297</v>
      </c>
      <c r="J3768">
        <v>-276.81119999999999</v>
      </c>
      <c r="K3768">
        <v>1.1102050000000001</v>
      </c>
      <c r="L3768">
        <v>214.3734</v>
      </c>
      <c r="M3768">
        <v>0.99983670000000002</v>
      </c>
      <c r="N3768">
        <v>-1.484068E-2</v>
      </c>
      <c r="O3768">
        <v>1.030085E-2</v>
      </c>
      <c r="P3768">
        <v>0.9829369</v>
      </c>
      <c r="Q3768">
        <v>0.17858729999999901</v>
      </c>
      <c r="R3768">
        <v>4.4068009999999998E-2</v>
      </c>
      <c r="S3768">
        <v>3.0573730000000001</v>
      </c>
      <c r="T3768">
        <v>-0.13909759999999999</v>
      </c>
      <c r="U3768">
        <v>0.44586179999999997</v>
      </c>
      <c r="V3768">
        <v>-3.3938410000000002E-2</v>
      </c>
      <c r="W3768">
        <v>0.19316120000000001</v>
      </c>
      <c r="X3768">
        <v>0.98057989999999995</v>
      </c>
      <c r="Y3768">
        <v>-0.1339275</v>
      </c>
      <c r="Z3768">
        <v>3.7149459999999998E-3</v>
      </c>
      <c r="AA3768">
        <v>0.99098410000000003</v>
      </c>
      <c r="AB3768">
        <v>37</v>
      </c>
      <c r="AC3768">
        <v>24.171099999999999</v>
      </c>
      <c r="AD3768">
        <v>-1.1102052766786901</v>
      </c>
      <c r="AE3768">
        <v>3.55629999999999</v>
      </c>
      <c r="AF3768">
        <v>-3.3002859763734702</v>
      </c>
      <c r="AG3768">
        <v>-1.1102052766786901</v>
      </c>
      <c r="AH3768">
        <v>24.156571785895</v>
      </c>
      <c r="AI3768">
        <v>92.607203820854494</v>
      </c>
      <c r="AJ3768">
        <v>97.779621179029405</v>
      </c>
      <c r="AK3768">
        <v>24.406236984207801</v>
      </c>
      <c r="AL3768">
        <v>78.862674035599298</v>
      </c>
      <c r="AM3768">
        <v>91.982247209458293</v>
      </c>
      <c r="AN3768">
        <v>1.00000000257138</v>
      </c>
    </row>
    <row r="3769" spans="1:40" x14ac:dyDescent="0.25">
      <c r="A3769" t="str">
        <f>"20190304155707870"</f>
        <v>20190304155707870</v>
      </c>
      <c r="B3769" t="str">
        <f>"1551686227858339"</f>
        <v>1551686227858339</v>
      </c>
      <c r="C3769" t="s">
        <v>40</v>
      </c>
      <c r="D3769">
        <v>4.5805989999999897</v>
      </c>
      <c r="E3769">
        <v>0.45891490000000001</v>
      </c>
      <c r="F3769" t="s">
        <v>55</v>
      </c>
      <c r="G3769">
        <v>-252.6952</v>
      </c>
      <c r="H3769" s="1">
        <v>-2.458696E-7</v>
      </c>
      <c r="I3769">
        <v>217.8954</v>
      </c>
      <c r="J3769">
        <v>-276.56619999999998</v>
      </c>
      <c r="K3769">
        <v>1.1102019999999999</v>
      </c>
      <c r="L3769">
        <v>214.3759</v>
      </c>
      <c r="M3769">
        <v>0.99983690000000003</v>
      </c>
      <c r="N3769">
        <v>-1.4837929999999999E-2</v>
      </c>
      <c r="O3769">
        <v>1.0300180000000001E-2</v>
      </c>
      <c r="P3769">
        <v>0.98297080000000003</v>
      </c>
      <c r="Q3769">
        <v>0.1785089</v>
      </c>
      <c r="R3769">
        <v>4.3625049999999999E-2</v>
      </c>
      <c r="S3769">
        <v>3.0576479999999999</v>
      </c>
      <c r="T3769">
        <v>-0.1407621</v>
      </c>
      <c r="U3769">
        <v>0.44654850000000001</v>
      </c>
      <c r="V3769">
        <v>-3.3494290000000003E-2</v>
      </c>
      <c r="W3769">
        <v>0.19308069999999999</v>
      </c>
      <c r="X3769">
        <v>0.98061100000000001</v>
      </c>
      <c r="Y3769">
        <v>-0.13412950000000001</v>
      </c>
      <c r="Z3769">
        <v>3.7512769999999999E-3</v>
      </c>
      <c r="AA3769">
        <v>0.99095670000000002</v>
      </c>
      <c r="AB3769">
        <v>37</v>
      </c>
      <c r="AC3769">
        <v>23.870999999999899</v>
      </c>
      <c r="AD3769">
        <v>-1.1102022458695999</v>
      </c>
      <c r="AE3769">
        <v>3.5194999999999901</v>
      </c>
      <c r="AF3769">
        <v>-3.2664953868531801</v>
      </c>
      <c r="AG3769">
        <v>-1.1102022458695999</v>
      </c>
      <c r="AH3769">
        <v>23.855486518020999</v>
      </c>
      <c r="AI3769">
        <v>92.639947477419895</v>
      </c>
      <c r="AJ3769">
        <v>97.796935674142901</v>
      </c>
      <c r="AK3769">
        <v>24.103667317454999</v>
      </c>
      <c r="AL3769">
        <v>78.867374570048</v>
      </c>
      <c r="AM3769">
        <v>91.956265700857699</v>
      </c>
      <c r="AN3769">
        <v>0.99999997874804603</v>
      </c>
    </row>
    <row r="3770" spans="1:40" x14ac:dyDescent="0.25">
      <c r="A3770" t="str">
        <f>"20190304155707892"</f>
        <v>20190304155707892</v>
      </c>
      <c r="B3770" t="str">
        <f>"1551686227888595"</f>
        <v>1551686227888595</v>
      </c>
      <c r="C3770" t="s">
        <v>40</v>
      </c>
      <c r="D3770">
        <v>4.5218879999999997</v>
      </c>
      <c r="E3770">
        <v>0.4588197</v>
      </c>
      <c r="F3770" t="s">
        <v>55</v>
      </c>
      <c r="G3770">
        <v>-252.69970000000001</v>
      </c>
      <c r="H3770" s="1">
        <v>-2.4155009999999998E-7</v>
      </c>
      <c r="I3770">
        <v>217.851</v>
      </c>
      <c r="J3770">
        <v>-276.20949999999999</v>
      </c>
      <c r="K3770">
        <v>1.1101989999999999</v>
      </c>
      <c r="L3770">
        <v>214.37960000000001</v>
      </c>
      <c r="M3770">
        <v>0.99983699999999998</v>
      </c>
      <c r="N3770">
        <v>-1.483392E-2</v>
      </c>
      <c r="O3770">
        <v>1.029998E-2</v>
      </c>
      <c r="P3770">
        <v>0.98302880000000004</v>
      </c>
      <c r="Q3770">
        <v>0.1782474</v>
      </c>
      <c r="R3770">
        <v>4.3387309999999998E-2</v>
      </c>
      <c r="S3770">
        <v>3.0580750000000001</v>
      </c>
      <c r="T3770">
        <v>-0.14225289999999999</v>
      </c>
      <c r="U3770">
        <v>0.44526670000000002</v>
      </c>
      <c r="V3770">
        <v>-3.3254770000000003E-2</v>
      </c>
      <c r="W3770">
        <v>0.1928163</v>
      </c>
      <c r="X3770">
        <v>0.98067119999999997</v>
      </c>
      <c r="Y3770">
        <v>-0.1337005</v>
      </c>
      <c r="Z3770">
        <v>3.7650409999999998E-3</v>
      </c>
      <c r="AA3770">
        <v>0.99101459999999997</v>
      </c>
      <c r="AB3770">
        <v>37</v>
      </c>
      <c r="AC3770">
        <v>23.509799999999899</v>
      </c>
      <c r="AD3770">
        <v>-1.1101992415501001</v>
      </c>
      <c r="AE3770">
        <v>3.4713999999999801</v>
      </c>
      <c r="AF3770">
        <v>-3.2220069687826101</v>
      </c>
      <c r="AG3770">
        <v>-1.1101992415501001</v>
      </c>
      <c r="AH3770">
        <v>23.493040388846399</v>
      </c>
      <c r="AI3770">
        <v>92.680531095849005</v>
      </c>
      <c r="AJ3770">
        <v>97.809242103886902</v>
      </c>
      <c r="AK3770">
        <v>23.738930430303601</v>
      </c>
      <c r="AL3770">
        <v>78.882813975951706</v>
      </c>
      <c r="AM3770">
        <v>91.9421679231409</v>
      </c>
      <c r="AN3770">
        <v>1.0000000038914401</v>
      </c>
    </row>
    <row r="3771" spans="1:40" x14ac:dyDescent="0.25">
      <c r="A3771" t="str">
        <f>"20190304155707912"</f>
        <v>20190304155707912</v>
      </c>
      <c r="B3771" t="str">
        <f>"1551686227908115"</f>
        <v>1551686227908115</v>
      </c>
      <c r="C3771" t="s">
        <v>40</v>
      </c>
      <c r="D3771">
        <v>4.5280639999999996</v>
      </c>
      <c r="E3771">
        <v>0.4588042</v>
      </c>
      <c r="F3771" t="s">
        <v>55</v>
      </c>
      <c r="G3771">
        <v>-252.52289999999999</v>
      </c>
      <c r="H3771" s="1">
        <v>-3.3468010000000002E-7</v>
      </c>
      <c r="I3771">
        <v>217.82910000000001</v>
      </c>
      <c r="J3771">
        <v>-275.86349999999999</v>
      </c>
      <c r="K3771">
        <v>1.110193</v>
      </c>
      <c r="L3771">
        <v>214.38319999999999</v>
      </c>
      <c r="M3771">
        <v>0.99983719999999998</v>
      </c>
      <c r="N3771">
        <v>-1.4830039999999999E-2</v>
      </c>
      <c r="O3771">
        <v>1.0300149999999999E-2</v>
      </c>
      <c r="P3771">
        <v>0.98311720000000002</v>
      </c>
      <c r="Q3771">
        <v>0.1777427</v>
      </c>
      <c r="R3771">
        <v>4.345661E-2</v>
      </c>
      <c r="S3771">
        <v>3.0581360000000002</v>
      </c>
      <c r="T3771">
        <v>-0.14333570000000001</v>
      </c>
      <c r="U3771">
        <v>0.44535829999999998</v>
      </c>
      <c r="V3771">
        <v>-3.332268E-2</v>
      </c>
      <c r="W3771">
        <v>0.1923096</v>
      </c>
      <c r="X3771">
        <v>0.98076839999999998</v>
      </c>
      <c r="Y3771">
        <v>-0.13372419999999999</v>
      </c>
      <c r="Z3771">
        <v>3.785301E-3</v>
      </c>
      <c r="AA3771">
        <v>0.99101139999999999</v>
      </c>
      <c r="AB3771">
        <v>37</v>
      </c>
      <c r="AC3771">
        <v>23.340599999999899</v>
      </c>
      <c r="AD3771">
        <v>-1.1101933346801001</v>
      </c>
      <c r="AE3771">
        <v>3.4459000000000199</v>
      </c>
      <c r="AF3771">
        <v>-3.1981977736511702</v>
      </c>
      <c r="AG3771">
        <v>-1.1101933346801001</v>
      </c>
      <c r="AH3771">
        <v>23.3232174160364</v>
      </c>
      <c r="AI3771">
        <v>92.700013748320103</v>
      </c>
      <c r="AJ3771">
        <v>97.807992030070906</v>
      </c>
      <c r="AK3771">
        <v>23.567636047670501</v>
      </c>
      <c r="AL3771">
        <v>78.912399618926301</v>
      </c>
      <c r="AM3771">
        <v>91.9459382779972</v>
      </c>
      <c r="AN3771">
        <v>1.0000000188465501</v>
      </c>
    </row>
    <row r="3772" spans="1:40" x14ac:dyDescent="0.25">
      <c r="A3772" t="str">
        <f>"20190304155707926"</f>
        <v>20190304155707926</v>
      </c>
      <c r="B3772" t="str">
        <f>"1551686227918851"</f>
        <v>1551686227918851</v>
      </c>
      <c r="C3772" t="s">
        <v>40</v>
      </c>
      <c r="D3772">
        <v>4.5469850000000003</v>
      </c>
      <c r="E3772">
        <v>0.45879140000000002</v>
      </c>
      <c r="F3772" t="s">
        <v>55</v>
      </c>
      <c r="G3772">
        <v>-252.3056</v>
      </c>
      <c r="H3772" s="1">
        <v>-4.5001679999999999E-7</v>
      </c>
      <c r="I3772">
        <v>217.82220000000001</v>
      </c>
      <c r="J3772">
        <v>-275.62389999999999</v>
      </c>
      <c r="K3772">
        <v>1.1101920000000001</v>
      </c>
      <c r="L3772">
        <v>214.38560000000001</v>
      </c>
      <c r="M3772">
        <v>0.99983719999999998</v>
      </c>
      <c r="N3772">
        <v>-1.482732E-2</v>
      </c>
      <c r="O3772">
        <v>1.0300449999999999E-2</v>
      </c>
      <c r="P3772">
        <v>0.98311950000000004</v>
      </c>
      <c r="Q3772">
        <v>0.1777273</v>
      </c>
      <c r="R3772">
        <v>4.3465530000000002E-2</v>
      </c>
      <c r="S3772">
        <v>3.0577999999999999</v>
      </c>
      <c r="T3772">
        <v>-0.14410220000000001</v>
      </c>
      <c r="U3772">
        <v>0.44638060000000002</v>
      </c>
      <c r="V3772">
        <v>-3.3330279999999997E-2</v>
      </c>
      <c r="W3772">
        <v>0.19229180000000001</v>
      </c>
      <c r="X3772">
        <v>0.98077159999999997</v>
      </c>
      <c r="Y3772">
        <v>-0.13406170000000001</v>
      </c>
      <c r="Z3772">
        <v>3.8098339999999998E-3</v>
      </c>
      <c r="AA3772">
        <v>0.99096569999999995</v>
      </c>
      <c r="AB3772">
        <v>37</v>
      </c>
      <c r="AC3772">
        <v>23.318299999999901</v>
      </c>
      <c r="AD3772">
        <v>-1.1101924500167999</v>
      </c>
      <c r="AE3772">
        <v>3.4365999999999901</v>
      </c>
      <c r="AF3772">
        <v>-3.18912703635133</v>
      </c>
      <c r="AG3772">
        <v>-1.1101924500167999</v>
      </c>
      <c r="AH3772">
        <v>23.300770968888699</v>
      </c>
      <c r="AI3772">
        <v>92.702702094482802</v>
      </c>
      <c r="AJ3772">
        <v>97.793527497581707</v>
      </c>
      <c r="AK3772">
        <v>23.5441921983887</v>
      </c>
      <c r="AL3772">
        <v>78.913438530144802</v>
      </c>
      <c r="AM3772">
        <v>91.946375406792001</v>
      </c>
      <c r="AN3772">
        <v>0.99999998763933895</v>
      </c>
    </row>
    <row r="3773" spans="1:40" x14ac:dyDescent="0.25">
      <c r="A3773" t="str">
        <f>"20190304155707940"</f>
        <v>20190304155707940</v>
      </c>
      <c r="B3773" t="str">
        <f>"1551686227928611"</f>
        <v>1551686227928611</v>
      </c>
      <c r="C3773" t="s">
        <v>40</v>
      </c>
      <c r="D3773">
        <v>4.5480729999999996</v>
      </c>
      <c r="E3773">
        <v>0.45871899999999899</v>
      </c>
      <c r="F3773" t="s">
        <v>55</v>
      </c>
      <c r="G3773">
        <v>-252.02600000000001</v>
      </c>
      <c r="H3773" s="1">
        <v>-5.9927110000000001E-7</v>
      </c>
      <c r="I3773">
        <v>217.83279999999999</v>
      </c>
      <c r="J3773">
        <v>-275.40530000000001</v>
      </c>
      <c r="K3773">
        <v>1.110185</v>
      </c>
      <c r="L3773">
        <v>214.3879</v>
      </c>
      <c r="M3773">
        <v>0.99983699999999998</v>
      </c>
      <c r="N3773">
        <v>-1.4824850000000001E-2</v>
      </c>
      <c r="O3773">
        <v>1.030064E-2</v>
      </c>
      <c r="P3773">
        <v>0.98311570000000004</v>
      </c>
      <c r="Q3773">
        <v>0.17771999999999999</v>
      </c>
      <c r="R3773">
        <v>4.3579899999999998E-2</v>
      </c>
      <c r="S3773">
        <v>3.0577700000000001</v>
      </c>
      <c r="T3773">
        <v>-0.14385629999999999</v>
      </c>
      <c r="U3773">
        <v>0.44667050000000003</v>
      </c>
      <c r="V3773">
        <v>-3.3444450000000001E-2</v>
      </c>
      <c r="W3773">
        <v>0.19228200000000001</v>
      </c>
      <c r="X3773">
        <v>0.98076960000000002</v>
      </c>
      <c r="Y3773">
        <v>-0.13415529999999901</v>
      </c>
      <c r="Z3773">
        <v>3.8080050000000002E-3</v>
      </c>
      <c r="AA3773">
        <v>0.99095299999999997</v>
      </c>
      <c r="AB3773">
        <v>37</v>
      </c>
      <c r="AC3773">
        <v>23.379300000000001</v>
      </c>
      <c r="AD3773">
        <v>-1.1101855992711001</v>
      </c>
      <c r="AE3773">
        <v>3.4448999999999899</v>
      </c>
      <c r="AF3773">
        <v>-3.1968136377724599</v>
      </c>
      <c r="AG3773">
        <v>-1.1101855992711001</v>
      </c>
      <c r="AH3773">
        <v>23.361988344420201</v>
      </c>
      <c r="AI3773">
        <v>92.695624539853895</v>
      </c>
      <c r="AJ3773">
        <v>97.791861335258503</v>
      </c>
      <c r="AK3773">
        <v>23.605817691923001</v>
      </c>
      <c r="AL3773">
        <v>78.914010323295699</v>
      </c>
      <c r="AM3773">
        <v>91.953041373036697</v>
      </c>
      <c r="AN3773">
        <v>0.99999995352198001</v>
      </c>
    </row>
    <row r="3774" spans="1:40" x14ac:dyDescent="0.25">
      <c r="A3774" t="str">
        <f>"20190304155707953"</f>
        <v>20190304155707953</v>
      </c>
      <c r="B3774" t="str">
        <f>"1551686227948131"</f>
        <v>1551686227948131</v>
      </c>
      <c r="C3774" t="s">
        <v>40</v>
      </c>
      <c r="D3774">
        <v>4.5566490000000002</v>
      </c>
      <c r="E3774">
        <v>0.45867259999999999</v>
      </c>
      <c r="F3774" t="s">
        <v>55</v>
      </c>
      <c r="G3774">
        <v>-251.7379</v>
      </c>
      <c r="H3774" s="1">
        <v>-7.5335560000000004E-7</v>
      </c>
      <c r="I3774">
        <v>217.85069999999999</v>
      </c>
      <c r="J3774">
        <v>-275.20089999999999</v>
      </c>
      <c r="K3774">
        <v>1.110185</v>
      </c>
      <c r="L3774">
        <v>214.39</v>
      </c>
      <c r="M3774">
        <v>0.99983730000000004</v>
      </c>
      <c r="N3774">
        <v>-1.482254E-2</v>
      </c>
      <c r="O3774">
        <v>1.0300460000000001E-2</v>
      </c>
      <c r="P3774">
        <v>0.98317829999999995</v>
      </c>
      <c r="Q3774">
        <v>0.17737900000000001</v>
      </c>
      <c r="R3774">
        <v>4.3560090000000003E-2</v>
      </c>
      <c r="S3774">
        <v>3.0576479999999999</v>
      </c>
      <c r="T3774">
        <v>-0.14342729999999901</v>
      </c>
      <c r="U3774">
        <v>0.4473724</v>
      </c>
      <c r="V3774">
        <v>-3.342382E-2</v>
      </c>
      <c r="W3774">
        <v>0.1919399</v>
      </c>
      <c r="X3774">
        <v>0.98083730000000002</v>
      </c>
      <c r="Y3774">
        <v>-0.13438449999999999</v>
      </c>
      <c r="Z3774">
        <v>3.807043E-3</v>
      </c>
      <c r="AA3774">
        <v>0.99092199999999997</v>
      </c>
      <c r="AB3774">
        <v>37</v>
      </c>
      <c r="AC3774">
        <v>23.462999999999901</v>
      </c>
      <c r="AD3774">
        <v>-1.1101857533556001</v>
      </c>
      <c r="AE3774">
        <v>3.4607000000000001</v>
      </c>
      <c r="AF3774">
        <v>-3.2117726098028099</v>
      </c>
      <c r="AG3774">
        <v>-1.1101857533556001</v>
      </c>
      <c r="AH3774">
        <v>23.446031300218198</v>
      </c>
      <c r="AI3774">
        <v>92.685923374748498</v>
      </c>
      <c r="AJ3774">
        <v>97.800157900647207</v>
      </c>
      <c r="AK3774">
        <v>23.6910189615147</v>
      </c>
      <c r="AL3774">
        <v>78.9339831240694</v>
      </c>
      <c r="AM3774">
        <v>91.9517029669572</v>
      </c>
      <c r="AN3774">
        <v>0.99999994301334405</v>
      </c>
    </row>
    <row r="3775" spans="1:40" x14ac:dyDescent="0.25">
      <c r="A3775" t="str">
        <f>"20190304155707968"</f>
        <v>20190304155707968</v>
      </c>
      <c r="B3775" t="str">
        <f>"1551686227958867"</f>
        <v>1551686227958867</v>
      </c>
      <c r="C3775" t="s">
        <v>40</v>
      </c>
      <c r="D3775">
        <v>4.5477089999999896</v>
      </c>
      <c r="E3775">
        <v>0.45865420000000001</v>
      </c>
      <c r="F3775" t="s">
        <v>55</v>
      </c>
      <c r="G3775">
        <v>-251.6404</v>
      </c>
      <c r="H3775" s="1">
        <v>-8.0479650000000002E-7</v>
      </c>
      <c r="I3775">
        <v>217.84100000000001</v>
      </c>
      <c r="J3775">
        <v>-274.94119999999998</v>
      </c>
      <c r="K3775">
        <v>1.1101799999999999</v>
      </c>
      <c r="L3775">
        <v>214.39269999999999</v>
      </c>
      <c r="M3775">
        <v>0.99983730000000004</v>
      </c>
      <c r="N3775">
        <v>-1.4819570000000001E-2</v>
      </c>
      <c r="O3775">
        <v>1.030083E-2</v>
      </c>
      <c r="P3775">
        <v>0.98321349999999996</v>
      </c>
      <c r="Q3775">
        <v>0.17711749999999901</v>
      </c>
      <c r="R3775">
        <v>4.3830029999999999E-2</v>
      </c>
      <c r="S3775">
        <v>3.0575260000000002</v>
      </c>
      <c r="T3775">
        <v>-0.14407249999999999</v>
      </c>
      <c r="U3775">
        <v>0.44784550000000001</v>
      </c>
      <c r="V3775">
        <v>-3.3692180000000002E-2</v>
      </c>
      <c r="W3775">
        <v>0.19167600000000001</v>
      </c>
      <c r="X3775">
        <v>0.98087979999999997</v>
      </c>
      <c r="Y3775">
        <v>-0.1345382</v>
      </c>
      <c r="Z3775">
        <v>3.8235610000000001E-3</v>
      </c>
      <c r="AA3775">
        <v>0.99090109999999998</v>
      </c>
      <c r="AB3775">
        <v>37</v>
      </c>
      <c r="AC3775">
        <v>23.300799999999899</v>
      </c>
      <c r="AD3775">
        <v>-1.1101808047965001</v>
      </c>
      <c r="AE3775">
        <v>3.4482999999999802</v>
      </c>
      <c r="AF3775">
        <v>-3.2009623298804</v>
      </c>
      <c r="AG3775">
        <v>-1.1101808047965001</v>
      </c>
      <c r="AH3775">
        <v>23.283364886095999</v>
      </c>
      <c r="AI3775">
        <v>92.704469212863302</v>
      </c>
      <c r="AJ3775">
        <v>97.827868109702706</v>
      </c>
      <c r="AK3775">
        <v>23.528572878008099</v>
      </c>
      <c r="AL3775">
        <v>78.949390368172004</v>
      </c>
      <c r="AM3775">
        <v>91.967275757903593</v>
      </c>
      <c r="AN3775">
        <v>1.0000000170085901</v>
      </c>
    </row>
    <row r="3776" spans="1:40" x14ac:dyDescent="0.25">
      <c r="A3776" t="str">
        <f>"20190304155707985"</f>
        <v>20190304155707985</v>
      </c>
      <c r="B3776" t="str">
        <f>"1551686227978387"</f>
        <v>1551686227978387</v>
      </c>
      <c r="C3776" t="s">
        <v>40</v>
      </c>
      <c r="D3776">
        <v>4.560924</v>
      </c>
      <c r="E3776">
        <v>0.45859319999999998</v>
      </c>
      <c r="F3776" t="s">
        <v>55</v>
      </c>
      <c r="G3776">
        <v>-251.50559999999999</v>
      </c>
      <c r="H3776" s="1">
        <v>-8.7636639999999997E-7</v>
      </c>
      <c r="I3776">
        <v>217.83699999999999</v>
      </c>
      <c r="J3776">
        <v>-274.6671</v>
      </c>
      <c r="K3776">
        <v>1.110179</v>
      </c>
      <c r="L3776">
        <v>214.3955</v>
      </c>
      <c r="M3776">
        <v>0.99983730000000004</v>
      </c>
      <c r="N3776">
        <v>-1.481642E-2</v>
      </c>
      <c r="O3776">
        <v>1.0301019999999999E-2</v>
      </c>
      <c r="P3776">
        <v>0.98323859999999996</v>
      </c>
      <c r="Q3776">
        <v>0.176982</v>
      </c>
      <c r="R3776">
        <v>4.3810540000000002E-2</v>
      </c>
      <c r="S3776">
        <v>3.0572509999999999</v>
      </c>
      <c r="T3776">
        <v>-0.14482690000000001</v>
      </c>
      <c r="U3776">
        <v>0.44932559999999999</v>
      </c>
      <c r="V3776">
        <v>-3.3672519999999997E-2</v>
      </c>
      <c r="W3776">
        <v>0.19153790000000001</v>
      </c>
      <c r="X3776">
        <v>0.98090739999999998</v>
      </c>
      <c r="Y3776">
        <v>-0.135018</v>
      </c>
      <c r="Z3776">
        <v>3.8523210000000001E-3</v>
      </c>
      <c r="AA3776">
        <v>0.99083569999999999</v>
      </c>
      <c r="AB3776">
        <v>37</v>
      </c>
      <c r="AC3776">
        <v>23.1615</v>
      </c>
      <c r="AD3776">
        <v>-1.1101798763663999</v>
      </c>
      <c r="AE3776">
        <v>3.4415000000000102</v>
      </c>
      <c r="AF3776">
        <v>-3.1955210452610401</v>
      </c>
      <c r="AG3776">
        <v>-1.1101798763663999</v>
      </c>
      <c r="AH3776">
        <v>23.143701900309701</v>
      </c>
      <c r="AI3776">
        <v>92.720544511435406</v>
      </c>
      <c r="AJ3776">
        <v>97.861296996073705</v>
      </c>
      <c r="AK3776">
        <v>23.389630004747701</v>
      </c>
      <c r="AL3776">
        <v>78.957451724431607</v>
      </c>
      <c r="AM3776">
        <v>91.966073439964205</v>
      </c>
      <c r="AN3776">
        <v>0.99999996655715895</v>
      </c>
    </row>
    <row r="3777" spans="1:40" x14ac:dyDescent="0.25">
      <c r="A3777" t="str">
        <f>"20190304155708002"</f>
        <v>20190304155708002</v>
      </c>
      <c r="B3777" t="str">
        <f>"1551686227998884"</f>
        <v>1551686227998884</v>
      </c>
      <c r="C3777" t="s">
        <v>40</v>
      </c>
      <c r="D3777">
        <v>4.5298689999999997</v>
      </c>
      <c r="E3777">
        <v>0.45851249999999999</v>
      </c>
      <c r="F3777" t="s">
        <v>55</v>
      </c>
      <c r="G3777">
        <v>-251.21729999999999</v>
      </c>
      <c r="H3777" s="1">
        <v>-1.030058E-6</v>
      </c>
      <c r="I3777">
        <v>217.84389999999999</v>
      </c>
      <c r="J3777">
        <v>-274.38810000000001</v>
      </c>
      <c r="K3777">
        <v>1.110182</v>
      </c>
      <c r="L3777">
        <v>214.39840000000001</v>
      </c>
      <c r="M3777">
        <v>0.99983730000000004</v>
      </c>
      <c r="N3777">
        <v>-1.481321E-2</v>
      </c>
      <c r="O3777">
        <v>1.0301340000000001E-2</v>
      </c>
      <c r="P3777">
        <v>0.9832246</v>
      </c>
      <c r="Q3777">
        <v>0.1770032</v>
      </c>
      <c r="R3777">
        <v>4.4040019999999999E-2</v>
      </c>
      <c r="S3777">
        <v>3.057159</v>
      </c>
      <c r="T3777">
        <v>-0.14473459999999999</v>
      </c>
      <c r="U3777">
        <v>0.44956970000000002</v>
      </c>
      <c r="V3777">
        <v>-3.3901590000000002E-2</v>
      </c>
      <c r="W3777">
        <v>0.1915557</v>
      </c>
      <c r="X3777">
        <v>0.98089610000000005</v>
      </c>
      <c r="Y3777">
        <v>-0.13509949999999901</v>
      </c>
      <c r="Z3777">
        <v>3.85294E-3</v>
      </c>
      <c r="AA3777">
        <v>0.9908245</v>
      </c>
      <c r="AB3777">
        <v>37</v>
      </c>
      <c r="AC3777">
        <v>23.1708</v>
      </c>
      <c r="AD3777">
        <v>-1.110183030058</v>
      </c>
      <c r="AE3777">
        <v>3.44549999999998</v>
      </c>
      <c r="AF3777">
        <v>-3.1994148116321499</v>
      </c>
      <c r="AG3777">
        <v>-1.110183030058</v>
      </c>
      <c r="AH3777">
        <v>23.153065776294401</v>
      </c>
      <c r="AI3777">
        <v>92.719412253559</v>
      </c>
      <c r="AJ3777">
        <v>97.867612736000297</v>
      </c>
      <c r="AK3777">
        <v>23.399427692542702</v>
      </c>
      <c r="AL3777">
        <v>78.956413345133598</v>
      </c>
      <c r="AM3777">
        <v>91.979460576238395</v>
      </c>
      <c r="AN3777">
        <v>1.0000000315011099</v>
      </c>
    </row>
    <row r="3778" spans="1:40" x14ac:dyDescent="0.25">
      <c r="A3778" t="str">
        <f>"20190304155708018"</f>
        <v>20190304155708018</v>
      </c>
      <c r="B3778" t="str">
        <f>"1551686228008643"</f>
        <v>1551686228008643</v>
      </c>
      <c r="C3778" t="s">
        <v>40</v>
      </c>
      <c r="D3778">
        <v>4.6261609999999997</v>
      </c>
      <c r="E3778">
        <v>0.4584782</v>
      </c>
      <c r="F3778" t="s">
        <v>55</v>
      </c>
      <c r="G3778">
        <v>-250.8475</v>
      </c>
      <c r="H3778" s="1">
        <v>-1.228024E-6</v>
      </c>
      <c r="I3778">
        <v>217.8708</v>
      </c>
      <c r="J3778">
        <v>-274.13909999999998</v>
      </c>
      <c r="K3778">
        <v>1.1101829999999999</v>
      </c>
      <c r="L3778">
        <v>214.40090000000001</v>
      </c>
      <c r="M3778">
        <v>0.99983730000000004</v>
      </c>
      <c r="N3778">
        <v>-1.481035E-2</v>
      </c>
      <c r="O3778">
        <v>1.030153E-2</v>
      </c>
      <c r="P3778">
        <v>0.9832379</v>
      </c>
      <c r="Q3778">
        <v>0.1769086</v>
      </c>
      <c r="R3778">
        <v>4.411764E-2</v>
      </c>
      <c r="S3778">
        <v>3.0569459999999999</v>
      </c>
      <c r="T3778">
        <v>-0.1441672</v>
      </c>
      <c r="U3778">
        <v>0.45092769999999999</v>
      </c>
      <c r="V3778">
        <v>-3.397849E-2</v>
      </c>
      <c r="W3778">
        <v>0.1914584</v>
      </c>
      <c r="X3778">
        <v>0.98091240000000002</v>
      </c>
      <c r="Y3778">
        <v>-0.13554069999999999</v>
      </c>
      <c r="Z3778">
        <v>3.8559110000000001E-3</v>
      </c>
      <c r="AA3778">
        <v>0.99076430000000004</v>
      </c>
      <c r="AB3778">
        <v>37</v>
      </c>
      <c r="AC3778">
        <v>23.291599999999899</v>
      </c>
      <c r="AD3778">
        <v>-1.110184228024</v>
      </c>
      <c r="AE3778">
        <v>3.4698999999999902</v>
      </c>
      <c r="AF3778">
        <v>-3.2225879434908502</v>
      </c>
      <c r="AG3778">
        <v>-1.110184228024</v>
      </c>
      <c r="AH3778">
        <v>23.274383756686401</v>
      </c>
      <c r="AI3778">
        <v>92.705160362850506</v>
      </c>
      <c r="AJ3778">
        <v>97.883093330991997</v>
      </c>
      <c r="AK3778">
        <v>23.522638485662998</v>
      </c>
      <c r="AL3778">
        <v>78.962092964093003</v>
      </c>
      <c r="AM3778">
        <v>91.983914121042005</v>
      </c>
      <c r="AN3778">
        <v>0.99999999659350003</v>
      </c>
    </row>
    <row r="3779" spans="1:40" x14ac:dyDescent="0.25">
      <c r="A3779" t="str">
        <f>"20190304155708032"</f>
        <v>20190304155708032</v>
      </c>
      <c r="B3779" t="str">
        <f>"1551686228028163"</f>
        <v>1551686228028163</v>
      </c>
      <c r="C3779" t="s">
        <v>40</v>
      </c>
      <c r="D3779">
        <v>4.5671799999999996</v>
      </c>
      <c r="E3779">
        <v>0.45834750000000002</v>
      </c>
      <c r="F3779" t="s">
        <v>55</v>
      </c>
      <c r="G3779">
        <v>-250.69030000000001</v>
      </c>
      <c r="H3779" s="1">
        <v>-1.311329E-6</v>
      </c>
      <c r="I3779">
        <v>217.86269999999999</v>
      </c>
      <c r="J3779">
        <v>-273.92020000000002</v>
      </c>
      <c r="K3779">
        <v>1.1101799999999999</v>
      </c>
      <c r="L3779">
        <v>214.4032</v>
      </c>
      <c r="M3779">
        <v>0.99983730000000004</v>
      </c>
      <c r="N3779">
        <v>-1.4807839999999999E-2</v>
      </c>
      <c r="O3779">
        <v>1.030155E-2</v>
      </c>
      <c r="P3779">
        <v>0.98316619999999999</v>
      </c>
      <c r="Q3779">
        <v>0.17726600000000001</v>
      </c>
      <c r="R3779">
        <v>4.4284370000000003E-2</v>
      </c>
      <c r="S3779">
        <v>3.0569459999999999</v>
      </c>
      <c r="T3779">
        <v>-0.14473139999999901</v>
      </c>
      <c r="U3779">
        <v>0.45130920000000002</v>
      </c>
      <c r="V3779">
        <v>-3.4145880000000003E-2</v>
      </c>
      <c r="W3779">
        <v>0.19181210000000001</v>
      </c>
      <c r="X3779">
        <v>0.98083750000000003</v>
      </c>
      <c r="Y3779">
        <v>-0.13566020000000001</v>
      </c>
      <c r="Z3779">
        <v>3.8699369999999999E-3</v>
      </c>
      <c r="AA3779">
        <v>0.99074790000000001</v>
      </c>
      <c r="AB3779">
        <v>37</v>
      </c>
      <c r="AC3779">
        <v>23.229900000000001</v>
      </c>
      <c r="AD3779">
        <v>-1.110181311329</v>
      </c>
      <c r="AE3779">
        <v>3.45949999999999</v>
      </c>
      <c r="AF3779">
        <v>-3.2128073884473398</v>
      </c>
      <c r="AG3779">
        <v>-1.110181311329</v>
      </c>
      <c r="AH3779">
        <v>23.2124426790181</v>
      </c>
      <c r="AI3779">
        <v>92.712380131409603</v>
      </c>
      <c r="AJ3779">
        <v>97.880176993433693</v>
      </c>
      <c r="AK3779">
        <v>23.460011274208401</v>
      </c>
      <c r="AL3779">
        <v>78.941444931086195</v>
      </c>
      <c r="AM3779">
        <v>91.993831833531999</v>
      </c>
      <c r="AN3779">
        <v>1.00000001211681</v>
      </c>
    </row>
    <row r="3780" spans="1:40" x14ac:dyDescent="0.25">
      <c r="A3780" t="str">
        <f>"20190304155708045"</f>
        <v>20190304155708045</v>
      </c>
      <c r="B3780" t="str">
        <f>"1551686228037923"</f>
        <v>1551686228037923</v>
      </c>
      <c r="C3780" t="s">
        <v>40</v>
      </c>
      <c r="D3780">
        <v>4.6310449999999896</v>
      </c>
      <c r="E3780">
        <v>0.45834750000000002</v>
      </c>
      <c r="F3780" t="s">
        <v>55</v>
      </c>
      <c r="G3780">
        <v>-250.42609999999999</v>
      </c>
      <c r="H3780" s="1">
        <v>-1.45278E-6</v>
      </c>
      <c r="I3780">
        <v>217.88149999999999</v>
      </c>
      <c r="J3780">
        <v>-273.67320000000001</v>
      </c>
      <c r="K3780">
        <v>1.110179</v>
      </c>
      <c r="L3780">
        <v>214.4057</v>
      </c>
      <c r="M3780">
        <v>0.99983739999999999</v>
      </c>
      <c r="N3780">
        <v>-1.480502E-2</v>
      </c>
      <c r="O3780">
        <v>1.0301919999999999E-2</v>
      </c>
      <c r="P3780">
        <v>0.98312200000000005</v>
      </c>
      <c r="Q3780">
        <v>0.1775467</v>
      </c>
      <c r="R3780">
        <v>4.4141350000000003E-2</v>
      </c>
      <c r="S3780">
        <v>3.0570369999999998</v>
      </c>
      <c r="T3780">
        <v>-0.1444561</v>
      </c>
      <c r="U3780">
        <v>0.45259090000000002</v>
      </c>
      <c r="V3780">
        <v>-3.4003220000000001E-2</v>
      </c>
      <c r="W3780">
        <v>0.1920897</v>
      </c>
      <c r="X3780">
        <v>0.98078810000000005</v>
      </c>
      <c r="Y3780">
        <v>-0.13606219999999999</v>
      </c>
      <c r="Z3780">
        <v>3.8768549999999998E-3</v>
      </c>
      <c r="AA3780">
        <v>0.99069269999999998</v>
      </c>
      <c r="AB3780">
        <v>37</v>
      </c>
      <c r="AC3780">
        <v>23.2471</v>
      </c>
      <c r="AD3780">
        <v>-1.1101804527799899</v>
      </c>
      <c r="AE3780">
        <v>3.4757999999999898</v>
      </c>
      <c r="AF3780">
        <v>-3.2288967021569501</v>
      </c>
      <c r="AG3780">
        <v>-1.1101804527799899</v>
      </c>
      <c r="AH3780">
        <v>23.229857781370999</v>
      </c>
      <c r="AI3780">
        <v>92.710130780065199</v>
      </c>
      <c r="AJ3780">
        <v>97.9132787991161</v>
      </c>
      <c r="AK3780">
        <v>23.479449889076601</v>
      </c>
      <c r="AL3780">
        <v>78.925237941848096</v>
      </c>
      <c r="AM3780">
        <v>91.985608297642699</v>
      </c>
      <c r="AN3780">
        <v>0.99999998445903404</v>
      </c>
    </row>
    <row r="3781" spans="1:40" x14ac:dyDescent="0.25">
      <c r="A3781" t="str">
        <f>"20190304155708063"</f>
        <v>20190304155708063</v>
      </c>
      <c r="B3781" t="str">
        <f>"1551686228058419"</f>
        <v>1551686228058419</v>
      </c>
      <c r="C3781" t="s">
        <v>40</v>
      </c>
      <c r="D3781">
        <v>4.7934229999999998</v>
      </c>
      <c r="E3781">
        <v>0.45931549999999999</v>
      </c>
      <c r="F3781" t="s">
        <v>55</v>
      </c>
      <c r="G3781">
        <v>-250.04339999999999</v>
      </c>
      <c r="H3781" s="1">
        <v>-1.657262E-6</v>
      </c>
      <c r="I3781">
        <v>217.90110000000001</v>
      </c>
      <c r="J3781">
        <v>-273.40089999999998</v>
      </c>
      <c r="K3781">
        <v>1.110179</v>
      </c>
      <c r="L3781">
        <v>214.4085</v>
      </c>
      <c r="M3781">
        <v>0.99983730000000004</v>
      </c>
      <c r="N3781">
        <v>-1.480192E-2</v>
      </c>
      <c r="O3781">
        <v>1.030212E-2</v>
      </c>
      <c r="P3781">
        <v>0.98313289999999998</v>
      </c>
      <c r="Q3781">
        <v>0.17746719999999999</v>
      </c>
      <c r="R3781">
        <v>4.4215409999999997E-2</v>
      </c>
      <c r="S3781">
        <v>3.0570680000000001</v>
      </c>
      <c r="T3781">
        <v>-0.14362820000000001</v>
      </c>
      <c r="U3781">
        <v>0.45220949999999999</v>
      </c>
      <c r="V3781">
        <v>-3.4076740000000001E-2</v>
      </c>
      <c r="W3781">
        <v>0.19200729999999999</v>
      </c>
      <c r="X3781">
        <v>0.9808017</v>
      </c>
      <c r="Y3781">
        <v>-0.1359416</v>
      </c>
      <c r="Z3781">
        <v>3.8573510000000002E-3</v>
      </c>
      <c r="AA3781">
        <v>0.99070939999999996</v>
      </c>
      <c r="AB3781">
        <v>37</v>
      </c>
      <c r="AC3781">
        <v>23.357499999999899</v>
      </c>
      <c r="AD3781">
        <v>-1.1101806572620001</v>
      </c>
      <c r="AE3781">
        <v>3.4925999999999999</v>
      </c>
      <c r="AF3781">
        <v>-3.2445869318814502</v>
      </c>
      <c r="AG3781">
        <v>-1.1101806572620001</v>
      </c>
      <c r="AH3781">
        <v>23.3406696732999</v>
      </c>
      <c r="AI3781">
        <v>92.697279211356005</v>
      </c>
      <c r="AJ3781">
        <v>97.913971483242193</v>
      </c>
      <c r="AK3781">
        <v>23.591242151450899</v>
      </c>
      <c r="AL3781">
        <v>78.930048850106104</v>
      </c>
      <c r="AM3781">
        <v>91.989870459124504</v>
      </c>
      <c r="AN3781">
        <v>1.0000000010926</v>
      </c>
    </row>
    <row r="3782" spans="1:40" x14ac:dyDescent="0.25">
      <c r="A3782" t="str">
        <f>"20190304155708081"</f>
        <v>20190304155708081</v>
      </c>
      <c r="B3782" t="str">
        <f>"1551686228078915"</f>
        <v>1551686228078915</v>
      </c>
      <c r="C3782" t="s">
        <v>40</v>
      </c>
      <c r="D3782">
        <v>4.6867130000000001</v>
      </c>
      <c r="E3782">
        <v>0.50124929999999901</v>
      </c>
      <c r="F3782" t="s">
        <v>55</v>
      </c>
      <c r="G3782">
        <v>-249.75559999999999</v>
      </c>
      <c r="H3782" s="1">
        <v>3.5134859999999999E-6</v>
      </c>
      <c r="I3782">
        <v>217.84630000000001</v>
      </c>
      <c r="J3782">
        <v>-273.10890000000001</v>
      </c>
      <c r="K3782">
        <v>1.1101890000000001</v>
      </c>
      <c r="L3782">
        <v>214.41149999999999</v>
      </c>
      <c r="M3782">
        <v>0.99983750000000005</v>
      </c>
      <c r="N3782">
        <v>-1.479865E-2</v>
      </c>
      <c r="O3782">
        <v>1.0301960000000001E-2</v>
      </c>
      <c r="P3782">
        <v>0.98314489999999999</v>
      </c>
      <c r="Q3782">
        <v>0.17738470000000001</v>
      </c>
      <c r="R3782">
        <v>4.4284499999999997E-2</v>
      </c>
      <c r="S3782">
        <v>3.057404</v>
      </c>
      <c r="T3782">
        <v>-0.14354900000000001</v>
      </c>
      <c r="U3782">
        <v>0.444519</v>
      </c>
      <c r="V3782">
        <v>-3.4145599999999998E-2</v>
      </c>
      <c r="W3782">
        <v>0.1919217</v>
      </c>
      <c r="X3782">
        <v>0.98081609999999997</v>
      </c>
      <c r="Y3782">
        <v>-0.13348979999999999</v>
      </c>
      <c r="Z3782">
        <v>3.7801739999999999E-3</v>
      </c>
      <c r="AA3782">
        <v>0.99104300000000001</v>
      </c>
      <c r="AB3782">
        <v>36</v>
      </c>
      <c r="AC3782">
        <v>23.353300000000001</v>
      </c>
      <c r="AD3782">
        <v>-1.110185486514</v>
      </c>
      <c r="AE3782">
        <v>3.4348000000000201</v>
      </c>
      <c r="AF3782">
        <v>-3.1869568069702701</v>
      </c>
      <c r="AG3782">
        <v>-1.110185486514</v>
      </c>
      <c r="AH3782">
        <v>23.3358288856505</v>
      </c>
      <c r="AI3782">
        <v>92.698738869344396</v>
      </c>
      <c r="AJ3782">
        <v>97.776731808949194</v>
      </c>
      <c r="AK3782">
        <v>23.578594429785699</v>
      </c>
      <c r="AL3782">
        <v>78.9350467647443</v>
      </c>
      <c r="AM3782">
        <v>91.993858964167401</v>
      </c>
      <c r="AN3782">
        <v>1.0000000414747201</v>
      </c>
    </row>
    <row r="3783" spans="1:40" x14ac:dyDescent="0.25">
      <c r="A3783" t="str">
        <f>"20190304155708102"</f>
        <v>20190304155708102</v>
      </c>
      <c r="B3783" t="str">
        <f>"1551686228098435"</f>
        <v>1551686228098435</v>
      </c>
      <c r="C3783" t="s">
        <v>40</v>
      </c>
      <c r="D3783">
        <v>4.6873290000000001</v>
      </c>
      <c r="E3783">
        <v>0.50205679999999997</v>
      </c>
      <c r="F3783" t="s">
        <v>55</v>
      </c>
      <c r="G3783">
        <v>-240.37970000000001</v>
      </c>
      <c r="H3783" s="1">
        <v>-1.3777069999999999E-6</v>
      </c>
      <c r="I3783">
        <v>215.59960000000001</v>
      </c>
      <c r="J3783">
        <v>-272.7629</v>
      </c>
      <c r="K3783">
        <v>1.110193</v>
      </c>
      <c r="L3783">
        <v>214.4151</v>
      </c>
      <c r="M3783">
        <v>0.99983759999999999</v>
      </c>
      <c r="N3783">
        <v>-1.479488E-2</v>
      </c>
      <c r="O3783">
        <v>1.030199E-2</v>
      </c>
      <c r="P3783">
        <v>0.98315229999999998</v>
      </c>
      <c r="Q3783">
        <v>0.17728450000000001</v>
      </c>
      <c r="R3783">
        <v>4.4520940000000002E-2</v>
      </c>
      <c r="S3783">
        <v>3.0651860000000002</v>
      </c>
      <c r="T3783">
        <v>-0.1039726</v>
      </c>
      <c r="U3783">
        <v>0.11126709999999999</v>
      </c>
      <c r="V3783">
        <v>-3.4382019999999999E-2</v>
      </c>
      <c r="W3783">
        <v>0.19181819999999999</v>
      </c>
      <c r="X3783">
        <v>0.98082800000000003</v>
      </c>
      <c r="Y3783">
        <v>-2.595859E-2</v>
      </c>
      <c r="Z3783">
        <v>4.3531979999999999E-4</v>
      </c>
      <c r="AA3783">
        <v>0.99966290000000002</v>
      </c>
      <c r="AB3783">
        <v>36</v>
      </c>
      <c r="AC3783">
        <v>32.383199999999903</v>
      </c>
      <c r="AD3783">
        <v>-1.110194377707</v>
      </c>
      <c r="AE3783">
        <v>1.1845000000000101</v>
      </c>
      <c r="AF3783">
        <v>-0.84979180081162198</v>
      </c>
      <c r="AG3783">
        <v>-1.110194377707</v>
      </c>
      <c r="AH3783">
        <v>32.355707480515001</v>
      </c>
      <c r="AI3783">
        <v>91.964494368182898</v>
      </c>
      <c r="AJ3783">
        <v>91.5044731435557</v>
      </c>
      <c r="AK3783">
        <v>32.385899466058902</v>
      </c>
      <c r="AL3783">
        <v>78.941088178625407</v>
      </c>
      <c r="AM3783">
        <v>92.007628605490297</v>
      </c>
      <c r="AN3783">
        <v>0.99999995536725905</v>
      </c>
    </row>
    <row r="3784" spans="1:40" x14ac:dyDescent="0.25">
      <c r="A3784" t="str">
        <f>"20190304155708118"</f>
        <v>20190304155708118</v>
      </c>
      <c r="B3784" t="str">
        <f>"1551686228108195"</f>
        <v>1551686228108195</v>
      </c>
      <c r="C3784" t="s">
        <v>40</v>
      </c>
      <c r="D3784">
        <v>4.6789040000000002</v>
      </c>
      <c r="E3784">
        <v>0.50165839999999995</v>
      </c>
      <c r="F3784" t="s">
        <v>55</v>
      </c>
      <c r="G3784">
        <v>-240.46369999999999</v>
      </c>
      <c r="H3784" s="1">
        <v>-1.329711E-6</v>
      </c>
      <c r="I3784">
        <v>215.52369999999999</v>
      </c>
      <c r="J3784">
        <v>-272.48899999999998</v>
      </c>
      <c r="K3784">
        <v>1.1101939999999999</v>
      </c>
      <c r="L3784">
        <v>214.4179</v>
      </c>
      <c r="M3784">
        <v>0.99983759999999999</v>
      </c>
      <c r="N3784">
        <v>-1.479195E-2</v>
      </c>
      <c r="O3784">
        <v>1.030201E-2</v>
      </c>
      <c r="P3784">
        <v>0.98313189999999995</v>
      </c>
      <c r="Q3784">
        <v>0.1774057</v>
      </c>
      <c r="R3784">
        <v>4.4488220000000002E-2</v>
      </c>
      <c r="S3784">
        <v>3.065674</v>
      </c>
      <c r="T3784">
        <v>-0.1053737</v>
      </c>
      <c r="U3784">
        <v>0.1052246</v>
      </c>
      <c r="V3784">
        <v>-3.4349419999999999E-2</v>
      </c>
      <c r="W3784">
        <v>0.1919362</v>
      </c>
      <c r="X3784">
        <v>0.98080610000000001</v>
      </c>
      <c r="Y3784">
        <v>-2.398612E-2</v>
      </c>
      <c r="Z3784">
        <v>3.8798199999999999E-4</v>
      </c>
      <c r="AA3784">
        <v>0.99971220000000005</v>
      </c>
      <c r="AB3784">
        <v>36</v>
      </c>
      <c r="AC3784">
        <v>32.025300000000001</v>
      </c>
      <c r="AD3784">
        <v>-1.1101953297110001</v>
      </c>
      <c r="AE3784">
        <v>1.1057999999999799</v>
      </c>
      <c r="AF3784">
        <v>-0.77485020740906396</v>
      </c>
      <c r="AG3784">
        <v>-1.1101953297110001</v>
      </c>
      <c r="AH3784">
        <v>31.996587392031898</v>
      </c>
      <c r="AI3784">
        <v>91.986629909893296</v>
      </c>
      <c r="AJ3784">
        <v>91.387240788994902</v>
      </c>
      <c r="AK3784">
        <v>32.025217114798302</v>
      </c>
      <c r="AL3784">
        <v>78.934199735890601</v>
      </c>
      <c r="AM3784">
        <v>92.005771336221599</v>
      </c>
      <c r="AN3784">
        <v>0.99999999666099304</v>
      </c>
    </row>
    <row r="3785" spans="1:40" x14ac:dyDescent="0.25">
      <c r="A3785" t="str">
        <f>"20190304155708135"</f>
        <v>20190304155708135</v>
      </c>
      <c r="B3785" t="str">
        <f>"1551686228128695"</f>
        <v>1551686228128695</v>
      </c>
      <c r="C3785" t="s">
        <v>40</v>
      </c>
      <c r="D3785">
        <v>4.6820570000000004</v>
      </c>
      <c r="E3785">
        <v>0.50099209999999905</v>
      </c>
      <c r="F3785" t="s">
        <v>55</v>
      </c>
      <c r="G3785">
        <v>-238.5992</v>
      </c>
      <c r="H3785" s="1">
        <v>2.9955290000000001E-6</v>
      </c>
      <c r="I3785">
        <v>215.6173</v>
      </c>
      <c r="J3785">
        <v>-272.22199999999998</v>
      </c>
      <c r="K3785">
        <v>1.110196</v>
      </c>
      <c r="L3785">
        <v>214.42070000000001</v>
      </c>
      <c r="M3785">
        <v>0.99983759999999999</v>
      </c>
      <c r="N3785">
        <v>-1.4789099999999999E-2</v>
      </c>
      <c r="O3785">
        <v>1.0302209999999999E-2</v>
      </c>
      <c r="P3785">
        <v>0.98316959999999998</v>
      </c>
      <c r="Q3785">
        <v>0.17713619999999999</v>
      </c>
      <c r="R3785">
        <v>4.4725330000000001E-2</v>
      </c>
      <c r="S3785">
        <v>3.0646969999999998</v>
      </c>
      <c r="T3785">
        <v>-0.1003962</v>
      </c>
      <c r="U3785">
        <v>0.1084595</v>
      </c>
      <c r="V3785">
        <v>-3.4586060000000002E-2</v>
      </c>
      <c r="W3785">
        <v>0.19166430000000001</v>
      </c>
      <c r="X3785">
        <v>0.98085100000000003</v>
      </c>
      <c r="Y3785">
        <v>-2.5051210000000001E-2</v>
      </c>
      <c r="Z3785">
        <v>4.105038E-4</v>
      </c>
      <c r="AA3785">
        <v>0.99968610000000002</v>
      </c>
      <c r="AB3785">
        <v>36</v>
      </c>
      <c r="AC3785">
        <v>33.622799999999899</v>
      </c>
      <c r="AD3785">
        <v>-1.110193004471</v>
      </c>
      <c r="AE3785">
        <v>1.1965999999999799</v>
      </c>
      <c r="AF3785">
        <v>-0.84918480476678504</v>
      </c>
      <c r="AG3785">
        <v>-1.110193004471</v>
      </c>
      <c r="AH3785">
        <v>33.5967614501401</v>
      </c>
      <c r="AI3785">
        <v>91.892026083663595</v>
      </c>
      <c r="AJ3785">
        <v>91.447888008703003</v>
      </c>
      <c r="AK3785">
        <v>33.625823756117001</v>
      </c>
      <c r="AL3785">
        <v>78.950073670085501</v>
      </c>
      <c r="AM3785">
        <v>92.019485718309298</v>
      </c>
      <c r="AN3785">
        <v>1.0000000418209001</v>
      </c>
    </row>
    <row r="3786" spans="1:40" x14ac:dyDescent="0.25">
      <c r="A3786" t="str">
        <f>"20190304155708152"</f>
        <v>20190304155708152</v>
      </c>
      <c r="B3786" t="str">
        <f>"1551686228148211"</f>
        <v>1551686228148211</v>
      </c>
      <c r="C3786" t="s">
        <v>40</v>
      </c>
      <c r="D3786">
        <v>4.6954830000000003</v>
      </c>
      <c r="E3786">
        <v>0.50041530000000001</v>
      </c>
      <c r="F3786" t="s">
        <v>55</v>
      </c>
      <c r="G3786">
        <v>-237.2962</v>
      </c>
      <c r="H3786" s="1">
        <v>2.2975559999999999E-6</v>
      </c>
      <c r="I3786">
        <v>215.72219999999999</v>
      </c>
      <c r="J3786">
        <v>-271.95479999999998</v>
      </c>
      <c r="K3786">
        <v>1.110196</v>
      </c>
      <c r="L3786">
        <v>214.42339999999999</v>
      </c>
      <c r="M3786">
        <v>0.99983759999999999</v>
      </c>
      <c r="N3786">
        <v>-1.4786260000000001E-2</v>
      </c>
      <c r="O3786">
        <v>1.0302230000000001E-2</v>
      </c>
      <c r="P3786">
        <v>0.9831685</v>
      </c>
      <c r="Q3786">
        <v>0.17715500000000001</v>
      </c>
      <c r="R3786">
        <v>4.4672530000000002E-2</v>
      </c>
      <c r="S3786">
        <v>3.0636899999999998</v>
      </c>
      <c r="T3786">
        <v>-9.7386120000000007E-2</v>
      </c>
      <c r="U3786">
        <v>0.1141663</v>
      </c>
      <c r="V3786">
        <v>-3.4533090000000002E-2</v>
      </c>
      <c r="W3786">
        <v>0.19168070000000001</v>
      </c>
      <c r="X3786">
        <v>0.98084959999999999</v>
      </c>
      <c r="Y3786">
        <v>-2.6921850000000001E-2</v>
      </c>
      <c r="Z3786">
        <v>4.5183199999999999E-4</v>
      </c>
      <c r="AA3786">
        <v>0.99963740000000001</v>
      </c>
      <c r="AB3786">
        <v>36</v>
      </c>
      <c r="AC3786">
        <v>34.6585999999999</v>
      </c>
      <c r="AD3786">
        <v>-1.1101937024439901</v>
      </c>
      <c r="AE3786">
        <v>1.2988</v>
      </c>
      <c r="AF3786">
        <v>-0.94066731620203803</v>
      </c>
      <c r="AG3786">
        <v>-1.1101937024439901</v>
      </c>
      <c r="AH3786">
        <v>34.634654665086401</v>
      </c>
      <c r="AI3786">
        <v>91.835277931662901</v>
      </c>
      <c r="AJ3786">
        <v>91.555754527726904</v>
      </c>
      <c r="AK3786">
        <v>34.665208622284503</v>
      </c>
      <c r="AL3786">
        <v>78.949115592420398</v>
      </c>
      <c r="AM3786">
        <v>92.016398222120998</v>
      </c>
      <c r="AN3786">
        <v>0.99999998143879798</v>
      </c>
    </row>
    <row r="3787" spans="1:40" x14ac:dyDescent="0.25">
      <c r="A3787" t="str">
        <f>"20190304155708165"</f>
        <v>20190304155708165</v>
      </c>
      <c r="B3787" t="str">
        <f>"1551686228157971"</f>
        <v>1551686228157971</v>
      </c>
      <c r="C3787" t="s">
        <v>40</v>
      </c>
      <c r="D3787">
        <v>4.7866549999999997</v>
      </c>
      <c r="E3787">
        <v>0.50089059999999996</v>
      </c>
      <c r="F3787" t="s">
        <v>55</v>
      </c>
      <c r="G3787">
        <v>-235.96600000000001</v>
      </c>
      <c r="H3787" s="1">
        <v>1.58538099999999E-6</v>
      </c>
      <c r="I3787">
        <v>215.82</v>
      </c>
      <c r="J3787">
        <v>-271.72329999999999</v>
      </c>
      <c r="K3787">
        <v>1.110195</v>
      </c>
      <c r="L3787">
        <v>214.42580000000001</v>
      </c>
      <c r="M3787">
        <v>0.99983770000000005</v>
      </c>
      <c r="N3787">
        <v>-1.478379E-2</v>
      </c>
      <c r="O3787">
        <v>1.0302250000000001E-2</v>
      </c>
      <c r="P3787">
        <v>0.98316429999999999</v>
      </c>
      <c r="Q3787">
        <v>0.17714949999999999</v>
      </c>
      <c r="R3787">
        <v>4.4790789999999997E-2</v>
      </c>
      <c r="S3787">
        <v>3.0629879999999998</v>
      </c>
      <c r="T3787">
        <v>-9.4487909999999994E-2</v>
      </c>
      <c r="U3787">
        <v>0.118866</v>
      </c>
      <c r="V3787">
        <v>-3.4651010000000003E-2</v>
      </c>
      <c r="W3787">
        <v>0.1916727</v>
      </c>
      <c r="X3787">
        <v>0.98084700000000002</v>
      </c>
      <c r="Y3787">
        <v>-2.846164E-2</v>
      </c>
      <c r="Z3787">
        <v>4.8393360000000002E-4</v>
      </c>
      <c r="AA3787">
        <v>0.99959469999999995</v>
      </c>
      <c r="AB3787">
        <v>36</v>
      </c>
      <c r="AC3787">
        <v>35.757300000000001</v>
      </c>
      <c r="AD3787">
        <v>-1.110193414619</v>
      </c>
      <c r="AE3787">
        <v>1.3941999999999799</v>
      </c>
      <c r="AF3787">
        <v>-1.02471880106604</v>
      </c>
      <c r="AG3787">
        <v>-1.110193414619</v>
      </c>
      <c r="AH3787">
        <v>35.735371047467702</v>
      </c>
      <c r="AI3787">
        <v>91.778709215995903</v>
      </c>
      <c r="AJ3787">
        <v>91.642517661747505</v>
      </c>
      <c r="AK3787">
        <v>35.767294025957703</v>
      </c>
      <c r="AL3787">
        <v>78.949582567572506</v>
      </c>
      <c r="AM3787">
        <v>92.023283254709895</v>
      </c>
      <c r="AN3787">
        <v>0.99999997691415399</v>
      </c>
    </row>
    <row r="3788" spans="1:40" x14ac:dyDescent="0.25">
      <c r="A3788" t="str">
        <f>"20190304155708181"</f>
        <v>20190304155708181</v>
      </c>
      <c r="B3788" t="str">
        <f>"1551686228178467"</f>
        <v>1551686228178467</v>
      </c>
      <c r="C3788" t="s">
        <v>40</v>
      </c>
      <c r="D3788">
        <v>4.7021379999999997</v>
      </c>
      <c r="E3788">
        <v>0.50115489999999996</v>
      </c>
      <c r="F3788" t="s">
        <v>55</v>
      </c>
      <c r="G3788">
        <v>-236.92169999999999</v>
      </c>
      <c r="H3788" s="1">
        <v>2.0976719999999999E-6</v>
      </c>
      <c r="I3788">
        <v>215.73570000000001</v>
      </c>
      <c r="J3788">
        <v>-271.49130000000002</v>
      </c>
      <c r="K3788">
        <v>1.1101970000000001</v>
      </c>
      <c r="L3788">
        <v>214.4282</v>
      </c>
      <c r="M3788">
        <v>0.9998378</v>
      </c>
      <c r="N3788">
        <v>-1.4781330000000001E-2</v>
      </c>
      <c r="O3788">
        <v>1.0302260000000001E-2</v>
      </c>
      <c r="P3788">
        <v>0.98309270000000004</v>
      </c>
      <c r="Q3788">
        <v>0.177537</v>
      </c>
      <c r="R3788">
        <v>4.4834069999999997E-2</v>
      </c>
      <c r="S3788">
        <v>3.0637210000000001</v>
      </c>
      <c r="T3788">
        <v>-9.7734570000000007E-2</v>
      </c>
      <c r="U3788">
        <v>0.1153107</v>
      </c>
      <c r="V3788">
        <v>-3.4695599999999903E-2</v>
      </c>
      <c r="W3788">
        <v>0.19205639999999999</v>
      </c>
      <c r="X3788">
        <v>0.98077040000000004</v>
      </c>
      <c r="Y3788">
        <v>-2.7293939999999999E-2</v>
      </c>
      <c r="Z3788">
        <v>4.6075549999999998E-4</v>
      </c>
      <c r="AA3788">
        <v>0.99962740000000005</v>
      </c>
      <c r="AB3788">
        <v>36</v>
      </c>
      <c r="AC3788">
        <v>34.569600000000001</v>
      </c>
      <c r="AD3788">
        <v>-1.11019490232799</v>
      </c>
      <c r="AE3788">
        <v>1.3075000000000001</v>
      </c>
      <c r="AF3788">
        <v>-0.95026805329818498</v>
      </c>
      <c r="AG3788">
        <v>-1.11019490232799</v>
      </c>
      <c r="AH3788">
        <v>34.545658605310301</v>
      </c>
      <c r="AI3788">
        <v>91.839987220046396</v>
      </c>
      <c r="AJ3788">
        <v>91.575671869855995</v>
      </c>
      <c r="AK3788">
        <v>34.576553769410303</v>
      </c>
      <c r="AL3788">
        <v>78.927182393110698</v>
      </c>
      <c r="AM3788">
        <v>92.026042804080603</v>
      </c>
      <c r="AN3788">
        <v>1.0000000114782399</v>
      </c>
    </row>
    <row r="3789" spans="1:40" x14ac:dyDescent="0.25">
      <c r="A3789" t="str">
        <f>"20190304155708197"</f>
        <v>20190304155708197</v>
      </c>
      <c r="B3789" t="str">
        <f>"1551686228188227"</f>
        <v>1551686228188227</v>
      </c>
      <c r="C3789" t="s">
        <v>40</v>
      </c>
      <c r="D3789">
        <v>4.696053</v>
      </c>
      <c r="E3789">
        <v>0.50104170000000003</v>
      </c>
      <c r="F3789" t="s">
        <v>55</v>
      </c>
      <c r="G3789">
        <v>-236.52889999999999</v>
      </c>
      <c r="H3789" s="1">
        <v>1.8893399999999999E-6</v>
      </c>
      <c r="I3789">
        <v>215.7201</v>
      </c>
      <c r="J3789">
        <v>-271.23599999999999</v>
      </c>
      <c r="K3789">
        <v>1.1102000000000001</v>
      </c>
      <c r="L3789">
        <v>214.4308</v>
      </c>
      <c r="M3789">
        <v>0.9998378</v>
      </c>
      <c r="N3789">
        <v>-1.4778690000000001E-2</v>
      </c>
      <c r="O3789">
        <v>1.030228E-2</v>
      </c>
      <c r="P3789">
        <v>0.98313689999999998</v>
      </c>
      <c r="Q3789">
        <v>0.17728479999999999</v>
      </c>
      <c r="R3789">
        <v>4.4856600000000003E-2</v>
      </c>
      <c r="S3789">
        <v>3.0639949999999998</v>
      </c>
      <c r="T3789">
        <v>-9.7294210000000006E-2</v>
      </c>
      <c r="U3789">
        <v>0.11322019999999999</v>
      </c>
      <c r="V3789">
        <v>-3.4716999999999998E-2</v>
      </c>
      <c r="W3789">
        <v>0.19180230000000001</v>
      </c>
      <c r="X3789">
        <v>0.98081929999999995</v>
      </c>
      <c r="Y3789">
        <v>-2.6610129999999999E-2</v>
      </c>
      <c r="Z3789">
        <v>4.4429499999999999E-4</v>
      </c>
      <c r="AA3789">
        <v>0.99964580000000003</v>
      </c>
      <c r="AB3789">
        <v>36</v>
      </c>
      <c r="AC3789">
        <v>34.707099999999997</v>
      </c>
      <c r="AD3789">
        <v>-1.1101981106600001</v>
      </c>
      <c r="AE3789">
        <v>1.2892999999999899</v>
      </c>
      <c r="AF3789">
        <v>-0.93067930981412705</v>
      </c>
      <c r="AG3789">
        <v>-1.1101981106600001</v>
      </c>
      <c r="AH3789">
        <v>34.683102720416699</v>
      </c>
      <c r="AI3789">
        <v>91.832739397385396</v>
      </c>
      <c r="AJ3789">
        <v>91.537094411489093</v>
      </c>
      <c r="AK3789">
        <v>34.713344957488701</v>
      </c>
      <c r="AL3789">
        <v>78.942016310087993</v>
      </c>
      <c r="AM3789">
        <v>92.027190421622507</v>
      </c>
      <c r="AN3789">
        <v>0.99999994581338802</v>
      </c>
    </row>
    <row r="3790" spans="1:40" x14ac:dyDescent="0.25">
      <c r="A3790" t="str">
        <f>"20190304155708210"</f>
        <v>20190304155708210</v>
      </c>
      <c r="B3790" t="str">
        <f>"1551686228208723"</f>
        <v>1551686228208723</v>
      </c>
      <c r="C3790" t="s">
        <v>40</v>
      </c>
      <c r="D3790">
        <v>4.7007919999999999</v>
      </c>
      <c r="E3790">
        <v>0.50073820000000002</v>
      </c>
      <c r="F3790" t="s">
        <v>55</v>
      </c>
      <c r="G3790">
        <v>-236.24850000000001</v>
      </c>
      <c r="H3790" s="1">
        <v>1.739461E-6</v>
      </c>
      <c r="I3790">
        <v>215.7346</v>
      </c>
      <c r="J3790">
        <v>-271.01130000000001</v>
      </c>
      <c r="K3790">
        <v>1.110201</v>
      </c>
      <c r="L3790">
        <v>214.4332</v>
      </c>
      <c r="M3790">
        <v>0.9998378</v>
      </c>
      <c r="N3790">
        <v>-1.477648E-2</v>
      </c>
      <c r="O3790">
        <v>1.03023E-2</v>
      </c>
      <c r="P3790">
        <v>0.98314639999999998</v>
      </c>
      <c r="Q3790">
        <v>0.17728039999999901</v>
      </c>
      <c r="R3790">
        <v>4.4661960000000001E-2</v>
      </c>
      <c r="S3790">
        <v>3.0637819999999998</v>
      </c>
      <c r="T3790">
        <v>-9.7217680000000001E-2</v>
      </c>
      <c r="U3790">
        <v>0.1141663</v>
      </c>
      <c r="V3790">
        <v>-3.4522009999999999E-2</v>
      </c>
      <c r="W3790">
        <v>0.1917962</v>
      </c>
      <c r="X3790">
        <v>0.98082749999999996</v>
      </c>
      <c r="Y3790">
        <v>-2.6920719999999999E-2</v>
      </c>
      <c r="Z3790">
        <v>4.5139529999999999E-4</v>
      </c>
      <c r="AA3790">
        <v>0.99963749999999996</v>
      </c>
      <c r="AB3790">
        <v>36</v>
      </c>
      <c r="AC3790">
        <v>34.762799999999999</v>
      </c>
      <c r="AD3790">
        <v>-1.1101992605390001</v>
      </c>
      <c r="AE3790">
        <v>1.3013999999999999</v>
      </c>
      <c r="AF3790">
        <v>-0.94219540656373901</v>
      </c>
      <c r="AG3790">
        <v>-1.1101992605390001</v>
      </c>
      <c r="AH3790">
        <v>34.738981703152497</v>
      </c>
      <c r="AI3790">
        <v>91.829781051839007</v>
      </c>
      <c r="AJ3790">
        <v>91.5536030835692</v>
      </c>
      <c r="AK3790">
        <v>34.769485534793503</v>
      </c>
      <c r="AL3790">
        <v>78.9423737955522</v>
      </c>
      <c r="AM3790">
        <v>92.015797172601395</v>
      </c>
      <c r="AN3790">
        <v>1.00000006813256</v>
      </c>
    </row>
    <row r="3791" spans="1:40" x14ac:dyDescent="0.25">
      <c r="A3791" t="str">
        <f>"20190304155708225"</f>
        <v>20190304155708225</v>
      </c>
      <c r="B3791" t="str">
        <f>"1551686228218483"</f>
        <v>1551686228218483</v>
      </c>
      <c r="C3791" t="s">
        <v>40</v>
      </c>
      <c r="D3791">
        <v>4.7463509999999998</v>
      </c>
      <c r="E3791">
        <v>0.500679599999999</v>
      </c>
      <c r="F3791" t="s">
        <v>55</v>
      </c>
      <c r="G3791">
        <v>-235.39609999999999</v>
      </c>
      <c r="H3791" s="1">
        <v>1.283896E-6</v>
      </c>
      <c r="I3791">
        <v>215.78</v>
      </c>
      <c r="J3791">
        <v>-270.77109999999999</v>
      </c>
      <c r="K3791">
        <v>1.1101970000000001</v>
      </c>
      <c r="L3791">
        <v>214.43559999999999</v>
      </c>
      <c r="M3791">
        <v>0.99983789999999995</v>
      </c>
      <c r="N3791">
        <v>-1.4773980000000001E-2</v>
      </c>
      <c r="O3791">
        <v>1.030232E-2</v>
      </c>
      <c r="P3791">
        <v>0.98314480000000004</v>
      </c>
      <c r="Q3791">
        <v>0.17727870000000001</v>
      </c>
      <c r="R3791">
        <v>4.4704559999999997E-2</v>
      </c>
      <c r="S3791">
        <v>3.0633539999999999</v>
      </c>
      <c r="T3791">
        <v>-9.549117E-2</v>
      </c>
      <c r="U3791">
        <v>0.11584469999999999</v>
      </c>
      <c r="V3791">
        <v>-3.4565070000000003E-2</v>
      </c>
      <c r="W3791">
        <v>0.19179199999999999</v>
      </c>
      <c r="X3791">
        <v>0.98082670000000005</v>
      </c>
      <c r="Y3791">
        <v>-2.747293E-2</v>
      </c>
      <c r="Z3791">
        <v>4.6225390000000002E-4</v>
      </c>
      <c r="AA3791">
        <v>0.99962249999999997</v>
      </c>
      <c r="AB3791">
        <v>36</v>
      </c>
      <c r="AC3791">
        <v>35.375</v>
      </c>
      <c r="AD3791">
        <v>-1.1101957161039999</v>
      </c>
      <c r="AE3791">
        <v>1.3444</v>
      </c>
      <c r="AF3791">
        <v>-0.97888158803638803</v>
      </c>
      <c r="AG3791">
        <v>-1.1101957161039999</v>
      </c>
      <c r="AH3791">
        <v>35.352204881911497</v>
      </c>
      <c r="AI3791">
        <v>91.798028839121002</v>
      </c>
      <c r="AJ3791">
        <v>91.586080887949706</v>
      </c>
      <c r="AK3791">
        <v>35.383175856670903</v>
      </c>
      <c r="AL3791">
        <v>78.942617839307403</v>
      </c>
      <c r="AM3791">
        <v>92.018311083766505</v>
      </c>
      <c r="AN3791">
        <v>0.99999996538049696</v>
      </c>
    </row>
    <row r="3792" spans="1:40" x14ac:dyDescent="0.25">
      <c r="A3792" t="str">
        <f>"20190304155708241"</f>
        <v>20190304155708241</v>
      </c>
      <c r="B3792" t="str">
        <f>"1551686228238003"</f>
        <v>1551686228238003</v>
      </c>
      <c r="C3792" t="s">
        <v>40</v>
      </c>
      <c r="D3792">
        <v>4.6780980000000003</v>
      </c>
      <c r="E3792">
        <v>0.50048599999999999</v>
      </c>
      <c r="F3792" t="s">
        <v>55</v>
      </c>
      <c r="G3792">
        <v>-235.26859999999999</v>
      </c>
      <c r="H3792" s="1">
        <v>1.215874E-6</v>
      </c>
      <c r="I3792">
        <v>215.78360000000001</v>
      </c>
      <c r="J3792">
        <v>-270.51280000000003</v>
      </c>
      <c r="K3792">
        <v>1.110195</v>
      </c>
      <c r="L3792">
        <v>214.4383</v>
      </c>
      <c r="M3792">
        <v>0.999838</v>
      </c>
      <c r="N3792">
        <v>-1.477115E-2</v>
      </c>
      <c r="O3792">
        <v>1.030234E-2</v>
      </c>
      <c r="P3792">
        <v>0.98315889999999995</v>
      </c>
      <c r="Q3792">
        <v>0.17716409999999999</v>
      </c>
      <c r="R3792">
        <v>4.4852549999999998E-2</v>
      </c>
      <c r="S3792">
        <v>3.0634160000000001</v>
      </c>
      <c r="T3792">
        <v>-9.5795870000000005E-2</v>
      </c>
      <c r="U3792">
        <v>0.1163177</v>
      </c>
      <c r="V3792">
        <v>-3.4713199999999902E-2</v>
      </c>
      <c r="W3792">
        <v>0.19167500000000001</v>
      </c>
      <c r="X3792">
        <v>0.98084439999999995</v>
      </c>
      <c r="Y3792">
        <v>-2.7626100000000001E-2</v>
      </c>
      <c r="Z3792">
        <v>4.6605019999999999E-4</v>
      </c>
      <c r="AA3792">
        <v>0.99961820000000001</v>
      </c>
      <c r="AB3792">
        <v>36</v>
      </c>
      <c r="AC3792">
        <v>35.244199999999999</v>
      </c>
      <c r="AD3792">
        <v>-1.1101937841259999</v>
      </c>
      <c r="AE3792">
        <v>1.3452999999999999</v>
      </c>
      <c r="AF3792">
        <v>-0.98111920122899299</v>
      </c>
      <c r="AG3792">
        <v>-1.1101937841259999</v>
      </c>
      <c r="AH3792">
        <v>35.221292837411703</v>
      </c>
      <c r="AI3792">
        <v>91.804695951173599</v>
      </c>
      <c r="AJ3792">
        <v>91.595610267122098</v>
      </c>
      <c r="AK3792">
        <v>35.252440968875398</v>
      </c>
      <c r="AL3792">
        <v>78.949448829592498</v>
      </c>
      <c r="AM3792">
        <v>92.026916890372306</v>
      </c>
      <c r="AN3792">
        <v>1.00000002444529</v>
      </c>
    </row>
    <row r="3793" spans="1:40" x14ac:dyDescent="0.25">
      <c r="A3793" t="str">
        <f>"20190304155708254"</f>
        <v>20190304155708254</v>
      </c>
      <c r="B3793" t="str">
        <f>"1551686228248740"</f>
        <v>1551686228248740</v>
      </c>
      <c r="C3793" t="s">
        <v>40</v>
      </c>
      <c r="D3793">
        <v>4.6809229999999999</v>
      </c>
      <c r="E3793">
        <v>0.50036570000000002</v>
      </c>
      <c r="F3793" t="s">
        <v>55</v>
      </c>
      <c r="G3793">
        <v>-234.7312</v>
      </c>
      <c r="H3793" s="1">
        <v>9.2835550000000002E-7</v>
      </c>
      <c r="I3793">
        <v>215.8184</v>
      </c>
      <c r="J3793">
        <v>-270.29399999999998</v>
      </c>
      <c r="K3793">
        <v>1.110195</v>
      </c>
      <c r="L3793">
        <v>214.44059999999999</v>
      </c>
      <c r="M3793">
        <v>0.99983789999999995</v>
      </c>
      <c r="N3793">
        <v>-1.4768669999999999E-2</v>
      </c>
      <c r="O3793">
        <v>1.0302540000000001E-2</v>
      </c>
      <c r="P3793">
        <v>0.98316800000000004</v>
      </c>
      <c r="Q3793">
        <v>0.17711479999999999</v>
      </c>
      <c r="R3793">
        <v>4.484312E-2</v>
      </c>
      <c r="S3793">
        <v>3.0631409999999999</v>
      </c>
      <c r="T3793">
        <v>-9.5039730000000003E-2</v>
      </c>
      <c r="U3793">
        <v>0.1181488</v>
      </c>
      <c r="V3793">
        <v>-3.4703270000000001E-2</v>
      </c>
      <c r="W3793">
        <v>0.19162309999999999</v>
      </c>
      <c r="X3793">
        <v>0.98085489999999997</v>
      </c>
      <c r="Y3793">
        <v>-2.8225750000000001E-2</v>
      </c>
      <c r="Z3793">
        <v>4.7885890000000001E-4</v>
      </c>
      <c r="AA3793">
        <v>0.99960150000000003</v>
      </c>
      <c r="AB3793">
        <v>36</v>
      </c>
      <c r="AC3793">
        <v>35.562800000000003</v>
      </c>
      <c r="AD3793">
        <v>-1.1101940716445</v>
      </c>
      <c r="AE3793">
        <v>1.3777999999999999</v>
      </c>
      <c r="AF3793">
        <v>-1.0103166102404599</v>
      </c>
      <c r="AG3793">
        <v>-1.1101940716445</v>
      </c>
      <c r="AH3793">
        <v>35.540524316811997</v>
      </c>
      <c r="AI3793">
        <v>91.788468167646002</v>
      </c>
      <c r="AJ3793">
        <v>91.628318476788806</v>
      </c>
      <c r="AK3793">
        <v>35.5722102102687</v>
      </c>
      <c r="AL3793">
        <v>78.952478728484706</v>
      </c>
      <c r="AM3793">
        <v>92.026315883586093</v>
      </c>
      <c r="AN3793">
        <v>1.0000000321281499</v>
      </c>
    </row>
    <row r="3794" spans="1:40" x14ac:dyDescent="0.25">
      <c r="A3794" t="str">
        <f>"20190304155708271"</f>
        <v>20190304155708271</v>
      </c>
      <c r="B3794" t="str">
        <f>"1551686228268259"</f>
        <v>1551686228268259</v>
      </c>
      <c r="C3794" t="s">
        <v>40</v>
      </c>
      <c r="D3794">
        <v>4.8261510000000003</v>
      </c>
      <c r="E3794">
        <v>0.50026190000000004</v>
      </c>
      <c r="F3794" t="s">
        <v>55</v>
      </c>
      <c r="G3794">
        <v>-234.34979999999999</v>
      </c>
      <c r="H3794" s="1">
        <v>7.2461299999999995E-7</v>
      </c>
      <c r="I3794">
        <v>215.8372</v>
      </c>
      <c r="J3794">
        <v>-270.03840000000002</v>
      </c>
      <c r="K3794">
        <v>1.1101920000000001</v>
      </c>
      <c r="L3794">
        <v>214.44319999999999</v>
      </c>
      <c r="M3794">
        <v>0.99983809999999995</v>
      </c>
      <c r="N3794">
        <v>-1.4765739999999999E-2</v>
      </c>
      <c r="O3794">
        <v>1.030238E-2</v>
      </c>
      <c r="P3794">
        <v>0.98319719999999999</v>
      </c>
      <c r="Q3794">
        <v>0.17688760000000001</v>
      </c>
      <c r="R3794">
        <v>4.5105010000000001E-2</v>
      </c>
      <c r="S3794">
        <v>3.0629879999999998</v>
      </c>
      <c r="T3794">
        <v>-9.4605449999999994E-2</v>
      </c>
      <c r="U3794">
        <v>0.1190186</v>
      </c>
      <c r="V3794">
        <v>-3.4964910000000002E-2</v>
      </c>
      <c r="W3794">
        <v>0.1913938</v>
      </c>
      <c r="X3794">
        <v>0.98089029999999999</v>
      </c>
      <c r="Y3794">
        <v>-2.8511169999999999E-2</v>
      </c>
      <c r="Z3794">
        <v>4.8476939999999999E-4</v>
      </c>
      <c r="AA3794">
        <v>0.99959339999999997</v>
      </c>
      <c r="AB3794">
        <v>36</v>
      </c>
      <c r="AC3794">
        <v>35.688600000000001</v>
      </c>
      <c r="AD3794">
        <v>-1.110191275387</v>
      </c>
      <c r="AE3794">
        <v>1.3939999999999999</v>
      </c>
      <c r="AF3794">
        <v>-1.0252178853649101</v>
      </c>
      <c r="AG3794">
        <v>-1.110191275387</v>
      </c>
      <c r="AH3794">
        <v>35.666606973078103</v>
      </c>
      <c r="AI3794">
        <v>91.782129329887894</v>
      </c>
      <c r="AJ3794">
        <v>91.646483724048906</v>
      </c>
      <c r="AK3794">
        <v>35.698605705999803</v>
      </c>
      <c r="AL3794">
        <v>78.965863557119505</v>
      </c>
      <c r="AM3794">
        <v>92.041506485326195</v>
      </c>
      <c r="AN3794">
        <v>0.99999995612191805</v>
      </c>
    </row>
    <row r="3795" spans="1:40" x14ac:dyDescent="0.25">
      <c r="A3795" t="str">
        <f>"20190304155708293"</f>
        <v>20190304155708293</v>
      </c>
      <c r="B3795" t="str">
        <f>"1551686228288755"</f>
        <v>1551686228288755</v>
      </c>
      <c r="C3795" t="s">
        <v>40</v>
      </c>
      <c r="D3795">
        <v>4.6911360000000002</v>
      </c>
      <c r="E3795">
        <v>0.49990990000000002</v>
      </c>
      <c r="F3795" t="s">
        <v>55</v>
      </c>
      <c r="G3795">
        <v>-234.9136</v>
      </c>
      <c r="H3795" s="1">
        <v>1.0252149999999999E-6</v>
      </c>
      <c r="I3795">
        <v>215.8237</v>
      </c>
      <c r="J3795">
        <v>-269.68299999999999</v>
      </c>
      <c r="K3795">
        <v>1.110196</v>
      </c>
      <c r="L3795">
        <v>214.4468</v>
      </c>
      <c r="M3795">
        <v>0.99983789999999995</v>
      </c>
      <c r="N3795">
        <v>-1.4761639999999999E-2</v>
      </c>
      <c r="O3795">
        <v>1.030259E-2</v>
      </c>
      <c r="P3795">
        <v>0.98317149999999998</v>
      </c>
      <c r="Q3795">
        <v>0.176954</v>
      </c>
      <c r="R3795">
        <v>4.5397590000000002E-2</v>
      </c>
      <c r="S3795">
        <v>3.0631710000000001</v>
      </c>
      <c r="T3795">
        <v>-9.6817849999999997E-2</v>
      </c>
      <c r="U3795">
        <v>0.12039179999999999</v>
      </c>
      <c r="V3795">
        <v>-3.5257740000000003E-2</v>
      </c>
      <c r="W3795">
        <v>0.1914555</v>
      </c>
      <c r="X3795">
        <v>0.98086779999999996</v>
      </c>
      <c r="Y3795">
        <v>-2.8955109999999999E-2</v>
      </c>
      <c r="Z3795">
        <v>4.9780229999999998E-4</v>
      </c>
      <c r="AA3795">
        <v>0.99958060000000004</v>
      </c>
      <c r="AB3795">
        <v>36</v>
      </c>
      <c r="AC3795">
        <v>34.769399999999898</v>
      </c>
      <c r="AD3795">
        <v>-1.110194974785</v>
      </c>
      <c r="AE3795">
        <v>1.3769</v>
      </c>
      <c r="AF3795">
        <v>-1.0175371825958801</v>
      </c>
      <c r="AG3795">
        <v>-1.110194974785</v>
      </c>
      <c r="AH3795">
        <v>34.746371625415897</v>
      </c>
      <c r="AI3795">
        <v>91.829273688320001</v>
      </c>
      <c r="AJ3795">
        <v>91.677410498698805</v>
      </c>
      <c r="AK3795">
        <v>34.778991588766701</v>
      </c>
      <c r="AL3795">
        <v>78.962262055716394</v>
      </c>
      <c r="AM3795">
        <v>92.058636568357002</v>
      </c>
      <c r="AN3795">
        <v>0.99999997889349801</v>
      </c>
    </row>
    <row r="3796" spans="1:40" x14ac:dyDescent="0.25">
      <c r="A3796" t="str">
        <f>"20190304155708315"</f>
        <v>20190304155708315</v>
      </c>
      <c r="B3796" t="str">
        <f>"1551686228308279"</f>
        <v>1551686228308279</v>
      </c>
      <c r="C3796" t="s">
        <v>40</v>
      </c>
      <c r="D3796">
        <v>4.6984079999999997</v>
      </c>
      <c r="E3796">
        <v>0.49957810000000002</v>
      </c>
      <c r="F3796" t="s">
        <v>55</v>
      </c>
      <c r="G3796">
        <v>-234.29150000000001</v>
      </c>
      <c r="H3796" s="1">
        <v>6.9178669999999896E-7</v>
      </c>
      <c r="I3796">
        <v>215.87809999999999</v>
      </c>
      <c r="J3796">
        <v>-269.32819999999998</v>
      </c>
      <c r="K3796">
        <v>1.110201</v>
      </c>
      <c r="L3796">
        <v>214.45050000000001</v>
      </c>
      <c r="M3796">
        <v>0.99983820000000001</v>
      </c>
      <c r="N3796">
        <v>-1.4757549999999999E-2</v>
      </c>
      <c r="O3796">
        <v>1.030262E-2</v>
      </c>
      <c r="P3796">
        <v>0.98311369999999998</v>
      </c>
      <c r="Q3796">
        <v>0.177147</v>
      </c>
      <c r="R3796">
        <v>4.5899790000000003E-2</v>
      </c>
      <c r="S3796">
        <v>3.0629270000000002</v>
      </c>
      <c r="T3796">
        <v>-9.6080780000000005E-2</v>
      </c>
      <c r="U3796">
        <v>0.1238708</v>
      </c>
      <c r="V3796">
        <v>-3.5760590000000002E-2</v>
      </c>
      <c r="W3796">
        <v>0.19164320000000001</v>
      </c>
      <c r="X3796">
        <v>0.98081300000000005</v>
      </c>
      <c r="Y3796">
        <v>-3.0091159999999999E-2</v>
      </c>
      <c r="Z3796">
        <v>5.2290219999999996E-4</v>
      </c>
      <c r="AA3796">
        <v>0.99954699999999996</v>
      </c>
      <c r="AB3796">
        <v>36</v>
      </c>
      <c r="AC3796">
        <v>35.036699999999897</v>
      </c>
      <c r="AD3796">
        <v>-1.1102003082133001</v>
      </c>
      <c r="AE3796">
        <v>1.42759999999998</v>
      </c>
      <c r="AF3796">
        <v>-1.0654471690968801</v>
      </c>
      <c r="AG3796">
        <v>-1.1102003082133001</v>
      </c>
      <c r="AH3796">
        <v>35.014451631402203</v>
      </c>
      <c r="AI3796">
        <v>91.815224491364006</v>
      </c>
      <c r="AJ3796">
        <v>91.742903080412304</v>
      </c>
      <c r="AK3796">
        <v>35.048245968126601</v>
      </c>
      <c r="AL3796">
        <v>78.951305407012498</v>
      </c>
      <c r="AM3796">
        <v>92.088087834270297</v>
      </c>
      <c r="AN3796">
        <v>1.00000003843619</v>
      </c>
    </row>
    <row r="3797" spans="1:40" x14ac:dyDescent="0.25">
      <c r="A3797" t="str">
        <f>"20190304155708332"</f>
        <v>20190304155708332</v>
      </c>
      <c r="B3797" t="str">
        <f>"1551686228328771"</f>
        <v>1551686228328771</v>
      </c>
      <c r="C3797" t="s">
        <v>40</v>
      </c>
      <c r="D3797">
        <v>4.695773</v>
      </c>
      <c r="E3797">
        <v>0.49933670000000002</v>
      </c>
      <c r="F3797" t="s">
        <v>55</v>
      </c>
      <c r="G3797">
        <v>-233.67019999999999</v>
      </c>
      <c r="H3797" s="1">
        <v>3.5842380000000002E-7</v>
      </c>
      <c r="I3797">
        <v>215.94120000000001</v>
      </c>
      <c r="J3797">
        <v>-269.06360000000001</v>
      </c>
      <c r="K3797">
        <v>1.1102000000000001</v>
      </c>
      <c r="L3797">
        <v>214.45320000000001</v>
      </c>
      <c r="M3797">
        <v>0.99983820000000001</v>
      </c>
      <c r="N3797">
        <v>-1.47545E-2</v>
      </c>
      <c r="O3797">
        <v>1.030264E-2</v>
      </c>
      <c r="P3797">
        <v>0.98304860000000005</v>
      </c>
      <c r="Q3797">
        <v>0.1774945</v>
      </c>
      <c r="R3797">
        <v>4.5950079999999997E-2</v>
      </c>
      <c r="S3797">
        <v>3.0627140000000002</v>
      </c>
      <c r="T3797">
        <v>-9.5356819999999995E-2</v>
      </c>
      <c r="U3797">
        <v>0.1280365</v>
      </c>
      <c r="V3797">
        <v>-3.5811460000000003E-2</v>
      </c>
      <c r="W3797">
        <v>0.1919872</v>
      </c>
      <c r="X3797">
        <v>0.98074380000000005</v>
      </c>
      <c r="Y3797">
        <v>-3.1450390000000002E-2</v>
      </c>
      <c r="Z3797">
        <v>5.5289399999999995E-4</v>
      </c>
      <c r="AA3797">
        <v>0.99950519999999998</v>
      </c>
      <c r="AB3797">
        <v>36</v>
      </c>
      <c r="AC3797">
        <v>35.3934</v>
      </c>
      <c r="AD3797">
        <v>-1.1101996415761901</v>
      </c>
      <c r="AE3797">
        <v>1.48799999999999</v>
      </c>
      <c r="AF3797">
        <v>-1.12213376568426</v>
      </c>
      <c r="AG3797">
        <v>-1.1101996415761901</v>
      </c>
      <c r="AH3797">
        <v>35.372111385493803</v>
      </c>
      <c r="AI3797">
        <v>91.796808949970796</v>
      </c>
      <c r="AJ3797">
        <v>91.817023953318497</v>
      </c>
      <c r="AK3797">
        <v>35.407315505415298</v>
      </c>
      <c r="AL3797">
        <v>78.931222017267501</v>
      </c>
      <c r="AM3797">
        <v>92.0912029481334</v>
      </c>
      <c r="AN3797">
        <v>0.99999997343480496</v>
      </c>
    </row>
    <row r="3798" spans="1:40" x14ac:dyDescent="0.25">
      <c r="A3798" t="str">
        <f>"20190304155708344"</f>
        <v>20190304155708344</v>
      </c>
      <c r="B3798" t="str">
        <f>"1551686228338532"</f>
        <v>1551686228338532</v>
      </c>
      <c r="C3798" t="s">
        <v>40</v>
      </c>
      <c r="D3798">
        <v>4.720955</v>
      </c>
      <c r="E3798">
        <v>0.49933670000000002</v>
      </c>
      <c r="F3798" t="s">
        <v>55</v>
      </c>
      <c r="G3798">
        <v>-232.79820000000001</v>
      </c>
      <c r="H3798" s="1">
        <v>-1.0796659999999999E-7</v>
      </c>
      <c r="I3798">
        <v>215.995</v>
      </c>
      <c r="J3798">
        <v>-268.85050000000001</v>
      </c>
      <c r="K3798">
        <v>1.1101989999999999</v>
      </c>
      <c r="L3798">
        <v>214.4554</v>
      </c>
      <c r="M3798">
        <v>0.99983809999999995</v>
      </c>
      <c r="N3798">
        <v>-1.4752039999999999E-2</v>
      </c>
      <c r="O3798">
        <v>1.030266E-2</v>
      </c>
      <c r="P3798">
        <v>0.98302529999999999</v>
      </c>
      <c r="Q3798">
        <v>0.17755570000000001</v>
      </c>
      <c r="R3798">
        <v>4.6209720000000003E-2</v>
      </c>
      <c r="S3798">
        <v>3.0625610000000001</v>
      </c>
      <c r="T3798">
        <v>-9.3754889999999994E-2</v>
      </c>
      <c r="U3798">
        <v>0.13020319999999999</v>
      </c>
      <c r="V3798">
        <v>-3.607105E-2</v>
      </c>
      <c r="W3798">
        <v>0.1920461</v>
      </c>
      <c r="X3798">
        <v>0.98072280000000001</v>
      </c>
      <c r="Y3798">
        <v>-3.215838E-2</v>
      </c>
      <c r="Z3798">
        <v>5.6605849999999999E-4</v>
      </c>
      <c r="AA3798">
        <v>0.9994826</v>
      </c>
      <c r="AB3798">
        <v>36</v>
      </c>
      <c r="AC3798">
        <v>36.052300000000002</v>
      </c>
      <c r="AD3798">
        <v>-1.1101991079666</v>
      </c>
      <c r="AE3798">
        <v>1.5396000000000001</v>
      </c>
      <c r="AF3798">
        <v>-1.1669386883844</v>
      </c>
      <c r="AG3798">
        <v>-1.1101991079666</v>
      </c>
      <c r="AH3798">
        <v>36.032143552840601</v>
      </c>
      <c r="AI3798">
        <v>91.763877985524601</v>
      </c>
      <c r="AJ3798">
        <v>91.854935459516</v>
      </c>
      <c r="AK3798">
        <v>36.068125221229501</v>
      </c>
      <c r="AL3798">
        <v>78.927783804602498</v>
      </c>
      <c r="AM3798">
        <v>92.106393110496299</v>
      </c>
      <c r="AN3798">
        <v>1.00000001780657</v>
      </c>
    </row>
    <row r="3799" spans="1:40" x14ac:dyDescent="0.25">
      <c r="A3799" t="str">
        <f>"20190304155708359"</f>
        <v>20190304155708359</v>
      </c>
      <c r="B3799" t="str">
        <f>"1551686228348292"</f>
        <v>1551686228348292</v>
      </c>
      <c r="C3799" t="s">
        <v>40</v>
      </c>
      <c r="D3799">
        <v>4.6711769999999904</v>
      </c>
      <c r="E3799">
        <v>0.47867609999999999</v>
      </c>
      <c r="F3799" t="s">
        <v>55</v>
      </c>
      <c r="G3799">
        <v>-232.51429999999999</v>
      </c>
      <c r="H3799" s="1">
        <v>-2.5981879999999999E-7</v>
      </c>
      <c r="I3799">
        <v>216.012</v>
      </c>
      <c r="J3799">
        <v>-268.61399999999998</v>
      </c>
      <c r="K3799">
        <v>1.110201</v>
      </c>
      <c r="L3799">
        <v>214.4579</v>
      </c>
      <c r="M3799">
        <v>0.99983820000000001</v>
      </c>
      <c r="N3799">
        <v>-1.4749399999999999E-2</v>
      </c>
      <c r="O3799">
        <v>1.030268E-2</v>
      </c>
      <c r="P3799">
        <v>0.98300100000000001</v>
      </c>
      <c r="Q3799">
        <v>0.1777087</v>
      </c>
      <c r="R3799">
        <v>4.6137110000000002E-2</v>
      </c>
      <c r="S3799">
        <v>3.0625309999999999</v>
      </c>
      <c r="T3799">
        <v>-9.3571189999999999E-2</v>
      </c>
      <c r="U3799">
        <v>0.13119510000000001</v>
      </c>
      <c r="V3799">
        <v>-3.5998429999999998E-2</v>
      </c>
      <c r="W3799">
        <v>0.1921959</v>
      </c>
      <c r="X3799">
        <v>0.98069609999999996</v>
      </c>
      <c r="Y3799">
        <v>-3.248173E-2</v>
      </c>
      <c r="Z3799">
        <v>5.7296639999999998E-4</v>
      </c>
      <c r="AA3799">
        <v>0.99947209999999997</v>
      </c>
      <c r="AB3799">
        <v>36</v>
      </c>
      <c r="AC3799">
        <v>36.099699999999999</v>
      </c>
      <c r="AD3799">
        <v>-1.1102012598188</v>
      </c>
      <c r="AE3799">
        <v>1.5541</v>
      </c>
      <c r="AF3799">
        <v>-1.18093854491427</v>
      </c>
      <c r="AG3799">
        <v>-1.1102012598188</v>
      </c>
      <c r="AH3799">
        <v>36.079735915387602</v>
      </c>
      <c r="AI3799">
        <v>91.761536382470396</v>
      </c>
      <c r="AJ3799">
        <v>91.874699051258503</v>
      </c>
      <c r="AK3799">
        <v>36.116125296164803</v>
      </c>
      <c r="AL3799">
        <v>78.919037725498399</v>
      </c>
      <c r="AM3799">
        <v>92.102213406485504</v>
      </c>
      <c r="AN3799">
        <v>0.99999999574724197</v>
      </c>
    </row>
    <row r="3800" spans="1:40" x14ac:dyDescent="0.25">
      <c r="A3800" t="str">
        <f>"20190304155708376"</f>
        <v>20190304155708376</v>
      </c>
      <c r="B3800" t="str">
        <f>"1551686228368383"</f>
        <v>1551686228368383</v>
      </c>
      <c r="C3800" t="s">
        <v>40</v>
      </c>
      <c r="D3800">
        <v>4.6975619999999996</v>
      </c>
      <c r="E3800">
        <v>0.47544380000000003</v>
      </c>
      <c r="F3800" t="s">
        <v>55</v>
      </c>
      <c r="G3800">
        <v>-244.67779999999999</v>
      </c>
      <c r="H3800" s="1">
        <v>8.5883020000000001E-7</v>
      </c>
      <c r="I3800">
        <v>216.75919999999999</v>
      </c>
      <c r="J3800">
        <v>-268.35250000000002</v>
      </c>
      <c r="K3800">
        <v>1.1102000000000001</v>
      </c>
      <c r="L3800">
        <v>214.4606</v>
      </c>
      <c r="M3800">
        <v>0.99983809999999995</v>
      </c>
      <c r="N3800">
        <v>-1.4746499999999999E-2</v>
      </c>
      <c r="O3800">
        <v>1.0302820000000001E-2</v>
      </c>
      <c r="P3800">
        <v>0.98296700000000004</v>
      </c>
      <c r="Q3800">
        <v>0.1778477</v>
      </c>
      <c r="R3800">
        <v>4.6324980000000002E-2</v>
      </c>
      <c r="S3800">
        <v>3.0637509999999999</v>
      </c>
      <c r="T3800">
        <v>-0.14210159999999999</v>
      </c>
      <c r="U3800">
        <v>0.29455569999999998</v>
      </c>
      <c r="V3800">
        <v>-3.6186370000000002E-2</v>
      </c>
      <c r="W3800">
        <v>0.1923311</v>
      </c>
      <c r="X3800">
        <v>0.9806627</v>
      </c>
      <c r="Y3800">
        <v>-8.5324239999999996E-2</v>
      </c>
      <c r="Z3800">
        <v>2.2792860000000002E-3</v>
      </c>
      <c r="AA3800">
        <v>0.99635059999999998</v>
      </c>
      <c r="AB3800">
        <v>36</v>
      </c>
      <c r="AC3800">
        <v>23.674700000000001</v>
      </c>
      <c r="AD3800">
        <v>-1.1101991411698</v>
      </c>
      <c r="AE3800">
        <v>2.2985999999999902</v>
      </c>
      <c r="AF3800">
        <v>-2.0500691754603202</v>
      </c>
      <c r="AG3800">
        <v>-1.1101991411698</v>
      </c>
      <c r="AH3800">
        <v>23.6456157905255</v>
      </c>
      <c r="AI3800">
        <v>92.678121561530403</v>
      </c>
      <c r="AJ3800">
        <v>94.955139352201201</v>
      </c>
      <c r="AK3800">
        <v>23.7602708711491</v>
      </c>
      <c r="AL3800">
        <v>78.911144319840503</v>
      </c>
      <c r="AM3800">
        <v>92.113250589299298</v>
      </c>
      <c r="AN3800">
        <v>1.0000000182861299</v>
      </c>
    </row>
    <row r="3801" spans="1:40" x14ac:dyDescent="0.25">
      <c r="A3801" t="str">
        <f>"20190304155708392"</f>
        <v>20190304155708392</v>
      </c>
      <c r="B3801" t="str">
        <f>"1551686228387903"</f>
        <v>1551686228387903</v>
      </c>
      <c r="C3801" t="s">
        <v>40</v>
      </c>
      <c r="D3801">
        <v>4.7026870000000001</v>
      </c>
      <c r="E3801">
        <v>0.47470859999999898</v>
      </c>
      <c r="F3801" t="s">
        <v>55</v>
      </c>
      <c r="G3801">
        <v>-245.27860000000001</v>
      </c>
      <c r="H3801" s="1">
        <v>1.1735010000000001E-6</v>
      </c>
      <c r="I3801">
        <v>216.8751</v>
      </c>
      <c r="J3801">
        <v>-268.08600000000001</v>
      </c>
      <c r="K3801">
        <v>1.110204</v>
      </c>
      <c r="L3801">
        <v>214.4633</v>
      </c>
      <c r="M3801">
        <v>0.99983820000000001</v>
      </c>
      <c r="N3801">
        <v>-1.4743539999999999E-2</v>
      </c>
      <c r="O3801">
        <v>1.0302840000000001E-2</v>
      </c>
      <c r="P3801">
        <v>0.98294250000000005</v>
      </c>
      <c r="Q3801">
        <v>0.1779521</v>
      </c>
      <c r="R3801">
        <v>4.6444270000000003E-2</v>
      </c>
      <c r="S3801">
        <v>3.0635680000000001</v>
      </c>
      <c r="T3801">
        <v>-0.1474037</v>
      </c>
      <c r="U3801">
        <v>0.32058720000000002</v>
      </c>
      <c r="V3801">
        <v>-3.6306270000000002E-2</v>
      </c>
      <c r="W3801">
        <v>0.19243270000000001</v>
      </c>
      <c r="X3801">
        <v>0.98063829999999996</v>
      </c>
      <c r="Y3801">
        <v>-9.3688480000000005E-2</v>
      </c>
      <c r="Z3801">
        <v>2.5970139999999999E-3</v>
      </c>
      <c r="AA3801">
        <v>0.99559819999999999</v>
      </c>
      <c r="AB3801">
        <v>36</v>
      </c>
      <c r="AC3801">
        <v>22.807400000000001</v>
      </c>
      <c r="AD3801">
        <v>-1.110202826499</v>
      </c>
      <c r="AE3801">
        <v>2.4117999999999902</v>
      </c>
      <c r="AF3801">
        <v>-2.1715768155474602</v>
      </c>
      <c r="AG3801">
        <v>-1.110202826499</v>
      </c>
      <c r="AH3801">
        <v>22.777665928063801</v>
      </c>
      <c r="AI3801">
        <v>92.777860716183994</v>
      </c>
      <c r="AJ3801">
        <v>95.446003901335303</v>
      </c>
      <c r="AK3801">
        <v>22.907866799688499</v>
      </c>
      <c r="AL3801">
        <v>78.905211854861605</v>
      </c>
      <c r="AM3801">
        <v>92.120298965790198</v>
      </c>
      <c r="AN3801">
        <v>0.99999998234874599</v>
      </c>
    </row>
    <row r="3802" spans="1:40" x14ac:dyDescent="0.25">
      <c r="A3802" t="str">
        <f>"20190304155708409"</f>
        <v>20190304155708409</v>
      </c>
      <c r="B3802" t="str">
        <f>"1551686228398639"</f>
        <v>1551686228398639</v>
      </c>
      <c r="C3802" t="s">
        <v>40</v>
      </c>
      <c r="D3802">
        <v>4.6583160000000001</v>
      </c>
      <c r="E3802">
        <v>0.4738001</v>
      </c>
      <c r="F3802" t="s">
        <v>55</v>
      </c>
      <c r="G3802">
        <v>-245.02879999999999</v>
      </c>
      <c r="H3802" s="1">
        <v>1.0387439999999901E-6</v>
      </c>
      <c r="I3802">
        <v>216.91650000000001</v>
      </c>
      <c r="J3802">
        <v>-267.81400000000002</v>
      </c>
      <c r="K3802">
        <v>1.1102019999999999</v>
      </c>
      <c r="L3802">
        <v>214.46610000000001</v>
      </c>
      <c r="M3802">
        <v>0.99983829999999996</v>
      </c>
      <c r="N3802">
        <v>-1.474046E-2</v>
      </c>
      <c r="O3802">
        <v>1.0303039999999999E-2</v>
      </c>
      <c r="P3802">
        <v>0.98289459999999995</v>
      </c>
      <c r="Q3802">
        <v>0.1781556</v>
      </c>
      <c r="R3802">
        <v>4.6682250000000002E-2</v>
      </c>
      <c r="S3802">
        <v>3.0633539999999999</v>
      </c>
      <c r="T3802">
        <v>-0.1475002</v>
      </c>
      <c r="U3802">
        <v>0.32592769999999999</v>
      </c>
      <c r="V3802">
        <v>-3.6544699999999902E-2</v>
      </c>
      <c r="W3802">
        <v>0.19263250000000001</v>
      </c>
      <c r="X3802">
        <v>0.98059019999999997</v>
      </c>
      <c r="Y3802">
        <v>-9.5409209999999994E-2</v>
      </c>
      <c r="Z3802">
        <v>2.6520039999999999E-3</v>
      </c>
      <c r="AA3802">
        <v>0.99543459999999995</v>
      </c>
      <c r="AB3802">
        <v>36</v>
      </c>
      <c r="AC3802">
        <v>22.7852</v>
      </c>
      <c r="AD3802">
        <v>-1.110200961256</v>
      </c>
      <c r="AE3802">
        <v>2.4504000000000001</v>
      </c>
      <c r="AF3802">
        <v>-2.2103001225357302</v>
      </c>
      <c r="AG3802">
        <v>-1.110200961256</v>
      </c>
      <c r="AH3802">
        <v>22.7558329073632</v>
      </c>
      <c r="AI3802">
        <v>92.780042455077293</v>
      </c>
      <c r="AJ3802">
        <v>95.547801551936203</v>
      </c>
      <c r="AK3802">
        <v>22.8898646591431</v>
      </c>
      <c r="AL3802">
        <v>78.893545730248206</v>
      </c>
      <c r="AM3802">
        <v>92.134315118071399</v>
      </c>
      <c r="AN3802">
        <v>0.99999996774518896</v>
      </c>
    </row>
    <row r="3803" spans="1:40" x14ac:dyDescent="0.25">
      <c r="A3803" t="str">
        <f>"20190304155708422"</f>
        <v>20190304155708422</v>
      </c>
      <c r="B3803" t="str">
        <f>"1551686228418159"</f>
        <v>1551686228418159</v>
      </c>
      <c r="C3803" t="s">
        <v>40</v>
      </c>
      <c r="D3803">
        <v>4.7377909999999996</v>
      </c>
      <c r="E3803">
        <v>0.47308349999999999</v>
      </c>
      <c r="F3803" t="s">
        <v>55</v>
      </c>
      <c r="G3803">
        <v>-244.37139999999999</v>
      </c>
      <c r="H3803" s="1">
        <v>6.8423809999999998E-7</v>
      </c>
      <c r="I3803">
        <v>217.02289999999999</v>
      </c>
      <c r="J3803">
        <v>-267.61649999999997</v>
      </c>
      <c r="K3803">
        <v>1.1102019999999999</v>
      </c>
      <c r="L3803">
        <v>214.4682</v>
      </c>
      <c r="M3803">
        <v>0.99983840000000002</v>
      </c>
      <c r="N3803">
        <v>-1.473822E-2</v>
      </c>
      <c r="O3803">
        <v>1.030288E-2</v>
      </c>
      <c r="P3803">
        <v>0.98289300000000002</v>
      </c>
      <c r="Q3803">
        <v>0.17817179999999999</v>
      </c>
      <c r="R3803">
        <v>4.6651280000000003E-2</v>
      </c>
      <c r="S3803">
        <v>3.062592</v>
      </c>
      <c r="T3803">
        <v>-0.14503869999999999</v>
      </c>
      <c r="U3803">
        <v>0.3340302</v>
      </c>
      <c r="V3803">
        <v>-3.6513730000000001E-2</v>
      </c>
      <c r="W3803">
        <v>0.1926465</v>
      </c>
      <c r="X3803">
        <v>0.98058860000000003</v>
      </c>
      <c r="Y3803">
        <v>-9.8038490000000006E-2</v>
      </c>
      <c r="Z3803">
        <v>2.7037039999999999E-3</v>
      </c>
      <c r="AA3803">
        <v>0.99517889999999998</v>
      </c>
      <c r="AB3803">
        <v>36</v>
      </c>
      <c r="AC3803">
        <v>23.245099999999901</v>
      </c>
      <c r="AD3803">
        <v>-1.1102013157619</v>
      </c>
      <c r="AE3803">
        <v>2.5546999999999902</v>
      </c>
      <c r="AF3803">
        <v>-2.30984085784453</v>
      </c>
      <c r="AG3803">
        <v>-1.1102013157619</v>
      </c>
      <c r="AH3803">
        <v>23.217859857628198</v>
      </c>
      <c r="AI3803">
        <v>92.724182092467501</v>
      </c>
      <c r="AJ3803">
        <v>95.6814059691295</v>
      </c>
      <c r="AK3803">
        <v>23.358872578070802</v>
      </c>
      <c r="AL3803">
        <v>78.892728240982194</v>
      </c>
      <c r="AM3803">
        <v>92.132511528381997</v>
      </c>
      <c r="AN3803">
        <v>0.99999996444535999</v>
      </c>
    </row>
    <row r="3804" spans="1:40" x14ac:dyDescent="0.25">
      <c r="A3804" t="str">
        <f>"20190304155708435"</f>
        <v>20190304155708435</v>
      </c>
      <c r="B3804" t="str">
        <f>"1551686228427919"</f>
        <v>1551686228427919</v>
      </c>
      <c r="C3804" t="s">
        <v>40</v>
      </c>
      <c r="D3804">
        <v>4.6995259999999996</v>
      </c>
      <c r="E3804">
        <v>0.47341689999999997</v>
      </c>
      <c r="F3804" t="s">
        <v>55</v>
      </c>
      <c r="G3804">
        <v>-245.23679999999999</v>
      </c>
      <c r="H3804" s="1">
        <v>1.148037E-6</v>
      </c>
      <c r="I3804">
        <v>216.9487</v>
      </c>
      <c r="J3804">
        <v>-267.40809999999999</v>
      </c>
      <c r="K3804">
        <v>1.1101989999999999</v>
      </c>
      <c r="L3804">
        <v>214.47030000000001</v>
      </c>
      <c r="M3804">
        <v>0.99983829999999996</v>
      </c>
      <c r="N3804">
        <v>-1.473586E-2</v>
      </c>
      <c r="O3804">
        <v>1.03029E-2</v>
      </c>
      <c r="P3804">
        <v>0.98290730000000004</v>
      </c>
      <c r="Q3804">
        <v>0.17810019999999999</v>
      </c>
      <c r="R3804">
        <v>4.6622669999999998E-2</v>
      </c>
      <c r="S3804">
        <v>3.06366</v>
      </c>
      <c r="T3804">
        <v>-0.1519808</v>
      </c>
      <c r="U3804">
        <v>0.33956910000000001</v>
      </c>
      <c r="V3804">
        <v>-3.6484820000000001E-2</v>
      </c>
      <c r="W3804">
        <v>0.1925731</v>
      </c>
      <c r="X3804">
        <v>0.98060409999999998</v>
      </c>
      <c r="Y3804">
        <v>-9.9764569999999997E-2</v>
      </c>
      <c r="Z3804">
        <v>2.8455799999999999E-3</v>
      </c>
      <c r="AA3804">
        <v>0.99500699999999997</v>
      </c>
      <c r="AB3804">
        <v>36</v>
      </c>
      <c r="AC3804">
        <v>22.171299999999999</v>
      </c>
      <c r="AD3804">
        <v>-1.110197851963</v>
      </c>
      <c r="AE3804">
        <v>2.4783999999999899</v>
      </c>
      <c r="AF3804">
        <v>-2.2442571905661599</v>
      </c>
      <c r="AG3804">
        <v>-1.110197851963</v>
      </c>
      <c r="AH3804">
        <v>22.1408303390984</v>
      </c>
      <c r="AI3804">
        <v>92.855943049248694</v>
      </c>
      <c r="AJ3804">
        <v>95.787893874558804</v>
      </c>
      <c r="AK3804">
        <v>22.281956774768499</v>
      </c>
      <c r="AL3804">
        <v>78.897014073341197</v>
      </c>
      <c r="AM3804">
        <v>92.130791004537798</v>
      </c>
      <c r="AN3804">
        <v>0.99999997093542503</v>
      </c>
    </row>
    <row r="3805" spans="1:40" x14ac:dyDescent="0.25">
      <c r="A3805" t="str">
        <f>"20190304155708448"</f>
        <v>20190304155708448</v>
      </c>
      <c r="B3805" t="str">
        <f>"1551686228438655"</f>
        <v>1551686228438655</v>
      </c>
      <c r="C3805" t="s">
        <v>40</v>
      </c>
      <c r="D3805">
        <v>4.7181680000000004</v>
      </c>
      <c r="E3805">
        <v>0.47294999999999998</v>
      </c>
      <c r="F3805" t="s">
        <v>55</v>
      </c>
      <c r="G3805">
        <v>-244.46770000000001</v>
      </c>
      <c r="H3805" s="1">
        <v>7.3689070000000003E-7</v>
      </c>
      <c r="I3805">
        <v>216.9915</v>
      </c>
      <c r="J3805">
        <v>-267.18939999999998</v>
      </c>
      <c r="K3805">
        <v>1.110206</v>
      </c>
      <c r="L3805">
        <v>214.4726</v>
      </c>
      <c r="M3805">
        <v>0.99983849999999996</v>
      </c>
      <c r="N3805">
        <v>-1.4733380000000001E-2</v>
      </c>
      <c r="O3805">
        <v>1.030292E-2</v>
      </c>
      <c r="P3805">
        <v>0.98295160000000004</v>
      </c>
      <c r="Q3805">
        <v>0.177790899999999</v>
      </c>
      <c r="R3805">
        <v>4.6872850000000001E-2</v>
      </c>
      <c r="S3805">
        <v>3.0630799999999998</v>
      </c>
      <c r="T3805">
        <v>-0.1482376</v>
      </c>
      <c r="U3805">
        <v>0.33663939999999998</v>
      </c>
      <c r="V3805">
        <v>-3.6734919999999997E-2</v>
      </c>
      <c r="W3805">
        <v>0.19226190000000001</v>
      </c>
      <c r="X3805">
        <v>0.98065579999999997</v>
      </c>
      <c r="Y3805">
        <v>-9.8852620000000002E-2</v>
      </c>
      <c r="Z3805">
        <v>2.768979E-3</v>
      </c>
      <c r="AA3805">
        <v>0.99509820000000004</v>
      </c>
      <c r="AB3805">
        <v>36</v>
      </c>
      <c r="AC3805">
        <v>22.721699999999899</v>
      </c>
      <c r="AD3805">
        <v>-1.1102052631093</v>
      </c>
      <c r="AE3805">
        <v>2.5188999999999999</v>
      </c>
      <c r="AF3805">
        <v>-2.2792655831924402</v>
      </c>
      <c r="AG3805">
        <v>-1.1102052631093</v>
      </c>
      <c r="AH3805">
        <v>22.692929258656999</v>
      </c>
      <c r="AI3805">
        <v>92.786846541054501</v>
      </c>
      <c r="AJ3805">
        <v>95.735522012052101</v>
      </c>
      <c r="AK3805">
        <v>22.834111448956602</v>
      </c>
      <c r="AL3805">
        <v>78.915183772607904</v>
      </c>
      <c r="AM3805">
        <v>92.145270774942205</v>
      </c>
      <c r="AN3805">
        <v>0.99999994530632597</v>
      </c>
    </row>
    <row r="3806" spans="1:40" x14ac:dyDescent="0.25">
      <c r="A3806" t="str">
        <f>"20190304155708468"</f>
        <v>20190304155708468</v>
      </c>
      <c r="B3806" t="str">
        <f>"1551686228458758"</f>
        <v>1551686228458758</v>
      </c>
      <c r="C3806" t="s">
        <v>40</v>
      </c>
      <c r="D3806">
        <v>4.7128410000000001</v>
      </c>
      <c r="E3806">
        <v>0.4722499</v>
      </c>
      <c r="F3806" t="s">
        <v>55</v>
      </c>
      <c r="G3806">
        <v>-244.809</v>
      </c>
      <c r="H3806" s="1">
        <v>9.1972860000000005E-7</v>
      </c>
      <c r="I3806">
        <v>216.9633</v>
      </c>
      <c r="J3806">
        <v>-266.88589999999999</v>
      </c>
      <c r="K3806">
        <v>1.110204</v>
      </c>
      <c r="L3806">
        <v>214.47569999999999</v>
      </c>
      <c r="M3806">
        <v>0.99983849999999996</v>
      </c>
      <c r="N3806">
        <v>-1.473001E-2</v>
      </c>
      <c r="O3806">
        <v>1.030295E-2</v>
      </c>
      <c r="P3806">
        <v>0.98290940000000004</v>
      </c>
      <c r="Q3806">
        <v>0.17798079999999999</v>
      </c>
      <c r="R3806">
        <v>4.7032619999999997E-2</v>
      </c>
      <c r="S3806">
        <v>3.0632630000000001</v>
      </c>
      <c r="T3806">
        <v>-0.1519566</v>
      </c>
      <c r="U3806">
        <v>0.34091189999999999</v>
      </c>
      <c r="V3806">
        <v>-3.6894879999999998E-2</v>
      </c>
      <c r="W3806">
        <v>0.19244720000000001</v>
      </c>
      <c r="X3806">
        <v>0.98061350000000003</v>
      </c>
      <c r="Y3806">
        <v>-0.1002088</v>
      </c>
      <c r="Z3806">
        <v>2.8593960000000002E-3</v>
      </c>
      <c r="AA3806">
        <v>0.99496229999999997</v>
      </c>
      <c r="AB3806">
        <v>36</v>
      </c>
      <c r="AC3806">
        <v>22.076899999999899</v>
      </c>
      <c r="AD3806">
        <v>-1.1102030802714</v>
      </c>
      <c r="AE3806">
        <v>2.4876000000000098</v>
      </c>
      <c r="AF3806">
        <v>-2.2543565499698102</v>
      </c>
      <c r="AG3806">
        <v>-1.1102030802714</v>
      </c>
      <c r="AH3806">
        <v>22.046306838150901</v>
      </c>
      <c r="AI3806">
        <v>92.867923426666906</v>
      </c>
      <c r="AJ3806">
        <v>95.838516560198102</v>
      </c>
      <c r="AK3806">
        <v>22.189058554515899</v>
      </c>
      <c r="AL3806">
        <v>78.9043654027098</v>
      </c>
      <c r="AM3806">
        <v>92.154696296315507</v>
      </c>
      <c r="AN3806">
        <v>0.99999999667015205</v>
      </c>
    </row>
    <row r="3807" spans="1:40" x14ac:dyDescent="0.25">
      <c r="A3807" t="str">
        <f>"20190304155708483"</f>
        <v>20190304155708483</v>
      </c>
      <c r="B3807" t="str">
        <f>"1551686228478278"</f>
        <v>1551686228478278</v>
      </c>
      <c r="C3807" t="s">
        <v>40</v>
      </c>
      <c r="D3807">
        <v>4.6767649999999996</v>
      </c>
      <c r="E3807">
        <v>0.4722961</v>
      </c>
      <c r="F3807" t="s">
        <v>55</v>
      </c>
      <c r="G3807">
        <v>-245.00020000000001</v>
      </c>
      <c r="H3807" s="1">
        <v>1.021873E-6</v>
      </c>
      <c r="I3807">
        <v>216.95429999999999</v>
      </c>
      <c r="J3807">
        <v>-266.64819999999997</v>
      </c>
      <c r="K3807">
        <v>1.1102050000000001</v>
      </c>
      <c r="L3807">
        <v>214.47810000000001</v>
      </c>
      <c r="M3807">
        <v>0.99983860000000002</v>
      </c>
      <c r="N3807">
        <v>-1.472739E-2</v>
      </c>
      <c r="O3807">
        <v>1.030296E-2</v>
      </c>
      <c r="P3807">
        <v>0.98296539999999999</v>
      </c>
      <c r="Q3807">
        <v>0.1776316</v>
      </c>
      <c r="R3807">
        <v>4.718617E-2</v>
      </c>
      <c r="S3807">
        <v>3.06366</v>
      </c>
      <c r="T3807">
        <v>-0.15541150000000001</v>
      </c>
      <c r="U3807">
        <v>0.34696959999999999</v>
      </c>
      <c r="V3807">
        <v>-3.7048030000000003E-2</v>
      </c>
      <c r="W3807">
        <v>0.19209670000000001</v>
      </c>
      <c r="X3807">
        <v>0.98067649999999995</v>
      </c>
      <c r="Y3807">
        <v>-0.1021282</v>
      </c>
      <c r="Z3807">
        <v>2.9662009999999999E-3</v>
      </c>
      <c r="AA3807">
        <v>0.99476679999999995</v>
      </c>
      <c r="AB3807">
        <v>36</v>
      </c>
      <c r="AC3807">
        <v>21.6479999999999</v>
      </c>
      <c r="AD3807">
        <v>-1.1102039781269999</v>
      </c>
      <c r="AE3807">
        <v>2.4761999999999702</v>
      </c>
      <c r="AF3807">
        <v>-2.2471719768947902</v>
      </c>
      <c r="AG3807">
        <v>-1.1102039781269999</v>
      </c>
      <c r="AH3807">
        <v>21.616247344088599</v>
      </c>
      <c r="AI3807">
        <v>92.924378613899606</v>
      </c>
      <c r="AJ3807">
        <v>95.935009548634497</v>
      </c>
      <c r="AK3807">
        <v>21.7610772713027</v>
      </c>
      <c r="AL3807">
        <v>78.924829974857701</v>
      </c>
      <c r="AM3807">
        <v>92.163493057341697</v>
      </c>
      <c r="AN3807">
        <v>1.000000048165</v>
      </c>
    </row>
    <row r="3808" spans="1:40" x14ac:dyDescent="0.25">
      <c r="A3808" t="str">
        <f>"20190304155708505"</f>
        <v>20190304155708505</v>
      </c>
      <c r="B3808" t="str">
        <f>"1551686228498774"</f>
        <v>1551686228498774</v>
      </c>
      <c r="C3808" t="s">
        <v>40</v>
      </c>
      <c r="D3808">
        <v>4.7173170000000004</v>
      </c>
      <c r="E3808">
        <v>0.47240759999999998</v>
      </c>
      <c r="F3808" t="s">
        <v>55</v>
      </c>
      <c r="G3808">
        <v>-245.31120000000001</v>
      </c>
      <c r="H3808" s="1">
        <v>1.189938E-6</v>
      </c>
      <c r="I3808">
        <v>216.89570000000001</v>
      </c>
      <c r="J3808">
        <v>-266.28960000000001</v>
      </c>
      <c r="K3808">
        <v>1.1102099999999999</v>
      </c>
      <c r="L3808">
        <v>214.48179999999999</v>
      </c>
      <c r="M3808">
        <v>0.99983860000000002</v>
      </c>
      <c r="N3808">
        <v>-1.4723460000000001E-2</v>
      </c>
      <c r="O3808">
        <v>1.030317E-2</v>
      </c>
      <c r="P3808">
        <v>0.98297679999999998</v>
      </c>
      <c r="Q3808">
        <v>0.17757539999999999</v>
      </c>
      <c r="R3808">
        <v>4.7157530000000003E-2</v>
      </c>
      <c r="S3808">
        <v>3.0641479999999999</v>
      </c>
      <c r="T3808">
        <v>-0.15943360000000001</v>
      </c>
      <c r="U3808">
        <v>0.34718320000000003</v>
      </c>
      <c r="V3808">
        <v>-3.7018540000000003E-2</v>
      </c>
      <c r="W3808">
        <v>0.19203729999999999</v>
      </c>
      <c r="X3808">
        <v>0.98068920000000004</v>
      </c>
      <c r="Y3808">
        <v>-0.1021714</v>
      </c>
      <c r="Z3808">
        <v>3.020315E-3</v>
      </c>
      <c r="AA3808">
        <v>0.99476220000000004</v>
      </c>
      <c r="AB3808">
        <v>36</v>
      </c>
      <c r="AC3808">
        <v>20.978399999999901</v>
      </c>
      <c r="AD3808">
        <v>-1.110208810062</v>
      </c>
      <c r="AE3808">
        <v>2.4139000000000101</v>
      </c>
      <c r="AF3808">
        <v>-2.1915467759590199</v>
      </c>
      <c r="AG3808">
        <v>-1.110208810062</v>
      </c>
      <c r="AH3808">
        <v>20.9442679152904</v>
      </c>
      <c r="AI3808">
        <v>93.017836016083507</v>
      </c>
      <c r="AJ3808">
        <v>95.973524434561995</v>
      </c>
      <c r="AK3808">
        <v>21.087859051611101</v>
      </c>
      <c r="AL3808">
        <v>78.928297392469304</v>
      </c>
      <c r="AM3808">
        <v>92.161744596397796</v>
      </c>
      <c r="AN3808">
        <v>1.0000000019458299</v>
      </c>
    </row>
    <row r="3809" spans="1:40" x14ac:dyDescent="0.25">
      <c r="A3809" t="str">
        <f>"20190304155708527"</f>
        <v>20190304155708527</v>
      </c>
      <c r="B3809" t="str">
        <f>"1551686228518294"</f>
        <v>1551686228518294</v>
      </c>
      <c r="C3809" t="s">
        <v>40</v>
      </c>
      <c r="D3809">
        <v>4.7030750000000001</v>
      </c>
      <c r="E3809">
        <v>0.47243669999999999</v>
      </c>
      <c r="F3809" t="s">
        <v>55</v>
      </c>
      <c r="G3809">
        <v>-244.6797</v>
      </c>
      <c r="H3809" s="1">
        <v>8.5270730000000002E-7</v>
      </c>
      <c r="I3809">
        <v>216.92230000000001</v>
      </c>
      <c r="J3809">
        <v>-265.94869999999997</v>
      </c>
      <c r="K3809">
        <v>1.1102129999999999</v>
      </c>
      <c r="L3809">
        <v>214.4854</v>
      </c>
      <c r="M3809">
        <v>0.99983860000000002</v>
      </c>
      <c r="N3809">
        <v>-1.471975E-2</v>
      </c>
      <c r="O3809">
        <v>1.030356E-2</v>
      </c>
      <c r="P3809">
        <v>0.98289689999999996</v>
      </c>
      <c r="Q3809">
        <v>0.17798359999999999</v>
      </c>
      <c r="R3809">
        <v>4.7284689999999997E-2</v>
      </c>
      <c r="S3809">
        <v>3.0637819999999998</v>
      </c>
      <c r="T3809">
        <v>-0.1574016</v>
      </c>
      <c r="U3809">
        <v>0.34599299999999999</v>
      </c>
      <c r="V3809">
        <v>-3.7146020000000002E-2</v>
      </c>
      <c r="W3809">
        <v>0.19244020000000001</v>
      </c>
      <c r="X3809">
        <v>0.98060539999999996</v>
      </c>
      <c r="Y3809">
        <v>-0.1018071</v>
      </c>
      <c r="Z3809">
        <v>2.981418E-3</v>
      </c>
      <c r="AA3809">
        <v>0.99479969999999995</v>
      </c>
      <c r="AB3809">
        <v>36</v>
      </c>
      <c r="AC3809">
        <v>21.268999999999899</v>
      </c>
      <c r="AD3809">
        <v>-1.11021214729269</v>
      </c>
      <c r="AE3809">
        <v>2.4369000000000001</v>
      </c>
      <c r="AF3809">
        <v>-2.21165246257093</v>
      </c>
      <c r="AG3809">
        <v>-1.11021214729269</v>
      </c>
      <c r="AH3809">
        <v>21.2358706678408</v>
      </c>
      <c r="AI3809">
        <v>92.976630586905102</v>
      </c>
      <c r="AJ3809">
        <v>95.945748971147196</v>
      </c>
      <c r="AK3809">
        <v>21.379573911761099</v>
      </c>
      <c r="AL3809">
        <v>78.904774194493399</v>
      </c>
      <c r="AM3809">
        <v>92.169367048987596</v>
      </c>
      <c r="AN3809">
        <v>1.00000000394352</v>
      </c>
    </row>
    <row r="3810" spans="1:40" x14ac:dyDescent="0.25">
      <c r="A3810" t="str">
        <f>"20190304155708543"</f>
        <v>20190304155708543</v>
      </c>
      <c r="B3810" t="str">
        <f>"1551686228538791"</f>
        <v>1551686228538791</v>
      </c>
      <c r="C3810" t="s">
        <v>40</v>
      </c>
      <c r="D3810">
        <v>4.8794050000000002</v>
      </c>
      <c r="E3810">
        <v>0.47295910000000002</v>
      </c>
      <c r="F3810" t="s">
        <v>55</v>
      </c>
      <c r="G3810">
        <v>-244.0531</v>
      </c>
      <c r="H3810" s="1">
        <v>5.1760949999999997E-7</v>
      </c>
      <c r="I3810">
        <v>216.96090000000001</v>
      </c>
      <c r="J3810">
        <v>-265.68689999999998</v>
      </c>
      <c r="K3810">
        <v>1.1102160000000001</v>
      </c>
      <c r="L3810">
        <v>214.4881</v>
      </c>
      <c r="M3810">
        <v>0.99983880000000003</v>
      </c>
      <c r="N3810">
        <v>-1.471692E-2</v>
      </c>
      <c r="O3810">
        <v>1.0303400000000001E-2</v>
      </c>
      <c r="P3810">
        <v>0.98288929999999997</v>
      </c>
      <c r="Q3810">
        <v>0.1781257</v>
      </c>
      <c r="R3810">
        <v>4.6907919999999999E-2</v>
      </c>
      <c r="S3810">
        <v>3.06366</v>
      </c>
      <c r="T3810">
        <v>-0.1553426</v>
      </c>
      <c r="U3810">
        <v>0.34637449999999997</v>
      </c>
      <c r="V3810">
        <v>-3.6769990000000002E-2</v>
      </c>
      <c r="W3810">
        <v>0.1925791</v>
      </c>
      <c r="X3810">
        <v>0.98059229999999997</v>
      </c>
      <c r="Y3810">
        <v>-0.1019374</v>
      </c>
      <c r="Z3810">
        <v>2.9584170000000001E-3</v>
      </c>
      <c r="AA3810">
        <v>0.99478639999999996</v>
      </c>
      <c r="AB3810">
        <v>36</v>
      </c>
      <c r="AC3810">
        <v>21.633799999999901</v>
      </c>
      <c r="AD3810">
        <v>-1.1102154823904999</v>
      </c>
      <c r="AE3810">
        <v>2.4727999999999999</v>
      </c>
      <c r="AF3810">
        <v>-2.24390958046913</v>
      </c>
      <c r="AG3810">
        <v>-1.1102154823904999</v>
      </c>
      <c r="AH3810">
        <v>21.601975251653698</v>
      </c>
      <c r="AI3810">
        <v>92.926362347957607</v>
      </c>
      <c r="AJ3810">
        <v>95.930342219837996</v>
      </c>
      <c r="AK3810">
        <v>21.746563944580299</v>
      </c>
      <c r="AL3810">
        <v>78.896664072129994</v>
      </c>
      <c r="AM3810">
        <v>92.147455823424593</v>
      </c>
      <c r="AN3810">
        <v>1.00000000037035</v>
      </c>
    </row>
    <row r="3811" spans="1:40" x14ac:dyDescent="0.25">
      <c r="A3811" t="str">
        <f>"20190304155708557"</f>
        <v>20190304155708557</v>
      </c>
      <c r="B3811" t="str">
        <f>"1551686228548550"</f>
        <v>1551686228548550</v>
      </c>
      <c r="C3811" t="s">
        <v>40</v>
      </c>
      <c r="D3811">
        <v>4.8096670000000001</v>
      </c>
      <c r="E3811">
        <v>0.53208459999999902</v>
      </c>
      <c r="F3811" t="s">
        <v>55</v>
      </c>
      <c r="G3811">
        <v>-243.69300000000001</v>
      </c>
      <c r="H3811" s="1">
        <v>3.2706919999999999E-7</v>
      </c>
      <c r="I3811">
        <v>216.93510000000001</v>
      </c>
      <c r="J3811">
        <v>-265.47109999999998</v>
      </c>
      <c r="K3811">
        <v>1.110217</v>
      </c>
      <c r="L3811">
        <v>214.49029999999999</v>
      </c>
      <c r="M3811">
        <v>0.99983869999999997</v>
      </c>
      <c r="N3811">
        <v>-1.471459E-2</v>
      </c>
      <c r="O3811">
        <v>1.0303420000000001E-2</v>
      </c>
      <c r="P3811">
        <v>0.98288699999999996</v>
      </c>
      <c r="Q3811">
        <v>0.1782261</v>
      </c>
      <c r="R3811">
        <v>4.6571179999999997E-2</v>
      </c>
      <c r="S3811">
        <v>3.063965</v>
      </c>
      <c r="T3811">
        <v>-0.15466369999999999</v>
      </c>
      <c r="U3811">
        <v>0.34089659999999999</v>
      </c>
      <c r="V3811">
        <v>-3.643308E-2</v>
      </c>
      <c r="W3811">
        <v>0.1926774</v>
      </c>
      <c r="X3811">
        <v>0.98058559999999995</v>
      </c>
      <c r="Y3811">
        <v>-0.10017379999999999</v>
      </c>
      <c r="Z3811">
        <v>2.8918699999999999E-3</v>
      </c>
      <c r="AA3811">
        <v>0.99496569999999995</v>
      </c>
      <c r="AB3811">
        <v>35</v>
      </c>
      <c r="AC3811">
        <v>21.778099999999899</v>
      </c>
      <c r="AD3811">
        <v>-1.1102166729308001</v>
      </c>
      <c r="AE3811">
        <v>2.4448000000000101</v>
      </c>
      <c r="AF3811">
        <v>-2.2145733604620301</v>
      </c>
      <c r="AG3811">
        <v>-1.1102166729308001</v>
      </c>
      <c r="AH3811">
        <v>21.7463249112383</v>
      </c>
      <c r="AI3811">
        <v>92.907576190920494</v>
      </c>
      <c r="AJ3811">
        <v>95.814765725145307</v>
      </c>
      <c r="AK3811">
        <v>21.8869724579455</v>
      </c>
      <c r="AL3811">
        <v>78.890924785750897</v>
      </c>
      <c r="AM3811">
        <v>92.127812164285203</v>
      </c>
      <c r="AN3811">
        <v>1.0000000343582001</v>
      </c>
    </row>
    <row r="3812" spans="1:40" x14ac:dyDescent="0.25">
      <c r="A3812" t="str">
        <f>"20190304155708571"</f>
        <v>20190304155708571</v>
      </c>
      <c r="B3812" t="str">
        <f>"1551686228568071"</f>
        <v>1551686228568071</v>
      </c>
      <c r="C3812" t="s">
        <v>40</v>
      </c>
      <c r="D3812">
        <v>4.6421270000000003</v>
      </c>
      <c r="E3812">
        <v>0.54663839999999997</v>
      </c>
      <c r="F3812" t="s">
        <v>69</v>
      </c>
      <c r="G3812">
        <v>-151.66849999999999</v>
      </c>
      <c r="H3812">
        <v>0.72565080000000004</v>
      </c>
      <c r="I3812">
        <v>209.72880000000001</v>
      </c>
      <c r="J3812">
        <v>-265.24</v>
      </c>
      <c r="K3812">
        <v>1.1102209999999999</v>
      </c>
      <c r="L3812">
        <v>214.49270000000001</v>
      </c>
      <c r="M3812">
        <v>0.99983880000000003</v>
      </c>
      <c r="N3812">
        <v>-1.471211E-2</v>
      </c>
      <c r="O3812">
        <v>1.0303440000000001E-2</v>
      </c>
      <c r="P3812">
        <v>0.98291580000000001</v>
      </c>
      <c r="Q3812">
        <v>0.17816499999999999</v>
      </c>
      <c r="R3812">
        <v>4.6197589999999997E-2</v>
      </c>
      <c r="S3812">
        <v>3.060181</v>
      </c>
      <c r="T3812">
        <v>-1.0340210000000001E-2</v>
      </c>
      <c r="U3812">
        <v>-0.1280365</v>
      </c>
      <c r="V3812">
        <v>-3.6059479999999998E-2</v>
      </c>
      <c r="W3812">
        <v>0.19261420000000001</v>
      </c>
      <c r="X3812">
        <v>0.98061180000000003</v>
      </c>
      <c r="Y3812">
        <v>5.209403E-2</v>
      </c>
      <c r="Z3812">
        <v>-3.5465209999999999E-4</v>
      </c>
      <c r="AA3812">
        <v>0.99864209999999998</v>
      </c>
      <c r="AB3812">
        <v>35</v>
      </c>
      <c r="AC3812">
        <v>113.5715</v>
      </c>
      <c r="AD3812">
        <v>-0.38457019999999897</v>
      </c>
      <c r="AE3812">
        <v>-4.7638999999999996</v>
      </c>
      <c r="AF3812">
        <v>5.93388281052325</v>
      </c>
      <c r="AG3812">
        <v>-0.38457019999999897</v>
      </c>
      <c r="AH3812">
        <v>113.515080966591</v>
      </c>
      <c r="AI3812">
        <v>90.193843159630106</v>
      </c>
      <c r="AJ3812">
        <v>87.007646328118398</v>
      </c>
      <c r="AK3812">
        <v>113.670719476475</v>
      </c>
      <c r="AL3812">
        <v>78.894614719974598</v>
      </c>
      <c r="AM3812">
        <v>92.105956222311306</v>
      </c>
      <c r="AN3812">
        <v>1.0000000092193699</v>
      </c>
    </row>
    <row r="3813" spans="1:40" x14ac:dyDescent="0.25">
      <c r="A3813" t="str">
        <f>"20190304155708587"</f>
        <v>20190304155708587</v>
      </c>
      <c r="B3813" t="str">
        <f>"1551686228578807"</f>
        <v>1551686228578807</v>
      </c>
      <c r="C3813" t="s">
        <v>40</v>
      </c>
      <c r="D3813">
        <v>4.5819349999999996</v>
      </c>
      <c r="E3813">
        <v>0.5502051</v>
      </c>
      <c r="F3813" t="s">
        <v>69</v>
      </c>
      <c r="G3813">
        <v>-168.41059999999999</v>
      </c>
      <c r="H3813">
        <v>0.66918559999999905</v>
      </c>
      <c r="I3813">
        <v>206.74180000000001</v>
      </c>
      <c r="J3813">
        <v>-264.99009999999998</v>
      </c>
      <c r="K3813">
        <v>1.110222</v>
      </c>
      <c r="L3813">
        <v>214.49529999999999</v>
      </c>
      <c r="M3813">
        <v>0.99983880000000003</v>
      </c>
      <c r="N3813">
        <v>-1.4709409999999999E-2</v>
      </c>
      <c r="O3813">
        <v>1.0303639999999999E-2</v>
      </c>
      <c r="P3813">
        <v>0.98284590000000005</v>
      </c>
      <c r="Q3813">
        <v>0.17861469999999999</v>
      </c>
      <c r="R3813">
        <v>4.5946720000000003E-2</v>
      </c>
      <c r="S3813">
        <v>3.0661930000000002</v>
      </c>
      <c r="T3813">
        <v>-1.396477E-2</v>
      </c>
      <c r="U3813">
        <v>-0.24543760000000001</v>
      </c>
      <c r="V3813">
        <v>-3.5809380000000002E-2</v>
      </c>
      <c r="W3813">
        <v>0.19306010000000001</v>
      </c>
      <c r="X3813">
        <v>0.98053319999999999</v>
      </c>
      <c r="Y3813">
        <v>9.0054339999999997E-2</v>
      </c>
      <c r="Z3813">
        <v>-7.6371729999999904E-4</v>
      </c>
      <c r="AA3813">
        <v>0.99593659999999995</v>
      </c>
      <c r="AB3813">
        <v>35</v>
      </c>
      <c r="AC3813">
        <v>96.579499999999996</v>
      </c>
      <c r="AD3813">
        <v>-0.4410364</v>
      </c>
      <c r="AE3813">
        <v>-7.7534999999999696</v>
      </c>
      <c r="AF3813">
        <v>8.7481350577387396</v>
      </c>
      <c r="AG3813">
        <v>-0.4410364</v>
      </c>
      <c r="AH3813">
        <v>96.492474843325894</v>
      </c>
      <c r="AI3813">
        <v>90.260809304464104</v>
      </c>
      <c r="AJ3813">
        <v>84.819651319462395</v>
      </c>
      <c r="AK3813">
        <v>96.889225827665896</v>
      </c>
      <c r="AL3813">
        <v>78.868577004288099</v>
      </c>
      <c r="AM3813">
        <v>92.091530320753705</v>
      </c>
      <c r="AN3813">
        <v>0.99999993510511498</v>
      </c>
    </row>
    <row r="3814" spans="1:40" x14ac:dyDescent="0.25">
      <c r="A3814" t="str">
        <f>"20190304155708601"</f>
        <v>20190304155708601</v>
      </c>
      <c r="B3814" t="str">
        <f>"1551686228598327"</f>
        <v>1551686228598327</v>
      </c>
      <c r="C3814" t="s">
        <v>40</v>
      </c>
      <c r="D3814">
        <v>4.6283130000000003</v>
      </c>
      <c r="E3814">
        <v>0.55553640000000004</v>
      </c>
      <c r="F3814" t="s">
        <v>69</v>
      </c>
      <c r="G3814">
        <v>-168.41099999999901</v>
      </c>
      <c r="H3814">
        <v>0.84776119999999899</v>
      </c>
      <c r="I3814">
        <v>205.84829999999999</v>
      </c>
      <c r="J3814">
        <v>-264.77800000000002</v>
      </c>
      <c r="K3814">
        <v>1.1102209999999999</v>
      </c>
      <c r="L3814">
        <v>214.4974</v>
      </c>
      <c r="M3814">
        <v>0.99983880000000003</v>
      </c>
      <c r="N3814">
        <v>-1.4707120000000001E-2</v>
      </c>
      <c r="O3814">
        <v>1.0303649999999999E-2</v>
      </c>
      <c r="P3814">
        <v>0.98280270000000003</v>
      </c>
      <c r="Q3814">
        <v>0.17887110000000001</v>
      </c>
      <c r="R3814">
        <v>4.5869800000000002E-2</v>
      </c>
      <c r="S3814">
        <v>3.066681</v>
      </c>
      <c r="T3814">
        <v>-8.3328489999999998E-3</v>
      </c>
      <c r="U3814">
        <v>-0.2745667</v>
      </c>
      <c r="V3814">
        <v>-3.5732300000000002E-2</v>
      </c>
      <c r="W3814">
        <v>0.19331319999999999</v>
      </c>
      <c r="X3814">
        <v>0.98048619999999997</v>
      </c>
      <c r="Y3814">
        <v>9.9431359999999996E-2</v>
      </c>
      <c r="Z3814">
        <v>-7.4421649999999997E-4</v>
      </c>
      <c r="AA3814">
        <v>0.99504420000000005</v>
      </c>
      <c r="AB3814">
        <v>35</v>
      </c>
      <c r="AC3814">
        <v>96.367000000000004</v>
      </c>
      <c r="AD3814">
        <v>-0.26245980000000002</v>
      </c>
      <c r="AE3814">
        <v>-8.6491000000000007</v>
      </c>
      <c r="AF3814">
        <v>9.6416090220566595</v>
      </c>
      <c r="AG3814">
        <v>-0.26245980000000002</v>
      </c>
      <c r="AH3814">
        <v>96.272048002019801</v>
      </c>
      <c r="AI3814">
        <v>90.155423621738095</v>
      </c>
      <c r="AJ3814">
        <v>84.280919272098501</v>
      </c>
      <c r="AK3814">
        <v>96.7540011378549</v>
      </c>
      <c r="AL3814">
        <v>78.853797630189902</v>
      </c>
      <c r="AM3814">
        <v>92.087132223416106</v>
      </c>
      <c r="AN3814">
        <v>0.99999998947398405</v>
      </c>
    </row>
    <row r="3815" spans="1:40" x14ac:dyDescent="0.25">
      <c r="A3815" t="str">
        <f>"20190304155708615"</f>
        <v>20190304155708615</v>
      </c>
      <c r="B3815" t="str">
        <f>"1551686228608087"</f>
        <v>1551686228608087</v>
      </c>
      <c r="C3815" t="s">
        <v>40</v>
      </c>
      <c r="D3815">
        <v>4.586195</v>
      </c>
      <c r="E3815">
        <v>0.55678879999999997</v>
      </c>
      <c r="F3815" t="s">
        <v>69</v>
      </c>
      <c r="G3815">
        <v>-168.41139999999999</v>
      </c>
      <c r="H3815">
        <v>0.91620639999999998</v>
      </c>
      <c r="I3815">
        <v>204.54650000000001</v>
      </c>
      <c r="J3815">
        <v>-264.5394</v>
      </c>
      <c r="K3815">
        <v>1.110222</v>
      </c>
      <c r="L3815">
        <v>214.4999</v>
      </c>
      <c r="M3815">
        <v>0.99983880000000003</v>
      </c>
      <c r="N3815">
        <v>-1.470454E-2</v>
      </c>
      <c r="O3815">
        <v>1.0303669999999999E-2</v>
      </c>
      <c r="P3815">
        <v>0.98283920000000002</v>
      </c>
      <c r="Q3815">
        <v>0.17880839999999901</v>
      </c>
      <c r="R3815">
        <v>4.5330639999999998E-2</v>
      </c>
      <c r="S3815">
        <v>3.0684200000000001</v>
      </c>
      <c r="T3815">
        <v>-6.1765910000000004E-3</v>
      </c>
      <c r="U3815">
        <v>-0.31684879999999999</v>
      </c>
      <c r="V3815">
        <v>-3.5192750000000002E-2</v>
      </c>
      <c r="W3815">
        <v>0.1932487</v>
      </c>
      <c r="X3815">
        <v>0.98051849999999996</v>
      </c>
      <c r="Y3815">
        <v>0.1129571</v>
      </c>
      <c r="Z3815">
        <v>-8.1572070000000005E-4</v>
      </c>
      <c r="AA3815">
        <v>0.99359949999999997</v>
      </c>
      <c r="AB3815">
        <v>35</v>
      </c>
      <c r="AC3815">
        <v>96.128</v>
      </c>
      <c r="AD3815">
        <v>-0.19401560000000001</v>
      </c>
      <c r="AE3815">
        <v>-9.9533999999999807</v>
      </c>
      <c r="AF3815">
        <v>10.943405692823401</v>
      </c>
      <c r="AG3815">
        <v>-0.19401560000000001</v>
      </c>
      <c r="AH3815">
        <v>96.019941385898093</v>
      </c>
      <c r="AI3815">
        <v>90.115025692828993</v>
      </c>
      <c r="AJ3815">
        <v>83.498047118379404</v>
      </c>
      <c r="AK3815">
        <v>96.641734845573197</v>
      </c>
      <c r="AL3815">
        <v>78.857565020826002</v>
      </c>
      <c r="AM3815">
        <v>92.055576564497798</v>
      </c>
      <c r="AN3815">
        <v>1.0000000592732401</v>
      </c>
    </row>
    <row r="3816" spans="1:40" x14ac:dyDescent="0.25">
      <c r="A3816" t="str">
        <f>"20190304155708639"</f>
        <v>20190304155708639</v>
      </c>
      <c r="B3816" t="str">
        <f>"1551686228628583"</f>
        <v>1551686228628583</v>
      </c>
      <c r="C3816" t="s">
        <v>40</v>
      </c>
      <c r="D3816">
        <v>4.6323309999999998</v>
      </c>
      <c r="E3816">
        <v>0.55895340000000004</v>
      </c>
      <c r="F3816" t="s">
        <v>69</v>
      </c>
      <c r="G3816">
        <v>-168.41149999999999</v>
      </c>
      <c r="H3816">
        <v>0.91735460000000002</v>
      </c>
      <c r="I3816">
        <v>204.2158</v>
      </c>
      <c r="J3816">
        <v>-264.17759999999998</v>
      </c>
      <c r="K3816">
        <v>1.1102179999999999</v>
      </c>
      <c r="L3816">
        <v>214.50360000000001</v>
      </c>
      <c r="M3816">
        <v>0.99983889999999997</v>
      </c>
      <c r="N3816">
        <v>-1.4700639999999999E-2</v>
      </c>
      <c r="O3816">
        <v>1.0303700000000001E-2</v>
      </c>
      <c r="P3816">
        <v>0.9829331</v>
      </c>
      <c r="Q3816">
        <v>0.17836569999999999</v>
      </c>
      <c r="R3816">
        <v>4.503878E-2</v>
      </c>
      <c r="S3816">
        <v>3.0686339999999999</v>
      </c>
      <c r="T3816">
        <v>-6.1557290000000004E-3</v>
      </c>
      <c r="U3816">
        <v>-0.3282928</v>
      </c>
      <c r="V3816">
        <v>-3.4900359999999998E-2</v>
      </c>
      <c r="W3816">
        <v>0.19280369999999999</v>
      </c>
      <c r="X3816">
        <v>0.9806165</v>
      </c>
      <c r="Y3816">
        <v>0.1166143</v>
      </c>
      <c r="Z3816">
        <v>-8.4585960000000001E-4</v>
      </c>
      <c r="AA3816">
        <v>0.99317690000000003</v>
      </c>
      <c r="AB3816">
        <v>35</v>
      </c>
      <c r="AC3816">
        <v>95.766099999999994</v>
      </c>
      <c r="AD3816">
        <v>-0.19286339999999899</v>
      </c>
      <c r="AE3816">
        <v>-10.287800000000001</v>
      </c>
      <c r="AF3816">
        <v>11.2740603095776</v>
      </c>
      <c r="AG3816">
        <v>-0.19286339999999899</v>
      </c>
      <c r="AH3816">
        <v>95.654617818750793</v>
      </c>
      <c r="AI3816">
        <v>90.114728202913994</v>
      </c>
      <c r="AJ3816">
        <v>83.2780070976752</v>
      </c>
      <c r="AK3816">
        <v>96.3169120259072</v>
      </c>
      <c r="AL3816">
        <v>78.883549787622698</v>
      </c>
      <c r="AM3816">
        <v>92.038309247812805</v>
      </c>
      <c r="AN3816">
        <v>1.00000001096703</v>
      </c>
    </row>
    <row r="3817" spans="1:40" x14ac:dyDescent="0.25">
      <c r="A3817" t="str">
        <f>"20190304155708656"</f>
        <v>20190304155708656</v>
      </c>
      <c r="B3817" t="str">
        <f>"1551686228648103"</f>
        <v>1551686228648103</v>
      </c>
      <c r="C3817" t="s">
        <v>40</v>
      </c>
      <c r="D3817">
        <v>4.6130760000000004</v>
      </c>
      <c r="E3817">
        <v>0.560370699999999</v>
      </c>
      <c r="F3817" t="s">
        <v>69</v>
      </c>
      <c r="G3817">
        <v>-168.4117</v>
      </c>
      <c r="H3817">
        <v>0.87395669999999903</v>
      </c>
      <c r="I3817">
        <v>203.6857</v>
      </c>
      <c r="J3817">
        <v>-263.90940000000001</v>
      </c>
      <c r="K3817">
        <v>1.110217</v>
      </c>
      <c r="L3817">
        <v>214.50640000000001</v>
      </c>
      <c r="M3817">
        <v>0.99983889999999997</v>
      </c>
      <c r="N3817">
        <v>-1.4697760000000001E-2</v>
      </c>
      <c r="O3817">
        <v>1.0303720000000001E-2</v>
      </c>
      <c r="P3817">
        <v>0.98295560000000004</v>
      </c>
      <c r="Q3817">
        <v>0.1782551</v>
      </c>
      <c r="R3817">
        <v>4.4982010000000003E-2</v>
      </c>
      <c r="S3817">
        <v>3.0693969999999999</v>
      </c>
      <c r="T3817">
        <v>-7.5713400000000002E-3</v>
      </c>
      <c r="U3817">
        <v>-0.34672550000000002</v>
      </c>
      <c r="V3817">
        <v>-3.4843180000000001E-2</v>
      </c>
      <c r="W3817">
        <v>0.19269049999999999</v>
      </c>
      <c r="X3817">
        <v>0.98064079999999998</v>
      </c>
      <c r="Y3817">
        <v>0.12247860000000001</v>
      </c>
      <c r="Z3817">
        <v>-9.2796130000000004E-4</v>
      </c>
      <c r="AA3817">
        <v>0.99247070000000004</v>
      </c>
      <c r="AB3817">
        <v>35</v>
      </c>
      <c r="AC3817">
        <v>95.497699999999995</v>
      </c>
      <c r="AD3817">
        <v>-0.23626030000000001</v>
      </c>
      <c r="AE3817">
        <v>-10.8207</v>
      </c>
      <c r="AF3817">
        <v>11.804141981366101</v>
      </c>
      <c r="AG3817">
        <v>-0.23626030000000001</v>
      </c>
      <c r="AH3817">
        <v>95.380547539930603</v>
      </c>
      <c r="AI3817">
        <v>90.140848443890803</v>
      </c>
      <c r="AJ3817">
        <v>82.945039491211205</v>
      </c>
      <c r="AK3817">
        <v>96.1084930475063</v>
      </c>
      <c r="AL3817">
        <v>78.890159797976594</v>
      </c>
      <c r="AM3817">
        <v>92.034922152118398</v>
      </c>
      <c r="AN3817">
        <v>1.0000000273037</v>
      </c>
    </row>
    <row r="3818" spans="1:40" x14ac:dyDescent="0.25">
      <c r="A3818" t="str">
        <f>"20190304155708670"</f>
        <v>20190304155708670</v>
      </c>
      <c r="B3818" t="str">
        <f>"1551686228658839"</f>
        <v>1551686228658839</v>
      </c>
      <c r="C3818" t="s">
        <v>40</v>
      </c>
      <c r="D3818">
        <v>4.6402219999999996</v>
      </c>
      <c r="E3818">
        <v>0.56089029999999995</v>
      </c>
      <c r="F3818" t="s">
        <v>69</v>
      </c>
      <c r="G3818">
        <v>-168.4118</v>
      </c>
      <c r="H3818">
        <v>0.85172269999999894</v>
      </c>
      <c r="I3818">
        <v>203.3638</v>
      </c>
      <c r="J3818">
        <v>-263.68799999999999</v>
      </c>
      <c r="K3818">
        <v>1.110215</v>
      </c>
      <c r="L3818">
        <v>214.5087</v>
      </c>
      <c r="M3818">
        <v>0.99983900000000003</v>
      </c>
      <c r="N3818">
        <v>-1.4695379999999999E-2</v>
      </c>
      <c r="O3818">
        <v>1.030374E-2</v>
      </c>
      <c r="P3818">
        <v>0.98298869999999905</v>
      </c>
      <c r="Q3818">
        <v>0.17815329999999999</v>
      </c>
      <c r="R3818">
        <v>4.4667020000000002E-2</v>
      </c>
      <c r="S3818">
        <v>3.0699459999999998</v>
      </c>
      <c r="T3818">
        <v>-8.3087679999999994E-3</v>
      </c>
      <c r="U3818">
        <v>-0.35820010000000002</v>
      </c>
      <c r="V3818">
        <v>-3.4527790000000003E-2</v>
      </c>
      <c r="W3818">
        <v>0.19258710000000001</v>
      </c>
      <c r="X3818">
        <v>0.98067219999999999</v>
      </c>
      <c r="Y3818">
        <v>0.12611889999999901</v>
      </c>
      <c r="Z3818">
        <v>-9.768712000000001E-4</v>
      </c>
      <c r="AA3818">
        <v>0.99201459999999997</v>
      </c>
      <c r="AB3818">
        <v>35</v>
      </c>
      <c r="AC3818">
        <v>95.276200000000003</v>
      </c>
      <c r="AD3818">
        <v>-0.25849229999999901</v>
      </c>
      <c r="AE3818">
        <v>-11.1449</v>
      </c>
      <c r="AF3818">
        <v>12.1260273323996</v>
      </c>
      <c r="AG3818">
        <v>-0.25849229999999901</v>
      </c>
      <c r="AH3818">
        <v>95.155603663164001</v>
      </c>
      <c r="AI3818">
        <v>90.154396276319204</v>
      </c>
      <c r="AJ3818">
        <v>82.737731495311394</v>
      </c>
      <c r="AK3818">
        <v>95.925472454590604</v>
      </c>
      <c r="AL3818">
        <v>78.8961965260537</v>
      </c>
      <c r="AM3818">
        <v>92.016453410873396</v>
      </c>
      <c r="AN3818">
        <v>0.99999996161076599</v>
      </c>
    </row>
    <row r="3819" spans="1:40" x14ac:dyDescent="0.25">
      <c r="A3819" t="str">
        <f>"20190304155708687"</f>
        <v>20190304155708687</v>
      </c>
      <c r="B3819" t="str">
        <f>"1551686228678359"</f>
        <v>1551686228678359</v>
      </c>
      <c r="C3819" t="s">
        <v>40</v>
      </c>
      <c r="D3819">
        <v>4.6562580000000002</v>
      </c>
      <c r="E3819">
        <v>0.56170969999999998</v>
      </c>
      <c r="F3819" t="s">
        <v>69</v>
      </c>
      <c r="G3819">
        <v>-168.4118</v>
      </c>
      <c r="H3819">
        <v>0.83679199999999998</v>
      </c>
      <c r="I3819">
        <v>203.23070000000001</v>
      </c>
      <c r="J3819">
        <v>-263.42970000000003</v>
      </c>
      <c r="K3819">
        <v>1.1102160000000001</v>
      </c>
      <c r="L3819">
        <v>214.51130000000001</v>
      </c>
      <c r="M3819">
        <v>0.99983909999999998</v>
      </c>
      <c r="N3819">
        <v>-1.469259E-2</v>
      </c>
      <c r="O3819">
        <v>1.030376E-2</v>
      </c>
      <c r="P3819">
        <v>0.98303249999999998</v>
      </c>
      <c r="Q3819">
        <v>0.17793789999999901</v>
      </c>
      <c r="R3819">
        <v>4.4560259999999997E-2</v>
      </c>
      <c r="S3819">
        <v>3.0700379999999998</v>
      </c>
      <c r="T3819">
        <v>-8.809328E-3</v>
      </c>
      <c r="U3819">
        <v>-0.36340329999999998</v>
      </c>
      <c r="V3819">
        <v>-3.442079E-2</v>
      </c>
      <c r="W3819">
        <v>0.1923695</v>
      </c>
      <c r="X3819">
        <v>0.98071870000000005</v>
      </c>
      <c r="Y3819">
        <v>0.12777349999999901</v>
      </c>
      <c r="Z3819">
        <v>-1.003288E-3</v>
      </c>
      <c r="AA3819">
        <v>0.99180290000000004</v>
      </c>
      <c r="AB3819">
        <v>35</v>
      </c>
      <c r="AC3819">
        <v>95.017899999999997</v>
      </c>
      <c r="AD3819">
        <v>-0.273424</v>
      </c>
      <c r="AE3819">
        <v>-11.2805999999999</v>
      </c>
      <c r="AF3819">
        <v>12.259048135372099</v>
      </c>
      <c r="AG3819">
        <v>-0.273424</v>
      </c>
      <c r="AH3819">
        <v>94.895834871971203</v>
      </c>
      <c r="AI3819">
        <v>90.163725739478295</v>
      </c>
      <c r="AJ3819">
        <v>82.639054402907206</v>
      </c>
      <c r="AK3819">
        <v>95.684787181231599</v>
      </c>
      <c r="AL3819">
        <v>78.908901999000406</v>
      </c>
      <c r="AM3819">
        <v>92.010114416838505</v>
      </c>
      <c r="AN3819">
        <v>0.999999991922082</v>
      </c>
    </row>
    <row r="3820" spans="1:40" x14ac:dyDescent="0.25">
      <c r="A3820" t="str">
        <f>"20190304155708707"</f>
        <v>20190304155708707</v>
      </c>
      <c r="B3820" t="str">
        <f>"1551686228698856"</f>
        <v>1551686228698856</v>
      </c>
      <c r="C3820" t="s">
        <v>40</v>
      </c>
      <c r="D3820">
        <v>4.6710909999999997</v>
      </c>
      <c r="E3820">
        <v>0.56233230000000001</v>
      </c>
      <c r="F3820" t="s">
        <v>69</v>
      </c>
      <c r="G3820">
        <v>-168.4119</v>
      </c>
      <c r="H3820">
        <v>0.80024719999999905</v>
      </c>
      <c r="I3820">
        <v>203.04660000000001</v>
      </c>
      <c r="J3820">
        <v>-263.10660000000001</v>
      </c>
      <c r="K3820">
        <v>1.1102160000000001</v>
      </c>
      <c r="L3820">
        <v>214.5146</v>
      </c>
      <c r="M3820">
        <v>0.99983909999999998</v>
      </c>
      <c r="N3820">
        <v>-1.468908E-2</v>
      </c>
      <c r="O3820">
        <v>1.030379E-2</v>
      </c>
      <c r="P3820">
        <v>0.98310019999999998</v>
      </c>
      <c r="Q3820">
        <v>0.17761740000000001</v>
      </c>
      <c r="R3820">
        <v>4.4341619999999998E-2</v>
      </c>
      <c r="S3820">
        <v>3.0703740000000002</v>
      </c>
      <c r="T3820">
        <v>-1.0015130000000001E-2</v>
      </c>
      <c r="U3820">
        <v>-0.37046810000000002</v>
      </c>
      <c r="V3820">
        <v>-3.4201339999999997E-2</v>
      </c>
      <c r="W3820">
        <v>0.19204660000000001</v>
      </c>
      <c r="X3820">
        <v>0.98078969999999999</v>
      </c>
      <c r="Y3820">
        <v>0.13000999999999999</v>
      </c>
      <c r="Z3820">
        <v>-1.0523489999999999E-3</v>
      </c>
      <c r="AA3820">
        <v>0.99151210000000001</v>
      </c>
      <c r="AB3820">
        <v>35</v>
      </c>
      <c r="AC3820">
        <v>94.694699999999997</v>
      </c>
      <c r="AD3820">
        <v>-0.30996879999999999</v>
      </c>
      <c r="AE3820">
        <v>-11.4679999999999</v>
      </c>
      <c r="AF3820">
        <v>12.4430791914643</v>
      </c>
      <c r="AG3820">
        <v>-0.30996879999999999</v>
      </c>
      <c r="AH3820">
        <v>94.570496742138204</v>
      </c>
      <c r="AI3820">
        <v>90.1861900017621</v>
      </c>
      <c r="AJ3820">
        <v>82.504384878174704</v>
      </c>
      <c r="AK3820">
        <v>95.386084700425698</v>
      </c>
      <c r="AL3820">
        <v>78.927754771671601</v>
      </c>
      <c r="AM3820">
        <v>91.997164861098696</v>
      </c>
      <c r="AN3820">
        <v>1.00000003192772</v>
      </c>
    </row>
    <row r="3821" spans="1:40" x14ac:dyDescent="0.25">
      <c r="A3821" t="str">
        <f>"20190304155708729"</f>
        <v>20190304155708729</v>
      </c>
      <c r="B3821" t="str">
        <f>"1551686228718375"</f>
        <v>1551686228718375</v>
      </c>
      <c r="C3821" t="s">
        <v>40</v>
      </c>
      <c r="D3821">
        <v>4.7093160000000003</v>
      </c>
      <c r="E3821">
        <v>0.562532699999999</v>
      </c>
      <c r="F3821" t="s">
        <v>69</v>
      </c>
      <c r="G3821">
        <v>-168.4119</v>
      </c>
      <c r="H3821">
        <v>0.74683949999999999</v>
      </c>
      <c r="I3821">
        <v>202.91730000000001</v>
      </c>
      <c r="J3821">
        <v>-262.76260000000002</v>
      </c>
      <c r="K3821">
        <v>1.1102160000000001</v>
      </c>
      <c r="L3821">
        <v>214.51820000000001</v>
      </c>
      <c r="M3821">
        <v>0.99983929999999999</v>
      </c>
      <c r="N3821">
        <v>-1.468534E-2</v>
      </c>
      <c r="O3821">
        <v>1.030381E-2</v>
      </c>
      <c r="P3821">
        <v>0.98324009999999995</v>
      </c>
      <c r="Q3821">
        <v>0.176924</v>
      </c>
      <c r="R3821">
        <v>4.4013539999999997E-2</v>
      </c>
      <c r="S3821">
        <v>3.0706790000000002</v>
      </c>
      <c r="T3821">
        <v>-1.178217E-2</v>
      </c>
      <c r="U3821">
        <v>-0.37606810000000002</v>
      </c>
      <c r="V3821">
        <v>-3.387163E-2</v>
      </c>
      <c r="W3821">
        <v>0.1913512</v>
      </c>
      <c r="X3821">
        <v>0.98093699999999995</v>
      </c>
      <c r="Y3821">
        <v>0.13177920000000001</v>
      </c>
      <c r="Z3821">
        <v>-1.111812E-3</v>
      </c>
      <c r="AA3821">
        <v>0.99127849999999995</v>
      </c>
      <c r="AB3821">
        <v>35</v>
      </c>
      <c r="AC3821">
        <v>94.350700000000003</v>
      </c>
      <c r="AD3821">
        <v>-0.36337649999999999</v>
      </c>
      <c r="AE3821">
        <v>-11.6008999999999</v>
      </c>
      <c r="AF3821">
        <v>12.5723766310934</v>
      </c>
      <c r="AG3821">
        <v>-0.36337649999999999</v>
      </c>
      <c r="AH3821">
        <v>94.224767115512094</v>
      </c>
      <c r="AI3821">
        <v>90.219018257093595</v>
      </c>
      <c r="AJ3821">
        <v>82.399935192174098</v>
      </c>
      <c r="AK3821">
        <v>95.060525112200494</v>
      </c>
      <c r="AL3821">
        <v>78.968350625039506</v>
      </c>
      <c r="AM3821">
        <v>91.9776302537813</v>
      </c>
      <c r="AN3821">
        <v>0.99999998351464803</v>
      </c>
    </row>
    <row r="3822" spans="1:40" x14ac:dyDescent="0.25">
      <c r="A3822" t="str">
        <f>"20190304155708751"</f>
        <v>20190304155708751</v>
      </c>
      <c r="B3822" t="str">
        <f>"1551686228748631"</f>
        <v>1551686228748631</v>
      </c>
      <c r="C3822" t="s">
        <v>40</v>
      </c>
      <c r="D3822">
        <v>4.7331070000000004</v>
      </c>
      <c r="E3822">
        <v>0.56348980000000004</v>
      </c>
      <c r="F3822" t="s">
        <v>69</v>
      </c>
      <c r="G3822">
        <v>-168.4119</v>
      </c>
      <c r="H3822">
        <v>0.62653539999999996</v>
      </c>
      <c r="I3822">
        <v>202.87180000000001</v>
      </c>
      <c r="J3822">
        <v>-262.42189999999999</v>
      </c>
      <c r="K3822">
        <v>1.110214</v>
      </c>
      <c r="L3822">
        <v>214.52170000000001</v>
      </c>
      <c r="M3822">
        <v>0.99983920000000004</v>
      </c>
      <c r="N3822">
        <v>-1.4681670000000001E-2</v>
      </c>
      <c r="O3822">
        <v>1.0304020000000001E-2</v>
      </c>
      <c r="P3822">
        <v>0.98334469999999996</v>
      </c>
      <c r="Q3822">
        <v>0.1763729</v>
      </c>
      <c r="R3822">
        <v>4.3886689999999999E-2</v>
      </c>
      <c r="S3822">
        <v>3.0709840000000002</v>
      </c>
      <c r="T3822">
        <v>-1.5742059999999999E-2</v>
      </c>
      <c r="U3822">
        <v>-0.37907410000000002</v>
      </c>
      <c r="V3822">
        <v>-3.37439E-2</v>
      </c>
      <c r="W3822">
        <v>0.19079789999999999</v>
      </c>
      <c r="X3822">
        <v>0.98104919999999995</v>
      </c>
      <c r="Y3822">
        <v>0.13272139999999999</v>
      </c>
      <c r="Z3822">
        <v>-1.218858E-3</v>
      </c>
      <c r="AA3822">
        <v>0.99115260000000005</v>
      </c>
      <c r="AB3822">
        <v>35</v>
      </c>
      <c r="AC3822">
        <v>94.01</v>
      </c>
      <c r="AD3822">
        <v>-0.48367860000000001</v>
      </c>
      <c r="AE3822">
        <v>-11.649900000000001</v>
      </c>
      <c r="AF3822">
        <v>12.6177377145838</v>
      </c>
      <c r="AG3822">
        <v>-0.48367860000000001</v>
      </c>
      <c r="AH3822">
        <v>93.8825068545585</v>
      </c>
      <c r="AI3822">
        <v>90.292552418723503</v>
      </c>
      <c r="AJ3822">
        <v>82.345359750509701</v>
      </c>
      <c r="AK3822">
        <v>94.7278541048954</v>
      </c>
      <c r="AL3822">
        <v>79.000647739987301</v>
      </c>
      <c r="AM3822">
        <v>91.969953347032202</v>
      </c>
      <c r="AN3822">
        <v>1.00000001112613</v>
      </c>
    </row>
    <row r="3823" spans="1:40" x14ac:dyDescent="0.25">
      <c r="A3823" t="str">
        <f>"20190304155708772"</f>
        <v>20190304155708772</v>
      </c>
      <c r="B3823" t="str">
        <f>"1551686228768657"</f>
        <v>1551686228768657</v>
      </c>
      <c r="C3823" t="s">
        <v>40</v>
      </c>
      <c r="D3823">
        <v>4.6249209999999996</v>
      </c>
      <c r="E3823">
        <v>0.56381979999999998</v>
      </c>
      <c r="F3823" t="s">
        <v>69</v>
      </c>
      <c r="G3823">
        <v>-168.4119</v>
      </c>
      <c r="H3823">
        <v>0.59861370000000003</v>
      </c>
      <c r="I3823">
        <v>202.66720000000001</v>
      </c>
      <c r="J3823">
        <v>-262.08550000000002</v>
      </c>
      <c r="K3823">
        <v>1.1102099999999999</v>
      </c>
      <c r="L3823">
        <v>214.52520000000001</v>
      </c>
      <c r="M3823">
        <v>0.99983920000000004</v>
      </c>
      <c r="N3823">
        <v>-1.467803E-2</v>
      </c>
      <c r="O3823">
        <v>1.030405E-2</v>
      </c>
      <c r="P3823">
        <v>0.98339120000000002</v>
      </c>
      <c r="Q3823">
        <v>0.17620559999999999</v>
      </c>
      <c r="R3823">
        <v>4.351402E-2</v>
      </c>
      <c r="S3823">
        <v>3.071167</v>
      </c>
      <c r="T3823">
        <v>-1.6712189999999998E-2</v>
      </c>
      <c r="U3823">
        <v>-0.3872681</v>
      </c>
      <c r="V3823">
        <v>-3.3370299999999999E-2</v>
      </c>
      <c r="W3823">
        <v>0.19062799999999999</v>
      </c>
      <c r="X3823">
        <v>0.98109500000000005</v>
      </c>
      <c r="Y3823">
        <v>0.13531699999999999</v>
      </c>
      <c r="Z3823">
        <v>-1.2690329999999999E-3</v>
      </c>
      <c r="AA3823">
        <v>0.99080159999999995</v>
      </c>
      <c r="AB3823">
        <v>35</v>
      </c>
      <c r="AC3823">
        <v>93.673599999999993</v>
      </c>
      <c r="AD3823">
        <v>-0.5115963</v>
      </c>
      <c r="AE3823">
        <v>-11.858000000000001</v>
      </c>
      <c r="AF3823">
        <v>12.822315345858099</v>
      </c>
      <c r="AG3823">
        <v>-0.5115963</v>
      </c>
      <c r="AH3823">
        <v>93.543681195649199</v>
      </c>
      <c r="AI3823">
        <v>90.310448234239104</v>
      </c>
      <c r="AJ3823">
        <v>82.194934802985301</v>
      </c>
      <c r="AK3823">
        <v>94.419774376112798</v>
      </c>
      <c r="AL3823">
        <v>79.010564236613604</v>
      </c>
      <c r="AM3823">
        <v>91.9480687766318</v>
      </c>
      <c r="AN3823">
        <v>1.00000000516554</v>
      </c>
    </row>
    <row r="3824" spans="1:40" x14ac:dyDescent="0.25">
      <c r="A3824" t="str">
        <f>"20190304155708791"</f>
        <v>20190304155708791</v>
      </c>
      <c r="B3824" t="str">
        <f>"1551686228788177"</f>
        <v>1551686228788177</v>
      </c>
      <c r="C3824" t="s">
        <v>40</v>
      </c>
      <c r="D3824">
        <v>4.6923120000000003</v>
      </c>
      <c r="E3824">
        <v>0.56434379999999995</v>
      </c>
      <c r="F3824" t="s">
        <v>69</v>
      </c>
      <c r="G3824">
        <v>-168.41200000000001</v>
      </c>
      <c r="H3824">
        <v>0.61641880000000004</v>
      </c>
      <c r="I3824">
        <v>202.59549999999999</v>
      </c>
      <c r="J3824">
        <v>-261.79300000000001</v>
      </c>
      <c r="K3824">
        <v>1.1102099999999999</v>
      </c>
      <c r="L3824">
        <v>214.5282</v>
      </c>
      <c r="M3824">
        <v>0.99983940000000004</v>
      </c>
      <c r="N3824">
        <v>-1.4674889999999999E-2</v>
      </c>
      <c r="O3824">
        <v>1.030407E-2</v>
      </c>
      <c r="P3824">
        <v>0.98340269999999996</v>
      </c>
      <c r="Q3824">
        <v>0.17613029999999999</v>
      </c>
      <c r="R3824">
        <v>4.3557760000000001E-2</v>
      </c>
      <c r="S3824">
        <v>3.0708310000000001</v>
      </c>
      <c r="T3824">
        <v>-1.618648E-2</v>
      </c>
      <c r="U3824">
        <v>-0.39108280000000001</v>
      </c>
      <c r="V3824">
        <v>-3.3413869999999998E-2</v>
      </c>
      <c r="W3824">
        <v>0.19054989999999999</v>
      </c>
      <c r="X3824">
        <v>0.98110869999999994</v>
      </c>
      <c r="Y3824">
        <v>0.13654189999999999</v>
      </c>
      <c r="Z3824">
        <v>-1.2679E-3</v>
      </c>
      <c r="AA3824">
        <v>0.99063349999999994</v>
      </c>
      <c r="AB3824">
        <v>35</v>
      </c>
      <c r="AC3824">
        <v>93.381</v>
      </c>
      <c r="AD3824">
        <v>-0.49379119999999999</v>
      </c>
      <c r="AE3824">
        <v>-11.932700000000001</v>
      </c>
      <c r="AF3824">
        <v>12.894019440029499</v>
      </c>
      <c r="AG3824">
        <v>-0.49379119999999999</v>
      </c>
      <c r="AH3824">
        <v>93.250507310128597</v>
      </c>
      <c r="AI3824">
        <v>90.300537215218199</v>
      </c>
      <c r="AJ3824">
        <v>82.127465005593294</v>
      </c>
      <c r="AK3824">
        <v>94.139028466759697</v>
      </c>
      <c r="AL3824">
        <v>79.015122714183306</v>
      </c>
      <c r="AM3824">
        <v>91.950583096109995</v>
      </c>
      <c r="AN3824">
        <v>1.0000000161570299</v>
      </c>
    </row>
    <row r="3825" spans="1:40" x14ac:dyDescent="0.25">
      <c r="A3825" t="str">
        <f>"20190304155708805"</f>
        <v>20190304155708805</v>
      </c>
      <c r="B3825" t="str">
        <f>"1551686228797938"</f>
        <v>1551686228797938</v>
      </c>
      <c r="C3825" t="s">
        <v>40</v>
      </c>
      <c r="D3825">
        <v>4.6292</v>
      </c>
      <c r="E3825">
        <v>0.56441519999999901</v>
      </c>
      <c r="F3825" t="s">
        <v>69</v>
      </c>
      <c r="G3825">
        <v>-168.41200000000001</v>
      </c>
      <c r="H3825">
        <v>0.63690950000000002</v>
      </c>
      <c r="I3825">
        <v>202.5187</v>
      </c>
      <c r="J3825">
        <v>-261.5616</v>
      </c>
      <c r="K3825">
        <v>1.1102160000000001</v>
      </c>
      <c r="L3825">
        <v>214.53059999999999</v>
      </c>
      <c r="M3825">
        <v>0.99983920000000004</v>
      </c>
      <c r="N3825">
        <v>-1.467243E-2</v>
      </c>
      <c r="O3825">
        <v>1.0304209999999999E-2</v>
      </c>
      <c r="P3825">
        <v>0.98346060000000002</v>
      </c>
      <c r="Q3825">
        <v>0.17590249999999999</v>
      </c>
      <c r="R3825">
        <v>4.317091E-2</v>
      </c>
      <c r="S3825">
        <v>3.0709230000000001</v>
      </c>
      <c r="T3825">
        <v>-1.5563850000000001E-2</v>
      </c>
      <c r="U3825">
        <v>-0.39494319999999999</v>
      </c>
      <c r="V3825">
        <v>-3.3026130000000001E-2</v>
      </c>
      <c r="W3825">
        <v>0.1903205</v>
      </c>
      <c r="X3825">
        <v>0.98116639999999999</v>
      </c>
      <c r="Y3825">
        <v>0.13776379999999999</v>
      </c>
      <c r="Z3825">
        <v>-1.26402E-3</v>
      </c>
      <c r="AA3825">
        <v>0.99046429999999996</v>
      </c>
      <c r="AB3825">
        <v>35</v>
      </c>
      <c r="AC3825">
        <v>93.149600000000007</v>
      </c>
      <c r="AD3825">
        <v>-0.47330650000000002</v>
      </c>
      <c r="AE3825">
        <v>-12.011899999999899</v>
      </c>
      <c r="AF3825">
        <v>12.97086917819</v>
      </c>
      <c r="AG3825">
        <v>-0.47330650000000002</v>
      </c>
      <c r="AH3825">
        <v>93.018504898290004</v>
      </c>
      <c r="AI3825">
        <v>90.288742193140905</v>
      </c>
      <c r="AJ3825">
        <v>82.061638002561395</v>
      </c>
      <c r="AK3825">
        <v>93.919698252250797</v>
      </c>
      <c r="AL3825">
        <v>79.028511882252701</v>
      </c>
      <c r="AM3825">
        <v>91.927852100461905</v>
      </c>
      <c r="AN3825">
        <v>1.0000000612359901</v>
      </c>
    </row>
    <row r="3826" spans="1:40" x14ac:dyDescent="0.25">
      <c r="A3826" t="str">
        <f>"20190304155708826"</f>
        <v>20190304155708826</v>
      </c>
      <c r="B3826" t="str">
        <f>"1551686228818433"</f>
        <v>1551686228818433</v>
      </c>
      <c r="C3826" t="s">
        <v>40</v>
      </c>
      <c r="D3826">
        <v>4.6645500000000002</v>
      </c>
      <c r="E3826">
        <v>0.56479040000000003</v>
      </c>
      <c r="F3826" t="s">
        <v>69</v>
      </c>
      <c r="G3826">
        <v>-168.41200000000001</v>
      </c>
      <c r="H3826">
        <v>0.63047980000000003</v>
      </c>
      <c r="I3826">
        <v>202.49350000000001</v>
      </c>
      <c r="J3826">
        <v>-261.25380000000001</v>
      </c>
      <c r="K3826">
        <v>1.110215</v>
      </c>
      <c r="L3826">
        <v>214.53380000000001</v>
      </c>
      <c r="M3826">
        <v>0.99983929999999999</v>
      </c>
      <c r="N3826">
        <v>-1.4669069999999999E-2</v>
      </c>
      <c r="O3826">
        <v>1.0304229999999999E-2</v>
      </c>
      <c r="P3826">
        <v>0.98346020000000001</v>
      </c>
      <c r="Q3826">
        <v>0.17590129999999901</v>
      </c>
      <c r="R3826">
        <v>4.318665E-2</v>
      </c>
      <c r="S3826">
        <v>3.0707089999999999</v>
      </c>
      <c r="T3826">
        <v>-1.5813589999999999E-2</v>
      </c>
      <c r="U3826">
        <v>-0.39680480000000001</v>
      </c>
      <c r="V3826">
        <v>-3.3042530000000001E-2</v>
      </c>
      <c r="W3826">
        <v>0.19031580000000001</v>
      </c>
      <c r="X3826">
        <v>0.98116669999999995</v>
      </c>
      <c r="Y3826">
        <v>0.13836300000000001</v>
      </c>
      <c r="Z3826">
        <v>-1.276243E-3</v>
      </c>
      <c r="AA3826">
        <v>0.99038079999999995</v>
      </c>
      <c r="AB3826">
        <v>35</v>
      </c>
      <c r="AC3826">
        <v>92.841800000000006</v>
      </c>
      <c r="AD3826">
        <v>-0.47973519999999897</v>
      </c>
      <c r="AE3826">
        <v>-12.0403</v>
      </c>
      <c r="AF3826">
        <v>12.9960855961641</v>
      </c>
      <c r="AG3826">
        <v>-0.47973519999999897</v>
      </c>
      <c r="AH3826">
        <v>92.710356147046895</v>
      </c>
      <c r="AI3826">
        <v>90.293607095406401</v>
      </c>
      <c r="AJ3826">
        <v>82.020306464215594</v>
      </c>
      <c r="AK3826">
        <v>93.618045929175494</v>
      </c>
      <c r="AL3826">
        <v>79.028785537524996</v>
      </c>
      <c r="AM3826">
        <v>91.928808114275</v>
      </c>
      <c r="AN3826">
        <v>1.00000000285366</v>
      </c>
    </row>
    <row r="3827" spans="1:40" x14ac:dyDescent="0.25">
      <c r="A3827" t="str">
        <f>"20190304155708839"</f>
        <v>20190304155708839</v>
      </c>
      <c r="B3827" t="str">
        <f>"1551686228828194"</f>
        <v>1551686228828194</v>
      </c>
      <c r="C3827" t="s">
        <v>40</v>
      </c>
      <c r="D3827">
        <v>4.6176649999999997</v>
      </c>
      <c r="E3827">
        <v>0.56484529999999999</v>
      </c>
      <c r="F3827" t="s">
        <v>69</v>
      </c>
      <c r="G3827">
        <v>-168.41200000000001</v>
      </c>
      <c r="H3827">
        <v>0.65566440000000004</v>
      </c>
      <c r="I3827">
        <v>202.44329999999999</v>
      </c>
      <c r="J3827">
        <v>-261.02730000000003</v>
      </c>
      <c r="K3827">
        <v>1.1102179999999999</v>
      </c>
      <c r="L3827">
        <v>214.5361</v>
      </c>
      <c r="M3827">
        <v>0.99983949999999999</v>
      </c>
      <c r="N3827">
        <v>-1.4666709999999999E-2</v>
      </c>
      <c r="O3827">
        <v>1.030413E-2</v>
      </c>
      <c r="P3827">
        <v>0.98344489999999996</v>
      </c>
      <c r="Q3827">
        <v>0.17603150000000001</v>
      </c>
      <c r="R3827">
        <v>4.3004920000000002E-2</v>
      </c>
      <c r="S3827">
        <v>3.0707089999999999</v>
      </c>
      <c r="T3827">
        <v>-1.5033009999999999E-2</v>
      </c>
      <c r="U3827">
        <v>-0.3998871</v>
      </c>
      <c r="V3827">
        <v>-3.2860640000000003E-2</v>
      </c>
      <c r="W3827">
        <v>0.19044359999999999</v>
      </c>
      <c r="X3827">
        <v>0.98114800000000002</v>
      </c>
      <c r="Y3827">
        <v>0.13934079999999999</v>
      </c>
      <c r="Z3827">
        <v>-1.265616E-3</v>
      </c>
      <c r="AA3827">
        <v>0.99024369999999995</v>
      </c>
      <c r="AB3827">
        <v>35</v>
      </c>
      <c r="AC3827">
        <v>92.615300000000005</v>
      </c>
      <c r="AD3827">
        <v>-0.454553599999999</v>
      </c>
      <c r="AE3827">
        <v>-12.0928</v>
      </c>
      <c r="AF3827">
        <v>13.0462714756352</v>
      </c>
      <c r="AG3827">
        <v>-0.454553599999999</v>
      </c>
      <c r="AH3827">
        <v>92.483572504764197</v>
      </c>
      <c r="AI3827">
        <v>90.278843807359394</v>
      </c>
      <c r="AJ3827">
        <v>81.9705050142217</v>
      </c>
      <c r="AK3827">
        <v>93.400337267245504</v>
      </c>
      <c r="AL3827">
        <v>79.021326600387795</v>
      </c>
      <c r="AM3827">
        <v>91.9182350444744</v>
      </c>
      <c r="AN3827">
        <v>0.999999992173084</v>
      </c>
    </row>
    <row r="3828" spans="1:40" x14ac:dyDescent="0.25">
      <c r="A3828" t="str">
        <f>"20190304155708857"</f>
        <v>20190304155708857</v>
      </c>
      <c r="B3828" t="str">
        <f>"1551686228848689"</f>
        <v>1551686228848689</v>
      </c>
      <c r="C3828" t="s">
        <v>40</v>
      </c>
      <c r="D3828">
        <v>4.5519590000000001</v>
      </c>
      <c r="E3828">
        <v>0.56502959999999902</v>
      </c>
      <c r="F3828" t="s">
        <v>69</v>
      </c>
      <c r="G3828">
        <v>-168.41200000000001</v>
      </c>
      <c r="H3828">
        <v>0.69905280000000003</v>
      </c>
      <c r="I3828">
        <v>202.44390000000001</v>
      </c>
      <c r="J3828">
        <v>-260.75779999999997</v>
      </c>
      <c r="K3828">
        <v>1.110222</v>
      </c>
      <c r="L3828">
        <v>214.53890000000001</v>
      </c>
      <c r="M3828">
        <v>0.99983940000000004</v>
      </c>
      <c r="N3828">
        <v>-1.4663890000000001E-2</v>
      </c>
      <c r="O3828">
        <v>1.0304270000000001E-2</v>
      </c>
      <c r="P3828">
        <v>0.98347099999999998</v>
      </c>
      <c r="Q3828">
        <v>0.17596020000000001</v>
      </c>
      <c r="R3828">
        <v>4.2696020000000001E-2</v>
      </c>
      <c r="S3828">
        <v>3.0704959999999999</v>
      </c>
      <c r="T3828">
        <v>-1.3630389999999999E-2</v>
      </c>
      <c r="U3828">
        <v>-0.40089419999999998</v>
      </c>
      <c r="V3828">
        <v>-3.2551400000000001E-2</v>
      </c>
      <c r="W3828">
        <v>0.1903696</v>
      </c>
      <c r="X3828">
        <v>0.98117270000000001</v>
      </c>
      <c r="Y3828">
        <v>0.13966990000000001</v>
      </c>
      <c r="Z3828">
        <v>-1.2322590000000001E-3</v>
      </c>
      <c r="AA3828">
        <v>0.99019740000000001</v>
      </c>
      <c r="AB3828">
        <v>35</v>
      </c>
      <c r="AC3828">
        <v>92.345799999999898</v>
      </c>
      <c r="AD3828">
        <v>-0.41116920000000001</v>
      </c>
      <c r="AE3828">
        <v>-12.095000000000001</v>
      </c>
      <c r="AF3828">
        <v>13.0457618304342</v>
      </c>
      <c r="AG3828">
        <v>-0.41116920000000001</v>
      </c>
      <c r="AH3828">
        <v>92.214455431707606</v>
      </c>
      <c r="AI3828">
        <v>90.252952074228304</v>
      </c>
      <c r="AJ3828">
        <v>81.947689245895504</v>
      </c>
      <c r="AK3828">
        <v>93.133596260499999</v>
      </c>
      <c r="AL3828">
        <v>79.025645840599296</v>
      </c>
      <c r="AM3828">
        <v>91.900148701036102</v>
      </c>
      <c r="AN3828">
        <v>1.0000000227357</v>
      </c>
    </row>
    <row r="3829" spans="1:40" x14ac:dyDescent="0.25">
      <c r="A3829" t="str">
        <f>"20190304155708873"</f>
        <v>20190304155708873</v>
      </c>
      <c r="B3829" t="str">
        <f>"1551686228868209"</f>
        <v>1551686228868209</v>
      </c>
      <c r="C3829" t="s">
        <v>40</v>
      </c>
      <c r="D3829">
        <v>4.603758</v>
      </c>
      <c r="E3829">
        <v>0.56529929999999995</v>
      </c>
      <c r="F3829" t="s">
        <v>69</v>
      </c>
      <c r="G3829">
        <v>-168.41210000000001</v>
      </c>
      <c r="H3829">
        <v>0.73590279999999997</v>
      </c>
      <c r="I3829">
        <v>202.40430000000001</v>
      </c>
      <c r="J3829">
        <v>-260.51940000000002</v>
      </c>
      <c r="K3829">
        <v>1.110225</v>
      </c>
      <c r="L3829">
        <v>214.54130000000001</v>
      </c>
      <c r="M3829">
        <v>0.99983949999999999</v>
      </c>
      <c r="N3829">
        <v>-1.466129E-2</v>
      </c>
      <c r="O3829">
        <v>1.0304290000000001E-2</v>
      </c>
      <c r="P3829">
        <v>0.98345910000000003</v>
      </c>
      <c r="Q3829">
        <v>0.1761151</v>
      </c>
      <c r="R3829">
        <v>4.2333999999999997E-2</v>
      </c>
      <c r="S3829">
        <v>3.0701290000000001</v>
      </c>
      <c r="T3829">
        <v>-1.2443539999999999E-2</v>
      </c>
      <c r="U3829">
        <v>-0.40342709999999998</v>
      </c>
      <c r="V3829">
        <v>-3.2189240000000001E-2</v>
      </c>
      <c r="W3829">
        <v>0.19052230000000001</v>
      </c>
      <c r="X3829">
        <v>0.981155</v>
      </c>
      <c r="Y3829">
        <v>0.14048869999999999</v>
      </c>
      <c r="Z3829">
        <v>-1.209021E-3</v>
      </c>
      <c r="AA3829">
        <v>0.99008149999999995</v>
      </c>
      <c r="AB3829">
        <v>35</v>
      </c>
      <c r="AC3829">
        <v>92.107299999999995</v>
      </c>
      <c r="AD3829">
        <v>-0.37432219999999999</v>
      </c>
      <c r="AE3829">
        <v>-12.137</v>
      </c>
      <c r="AF3829">
        <v>13.0853453508374</v>
      </c>
      <c r="AG3829">
        <v>-0.37432219999999999</v>
      </c>
      <c r="AH3829">
        <v>91.975839174993894</v>
      </c>
      <c r="AI3829">
        <v>90.230855811623798</v>
      </c>
      <c r="AJ3829">
        <v>81.902903323490406</v>
      </c>
      <c r="AK3829">
        <v>92.902752230514906</v>
      </c>
      <c r="AL3829">
        <v>79.016733564566195</v>
      </c>
      <c r="AM3829">
        <v>91.879057161244702</v>
      </c>
      <c r="AN3829">
        <v>1.00000001399703</v>
      </c>
    </row>
    <row r="3830" spans="1:40" x14ac:dyDescent="0.25">
      <c r="A3830" t="str">
        <f>"20190304155708896"</f>
        <v>20190304155708896</v>
      </c>
      <c r="B3830" t="str">
        <f>"1551686228888705"</f>
        <v>1551686228888705</v>
      </c>
      <c r="C3830" t="s">
        <v>40</v>
      </c>
      <c r="D3830">
        <v>4.6449610000000003</v>
      </c>
      <c r="E3830">
        <v>0.56559429999999999</v>
      </c>
      <c r="F3830" t="s">
        <v>69</v>
      </c>
      <c r="G3830">
        <v>-168.41210000000001</v>
      </c>
      <c r="H3830">
        <v>0.80001449999999996</v>
      </c>
      <c r="I3830">
        <v>202.32830000000001</v>
      </c>
      <c r="J3830">
        <v>-260.15589999999997</v>
      </c>
      <c r="K3830">
        <v>1.1102259999999999</v>
      </c>
      <c r="L3830">
        <v>214.54509999999999</v>
      </c>
      <c r="M3830">
        <v>0.99983949999999999</v>
      </c>
      <c r="N3830">
        <v>-1.465704E-2</v>
      </c>
      <c r="O3830">
        <v>1.030432E-2</v>
      </c>
      <c r="P3830">
        <v>0.98343080000000005</v>
      </c>
      <c r="Q3830">
        <v>0.17640989999999901</v>
      </c>
      <c r="R3830">
        <v>4.1753169999999999E-2</v>
      </c>
      <c r="S3830">
        <v>3.0698240000000001</v>
      </c>
      <c r="T3830">
        <v>-1.0337829999999999E-2</v>
      </c>
      <c r="U3830">
        <v>-0.4070435</v>
      </c>
      <c r="V3830">
        <v>-3.1609159999999997E-2</v>
      </c>
      <c r="W3830">
        <v>0.19081200000000001</v>
      </c>
      <c r="X3830">
        <v>0.98111749999999998</v>
      </c>
      <c r="Y3830">
        <v>0.14164869999999999</v>
      </c>
      <c r="Z3830">
        <v>-1.164331E-3</v>
      </c>
      <c r="AA3830">
        <v>0.98991629999999997</v>
      </c>
      <c r="AB3830">
        <v>35</v>
      </c>
      <c r="AC3830">
        <v>91.743799999999894</v>
      </c>
      <c r="AD3830">
        <v>-0.31021149999999897</v>
      </c>
      <c r="AE3830">
        <v>-12.2167999999999</v>
      </c>
      <c r="AF3830">
        <v>13.1614624243058</v>
      </c>
      <c r="AG3830">
        <v>-0.31021149999999897</v>
      </c>
      <c r="AH3830">
        <v>91.611999696694795</v>
      </c>
      <c r="AI3830">
        <v>90.192039384942404</v>
      </c>
      <c r="AJ3830">
        <v>81.8245267109845</v>
      </c>
      <c r="AK3830">
        <v>92.553113468690796</v>
      </c>
      <c r="AL3830">
        <v>78.999824108510694</v>
      </c>
      <c r="AM3830">
        <v>91.8452889084557</v>
      </c>
      <c r="AN3830">
        <v>0.99999995357307603</v>
      </c>
    </row>
    <row r="3831" spans="1:40" x14ac:dyDescent="0.25">
      <c r="A3831" t="str">
        <f>"20190304155708917"</f>
        <v>20190304155708917</v>
      </c>
      <c r="B3831" t="str">
        <f>"1551686228908225"</f>
        <v>1551686228908225</v>
      </c>
      <c r="C3831" t="s">
        <v>40</v>
      </c>
      <c r="D3831">
        <v>4.5459610000000001</v>
      </c>
      <c r="E3831">
        <v>0.56575889999999995</v>
      </c>
      <c r="F3831" t="s">
        <v>69</v>
      </c>
      <c r="G3831">
        <v>-168.41220000000001</v>
      </c>
      <c r="H3831">
        <v>0.87855910000000004</v>
      </c>
      <c r="I3831">
        <v>202.24590000000001</v>
      </c>
      <c r="J3831">
        <v>-259.82010000000002</v>
      </c>
      <c r="K3831">
        <v>1.110222</v>
      </c>
      <c r="L3831">
        <v>214.54849999999999</v>
      </c>
      <c r="M3831">
        <v>0.99983949999999999</v>
      </c>
      <c r="N3831">
        <v>-1.4653050000000001E-2</v>
      </c>
      <c r="O3831">
        <v>1.030435E-2</v>
      </c>
      <c r="P3831">
        <v>0.98346979999999995</v>
      </c>
      <c r="Q3831">
        <v>0.17644170000000001</v>
      </c>
      <c r="R3831">
        <v>4.0689940000000001E-2</v>
      </c>
      <c r="S3831">
        <v>3.0693969999999999</v>
      </c>
      <c r="T3831">
        <v>-7.7495569999999998E-3</v>
      </c>
      <c r="U3831">
        <v>-0.41148380000000001</v>
      </c>
      <c r="V3831">
        <v>-3.0545579999999999E-2</v>
      </c>
      <c r="W3831">
        <v>0.1908406</v>
      </c>
      <c r="X3831">
        <v>0.98114570000000001</v>
      </c>
      <c r="Y3831">
        <v>0.1430746</v>
      </c>
      <c r="Z3831">
        <v>-1.108389E-3</v>
      </c>
      <c r="AA3831">
        <v>0.98971129999999996</v>
      </c>
      <c r="AB3831">
        <v>35</v>
      </c>
      <c r="AC3831">
        <v>91.407899999999998</v>
      </c>
      <c r="AD3831">
        <v>-0.23166289999999901</v>
      </c>
      <c r="AE3831">
        <v>-12.302599999999901</v>
      </c>
      <c r="AF3831">
        <v>13.2438633143638</v>
      </c>
      <c r="AG3831">
        <v>-0.23166289999999901</v>
      </c>
      <c r="AH3831">
        <v>91.275686243915501</v>
      </c>
      <c r="AI3831">
        <v>90.143912628252906</v>
      </c>
      <c r="AJ3831">
        <v>81.744148041008003</v>
      </c>
      <c r="AK3831">
        <v>92.231797567251704</v>
      </c>
      <c r="AL3831">
        <v>78.9981555781971</v>
      </c>
      <c r="AM3831">
        <v>91.783188485184994</v>
      </c>
      <c r="AN3831">
        <v>1.0000000258471899</v>
      </c>
    </row>
    <row r="3832" spans="1:40" x14ac:dyDescent="0.25">
      <c r="A3832" t="str">
        <f>"20190304155708935"</f>
        <v>20190304155708935</v>
      </c>
      <c r="B3832" t="str">
        <f>"1551686228928722"</f>
        <v>1551686228928722</v>
      </c>
      <c r="C3832" t="s">
        <v>40</v>
      </c>
      <c r="D3832">
        <v>4.5230499999999996</v>
      </c>
      <c r="E3832">
        <v>0.56588109999999903</v>
      </c>
      <c r="F3832" t="s">
        <v>69</v>
      </c>
      <c r="G3832">
        <v>-168.41220000000001</v>
      </c>
      <c r="H3832">
        <v>0.9170876</v>
      </c>
      <c r="I3832">
        <v>202.14250000000001</v>
      </c>
      <c r="J3832">
        <v>-259.54730000000001</v>
      </c>
      <c r="K3832">
        <v>1.110223</v>
      </c>
      <c r="L3832">
        <v>214.5513</v>
      </c>
      <c r="M3832">
        <v>0.99983960000000005</v>
      </c>
      <c r="N3832">
        <v>-1.464823E-2</v>
      </c>
      <c r="O3832">
        <v>1.030439E-2</v>
      </c>
      <c r="P3832">
        <v>0.98351370000000005</v>
      </c>
      <c r="Q3832">
        <v>0.1762899</v>
      </c>
      <c r="R3832">
        <v>4.0286530000000001E-2</v>
      </c>
      <c r="S3832">
        <v>3.0688170000000001</v>
      </c>
      <c r="T3832">
        <v>-6.4829589999999999E-3</v>
      </c>
      <c r="U3832">
        <v>-0.41650389999999998</v>
      </c>
      <c r="V3832">
        <v>-3.0141350000000001E-2</v>
      </c>
      <c r="W3832">
        <v>0.1906842</v>
      </c>
      <c r="X3832">
        <v>0.98118859999999997</v>
      </c>
      <c r="Y3832">
        <v>0.1446897</v>
      </c>
      <c r="Z3832">
        <v>-1.088194E-3</v>
      </c>
      <c r="AA3832">
        <v>0.98947649999999998</v>
      </c>
      <c r="AB3832">
        <v>35</v>
      </c>
      <c r="AC3832">
        <v>91.135099999999994</v>
      </c>
      <c r="AD3832">
        <v>-0.19313540000000001</v>
      </c>
      <c r="AE3832">
        <v>-12.4087999999999</v>
      </c>
      <c r="AF3832">
        <v>13.3472745932094</v>
      </c>
      <c r="AG3832">
        <v>-0.19313540000000001</v>
      </c>
      <c r="AH3832">
        <v>91.001980353788994</v>
      </c>
      <c r="AI3832">
        <v>90.120312643479394</v>
      </c>
      <c r="AJ3832">
        <v>81.655912739979101</v>
      </c>
      <c r="AK3832">
        <v>91.975798276833004</v>
      </c>
      <c r="AL3832">
        <v>79.007284175949493</v>
      </c>
      <c r="AM3832">
        <v>91.759528413056302</v>
      </c>
      <c r="AN3832">
        <v>1.0000000169397101</v>
      </c>
    </row>
    <row r="3833" spans="1:40" x14ac:dyDescent="0.25">
      <c r="A3833" t="str">
        <f>"20190304155708952"</f>
        <v>20190304155708952</v>
      </c>
      <c r="B3833" t="str">
        <f>"1551686228948242"</f>
        <v>1551686228948242</v>
      </c>
      <c r="C3833" t="s">
        <v>40</v>
      </c>
      <c r="D3833">
        <v>4.5897819999999996</v>
      </c>
      <c r="E3833">
        <v>0.56617340000000005</v>
      </c>
      <c r="F3833" t="s">
        <v>69</v>
      </c>
      <c r="G3833">
        <v>-168.41220000000001</v>
      </c>
      <c r="H3833">
        <v>0.93890379999999996</v>
      </c>
      <c r="I3833">
        <v>202.11699999999999</v>
      </c>
      <c r="J3833">
        <v>-259.29759999999999</v>
      </c>
      <c r="K3833">
        <v>1.1102209999999999</v>
      </c>
      <c r="L3833">
        <v>214.5539</v>
      </c>
      <c r="M3833">
        <v>0.9998397</v>
      </c>
      <c r="N3833">
        <v>-1.4639549999999999E-2</v>
      </c>
      <c r="O3833">
        <v>1.030463E-2</v>
      </c>
      <c r="P3833">
        <v>0.98355760000000003</v>
      </c>
      <c r="Q3833">
        <v>0.17625679999999999</v>
      </c>
      <c r="R3833">
        <v>3.9344629999999998E-2</v>
      </c>
      <c r="S3833">
        <v>3.068451</v>
      </c>
      <c r="T3833">
        <v>-5.7671069999999996E-3</v>
      </c>
      <c r="U3833">
        <v>-0.41865540000000001</v>
      </c>
      <c r="V3833">
        <v>-2.9198829999999999E-2</v>
      </c>
      <c r="W3833">
        <v>0.19064349999999999</v>
      </c>
      <c r="X3833">
        <v>0.98122500000000001</v>
      </c>
      <c r="Y3833">
        <v>0.14538699999999999</v>
      </c>
      <c r="Z3833">
        <v>-1.074307E-3</v>
      </c>
      <c r="AA3833">
        <v>0.98937430000000004</v>
      </c>
      <c r="AB3833">
        <v>35</v>
      </c>
      <c r="AC3833">
        <v>90.885399999999905</v>
      </c>
      <c r="AD3833">
        <v>-0.171317199999999</v>
      </c>
      <c r="AE3833">
        <v>-12.4368999999999</v>
      </c>
      <c r="AF3833">
        <v>13.372833717461999</v>
      </c>
      <c r="AG3833">
        <v>-0.171317199999999</v>
      </c>
      <c r="AH3833">
        <v>90.752085564333797</v>
      </c>
      <c r="AI3833">
        <v>90.107004458679995</v>
      </c>
      <c r="AJ3833">
        <v>81.617466977368593</v>
      </c>
      <c r="AK3833">
        <v>91.7322356944061</v>
      </c>
      <c r="AL3833">
        <v>79.009659594761402</v>
      </c>
      <c r="AM3833">
        <v>91.704477746893204</v>
      </c>
      <c r="AN3833">
        <v>1.0000000081953</v>
      </c>
    </row>
    <row r="3834" spans="1:40" x14ac:dyDescent="0.25">
      <c r="A3834" t="str">
        <f>"20190304155708966"</f>
        <v>20190304155708966</v>
      </c>
      <c r="B3834" t="str">
        <f>"1551686228958978"</f>
        <v>1551686228958978</v>
      </c>
      <c r="C3834" t="s">
        <v>40</v>
      </c>
      <c r="D3834">
        <v>4.4728279999999998</v>
      </c>
      <c r="E3834">
        <v>0.56625400000000004</v>
      </c>
      <c r="F3834" t="s">
        <v>69</v>
      </c>
      <c r="G3834">
        <v>-168.41229999999999</v>
      </c>
      <c r="H3834">
        <v>0.96751790000000004</v>
      </c>
      <c r="I3834">
        <v>201.98230000000001</v>
      </c>
      <c r="J3834">
        <v>-259.05340000000001</v>
      </c>
      <c r="K3834">
        <v>1.110217</v>
      </c>
      <c r="L3834">
        <v>214.5564</v>
      </c>
      <c r="M3834">
        <v>0.99984010000000001</v>
      </c>
      <c r="N3834">
        <v>-1.462185E-2</v>
      </c>
      <c r="O3834">
        <v>1.030446E-2</v>
      </c>
      <c r="P3834">
        <v>0.98358939999999995</v>
      </c>
      <c r="Q3834">
        <v>0.1762089</v>
      </c>
      <c r="R3834">
        <v>3.876922E-2</v>
      </c>
      <c r="S3834">
        <v>3.067993</v>
      </c>
      <c r="T3834">
        <v>-4.8160549999999996E-3</v>
      </c>
      <c r="U3834">
        <v>-0.42437740000000002</v>
      </c>
      <c r="V3834">
        <v>-2.862369E-2</v>
      </c>
      <c r="W3834">
        <v>0.190578</v>
      </c>
      <c r="X3834">
        <v>0.98125469999999904</v>
      </c>
      <c r="Y3834">
        <v>0.14721779999999901</v>
      </c>
      <c r="Z3834">
        <v>-1.0626259999999999E-3</v>
      </c>
      <c r="AA3834">
        <v>0.98910359999999997</v>
      </c>
      <c r="AB3834">
        <v>35</v>
      </c>
      <c r="AC3834">
        <v>90.641099999999994</v>
      </c>
      <c r="AD3834">
        <v>-0.142699099999999</v>
      </c>
      <c r="AE3834">
        <v>-12.5740999999999</v>
      </c>
      <c r="AF3834">
        <v>13.5075067760829</v>
      </c>
      <c r="AG3834">
        <v>-0.142699099999999</v>
      </c>
      <c r="AH3834">
        <v>90.506483385425696</v>
      </c>
      <c r="AI3834">
        <v>90.089347055488105</v>
      </c>
      <c r="AJ3834">
        <v>81.511628058391594</v>
      </c>
      <c r="AK3834">
        <v>91.508997574748904</v>
      </c>
      <c r="AL3834">
        <v>79.013482891124198</v>
      </c>
      <c r="AM3834">
        <v>91.670872705308994</v>
      </c>
      <c r="AN3834">
        <v>1.0000000379926499</v>
      </c>
    </row>
    <row r="3835" spans="1:40" x14ac:dyDescent="0.25">
      <c r="A3835" t="str">
        <f>"20190304155708985"</f>
        <v>20190304155708985</v>
      </c>
      <c r="B3835" t="str">
        <f>"1551686228978497"</f>
        <v>1551686228978497</v>
      </c>
      <c r="C3835" t="s">
        <v>40</v>
      </c>
      <c r="D3835">
        <v>4.8342559999999999</v>
      </c>
      <c r="E3835">
        <v>0.56646160000000001</v>
      </c>
      <c r="F3835" t="s">
        <v>69</v>
      </c>
      <c r="G3835">
        <v>-168.41229999999999</v>
      </c>
      <c r="H3835">
        <v>0.98520660000000004</v>
      </c>
      <c r="I3835">
        <v>201.94</v>
      </c>
      <c r="J3835">
        <v>-258.77999999999997</v>
      </c>
      <c r="K3835">
        <v>1.1102160000000001</v>
      </c>
      <c r="L3835">
        <v>214.5592</v>
      </c>
      <c r="M3835">
        <v>0.99984059999999997</v>
      </c>
      <c r="N3835">
        <v>-1.4589380000000001E-2</v>
      </c>
      <c r="O3835">
        <v>1.0304519999999999E-2</v>
      </c>
      <c r="P3835">
        <v>0.98367170000000004</v>
      </c>
      <c r="Q3835">
        <v>0.1759346</v>
      </c>
      <c r="R3835">
        <v>3.7911720000000003E-2</v>
      </c>
      <c r="S3835">
        <v>3.0676420000000002</v>
      </c>
      <c r="T3835">
        <v>-4.2297840000000003E-3</v>
      </c>
      <c r="U3835">
        <v>-0.4269867</v>
      </c>
      <c r="V3835">
        <v>-2.7764879999999999E-2</v>
      </c>
      <c r="W3835">
        <v>0.1902732</v>
      </c>
      <c r="X3835">
        <v>0.9813385</v>
      </c>
      <c r="Y3835">
        <v>0.14805879999999999</v>
      </c>
      <c r="Z3835">
        <v>-1.0514159999999999E-3</v>
      </c>
      <c r="AA3835">
        <v>0.98897800000000002</v>
      </c>
      <c r="AB3835">
        <v>35</v>
      </c>
      <c r="AC3835">
        <v>90.367699999999999</v>
      </c>
      <c r="AD3835">
        <v>-0.12500939999999999</v>
      </c>
      <c r="AE3835">
        <v>-12.619199999999999</v>
      </c>
      <c r="AF3835">
        <v>13.5497992031737</v>
      </c>
      <c r="AG3835">
        <v>-0.12500939999999999</v>
      </c>
      <c r="AH3835">
        <v>90.232683096932703</v>
      </c>
      <c r="AI3835">
        <v>90.078498069797604</v>
      </c>
      <c r="AJ3835">
        <v>81.459983657600105</v>
      </c>
      <c r="AK3835">
        <v>91.244450706154794</v>
      </c>
      <c r="AL3835">
        <v>79.031271907719301</v>
      </c>
      <c r="AM3835">
        <v>91.620629550793197</v>
      </c>
      <c r="AN3835">
        <v>1.0000000153909501</v>
      </c>
    </row>
    <row r="3836" spans="1:40" x14ac:dyDescent="0.25">
      <c r="A3836" t="str">
        <f>"20190304155709002"</f>
        <v>20190304155709002</v>
      </c>
      <c r="B3836" t="str">
        <f>"1551686228998994"</f>
        <v>1551686228998994</v>
      </c>
      <c r="C3836" t="s">
        <v>40</v>
      </c>
      <c r="D3836">
        <v>4.9274279999999999</v>
      </c>
      <c r="E3836">
        <v>0.56649189999999905</v>
      </c>
      <c r="F3836" t="s">
        <v>69</v>
      </c>
      <c r="G3836">
        <v>-168.41239999999999</v>
      </c>
      <c r="H3836">
        <v>0.9693813</v>
      </c>
      <c r="I3836">
        <v>201.8374</v>
      </c>
      <c r="J3836">
        <v>-258.50420000000003</v>
      </c>
      <c r="K3836">
        <v>1.1102050000000001</v>
      </c>
      <c r="L3836">
        <v>214.56209999999999</v>
      </c>
      <c r="M3836">
        <v>0.99984130000000004</v>
      </c>
      <c r="N3836">
        <v>-1.4540900000000001E-2</v>
      </c>
      <c r="O3836">
        <v>1.0304519999999999E-2</v>
      </c>
      <c r="P3836">
        <v>0.98364890000000005</v>
      </c>
      <c r="Q3836">
        <v>0.17615059999999999</v>
      </c>
      <c r="R3836">
        <v>3.7497809999999999E-2</v>
      </c>
      <c r="S3836">
        <v>3.067291</v>
      </c>
      <c r="T3836">
        <v>-4.7790999999999997E-3</v>
      </c>
      <c r="U3836">
        <v>-0.43180849999999998</v>
      </c>
      <c r="V3836">
        <v>-2.7351250000000001E-2</v>
      </c>
      <c r="W3836">
        <v>0.19044079999999999</v>
      </c>
      <c r="X3836">
        <v>0.98131760000000001</v>
      </c>
      <c r="Y3836">
        <v>0.1495986</v>
      </c>
      <c r="Z3836">
        <v>-1.075915E-3</v>
      </c>
      <c r="AA3836">
        <v>0.98874620000000002</v>
      </c>
      <c r="AB3836">
        <v>35</v>
      </c>
      <c r="AC3836">
        <v>90.091800000000006</v>
      </c>
      <c r="AD3836">
        <v>-0.140823699999999</v>
      </c>
      <c r="AE3836">
        <v>-12.724699999999901</v>
      </c>
      <c r="AF3836">
        <v>13.6524423608571</v>
      </c>
      <c r="AG3836">
        <v>-0.140823699999999</v>
      </c>
      <c r="AH3836">
        <v>89.9556644821605</v>
      </c>
      <c r="AI3836">
        <v>90.088679768512904</v>
      </c>
      <c r="AJ3836">
        <v>81.370158512896694</v>
      </c>
      <c r="AK3836">
        <v>90.985881246257307</v>
      </c>
      <c r="AL3836">
        <v>79.021490224495494</v>
      </c>
      <c r="AM3836">
        <v>91.5965326382249</v>
      </c>
      <c r="AN3836">
        <v>1.0000000106254801</v>
      </c>
    </row>
    <row r="3837" spans="1:40" x14ac:dyDescent="0.25">
      <c r="A3837" t="str">
        <f>"20190304155709019"</f>
        <v>20190304155709019</v>
      </c>
      <c r="B3837" t="str">
        <f>"1551686229008753"</f>
        <v>1551686229008753</v>
      </c>
      <c r="C3837" t="s">
        <v>40</v>
      </c>
      <c r="D3837">
        <v>4.8911759999999997</v>
      </c>
      <c r="E3837">
        <v>0.61855380000000004</v>
      </c>
      <c r="F3837" t="s">
        <v>69</v>
      </c>
      <c r="G3837">
        <v>-168.41229999999999</v>
      </c>
      <c r="H3837">
        <v>0.93115619999999999</v>
      </c>
      <c r="I3837">
        <v>201.83430000000001</v>
      </c>
      <c r="J3837">
        <v>-258.25670000000002</v>
      </c>
      <c r="K3837">
        <v>1.110193</v>
      </c>
      <c r="L3837">
        <v>214.56460000000001</v>
      </c>
      <c r="M3837">
        <v>0.99984200000000001</v>
      </c>
      <c r="N3837">
        <v>-1.448402E-2</v>
      </c>
      <c r="O3837">
        <v>1.030476E-2</v>
      </c>
      <c r="P3837">
        <v>0.98372859999999995</v>
      </c>
      <c r="Q3837">
        <v>0.17590899999999901</v>
      </c>
      <c r="R3837">
        <v>3.6523960000000001E-2</v>
      </c>
      <c r="S3837">
        <v>3.06752</v>
      </c>
      <c r="T3837">
        <v>-6.0952899999999997E-3</v>
      </c>
      <c r="U3837">
        <v>-0.4333649</v>
      </c>
      <c r="V3837">
        <v>-2.6376219999999999E-2</v>
      </c>
      <c r="W3837">
        <v>0.19014449999999999</v>
      </c>
      <c r="X3837">
        <v>0.98140170000000004</v>
      </c>
      <c r="Y3837">
        <v>0.15007999999999999</v>
      </c>
      <c r="Z3837">
        <v>-1.1125659999999999E-3</v>
      </c>
      <c r="AA3837">
        <v>0.98867320000000003</v>
      </c>
      <c r="AB3837">
        <v>35</v>
      </c>
      <c r="AC3837">
        <v>89.844399999999993</v>
      </c>
      <c r="AD3837">
        <v>-0.1790368</v>
      </c>
      <c r="AE3837">
        <v>-12.7303</v>
      </c>
      <c r="AF3837">
        <v>13.655492885768799</v>
      </c>
      <c r="AG3837">
        <v>-0.1790368</v>
      </c>
      <c r="AH3837">
        <v>89.708082999914495</v>
      </c>
      <c r="AI3837">
        <v>90.1130468879104</v>
      </c>
      <c r="AJ3837">
        <v>81.344797194447295</v>
      </c>
      <c r="AK3837">
        <v>90.741637056252202</v>
      </c>
      <c r="AL3837">
        <v>79.038782454933695</v>
      </c>
      <c r="AM3837">
        <v>91.539514730623594</v>
      </c>
      <c r="AN3837">
        <v>0.99999996631231303</v>
      </c>
    </row>
    <row r="3838" spans="1:40" x14ac:dyDescent="0.25">
      <c r="A3838" t="str">
        <f>"20190304155709040"</f>
        <v>20190304155709040</v>
      </c>
      <c r="B3838" t="str">
        <f>"1551686229039010"</f>
        <v>1551686229039010</v>
      </c>
      <c r="C3838" t="s">
        <v>40</v>
      </c>
      <c r="D3838">
        <v>4.8404790000000002</v>
      </c>
      <c r="E3838">
        <v>0.62267910000000004</v>
      </c>
      <c r="F3838" t="s">
        <v>69</v>
      </c>
      <c r="G3838">
        <v>-168.416</v>
      </c>
      <c r="H3838">
        <v>5.2738670000000001E-2</v>
      </c>
      <c r="I3838">
        <v>189.75040000000001</v>
      </c>
      <c r="J3838">
        <v>-257.9144</v>
      </c>
      <c r="K3838">
        <v>1.1101639999999999</v>
      </c>
      <c r="L3838">
        <v>214.56819999999999</v>
      </c>
      <c r="M3838">
        <v>0.9998435</v>
      </c>
      <c r="N3838">
        <v>-1.438708E-2</v>
      </c>
      <c r="O3838">
        <v>1.0304819999999999E-2</v>
      </c>
      <c r="P3838">
        <v>0.98389950000000004</v>
      </c>
      <c r="Q3838">
        <v>0.1752677</v>
      </c>
      <c r="R3838">
        <v>3.4979280000000001E-2</v>
      </c>
      <c r="S3838">
        <v>3.0877530000000002</v>
      </c>
      <c r="T3838">
        <v>-3.6342739999999998E-2</v>
      </c>
      <c r="U3838">
        <v>-0.85284419999999905</v>
      </c>
      <c r="V3838">
        <v>-2.4829859999999999E-2</v>
      </c>
      <c r="W3838">
        <v>0.1894103</v>
      </c>
      <c r="X3838">
        <v>0.98158400000000001</v>
      </c>
      <c r="Y3838">
        <v>0.27611210000000003</v>
      </c>
      <c r="Z3838">
        <v>-3.591585E-3</v>
      </c>
      <c r="AA3838">
        <v>0.96111869999999999</v>
      </c>
      <c r="AB3838">
        <v>35</v>
      </c>
      <c r="AC3838">
        <v>89.498400000000004</v>
      </c>
      <c r="AD3838">
        <v>-1.0574253299999901</v>
      </c>
      <c r="AE3838">
        <v>-24.817799999999899</v>
      </c>
      <c r="AF3838">
        <v>25.735506254812499</v>
      </c>
      <c r="AG3838">
        <v>-1.0574253299999901</v>
      </c>
      <c r="AH3838">
        <v>89.226311451853405</v>
      </c>
      <c r="AI3838">
        <v>90.652391040448407</v>
      </c>
      <c r="AJ3838">
        <v>73.910874850279598</v>
      </c>
      <c r="AK3838">
        <v>92.869634896575107</v>
      </c>
      <c r="AL3838">
        <v>79.081627638898397</v>
      </c>
      <c r="AM3838">
        <v>91.449028165542799</v>
      </c>
      <c r="AN3838">
        <v>0.999999966374854</v>
      </c>
    </row>
    <row r="3839" spans="1:40" x14ac:dyDescent="0.25">
      <c r="A3839" t="str">
        <f>"20190304155709075"</f>
        <v>20190304155709075</v>
      </c>
      <c r="B3839" t="str">
        <f>"1551686229068289"</f>
        <v>1551686229068289</v>
      </c>
      <c r="C3839" t="s">
        <v>40</v>
      </c>
      <c r="D3839">
        <v>4.8832550000000001</v>
      </c>
      <c r="E3839">
        <v>0.62439840000000002</v>
      </c>
      <c r="F3839" t="s">
        <v>44</v>
      </c>
      <c r="G3839">
        <v>-204.7526</v>
      </c>
      <c r="H3839">
        <v>-0.05</v>
      </c>
      <c r="I3839">
        <v>199.23740000000001</v>
      </c>
      <c r="J3839">
        <v>-257.39859999999999</v>
      </c>
      <c r="K3839">
        <v>1.110131</v>
      </c>
      <c r="L3839">
        <v>214.5735</v>
      </c>
      <c r="M3839">
        <v>0.99984600000000001</v>
      </c>
      <c r="N3839">
        <v>-1.4207859999999999E-2</v>
      </c>
      <c r="O3839">
        <v>1.0305099999999999E-2</v>
      </c>
      <c r="P3839">
        <v>0.98412619999999895</v>
      </c>
      <c r="Q3839">
        <v>0.1745536</v>
      </c>
      <c r="R3839">
        <v>3.2046959999999999E-2</v>
      </c>
      <c r="S3839">
        <v>3.092819</v>
      </c>
      <c r="T3839">
        <v>-6.7495349999999996E-2</v>
      </c>
      <c r="U3839">
        <v>-0.89190669999999905</v>
      </c>
      <c r="V3839">
        <v>-2.1895580000000001E-2</v>
      </c>
      <c r="W3839">
        <v>0.188523</v>
      </c>
      <c r="X3839">
        <v>0.98182460000000005</v>
      </c>
      <c r="Y3839">
        <v>0.28686850000000003</v>
      </c>
      <c r="Z3839">
        <v>-5.2234409999999997E-3</v>
      </c>
      <c r="AA3839">
        <v>0.95795569999999997</v>
      </c>
      <c r="AB3839">
        <v>35</v>
      </c>
      <c r="AC3839">
        <v>52.646000000000001</v>
      </c>
      <c r="AD3839">
        <v>-1.160131</v>
      </c>
      <c r="AE3839">
        <v>-15.336099999999901</v>
      </c>
      <c r="AF3839">
        <v>15.870758467107599</v>
      </c>
      <c r="AG3839">
        <v>-1.160131</v>
      </c>
      <c r="AH3839">
        <v>52.461665083169798</v>
      </c>
      <c r="AI3839">
        <v>91.212570784946493</v>
      </c>
      <c r="AJ3839">
        <v>73.168328596612994</v>
      </c>
      <c r="AK3839">
        <v>54.822013658357299</v>
      </c>
      <c r="AL3839">
        <v>79.133398651893998</v>
      </c>
      <c r="AM3839">
        <v>91.277536145417301</v>
      </c>
      <c r="AN3839">
        <v>0.99999994155884597</v>
      </c>
    </row>
    <row r="3840" spans="1:40" x14ac:dyDescent="0.25">
      <c r="A3840" t="str">
        <f>"20190304155709097"</f>
        <v>20190304155709097</v>
      </c>
      <c r="B3840" t="str">
        <f>"1551686229088785"</f>
        <v>1551686229088785</v>
      </c>
      <c r="C3840" t="s">
        <v>40</v>
      </c>
      <c r="D3840">
        <v>4.839493</v>
      </c>
      <c r="E3840">
        <v>0.62527529999999998</v>
      </c>
      <c r="F3840" t="s">
        <v>44</v>
      </c>
      <c r="G3840">
        <v>-211.1112</v>
      </c>
      <c r="H3840">
        <v>-0.05</v>
      </c>
      <c r="I3840">
        <v>200.85730000000001</v>
      </c>
      <c r="J3840">
        <v>-257.05599999999998</v>
      </c>
      <c r="K3840">
        <v>1.110107</v>
      </c>
      <c r="L3840">
        <v>214.577</v>
      </c>
      <c r="M3840">
        <v>0.99984790000000001</v>
      </c>
      <c r="N3840">
        <v>-1.407189E-2</v>
      </c>
      <c r="O3840">
        <v>1.030524E-2</v>
      </c>
      <c r="P3840">
        <v>0.98424789999999995</v>
      </c>
      <c r="Q3840">
        <v>0.17413219999999999</v>
      </c>
      <c r="R3840">
        <v>3.0563839999999998E-2</v>
      </c>
      <c r="S3840">
        <v>3.0919650000000001</v>
      </c>
      <c r="T3840">
        <v>-7.7495930000000005E-2</v>
      </c>
      <c r="U3840">
        <v>-0.91622919999999997</v>
      </c>
      <c r="V3840">
        <v>-2.0410850000000001E-2</v>
      </c>
      <c r="W3840">
        <v>0.18796950000000001</v>
      </c>
      <c r="X3840">
        <v>0.98196269999999997</v>
      </c>
      <c r="Y3840">
        <v>0.2938441</v>
      </c>
      <c r="Z3840">
        <v>-5.8269530000000002E-3</v>
      </c>
      <c r="AA3840">
        <v>0.95583560000000001</v>
      </c>
      <c r="AB3840">
        <v>35</v>
      </c>
      <c r="AC3840">
        <v>45.944800000000001</v>
      </c>
      <c r="AD3840">
        <v>-1.160107</v>
      </c>
      <c r="AE3840">
        <v>-13.7196999999999</v>
      </c>
      <c r="AF3840">
        <v>14.1841874522636</v>
      </c>
      <c r="AG3840">
        <v>-1.160107</v>
      </c>
      <c r="AH3840">
        <v>45.774166366482</v>
      </c>
      <c r="AI3840">
        <v>91.386774670719504</v>
      </c>
      <c r="AJ3840">
        <v>72.783192138030202</v>
      </c>
      <c r="AK3840">
        <v>47.935491324057303</v>
      </c>
      <c r="AL3840">
        <v>79.165689144950804</v>
      </c>
      <c r="AM3840">
        <v>91.190765376862799</v>
      </c>
      <c r="AN3840">
        <v>0.99999993995962899</v>
      </c>
    </row>
    <row r="3841" spans="1:40" x14ac:dyDescent="0.25">
      <c r="A3841" t="str">
        <f>"20190304155709120"</f>
        <v>20190304155709120</v>
      </c>
      <c r="B3841" t="str">
        <f>"1551686229108306"</f>
        <v>1551686229108306</v>
      </c>
      <c r="C3841" t="s">
        <v>40</v>
      </c>
      <c r="D3841">
        <v>4.8194509999999999</v>
      </c>
      <c r="E3841">
        <v>0.626085</v>
      </c>
      <c r="F3841" t="s">
        <v>44</v>
      </c>
      <c r="G3841">
        <v>-212.2638</v>
      </c>
      <c r="H3841">
        <v>-0.05</v>
      </c>
      <c r="I3841">
        <v>201.12309999999999</v>
      </c>
      <c r="J3841">
        <v>-256.70139999999998</v>
      </c>
      <c r="K3841">
        <v>1.1100810000000001</v>
      </c>
      <c r="L3841">
        <v>214.5806</v>
      </c>
      <c r="M3841">
        <v>0.99985009999999996</v>
      </c>
      <c r="N3841">
        <v>-1.3923039999999999E-2</v>
      </c>
      <c r="O3841">
        <v>1.0305460000000001E-2</v>
      </c>
      <c r="P3841">
        <v>0.98424529999999999</v>
      </c>
      <c r="Q3841">
        <v>0.17438519999999999</v>
      </c>
      <c r="R3841">
        <v>2.918014E-2</v>
      </c>
      <c r="S3841">
        <v>3.0910030000000002</v>
      </c>
      <c r="T3841">
        <v>-8.0056189999999999E-2</v>
      </c>
      <c r="U3841">
        <v>-0.92842100000000005</v>
      </c>
      <c r="V3841">
        <v>-1.9027260000000001E-2</v>
      </c>
      <c r="W3841">
        <v>0.1880763</v>
      </c>
      <c r="X3841">
        <v>0.98197009999999996</v>
      </c>
      <c r="Y3841">
        <v>0.29737649999999999</v>
      </c>
      <c r="Z3841">
        <v>-6.0036200000000003E-3</v>
      </c>
      <c r="AA3841">
        <v>0.95474139999999996</v>
      </c>
      <c r="AB3841">
        <v>34</v>
      </c>
      <c r="AC3841">
        <v>44.437599999999897</v>
      </c>
      <c r="AD3841">
        <v>-1.1600809999999999</v>
      </c>
      <c r="AE3841">
        <v>-13.4575</v>
      </c>
      <c r="AF3841">
        <v>13.9060984166259</v>
      </c>
      <c r="AG3841">
        <v>-1.1600809999999999</v>
      </c>
      <c r="AH3841">
        <v>44.268905218703097</v>
      </c>
      <c r="AI3841">
        <v>91.432144431567096</v>
      </c>
      <c r="AJ3841">
        <v>72.561040974917404</v>
      </c>
      <c r="AK3841">
        <v>46.416175309497</v>
      </c>
      <c r="AL3841">
        <v>79.159459541124207</v>
      </c>
      <c r="AM3841">
        <v>91.1100595496453</v>
      </c>
      <c r="AN3841">
        <v>1.0000000042693999</v>
      </c>
    </row>
    <row r="3842" spans="1:40" x14ac:dyDescent="0.25">
      <c r="A3842" t="str">
        <f>"20190304155709141"</f>
        <v>20190304155709141</v>
      </c>
      <c r="B3842" t="str">
        <f>"1551686229138561"</f>
        <v>1551686229138561</v>
      </c>
      <c r="C3842" t="s">
        <v>40</v>
      </c>
      <c r="D3842">
        <v>4.7554589999999903</v>
      </c>
      <c r="E3842">
        <v>0.6258013</v>
      </c>
      <c r="F3842" t="s">
        <v>44</v>
      </c>
      <c r="G3842">
        <v>-211.72669999999999</v>
      </c>
      <c r="H3842">
        <v>-0.05</v>
      </c>
      <c r="I3842">
        <v>200.91030000000001</v>
      </c>
      <c r="J3842">
        <v>-256.37150000000003</v>
      </c>
      <c r="K3842">
        <v>1.1100650000000001</v>
      </c>
      <c r="L3842">
        <v>214.584</v>
      </c>
      <c r="M3842">
        <v>0.99985219999999997</v>
      </c>
      <c r="N3842">
        <v>-1.3769740000000001E-2</v>
      </c>
      <c r="O3842">
        <v>1.030588E-2</v>
      </c>
      <c r="P3842">
        <v>0.98425149999999995</v>
      </c>
      <c r="Q3842">
        <v>0.174590299999999</v>
      </c>
      <c r="R3842">
        <v>2.77034E-2</v>
      </c>
      <c r="S3842">
        <v>3.0899960000000002</v>
      </c>
      <c r="T3842">
        <v>-7.9703570000000001E-2</v>
      </c>
      <c r="U3842">
        <v>-0.93922419999999995</v>
      </c>
      <c r="V3842">
        <v>-1.755023E-2</v>
      </c>
      <c r="W3842">
        <v>0.1881311</v>
      </c>
      <c r="X3842">
        <v>0.9819871</v>
      </c>
      <c r="Y3842">
        <v>0.3005197</v>
      </c>
      <c r="Z3842">
        <v>-6.0262519999999898E-3</v>
      </c>
      <c r="AA3842">
        <v>0.95375659999999896</v>
      </c>
      <c r="AB3842">
        <v>34</v>
      </c>
      <c r="AC3842">
        <v>44.644799999999996</v>
      </c>
      <c r="AD3842">
        <v>-1.1600649999999999</v>
      </c>
      <c r="AE3842">
        <v>-13.673699999999901</v>
      </c>
      <c r="AF3842">
        <v>14.124402496012699</v>
      </c>
      <c r="AG3842">
        <v>-1.1600649999999999</v>
      </c>
      <c r="AH3842">
        <v>44.474042781381101</v>
      </c>
      <c r="AI3842">
        <v>91.424106564037402</v>
      </c>
      <c r="AJ3842">
        <v>72.380799685562593</v>
      </c>
      <c r="AK3842">
        <v>46.6774568501082</v>
      </c>
      <c r="AL3842">
        <v>79.156262541462397</v>
      </c>
      <c r="AM3842">
        <v>91.023890299865698</v>
      </c>
      <c r="AN3842">
        <v>0.99999999296333597</v>
      </c>
    </row>
    <row r="3843" spans="1:40" x14ac:dyDescent="0.25">
      <c r="A3843" t="str">
        <f>"20190304155709162"</f>
        <v>20190304155709162</v>
      </c>
      <c r="B3843" t="str">
        <f>"1551686229158082"</f>
        <v>1551686229158082</v>
      </c>
      <c r="C3843" t="s">
        <v>40</v>
      </c>
      <c r="D3843">
        <v>4.8127219999999999</v>
      </c>
      <c r="E3843">
        <v>0.62601289999999998</v>
      </c>
      <c r="F3843" t="s">
        <v>44</v>
      </c>
      <c r="G3843">
        <v>-211.9872</v>
      </c>
      <c r="H3843">
        <v>-0.05</v>
      </c>
      <c r="I3843">
        <v>201.0438</v>
      </c>
      <c r="J3843">
        <v>-256.02969999999999</v>
      </c>
      <c r="K3843">
        <v>1.1100410000000001</v>
      </c>
      <c r="L3843">
        <v>214.58750000000001</v>
      </c>
      <c r="M3843">
        <v>0.99985460000000004</v>
      </c>
      <c r="N3843">
        <v>-1.359963E-2</v>
      </c>
      <c r="O3843">
        <v>1.030623E-2</v>
      </c>
      <c r="P3843">
        <v>0.98423590000000005</v>
      </c>
      <c r="Q3843">
        <v>0.17497660000000001</v>
      </c>
      <c r="R3843">
        <v>2.5757220000000001E-2</v>
      </c>
      <c r="S3843">
        <v>3.0888520000000002</v>
      </c>
      <c r="T3843">
        <v>-8.0732819999999997E-2</v>
      </c>
      <c r="U3843">
        <v>-0.94230650000000005</v>
      </c>
      <c r="V3843">
        <v>-1.560396E-2</v>
      </c>
      <c r="W3843">
        <v>0.18834880000000001</v>
      </c>
      <c r="X3843">
        <v>0.98197820000000002</v>
      </c>
      <c r="Y3843">
        <v>0.30148609999999998</v>
      </c>
      <c r="Z3843">
        <v>-6.0743960000000001E-3</v>
      </c>
      <c r="AA3843">
        <v>0.95345119999999906</v>
      </c>
      <c r="AB3843">
        <v>34</v>
      </c>
      <c r="AC3843">
        <v>44.042499999999897</v>
      </c>
      <c r="AD3843">
        <v>-1.1600409999999901</v>
      </c>
      <c r="AE3843">
        <v>-13.543699999999999</v>
      </c>
      <c r="AF3843">
        <v>13.988068760523699</v>
      </c>
      <c r="AG3843">
        <v>-1.1600409999999901</v>
      </c>
      <c r="AH3843">
        <v>43.8727559499535</v>
      </c>
      <c r="AI3843">
        <v>91.443067169752297</v>
      </c>
      <c r="AJ3843">
        <v>72.316018350829395</v>
      </c>
      <c r="AK3843">
        <v>46.063331158471399</v>
      </c>
      <c r="AL3843">
        <v>79.143561950984306</v>
      </c>
      <c r="AM3843">
        <v>90.910372362482505</v>
      </c>
      <c r="AN3843">
        <v>0.99999996965217997</v>
      </c>
    </row>
    <row r="3844" spans="1:40" x14ac:dyDescent="0.25">
      <c r="A3844" t="str">
        <f>"20190304155709185"</f>
        <v>20190304155709185</v>
      </c>
      <c r="B3844" t="str">
        <f>"1551686229178577"</f>
        <v>1551686229178577</v>
      </c>
      <c r="C3844" t="s">
        <v>40</v>
      </c>
      <c r="D3844">
        <v>4.8090010000000003</v>
      </c>
      <c r="E3844">
        <v>0.62603799999999998</v>
      </c>
      <c r="F3844" t="s">
        <v>44</v>
      </c>
      <c r="G3844">
        <v>-211.37090000000001</v>
      </c>
      <c r="H3844">
        <v>-0.05</v>
      </c>
      <c r="I3844">
        <v>200.8526</v>
      </c>
      <c r="J3844">
        <v>-255.68719999999999</v>
      </c>
      <c r="K3844">
        <v>1.110017</v>
      </c>
      <c r="L3844">
        <v>214.59100000000001</v>
      </c>
      <c r="M3844">
        <v>0.99985690000000005</v>
      </c>
      <c r="N3844">
        <v>-1.3426810000000001E-2</v>
      </c>
      <c r="O3844">
        <v>1.0306869999999999E-2</v>
      </c>
      <c r="P3844">
        <v>0.98448380000000002</v>
      </c>
      <c r="Q3844">
        <v>0.17394270000000001</v>
      </c>
      <c r="R3844">
        <v>2.3149300000000001E-2</v>
      </c>
      <c r="S3844">
        <v>3.0871580000000001</v>
      </c>
      <c r="T3844">
        <v>-8.0191020000000002E-2</v>
      </c>
      <c r="U3844">
        <v>-0.9494629</v>
      </c>
      <c r="V3844">
        <v>-1.2992739999999999E-2</v>
      </c>
      <c r="W3844">
        <v>0.18714839999999999</v>
      </c>
      <c r="X3844">
        <v>0.9822457</v>
      </c>
      <c r="Y3844">
        <v>0.30365370000000003</v>
      </c>
      <c r="Z3844">
        <v>-6.0658250000000004E-3</v>
      </c>
      <c r="AA3844">
        <v>0.95276309999999997</v>
      </c>
      <c r="AB3844">
        <v>34</v>
      </c>
      <c r="AC3844">
        <v>44.316299999999899</v>
      </c>
      <c r="AD3844">
        <v>-1.1600170000000001</v>
      </c>
      <c r="AE3844">
        <v>-13.738399999999899</v>
      </c>
      <c r="AF3844">
        <v>14.185606143779101</v>
      </c>
      <c r="AG3844">
        <v>-1.1600170000000001</v>
      </c>
      <c r="AH3844">
        <v>44.144738090510202</v>
      </c>
      <c r="AI3844">
        <v>91.433105799660197</v>
      </c>
      <c r="AJ3844">
        <v>72.185550762494898</v>
      </c>
      <c r="AK3844">
        <v>46.382485511089797</v>
      </c>
      <c r="AL3844">
        <v>79.213585082629805</v>
      </c>
      <c r="AM3844">
        <v>90.7578406843772</v>
      </c>
      <c r="AN3844">
        <v>0.99999997504187799</v>
      </c>
    </row>
    <row r="3845" spans="1:40" x14ac:dyDescent="0.25">
      <c r="A3845" t="str">
        <f>"20190304155709208"</f>
        <v>20190304155709208</v>
      </c>
      <c r="B3845" t="str">
        <f>"1551686229198098"</f>
        <v>1551686229198098</v>
      </c>
      <c r="C3845" t="s">
        <v>40</v>
      </c>
      <c r="D3845">
        <v>4.7993180000000004</v>
      </c>
      <c r="E3845">
        <v>0.62592910000000002</v>
      </c>
      <c r="F3845" t="s">
        <v>44</v>
      </c>
      <c r="G3845">
        <v>-212.6123</v>
      </c>
      <c r="H3845">
        <v>-0.05</v>
      </c>
      <c r="I3845">
        <v>201.20439999999999</v>
      </c>
      <c r="J3845">
        <v>-255.33609999999999</v>
      </c>
      <c r="K3845">
        <v>1.1099969999999999</v>
      </c>
      <c r="L3845">
        <v>214.59469999999999</v>
      </c>
      <c r="M3845">
        <v>0.9998591</v>
      </c>
      <c r="N3845">
        <v>-1.325206E-2</v>
      </c>
      <c r="O3845">
        <v>1.0307220000000001E-2</v>
      </c>
      <c r="P3845">
        <v>0.98467979999999999</v>
      </c>
      <c r="Q3845">
        <v>0.1731318</v>
      </c>
      <c r="R3845">
        <v>2.0764950000000001E-2</v>
      </c>
      <c r="S3845">
        <v>3.0845030000000002</v>
      </c>
      <c r="T3845">
        <v>-8.3066459999999995E-2</v>
      </c>
      <c r="U3845">
        <v>-0.95858759999999998</v>
      </c>
      <c r="V3845">
        <v>-1.060649E-2</v>
      </c>
      <c r="W3845">
        <v>0.18616840000000001</v>
      </c>
      <c r="X3845">
        <v>0.98246060000000002</v>
      </c>
      <c r="Y3845">
        <v>0.30644579999999999</v>
      </c>
      <c r="Z3845">
        <v>-6.2463309999999999E-3</v>
      </c>
      <c r="AA3845">
        <v>0.95186760000000004</v>
      </c>
      <c r="AB3845">
        <v>34</v>
      </c>
      <c r="AC3845">
        <v>42.723799999999898</v>
      </c>
      <c r="AD3845">
        <v>-1.1599969999999999</v>
      </c>
      <c r="AE3845">
        <v>-13.3902999999999</v>
      </c>
      <c r="AF3845">
        <v>13.820713750447901</v>
      </c>
      <c r="AG3845">
        <v>-1.1599969999999999</v>
      </c>
      <c r="AH3845">
        <v>42.554936413092001</v>
      </c>
      <c r="AI3845">
        <v>91.485105359679494</v>
      </c>
      <c r="AJ3845">
        <v>72.007579177768903</v>
      </c>
      <c r="AK3845">
        <v>44.7580197811983</v>
      </c>
      <c r="AL3845">
        <v>79.270739723697503</v>
      </c>
      <c r="AM3845">
        <v>90.618532188092999</v>
      </c>
      <c r="AN3845">
        <v>1.0000000006705201</v>
      </c>
    </row>
    <row r="3846" spans="1:40" x14ac:dyDescent="0.25">
      <c r="A3846" t="str">
        <f>"20190304155709230"</f>
        <v>20190304155709230</v>
      </c>
      <c r="B3846" t="str">
        <f>"1551686229228353"</f>
        <v>1551686229228353</v>
      </c>
      <c r="C3846" t="s">
        <v>40</v>
      </c>
      <c r="D3846">
        <v>4.7802769999999999</v>
      </c>
      <c r="E3846">
        <v>0.62535719999999995</v>
      </c>
      <c r="F3846" t="s">
        <v>44</v>
      </c>
      <c r="G3846">
        <v>-212.386</v>
      </c>
      <c r="H3846">
        <v>-0.05</v>
      </c>
      <c r="I3846">
        <v>201.1327</v>
      </c>
      <c r="J3846">
        <v>-254.9958</v>
      </c>
      <c r="K3846">
        <v>1.109974</v>
      </c>
      <c r="L3846">
        <v>214.59809999999999</v>
      </c>
      <c r="M3846">
        <v>0.99986120000000001</v>
      </c>
      <c r="N3846">
        <v>-1.3090589999999999E-2</v>
      </c>
      <c r="O3846">
        <v>1.030764E-2</v>
      </c>
      <c r="P3846">
        <v>0.98482210000000003</v>
      </c>
      <c r="Q3846">
        <v>0.17267489999999999</v>
      </c>
      <c r="R3846">
        <v>1.7586939999999999E-2</v>
      </c>
      <c r="S3846">
        <v>3.08168</v>
      </c>
      <c r="T3846">
        <v>-8.3230020000000002E-2</v>
      </c>
      <c r="U3846">
        <v>-0.96589659999999999</v>
      </c>
      <c r="V3846">
        <v>-7.4268469999999899E-3</v>
      </c>
      <c r="W3846">
        <v>0.18555369999999999</v>
      </c>
      <c r="X3846">
        <v>0.98260610000000004</v>
      </c>
      <c r="Y3846">
        <v>0.30874829999999998</v>
      </c>
      <c r="Z3846">
        <v>-6.2799860000000004E-3</v>
      </c>
      <c r="AA3846">
        <v>0.9511231</v>
      </c>
      <c r="AB3846">
        <v>34</v>
      </c>
      <c r="AC3846">
        <v>42.6098</v>
      </c>
      <c r="AD3846">
        <v>-1.1599740000000001</v>
      </c>
      <c r="AE3846">
        <v>-13.465399999999899</v>
      </c>
      <c r="AF3846">
        <v>13.894566334991501</v>
      </c>
      <c r="AG3846">
        <v>-1.1599740000000001</v>
      </c>
      <c r="AH3846">
        <v>42.440130980884497</v>
      </c>
      <c r="AI3846">
        <v>91.487943034559294</v>
      </c>
      <c r="AJ3846">
        <v>71.871958783844804</v>
      </c>
      <c r="AK3846">
        <v>44.671794579944901</v>
      </c>
      <c r="AL3846">
        <v>79.306584422177906</v>
      </c>
      <c r="AM3846">
        <v>90.433051336928798</v>
      </c>
      <c r="AN3846">
        <v>1.00000004069862</v>
      </c>
    </row>
    <row r="3847" spans="1:40" x14ac:dyDescent="0.25">
      <c r="A3847" t="str">
        <f>"20190304155709252"</f>
        <v>20190304155709252</v>
      </c>
      <c r="B3847" t="str">
        <f>"1551686229248849"</f>
        <v>1551686229248849</v>
      </c>
      <c r="C3847" t="s">
        <v>40</v>
      </c>
      <c r="D3847">
        <v>4.7111830000000001</v>
      </c>
      <c r="E3847">
        <v>0.62509199999999998</v>
      </c>
      <c r="F3847" t="s">
        <v>44</v>
      </c>
      <c r="G3847">
        <v>-213.0384</v>
      </c>
      <c r="H3847">
        <v>-0.05</v>
      </c>
      <c r="I3847">
        <v>201.35390000000001</v>
      </c>
      <c r="J3847">
        <v>-254.65450000000001</v>
      </c>
      <c r="K3847">
        <v>1.1099509999999999</v>
      </c>
      <c r="L3847">
        <v>214.60169999999999</v>
      </c>
      <c r="M3847">
        <v>0.99986319999999995</v>
      </c>
      <c r="N3847">
        <v>-1.294203E-2</v>
      </c>
      <c r="O3847">
        <v>1.0307790000000001E-2</v>
      </c>
      <c r="P3847">
        <v>0.98497849999999998</v>
      </c>
      <c r="Q3847">
        <v>0.1720718</v>
      </c>
      <c r="R3847">
        <v>1.4447730000000001E-2</v>
      </c>
      <c r="S3847">
        <v>3.0784910000000001</v>
      </c>
      <c r="T3847">
        <v>-8.510935E-2</v>
      </c>
      <c r="U3847">
        <v>-0.97175599999999995</v>
      </c>
      <c r="V3847">
        <v>-4.2863149999999997E-3</v>
      </c>
      <c r="W3847">
        <v>0.18480630000000001</v>
      </c>
      <c r="X3847">
        <v>0.98276560000000002</v>
      </c>
      <c r="Y3847">
        <v>0.31066959999999999</v>
      </c>
      <c r="Z3847">
        <v>-6.398534E-3</v>
      </c>
      <c r="AA3847">
        <v>0.95049640000000002</v>
      </c>
      <c r="AB3847">
        <v>35</v>
      </c>
      <c r="AC3847">
        <v>41.616100000000003</v>
      </c>
      <c r="AD3847">
        <v>-1.159951</v>
      </c>
      <c r="AE3847">
        <v>-13.2477999999999</v>
      </c>
      <c r="AF3847">
        <v>13.666461636968</v>
      </c>
      <c r="AG3847">
        <v>-1.159951</v>
      </c>
      <c r="AH3847">
        <v>41.448084182269497</v>
      </c>
      <c r="AI3847">
        <v>91.522456691243306</v>
      </c>
      <c r="AJ3847">
        <v>71.751330076440695</v>
      </c>
      <c r="AK3847">
        <v>43.658462437168097</v>
      </c>
      <c r="AL3847">
        <v>79.350160335929402</v>
      </c>
      <c r="AM3847">
        <v>90.249892957128196</v>
      </c>
      <c r="AN3847">
        <v>0.99999998277966395</v>
      </c>
    </row>
    <row r="3848" spans="1:40" x14ac:dyDescent="0.25">
      <c r="A3848" t="str">
        <f>"20190304155709275"</f>
        <v>20190304155709275</v>
      </c>
      <c r="B3848" t="str">
        <f>"1551686229268369"</f>
        <v>1551686229268369</v>
      </c>
      <c r="C3848" t="s">
        <v>40</v>
      </c>
      <c r="D3848">
        <v>4.7874949999999998</v>
      </c>
      <c r="E3848">
        <v>0.61275800000000002</v>
      </c>
      <c r="F3848" t="s">
        <v>44</v>
      </c>
      <c r="G3848">
        <v>-213.3073</v>
      </c>
      <c r="H3848">
        <v>-0.05</v>
      </c>
      <c r="I3848">
        <v>201.42670000000001</v>
      </c>
      <c r="J3848">
        <v>-254.30369999999999</v>
      </c>
      <c r="K3848">
        <v>1.1099380000000001</v>
      </c>
      <c r="L3848">
        <v>214.6052</v>
      </c>
      <c r="M3848">
        <v>0.99986489999999995</v>
      </c>
      <c r="N3848">
        <v>-1.280415E-2</v>
      </c>
      <c r="O3848">
        <v>1.030768E-2</v>
      </c>
      <c r="P3848">
        <v>0.98514710000000005</v>
      </c>
      <c r="Q3848">
        <v>0.17136889999999999</v>
      </c>
      <c r="R3848">
        <v>1.086907E-2</v>
      </c>
      <c r="S3848">
        <v>3.0751949999999999</v>
      </c>
      <c r="T3848">
        <v>-8.6271410000000007E-2</v>
      </c>
      <c r="U3848">
        <v>-0.97988889999999995</v>
      </c>
      <c r="V3848">
        <v>-7.0615629999999999E-4</v>
      </c>
      <c r="W3848">
        <v>0.18396970000000001</v>
      </c>
      <c r="X3848">
        <v>0.98293169999999996</v>
      </c>
      <c r="Y3848">
        <v>0.31323980000000001</v>
      </c>
      <c r="Z3848">
        <v>-6.4948089999999998E-3</v>
      </c>
      <c r="AA3848">
        <v>0.94965189999999999</v>
      </c>
      <c r="AB3848">
        <v>35</v>
      </c>
      <c r="AC3848">
        <v>40.996400000000001</v>
      </c>
      <c r="AD3848">
        <v>-1.1599379999999999</v>
      </c>
      <c r="AE3848">
        <v>-13.1784999999999</v>
      </c>
      <c r="AF3848">
        <v>13.5905514683483</v>
      </c>
      <c r="AG3848">
        <v>-1.1599379999999999</v>
      </c>
      <c r="AH3848">
        <v>40.828747218744297</v>
      </c>
      <c r="AI3848">
        <v>91.544074142398202</v>
      </c>
      <c r="AJ3848">
        <v>71.5890903758159</v>
      </c>
      <c r="AK3848">
        <v>43.046894717619203</v>
      </c>
      <c r="AL3848">
        <v>79.398930811137703</v>
      </c>
      <c r="AM3848">
        <v>90.041162339871406</v>
      </c>
      <c r="AN3848">
        <v>1.0000000380198399</v>
      </c>
    </row>
    <row r="3849" spans="1:40" x14ac:dyDescent="0.25">
      <c r="A3849" t="str">
        <f>"20190304155709297"</f>
        <v>20190304155709297</v>
      </c>
      <c r="B3849" t="str">
        <f>"1551686229288865"</f>
        <v>1551686229288865</v>
      </c>
      <c r="C3849" t="s">
        <v>40</v>
      </c>
      <c r="D3849">
        <v>4.7942910000000003</v>
      </c>
      <c r="E3849">
        <v>0.61132940000000002</v>
      </c>
      <c r="F3849" t="s">
        <v>44</v>
      </c>
      <c r="G3849">
        <v>-214.67779999999999</v>
      </c>
      <c r="H3849">
        <v>-0.05</v>
      </c>
      <c r="I3849">
        <v>203.0838</v>
      </c>
      <c r="J3849">
        <v>-253.96190000000001</v>
      </c>
      <c r="K3849">
        <v>1.109931</v>
      </c>
      <c r="L3849">
        <v>214.6088</v>
      </c>
      <c r="M3849">
        <v>0.99986640000000004</v>
      </c>
      <c r="N3849">
        <v>-1.2682189999999999E-2</v>
      </c>
      <c r="O3849">
        <v>1.030799E-2</v>
      </c>
      <c r="P3849">
        <v>0.9850776</v>
      </c>
      <c r="Q3849">
        <v>0.1719726</v>
      </c>
      <c r="R3849">
        <v>6.8911170000000004E-3</v>
      </c>
      <c r="S3849">
        <v>3.0707089999999999</v>
      </c>
      <c r="T3849">
        <v>-8.9886430000000003E-2</v>
      </c>
      <c r="U3849">
        <v>-0.89282229999999996</v>
      </c>
      <c r="V3849">
        <v>3.271258E-3</v>
      </c>
      <c r="W3849">
        <v>0.184452</v>
      </c>
      <c r="X3849">
        <v>0.98283609999999999</v>
      </c>
      <c r="Y3849">
        <v>0.2889082</v>
      </c>
      <c r="Z3849">
        <v>-6.1792829999999998E-3</v>
      </c>
      <c r="AA3849">
        <v>0.95733690000000005</v>
      </c>
      <c r="AB3849">
        <v>35</v>
      </c>
      <c r="AC3849">
        <v>39.284100000000002</v>
      </c>
      <c r="AD3849">
        <v>-1.159931</v>
      </c>
      <c r="AE3849">
        <v>-11.525</v>
      </c>
      <c r="AF3849">
        <v>11.919791834357399</v>
      </c>
      <c r="AG3849">
        <v>-1.159931</v>
      </c>
      <c r="AH3849">
        <v>39.131790876778403</v>
      </c>
      <c r="AI3849">
        <v>91.624206865799806</v>
      </c>
      <c r="AJ3849">
        <v>73.0589315053994</v>
      </c>
      <c r="AK3849">
        <v>40.923391043791803</v>
      </c>
      <c r="AL3849">
        <v>79.370815731349197</v>
      </c>
      <c r="AM3849">
        <v>89.809298228891294</v>
      </c>
      <c r="AN3849">
        <v>1.0000000204480499</v>
      </c>
    </row>
    <row r="3850" spans="1:40" x14ac:dyDescent="0.25">
      <c r="A3850" t="str">
        <f>"20190304155709320"</f>
        <v>20190304155709320</v>
      </c>
      <c r="B3850" t="str">
        <f>"1551686229308385"</f>
        <v>1551686229308385</v>
      </c>
      <c r="C3850" t="s">
        <v>40</v>
      </c>
      <c r="D3850">
        <v>4.7846039999999999</v>
      </c>
      <c r="E3850">
        <v>0.6093653</v>
      </c>
      <c r="F3850" t="s">
        <v>55</v>
      </c>
      <c r="G3850">
        <v>-221.4931</v>
      </c>
      <c r="H3850">
        <v>8.0001439999999993E-2</v>
      </c>
      <c r="I3850">
        <v>205.14699999999999</v>
      </c>
      <c r="J3850">
        <v>-253.61330000000001</v>
      </c>
      <c r="K3850">
        <v>1.109936</v>
      </c>
      <c r="L3850">
        <v>214.61240000000001</v>
      </c>
      <c r="M3850">
        <v>0.99986799999999998</v>
      </c>
      <c r="N3850">
        <v>-1.256667E-2</v>
      </c>
      <c r="O3850">
        <v>1.030789E-2</v>
      </c>
      <c r="P3850">
        <v>0.98498439999999998</v>
      </c>
      <c r="Q3850">
        <v>0.1726106</v>
      </c>
      <c r="R3850">
        <v>3.379539E-3</v>
      </c>
      <c r="S3850">
        <v>3.0687099999999998</v>
      </c>
      <c r="T3850">
        <v>-9.7341059999999993E-2</v>
      </c>
      <c r="U3850">
        <v>-0.89425659999999896</v>
      </c>
      <c r="V3850">
        <v>6.781624E-3</v>
      </c>
      <c r="W3850">
        <v>0.18497459999999999</v>
      </c>
      <c r="X3850">
        <v>0.98271989999999998</v>
      </c>
      <c r="Y3850">
        <v>0.28946309999999997</v>
      </c>
      <c r="Z3850">
        <v>-6.5463969999999998E-3</v>
      </c>
      <c r="AA3850">
        <v>0.95716679999999998</v>
      </c>
      <c r="AB3850">
        <v>35</v>
      </c>
      <c r="AC3850">
        <v>32.120199999999997</v>
      </c>
      <c r="AD3850">
        <v>-1.0299345600000001</v>
      </c>
      <c r="AE3850">
        <v>-9.4653999999999794</v>
      </c>
      <c r="AF3850">
        <v>9.7867562514633004</v>
      </c>
      <c r="AG3850">
        <v>-1.0299345600000001</v>
      </c>
      <c r="AH3850">
        <v>31.990653691014199</v>
      </c>
      <c r="AI3850">
        <v>91.763374888716001</v>
      </c>
      <c r="AJ3850">
        <v>72.989793217947096</v>
      </c>
      <c r="AK3850">
        <v>33.470035654325798</v>
      </c>
      <c r="AL3850">
        <v>79.340348446223302</v>
      </c>
      <c r="AM3850">
        <v>89.604615449793698</v>
      </c>
      <c r="AN3850">
        <v>0.99999999746262302</v>
      </c>
    </row>
    <row r="3851" spans="1:40" x14ac:dyDescent="0.25">
      <c r="A3851" t="str">
        <f>"20190304155709342"</f>
        <v>20190304155709342</v>
      </c>
      <c r="B3851" t="str">
        <f>"1551686229338642"</f>
        <v>1551686229338642</v>
      </c>
      <c r="C3851" t="s">
        <v>40</v>
      </c>
      <c r="D3851">
        <v>4.7531499999999998</v>
      </c>
      <c r="E3851">
        <v>0.60870459999999904</v>
      </c>
      <c r="F3851" t="s">
        <v>55</v>
      </c>
      <c r="G3851">
        <v>-222.697</v>
      </c>
      <c r="H3851">
        <v>8.0001059999999999E-2</v>
      </c>
      <c r="I3851">
        <v>205.64420000000001</v>
      </c>
      <c r="J3851">
        <v>-253.2739</v>
      </c>
      <c r="K3851">
        <v>1.1099289999999999</v>
      </c>
      <c r="L3851">
        <v>214.61580000000001</v>
      </c>
      <c r="M3851">
        <v>0.99986929999999996</v>
      </c>
      <c r="N3851">
        <v>-1.246395E-2</v>
      </c>
      <c r="O3851">
        <v>1.0308009999999999E-2</v>
      </c>
      <c r="P3851">
        <v>0.98482599999999998</v>
      </c>
      <c r="Q3851">
        <v>0.173543899999999</v>
      </c>
      <c r="R3851">
        <v>7.8571399999999997E-4</v>
      </c>
      <c r="S3851">
        <v>3.0666959999999999</v>
      </c>
      <c r="T3851">
        <v>-0.102163</v>
      </c>
      <c r="U3851">
        <v>-0.88958740000000003</v>
      </c>
      <c r="V3851">
        <v>9.3738120000000005E-3</v>
      </c>
      <c r="W3851">
        <v>0.18580440000000001</v>
      </c>
      <c r="X3851">
        <v>0.98254200000000003</v>
      </c>
      <c r="Y3851">
        <v>0.28827249999999999</v>
      </c>
      <c r="Z3851">
        <v>-6.7476860000000001E-3</v>
      </c>
      <c r="AA3851">
        <v>0.95752470000000001</v>
      </c>
      <c r="AB3851">
        <v>35</v>
      </c>
      <c r="AC3851">
        <v>30.576899999999899</v>
      </c>
      <c r="AD3851">
        <v>-1.0299279400000001</v>
      </c>
      <c r="AE3851">
        <v>-8.9715999999999898</v>
      </c>
      <c r="AF3851">
        <v>9.2766440892149191</v>
      </c>
      <c r="AG3851">
        <v>-1.0299279400000001</v>
      </c>
      <c r="AH3851">
        <v>30.450978820582701</v>
      </c>
      <c r="AI3851">
        <v>91.8531265162392</v>
      </c>
      <c r="AJ3851">
        <v>73.057067320556399</v>
      </c>
      <c r="AK3851">
        <v>31.849316919694399</v>
      </c>
      <c r="AL3851">
        <v>79.291965319578296</v>
      </c>
      <c r="AM3851">
        <v>89.453393776873199</v>
      </c>
      <c r="AN3851">
        <v>0.99999996258738499</v>
      </c>
    </row>
    <row r="3852" spans="1:40" x14ac:dyDescent="0.25">
      <c r="A3852" t="str">
        <f>"20190304155709364"</f>
        <v>20190304155709364</v>
      </c>
      <c r="B3852" t="str">
        <f>"1551686229358165"</f>
        <v>1551686229358165</v>
      </c>
      <c r="C3852" t="s">
        <v>40</v>
      </c>
      <c r="D3852">
        <v>4.9298650000000004</v>
      </c>
      <c r="E3852">
        <v>0.57278629999999997</v>
      </c>
      <c r="F3852" t="s">
        <v>44</v>
      </c>
      <c r="G3852">
        <v>-214.1069</v>
      </c>
      <c r="H3852">
        <v>-0.05</v>
      </c>
      <c r="I3852">
        <v>203.21379999999999</v>
      </c>
      <c r="J3852">
        <v>-252.928</v>
      </c>
      <c r="K3852">
        <v>1.1099289999999999</v>
      </c>
      <c r="L3852">
        <v>214.61940000000001</v>
      </c>
      <c r="M3852">
        <v>0.9998705</v>
      </c>
      <c r="N3852">
        <v>-1.237046E-2</v>
      </c>
      <c r="O3852">
        <v>1.030842E-2</v>
      </c>
      <c r="P3852">
        <v>0.98463210000000001</v>
      </c>
      <c r="Q3852">
        <v>0.17463409999999999</v>
      </c>
      <c r="R3852">
        <v>-1.688176E-3</v>
      </c>
      <c r="S3852">
        <v>3.0629270000000002</v>
      </c>
      <c r="T3852">
        <v>-9.0708490000000003E-2</v>
      </c>
      <c r="U3852">
        <v>-0.89166259999999997</v>
      </c>
      <c r="V3852">
        <v>1.1845939999999999E-2</v>
      </c>
      <c r="W3852">
        <v>0.18679989999999999</v>
      </c>
      <c r="X3852">
        <v>0.98232660000000005</v>
      </c>
      <c r="Y3852">
        <v>0.28922409999999998</v>
      </c>
      <c r="Z3852">
        <v>-6.1948709999999898E-3</v>
      </c>
      <c r="AA3852">
        <v>0.95724140000000002</v>
      </c>
      <c r="AB3852">
        <v>35</v>
      </c>
      <c r="AC3852">
        <v>38.821100000000001</v>
      </c>
      <c r="AD3852">
        <v>-1.159929</v>
      </c>
      <c r="AE3852">
        <v>-11.4056</v>
      </c>
      <c r="AF3852">
        <v>11.7955150114093</v>
      </c>
      <c r="AG3852">
        <v>-1.159929</v>
      </c>
      <c r="AH3852">
        <v>38.669675264371897</v>
      </c>
      <c r="AI3852">
        <v>91.643407946870497</v>
      </c>
      <c r="AJ3852">
        <v>73.036580612760204</v>
      </c>
      <c r="AK3852">
        <v>40.445313631141502</v>
      </c>
      <c r="AL3852">
        <v>79.2339118121929</v>
      </c>
      <c r="AM3852">
        <v>89.309099978495396</v>
      </c>
      <c r="AN3852">
        <v>1.00000003900102</v>
      </c>
    </row>
    <row r="3853" spans="1:40" x14ac:dyDescent="0.25">
      <c r="A3853" t="str">
        <f>"20190304155709386"</f>
        <v>20190304155709386</v>
      </c>
      <c r="B3853" t="str">
        <f>"1551686229378657"</f>
        <v>1551686229378657</v>
      </c>
      <c r="C3853" t="s">
        <v>40</v>
      </c>
      <c r="D3853">
        <v>4.4224410000000001</v>
      </c>
      <c r="E3853">
        <v>0.57896009999999998</v>
      </c>
      <c r="F3853" t="s">
        <v>53</v>
      </c>
      <c r="G3853">
        <v>-193.5917</v>
      </c>
      <c r="H3853" s="1">
        <v>5.8651479999999996E-6</v>
      </c>
      <c r="I3853">
        <v>202.76240000000001</v>
      </c>
      <c r="J3853">
        <v>-252.5882</v>
      </c>
      <c r="K3853">
        <v>1.1099239999999999</v>
      </c>
      <c r="L3853">
        <v>214.62289999999999</v>
      </c>
      <c r="M3853">
        <v>0.99987139999999997</v>
      </c>
      <c r="N3853">
        <v>-1.228946E-2</v>
      </c>
      <c r="O3853">
        <v>1.030874E-2</v>
      </c>
      <c r="P3853">
        <v>0.98447249999999997</v>
      </c>
      <c r="Q3853">
        <v>0.17551649999999999</v>
      </c>
      <c r="R3853">
        <v>-2.876923E-3</v>
      </c>
      <c r="S3853">
        <v>3.0559229999999999</v>
      </c>
      <c r="T3853">
        <v>-5.7162999999999999E-2</v>
      </c>
      <c r="U3853">
        <v>-0.61065669999999905</v>
      </c>
      <c r="V3853">
        <v>1.3033289999999999E-2</v>
      </c>
      <c r="W3853">
        <v>0.1876004</v>
      </c>
      <c r="X3853">
        <v>0.982159</v>
      </c>
      <c r="Y3853">
        <v>0.20599400000000001</v>
      </c>
      <c r="Z3853">
        <v>-3.2515550000000002E-3</v>
      </c>
      <c r="AA3853">
        <v>0.97854790000000003</v>
      </c>
      <c r="AB3853">
        <v>35</v>
      </c>
      <c r="AC3853">
        <v>58.996499999999997</v>
      </c>
      <c r="AD3853">
        <v>-1.109918134852</v>
      </c>
      <c r="AE3853">
        <v>-11.860499999999901</v>
      </c>
      <c r="AF3853">
        <v>12.463855068628</v>
      </c>
      <c r="AG3853">
        <v>-1.109918134852</v>
      </c>
      <c r="AH3853">
        <v>58.851068040327597</v>
      </c>
      <c r="AI3853">
        <v>91.057017704352106</v>
      </c>
      <c r="AJ3853">
        <v>78.042226844362702</v>
      </c>
      <c r="AK3853">
        <v>60.166666942129197</v>
      </c>
      <c r="AL3853">
        <v>79.187221133671002</v>
      </c>
      <c r="AM3853">
        <v>89.239727292702895</v>
      </c>
      <c r="AN3853">
        <v>1.0000000390046899</v>
      </c>
    </row>
    <row r="3854" spans="1:40" x14ac:dyDescent="0.25">
      <c r="A3854" t="str">
        <f>"20190304155709408"</f>
        <v>20190304155709408</v>
      </c>
      <c r="B3854" t="str">
        <f>"1551686229398178"</f>
        <v>1551686229398178</v>
      </c>
      <c r="C3854" t="s">
        <v>40</v>
      </c>
      <c r="D3854">
        <v>4.4160190000000004</v>
      </c>
      <c r="E3854">
        <v>0.57954340000000004</v>
      </c>
      <c r="F3854" t="s">
        <v>69</v>
      </c>
      <c r="G3854">
        <v>-168.4144</v>
      </c>
      <c r="H3854">
        <v>1.6759580000000001</v>
      </c>
      <c r="I3854">
        <v>196.35919999999999</v>
      </c>
      <c r="J3854">
        <v>-252.2329</v>
      </c>
      <c r="K3854">
        <v>1.1099190000000001</v>
      </c>
      <c r="L3854">
        <v>214.6266</v>
      </c>
      <c r="M3854">
        <v>0.99987230000000005</v>
      </c>
      <c r="N3854">
        <v>-1.2214890000000001E-2</v>
      </c>
      <c r="O3854">
        <v>1.030909E-2</v>
      </c>
      <c r="P3854">
        <v>0.98435280000000003</v>
      </c>
      <c r="Q3854">
        <v>0.1761596</v>
      </c>
      <c r="R3854">
        <v>-4.1831769999999997E-3</v>
      </c>
      <c r="S3854">
        <v>3.0417480000000001</v>
      </c>
      <c r="T3854">
        <v>2.045572E-2</v>
      </c>
      <c r="U3854">
        <v>-0.65998840000000003</v>
      </c>
      <c r="V3854">
        <v>1.4338679999999999E-2</v>
      </c>
      <c r="W3854">
        <v>0.18816849999999999</v>
      </c>
      <c r="X3854">
        <v>0.98203209999999996</v>
      </c>
      <c r="Y3854">
        <v>0.2221091</v>
      </c>
      <c r="Z3854">
        <v>-4.4092280000000001E-4</v>
      </c>
      <c r="AA3854">
        <v>0.97502169999999999</v>
      </c>
      <c r="AB3854">
        <v>35</v>
      </c>
      <c r="AC3854">
        <v>83.8185</v>
      </c>
      <c r="AD3854">
        <v>0.56603899999999996</v>
      </c>
      <c r="AE3854">
        <v>-18.267399999999999</v>
      </c>
      <c r="AF3854">
        <v>19.129753157760199</v>
      </c>
      <c r="AG3854">
        <v>0.56603899999999996</v>
      </c>
      <c r="AH3854">
        <v>83.622070236747902</v>
      </c>
      <c r="AI3854">
        <v>89.621936158584703</v>
      </c>
      <c r="AJ3854">
        <v>77.114491112924398</v>
      </c>
      <c r="AK3854">
        <v>85.784138899367406</v>
      </c>
      <c r="AL3854">
        <v>79.154080941125798</v>
      </c>
      <c r="AM3854">
        <v>89.163482055781003</v>
      </c>
      <c r="AN3854">
        <v>1.0000000137834</v>
      </c>
    </row>
    <row r="3855" spans="1:40" x14ac:dyDescent="0.25">
      <c r="A3855" t="str">
        <f>"20190304155709432"</f>
        <v>20190304155709432</v>
      </c>
      <c r="B3855" t="str">
        <f>"1551686229428434"</f>
        <v>1551686229428434</v>
      </c>
      <c r="C3855" t="s">
        <v>40</v>
      </c>
      <c r="D3855">
        <v>4.4291559999999999</v>
      </c>
      <c r="E3855">
        <v>0.58056390000000002</v>
      </c>
      <c r="F3855" t="s">
        <v>69</v>
      </c>
      <c r="G3855">
        <v>-168.4145</v>
      </c>
      <c r="H3855">
        <v>1.9267430000000001</v>
      </c>
      <c r="I3855">
        <v>196.21770000000001</v>
      </c>
      <c r="J3855">
        <v>-251.89359999999999</v>
      </c>
      <c r="K3855">
        <v>1.1099129999999999</v>
      </c>
      <c r="L3855">
        <v>214.6301</v>
      </c>
      <c r="M3855">
        <v>0.99987309999999996</v>
      </c>
      <c r="N3855">
        <v>-1.215313E-2</v>
      </c>
      <c r="O3855">
        <v>1.030929E-2</v>
      </c>
      <c r="P3855">
        <v>0.9844157</v>
      </c>
      <c r="Q3855">
        <v>0.17578769999999999</v>
      </c>
      <c r="R3855">
        <v>-4.9540060000000004E-3</v>
      </c>
      <c r="S3855">
        <v>3.0395660000000002</v>
      </c>
      <c r="T3855">
        <v>2.9622320000000001E-2</v>
      </c>
      <c r="U3855">
        <v>-0.66757200000000005</v>
      </c>
      <c r="V3855">
        <v>1.511028E-2</v>
      </c>
      <c r="W3855">
        <v>0.18773670000000001</v>
      </c>
      <c r="X3855">
        <v>0.98210319999999995</v>
      </c>
      <c r="Y3855">
        <v>0.22457369999999999</v>
      </c>
      <c r="Z3855" s="1">
        <v>-7.6271830000000006E-5</v>
      </c>
      <c r="AA3855">
        <v>0.97445709999999996</v>
      </c>
      <c r="AB3855">
        <v>35</v>
      </c>
      <c r="AC3855">
        <v>83.479099999999903</v>
      </c>
      <c r="AD3855">
        <v>0.81682999999999995</v>
      </c>
      <c r="AE3855">
        <v>-18.412399999999899</v>
      </c>
      <c r="AF3855">
        <v>19.270335698884001</v>
      </c>
      <c r="AG3855">
        <v>0.81682999999999995</v>
      </c>
      <c r="AH3855">
        <v>83.2772269762538</v>
      </c>
      <c r="AI3855">
        <v>89.452494972406896</v>
      </c>
      <c r="AJ3855">
        <v>76.971084412994998</v>
      </c>
      <c r="AK3855">
        <v>85.4816330099694</v>
      </c>
      <c r="AL3855">
        <v>79.179270490616204</v>
      </c>
      <c r="AM3855">
        <v>89.118537677347106</v>
      </c>
      <c r="AN3855">
        <v>1.0000000422694</v>
      </c>
    </row>
    <row r="3856" spans="1:40" x14ac:dyDescent="0.25">
      <c r="A3856" t="str">
        <f>"20190304155709453"</f>
        <v>20190304155709453</v>
      </c>
      <c r="B3856" t="str">
        <f>"1551686229448933"</f>
        <v>1551686229448933</v>
      </c>
      <c r="C3856" t="s">
        <v>40</v>
      </c>
      <c r="D3856">
        <v>4.4289259999999997</v>
      </c>
      <c r="E3856">
        <v>0.58085969999999998</v>
      </c>
      <c r="F3856" t="s">
        <v>69</v>
      </c>
      <c r="G3856">
        <v>-168.41460000000001</v>
      </c>
      <c r="H3856">
        <v>1.905208</v>
      </c>
      <c r="I3856">
        <v>196.0138</v>
      </c>
      <c r="J3856">
        <v>-251.5504</v>
      </c>
      <c r="K3856">
        <v>1.109912</v>
      </c>
      <c r="L3856">
        <v>214.6336</v>
      </c>
      <c r="M3856">
        <v>0.99987380000000003</v>
      </c>
      <c r="N3856">
        <v>-1.2098670000000001E-2</v>
      </c>
      <c r="O3856">
        <v>1.030962E-2</v>
      </c>
      <c r="P3856">
        <v>0.98448720000000001</v>
      </c>
      <c r="Q3856">
        <v>0.175365299999999</v>
      </c>
      <c r="R3856">
        <v>-5.6891900000000002E-3</v>
      </c>
      <c r="S3856">
        <v>3.0388950000000001</v>
      </c>
      <c r="T3856">
        <v>2.895236E-2</v>
      </c>
      <c r="U3856">
        <v>-0.67768859999999997</v>
      </c>
      <c r="V3856">
        <v>1.5846349999999999E-2</v>
      </c>
      <c r="W3856">
        <v>0.18726129999999999</v>
      </c>
      <c r="X3856">
        <v>0.98218229999999995</v>
      </c>
      <c r="Y3856">
        <v>0.22771069999999999</v>
      </c>
      <c r="Z3856">
        <v>-1.0246779999999999E-4</v>
      </c>
      <c r="AA3856">
        <v>0.97372879999999995</v>
      </c>
      <c r="AB3856">
        <v>35</v>
      </c>
      <c r="AC3856">
        <v>83.135799999999904</v>
      </c>
      <c r="AD3856">
        <v>0.795296</v>
      </c>
      <c r="AE3856">
        <v>-18.619800000000001</v>
      </c>
      <c r="AF3856">
        <v>19.474274400425699</v>
      </c>
      <c r="AG3856">
        <v>0.795296</v>
      </c>
      <c r="AH3856">
        <v>82.932177133682004</v>
      </c>
      <c r="AI3856">
        <v>89.465114960893999</v>
      </c>
      <c r="AJ3856">
        <v>76.785130659921194</v>
      </c>
      <c r="AK3856">
        <v>85.1917006713864</v>
      </c>
      <c r="AL3856">
        <v>79.207000088223595</v>
      </c>
      <c r="AM3856">
        <v>89.0756805432178</v>
      </c>
      <c r="AN3856">
        <v>0.999999985859651</v>
      </c>
    </row>
    <row r="3857" spans="1:40" x14ac:dyDescent="0.25">
      <c r="A3857" t="str">
        <f>"20190304155709475"</f>
        <v>20190304155709475</v>
      </c>
      <c r="B3857" t="str">
        <f>"1551686229468449"</f>
        <v>1551686229468449</v>
      </c>
      <c r="C3857" t="s">
        <v>40</v>
      </c>
      <c r="D3857">
        <v>4.7334300000000002</v>
      </c>
      <c r="E3857">
        <v>0.57843109999999998</v>
      </c>
      <c r="F3857" t="s">
        <v>69</v>
      </c>
      <c r="G3857">
        <v>-168.41460000000001</v>
      </c>
      <c r="H3857">
        <v>1.851702</v>
      </c>
      <c r="I3857">
        <v>195.96369999999999</v>
      </c>
      <c r="J3857">
        <v>-251.208</v>
      </c>
      <c r="K3857">
        <v>1.109904</v>
      </c>
      <c r="L3857">
        <v>214.6371</v>
      </c>
      <c r="M3857">
        <v>0.99987440000000005</v>
      </c>
      <c r="N3857">
        <v>-1.205144E-2</v>
      </c>
      <c r="O3857">
        <v>1.030973E-2</v>
      </c>
      <c r="P3857">
        <v>0.98450599999999999</v>
      </c>
      <c r="Q3857">
        <v>0.17526249999999999</v>
      </c>
      <c r="R3857">
        <v>-5.618868E-3</v>
      </c>
      <c r="S3857">
        <v>3.0384980000000001</v>
      </c>
      <c r="T3857">
        <v>2.7112600000000001E-2</v>
      </c>
      <c r="U3857">
        <v>-0.68235780000000001</v>
      </c>
      <c r="V3857">
        <v>1.5776390000000001E-2</v>
      </c>
      <c r="W3857">
        <v>0.1871128</v>
      </c>
      <c r="X3857">
        <v>0.98221170000000002</v>
      </c>
      <c r="Y3857">
        <v>0.22916300000000001</v>
      </c>
      <c r="Z3857">
        <v>-1.745084E-4</v>
      </c>
      <c r="AA3857">
        <v>0.97338809999999998</v>
      </c>
      <c r="AB3857">
        <v>35</v>
      </c>
      <c r="AC3857">
        <v>82.793399999999906</v>
      </c>
      <c r="AD3857">
        <v>0.74179799999999996</v>
      </c>
      <c r="AE3857">
        <v>-18.673400000000001</v>
      </c>
      <c r="AF3857">
        <v>19.524555409962801</v>
      </c>
      <c r="AG3857">
        <v>0.74179799999999996</v>
      </c>
      <c r="AH3857">
        <v>82.590158522110599</v>
      </c>
      <c r="AI3857">
        <v>89.499204584773594</v>
      </c>
      <c r="AJ3857">
        <v>76.699297487384001</v>
      </c>
      <c r="AK3857">
        <v>84.869858094242502</v>
      </c>
      <c r="AL3857">
        <v>79.215661317163196</v>
      </c>
      <c r="AM3857">
        <v>89.079788155205193</v>
      </c>
      <c r="AN3857">
        <v>0.99999995901107996</v>
      </c>
    </row>
    <row r="3858" spans="1:40" x14ac:dyDescent="0.25">
      <c r="A3858" t="str">
        <f>"20190304155709499"</f>
        <v>20190304155709499</v>
      </c>
      <c r="B3858" t="str">
        <f>"1551686229487970"</f>
        <v>1551686229487970</v>
      </c>
      <c r="C3858" t="s">
        <v>40</v>
      </c>
      <c r="D3858">
        <v>4.7007820000000002</v>
      </c>
      <c r="E3858">
        <v>0.57650080000000004</v>
      </c>
      <c r="F3858" t="s">
        <v>69</v>
      </c>
      <c r="G3858">
        <v>-168.4143</v>
      </c>
      <c r="H3858">
        <v>1.5114430000000001</v>
      </c>
      <c r="I3858">
        <v>196.5701</v>
      </c>
      <c r="J3858">
        <v>-250.84829999999999</v>
      </c>
      <c r="K3858">
        <v>1.1098980000000001</v>
      </c>
      <c r="L3858">
        <v>214.64080000000001</v>
      </c>
      <c r="M3858">
        <v>0.99987479999999995</v>
      </c>
      <c r="N3858">
        <v>-1.2008639999999999E-2</v>
      </c>
      <c r="O3858">
        <v>1.031017E-2</v>
      </c>
      <c r="P3858">
        <v>0.98460320000000001</v>
      </c>
      <c r="Q3858">
        <v>0.17471809999999999</v>
      </c>
      <c r="R3858">
        <v>-5.4841359999999997E-3</v>
      </c>
      <c r="S3858">
        <v>3.0408170000000001</v>
      </c>
      <c r="T3858">
        <v>1.4748809999999999E-2</v>
      </c>
      <c r="U3858">
        <v>-0.66355900000000001</v>
      </c>
      <c r="V3858">
        <v>1.5643279999999999E-2</v>
      </c>
      <c r="W3858">
        <v>0.18652730000000001</v>
      </c>
      <c r="X3858">
        <v>0.98232529999999996</v>
      </c>
      <c r="Y3858">
        <v>0.22326509999999999</v>
      </c>
      <c r="Z3858">
        <v>-6.4925400000000004E-4</v>
      </c>
      <c r="AA3858">
        <v>0.9747576</v>
      </c>
      <c r="AB3858">
        <v>35</v>
      </c>
      <c r="AC3858">
        <v>82.433999999999997</v>
      </c>
      <c r="AD3858">
        <v>0.40154499999999999</v>
      </c>
      <c r="AE3858">
        <v>-18.070699999999999</v>
      </c>
      <c r="AF3858">
        <v>18.919280843888998</v>
      </c>
      <c r="AG3858">
        <v>0.40154499999999999</v>
      </c>
      <c r="AH3858">
        <v>82.241430562806102</v>
      </c>
      <c r="AI3858">
        <v>89.727375407085901</v>
      </c>
      <c r="AJ3858">
        <v>77.044753028830598</v>
      </c>
      <c r="AK3858">
        <v>84.390481258574596</v>
      </c>
      <c r="AL3858">
        <v>79.2498104126134</v>
      </c>
      <c r="AM3858">
        <v>89.0876564338718</v>
      </c>
      <c r="AN3858">
        <v>1.00000007043726</v>
      </c>
    </row>
    <row r="3859" spans="1:40" x14ac:dyDescent="0.25">
      <c r="A3859" t="str">
        <f>"20190304155709521"</f>
        <v>20190304155709521</v>
      </c>
      <c r="B3859" t="str">
        <f>"1551686229518225"</f>
        <v>1551686229518225</v>
      </c>
      <c r="C3859" t="s">
        <v>40</v>
      </c>
      <c r="D3859">
        <v>4.4105230000000004</v>
      </c>
      <c r="E3859">
        <v>0.57525630000000005</v>
      </c>
      <c r="F3859" t="s">
        <v>69</v>
      </c>
      <c r="G3859">
        <v>-168.41399999999999</v>
      </c>
      <c r="H3859">
        <v>1.1985709999999901</v>
      </c>
      <c r="I3859">
        <v>197.08850000000001</v>
      </c>
      <c r="J3859">
        <v>-250.5052</v>
      </c>
      <c r="K3859">
        <v>1.1098920000000001</v>
      </c>
      <c r="L3859">
        <v>214.64439999999999</v>
      </c>
      <c r="M3859">
        <v>0.99987519999999996</v>
      </c>
      <c r="N3859">
        <v>-1.197309E-2</v>
      </c>
      <c r="O3859">
        <v>1.0310389999999999E-2</v>
      </c>
      <c r="P3859">
        <v>0.9847148</v>
      </c>
      <c r="Q3859">
        <v>0.1740823</v>
      </c>
      <c r="R3859">
        <v>-5.6886250000000001E-3</v>
      </c>
      <c r="S3859">
        <v>3.0427249999999999</v>
      </c>
      <c r="T3859">
        <v>3.2742019999999999E-3</v>
      </c>
      <c r="U3859">
        <v>-0.64787289999999997</v>
      </c>
      <c r="V3859">
        <v>1.584878E-2</v>
      </c>
      <c r="W3859">
        <v>0.18585779999999999</v>
      </c>
      <c r="X3859">
        <v>0.98244880000000001</v>
      </c>
      <c r="Y3859">
        <v>0.218331</v>
      </c>
      <c r="Z3859">
        <v>-1.0723869999999999E-3</v>
      </c>
      <c r="AA3859">
        <v>0.97587420000000002</v>
      </c>
      <c r="AB3859">
        <v>35</v>
      </c>
      <c r="AC3859">
        <v>82.091199999999901</v>
      </c>
      <c r="AD3859">
        <v>8.8678999999999703E-2</v>
      </c>
      <c r="AE3859">
        <v>-17.555899999999902</v>
      </c>
      <c r="AF3859">
        <v>18.401399104598301</v>
      </c>
      <c r="AG3859">
        <v>8.8678999999999703E-2</v>
      </c>
      <c r="AH3859">
        <v>81.905723397938004</v>
      </c>
      <c r="AI3859">
        <v>89.939474801508894</v>
      </c>
      <c r="AJ3859">
        <v>77.337853891339705</v>
      </c>
      <c r="AK3859">
        <v>83.947405429300105</v>
      </c>
      <c r="AL3859">
        <v>79.288851623160397</v>
      </c>
      <c r="AM3859">
        <v>89.075789552347899</v>
      </c>
      <c r="AN3859">
        <v>0.99999997513488303</v>
      </c>
    </row>
    <row r="3860" spans="1:40" x14ac:dyDescent="0.25">
      <c r="A3860" t="str">
        <f>"20190304155709543"</f>
        <v>20190304155709543</v>
      </c>
      <c r="B3860" t="str">
        <f>"1551686229538721"</f>
        <v>1551686229538721</v>
      </c>
      <c r="C3860" t="s">
        <v>40</v>
      </c>
      <c r="D3860">
        <v>4.4160620000000002</v>
      </c>
      <c r="E3860">
        <v>0.5758451</v>
      </c>
      <c r="F3860" t="s">
        <v>69</v>
      </c>
      <c r="G3860">
        <v>-168.41380000000001</v>
      </c>
      <c r="H3860">
        <v>0.97178359999999997</v>
      </c>
      <c r="I3860">
        <v>197.4188</v>
      </c>
      <c r="J3860">
        <v>-250.1618</v>
      </c>
      <c r="K3860">
        <v>1.1098790000000001</v>
      </c>
      <c r="L3860">
        <v>214.64789999999999</v>
      </c>
      <c r="M3860">
        <v>0.99987550000000003</v>
      </c>
      <c r="N3860">
        <v>-1.1947630000000001E-2</v>
      </c>
      <c r="O3860">
        <v>1.031055E-2</v>
      </c>
      <c r="P3860">
        <v>0.98486019999999996</v>
      </c>
      <c r="Q3860">
        <v>0.17326759999999999</v>
      </c>
      <c r="R3860">
        <v>-5.3828959999999999E-3</v>
      </c>
      <c r="S3860">
        <v>3.043777</v>
      </c>
      <c r="T3860">
        <v>-5.1195620000000002E-3</v>
      </c>
      <c r="U3860">
        <v>-0.63868709999999995</v>
      </c>
      <c r="V3860">
        <v>1.554471E-2</v>
      </c>
      <c r="W3860">
        <v>0.18501999999999999</v>
      </c>
      <c r="X3860">
        <v>0.98261180000000004</v>
      </c>
      <c r="Y3860">
        <v>0.21543889999999999</v>
      </c>
      <c r="Z3860">
        <v>-1.3754660000000001E-3</v>
      </c>
      <c r="AA3860">
        <v>0.97651639999999995</v>
      </c>
      <c r="AB3860">
        <v>35</v>
      </c>
      <c r="AC3860">
        <v>81.747999999999905</v>
      </c>
      <c r="AD3860">
        <v>-0.13809540000000001</v>
      </c>
      <c r="AE3860">
        <v>-17.229099999999899</v>
      </c>
      <c r="AF3860">
        <v>18.071061655253398</v>
      </c>
      <c r="AG3860">
        <v>-0.13809540000000001</v>
      </c>
      <c r="AH3860">
        <v>81.565777020385994</v>
      </c>
      <c r="AI3860">
        <v>90.094708306780205</v>
      </c>
      <c r="AJ3860">
        <v>77.507790865240906</v>
      </c>
      <c r="AK3860">
        <v>83.543750937019894</v>
      </c>
      <c r="AL3860">
        <v>79.337701491626206</v>
      </c>
      <c r="AM3860">
        <v>89.093668538775205</v>
      </c>
      <c r="AN3860">
        <v>0.99999999395411199</v>
      </c>
    </row>
    <row r="3861" spans="1:40" x14ac:dyDescent="0.25">
      <c r="A3861" t="str">
        <f>"20190304155709565"</f>
        <v>20190304155709565</v>
      </c>
      <c r="B3861" t="str">
        <f>"1551686229558242"</f>
        <v>1551686229558242</v>
      </c>
      <c r="C3861" t="s">
        <v>40</v>
      </c>
      <c r="D3861">
        <v>4.3685429999999998</v>
      </c>
      <c r="E3861">
        <v>0.57623210000000002</v>
      </c>
      <c r="F3861" t="s">
        <v>69</v>
      </c>
      <c r="G3861">
        <v>-168.41380000000001</v>
      </c>
      <c r="H3861">
        <v>0.97572230000000004</v>
      </c>
      <c r="I3861">
        <v>197.39840000000001</v>
      </c>
      <c r="J3861">
        <v>-249.81989999999999</v>
      </c>
      <c r="K3861">
        <v>1.10988</v>
      </c>
      <c r="L3861">
        <v>214.6514</v>
      </c>
      <c r="M3861">
        <v>0.99987579999999998</v>
      </c>
      <c r="N3861">
        <v>-1.1935309999999999E-2</v>
      </c>
      <c r="O3861">
        <v>1.03107999999999E-2</v>
      </c>
      <c r="P3861">
        <v>0.98494709999999996</v>
      </c>
      <c r="Q3861">
        <v>0.17276529999999901</v>
      </c>
      <c r="R3861">
        <v>-5.6041869999999896E-3</v>
      </c>
      <c r="S3861">
        <v>3.043472</v>
      </c>
      <c r="T3861">
        <v>-4.9934389999999997E-3</v>
      </c>
      <c r="U3861">
        <v>-0.64219669999999995</v>
      </c>
      <c r="V3861">
        <v>1.5767239999999998E-2</v>
      </c>
      <c r="W3861">
        <v>0.1845068</v>
      </c>
      <c r="X3861">
        <v>0.98270480000000004</v>
      </c>
      <c r="Y3861">
        <v>0.21653700000000001</v>
      </c>
      <c r="Z3861">
        <v>-1.3770869999999999E-3</v>
      </c>
      <c r="AA3861">
        <v>0.97627339999999996</v>
      </c>
      <c r="AB3861">
        <v>35</v>
      </c>
      <c r="AC3861">
        <v>81.406099999999896</v>
      </c>
      <c r="AD3861">
        <v>-0.13415769999999899</v>
      </c>
      <c r="AE3861">
        <v>-17.252999999999901</v>
      </c>
      <c r="AF3861">
        <v>18.091457363991498</v>
      </c>
      <c r="AG3861">
        <v>-0.13415769999999899</v>
      </c>
      <c r="AH3861">
        <v>81.223656038252003</v>
      </c>
      <c r="AI3861">
        <v>90.092372148182704</v>
      </c>
      <c r="AJ3861">
        <v>77.443126453818806</v>
      </c>
      <c r="AK3861">
        <v>83.2141882617493</v>
      </c>
      <c r="AL3861">
        <v>79.367621350064496</v>
      </c>
      <c r="AM3861">
        <v>89.080783163951594</v>
      </c>
      <c r="AN3861">
        <v>1.00000004452324</v>
      </c>
    </row>
    <row r="3862" spans="1:40" x14ac:dyDescent="0.25">
      <c r="A3862" t="str">
        <f>"20190304155709588"</f>
        <v>20190304155709588</v>
      </c>
      <c r="B3862" t="str">
        <f>"1551686229578738"</f>
        <v>1551686229578738</v>
      </c>
      <c r="C3862" t="s">
        <v>40</v>
      </c>
      <c r="D3862">
        <v>4.4433470000000002</v>
      </c>
      <c r="E3862">
        <v>0.57661980000000002</v>
      </c>
      <c r="F3862" t="s">
        <v>69</v>
      </c>
      <c r="G3862">
        <v>-168.41380000000001</v>
      </c>
      <c r="H3862">
        <v>0.98560709999999996</v>
      </c>
      <c r="I3862">
        <v>197.3734</v>
      </c>
      <c r="J3862">
        <v>-249.4725</v>
      </c>
      <c r="K3862">
        <v>1.109888</v>
      </c>
      <c r="L3862">
        <v>214.655</v>
      </c>
      <c r="M3862">
        <v>0.99987570000000003</v>
      </c>
      <c r="N3862">
        <v>-1.1934159999999999E-2</v>
      </c>
      <c r="O3862">
        <v>1.03111E-2</v>
      </c>
      <c r="P3862">
        <v>0.98498280000000005</v>
      </c>
      <c r="Q3862">
        <v>0.17256009999999999</v>
      </c>
      <c r="R3862">
        <v>-5.6583450000000004E-3</v>
      </c>
      <c r="S3862">
        <v>3.042999</v>
      </c>
      <c r="T3862">
        <v>-4.644156E-3</v>
      </c>
      <c r="U3862">
        <v>-0.64585879999999996</v>
      </c>
      <c r="V3862">
        <v>1.5822030000000001E-2</v>
      </c>
      <c r="W3862">
        <v>0.18430060000000001</v>
      </c>
      <c r="X3862">
        <v>0.98274249999999996</v>
      </c>
      <c r="Y3862">
        <v>0.21769250000000001</v>
      </c>
      <c r="Z3862">
        <v>-1.3715349999999999E-3</v>
      </c>
      <c r="AA3862">
        <v>0.97601649999999995</v>
      </c>
      <c r="AB3862">
        <v>35</v>
      </c>
      <c r="AC3862">
        <v>81.058699999999902</v>
      </c>
      <c r="AD3862">
        <v>-0.1242809</v>
      </c>
      <c r="AE3862">
        <v>-17.281599999999901</v>
      </c>
      <c r="AF3862">
        <v>18.116504250534199</v>
      </c>
      <c r="AG3862">
        <v>-0.1242809</v>
      </c>
      <c r="AH3862">
        <v>80.876003404040404</v>
      </c>
      <c r="AI3862">
        <v>90.0859163166608</v>
      </c>
      <c r="AJ3862">
        <v>77.373974580984196</v>
      </c>
      <c r="AK3862">
        <v>82.880342051731901</v>
      </c>
      <c r="AL3862">
        <v>79.379640702874397</v>
      </c>
      <c r="AM3862">
        <v>89.077624883378604</v>
      </c>
      <c r="AN3862">
        <v>0.99999993454996305</v>
      </c>
    </row>
    <row r="3863" spans="1:40" x14ac:dyDescent="0.25">
      <c r="A3863" t="str">
        <f>"20190304155709604"</f>
        <v>20190304155709604</v>
      </c>
      <c r="B3863" t="str">
        <f>"1551686229598258"</f>
        <v>1551686229598258</v>
      </c>
      <c r="C3863" t="s">
        <v>40</v>
      </c>
      <c r="D3863">
        <v>4.4553469999999997</v>
      </c>
      <c r="E3863">
        <v>0.57720199999999999</v>
      </c>
      <c r="F3863" t="s">
        <v>69</v>
      </c>
      <c r="G3863">
        <v>-168.41380000000001</v>
      </c>
      <c r="H3863">
        <v>1.0074879999999999</v>
      </c>
      <c r="I3863">
        <v>197.37</v>
      </c>
      <c r="J3863">
        <v>-249.2149</v>
      </c>
      <c r="K3863">
        <v>1.109888</v>
      </c>
      <c r="L3863">
        <v>214.6576</v>
      </c>
      <c r="M3863">
        <v>0.99987559999999998</v>
      </c>
      <c r="N3863">
        <v>-1.193876E-2</v>
      </c>
      <c r="O3863">
        <v>1.0311249999999999E-2</v>
      </c>
      <c r="P3863">
        <v>0.98498620000000003</v>
      </c>
      <c r="Q3863">
        <v>0.1725352</v>
      </c>
      <c r="R3863">
        <v>-5.8213379999999997E-3</v>
      </c>
      <c r="S3863">
        <v>3.0426639999999998</v>
      </c>
      <c r="T3863">
        <v>-3.8424729999999999E-3</v>
      </c>
      <c r="U3863">
        <v>-0.64881899999999904</v>
      </c>
      <c r="V3863">
        <v>1.5985220000000001E-2</v>
      </c>
      <c r="W3863">
        <v>0.184281</v>
      </c>
      <c r="X3863">
        <v>0.98274360000000005</v>
      </c>
      <c r="Y3863">
        <v>0.21862329999999999</v>
      </c>
      <c r="Z3863">
        <v>-1.3472899999999999E-3</v>
      </c>
      <c r="AA3863">
        <v>0.97580840000000002</v>
      </c>
      <c r="AB3863">
        <v>35</v>
      </c>
      <c r="AC3863">
        <v>80.801099999999906</v>
      </c>
      <c r="AD3863">
        <v>-0.1024</v>
      </c>
      <c r="AE3863">
        <v>-17.287599999999902</v>
      </c>
      <c r="AF3863">
        <v>18.1198726874144</v>
      </c>
      <c r="AG3863">
        <v>-0.1024</v>
      </c>
      <c r="AH3863">
        <v>80.618410535622701</v>
      </c>
      <c r="AI3863">
        <v>90.071004600832097</v>
      </c>
      <c r="AJ3863">
        <v>77.332652301520099</v>
      </c>
      <c r="AK3863">
        <v>82.629706457534397</v>
      </c>
      <c r="AL3863">
        <v>79.380783960390801</v>
      </c>
      <c r="AM3863">
        <v>89.068114126163906</v>
      </c>
      <c r="AN3863">
        <v>0.99999999878020396</v>
      </c>
    </row>
    <row r="3864" spans="1:40" x14ac:dyDescent="0.25">
      <c r="A3864" t="str">
        <f>"20190304155709620"</f>
        <v>20190304155709620</v>
      </c>
      <c r="B3864" t="str">
        <f>"1551686229618755"</f>
        <v>1551686229618755</v>
      </c>
      <c r="C3864" t="s">
        <v>40</v>
      </c>
      <c r="D3864">
        <v>5.6990879999999997</v>
      </c>
      <c r="E3864">
        <v>0.57654709999999998</v>
      </c>
      <c r="F3864" t="s">
        <v>69</v>
      </c>
      <c r="G3864">
        <v>-168.41390000000001</v>
      </c>
      <c r="H3864">
        <v>1.042422</v>
      </c>
      <c r="I3864">
        <v>197.2936</v>
      </c>
      <c r="J3864">
        <v>-248.9581</v>
      </c>
      <c r="K3864">
        <v>1.109893</v>
      </c>
      <c r="L3864">
        <v>214.66030000000001</v>
      </c>
      <c r="M3864">
        <v>0.99987550000000003</v>
      </c>
      <c r="N3864">
        <v>-1.194749E-2</v>
      </c>
      <c r="O3864">
        <v>1.031138E-2</v>
      </c>
      <c r="P3864">
        <v>0.98502140000000005</v>
      </c>
      <c r="Q3864">
        <v>0.17232500000000001</v>
      </c>
      <c r="R3864">
        <v>-6.103954E-3</v>
      </c>
      <c r="S3864">
        <v>3.0423279999999999</v>
      </c>
      <c r="T3864">
        <v>-2.5389190000000002E-3</v>
      </c>
      <c r="U3864">
        <v>-0.65379330000000002</v>
      </c>
      <c r="V3864">
        <v>1.626818E-2</v>
      </c>
      <c r="W3864">
        <v>0.1840794</v>
      </c>
      <c r="X3864">
        <v>0.98277680000000001</v>
      </c>
      <c r="Y3864">
        <v>0.22017120000000001</v>
      </c>
      <c r="Z3864">
        <v>-1.307709E-3</v>
      </c>
      <c r="AA3864">
        <v>0.97546040000000001</v>
      </c>
      <c r="AB3864">
        <v>35</v>
      </c>
      <c r="AC3864">
        <v>80.544199999999904</v>
      </c>
      <c r="AD3864">
        <v>-6.7471000000000003E-2</v>
      </c>
      <c r="AE3864">
        <v>-17.366700000000002</v>
      </c>
      <c r="AF3864">
        <v>18.196345489271799</v>
      </c>
      <c r="AG3864">
        <v>-6.7471000000000003E-2</v>
      </c>
      <c r="AH3864">
        <v>80.360776058363996</v>
      </c>
      <c r="AI3864">
        <v>90.046917840575901</v>
      </c>
      <c r="AJ3864">
        <v>77.241482535704606</v>
      </c>
      <c r="AK3864">
        <v>82.395181110325296</v>
      </c>
      <c r="AL3864">
        <v>79.392536479967802</v>
      </c>
      <c r="AM3864">
        <v>89.0516535053697</v>
      </c>
      <c r="AN3864">
        <v>1.0000000589015501</v>
      </c>
    </row>
    <row r="3865" spans="1:40" x14ac:dyDescent="0.25">
      <c r="A3865" t="str">
        <f>"20190304155709638"</f>
        <v>20190304155709638</v>
      </c>
      <c r="B3865" t="str">
        <f>"1551686229628514"</f>
        <v>1551686229628514</v>
      </c>
      <c r="C3865" t="s">
        <v>40</v>
      </c>
      <c r="D3865">
        <v>3.9954260000000001</v>
      </c>
      <c r="E3865">
        <v>0.57654709999999998</v>
      </c>
      <c r="F3865" t="s">
        <v>69</v>
      </c>
      <c r="G3865">
        <v>-168.41380000000001</v>
      </c>
      <c r="H3865">
        <v>1.0091909999999999</v>
      </c>
      <c r="I3865">
        <v>197.47229999999999</v>
      </c>
      <c r="J3865">
        <v>-248.6943</v>
      </c>
      <c r="K3865">
        <v>1.109896</v>
      </c>
      <c r="L3865">
        <v>214.66300000000001</v>
      </c>
      <c r="M3865">
        <v>0.99987539999999997</v>
      </c>
      <c r="N3865">
        <v>-1.196002E-2</v>
      </c>
      <c r="O3865">
        <v>1.031166E-2</v>
      </c>
      <c r="P3865">
        <v>0.98496930000000005</v>
      </c>
      <c r="Q3865">
        <v>0.17260130000000001</v>
      </c>
      <c r="R3865">
        <v>-6.6698199999999999E-3</v>
      </c>
      <c r="S3865">
        <v>3.0422669999999998</v>
      </c>
      <c r="T3865">
        <v>-3.802419E-3</v>
      </c>
      <c r="U3865">
        <v>-0.64921569999999995</v>
      </c>
      <c r="V3865">
        <v>1.6833910000000001E-2</v>
      </c>
      <c r="W3865">
        <v>0.18436720000000001</v>
      </c>
      <c r="X3865">
        <v>0.98271330000000001</v>
      </c>
      <c r="Y3865">
        <v>0.2187713</v>
      </c>
      <c r="Z3865">
        <v>-1.3488879999999999E-3</v>
      </c>
      <c r="AA3865">
        <v>0.97577519999999995</v>
      </c>
      <c r="AB3865">
        <v>35</v>
      </c>
      <c r="AC3865">
        <v>80.280499999999904</v>
      </c>
      <c r="AD3865">
        <v>-0.100705</v>
      </c>
      <c r="AE3865">
        <v>-17.1906999999999</v>
      </c>
      <c r="AF3865">
        <v>18.017643146057399</v>
      </c>
      <c r="AG3865">
        <v>-0.100705</v>
      </c>
      <c r="AH3865">
        <v>80.098833320174194</v>
      </c>
      <c r="AI3865">
        <v>90.0702795103076</v>
      </c>
      <c r="AJ3865">
        <v>77.322744590800397</v>
      </c>
      <c r="AK3865">
        <v>82.100357522295496</v>
      </c>
      <c r="AL3865">
        <v>79.375759379395205</v>
      </c>
      <c r="AM3865">
        <v>89.018617463685899</v>
      </c>
      <c r="AN3865">
        <v>1.0000000374793001</v>
      </c>
    </row>
    <row r="3866" spans="1:40" x14ac:dyDescent="0.25">
      <c r="A3866" t="str">
        <f>"20190304155709712"</f>
        <v>20190304155709712</v>
      </c>
      <c r="B3866" t="str">
        <f>"1551686229708546"</f>
        <v>1551686229708546</v>
      </c>
      <c r="C3866" t="s">
        <v>40</v>
      </c>
      <c r="D3866">
        <v>4.3801569999999996</v>
      </c>
      <c r="E3866">
        <v>0.577484</v>
      </c>
      <c r="F3866" t="s">
        <v>69</v>
      </c>
      <c r="G3866">
        <v>-168.41380000000001</v>
      </c>
      <c r="H3866">
        <v>1.0278350000000001</v>
      </c>
      <c r="I3866">
        <v>197.4922</v>
      </c>
      <c r="J3866">
        <v>-247.5547</v>
      </c>
      <c r="K3866">
        <v>1.1099019999999999</v>
      </c>
      <c r="L3866">
        <v>214.6747</v>
      </c>
      <c r="M3866">
        <v>0.99987429999999999</v>
      </c>
      <c r="N3866">
        <v>-1.205089E-2</v>
      </c>
      <c r="O3866">
        <v>1.031207E-2</v>
      </c>
      <c r="P3866">
        <v>0.98486439999999997</v>
      </c>
      <c r="Q3866">
        <v>0.17311370000000001</v>
      </c>
      <c r="R3866">
        <v>-8.5892360000000001E-3</v>
      </c>
      <c r="S3866">
        <v>3.0419160000000001</v>
      </c>
      <c r="T3866">
        <v>-3.1081440000000002E-3</v>
      </c>
      <c r="U3866">
        <v>-0.65061950000000002</v>
      </c>
      <c r="V3866">
        <v>1.8752560000000001E-2</v>
      </c>
      <c r="W3866">
        <v>0.1849671</v>
      </c>
      <c r="X3866">
        <v>0.98256580000000004</v>
      </c>
      <c r="Y3866">
        <v>0.21922559999999999</v>
      </c>
      <c r="Z3866">
        <v>-1.3340730000000001E-3</v>
      </c>
      <c r="AA3866">
        <v>0.97567329999999997</v>
      </c>
      <c r="AB3866">
        <v>35</v>
      </c>
      <c r="AC3866">
        <v>79.140899999999903</v>
      </c>
      <c r="AD3866">
        <v>-8.2066999999999807E-2</v>
      </c>
      <c r="AE3866">
        <v>-17.182500000000001</v>
      </c>
      <c r="AF3866">
        <v>17.9977334714143</v>
      </c>
      <c r="AG3866">
        <v>-8.2066999999999807E-2</v>
      </c>
      <c r="AH3866">
        <v>78.959410325734396</v>
      </c>
      <c r="AI3866">
        <v>90.058061540185093</v>
      </c>
      <c r="AJ3866">
        <v>77.159574427255706</v>
      </c>
      <c r="AK3866">
        <v>80.984650546188405</v>
      </c>
      <c r="AL3866">
        <v>79.340785941809301</v>
      </c>
      <c r="AM3866">
        <v>88.906625778290007</v>
      </c>
      <c r="AN3866">
        <v>1.0000000189592999</v>
      </c>
    </row>
    <row r="3867" spans="1:40" x14ac:dyDescent="0.25">
      <c r="A3867" t="str">
        <f>"20190304155709734"</f>
        <v>20190304155709734</v>
      </c>
      <c r="B3867" t="str">
        <f>"1551686229728066"</f>
        <v>1551686229728066</v>
      </c>
      <c r="C3867" t="s">
        <v>40</v>
      </c>
      <c r="D3867">
        <v>4.3962870000000001</v>
      </c>
      <c r="E3867">
        <v>0.57842919999999998</v>
      </c>
      <c r="F3867" t="s">
        <v>69</v>
      </c>
      <c r="G3867">
        <v>-168.4136</v>
      </c>
      <c r="H3867">
        <v>0.41478159999999997</v>
      </c>
      <c r="I3867">
        <v>197.4092</v>
      </c>
      <c r="J3867">
        <v>-247.20519999999999</v>
      </c>
      <c r="K3867">
        <v>1.109907</v>
      </c>
      <c r="L3867">
        <v>214.67830000000001</v>
      </c>
      <c r="M3867">
        <v>0.99987380000000003</v>
      </c>
      <c r="N3867">
        <v>-1.2086939999999999E-2</v>
      </c>
      <c r="O3867">
        <v>1.0312200000000001E-2</v>
      </c>
      <c r="P3867">
        <v>0.98492500000000005</v>
      </c>
      <c r="Q3867">
        <v>0.1727485</v>
      </c>
      <c r="R3867">
        <v>-8.9810569999999902E-3</v>
      </c>
      <c r="S3867">
        <v>3.045029</v>
      </c>
      <c r="T3867">
        <v>-2.6744130000000001E-2</v>
      </c>
      <c r="U3867">
        <v>-0.66430659999999997</v>
      </c>
      <c r="V3867">
        <v>1.9145100000000002E-2</v>
      </c>
      <c r="W3867">
        <v>0.18463850000000001</v>
      </c>
      <c r="X3867">
        <v>0.98262000000000005</v>
      </c>
      <c r="Y3867">
        <v>0.22319220000000001</v>
      </c>
      <c r="Z3867">
        <v>-2.2997429999999999E-3</v>
      </c>
      <c r="AA3867">
        <v>0.97477170000000002</v>
      </c>
      <c r="AB3867">
        <v>35</v>
      </c>
      <c r="AC3867">
        <v>78.791599999999903</v>
      </c>
      <c r="AD3867">
        <v>-0.6951254</v>
      </c>
      <c r="AE3867">
        <v>-17.269100000000002</v>
      </c>
      <c r="AF3867">
        <v>18.079413021004299</v>
      </c>
      <c r="AG3867">
        <v>-0.6951254</v>
      </c>
      <c r="AH3867">
        <v>78.603476889941604</v>
      </c>
      <c r="AI3867">
        <v>90.493786233893601</v>
      </c>
      <c r="AJ3867">
        <v>77.046810875184093</v>
      </c>
      <c r="AK3867">
        <v>80.658880191169004</v>
      </c>
      <c r="AL3867">
        <v>79.359942969416096</v>
      </c>
      <c r="AM3867">
        <v>88.883805890775093</v>
      </c>
      <c r="AN3867">
        <v>0.99999998746812901</v>
      </c>
    </row>
    <row r="3868" spans="1:40" x14ac:dyDescent="0.25">
      <c r="A3868" t="str">
        <f>"20190304155709756"</f>
        <v>20190304155709756</v>
      </c>
      <c r="B3868" t="str">
        <f>"1551686229748562"</f>
        <v>1551686229748562</v>
      </c>
      <c r="C3868" t="s">
        <v>40</v>
      </c>
      <c r="D3868">
        <v>4.652272</v>
      </c>
      <c r="E3868">
        <v>0.57711579999999996</v>
      </c>
      <c r="F3868" t="s">
        <v>69</v>
      </c>
      <c r="G3868">
        <v>-168.41370000000001</v>
      </c>
      <c r="H3868">
        <v>0.48020940000000001</v>
      </c>
      <c r="I3868">
        <v>197.26660000000001</v>
      </c>
      <c r="J3868">
        <v>-246.8717</v>
      </c>
      <c r="K3868">
        <v>1.109909</v>
      </c>
      <c r="L3868">
        <v>214.68180000000001</v>
      </c>
      <c r="M3868">
        <v>0.99987329999999996</v>
      </c>
      <c r="N3868">
        <v>-1.2120260000000001E-2</v>
      </c>
      <c r="O3868">
        <v>1.031236E-2</v>
      </c>
      <c r="P3868">
        <v>0.98495010000000005</v>
      </c>
      <c r="Q3868">
        <v>0.1725961</v>
      </c>
      <c r="R3868">
        <v>-9.1587030000000007E-3</v>
      </c>
      <c r="S3868">
        <v>3.0440369999999999</v>
      </c>
      <c r="T3868">
        <v>-2.4326560000000001E-2</v>
      </c>
      <c r="U3868">
        <v>-0.6726837</v>
      </c>
      <c r="V3868">
        <v>1.9323130000000001E-2</v>
      </c>
      <c r="W3868">
        <v>0.18451899999999999</v>
      </c>
      <c r="X3868">
        <v>0.98263900000000004</v>
      </c>
      <c r="Y3868">
        <v>0.22581899999999999</v>
      </c>
      <c r="Z3868">
        <v>-2.2344410000000002E-3</v>
      </c>
      <c r="AA3868">
        <v>0.9741668</v>
      </c>
      <c r="AB3868">
        <v>35</v>
      </c>
      <c r="AC3868">
        <v>78.457999999999998</v>
      </c>
      <c r="AD3868">
        <v>-0.62969960000000003</v>
      </c>
      <c r="AE3868">
        <v>-17.415199999999999</v>
      </c>
      <c r="AF3868">
        <v>18.222301776296501</v>
      </c>
      <c r="AG3868">
        <v>-0.62969960000000003</v>
      </c>
      <c r="AH3868">
        <v>78.269417417429096</v>
      </c>
      <c r="AI3868">
        <v>90.448944818764403</v>
      </c>
      <c r="AJ3868">
        <v>76.894140701846993</v>
      </c>
      <c r="AK3868">
        <v>80.365107518601704</v>
      </c>
      <c r="AL3868">
        <v>79.366909914804495</v>
      </c>
      <c r="AM3868">
        <v>88.873450858445196</v>
      </c>
      <c r="AN3868">
        <v>1.00000002451749</v>
      </c>
    </row>
    <row r="3869" spans="1:40" x14ac:dyDescent="0.25">
      <c r="A3869" t="str">
        <f>"20190304155709773"</f>
        <v>20190304155709773</v>
      </c>
      <c r="B3869" t="str">
        <f>"1551686229768083"</f>
        <v>1551686229768083</v>
      </c>
      <c r="C3869" t="s">
        <v>40</v>
      </c>
      <c r="D3869">
        <v>4.5165240000000004</v>
      </c>
      <c r="E3869">
        <v>0.57624819999999999</v>
      </c>
      <c r="F3869" t="s">
        <v>69</v>
      </c>
      <c r="G3869">
        <v>-168.4136</v>
      </c>
      <c r="H3869">
        <v>0.53649429999999998</v>
      </c>
      <c r="I3869">
        <v>197.60040000000001</v>
      </c>
      <c r="J3869">
        <v>-246.5829</v>
      </c>
      <c r="K3869">
        <v>1.1099110000000001</v>
      </c>
      <c r="L3869">
        <v>214.6848</v>
      </c>
      <c r="M3869">
        <v>0.99987309999999996</v>
      </c>
      <c r="N3869">
        <v>-1.2148320000000001E-2</v>
      </c>
      <c r="O3869">
        <v>1.0312299999999899E-2</v>
      </c>
      <c r="P3869">
        <v>0.98497199999999996</v>
      </c>
      <c r="Q3869">
        <v>0.1724773</v>
      </c>
      <c r="R3869">
        <v>-9.0582219999999995E-3</v>
      </c>
      <c r="S3869">
        <v>3.0435789999999998</v>
      </c>
      <c r="T3869">
        <v>-2.2242899999999999E-2</v>
      </c>
      <c r="U3869">
        <v>-0.662628199999999</v>
      </c>
      <c r="V3869">
        <v>1.9222739999999999E-2</v>
      </c>
      <c r="W3869">
        <v>0.18442810000000001</v>
      </c>
      <c r="X3869">
        <v>0.98265800000000003</v>
      </c>
      <c r="Y3869">
        <v>0.22278020000000001</v>
      </c>
      <c r="Z3869">
        <v>-2.1242969999999998E-3</v>
      </c>
      <c r="AA3869">
        <v>0.97486640000000002</v>
      </c>
      <c r="AB3869">
        <v>35</v>
      </c>
      <c r="AC3869">
        <v>78.169299999999893</v>
      </c>
      <c r="AD3869">
        <v>-0.5734167</v>
      </c>
      <c r="AE3869">
        <v>-17.084399999999899</v>
      </c>
      <c r="AF3869">
        <v>17.888737419205299</v>
      </c>
      <c r="AG3869">
        <v>-0.5734167</v>
      </c>
      <c r="AH3869">
        <v>77.984945320424501</v>
      </c>
      <c r="AI3869">
        <v>90.410619224600694</v>
      </c>
      <c r="AJ3869">
        <v>77.080594314000095</v>
      </c>
      <c r="AK3869">
        <v>80.0124204720412</v>
      </c>
      <c r="AL3869">
        <v>79.372208691272803</v>
      </c>
      <c r="AM3869">
        <v>88.879323817769105</v>
      </c>
      <c r="AN3869">
        <v>0.99999999138335804</v>
      </c>
    </row>
    <row r="3870" spans="1:40" x14ac:dyDescent="0.25">
      <c r="A3870" t="str">
        <f>"20190304155709788"</f>
        <v>20190304155709788</v>
      </c>
      <c r="B3870" t="str">
        <f>"1551686229778818"</f>
        <v>1551686229778818</v>
      </c>
      <c r="C3870" t="s">
        <v>40</v>
      </c>
      <c r="D3870">
        <v>4.4776499999999997</v>
      </c>
      <c r="E3870">
        <v>0.57573039999999998</v>
      </c>
      <c r="F3870" t="s">
        <v>69</v>
      </c>
      <c r="G3870">
        <v>-168.4135</v>
      </c>
      <c r="H3870">
        <v>0.48322680000000001</v>
      </c>
      <c r="I3870">
        <v>197.85749999999999</v>
      </c>
      <c r="J3870">
        <v>-246.36269999999999</v>
      </c>
      <c r="K3870">
        <v>1.1099049999999999</v>
      </c>
      <c r="L3870">
        <v>214.68700000000001</v>
      </c>
      <c r="M3870">
        <v>0.99987280000000001</v>
      </c>
      <c r="N3870">
        <v>-1.2170769999999999E-2</v>
      </c>
      <c r="O3870">
        <v>1.031234E-2</v>
      </c>
      <c r="P3870">
        <v>0.98499409999999998</v>
      </c>
      <c r="Q3870">
        <v>0.17234269999999999</v>
      </c>
      <c r="R3870">
        <v>-9.2131000000000001E-3</v>
      </c>
      <c r="S3870">
        <v>3.044022</v>
      </c>
      <c r="T3870">
        <v>-2.440262E-2</v>
      </c>
      <c r="U3870">
        <v>-0.65527340000000001</v>
      </c>
      <c r="V3870">
        <v>1.937796E-2</v>
      </c>
      <c r="W3870">
        <v>0.18431520000000001</v>
      </c>
      <c r="X3870">
        <v>0.98267610000000005</v>
      </c>
      <c r="Y3870">
        <v>0.22049830000000001</v>
      </c>
      <c r="Z3870">
        <v>-2.188607E-3</v>
      </c>
      <c r="AA3870">
        <v>0.9753849</v>
      </c>
      <c r="AB3870">
        <v>35</v>
      </c>
      <c r="AC3870">
        <v>77.949199999999905</v>
      </c>
      <c r="AD3870">
        <v>-0.62667819999999996</v>
      </c>
      <c r="AE3870">
        <v>-16.829499999999999</v>
      </c>
      <c r="AF3870">
        <v>17.631414296494398</v>
      </c>
      <c r="AG3870">
        <v>-0.62667819999999996</v>
      </c>
      <c r="AH3870">
        <v>77.766687613760098</v>
      </c>
      <c r="AI3870">
        <v>90.450277353869595</v>
      </c>
      <c r="AJ3870">
        <v>77.225745291541998</v>
      </c>
      <c r="AK3870">
        <v>79.742819100387507</v>
      </c>
      <c r="AL3870">
        <v>79.3787898547466</v>
      </c>
      <c r="AM3870">
        <v>88.870297707887104</v>
      </c>
      <c r="AN3870">
        <v>0.999999957898005</v>
      </c>
    </row>
    <row r="3871" spans="1:40" x14ac:dyDescent="0.25">
      <c r="A3871" t="str">
        <f>"20190304155709807"</f>
        <v>20190304155709807</v>
      </c>
      <c r="B3871" t="str">
        <f>"1551686229798338"</f>
        <v>1551686229798338</v>
      </c>
      <c r="C3871" t="s">
        <v>40</v>
      </c>
      <c r="D3871">
        <v>4.4814610000000004</v>
      </c>
      <c r="E3871">
        <v>0.57463839999999999</v>
      </c>
      <c r="F3871" t="s">
        <v>69</v>
      </c>
      <c r="G3871">
        <v>-168.4135</v>
      </c>
      <c r="H3871">
        <v>0.4524069</v>
      </c>
      <c r="I3871">
        <v>197.994</v>
      </c>
      <c r="J3871">
        <v>-246.0829</v>
      </c>
      <c r="K3871">
        <v>1.1099079999999999</v>
      </c>
      <c r="L3871">
        <v>214.68989999999999</v>
      </c>
      <c r="M3871">
        <v>0.99987250000000005</v>
      </c>
      <c r="N3871">
        <v>-1.2203719999999999E-2</v>
      </c>
      <c r="O3871">
        <v>1.031232E-2</v>
      </c>
      <c r="P3871">
        <v>0.98504769999999997</v>
      </c>
      <c r="Q3871">
        <v>0.17202619999999999</v>
      </c>
      <c r="R3871">
        <v>-9.4029820000000007E-3</v>
      </c>
      <c r="S3871">
        <v>3.044098</v>
      </c>
      <c r="T3871">
        <v>-2.567554E-2</v>
      </c>
      <c r="U3871">
        <v>-0.65190119999999996</v>
      </c>
      <c r="V3871">
        <v>1.9568410000000001E-2</v>
      </c>
      <c r="W3871">
        <v>0.1840321</v>
      </c>
      <c r="X3871">
        <v>0.98272539999999997</v>
      </c>
      <c r="Y3871">
        <v>0.21945899999999999</v>
      </c>
      <c r="Z3871">
        <v>-2.2309679999999998E-3</v>
      </c>
      <c r="AA3871">
        <v>0.97561920000000002</v>
      </c>
      <c r="AB3871">
        <v>35</v>
      </c>
      <c r="AC3871">
        <v>77.669399999999996</v>
      </c>
      <c r="AD3871">
        <v>-0.65750109999999895</v>
      </c>
      <c r="AE3871">
        <v>-16.695899999999899</v>
      </c>
      <c r="AF3871">
        <v>17.494824978473702</v>
      </c>
      <c r="AG3871">
        <v>-0.65750109999999895</v>
      </c>
      <c r="AH3871">
        <v>77.487775458955298</v>
      </c>
      <c r="AI3871">
        <v>90.474220059018194</v>
      </c>
      <c r="AJ3871">
        <v>77.277343133083903</v>
      </c>
      <c r="AK3871">
        <v>79.440899757627406</v>
      </c>
      <c r="AL3871">
        <v>79.395292765481798</v>
      </c>
      <c r="AM3871">
        <v>88.859254929979599</v>
      </c>
      <c r="AN3871">
        <v>0.99999997415274799</v>
      </c>
    </row>
    <row r="3872" spans="1:40" x14ac:dyDescent="0.25">
      <c r="A3872" t="str">
        <f>"20190304155709823"</f>
        <v>20190304155709823</v>
      </c>
      <c r="B3872" t="str">
        <f>"1551686229818834"</f>
        <v>1551686229818834</v>
      </c>
      <c r="C3872" t="s">
        <v>40</v>
      </c>
      <c r="D3872">
        <v>4.4705190000000004</v>
      </c>
      <c r="E3872">
        <v>0.57375659999999995</v>
      </c>
      <c r="F3872" t="s">
        <v>69</v>
      </c>
      <c r="G3872">
        <v>-168.41329999999999</v>
      </c>
      <c r="H3872">
        <v>0.39240550000000002</v>
      </c>
      <c r="I3872">
        <v>198.27279999999999</v>
      </c>
      <c r="J3872">
        <v>-245.83410000000001</v>
      </c>
      <c r="K3872">
        <v>1.109907</v>
      </c>
      <c r="L3872">
        <v>214.6925</v>
      </c>
      <c r="M3872">
        <v>0.99987199999999998</v>
      </c>
      <c r="N3872">
        <v>-1.2237380000000001E-2</v>
      </c>
      <c r="O3872">
        <v>1.0312460000000001E-2</v>
      </c>
      <c r="P3872">
        <v>0.98507259999999996</v>
      </c>
      <c r="Q3872">
        <v>0.1718953</v>
      </c>
      <c r="R3872">
        <v>-9.1830139999999998E-3</v>
      </c>
      <c r="S3872">
        <v>3.0443120000000001</v>
      </c>
      <c r="T3872">
        <v>-2.8121710000000001E-2</v>
      </c>
      <c r="U3872">
        <v>-0.64347840000000001</v>
      </c>
      <c r="V3872">
        <v>1.9348830000000001E-2</v>
      </c>
      <c r="W3872">
        <v>0.1839346</v>
      </c>
      <c r="X3872">
        <v>0.98274799999999995</v>
      </c>
      <c r="Y3872">
        <v>0.21685969999999999</v>
      </c>
      <c r="Z3872">
        <v>-2.3016130000000001E-3</v>
      </c>
      <c r="AA3872">
        <v>0.97620010000000002</v>
      </c>
      <c r="AB3872">
        <v>35</v>
      </c>
      <c r="AC3872">
        <v>77.4208</v>
      </c>
      <c r="AD3872">
        <v>-0.71750150000000001</v>
      </c>
      <c r="AE3872">
        <v>-16.419699999999999</v>
      </c>
      <c r="AF3872">
        <v>17.2158704154375</v>
      </c>
      <c r="AG3872">
        <v>-0.71750150000000001</v>
      </c>
      <c r="AH3872">
        <v>77.240993887231198</v>
      </c>
      <c r="AI3872">
        <v>90.519466671153694</v>
      </c>
      <c r="AJ3872">
        <v>77.435001911957897</v>
      </c>
      <c r="AK3872">
        <v>79.139573787397495</v>
      </c>
      <c r="AL3872">
        <v>79.400976109267901</v>
      </c>
      <c r="AM3872">
        <v>88.872078004469003</v>
      </c>
      <c r="AN3872">
        <v>0.99999997290176401</v>
      </c>
    </row>
    <row r="3873" spans="1:40" x14ac:dyDescent="0.25">
      <c r="A3873" t="str">
        <f>"20190304155709846"</f>
        <v>20190304155709846</v>
      </c>
      <c r="B3873" t="str">
        <f>"1551686229838354"</f>
        <v>1551686229838354</v>
      </c>
      <c r="C3873" t="s">
        <v>40</v>
      </c>
      <c r="D3873">
        <v>4.4752660000000004</v>
      </c>
      <c r="E3873">
        <v>0.57299489999999997</v>
      </c>
      <c r="F3873" t="s">
        <v>69</v>
      </c>
      <c r="G3873">
        <v>-168.41319999999999</v>
      </c>
      <c r="H3873">
        <v>0.34994409999999998</v>
      </c>
      <c r="I3873">
        <v>198.52350000000001</v>
      </c>
      <c r="J3873">
        <v>-245.48670000000001</v>
      </c>
      <c r="K3873">
        <v>1.109918</v>
      </c>
      <c r="L3873">
        <v>214.6961</v>
      </c>
      <c r="M3873">
        <v>0.99987139999999997</v>
      </c>
      <c r="N3873">
        <v>-1.229046E-2</v>
      </c>
      <c r="O3873">
        <v>1.0312429999999999E-2</v>
      </c>
      <c r="P3873">
        <v>0.98508280000000004</v>
      </c>
      <c r="Q3873">
        <v>0.17184479999999999</v>
      </c>
      <c r="R3873">
        <v>-9.0380889999999992E-3</v>
      </c>
      <c r="S3873">
        <v>3.0447389999999999</v>
      </c>
      <c r="T3873">
        <v>-2.9885769999999999E-2</v>
      </c>
      <c r="U3873">
        <v>-0.63587950000000004</v>
      </c>
      <c r="V3873">
        <v>1.9203919999999999E-2</v>
      </c>
      <c r="W3873">
        <v>0.1839364</v>
      </c>
      <c r="X3873">
        <v>0.98275049999999997</v>
      </c>
      <c r="Y3873">
        <v>0.2144962</v>
      </c>
      <c r="Z3873">
        <v>-2.3485559999999999E-3</v>
      </c>
      <c r="AA3873">
        <v>0.97672199999999998</v>
      </c>
      <c r="AB3873">
        <v>35</v>
      </c>
      <c r="AC3873">
        <v>77.073499999999996</v>
      </c>
      <c r="AD3873">
        <v>-0.75997389999999998</v>
      </c>
      <c r="AE3873">
        <v>-16.1725999999999</v>
      </c>
      <c r="AF3873">
        <v>16.9650350266663</v>
      </c>
      <c r="AG3873">
        <v>-0.75997389999999998</v>
      </c>
      <c r="AH3873">
        <v>76.895448631472604</v>
      </c>
      <c r="AI3873">
        <v>90.552951042002604</v>
      </c>
      <c r="AJ3873">
        <v>77.558445851786601</v>
      </c>
      <c r="AK3873">
        <v>78.748333277728094</v>
      </c>
      <c r="AL3873">
        <v>79.400871128996897</v>
      </c>
      <c r="AM3873">
        <v>88.880526086998202</v>
      </c>
      <c r="AN3873">
        <v>0.99999996751928699</v>
      </c>
    </row>
    <row r="3874" spans="1:40" x14ac:dyDescent="0.25">
      <c r="A3874" t="str">
        <f>"20190304155709867"</f>
        <v>20190304155709867</v>
      </c>
      <c r="B3874" t="str">
        <f>"1551686229858851"</f>
        <v>1551686229858851</v>
      </c>
      <c r="C3874" t="s">
        <v>40</v>
      </c>
      <c r="D3874">
        <v>4.5410110000000001</v>
      </c>
      <c r="E3874">
        <v>0.57228299999999999</v>
      </c>
      <c r="F3874" t="s">
        <v>69</v>
      </c>
      <c r="G3874">
        <v>-168.41309999999999</v>
      </c>
      <c r="H3874">
        <v>0.32272820000000002</v>
      </c>
      <c r="I3874">
        <v>198.761</v>
      </c>
      <c r="J3874">
        <v>-245.15</v>
      </c>
      <c r="K3874">
        <v>1.1099300000000001</v>
      </c>
      <c r="L3874">
        <v>214.6995</v>
      </c>
      <c r="M3874">
        <v>0.9998707</v>
      </c>
      <c r="N3874">
        <v>-1.234884E-2</v>
      </c>
      <c r="O3874">
        <v>1.0312429999999999E-2</v>
      </c>
      <c r="P3874">
        <v>0.98514259999999998</v>
      </c>
      <c r="Q3874">
        <v>0.17149739999999999</v>
      </c>
      <c r="R3874">
        <v>-9.1109260000000001E-3</v>
      </c>
      <c r="S3874">
        <v>3.0450900000000001</v>
      </c>
      <c r="T3874">
        <v>-3.1099680000000001E-2</v>
      </c>
      <c r="U3874">
        <v>-0.62957759999999996</v>
      </c>
      <c r="V3874">
        <v>1.9277349999999999E-2</v>
      </c>
      <c r="W3874">
        <v>0.18364730000000001</v>
      </c>
      <c r="X3874">
        <v>0.98280319999999999</v>
      </c>
      <c r="Y3874">
        <v>0.21253440000000001</v>
      </c>
      <c r="Z3874">
        <v>-2.3783179999999999E-3</v>
      </c>
      <c r="AA3874">
        <v>0.97715070000000004</v>
      </c>
      <c r="AB3874">
        <v>35</v>
      </c>
      <c r="AC3874">
        <v>76.736900000000006</v>
      </c>
      <c r="AD3874">
        <v>-0.78720179999999895</v>
      </c>
      <c r="AE3874">
        <v>-15.938499999999999</v>
      </c>
      <c r="AF3874">
        <v>16.727368983268001</v>
      </c>
      <c r="AG3874">
        <v>-0.78720179999999895</v>
      </c>
      <c r="AH3874">
        <v>76.560718027806502</v>
      </c>
      <c r="AI3874">
        <v>90.575522405489494</v>
      </c>
      <c r="AJ3874">
        <v>77.675403174199701</v>
      </c>
      <c r="AK3874">
        <v>78.370709481984505</v>
      </c>
      <c r="AL3874">
        <v>79.417723157246002</v>
      </c>
      <c r="AM3874">
        <v>88.876306894453094</v>
      </c>
      <c r="AN3874">
        <v>1.0000000384752701</v>
      </c>
    </row>
    <row r="3875" spans="1:40" x14ac:dyDescent="0.25">
      <c r="A3875" t="str">
        <f>"20190304155709885"</f>
        <v>20190304155709885</v>
      </c>
      <c r="B3875" t="str">
        <f>"1551686229878370"</f>
        <v>1551686229878370</v>
      </c>
      <c r="C3875" t="s">
        <v>40</v>
      </c>
      <c r="D3875">
        <v>4.4455900000000002</v>
      </c>
      <c r="E3875">
        <v>0.57170859999999901</v>
      </c>
      <c r="F3875" t="s">
        <v>69</v>
      </c>
      <c r="G3875">
        <v>-168.41309999999999</v>
      </c>
      <c r="H3875">
        <v>0.2704916</v>
      </c>
      <c r="I3875">
        <v>198.96559999999999</v>
      </c>
      <c r="J3875">
        <v>-244.87970000000001</v>
      </c>
      <c r="K3875">
        <v>1.1099380000000001</v>
      </c>
      <c r="L3875">
        <v>214.70230000000001</v>
      </c>
      <c r="M3875">
        <v>0.99986989999999998</v>
      </c>
      <c r="N3875">
        <v>-1.240073E-2</v>
      </c>
      <c r="O3875">
        <v>1.031258E-2</v>
      </c>
      <c r="P3875">
        <v>0.98516020000000004</v>
      </c>
      <c r="Q3875">
        <v>0.1713711</v>
      </c>
      <c r="R3875">
        <v>-9.5551200000000003E-3</v>
      </c>
      <c r="S3875">
        <v>3.045258</v>
      </c>
      <c r="T3875">
        <v>-3.3311250000000001E-2</v>
      </c>
      <c r="U3875">
        <v>-0.62438959999999999</v>
      </c>
      <c r="V3875">
        <v>1.9722E-2</v>
      </c>
      <c r="W3875">
        <v>0.18357180000000001</v>
      </c>
      <c r="X3875">
        <v>0.98280849999999997</v>
      </c>
      <c r="Y3875">
        <v>0.21092420000000001</v>
      </c>
      <c r="Z3875">
        <v>-2.4482449999999999E-3</v>
      </c>
      <c r="AA3875">
        <v>0.97749940000000002</v>
      </c>
      <c r="AB3875">
        <v>35</v>
      </c>
      <c r="AC3875">
        <v>76.4666</v>
      </c>
      <c r="AD3875">
        <v>-0.83944639999999904</v>
      </c>
      <c r="AE3875">
        <v>-15.736700000000001</v>
      </c>
      <c r="AF3875">
        <v>16.5225813292932</v>
      </c>
      <c r="AG3875">
        <v>-0.83944639999999904</v>
      </c>
      <c r="AH3875">
        <v>76.291414015806296</v>
      </c>
      <c r="AI3875">
        <v>90.616126502385399</v>
      </c>
      <c r="AJ3875">
        <v>77.780060216104104</v>
      </c>
      <c r="AK3875">
        <v>78.064590030133004</v>
      </c>
      <c r="AL3875">
        <v>79.422123983300196</v>
      </c>
      <c r="AM3875">
        <v>88.850400943475407</v>
      </c>
      <c r="AN3875">
        <v>1.00000005535574</v>
      </c>
    </row>
    <row r="3876" spans="1:40" x14ac:dyDescent="0.25">
      <c r="A3876" t="str">
        <f>"20190304155709900"</f>
        <v>20190304155709900</v>
      </c>
      <c r="B3876" t="str">
        <f>"1551686229898866"</f>
        <v>1551686229898866</v>
      </c>
      <c r="C3876" t="s">
        <v>40</v>
      </c>
      <c r="D3876">
        <v>4.4662449999999998</v>
      </c>
      <c r="E3876">
        <v>0.57117559999999901</v>
      </c>
      <c r="F3876" t="s">
        <v>69</v>
      </c>
      <c r="G3876">
        <v>-168.41299999999899</v>
      </c>
      <c r="H3876">
        <v>0.2073574</v>
      </c>
      <c r="I3876">
        <v>199.1046</v>
      </c>
      <c r="J3876">
        <v>-244.6292</v>
      </c>
      <c r="K3876">
        <v>1.109947</v>
      </c>
      <c r="L3876">
        <v>214.70490000000001</v>
      </c>
      <c r="M3876">
        <v>0.99986920000000001</v>
      </c>
      <c r="N3876">
        <v>-1.245461E-2</v>
      </c>
      <c r="O3876">
        <v>1.0312780000000001E-2</v>
      </c>
      <c r="P3876">
        <v>0.98512770000000005</v>
      </c>
      <c r="Q3876">
        <v>0.17156869999999999</v>
      </c>
      <c r="R3876">
        <v>-9.3754049999999998E-3</v>
      </c>
      <c r="S3876">
        <v>3.0453950000000001</v>
      </c>
      <c r="T3876">
        <v>-3.594518E-2</v>
      </c>
      <c r="U3876">
        <v>-0.62120059999999999</v>
      </c>
      <c r="V3876">
        <v>1.9542090000000002E-2</v>
      </c>
      <c r="W3876">
        <v>0.18382209999999999</v>
      </c>
      <c r="X3876">
        <v>0.98276529999999995</v>
      </c>
      <c r="Y3876">
        <v>0.20993010000000001</v>
      </c>
      <c r="Z3876">
        <v>-2.5404149999999999E-3</v>
      </c>
      <c r="AA3876">
        <v>0.9777131</v>
      </c>
      <c r="AB3876">
        <v>35</v>
      </c>
      <c r="AC3876">
        <v>76.216200000000001</v>
      </c>
      <c r="AD3876">
        <v>-0.90258959999999999</v>
      </c>
      <c r="AE3876">
        <v>-15.600300000000001</v>
      </c>
      <c r="AF3876">
        <v>16.383326911281401</v>
      </c>
      <c r="AG3876">
        <v>-0.90258959999999999</v>
      </c>
      <c r="AH3876">
        <v>76.041015871650202</v>
      </c>
      <c r="AI3876">
        <v>90.664802232908499</v>
      </c>
      <c r="AJ3876">
        <v>77.841269327192293</v>
      </c>
      <c r="AK3876">
        <v>77.791157360335603</v>
      </c>
      <c r="AL3876">
        <v>79.407534484565204</v>
      </c>
      <c r="AM3876">
        <v>88.860835095427504</v>
      </c>
      <c r="AN3876">
        <v>1.00000004630703</v>
      </c>
    </row>
    <row r="3877" spans="1:40" x14ac:dyDescent="0.25">
      <c r="A3877" t="str">
        <f>"20190304155709924"</f>
        <v>20190304155709924</v>
      </c>
      <c r="B3877" t="str">
        <f>"1551686229918386"</f>
        <v>1551686229918386</v>
      </c>
      <c r="C3877" t="s">
        <v>40</v>
      </c>
      <c r="D3877">
        <v>4.4491489999999896</v>
      </c>
      <c r="E3877">
        <v>0.57060549999999999</v>
      </c>
      <c r="F3877" t="s">
        <v>69</v>
      </c>
      <c r="G3877">
        <v>-168.41290000000001</v>
      </c>
      <c r="H3877">
        <v>0.2017727</v>
      </c>
      <c r="I3877">
        <v>199.27889999999999</v>
      </c>
      <c r="J3877">
        <v>-244.27289999999999</v>
      </c>
      <c r="K3877">
        <v>1.10996299999999</v>
      </c>
      <c r="L3877">
        <v>214.70859999999999</v>
      </c>
      <c r="M3877">
        <v>0.99986830000000004</v>
      </c>
      <c r="N3877">
        <v>-1.25404E-2</v>
      </c>
      <c r="O3877">
        <v>1.031289E-2</v>
      </c>
      <c r="P3877">
        <v>0.98515640000000004</v>
      </c>
      <c r="Q3877">
        <v>0.17140459999999999</v>
      </c>
      <c r="R3877">
        <v>-9.3657359999999995E-3</v>
      </c>
      <c r="S3877">
        <v>3.0457610000000002</v>
      </c>
      <c r="T3877">
        <v>-3.6291240000000002E-2</v>
      </c>
      <c r="U3877">
        <v>-0.61645509999999903</v>
      </c>
      <c r="V3877">
        <v>1.953295E-2</v>
      </c>
      <c r="W3877">
        <v>0.1837424</v>
      </c>
      <c r="X3877">
        <v>0.98278030000000005</v>
      </c>
      <c r="Y3877">
        <v>0.20844370000000001</v>
      </c>
      <c r="Z3877">
        <v>-2.5432480000000001E-3</v>
      </c>
      <c r="AA3877">
        <v>0.97803110000000004</v>
      </c>
      <c r="AB3877">
        <v>35</v>
      </c>
      <c r="AC3877">
        <v>75.8599999999999</v>
      </c>
      <c r="AD3877">
        <v>-0.90819029999999901</v>
      </c>
      <c r="AE3877">
        <v>-15.429699999999899</v>
      </c>
      <c r="AF3877">
        <v>16.209045696693199</v>
      </c>
      <c r="AG3877">
        <v>-0.90819029999999901</v>
      </c>
      <c r="AH3877">
        <v>75.686410939819694</v>
      </c>
      <c r="AI3877">
        <v>90.672239283439296</v>
      </c>
      <c r="AJ3877">
        <v>77.912097976353195</v>
      </c>
      <c r="AK3877">
        <v>77.407950321460902</v>
      </c>
      <c r="AL3877">
        <v>79.412179182399598</v>
      </c>
      <c r="AM3877">
        <v>88.861385126307695</v>
      </c>
      <c r="AN3877">
        <v>0.999999961880775</v>
      </c>
    </row>
    <row r="3878" spans="1:40" x14ac:dyDescent="0.25">
      <c r="A3878" t="str">
        <f>"20190304155709945"</f>
        <v>20190304155709945</v>
      </c>
      <c r="B3878" t="str">
        <f>"1551686229938882"</f>
        <v>1551686229938882</v>
      </c>
      <c r="C3878" t="s">
        <v>40</v>
      </c>
      <c r="D3878">
        <v>4.5314459999999999</v>
      </c>
      <c r="E3878">
        <v>0.57028129999999999</v>
      </c>
      <c r="F3878" t="s">
        <v>69</v>
      </c>
      <c r="G3878">
        <v>-168.41290000000001</v>
      </c>
      <c r="H3878">
        <v>0.1937218</v>
      </c>
      <c r="I3878">
        <v>199.4597</v>
      </c>
      <c r="J3878">
        <v>-243.9426</v>
      </c>
      <c r="K3878">
        <v>1.10998</v>
      </c>
      <c r="L3878">
        <v>214.71199999999999</v>
      </c>
      <c r="M3878">
        <v>0.99986710000000001</v>
      </c>
      <c r="N3878">
        <v>-1.2630590000000001E-2</v>
      </c>
      <c r="O3878">
        <v>1.031315E-2</v>
      </c>
      <c r="P3878">
        <v>0.98508910000000005</v>
      </c>
      <c r="Q3878">
        <v>0.17178660000000001</v>
      </c>
      <c r="R3878">
        <v>-9.4233140000000003E-3</v>
      </c>
      <c r="S3878">
        <v>3.045776</v>
      </c>
      <c r="T3878">
        <v>-3.6785720000000001E-2</v>
      </c>
      <c r="U3878">
        <v>-0.61224369999999995</v>
      </c>
      <c r="V3878">
        <v>1.959004E-2</v>
      </c>
      <c r="W3878">
        <v>0.1842125</v>
      </c>
      <c r="X3878">
        <v>0.98269119999999999</v>
      </c>
      <c r="Y3878">
        <v>0.20714279999999999</v>
      </c>
      <c r="Z3878">
        <v>-2.5541409999999998E-3</v>
      </c>
      <c r="AA3878">
        <v>0.97830740000000005</v>
      </c>
      <c r="AB3878">
        <v>35</v>
      </c>
      <c r="AC3878">
        <v>75.529699999999906</v>
      </c>
      <c r="AD3878">
        <v>-0.91625820000000002</v>
      </c>
      <c r="AE3878">
        <v>-15.2523</v>
      </c>
      <c r="AF3878">
        <v>16.028233594852001</v>
      </c>
      <c r="AG3878">
        <v>-0.91625820000000002</v>
      </c>
      <c r="AH3878">
        <v>75.357715352082906</v>
      </c>
      <c r="AI3878">
        <v>90.681372253152503</v>
      </c>
      <c r="AJ3878">
        <v>77.992393460988893</v>
      </c>
      <c r="AK3878">
        <v>77.048874517060696</v>
      </c>
      <c r="AL3878">
        <v>79.384777146944202</v>
      </c>
      <c r="AM3878">
        <v>88.857954603782801</v>
      </c>
      <c r="AN3878">
        <v>1.00000000469044</v>
      </c>
    </row>
    <row r="3879" spans="1:40" x14ac:dyDescent="0.25">
      <c r="A3879" t="str">
        <f>"20190304155709968"</f>
        <v>20190304155709968</v>
      </c>
      <c r="B3879" t="str">
        <f>"1551686229958403"</f>
        <v>1551686229958403</v>
      </c>
      <c r="C3879" t="s">
        <v>40</v>
      </c>
      <c r="D3879">
        <v>4.4428890000000001</v>
      </c>
      <c r="E3879">
        <v>0.56988839999999996</v>
      </c>
      <c r="F3879" t="s">
        <v>69</v>
      </c>
      <c r="G3879">
        <v>-168.4128</v>
      </c>
      <c r="H3879">
        <v>0.23815819999999999</v>
      </c>
      <c r="I3879">
        <v>199.58699999999999</v>
      </c>
      <c r="J3879">
        <v>-243.59569999999999</v>
      </c>
      <c r="K3879">
        <v>1.109998</v>
      </c>
      <c r="L3879">
        <v>214.71559999999999</v>
      </c>
      <c r="M3879">
        <v>0.99986580000000003</v>
      </c>
      <c r="N3879">
        <v>-1.2742130000000001E-2</v>
      </c>
      <c r="O3879">
        <v>1.0313080000000001E-2</v>
      </c>
      <c r="P3879">
        <v>0.98508859999999998</v>
      </c>
      <c r="Q3879">
        <v>0.17179829999999999</v>
      </c>
      <c r="R3879">
        <v>-9.2764649999999994E-3</v>
      </c>
      <c r="S3879">
        <v>3.0457000000000001</v>
      </c>
      <c r="T3879">
        <v>-3.5154459999999998E-2</v>
      </c>
      <c r="U3879">
        <v>-0.60990909999999998</v>
      </c>
      <c r="V3879">
        <v>1.9443149999999999E-2</v>
      </c>
      <c r="W3879">
        <v>0.18433440000000001</v>
      </c>
      <c r="X3879">
        <v>0.98267130000000003</v>
      </c>
      <c r="Y3879">
        <v>0.20642849999999999</v>
      </c>
      <c r="Z3879">
        <v>-2.4956240000000001E-3</v>
      </c>
      <c r="AA3879">
        <v>0.97845850000000001</v>
      </c>
      <c r="AB3879">
        <v>35</v>
      </c>
      <c r="AC3879">
        <v>75.182899999999904</v>
      </c>
      <c r="AD3879">
        <v>-0.87183980000000005</v>
      </c>
      <c r="AE3879">
        <v>-15.128599999999899</v>
      </c>
      <c r="AF3879">
        <v>15.9011703286473</v>
      </c>
      <c r="AG3879">
        <v>-0.87183980000000005</v>
      </c>
      <c r="AH3879">
        <v>75.013171229675095</v>
      </c>
      <c r="AI3879">
        <v>90.651416089308</v>
      </c>
      <c r="AJ3879">
        <v>78.031699224662603</v>
      </c>
      <c r="AK3879">
        <v>76.684960588045399</v>
      </c>
      <c r="AL3879">
        <v>79.377671538767899</v>
      </c>
      <c r="AM3879">
        <v>88.866492695720595</v>
      </c>
      <c r="AN3879">
        <v>1.00000004547448</v>
      </c>
    </row>
    <row r="3880" spans="1:40" x14ac:dyDescent="0.25">
      <c r="A3880" t="str">
        <f>"20190304155709990"</f>
        <v>20190304155709990</v>
      </c>
      <c r="B3880" t="str">
        <f>"1551686229988658"</f>
        <v>1551686229988658</v>
      </c>
      <c r="C3880" t="s">
        <v>40</v>
      </c>
      <c r="D3880">
        <v>4.4343750000000002</v>
      </c>
      <c r="E3880">
        <v>0.56942139999999997</v>
      </c>
      <c r="F3880" t="s">
        <v>69</v>
      </c>
      <c r="G3880">
        <v>-168.4128</v>
      </c>
      <c r="H3880">
        <v>0.22700500000000001</v>
      </c>
      <c r="I3880">
        <v>199.7585</v>
      </c>
      <c r="J3880">
        <v>-243.2501</v>
      </c>
      <c r="K3880">
        <v>1.1100179999999999</v>
      </c>
      <c r="L3880">
        <v>214.7192</v>
      </c>
      <c r="M3880">
        <v>0.99986379999999997</v>
      </c>
      <c r="N3880">
        <v>-1.2881200000000001E-2</v>
      </c>
      <c r="O3880">
        <v>1.0313370000000001E-2</v>
      </c>
      <c r="P3880">
        <v>0.98516079999999995</v>
      </c>
      <c r="Q3880">
        <v>0.17137089999999999</v>
      </c>
      <c r="R3880">
        <v>-9.4897279999999994E-3</v>
      </c>
      <c r="S3880">
        <v>3.0459589999999999</v>
      </c>
      <c r="T3880">
        <v>-3.5772199999999997E-2</v>
      </c>
      <c r="U3880">
        <v>-0.60597230000000002</v>
      </c>
      <c r="V3880">
        <v>1.9657460000000002E-2</v>
      </c>
      <c r="W3880">
        <v>0.18404429999999999</v>
      </c>
      <c r="X3880">
        <v>0.98272139999999997</v>
      </c>
      <c r="Y3880">
        <v>0.20519570000000001</v>
      </c>
      <c r="Z3880">
        <v>-2.5161879999999999E-3</v>
      </c>
      <c r="AA3880">
        <v>0.97871770000000002</v>
      </c>
      <c r="AB3880">
        <v>34</v>
      </c>
      <c r="AC3880">
        <v>74.837299999999999</v>
      </c>
      <c r="AD3880">
        <v>-0.88301299999999905</v>
      </c>
      <c r="AE3880">
        <v>-14.960699999999999</v>
      </c>
      <c r="AF3880">
        <v>15.7296873189916</v>
      </c>
      <c r="AG3880">
        <v>-0.88301299999999905</v>
      </c>
      <c r="AH3880">
        <v>74.6690152726825</v>
      </c>
      <c r="AI3880">
        <v>90.662981245676605</v>
      </c>
      <c r="AJ3880">
        <v>78.1040719335099</v>
      </c>
      <c r="AK3880">
        <v>76.312938725379396</v>
      </c>
      <c r="AL3880">
        <v>79.394582263162306</v>
      </c>
      <c r="AM3880">
        <v>88.854060457285598</v>
      </c>
      <c r="AN3880">
        <v>1.0000000350570499</v>
      </c>
    </row>
    <row r="3881" spans="1:40" x14ac:dyDescent="0.25">
      <c r="A3881" t="str">
        <f>"20190304155710008"</f>
        <v>20190304155710008</v>
      </c>
      <c r="B3881" t="str">
        <f>"1551686229998419"</f>
        <v>1551686229998419</v>
      </c>
      <c r="C3881" t="s">
        <v>40</v>
      </c>
      <c r="D3881">
        <v>4.4738870000000004</v>
      </c>
      <c r="E3881">
        <v>0.56930119999999995</v>
      </c>
      <c r="F3881" t="s">
        <v>69</v>
      </c>
      <c r="G3881">
        <v>-168.4127</v>
      </c>
      <c r="H3881">
        <v>0.1941967</v>
      </c>
      <c r="I3881">
        <v>199.90039999999999</v>
      </c>
      <c r="J3881">
        <v>-242.97540000000001</v>
      </c>
      <c r="K3881">
        <v>1.110036</v>
      </c>
      <c r="L3881">
        <v>214.72200000000001</v>
      </c>
      <c r="M3881">
        <v>0.99986229999999998</v>
      </c>
      <c r="N3881">
        <v>-1.300665E-2</v>
      </c>
      <c r="O3881">
        <v>1.031339E-2</v>
      </c>
      <c r="P3881">
        <v>0.98520540000000001</v>
      </c>
      <c r="Q3881">
        <v>0.1711213</v>
      </c>
      <c r="R3881">
        <v>-9.3799069999999998E-3</v>
      </c>
      <c r="S3881">
        <v>3.0458530000000001</v>
      </c>
      <c r="T3881">
        <v>-3.727221E-2</v>
      </c>
      <c r="U3881">
        <v>-0.60311890000000001</v>
      </c>
      <c r="V3881">
        <v>1.9547999999999999E-2</v>
      </c>
      <c r="W3881">
        <v>0.18391859999999999</v>
      </c>
      <c r="X3881">
        <v>0.98274709999999998</v>
      </c>
      <c r="Y3881">
        <v>0.20431820000000001</v>
      </c>
      <c r="Z3881">
        <v>-2.5719330000000002E-3</v>
      </c>
      <c r="AA3881">
        <v>0.97890109999999997</v>
      </c>
      <c r="AB3881">
        <v>34</v>
      </c>
      <c r="AC3881">
        <v>74.562700000000007</v>
      </c>
      <c r="AD3881">
        <v>-0.91583930000000002</v>
      </c>
      <c r="AE3881">
        <v>-14.8216</v>
      </c>
      <c r="AF3881">
        <v>15.587608516247901</v>
      </c>
      <c r="AG3881">
        <v>-0.91583930000000002</v>
      </c>
      <c r="AH3881">
        <v>74.395062742575604</v>
      </c>
      <c r="AI3881">
        <v>90.6903148232077</v>
      </c>
      <c r="AJ3881">
        <v>78.166301898718999</v>
      </c>
      <c r="AK3881">
        <v>76.016035554026303</v>
      </c>
      <c r="AL3881">
        <v>79.401909248428694</v>
      </c>
      <c r="AM3881">
        <v>88.860469577675502</v>
      </c>
      <c r="AN3881">
        <v>1.00000001914418</v>
      </c>
    </row>
    <row r="3882" spans="1:40" x14ac:dyDescent="0.25">
      <c r="A3882" t="str">
        <f>"20190304155710023"</f>
        <v>20190304155710023</v>
      </c>
      <c r="B3882" t="str">
        <f>"1551686230018914"</f>
        <v>1551686230018914</v>
      </c>
      <c r="C3882" t="s">
        <v>40</v>
      </c>
      <c r="D3882">
        <v>4.4546789999999996</v>
      </c>
      <c r="E3882">
        <v>0.56912489999999905</v>
      </c>
      <c r="F3882" t="s">
        <v>69</v>
      </c>
      <c r="G3882">
        <v>-168.4127</v>
      </c>
      <c r="H3882">
        <v>0.18451690000000001</v>
      </c>
      <c r="I3882">
        <v>199.97829999999999</v>
      </c>
      <c r="J3882">
        <v>-242.73840000000001</v>
      </c>
      <c r="K3882">
        <v>1.1100540000000001</v>
      </c>
      <c r="L3882">
        <v>214.72450000000001</v>
      </c>
      <c r="M3882">
        <v>0.99986079999999999</v>
      </c>
      <c r="N3882">
        <v>-1.3115079999999999E-2</v>
      </c>
      <c r="O3882">
        <v>1.03135E-2</v>
      </c>
      <c r="P3882">
        <v>0.98521939999999997</v>
      </c>
      <c r="Q3882">
        <v>0.17105390000000001</v>
      </c>
      <c r="R3882">
        <v>-9.1213419999999993E-3</v>
      </c>
      <c r="S3882">
        <v>3.0458829999999999</v>
      </c>
      <c r="T3882">
        <v>-3.7806029999999997E-2</v>
      </c>
      <c r="U3882">
        <v>-0.60227969999999997</v>
      </c>
      <c r="V3882">
        <v>1.9289899999999999E-2</v>
      </c>
      <c r="W3882">
        <v>0.1839576</v>
      </c>
      <c r="X3882">
        <v>0.98274490000000003</v>
      </c>
      <c r="Y3882">
        <v>0.20405619999999999</v>
      </c>
      <c r="Z3882">
        <v>-2.5981720000000002E-3</v>
      </c>
      <c r="AA3882">
        <v>0.97895569999999998</v>
      </c>
      <c r="AB3882">
        <v>34</v>
      </c>
      <c r="AC3882">
        <v>74.325699999999998</v>
      </c>
      <c r="AD3882">
        <v>-0.9255371</v>
      </c>
      <c r="AE3882">
        <v>-14.7462</v>
      </c>
      <c r="AF3882">
        <v>15.509725712941901</v>
      </c>
      <c r="AG3882">
        <v>-0.9255371</v>
      </c>
      <c r="AH3882">
        <v>74.158584457334399</v>
      </c>
      <c r="AI3882">
        <v>90.699901829108001</v>
      </c>
      <c r="AJ3882">
        <v>78.187274612600405</v>
      </c>
      <c r="AK3882">
        <v>75.768752525891401</v>
      </c>
      <c r="AL3882">
        <v>79.399635920027904</v>
      </c>
      <c r="AM3882">
        <v>88.875508844229302</v>
      </c>
      <c r="AN3882">
        <v>1.0000000186578799</v>
      </c>
    </row>
    <row r="3883" spans="1:40" x14ac:dyDescent="0.25">
      <c r="A3883" t="str">
        <f>"20190304155710046"</f>
        <v>20190304155710046</v>
      </c>
      <c r="B3883" t="str">
        <f>"1551686230038434"</f>
        <v>1551686230038434</v>
      </c>
      <c r="C3883" t="s">
        <v>40</v>
      </c>
      <c r="D3883">
        <v>4.4207269999999896</v>
      </c>
      <c r="E3883">
        <v>0.56894889999999998</v>
      </c>
      <c r="F3883" t="s">
        <v>69</v>
      </c>
      <c r="G3883">
        <v>-168.4127</v>
      </c>
      <c r="H3883">
        <v>0.17947289999999999</v>
      </c>
      <c r="I3883">
        <v>200.07640000000001</v>
      </c>
      <c r="J3883">
        <v>-242.3905</v>
      </c>
      <c r="K3883">
        <v>1.1100760000000001</v>
      </c>
      <c r="L3883">
        <v>214.72800000000001</v>
      </c>
      <c r="M3883">
        <v>0.99985869999999999</v>
      </c>
      <c r="N3883">
        <v>-1.327246E-2</v>
      </c>
      <c r="O3883">
        <v>1.0313640000000001E-2</v>
      </c>
      <c r="P3883">
        <v>0.98523629999999995</v>
      </c>
      <c r="Q3883">
        <v>0.17098060000000001</v>
      </c>
      <c r="R3883">
        <v>-8.6704940000000008E-3</v>
      </c>
      <c r="S3883">
        <v>3.0460509999999998</v>
      </c>
      <c r="T3883">
        <v>-3.8136120000000003E-2</v>
      </c>
      <c r="U3883">
        <v>-0.60031129999999999</v>
      </c>
      <c r="V3883">
        <v>1.8839310000000001E-2</v>
      </c>
      <c r="W3883">
        <v>0.1840396</v>
      </c>
      <c r="X3883">
        <v>0.98273829999999995</v>
      </c>
      <c r="Y3883">
        <v>0.2034366</v>
      </c>
      <c r="Z3883">
        <v>-2.6167640000000002E-3</v>
      </c>
      <c r="AA3883">
        <v>0.97908459999999997</v>
      </c>
      <c r="AB3883">
        <v>34</v>
      </c>
      <c r="AC3883">
        <v>73.977800000000002</v>
      </c>
      <c r="AD3883">
        <v>-0.93060310000000002</v>
      </c>
      <c r="AE3883">
        <v>-14.651599999999901</v>
      </c>
      <c r="AF3883">
        <v>15.411521492488999</v>
      </c>
      <c r="AG3883">
        <v>-0.93060310000000002</v>
      </c>
      <c r="AH3883">
        <v>73.811500675411196</v>
      </c>
      <c r="AI3883">
        <v>90.707090361728405</v>
      </c>
      <c r="AJ3883">
        <v>78.206325566377998</v>
      </c>
      <c r="AK3883">
        <v>75.409009069204799</v>
      </c>
      <c r="AL3883">
        <v>79.394856180288301</v>
      </c>
      <c r="AM3883">
        <v>88.901761787496298</v>
      </c>
      <c r="AN3883">
        <v>1.00000003012816</v>
      </c>
    </row>
    <row r="3884" spans="1:40" x14ac:dyDescent="0.25">
      <c r="A3884" t="str">
        <f>"20190304155710079"</f>
        <v>20190304155710079</v>
      </c>
      <c r="B3884" t="str">
        <f>"1551686230068690"</f>
        <v>1551686230068690</v>
      </c>
      <c r="C3884" t="s">
        <v>40</v>
      </c>
      <c r="D3884">
        <v>4.4169669999999996</v>
      </c>
      <c r="E3884">
        <v>0.56868769999999902</v>
      </c>
      <c r="F3884" t="s">
        <v>69</v>
      </c>
      <c r="G3884">
        <v>-168.4126</v>
      </c>
      <c r="H3884">
        <v>0.16999819999999999</v>
      </c>
      <c r="I3884">
        <v>200.21260000000001</v>
      </c>
      <c r="J3884">
        <v>-241.88390000000001</v>
      </c>
      <c r="K3884">
        <v>1.1101030000000001</v>
      </c>
      <c r="L3884">
        <v>214.73330000000001</v>
      </c>
      <c r="M3884">
        <v>0.99985599999999997</v>
      </c>
      <c r="N3884">
        <v>-1.348924E-2</v>
      </c>
      <c r="O3884">
        <v>1.031402E-2</v>
      </c>
      <c r="P3884">
        <v>0.98536919999999995</v>
      </c>
      <c r="Q3884">
        <v>0.170244799999999</v>
      </c>
      <c r="R3884">
        <v>-8.0437700000000004E-3</v>
      </c>
      <c r="S3884">
        <v>3.0464319999999998</v>
      </c>
      <c r="T3884">
        <v>-3.8711309999999999E-2</v>
      </c>
      <c r="U3884">
        <v>-0.59774780000000005</v>
      </c>
      <c r="V3884">
        <v>1.8214399999999999E-2</v>
      </c>
      <c r="W3884">
        <v>0.1835184</v>
      </c>
      <c r="X3884">
        <v>0.98284749999999999</v>
      </c>
      <c r="Y3884">
        <v>0.20261960000000001</v>
      </c>
      <c r="Z3884">
        <v>-2.6468809999999998E-3</v>
      </c>
      <c r="AA3884">
        <v>0.97925390000000001</v>
      </c>
      <c r="AB3884">
        <v>34</v>
      </c>
      <c r="AC3884">
        <v>73.471299999999999</v>
      </c>
      <c r="AD3884">
        <v>-0.94010479999999996</v>
      </c>
      <c r="AE3884">
        <v>-14.5207</v>
      </c>
      <c r="AF3884">
        <v>15.275373808911199</v>
      </c>
      <c r="AG3884">
        <v>-0.94010479999999996</v>
      </c>
      <c r="AH3884">
        <v>73.306059986897097</v>
      </c>
      <c r="AI3884">
        <v>90.719293831694898</v>
      </c>
      <c r="AJ3884">
        <v>78.229255607416206</v>
      </c>
      <c r="AK3884">
        <v>74.886576052317295</v>
      </c>
      <c r="AL3884">
        <v>79.425235732881703</v>
      </c>
      <c r="AM3884">
        <v>88.938300400731507</v>
      </c>
      <c r="AN3884">
        <v>0.99999998788108402</v>
      </c>
    </row>
    <row r="3885" spans="1:40" x14ac:dyDescent="0.25">
      <c r="A3885" t="str">
        <f>"20190304155710101"</f>
        <v>20190304155710101</v>
      </c>
      <c r="B3885" t="str">
        <f>"1551686230098946"</f>
        <v>1551686230098946</v>
      </c>
      <c r="C3885" t="s">
        <v>40</v>
      </c>
      <c r="D3885">
        <v>4.39975</v>
      </c>
      <c r="E3885">
        <v>0.56855159999999905</v>
      </c>
      <c r="F3885" t="s">
        <v>69</v>
      </c>
      <c r="G3885">
        <v>-168.41249999999999</v>
      </c>
      <c r="H3885">
        <v>9.8473550000000007E-2</v>
      </c>
      <c r="I3885">
        <v>200.42169999999999</v>
      </c>
      <c r="J3885">
        <v>-241.54900000000001</v>
      </c>
      <c r="K3885">
        <v>1.1101099999999999</v>
      </c>
      <c r="L3885">
        <v>214.73670000000001</v>
      </c>
      <c r="M3885">
        <v>0.99985409999999997</v>
      </c>
      <c r="N3885">
        <v>-1.3619539999999999E-2</v>
      </c>
      <c r="O3885">
        <v>1.031432E-2</v>
      </c>
      <c r="P3885">
        <v>0.98544920000000003</v>
      </c>
      <c r="Q3885">
        <v>0.1697777</v>
      </c>
      <c r="R3885">
        <v>-8.1033110000000002E-3</v>
      </c>
      <c r="S3885">
        <v>3.046967</v>
      </c>
      <c r="T3885">
        <v>-4.1952370000000003E-2</v>
      </c>
      <c r="U3885">
        <v>-0.59352109999999902</v>
      </c>
      <c r="V3885">
        <v>1.8275130000000001E-2</v>
      </c>
      <c r="W3885">
        <v>0.18318090000000001</v>
      </c>
      <c r="X3885">
        <v>0.98290929999999999</v>
      </c>
      <c r="Y3885">
        <v>0.2012748</v>
      </c>
      <c r="Z3885">
        <v>-2.7578329999999999E-3</v>
      </c>
      <c r="AA3885">
        <v>0.97953089999999998</v>
      </c>
      <c r="AB3885">
        <v>34</v>
      </c>
      <c r="AC3885">
        <v>73.136499999999998</v>
      </c>
      <c r="AD3885">
        <v>-1.0116364499999999</v>
      </c>
      <c r="AE3885">
        <v>-14.315</v>
      </c>
      <c r="AF3885">
        <v>15.0658854037298</v>
      </c>
      <c r="AG3885">
        <v>-1.0116364499999999</v>
      </c>
      <c r="AH3885">
        <v>72.971499253116605</v>
      </c>
      <c r="AI3885">
        <v>90.777862268135294</v>
      </c>
      <c r="AJ3885">
        <v>78.334475895366495</v>
      </c>
      <c r="AK3885">
        <v>74.517407459954498</v>
      </c>
      <c r="AL3885">
        <v>79.444906195817097</v>
      </c>
      <c r="AM3885">
        <v>88.934828283615602</v>
      </c>
      <c r="AN3885">
        <v>0.999999957263907</v>
      </c>
    </row>
    <row r="3886" spans="1:40" x14ac:dyDescent="0.25">
      <c r="A3886" t="str">
        <f>"20190304155710125"</f>
        <v>20190304155710125</v>
      </c>
      <c r="B3886" t="str">
        <f>"1551686230118466"</f>
        <v>1551686230118466</v>
      </c>
      <c r="C3886" t="s">
        <v>40</v>
      </c>
      <c r="D3886">
        <v>4.3886409999999998</v>
      </c>
      <c r="E3886">
        <v>0.56849249999999996</v>
      </c>
      <c r="F3886" t="s">
        <v>69</v>
      </c>
      <c r="G3886">
        <v>-168.41249999999999</v>
      </c>
      <c r="H3886">
        <v>7.4541090000000004E-2</v>
      </c>
      <c r="I3886">
        <v>200.5155</v>
      </c>
      <c r="J3886">
        <v>-241.1901</v>
      </c>
      <c r="K3886">
        <v>1.1101179999999999</v>
      </c>
      <c r="L3886">
        <v>214.74039999999999</v>
      </c>
      <c r="M3886">
        <v>0.99985230000000003</v>
      </c>
      <c r="N3886">
        <v>-1.374558E-2</v>
      </c>
      <c r="O3886">
        <v>1.031457E-2</v>
      </c>
      <c r="P3886">
        <v>0.98538829999999999</v>
      </c>
      <c r="Q3886">
        <v>0.17012469999999999</v>
      </c>
      <c r="R3886">
        <v>-8.21881E-3</v>
      </c>
      <c r="S3886">
        <v>3.0468600000000001</v>
      </c>
      <c r="T3886">
        <v>-4.3140289999999998E-2</v>
      </c>
      <c r="U3886">
        <v>-0.59245300000000001</v>
      </c>
      <c r="V3886">
        <v>1.8390130000000001E-2</v>
      </c>
      <c r="W3886">
        <v>0.18365100000000001</v>
      </c>
      <c r="X3886">
        <v>0.98281949999999996</v>
      </c>
      <c r="Y3886">
        <v>0.20094890000000001</v>
      </c>
      <c r="Z3886">
        <v>-2.807716E-3</v>
      </c>
      <c r="AA3886">
        <v>0.97959770000000002</v>
      </c>
      <c r="AB3886">
        <v>34</v>
      </c>
      <c r="AC3886">
        <v>72.777600000000007</v>
      </c>
      <c r="AD3886">
        <v>-1.0355769100000001</v>
      </c>
      <c r="AE3886">
        <v>-14.2248999999999</v>
      </c>
      <c r="AF3886">
        <v>14.9719638505163</v>
      </c>
      <c r="AG3886">
        <v>-1.0355769100000001</v>
      </c>
      <c r="AH3886">
        <v>72.612828952144895</v>
      </c>
      <c r="AI3886">
        <v>90.800244076614604</v>
      </c>
      <c r="AJ3886">
        <v>78.349513960368995</v>
      </c>
      <c r="AK3886">
        <v>74.147522207496195</v>
      </c>
      <c r="AL3886">
        <v>79.417507384126694</v>
      </c>
      <c r="AM3886">
        <v>88.928029117294898</v>
      </c>
      <c r="AN3886">
        <v>1.0000000281313299</v>
      </c>
    </row>
    <row r="3887" spans="1:40" x14ac:dyDescent="0.25">
      <c r="A3887" t="str">
        <f>"20190304155710146"</f>
        <v>20190304155710146</v>
      </c>
      <c r="B3887" t="str">
        <f>"1551686230138963"</f>
        <v>1551686230138963</v>
      </c>
      <c r="C3887" t="s">
        <v>40</v>
      </c>
      <c r="D3887">
        <v>4.3548400000000003</v>
      </c>
      <c r="E3887">
        <v>0.56847749999999997</v>
      </c>
      <c r="F3887" t="s">
        <v>69</v>
      </c>
      <c r="G3887">
        <v>-168.41249999999999</v>
      </c>
      <c r="H3887">
        <v>0.1073809</v>
      </c>
      <c r="I3887">
        <v>200.5883</v>
      </c>
      <c r="J3887">
        <v>-240.8604</v>
      </c>
      <c r="K3887">
        <v>1.110128</v>
      </c>
      <c r="L3887">
        <v>214.74379999999999</v>
      </c>
      <c r="M3887">
        <v>0.99985089999999999</v>
      </c>
      <c r="N3887">
        <v>-1.384901E-2</v>
      </c>
      <c r="O3887">
        <v>1.031469E-2</v>
      </c>
      <c r="P3887">
        <v>0.98522730000000003</v>
      </c>
      <c r="Q3887">
        <v>0.171045</v>
      </c>
      <c r="R3887">
        <v>-8.4214730000000005E-3</v>
      </c>
      <c r="S3887">
        <v>3.046783</v>
      </c>
      <c r="T3887">
        <v>-4.1977519999999997E-2</v>
      </c>
      <c r="U3887">
        <v>-0.59246829999999995</v>
      </c>
      <c r="V3887">
        <v>1.8591440000000001E-2</v>
      </c>
      <c r="W3887">
        <v>0.18467040000000001</v>
      </c>
      <c r="X3887">
        <v>0.98262470000000002</v>
      </c>
      <c r="Y3887">
        <v>0.20095979999999999</v>
      </c>
      <c r="Z3887">
        <v>-2.7754500000000001E-3</v>
      </c>
      <c r="AA3887">
        <v>0.97959549999999995</v>
      </c>
      <c r="AB3887">
        <v>34</v>
      </c>
      <c r="AC3887">
        <v>72.447900000000004</v>
      </c>
      <c r="AD3887">
        <v>-1.0027470999999999</v>
      </c>
      <c r="AE3887">
        <v>-14.1554999999999</v>
      </c>
      <c r="AF3887">
        <v>14.8993467800862</v>
      </c>
      <c r="AG3887">
        <v>-1.0027470999999999</v>
      </c>
      <c r="AH3887">
        <v>72.284683116019593</v>
      </c>
      <c r="AI3887">
        <v>90.778405703944998</v>
      </c>
      <c r="AJ3887">
        <v>78.353282917087597</v>
      </c>
      <c r="AK3887">
        <v>73.811052352633496</v>
      </c>
      <c r="AL3887">
        <v>79.358083923031998</v>
      </c>
      <c r="AM3887">
        <v>88.916082642092206</v>
      </c>
      <c r="AN3887">
        <v>1.00000004966376</v>
      </c>
    </row>
    <row r="3888" spans="1:40" x14ac:dyDescent="0.25">
      <c r="A3888" t="str">
        <f>"20190304155710169"</f>
        <v>20190304155710169</v>
      </c>
      <c r="B3888" t="str">
        <f>"1551686230158482"</f>
        <v>1551686230158482</v>
      </c>
      <c r="C3888" t="s">
        <v>40</v>
      </c>
      <c r="D3888">
        <v>4.3100740000000002</v>
      </c>
      <c r="E3888">
        <v>0.56848679999999996</v>
      </c>
      <c r="F3888" t="s">
        <v>69</v>
      </c>
      <c r="G3888">
        <v>-168.41249999999999</v>
      </c>
      <c r="H3888">
        <v>0.17002110000000001</v>
      </c>
      <c r="I3888">
        <v>200.64349999999999</v>
      </c>
      <c r="J3888">
        <v>-240.5181</v>
      </c>
      <c r="K3888">
        <v>1.1101460000000001</v>
      </c>
      <c r="L3888">
        <v>214.7473</v>
      </c>
      <c r="M3888">
        <v>0.99984960000000001</v>
      </c>
      <c r="N3888">
        <v>-1.3944430000000001E-2</v>
      </c>
      <c r="O3888">
        <v>1.0314729999999999E-2</v>
      </c>
      <c r="P3888">
        <v>0.98505129999999996</v>
      </c>
      <c r="Q3888">
        <v>0.17202500000000001</v>
      </c>
      <c r="R3888">
        <v>-9.0294669999999994E-3</v>
      </c>
      <c r="S3888">
        <v>3.046783</v>
      </c>
      <c r="T3888">
        <v>-3.9534569999999998E-2</v>
      </c>
      <c r="U3888">
        <v>-0.59298709999999999</v>
      </c>
      <c r="V3888">
        <v>1.9197579999999999E-2</v>
      </c>
      <c r="W3888">
        <v>0.18574160000000001</v>
      </c>
      <c r="X3888">
        <v>0.98241109999999998</v>
      </c>
      <c r="Y3888">
        <v>0.20112360000000001</v>
      </c>
      <c r="Z3888">
        <v>-2.6983480000000002E-3</v>
      </c>
      <c r="AA3888">
        <v>0.97956220000000005</v>
      </c>
      <c r="AB3888">
        <v>34</v>
      </c>
      <c r="AC3888">
        <v>72.105599999999995</v>
      </c>
      <c r="AD3888">
        <v>-0.94012489999999904</v>
      </c>
      <c r="AE3888">
        <v>-14.1038</v>
      </c>
      <c r="AF3888">
        <v>14.8444411737223</v>
      </c>
      <c r="AG3888">
        <v>-0.94012489999999904</v>
      </c>
      <c r="AH3888">
        <v>71.944492884583596</v>
      </c>
      <c r="AI3888">
        <v>90.733219017768505</v>
      </c>
      <c r="AJ3888">
        <v>78.341660524602403</v>
      </c>
      <c r="AK3888">
        <v>73.465987538503796</v>
      </c>
      <c r="AL3888">
        <v>79.295627960578699</v>
      </c>
      <c r="AM3888">
        <v>88.880509051187502</v>
      </c>
      <c r="AN3888">
        <v>1.00000002922581</v>
      </c>
    </row>
    <row r="3889" spans="1:40" x14ac:dyDescent="0.25">
      <c r="A3889" t="str">
        <f>"20190304155710191"</f>
        <v>20190304155710191</v>
      </c>
      <c r="B3889" t="str">
        <f>"1551686230188856"</f>
        <v>1551686230188856</v>
      </c>
      <c r="C3889" t="s">
        <v>40</v>
      </c>
      <c r="D3889">
        <v>4.3609369999999998</v>
      </c>
      <c r="E3889">
        <v>0.56853659999999995</v>
      </c>
      <c r="F3889" t="s">
        <v>69</v>
      </c>
      <c r="G3889">
        <v>-168.41249999999999</v>
      </c>
      <c r="H3889">
        <v>0.23793130000000001</v>
      </c>
      <c r="I3889">
        <v>200.6748</v>
      </c>
      <c r="J3889">
        <v>-240.18299999999999</v>
      </c>
      <c r="K3889">
        <v>1.110158</v>
      </c>
      <c r="L3889">
        <v>214.7508</v>
      </c>
      <c r="M3889">
        <v>0.99984859999999998</v>
      </c>
      <c r="N3889">
        <v>-1.4025879999999999E-2</v>
      </c>
      <c r="O3889">
        <v>1.031463E-2</v>
      </c>
      <c r="P3889">
        <v>0.98490149999999999</v>
      </c>
      <c r="Q3889">
        <v>0.17287439999999901</v>
      </c>
      <c r="R3889">
        <v>-9.1587620000000008E-3</v>
      </c>
      <c r="S3889">
        <v>3.0465089999999999</v>
      </c>
      <c r="T3889">
        <v>-3.6850210000000001E-2</v>
      </c>
      <c r="U3889">
        <v>-0.59457399999999905</v>
      </c>
      <c r="V3889">
        <v>1.9325309999999998E-2</v>
      </c>
      <c r="W3889">
        <v>0.18666830000000001</v>
      </c>
      <c r="X3889">
        <v>0.98223289999999996</v>
      </c>
      <c r="Y3889">
        <v>0.2016348</v>
      </c>
      <c r="Z3889">
        <v>-2.6158140000000002E-3</v>
      </c>
      <c r="AA3889">
        <v>0.97945729999999998</v>
      </c>
      <c r="AB3889">
        <v>34</v>
      </c>
      <c r="AC3889">
        <v>71.770499999999998</v>
      </c>
      <c r="AD3889">
        <v>-0.87222669999999902</v>
      </c>
      <c r="AE3889">
        <v>-14.075999999999899</v>
      </c>
      <c r="AF3889">
        <v>14.813503057332801</v>
      </c>
      <c r="AG3889">
        <v>-0.87222669999999902</v>
      </c>
      <c r="AH3889">
        <v>71.611293377031302</v>
      </c>
      <c r="AI3889">
        <v>90.683362683204706</v>
      </c>
      <c r="AJ3889">
        <v>78.312646106232094</v>
      </c>
      <c r="AK3889">
        <v>73.132605528430702</v>
      </c>
      <c r="AL3889">
        <v>79.2415864682511</v>
      </c>
      <c r="AM3889">
        <v>88.872858096681497</v>
      </c>
      <c r="AN3889">
        <v>0.99999999583694799</v>
      </c>
    </row>
    <row r="3890" spans="1:40" x14ac:dyDescent="0.25">
      <c r="A3890" t="str">
        <f>"20190304155710213"</f>
        <v>20190304155710213</v>
      </c>
      <c r="B3890" t="str">
        <f>"1551686230208376"</f>
        <v>1551686230208376</v>
      </c>
      <c r="C3890" t="s">
        <v>40</v>
      </c>
      <c r="D3890">
        <v>4.3061499999999997</v>
      </c>
      <c r="E3890">
        <v>0.568608</v>
      </c>
      <c r="F3890" t="s">
        <v>69</v>
      </c>
      <c r="G3890">
        <v>-168.41249999999999</v>
      </c>
      <c r="H3890">
        <v>0.31756210000000001</v>
      </c>
      <c r="I3890">
        <v>200.71520000000001</v>
      </c>
      <c r="J3890">
        <v>-239.84460000000001</v>
      </c>
      <c r="K3890">
        <v>1.110166</v>
      </c>
      <c r="L3890">
        <v>214.7543</v>
      </c>
      <c r="M3890">
        <v>0.9998475</v>
      </c>
      <c r="N3890">
        <v>-1.409733E-2</v>
      </c>
      <c r="O3890">
        <v>1.0314780000000001E-2</v>
      </c>
      <c r="P3890">
        <v>0.98475299999999999</v>
      </c>
      <c r="Q3890">
        <v>0.17369670000000001</v>
      </c>
      <c r="R3890">
        <v>-9.5405769999999997E-3</v>
      </c>
      <c r="S3890">
        <v>3.046341</v>
      </c>
      <c r="T3890">
        <v>-3.3640740000000002E-2</v>
      </c>
      <c r="U3890">
        <v>-0.59574890000000003</v>
      </c>
      <c r="V3890">
        <v>1.970585E-2</v>
      </c>
      <c r="W3890">
        <v>0.18755920000000001</v>
      </c>
      <c r="X3890">
        <v>0.98205560000000003</v>
      </c>
      <c r="Y3890">
        <v>0.20201259999999999</v>
      </c>
      <c r="Z3890">
        <v>-2.511204E-3</v>
      </c>
      <c r="AA3890">
        <v>0.97937969999999996</v>
      </c>
      <c r="AB3890">
        <v>34</v>
      </c>
      <c r="AC3890">
        <v>71.432100000000005</v>
      </c>
      <c r="AD3890">
        <v>-0.79260390000000003</v>
      </c>
      <c r="AE3890">
        <v>-14.0390999999999</v>
      </c>
      <c r="AF3890">
        <v>14.7734813019956</v>
      </c>
      <c r="AG3890">
        <v>-0.79260390000000003</v>
      </c>
      <c r="AH3890">
        <v>71.275025576481795</v>
      </c>
      <c r="AI3890">
        <v>90.623863987287507</v>
      </c>
      <c r="AJ3890">
        <v>78.289877232113895</v>
      </c>
      <c r="AK3890">
        <v>72.794321493168994</v>
      </c>
      <c r="AL3890">
        <v>79.189623818172905</v>
      </c>
      <c r="AM3890">
        <v>88.850461687004497</v>
      </c>
      <c r="AN3890">
        <v>0.99999998776011101</v>
      </c>
    </row>
    <row r="3891" spans="1:40" x14ac:dyDescent="0.25">
      <c r="A3891" t="str">
        <f>"20190304155710235"</f>
        <v>20190304155710235</v>
      </c>
      <c r="B3891" t="str">
        <f>"1551686230228875"</f>
        <v>1551686230228875</v>
      </c>
      <c r="C3891" t="s">
        <v>40</v>
      </c>
      <c r="D3891">
        <v>4.2899629999999904</v>
      </c>
      <c r="E3891">
        <v>0.56871680000000002</v>
      </c>
      <c r="F3891" t="s">
        <v>69</v>
      </c>
      <c r="G3891">
        <v>-168.41249999999999</v>
      </c>
      <c r="H3891">
        <v>0.37256339999999999</v>
      </c>
      <c r="I3891">
        <v>200.7603</v>
      </c>
      <c r="J3891">
        <v>-239.505</v>
      </c>
      <c r="K3891">
        <v>1.1101749999999999</v>
      </c>
      <c r="L3891">
        <v>214.7578</v>
      </c>
      <c r="M3891">
        <v>0.99984660000000003</v>
      </c>
      <c r="N3891">
        <v>-1.415975E-2</v>
      </c>
      <c r="O3891">
        <v>1.031487E-2</v>
      </c>
      <c r="P3891">
        <v>0.98468359999999999</v>
      </c>
      <c r="Q3891">
        <v>0.17407790000000001</v>
      </c>
      <c r="R3891">
        <v>-9.7594259999999999E-3</v>
      </c>
      <c r="S3891">
        <v>3.0462189999999998</v>
      </c>
      <c r="T3891">
        <v>-3.145361E-2</v>
      </c>
      <c r="U3891">
        <v>-0.59677119999999995</v>
      </c>
      <c r="V3891">
        <v>1.992404E-2</v>
      </c>
      <c r="W3891">
        <v>0.18800040000000001</v>
      </c>
      <c r="X3891">
        <v>0.98196689999999998</v>
      </c>
      <c r="Y3891">
        <v>0.20233909999999999</v>
      </c>
      <c r="Z3891">
        <v>-2.441815E-3</v>
      </c>
      <c r="AA3891">
        <v>0.97931250000000003</v>
      </c>
      <c r="AB3891">
        <v>34</v>
      </c>
      <c r="AC3891">
        <v>71.092500000000001</v>
      </c>
      <c r="AD3891">
        <v>-0.73761159999999903</v>
      </c>
      <c r="AE3891">
        <v>-13.9975</v>
      </c>
      <c r="AF3891">
        <v>14.728612222732499</v>
      </c>
      <c r="AG3891">
        <v>-0.73761159999999903</v>
      </c>
      <c r="AH3891">
        <v>70.936969006802599</v>
      </c>
      <c r="AI3891">
        <v>90.583307654581802</v>
      </c>
      <c r="AJ3891">
        <v>78.270361961938207</v>
      </c>
      <c r="AK3891">
        <v>72.453638009089303</v>
      </c>
      <c r="AL3891">
        <v>79.163887832983704</v>
      </c>
      <c r="AM3891">
        <v>88.837632115595596</v>
      </c>
      <c r="AN3891">
        <v>1.0000000552328401</v>
      </c>
    </row>
    <row r="3892" spans="1:40" x14ac:dyDescent="0.25">
      <c r="A3892" t="str">
        <f>"20190304155710258"</f>
        <v>20190304155710258</v>
      </c>
      <c r="B3892" t="str">
        <f>"1551686230248393"</f>
        <v>1551686230248393</v>
      </c>
      <c r="C3892" t="s">
        <v>40</v>
      </c>
      <c r="D3892">
        <v>4.2163969999999997</v>
      </c>
      <c r="E3892">
        <v>0.56882600000000005</v>
      </c>
      <c r="F3892" t="s">
        <v>69</v>
      </c>
      <c r="G3892">
        <v>-168.41249999999999</v>
      </c>
      <c r="H3892">
        <v>0.40365220000000002</v>
      </c>
      <c r="I3892">
        <v>200.79839999999999</v>
      </c>
      <c r="J3892">
        <v>-239.1705</v>
      </c>
      <c r="K3892">
        <v>1.110179</v>
      </c>
      <c r="L3892">
        <v>214.7612</v>
      </c>
      <c r="M3892">
        <v>0.99984580000000001</v>
      </c>
      <c r="N3892">
        <v>-1.421299E-2</v>
      </c>
      <c r="O3892">
        <v>1.031496E-2</v>
      </c>
      <c r="P3892">
        <v>0.98460919999999996</v>
      </c>
      <c r="Q3892">
        <v>0.17451079999999999</v>
      </c>
      <c r="R3892">
        <v>-9.5314639999999999E-3</v>
      </c>
      <c r="S3892">
        <v>3.0460820000000002</v>
      </c>
      <c r="T3892">
        <v>-3.0270700000000001E-2</v>
      </c>
      <c r="U3892">
        <v>-0.59811400000000003</v>
      </c>
      <c r="V3892">
        <v>1.969533E-2</v>
      </c>
      <c r="W3892">
        <v>0.18848470000000001</v>
      </c>
      <c r="X3892">
        <v>0.98187860000000005</v>
      </c>
      <c r="Y3892">
        <v>0.20276430000000001</v>
      </c>
      <c r="Z3892">
        <v>-2.4090370000000002E-3</v>
      </c>
      <c r="AA3892">
        <v>0.9792246</v>
      </c>
      <c r="AB3892">
        <v>34</v>
      </c>
      <c r="AC3892">
        <v>70.757999999999996</v>
      </c>
      <c r="AD3892">
        <v>-0.70652680000000001</v>
      </c>
      <c r="AE3892">
        <v>-13.9628</v>
      </c>
      <c r="AF3892">
        <v>14.690586887937799</v>
      </c>
      <c r="AG3892">
        <v>-0.70652680000000001</v>
      </c>
      <c r="AH3892">
        <v>70.603419096979593</v>
      </c>
      <c r="AI3892">
        <v>90.561317146159496</v>
      </c>
      <c r="AJ3892">
        <v>78.246068277292196</v>
      </c>
      <c r="AK3892">
        <v>72.119035707744402</v>
      </c>
      <c r="AL3892">
        <v>79.135633635085895</v>
      </c>
      <c r="AM3892">
        <v>88.850868148025697</v>
      </c>
      <c r="AN3892">
        <v>0.999999986647929</v>
      </c>
    </row>
    <row r="3893" spans="1:40" x14ac:dyDescent="0.25">
      <c r="A3893" t="str">
        <f>"20190304155710280"</f>
        <v>20190304155710280</v>
      </c>
      <c r="B3893" t="str">
        <f>"1551686230268216"</f>
        <v>1551686230268216</v>
      </c>
      <c r="C3893" t="s">
        <v>40</v>
      </c>
      <c r="D3893">
        <v>4.2355999999999998</v>
      </c>
      <c r="E3893">
        <v>0.56896250000000004</v>
      </c>
      <c r="F3893" t="s">
        <v>69</v>
      </c>
      <c r="G3893">
        <v>-168.41249999999999</v>
      </c>
      <c r="H3893">
        <v>0.44750020000000001</v>
      </c>
      <c r="I3893">
        <v>200.85579999999999</v>
      </c>
      <c r="J3893">
        <v>-238.8289</v>
      </c>
      <c r="K3893">
        <v>1.1101840000000001</v>
      </c>
      <c r="L3893">
        <v>214.76480000000001</v>
      </c>
      <c r="M3893">
        <v>0.99984530000000005</v>
      </c>
      <c r="N3893">
        <v>-1.4259900000000001E-2</v>
      </c>
      <c r="O3893">
        <v>1.0314800000000001E-2</v>
      </c>
      <c r="P3893">
        <v>0.98455150000000002</v>
      </c>
      <c r="Q3893">
        <v>0.17486299999999999</v>
      </c>
      <c r="R3893">
        <v>-9.0433489999999991E-3</v>
      </c>
      <c r="S3893">
        <v>3.0461580000000001</v>
      </c>
      <c r="T3893">
        <v>-2.8527139999999999E-2</v>
      </c>
      <c r="U3893">
        <v>-0.59863279999999996</v>
      </c>
      <c r="V3893">
        <v>1.92067E-2</v>
      </c>
      <c r="W3893">
        <v>0.1888822</v>
      </c>
      <c r="X3893">
        <v>0.98181189999999996</v>
      </c>
      <c r="Y3893">
        <v>0.20292189999999999</v>
      </c>
      <c r="Z3893">
        <v>-2.3518739999999999E-3</v>
      </c>
      <c r="AA3893">
        <v>0.97919210000000001</v>
      </c>
      <c r="AB3893">
        <v>34</v>
      </c>
      <c r="AC3893">
        <v>70.416399999999996</v>
      </c>
      <c r="AD3893">
        <v>-0.66268380000000005</v>
      </c>
      <c r="AE3893">
        <v>-13.909000000000001</v>
      </c>
      <c r="AF3893">
        <v>14.6334173644063</v>
      </c>
      <c r="AG3893">
        <v>-0.66268380000000005</v>
      </c>
      <c r="AH3893">
        <v>70.263180819316602</v>
      </c>
      <c r="AI3893">
        <v>90.5290158688329</v>
      </c>
      <c r="AJ3893">
        <v>78.235419693156004</v>
      </c>
      <c r="AK3893">
        <v>71.773885448871098</v>
      </c>
      <c r="AL3893">
        <v>79.112442083899495</v>
      </c>
      <c r="AM3893">
        <v>88.879293985635599</v>
      </c>
      <c r="AN3893">
        <v>0.99999999489166902</v>
      </c>
    </row>
    <row r="3894" spans="1:40" x14ac:dyDescent="0.25">
      <c r="A3894" t="str">
        <f>"20190304155710302"</f>
        <v>20190304155710302</v>
      </c>
      <c r="B3894" t="str">
        <f>"1551686230298472"</f>
        <v>1551686230298472</v>
      </c>
      <c r="C3894" t="s">
        <v>40</v>
      </c>
      <c r="D3894">
        <v>4.2217200000000004</v>
      </c>
      <c r="E3894">
        <v>0.56923509999999999</v>
      </c>
      <c r="F3894" t="s">
        <v>69</v>
      </c>
      <c r="G3894">
        <v>-168.41249999999999</v>
      </c>
      <c r="H3894">
        <v>0.4859581</v>
      </c>
      <c r="I3894">
        <v>200.93260000000001</v>
      </c>
      <c r="J3894">
        <v>-238.4958</v>
      </c>
      <c r="K3894">
        <v>1.1101859999999999</v>
      </c>
      <c r="L3894">
        <v>214.76820000000001</v>
      </c>
      <c r="M3894">
        <v>0.99984450000000002</v>
      </c>
      <c r="N3894">
        <v>-1.4299360000000001E-2</v>
      </c>
      <c r="O3894">
        <v>1.031499E-2</v>
      </c>
      <c r="P3894">
        <v>0.98457629999999996</v>
      </c>
      <c r="Q3894">
        <v>0.17472370000000001</v>
      </c>
      <c r="R3894">
        <v>-9.0155919999999994E-3</v>
      </c>
      <c r="S3894">
        <v>3.046341</v>
      </c>
      <c r="T3894">
        <v>-2.7003650000000001E-2</v>
      </c>
      <c r="U3894">
        <v>-0.59840389999999999</v>
      </c>
      <c r="V3894">
        <v>1.9179330000000001E-2</v>
      </c>
      <c r="W3894">
        <v>0.18878200000000001</v>
      </c>
      <c r="X3894">
        <v>0.98183169999999997</v>
      </c>
      <c r="Y3894">
        <v>0.20284179999999999</v>
      </c>
      <c r="Z3894">
        <v>-2.2991399999999999E-3</v>
      </c>
      <c r="AA3894">
        <v>0.97920879999999999</v>
      </c>
      <c r="AB3894">
        <v>34</v>
      </c>
      <c r="AC3894">
        <v>70.083299999999994</v>
      </c>
      <c r="AD3894">
        <v>-0.62422789999999995</v>
      </c>
      <c r="AE3894">
        <v>-13.835599999999999</v>
      </c>
      <c r="AF3894">
        <v>14.5567347589314</v>
      </c>
      <c r="AG3894">
        <v>-0.62422789999999995</v>
      </c>
      <c r="AH3894">
        <v>69.931502255546405</v>
      </c>
      <c r="AI3894">
        <v>90.500692610273902</v>
      </c>
      <c r="AJ3894">
        <v>78.241391909864504</v>
      </c>
      <c r="AK3894">
        <v>71.433207929019304</v>
      </c>
      <c r="AL3894">
        <v>79.118288229526399</v>
      </c>
      <c r="AM3894">
        <v>88.880913174322998</v>
      </c>
      <c r="AN3894">
        <v>0.99999998867406903</v>
      </c>
    </row>
    <row r="3895" spans="1:40" x14ac:dyDescent="0.25">
      <c r="A3895" t="str">
        <f>"20190304155710325"</f>
        <v>20190304155710325</v>
      </c>
      <c r="B3895" t="str">
        <f>"1551686230318968"</f>
        <v>1551686230318968</v>
      </c>
      <c r="C3895" t="s">
        <v>40</v>
      </c>
      <c r="D3895">
        <v>4.248691</v>
      </c>
      <c r="E3895">
        <v>0.56943469999999996</v>
      </c>
      <c r="F3895" t="s">
        <v>69</v>
      </c>
      <c r="G3895">
        <v>-168.41249999999999</v>
      </c>
      <c r="H3895">
        <v>0.4771862</v>
      </c>
      <c r="I3895">
        <v>200.9572</v>
      </c>
      <c r="J3895">
        <v>-238.14429999999999</v>
      </c>
      <c r="K3895">
        <v>1.1101920000000001</v>
      </c>
      <c r="L3895">
        <v>214.77180000000001</v>
      </c>
      <c r="M3895">
        <v>0.99984419999999996</v>
      </c>
      <c r="N3895">
        <v>-1.4334929999999999E-2</v>
      </c>
      <c r="O3895">
        <v>1.031491E-2</v>
      </c>
      <c r="P3895">
        <v>0.98462769999999999</v>
      </c>
      <c r="Q3895">
        <v>0.17444670000000001</v>
      </c>
      <c r="R3895">
        <v>-8.7662820000000002E-3</v>
      </c>
      <c r="S3895">
        <v>3.0464020000000001</v>
      </c>
      <c r="T3895">
        <v>-2.751398E-2</v>
      </c>
      <c r="U3895">
        <v>-0.60034180000000004</v>
      </c>
      <c r="V3895">
        <v>1.8930590000000001E-2</v>
      </c>
      <c r="W3895">
        <v>0.18854029999999999</v>
      </c>
      <c r="X3895">
        <v>0.98188299999999995</v>
      </c>
      <c r="Y3895">
        <v>0.2034369</v>
      </c>
      <c r="Z3895">
        <v>-2.3279469999999999E-3</v>
      </c>
      <c r="AA3895">
        <v>0.97908530000000005</v>
      </c>
      <c r="AB3895">
        <v>34</v>
      </c>
      <c r="AC3895">
        <v>69.731799999999893</v>
      </c>
      <c r="AD3895">
        <v>-0.63300579999999995</v>
      </c>
      <c r="AE3895">
        <v>-13.8146</v>
      </c>
      <c r="AF3895">
        <v>14.532063663561001</v>
      </c>
      <c r="AG3895">
        <v>-0.63300579999999995</v>
      </c>
      <c r="AH3895">
        <v>69.580061315722006</v>
      </c>
      <c r="AI3895">
        <v>90.510226313207497</v>
      </c>
      <c r="AJ3895">
        <v>78.203131226966505</v>
      </c>
      <c r="AK3895">
        <v>71.084221198267798</v>
      </c>
      <c r="AL3895">
        <v>79.132390184801693</v>
      </c>
      <c r="AM3895">
        <v>88.895480878708696</v>
      </c>
      <c r="AN3895">
        <v>1.0000000188254099</v>
      </c>
    </row>
    <row r="3896" spans="1:40" x14ac:dyDescent="0.25">
      <c r="A3896" t="str">
        <f>"20190304155710347"</f>
        <v>20190304155710347</v>
      </c>
      <c r="B3896" t="str">
        <f>"1551686230338488"</f>
        <v>1551686230338488</v>
      </c>
      <c r="C3896" t="s">
        <v>40</v>
      </c>
      <c r="D3896">
        <v>4.4891160000000001</v>
      </c>
      <c r="E3896">
        <v>0.56934549999999995</v>
      </c>
      <c r="F3896" t="s">
        <v>69</v>
      </c>
      <c r="G3896">
        <v>-168.41239999999999</v>
      </c>
      <c r="H3896">
        <v>0.45076660000000002</v>
      </c>
      <c r="I3896">
        <v>201.0274</v>
      </c>
      <c r="J3896">
        <v>-237.8228</v>
      </c>
      <c r="K3896">
        <v>1.1101939999999999</v>
      </c>
      <c r="L3896">
        <v>214.77510000000001</v>
      </c>
      <c r="M3896">
        <v>0.99984379999999995</v>
      </c>
      <c r="N3896">
        <v>-1.436259E-2</v>
      </c>
      <c r="O3896">
        <v>1.0315070000000001E-2</v>
      </c>
      <c r="P3896">
        <v>0.98458020000000002</v>
      </c>
      <c r="Q3896">
        <v>0.17473810000000001</v>
      </c>
      <c r="R3896">
        <v>-8.3189960000000004E-3</v>
      </c>
      <c r="S3896">
        <v>3.0465849999999999</v>
      </c>
      <c r="T3896">
        <v>-2.8808830000000001E-2</v>
      </c>
      <c r="U3896">
        <v>-0.60049439999999998</v>
      </c>
      <c r="V3896">
        <v>1.8482800000000001E-2</v>
      </c>
      <c r="W3896">
        <v>0.18885830000000001</v>
      </c>
      <c r="X3896">
        <v>0.98183039999999999</v>
      </c>
      <c r="Y3896">
        <v>0.20347180000000001</v>
      </c>
      <c r="Z3896">
        <v>-2.3780279999999999E-3</v>
      </c>
      <c r="AA3896">
        <v>0.97907789999999995</v>
      </c>
      <c r="AB3896">
        <v>34</v>
      </c>
      <c r="AC3896">
        <v>69.410399999999996</v>
      </c>
      <c r="AD3896">
        <v>-0.6594274</v>
      </c>
      <c r="AE3896">
        <v>-13.7477</v>
      </c>
      <c r="AF3896">
        <v>14.4617593156152</v>
      </c>
      <c r="AG3896">
        <v>-0.6594274</v>
      </c>
      <c r="AH3896">
        <v>69.258868206476194</v>
      </c>
      <c r="AI3896">
        <v>90.533991712319803</v>
      </c>
      <c r="AJ3896">
        <v>78.205685251723594</v>
      </c>
      <c r="AK3896">
        <v>70.755693426329302</v>
      </c>
      <c r="AL3896">
        <v>79.113836638484699</v>
      </c>
      <c r="AM3896">
        <v>88.921543509401999</v>
      </c>
      <c r="AN3896">
        <v>1.00000000286944</v>
      </c>
    </row>
    <row r="3897" spans="1:40" x14ac:dyDescent="0.25">
      <c r="A3897" t="str">
        <f>"20190304155710369"</f>
        <v>20190304155710369</v>
      </c>
      <c r="B3897" t="str">
        <f>"1551686230358984"</f>
        <v>1551686230358984</v>
      </c>
      <c r="C3897" t="s">
        <v>40</v>
      </c>
      <c r="D3897">
        <v>4.4755370000000001</v>
      </c>
      <c r="E3897">
        <v>0.56903549999999903</v>
      </c>
      <c r="F3897" t="s">
        <v>69</v>
      </c>
      <c r="G3897">
        <v>-168.41239999999999</v>
      </c>
      <c r="H3897">
        <v>0.46229930000000002</v>
      </c>
      <c r="I3897">
        <v>201.14169999999999</v>
      </c>
      <c r="J3897">
        <v>-237.48169999999999</v>
      </c>
      <c r="K3897">
        <v>1.110196</v>
      </c>
      <c r="L3897">
        <v>214.77869999999999</v>
      </c>
      <c r="M3897">
        <v>0.99984340000000005</v>
      </c>
      <c r="N3897">
        <v>-1.438768E-2</v>
      </c>
      <c r="O3897">
        <v>1.031524E-2</v>
      </c>
      <c r="P3897">
        <v>0.98458020000000002</v>
      </c>
      <c r="Q3897">
        <v>0.17474400000000001</v>
      </c>
      <c r="R3897">
        <v>-8.1629089999999994E-3</v>
      </c>
      <c r="S3897">
        <v>3.046967</v>
      </c>
      <c r="T3897">
        <v>-2.8439760000000001E-2</v>
      </c>
      <c r="U3897">
        <v>-0.59848020000000002</v>
      </c>
      <c r="V3897">
        <v>1.8327110000000001E-2</v>
      </c>
      <c r="W3897">
        <v>0.18888920000000001</v>
      </c>
      <c r="X3897">
        <v>0.98182740000000002</v>
      </c>
      <c r="Y3897">
        <v>0.20282600000000001</v>
      </c>
      <c r="Z3897">
        <v>-2.359061E-3</v>
      </c>
      <c r="AA3897">
        <v>0.97921190000000002</v>
      </c>
      <c r="AB3897">
        <v>34</v>
      </c>
      <c r="AC3897">
        <v>69.069299999999998</v>
      </c>
      <c r="AD3897">
        <v>-0.64789669999999999</v>
      </c>
      <c r="AE3897">
        <v>-13.637</v>
      </c>
      <c r="AF3897">
        <v>14.347599288753001</v>
      </c>
      <c r="AG3897">
        <v>-0.64789669999999999</v>
      </c>
      <c r="AH3897">
        <v>68.919104263700802</v>
      </c>
      <c r="AI3897">
        <v>90.527307303125596</v>
      </c>
      <c r="AJ3897">
        <v>78.240115164983905</v>
      </c>
      <c r="AK3897">
        <v>70.399689686783105</v>
      </c>
      <c r="AL3897">
        <v>79.112034027604494</v>
      </c>
      <c r="AM3897">
        <v>88.930622510238905</v>
      </c>
      <c r="AN3897">
        <v>1.0000000281141701</v>
      </c>
    </row>
    <row r="3898" spans="1:40" x14ac:dyDescent="0.25">
      <c r="A3898" t="str">
        <f>"20190304155710392"</f>
        <v>20190304155710392</v>
      </c>
      <c r="B3898" t="str">
        <f>"1551686230388264"</f>
        <v>1551686230388264</v>
      </c>
      <c r="C3898" t="s">
        <v>40</v>
      </c>
      <c r="D3898">
        <v>4.4009340000000003</v>
      </c>
      <c r="E3898">
        <v>0.56856759999999995</v>
      </c>
      <c r="F3898" t="s">
        <v>69</v>
      </c>
      <c r="G3898">
        <v>-168.41239999999999</v>
      </c>
      <c r="H3898">
        <v>0.43136219999999997</v>
      </c>
      <c r="I3898">
        <v>201.2841</v>
      </c>
      <c r="J3898">
        <v>-237.14500000000001</v>
      </c>
      <c r="K3898">
        <v>1.1102000000000001</v>
      </c>
      <c r="L3898">
        <v>214.78210000000001</v>
      </c>
      <c r="M3898">
        <v>0.99984309999999998</v>
      </c>
      <c r="N3898">
        <v>-1.440842E-2</v>
      </c>
      <c r="O3898">
        <v>1.0315090000000001E-2</v>
      </c>
      <c r="P3898">
        <v>0.98461989999999999</v>
      </c>
      <c r="Q3898">
        <v>0.17450959999999999</v>
      </c>
      <c r="R3898">
        <v>-8.3981960000000001E-3</v>
      </c>
      <c r="S3898">
        <v>3.0473629999999998</v>
      </c>
      <c r="T3898">
        <v>-2.9948949999999998E-2</v>
      </c>
      <c r="U3898">
        <v>-0.59538269999999904</v>
      </c>
      <c r="V3898">
        <v>1.8562519999999999E-2</v>
      </c>
      <c r="W3898">
        <v>0.18867519999999999</v>
      </c>
      <c r="X3898">
        <v>0.98186410000000002</v>
      </c>
      <c r="Y3898">
        <v>0.20184160000000001</v>
      </c>
      <c r="Z3898">
        <v>-2.4036499999999998E-3</v>
      </c>
      <c r="AA3898">
        <v>0.97941520000000004</v>
      </c>
      <c r="AB3898">
        <v>34</v>
      </c>
      <c r="AC3898">
        <v>68.732600000000005</v>
      </c>
      <c r="AD3898">
        <v>-0.67883780000000005</v>
      </c>
      <c r="AE3898">
        <v>-13.497999999999999</v>
      </c>
      <c r="AF3898">
        <v>14.2050040329041</v>
      </c>
      <c r="AG3898">
        <v>-0.67883780000000005</v>
      </c>
      <c r="AH3898">
        <v>68.583253462463702</v>
      </c>
      <c r="AI3898">
        <v>90.555310460782906</v>
      </c>
      <c r="AJ3898">
        <v>78.298321758533902</v>
      </c>
      <c r="AK3898">
        <v>70.042170267846998</v>
      </c>
      <c r="AL3898">
        <v>79.124519572230597</v>
      </c>
      <c r="AM3898">
        <v>88.916930183390605</v>
      </c>
      <c r="AN3898">
        <v>1.0000000045563</v>
      </c>
    </row>
    <row r="3899" spans="1:40" x14ac:dyDescent="0.25">
      <c r="A3899" t="str">
        <f>"20190304155710414"</f>
        <v>20190304155710414</v>
      </c>
      <c r="B3899" t="str">
        <f>"1551686230408763"</f>
        <v>1551686230408763</v>
      </c>
      <c r="C3899" t="s">
        <v>40</v>
      </c>
      <c r="D3899">
        <v>4.2785349999999998</v>
      </c>
      <c r="E3899">
        <v>0.53503880000000004</v>
      </c>
      <c r="F3899" t="s">
        <v>69</v>
      </c>
      <c r="G3899">
        <v>-168.41229999999999</v>
      </c>
      <c r="H3899">
        <v>0.3990669</v>
      </c>
      <c r="I3899">
        <v>201.42099999999999</v>
      </c>
      <c r="J3899">
        <v>-236.80760000000001</v>
      </c>
      <c r="K3899">
        <v>1.1102069999999999</v>
      </c>
      <c r="L3899">
        <v>214.78559999999999</v>
      </c>
      <c r="M3899">
        <v>0.99984280000000003</v>
      </c>
      <c r="N3899">
        <v>-1.4425769999999999E-2</v>
      </c>
      <c r="O3899">
        <v>1.031526E-2</v>
      </c>
      <c r="P3899">
        <v>0.98450939999999998</v>
      </c>
      <c r="Q3899">
        <v>0.175115299999999</v>
      </c>
      <c r="R3899">
        <v>-8.730827E-3</v>
      </c>
      <c r="S3899">
        <v>3.0473940000000002</v>
      </c>
      <c r="T3899">
        <v>-3.1528E-2</v>
      </c>
      <c r="U3899">
        <v>-0.59239200000000003</v>
      </c>
      <c r="V3899">
        <v>1.88941E-2</v>
      </c>
      <c r="W3899">
        <v>0.18929660000000001</v>
      </c>
      <c r="X3899">
        <v>0.98173820000000001</v>
      </c>
      <c r="Y3899">
        <v>0.20091210000000001</v>
      </c>
      <c r="Z3899">
        <v>-2.4507579999999999E-3</v>
      </c>
      <c r="AA3899">
        <v>0.97960619999999998</v>
      </c>
      <c r="AB3899">
        <v>34</v>
      </c>
      <c r="AC3899">
        <v>68.395300000000006</v>
      </c>
      <c r="AD3899">
        <v>-0.71114009999999905</v>
      </c>
      <c r="AE3899">
        <v>-13.3645999999999</v>
      </c>
      <c r="AF3899">
        <v>14.0680125521889</v>
      </c>
      <c r="AG3899">
        <v>-0.71114009999999905</v>
      </c>
      <c r="AH3899">
        <v>68.246680033250499</v>
      </c>
      <c r="AI3899">
        <v>90.584715929516705</v>
      </c>
      <c r="AJ3899">
        <v>78.352493277600303</v>
      </c>
      <c r="AK3899">
        <v>69.6851780005709</v>
      </c>
      <c r="AL3899">
        <v>79.088263025556898</v>
      </c>
      <c r="AM3899">
        <v>88.897446833237197</v>
      </c>
      <c r="AN3899">
        <v>1.0000000415628001</v>
      </c>
    </row>
    <row r="3900" spans="1:40" x14ac:dyDescent="0.25">
      <c r="A3900" t="str">
        <f>"20190304155710436"</f>
        <v>20190304155710436</v>
      </c>
      <c r="B3900" t="str">
        <f>"1551686230428284"</f>
        <v>1551686230428284</v>
      </c>
      <c r="C3900" t="s">
        <v>40</v>
      </c>
      <c r="D3900">
        <v>4.4559379999999997</v>
      </c>
      <c r="E3900">
        <v>0.53064180000000005</v>
      </c>
      <c r="F3900" t="s">
        <v>69</v>
      </c>
      <c r="G3900">
        <v>-168.4102</v>
      </c>
      <c r="H3900">
        <v>0.15403749999999999</v>
      </c>
      <c r="I3900">
        <v>207.47290000000001</v>
      </c>
      <c r="J3900">
        <v>-236.4813</v>
      </c>
      <c r="K3900">
        <v>1.110206</v>
      </c>
      <c r="L3900">
        <v>214.78899999999999</v>
      </c>
      <c r="M3900">
        <v>0.99984269999999997</v>
      </c>
      <c r="N3900">
        <v>-1.4439820000000001E-2</v>
      </c>
      <c r="O3900">
        <v>1.031516E-2</v>
      </c>
      <c r="P3900">
        <v>0.98452249999999997</v>
      </c>
      <c r="Q3900">
        <v>0.1750311</v>
      </c>
      <c r="R3900">
        <v>-8.9505950000000004E-3</v>
      </c>
      <c r="S3900">
        <v>3.051895</v>
      </c>
      <c r="T3900">
        <v>-4.2662859999999997E-2</v>
      </c>
      <c r="U3900">
        <v>-0.32629390000000003</v>
      </c>
      <c r="V3900">
        <v>1.911382E-2</v>
      </c>
      <c r="W3900">
        <v>0.18922639999999999</v>
      </c>
      <c r="X3900">
        <v>0.98174740000000005</v>
      </c>
      <c r="Y3900">
        <v>0.1165384</v>
      </c>
      <c r="Z3900">
        <v>-1.651397E-3</v>
      </c>
      <c r="AA3900">
        <v>0.99318479999999998</v>
      </c>
      <c r="AB3900">
        <v>34</v>
      </c>
      <c r="AC3900">
        <v>68.071100000000001</v>
      </c>
      <c r="AD3900">
        <v>-0.95616849999999998</v>
      </c>
      <c r="AE3900">
        <v>-7.3160999999999996</v>
      </c>
      <c r="AF3900">
        <v>8.0163844381306699</v>
      </c>
      <c r="AG3900">
        <v>-0.95616849999999998</v>
      </c>
      <c r="AH3900">
        <v>67.978743540977604</v>
      </c>
      <c r="AI3900">
        <v>90.800307303810897</v>
      </c>
      <c r="AJ3900">
        <v>83.274463640471296</v>
      </c>
      <c r="AK3900">
        <v>68.456455145371805</v>
      </c>
      <c r="AL3900">
        <v>79.092358353229997</v>
      </c>
      <c r="AM3900">
        <v>88.884638882597002</v>
      </c>
      <c r="AN3900">
        <v>0.99999996298935501</v>
      </c>
    </row>
    <row r="3901" spans="1:40" x14ac:dyDescent="0.25">
      <c r="A3901" t="str">
        <f>"20190304155710458"</f>
        <v>20190304155710458</v>
      </c>
      <c r="B3901" t="str">
        <f>"1551686230448776"</f>
        <v>1551686230448776</v>
      </c>
      <c r="C3901" t="s">
        <v>40</v>
      </c>
      <c r="D3901">
        <v>4.2892729999999997</v>
      </c>
      <c r="E3901">
        <v>0.53068389999999999</v>
      </c>
      <c r="F3901" t="s">
        <v>69</v>
      </c>
      <c r="G3901">
        <v>-169.39259999999999</v>
      </c>
      <c r="H3901">
        <v>0.26524350000000002</v>
      </c>
      <c r="I3901">
        <v>208.3835</v>
      </c>
      <c r="J3901">
        <v>-236.1439</v>
      </c>
      <c r="K3901">
        <v>1.1102110000000001</v>
      </c>
      <c r="L3901">
        <v>214.79249999999999</v>
      </c>
      <c r="M3901">
        <v>0.99984240000000002</v>
      </c>
      <c r="N3901">
        <v>-1.445196E-2</v>
      </c>
      <c r="O3901">
        <v>1.031543E-2</v>
      </c>
      <c r="P3901">
        <v>0.98443999999999998</v>
      </c>
      <c r="Q3901">
        <v>0.17549379999999901</v>
      </c>
      <c r="R3901">
        <v>-8.9566479999999993E-3</v>
      </c>
      <c r="S3901">
        <v>3.0513460000000001</v>
      </c>
      <c r="T3901">
        <v>-3.842926E-2</v>
      </c>
      <c r="U3901">
        <v>-0.29133609999999999</v>
      </c>
      <c r="V3901">
        <v>1.9119500000000001E-2</v>
      </c>
      <c r="W3901">
        <v>0.18970020000000001</v>
      </c>
      <c r="X3901">
        <v>0.98165590000000003</v>
      </c>
      <c r="Y3901">
        <v>0.1052925</v>
      </c>
      <c r="Z3901">
        <v>-1.4050759999999999E-3</v>
      </c>
      <c r="AA3901">
        <v>0.99444030000000005</v>
      </c>
      <c r="AB3901">
        <v>34</v>
      </c>
      <c r="AC3901">
        <v>66.751300000000001</v>
      </c>
      <c r="AD3901">
        <v>-0.84496749999999998</v>
      </c>
      <c r="AE3901">
        <v>-6.40899999999999</v>
      </c>
      <c r="AF3901">
        <v>7.0961725067878199</v>
      </c>
      <c r="AG3901">
        <v>-0.84496749999999998</v>
      </c>
      <c r="AH3901">
        <v>66.671043701867305</v>
      </c>
      <c r="AI3901">
        <v>90.722031694966304</v>
      </c>
      <c r="AJ3901">
        <v>83.924562399308996</v>
      </c>
      <c r="AK3901">
        <v>67.052947009199002</v>
      </c>
      <c r="AL3901">
        <v>79.064711414692496</v>
      </c>
      <c r="AM3901">
        <v>88.884203550404905</v>
      </c>
      <c r="AN3901">
        <v>1.00000001358255</v>
      </c>
    </row>
    <row r="3902" spans="1:40" x14ac:dyDescent="0.25">
      <c r="A3902" t="str">
        <f>"20190304155710480"</f>
        <v>20190304155710480</v>
      </c>
      <c r="B3902" t="str">
        <f>"1551686230478056"</f>
        <v>1551686230478056</v>
      </c>
      <c r="C3902" t="s">
        <v>40</v>
      </c>
      <c r="D3902">
        <v>4.3160730000000003</v>
      </c>
      <c r="E3902">
        <v>0.53109090000000003</v>
      </c>
      <c r="F3902" t="s">
        <v>69</v>
      </c>
      <c r="G3902">
        <v>-169.39259999999999</v>
      </c>
      <c r="H3902">
        <v>0.34935949999999999</v>
      </c>
      <c r="I3902">
        <v>208.41069999999999</v>
      </c>
      <c r="J3902">
        <v>-235.81120000000001</v>
      </c>
      <c r="K3902">
        <v>1.11022</v>
      </c>
      <c r="L3902">
        <v>214.79589999999999</v>
      </c>
      <c r="M3902">
        <v>0.99984229999999996</v>
      </c>
      <c r="N3902">
        <v>-1.446184E-2</v>
      </c>
      <c r="O3902">
        <v>1.031553E-2</v>
      </c>
      <c r="P3902">
        <v>0.98433660000000001</v>
      </c>
      <c r="Q3902">
        <v>0.17607020000000001</v>
      </c>
      <c r="R3902">
        <v>-9.0152749999999997E-3</v>
      </c>
      <c r="S3902">
        <v>3.050964</v>
      </c>
      <c r="T3902">
        <v>-3.4774180000000002E-2</v>
      </c>
      <c r="U3902">
        <v>-0.29168699999999997</v>
      </c>
      <c r="V3902">
        <v>1.9177090000000001E-2</v>
      </c>
      <c r="W3902">
        <v>0.19028400000000001</v>
      </c>
      <c r="X3902">
        <v>0.98154180000000002</v>
      </c>
      <c r="Y3902">
        <v>0.1054201</v>
      </c>
      <c r="Z3902">
        <v>-1.3319860000000001E-3</v>
      </c>
      <c r="AA3902">
        <v>0.9944269</v>
      </c>
      <c r="AB3902">
        <v>34</v>
      </c>
      <c r="AC3902">
        <v>66.418599999999998</v>
      </c>
      <c r="AD3902">
        <v>-0.76086049999999905</v>
      </c>
      <c r="AE3902">
        <v>-6.3851999999999904</v>
      </c>
      <c r="AF3902">
        <v>7.0691556675972098</v>
      </c>
      <c r="AG3902">
        <v>-0.76086049999999905</v>
      </c>
      <c r="AH3902">
        <v>66.340565655784104</v>
      </c>
      <c r="AI3902">
        <v>90.653398177277595</v>
      </c>
      <c r="AJ3902">
        <v>83.917595844041202</v>
      </c>
      <c r="AK3902">
        <v>66.720480529463998</v>
      </c>
      <c r="AL3902">
        <v>79.030641796427503</v>
      </c>
      <c r="AM3902">
        <v>88.880713440431606</v>
      </c>
      <c r="AN3902">
        <v>1.00000003329205</v>
      </c>
    </row>
    <row r="3903" spans="1:40" x14ac:dyDescent="0.25">
      <c r="A3903" t="str">
        <f>"20190304155710503"</f>
        <v>20190304155710503</v>
      </c>
      <c r="B3903" t="str">
        <f>"1551686230498552"</f>
        <v>1551686230498552</v>
      </c>
      <c r="C3903" t="s">
        <v>40</v>
      </c>
      <c r="D3903">
        <v>4.2728619999999999</v>
      </c>
      <c r="E3903">
        <v>0.53077379999999996</v>
      </c>
      <c r="F3903" t="s">
        <v>69</v>
      </c>
      <c r="G3903">
        <v>-169.39259999999999</v>
      </c>
      <c r="H3903">
        <v>0.40062330000000002</v>
      </c>
      <c r="I3903">
        <v>208.37729999999999</v>
      </c>
      <c r="J3903">
        <v>-235.47409999999999</v>
      </c>
      <c r="K3903">
        <v>1.110231</v>
      </c>
      <c r="L3903">
        <v>214.79939999999999</v>
      </c>
      <c r="M3903">
        <v>0.99984229999999996</v>
      </c>
      <c r="N3903">
        <v>-1.446998E-2</v>
      </c>
      <c r="O3903">
        <v>1.031548E-2</v>
      </c>
      <c r="P3903">
        <v>0.98428059999999995</v>
      </c>
      <c r="Q3903">
        <v>0.17638860000000001</v>
      </c>
      <c r="R3903">
        <v>-8.9077610000000002E-3</v>
      </c>
      <c r="S3903">
        <v>3.0508730000000002</v>
      </c>
      <c r="T3903">
        <v>-3.2593009999999999E-2</v>
      </c>
      <c r="U3903">
        <v>-0.29483029999999999</v>
      </c>
      <c r="V3903">
        <v>1.906913E-2</v>
      </c>
      <c r="W3903">
        <v>0.1906098</v>
      </c>
      <c r="X3903">
        <v>0.98148069999999998</v>
      </c>
      <c r="Y3903">
        <v>0.1064392</v>
      </c>
      <c r="Z3903">
        <v>-1.3002300000000001E-3</v>
      </c>
      <c r="AA3903">
        <v>0.99431840000000005</v>
      </c>
      <c r="AB3903">
        <v>33</v>
      </c>
      <c r="AC3903">
        <v>66.081500000000005</v>
      </c>
      <c r="AD3903">
        <v>-0.70960769999999995</v>
      </c>
      <c r="AE3903">
        <v>-6.4221000000000004</v>
      </c>
      <c r="AF3903">
        <v>7.1026804938681298</v>
      </c>
      <c r="AG3903">
        <v>-0.70960769999999995</v>
      </c>
      <c r="AH3903">
        <v>66.004189464190205</v>
      </c>
      <c r="AI3903">
        <v>90.612424889529805</v>
      </c>
      <c r="AJ3903">
        <v>83.858062229243103</v>
      </c>
      <c r="AK3903">
        <v>66.389040060168</v>
      </c>
      <c r="AL3903">
        <v>79.011626951836305</v>
      </c>
      <c r="AM3903">
        <v>88.886943755516199</v>
      </c>
      <c r="AN3903">
        <v>1.0000000460237399</v>
      </c>
    </row>
    <row r="3904" spans="1:40" x14ac:dyDescent="0.25">
      <c r="A3904" t="str">
        <f>"20190304155710526"</f>
        <v>20190304155710526</v>
      </c>
      <c r="B3904" t="str">
        <f>"1551686230518072"</f>
        <v>1551686230518072</v>
      </c>
      <c r="C3904" t="s">
        <v>40</v>
      </c>
      <c r="D3904">
        <v>4.2614089999999996</v>
      </c>
      <c r="E3904">
        <v>0.53115279999999998</v>
      </c>
      <c r="F3904" t="s">
        <v>69</v>
      </c>
      <c r="G3904">
        <v>-169.39259999999999</v>
      </c>
      <c r="H3904">
        <v>0.43242259999999999</v>
      </c>
      <c r="I3904">
        <v>208.48140000000001</v>
      </c>
      <c r="J3904">
        <v>-235.13740000000001</v>
      </c>
      <c r="K3904">
        <v>1.110236</v>
      </c>
      <c r="L3904">
        <v>214.80279999999999</v>
      </c>
      <c r="M3904">
        <v>0.99984200000000001</v>
      </c>
      <c r="N3904">
        <v>-1.4476599999999999E-2</v>
      </c>
      <c r="O3904">
        <v>1.031572E-2</v>
      </c>
      <c r="P3904">
        <v>0.98420229999999997</v>
      </c>
      <c r="Q3904">
        <v>0.1768554</v>
      </c>
      <c r="R3904">
        <v>-8.2575640000000002E-3</v>
      </c>
      <c r="S3904">
        <v>3.0508579999999998</v>
      </c>
      <c r="T3904">
        <v>-3.1291480000000003E-2</v>
      </c>
      <c r="U3904">
        <v>-0.29168699999999997</v>
      </c>
      <c r="V3904">
        <v>1.8418469999999999E-2</v>
      </c>
      <c r="W3904">
        <v>0.191082</v>
      </c>
      <c r="X3904">
        <v>0.98140130000000003</v>
      </c>
      <c r="Y3904">
        <v>0.1054257</v>
      </c>
      <c r="Z3904">
        <v>-1.2609209999999999E-3</v>
      </c>
      <c r="AA3904">
        <v>0.99442640000000004</v>
      </c>
      <c r="AB3904">
        <v>33</v>
      </c>
      <c r="AC3904">
        <v>65.744799999999998</v>
      </c>
      <c r="AD3904">
        <v>-0.67781340000000001</v>
      </c>
      <c r="AE3904">
        <v>-6.3213999999999801</v>
      </c>
      <c r="AF3904">
        <v>6.9986025236941298</v>
      </c>
      <c r="AG3904">
        <v>-0.67781340000000001</v>
      </c>
      <c r="AH3904">
        <v>65.669168342860999</v>
      </c>
      <c r="AI3904">
        <v>90.588035537569198</v>
      </c>
      <c r="AJ3904">
        <v>83.916741783410004</v>
      </c>
      <c r="AK3904">
        <v>66.044526943062394</v>
      </c>
      <c r="AL3904">
        <v>78.984065249111097</v>
      </c>
      <c r="AM3904">
        <v>88.924826446644801</v>
      </c>
      <c r="AN3904">
        <v>1.0000000412014101</v>
      </c>
    </row>
    <row r="3905" spans="1:40" x14ac:dyDescent="0.25">
      <c r="A3905" t="str">
        <f>"20190304155710550"</f>
        <v>20190304155710550</v>
      </c>
      <c r="B3905" t="str">
        <f>"1551686230538568"</f>
        <v>1551686230538568</v>
      </c>
      <c r="C3905" t="s">
        <v>40</v>
      </c>
      <c r="D3905">
        <v>4.2753379999999996</v>
      </c>
      <c r="E3905">
        <v>0.53148319999999905</v>
      </c>
      <c r="F3905" t="s">
        <v>69</v>
      </c>
      <c r="G3905">
        <v>-169.39259999999999</v>
      </c>
      <c r="H3905">
        <v>0.45127869999999998</v>
      </c>
      <c r="I3905">
        <v>208.4948</v>
      </c>
      <c r="J3905">
        <v>-234.78639999999999</v>
      </c>
      <c r="K3905">
        <v>1.1102299999999901</v>
      </c>
      <c r="L3905">
        <v>214.8065</v>
      </c>
      <c r="M3905">
        <v>0.99984189999999995</v>
      </c>
      <c r="N3905">
        <v>-1.448203E-2</v>
      </c>
      <c r="O3905">
        <v>1.031586E-2</v>
      </c>
      <c r="P3905">
        <v>0.9841493</v>
      </c>
      <c r="Q3905">
        <v>0.17718039999999999</v>
      </c>
      <c r="R3905">
        <v>-7.5608899999999998E-3</v>
      </c>
      <c r="S3905">
        <v>3.0512079999999999</v>
      </c>
      <c r="T3905">
        <v>-3.0580400000000001E-2</v>
      </c>
      <c r="U3905">
        <v>-0.29275509999999999</v>
      </c>
      <c r="V3905">
        <v>1.7721379999999998E-2</v>
      </c>
      <c r="W3905">
        <v>0.191412</v>
      </c>
      <c r="X3905">
        <v>0.98134980000000005</v>
      </c>
      <c r="Y3905">
        <v>0.1057603</v>
      </c>
      <c r="Z3905">
        <v>-1.2505280000000001E-3</v>
      </c>
      <c r="AA3905">
        <v>0.99439080000000002</v>
      </c>
      <c r="AB3905">
        <v>33</v>
      </c>
      <c r="AC3905">
        <v>65.393799999999999</v>
      </c>
      <c r="AD3905">
        <v>-0.65895129999999902</v>
      </c>
      <c r="AE3905">
        <v>-6.3117000000000001</v>
      </c>
      <c r="AF3905">
        <v>6.98532539470256</v>
      </c>
      <c r="AG3905">
        <v>-0.65895129999999902</v>
      </c>
      <c r="AH3905">
        <v>65.318631047046495</v>
      </c>
      <c r="AI3905">
        <v>90.574718221165696</v>
      </c>
      <c r="AJ3905">
        <v>83.895856679892603</v>
      </c>
      <c r="AK3905">
        <v>65.694387504153099</v>
      </c>
      <c r="AL3905">
        <v>78.964801794828304</v>
      </c>
      <c r="AM3905">
        <v>88.965455606208593</v>
      </c>
      <c r="AN3905">
        <v>1.00000001550657</v>
      </c>
    </row>
    <row r="3906" spans="1:40" x14ac:dyDescent="0.25">
      <c r="A3906" t="str">
        <f>"20190304155710570"</f>
        <v>20190304155710570</v>
      </c>
      <c r="B3906" t="str">
        <f>"1551686230568824"</f>
        <v>1551686230568824</v>
      </c>
      <c r="C3906" t="s">
        <v>40</v>
      </c>
      <c r="D3906">
        <v>4.2558290000000003</v>
      </c>
      <c r="E3906">
        <v>0.53166169999999902</v>
      </c>
      <c r="F3906" t="s">
        <v>69</v>
      </c>
      <c r="G3906">
        <v>-169.39259999999999</v>
      </c>
      <c r="H3906">
        <v>0.49100490000000002</v>
      </c>
      <c r="I3906">
        <v>208.51779999999999</v>
      </c>
      <c r="J3906">
        <v>-234.47479999999999</v>
      </c>
      <c r="K3906">
        <v>1.110236</v>
      </c>
      <c r="L3906">
        <v>214.80969999999999</v>
      </c>
      <c r="M3906">
        <v>0.99984189999999995</v>
      </c>
      <c r="N3906">
        <v>-1.4485649999999999E-2</v>
      </c>
      <c r="O3906">
        <v>1.031601E-2</v>
      </c>
      <c r="P3906">
        <v>0.98417589999999999</v>
      </c>
      <c r="Q3906">
        <v>0.17703360000000001</v>
      </c>
      <c r="R3906">
        <v>-7.5437229999999996E-3</v>
      </c>
      <c r="S3906">
        <v>3.0512540000000001</v>
      </c>
      <c r="T3906">
        <v>-2.8891210000000001E-2</v>
      </c>
      <c r="U3906">
        <v>-0.29342649999999998</v>
      </c>
      <c r="V3906">
        <v>1.7704649999999999E-2</v>
      </c>
      <c r="W3906">
        <v>0.1912693</v>
      </c>
      <c r="X3906">
        <v>0.98137790000000003</v>
      </c>
      <c r="Y3906">
        <v>0.1059768</v>
      </c>
      <c r="Z3906">
        <v>-1.218362E-3</v>
      </c>
      <c r="AA3906">
        <v>0.99436780000000002</v>
      </c>
      <c r="AB3906">
        <v>33</v>
      </c>
      <c r="AC3906">
        <v>65.0822</v>
      </c>
      <c r="AD3906">
        <v>-0.61923109999999904</v>
      </c>
      <c r="AE3906">
        <v>-6.2918999999999903</v>
      </c>
      <c r="AF3906">
        <v>6.9623997261867903</v>
      </c>
      <c r="AG3906">
        <v>-0.61923109999999904</v>
      </c>
      <c r="AH3906">
        <v>65.007991519146401</v>
      </c>
      <c r="AI3906">
        <v>90.542649036590007</v>
      </c>
      <c r="AJ3906">
        <v>83.886885913478494</v>
      </c>
      <c r="AK3906">
        <v>65.382699687729598</v>
      </c>
      <c r="AL3906">
        <v>78.973131538790597</v>
      </c>
      <c r="AM3906">
        <v>88.966461651486298</v>
      </c>
      <c r="AN3906">
        <v>0.99999999118126104</v>
      </c>
    </row>
    <row r="3907" spans="1:40" x14ac:dyDescent="0.25">
      <c r="A3907" t="str">
        <f>"20190304155710592"</f>
        <v>20190304155710592</v>
      </c>
      <c r="B3907" t="str">
        <f>"1551686230588348"</f>
        <v>1551686230588348</v>
      </c>
      <c r="C3907" t="s">
        <v>40</v>
      </c>
      <c r="D3907">
        <v>4.4344619999999999</v>
      </c>
      <c r="E3907">
        <v>0.53154579999999996</v>
      </c>
      <c r="F3907" t="s">
        <v>69</v>
      </c>
      <c r="G3907">
        <v>-169.39259999999999</v>
      </c>
      <c r="H3907">
        <v>0.45890999999999998</v>
      </c>
      <c r="I3907">
        <v>208.5205</v>
      </c>
      <c r="J3907">
        <v>-234.14599999999999</v>
      </c>
      <c r="K3907">
        <v>1.110239</v>
      </c>
      <c r="L3907">
        <v>214.81309999999999</v>
      </c>
      <c r="M3907">
        <v>0.99984200000000001</v>
      </c>
      <c r="N3907">
        <v>-1.448849E-2</v>
      </c>
      <c r="O3907">
        <v>1.0315990000000001E-2</v>
      </c>
      <c r="P3907">
        <v>0.98419909999999999</v>
      </c>
      <c r="Q3907">
        <v>0.17691950000000001</v>
      </c>
      <c r="R3907">
        <v>-7.1874360000000002E-3</v>
      </c>
      <c r="S3907">
        <v>3.0514679999999998</v>
      </c>
      <c r="T3907">
        <v>-3.0536649999999999E-2</v>
      </c>
      <c r="U3907">
        <v>-0.29487609999999997</v>
      </c>
      <c r="V3907">
        <v>1.734867E-2</v>
      </c>
      <c r="W3907">
        <v>0.19115789999999999</v>
      </c>
      <c r="X3907">
        <v>0.981406</v>
      </c>
      <c r="Y3907">
        <v>0.10643710000000001</v>
      </c>
      <c r="Z3907">
        <v>-1.2581490000000001E-3</v>
      </c>
      <c r="AA3907">
        <v>0.9943187</v>
      </c>
      <c r="AB3907">
        <v>33</v>
      </c>
      <c r="AC3907">
        <v>64.753399999999999</v>
      </c>
      <c r="AD3907">
        <v>-0.65132899999999905</v>
      </c>
      <c r="AE3907">
        <v>-6.2925999999999904</v>
      </c>
      <c r="AF3907">
        <v>6.9596329642080104</v>
      </c>
      <c r="AG3907">
        <v>-0.65132899999999905</v>
      </c>
      <c r="AH3907">
        <v>64.678549797705998</v>
      </c>
      <c r="AI3907">
        <v>90.573651941648393</v>
      </c>
      <c r="AJ3907">
        <v>83.858409059773194</v>
      </c>
      <c r="AK3907">
        <v>65.055172925733402</v>
      </c>
      <c r="AL3907">
        <v>78.9796346846245</v>
      </c>
      <c r="AM3907">
        <v>88.987267194291803</v>
      </c>
      <c r="AN3907">
        <v>1.00000002795958</v>
      </c>
    </row>
    <row r="3908" spans="1:40" x14ac:dyDescent="0.25">
      <c r="A3908" t="str">
        <f>"20190304155710611"</f>
        <v>20190304155710611</v>
      </c>
      <c r="B3908" t="str">
        <f>"1551686230608840"</f>
        <v>1551686230608840</v>
      </c>
      <c r="C3908" t="s">
        <v>40</v>
      </c>
      <c r="D3908">
        <v>4.2722629999999997</v>
      </c>
      <c r="E3908">
        <v>0.53162399999999999</v>
      </c>
      <c r="F3908" t="s">
        <v>69</v>
      </c>
      <c r="G3908">
        <v>-169.39259999999999</v>
      </c>
      <c r="H3908">
        <v>0.4512081</v>
      </c>
      <c r="I3908">
        <v>208.60059999999999</v>
      </c>
      <c r="J3908">
        <v>-233.8648</v>
      </c>
      <c r="K3908">
        <v>1.1102379999999901</v>
      </c>
      <c r="L3908">
        <v>214.816</v>
      </c>
      <c r="M3908">
        <v>0.99984189999999995</v>
      </c>
      <c r="N3908">
        <v>-1.449027E-2</v>
      </c>
      <c r="O3908">
        <v>1.031616E-2</v>
      </c>
      <c r="P3908">
        <v>0.98422390000000004</v>
      </c>
      <c r="Q3908">
        <v>0.17679010000000001</v>
      </c>
      <c r="R3908">
        <v>-7.009136E-3</v>
      </c>
      <c r="S3908">
        <v>3.0516049999999999</v>
      </c>
      <c r="T3908">
        <v>-3.1056279999999999E-2</v>
      </c>
      <c r="U3908">
        <v>-0.29277039999999999</v>
      </c>
      <c r="V3908">
        <v>1.7170520000000002E-2</v>
      </c>
      <c r="W3908">
        <v>0.19103059999999999</v>
      </c>
      <c r="X3908">
        <v>0.98143389999999997</v>
      </c>
      <c r="Y3908">
        <v>0.105753</v>
      </c>
      <c r="Z3908">
        <v>-1.260539E-3</v>
      </c>
      <c r="AA3908">
        <v>0.99439160000000004</v>
      </c>
      <c r="AB3908">
        <v>33</v>
      </c>
      <c r="AC3908">
        <v>64.472200000000001</v>
      </c>
      <c r="AD3908">
        <v>-0.65902989999999895</v>
      </c>
      <c r="AE3908">
        <v>-6.2153999999999803</v>
      </c>
      <c r="AF3908">
        <v>6.8795322783104496</v>
      </c>
      <c r="AG3908">
        <v>-0.65902989999999895</v>
      </c>
      <c r="AH3908">
        <v>64.397975897419997</v>
      </c>
      <c r="AI3908">
        <v>90.583010569387</v>
      </c>
      <c r="AJ3908">
        <v>83.902310008292901</v>
      </c>
      <c r="AK3908">
        <v>64.767751114749203</v>
      </c>
      <c r="AL3908">
        <v>78.9870651549504</v>
      </c>
      <c r="AM3908">
        <v>88.997693099312599</v>
      </c>
      <c r="AN3908">
        <v>1.0000000084813201</v>
      </c>
    </row>
    <row r="3909" spans="1:40" x14ac:dyDescent="0.25">
      <c r="A3909" t="str">
        <f>"20190304155710625"</f>
        <v>20190304155710625</v>
      </c>
      <c r="B3909" t="str">
        <f>"1551686230618600"</f>
        <v>1551686230618600</v>
      </c>
      <c r="C3909" t="s">
        <v>40</v>
      </c>
      <c r="D3909">
        <v>4.2818079999999998</v>
      </c>
      <c r="E3909">
        <v>0.53175419999999995</v>
      </c>
      <c r="F3909" t="s">
        <v>69</v>
      </c>
      <c r="G3909">
        <v>-169.39259999999999</v>
      </c>
      <c r="H3909">
        <v>0.42566490000000001</v>
      </c>
      <c r="I3909">
        <v>208.62450000000001</v>
      </c>
      <c r="J3909">
        <v>-233.64869999999999</v>
      </c>
      <c r="K3909">
        <v>1.110241</v>
      </c>
      <c r="L3909">
        <v>214.81819999999999</v>
      </c>
      <c r="M3909">
        <v>0.99984170000000006</v>
      </c>
      <c r="N3909">
        <v>-1.4491209999999999E-2</v>
      </c>
      <c r="O3909">
        <v>1.0316270000000001E-2</v>
      </c>
      <c r="P3909">
        <v>0.98425050000000003</v>
      </c>
      <c r="Q3909">
        <v>0.17664639999999901</v>
      </c>
      <c r="R3909">
        <v>-6.8713759999999898E-3</v>
      </c>
      <c r="S3909">
        <v>3.0518040000000002</v>
      </c>
      <c r="T3909">
        <v>-3.2402750000000001E-2</v>
      </c>
      <c r="U3909">
        <v>-0.29307559999999999</v>
      </c>
      <c r="V3909">
        <v>1.703325E-2</v>
      </c>
      <c r="W3909">
        <v>0.19088869999999999</v>
      </c>
      <c r="X3909">
        <v>0.98146389999999994</v>
      </c>
      <c r="Y3909">
        <v>0.1058447</v>
      </c>
      <c r="Z3909">
        <v>-1.289508E-3</v>
      </c>
      <c r="AA3909">
        <v>0.99438179999999998</v>
      </c>
      <c r="AB3909">
        <v>33</v>
      </c>
      <c r="AC3909">
        <v>64.256100000000004</v>
      </c>
      <c r="AD3909">
        <v>-0.68457609999999902</v>
      </c>
      <c r="AE3909">
        <v>-6.1936999999999696</v>
      </c>
      <c r="AF3909">
        <v>6.8555523026686798</v>
      </c>
      <c r="AG3909">
        <v>-0.68457609999999902</v>
      </c>
      <c r="AH3909">
        <v>64.181559491333701</v>
      </c>
      <c r="AI3909">
        <v>90.607651137421598</v>
      </c>
      <c r="AJ3909">
        <v>83.9030695738753</v>
      </c>
      <c r="AK3909">
        <v>64.550289081854103</v>
      </c>
      <c r="AL3909">
        <v>78.995347830700396</v>
      </c>
      <c r="AM3909">
        <v>89.005734829039994</v>
      </c>
      <c r="AN3909">
        <v>1.00000000719823</v>
      </c>
    </row>
    <row r="3910" spans="1:40" x14ac:dyDescent="0.25">
      <c r="A3910" t="str">
        <f>"20190304155710648"</f>
        <v>20190304155710648</v>
      </c>
      <c r="B3910" t="str">
        <f>"1551686230638121"</f>
        <v>1551686230638121</v>
      </c>
      <c r="C3910" t="s">
        <v>40</v>
      </c>
      <c r="D3910">
        <v>4.2949400000000004</v>
      </c>
      <c r="E3910">
        <v>0.53201969999999899</v>
      </c>
      <c r="F3910" t="s">
        <v>69</v>
      </c>
      <c r="G3910">
        <v>-169.39259999999999</v>
      </c>
      <c r="H3910">
        <v>0.41942790000000002</v>
      </c>
      <c r="I3910">
        <v>208.6414</v>
      </c>
      <c r="J3910">
        <v>-233.315</v>
      </c>
      <c r="K3910">
        <v>1.1102430000000001</v>
      </c>
      <c r="L3910">
        <v>214.82169999999999</v>
      </c>
      <c r="M3910">
        <v>0.99984189999999995</v>
      </c>
      <c r="N3910">
        <v>-1.4492140000000001E-2</v>
      </c>
      <c r="O3910">
        <v>1.0316270000000001E-2</v>
      </c>
      <c r="P3910">
        <v>0.98416919999999997</v>
      </c>
      <c r="Q3910">
        <v>0.1770929</v>
      </c>
      <c r="R3910">
        <v>-7.0074269999999897E-3</v>
      </c>
      <c r="S3910">
        <v>3.0518339999999999</v>
      </c>
      <c r="T3910">
        <v>-3.2808299999999999E-2</v>
      </c>
      <c r="U3910">
        <v>-0.2933655</v>
      </c>
      <c r="V3910">
        <v>1.7168550000000001E-2</v>
      </c>
      <c r="W3910">
        <v>0.19133430000000001</v>
      </c>
      <c r="X3910">
        <v>0.98137470000000004</v>
      </c>
      <c r="Y3910">
        <v>0.105937</v>
      </c>
      <c r="Z3910">
        <v>-1.2990930000000001E-3</v>
      </c>
      <c r="AA3910">
        <v>0.99437200000000003</v>
      </c>
      <c r="AB3910">
        <v>33</v>
      </c>
      <c r="AC3910">
        <v>63.922400000000003</v>
      </c>
      <c r="AD3910">
        <v>-0.69081510000000002</v>
      </c>
      <c r="AE3910">
        <v>-6.1802999999999804</v>
      </c>
      <c r="AF3910">
        <v>6.8386896435339004</v>
      </c>
      <c r="AG3910">
        <v>-0.69081510000000002</v>
      </c>
      <c r="AH3910">
        <v>63.8478454486959</v>
      </c>
      <c r="AI3910">
        <v>90.616374184607906</v>
      </c>
      <c r="AJ3910">
        <v>83.886404744735003</v>
      </c>
      <c r="AK3910">
        <v>64.216760039599706</v>
      </c>
      <c r="AL3910">
        <v>78.969336639047796</v>
      </c>
      <c r="AM3910">
        <v>88.997747628621894</v>
      </c>
      <c r="AN3910">
        <v>0.99999993763283901</v>
      </c>
    </row>
    <row r="3911" spans="1:40" x14ac:dyDescent="0.25">
      <c r="A3911" t="str">
        <f>"20190304155710665"</f>
        <v>20190304155710665</v>
      </c>
      <c r="B3911" t="str">
        <f>"1551686230658616"</f>
        <v>1551686230658616</v>
      </c>
      <c r="C3911" t="s">
        <v>40</v>
      </c>
      <c r="D3911">
        <v>4.279388</v>
      </c>
      <c r="E3911">
        <v>0.53228189999999997</v>
      </c>
      <c r="F3911" t="s">
        <v>69</v>
      </c>
      <c r="G3911">
        <v>-169.39259999999999</v>
      </c>
      <c r="H3911">
        <v>0.4610863</v>
      </c>
      <c r="I3911">
        <v>208.6224</v>
      </c>
      <c r="J3911">
        <v>-233.0574</v>
      </c>
      <c r="K3911">
        <v>1.110242</v>
      </c>
      <c r="L3911">
        <v>214.82429999999999</v>
      </c>
      <c r="M3911">
        <v>0.99984189999999995</v>
      </c>
      <c r="N3911">
        <v>-1.4492390000000001E-2</v>
      </c>
      <c r="O3911">
        <v>1.0316260000000001E-2</v>
      </c>
      <c r="P3911">
        <v>0.98412880000000003</v>
      </c>
      <c r="Q3911">
        <v>0.17733009999999999</v>
      </c>
      <c r="R3911">
        <v>-6.6988480000000003E-3</v>
      </c>
      <c r="S3911">
        <v>3.0517430000000001</v>
      </c>
      <c r="T3911">
        <v>-3.099E-2</v>
      </c>
      <c r="U3911">
        <v>-0.29595949999999999</v>
      </c>
      <c r="V3911">
        <v>1.6859550000000001E-2</v>
      </c>
      <c r="W3911">
        <v>0.19157109999999999</v>
      </c>
      <c r="X3911">
        <v>0.98133389999999998</v>
      </c>
      <c r="Y3911">
        <v>0.1067782</v>
      </c>
      <c r="Z3911">
        <v>-1.2718849999999999E-3</v>
      </c>
      <c r="AA3911">
        <v>0.99428209999999995</v>
      </c>
      <c r="AB3911">
        <v>33</v>
      </c>
      <c r="AC3911">
        <v>63.6648</v>
      </c>
      <c r="AD3911">
        <v>-0.649155699999999</v>
      </c>
      <c r="AE3911">
        <v>-6.2018999999999904</v>
      </c>
      <c r="AF3911">
        <v>6.8577151437564998</v>
      </c>
      <c r="AG3911">
        <v>-0.649155699999999</v>
      </c>
      <c r="AH3911">
        <v>63.5908750497669</v>
      </c>
      <c r="AI3911">
        <v>90.581501720829195</v>
      </c>
      <c r="AJ3911">
        <v>83.8449423842345</v>
      </c>
      <c r="AK3911">
        <v>63.962872431675699</v>
      </c>
      <c r="AL3911">
        <v>78.955513731704897</v>
      </c>
      <c r="AM3911">
        <v>89.015741699665597</v>
      </c>
      <c r="AN3911">
        <v>0.99999997703531096</v>
      </c>
    </row>
    <row r="3912" spans="1:40" x14ac:dyDescent="0.25">
      <c r="A3912" t="str">
        <f>"20190304155710683"</f>
        <v>20190304155710683</v>
      </c>
      <c r="B3912" t="str">
        <f>"1551686230678137"</f>
        <v>1551686230678137</v>
      </c>
      <c r="C3912" t="s">
        <v>40</v>
      </c>
      <c r="D3912">
        <v>4.2837509999999996</v>
      </c>
      <c r="E3912">
        <v>0.53241619999999901</v>
      </c>
      <c r="F3912" t="s">
        <v>69</v>
      </c>
      <c r="G3912">
        <v>-169.39259999999999</v>
      </c>
      <c r="H3912">
        <v>0.48370170000000001</v>
      </c>
      <c r="I3912">
        <v>208.62649999999999</v>
      </c>
      <c r="J3912">
        <v>-232.81280000000001</v>
      </c>
      <c r="K3912">
        <v>1.1102479999999999</v>
      </c>
      <c r="L3912">
        <v>214.82689999999999</v>
      </c>
      <c r="M3912">
        <v>0.99984189999999995</v>
      </c>
      <c r="N3912">
        <v>-1.4492329999999999E-2</v>
      </c>
      <c r="O3912">
        <v>1.0316260000000001E-2</v>
      </c>
      <c r="P3912">
        <v>0.98408819999999997</v>
      </c>
      <c r="Q3912">
        <v>0.17754239999999999</v>
      </c>
      <c r="R3912">
        <v>-7.0199679999999997E-3</v>
      </c>
      <c r="S3912">
        <v>3.051758</v>
      </c>
      <c r="T3912">
        <v>-3.003144E-2</v>
      </c>
      <c r="U3912">
        <v>-0.29708859999999998</v>
      </c>
      <c r="V3912">
        <v>1.7180150000000002E-2</v>
      </c>
      <c r="W3912">
        <v>0.19178310000000001</v>
      </c>
      <c r="X3912">
        <v>0.98128689999999996</v>
      </c>
      <c r="Y3912">
        <v>0.10714269999999999</v>
      </c>
      <c r="Z3912">
        <v>-1.256358E-3</v>
      </c>
      <c r="AA3912">
        <v>0.99424279999999998</v>
      </c>
      <c r="AB3912">
        <v>33</v>
      </c>
      <c r="AC3912">
        <v>63.420200000000001</v>
      </c>
      <c r="AD3912">
        <v>-0.6265463</v>
      </c>
      <c r="AE3912">
        <v>-6.2004000000000001</v>
      </c>
      <c r="AF3912">
        <v>6.8537352878878304</v>
      </c>
      <c r="AG3912">
        <v>-0.6265463</v>
      </c>
      <c r="AH3912">
        <v>63.346728677261098</v>
      </c>
      <c r="AI3912">
        <v>90.563391723467404</v>
      </c>
      <c r="AJ3912">
        <v>83.824961161751702</v>
      </c>
      <c r="AK3912">
        <v>63.719496873194302</v>
      </c>
      <c r="AL3912">
        <v>78.943137217390301</v>
      </c>
      <c r="AM3912">
        <v>88.996980872921895</v>
      </c>
      <c r="AN3912">
        <v>0.99999994755561905</v>
      </c>
    </row>
    <row r="3913" spans="1:40" x14ac:dyDescent="0.25">
      <c r="A3913" t="str">
        <f>"20190304155710705"</f>
        <v>20190304155710705</v>
      </c>
      <c r="B3913" t="str">
        <f>"1551686230698632"</f>
        <v>1551686230698632</v>
      </c>
      <c r="C3913" t="s">
        <v>40</v>
      </c>
      <c r="D3913">
        <v>4.3066979999999999</v>
      </c>
      <c r="E3913">
        <v>0.53264959999999995</v>
      </c>
      <c r="F3913" t="s">
        <v>69</v>
      </c>
      <c r="G3913">
        <v>-169.39259999999999</v>
      </c>
      <c r="H3913">
        <v>0.50362399999999996</v>
      </c>
      <c r="I3913">
        <v>208.6086</v>
      </c>
      <c r="J3913">
        <v>-232.47749999999999</v>
      </c>
      <c r="K3913">
        <v>1.1102590000000001</v>
      </c>
      <c r="L3913">
        <v>214.83029999999999</v>
      </c>
      <c r="M3913">
        <v>0.99984189999999995</v>
      </c>
      <c r="N3913">
        <v>-1.4491850000000001E-2</v>
      </c>
      <c r="O3913">
        <v>1.0316270000000001E-2</v>
      </c>
      <c r="P3913">
        <v>0.9840103</v>
      </c>
      <c r="Q3913">
        <v>0.17797109999999999</v>
      </c>
      <c r="R3913">
        <v>-7.1037879999999998E-3</v>
      </c>
      <c r="S3913">
        <v>3.0516359999999998</v>
      </c>
      <c r="T3913">
        <v>-2.9187680000000001E-2</v>
      </c>
      <c r="U3913">
        <v>-0.29920960000000002</v>
      </c>
      <c r="V3913">
        <v>1.7263170000000001E-2</v>
      </c>
      <c r="W3913">
        <v>0.19220989999999999</v>
      </c>
      <c r="X3913">
        <v>0.98120200000000002</v>
      </c>
      <c r="Y3913">
        <v>0.10783139999999899</v>
      </c>
      <c r="Z3913">
        <v>-1.2470370000000001E-3</v>
      </c>
      <c r="AA3913">
        <v>0.99416839999999995</v>
      </c>
      <c r="AB3913">
        <v>33</v>
      </c>
      <c r="AC3913">
        <v>63.084899999999998</v>
      </c>
      <c r="AD3913">
        <v>-0.60663500000000004</v>
      </c>
      <c r="AE3913">
        <v>-6.2216999999999896</v>
      </c>
      <c r="AF3913">
        <v>6.8716086715247098</v>
      </c>
      <c r="AG3913">
        <v>-0.60663500000000004</v>
      </c>
      <c r="AH3913">
        <v>63.011580223102698</v>
      </c>
      <c r="AI3913">
        <v>90.548339156377693</v>
      </c>
      <c r="AJ3913">
        <v>83.776311307712405</v>
      </c>
      <c r="AK3913">
        <v>63.388060815663898</v>
      </c>
      <c r="AL3913">
        <v>78.918220546717606</v>
      </c>
      <c r="AM3913">
        <v>88.992047770820704</v>
      </c>
      <c r="AN3913">
        <v>1.0000000137502201</v>
      </c>
    </row>
    <row r="3914" spans="1:40" x14ac:dyDescent="0.25">
      <c r="A3914" t="str">
        <f>"20190304155710727"</f>
        <v>20190304155710727</v>
      </c>
      <c r="B3914" t="str">
        <f>"1551686230718153"</f>
        <v>1551686230718153</v>
      </c>
      <c r="C3914" t="s">
        <v>40</v>
      </c>
      <c r="D3914">
        <v>4.3020300000000002</v>
      </c>
      <c r="E3914">
        <v>0.53292669999999998</v>
      </c>
      <c r="F3914" t="s">
        <v>69</v>
      </c>
      <c r="G3914">
        <v>-169.39259999999999</v>
      </c>
      <c r="H3914">
        <v>0.53439329999999996</v>
      </c>
      <c r="I3914">
        <v>208.60419999999999</v>
      </c>
      <c r="J3914">
        <v>-232.1439</v>
      </c>
      <c r="K3914">
        <v>1.11026</v>
      </c>
      <c r="L3914">
        <v>214.83369999999999</v>
      </c>
      <c r="M3914">
        <v>0.99984189999999995</v>
      </c>
      <c r="N3914">
        <v>-1.4490940000000001E-2</v>
      </c>
      <c r="O3914">
        <v>1.031645E-2</v>
      </c>
      <c r="P3914">
        <v>0.98393920000000001</v>
      </c>
      <c r="Q3914">
        <v>0.17834229999999901</v>
      </c>
      <c r="R3914">
        <v>-7.6235119999999998E-3</v>
      </c>
      <c r="S3914">
        <v>3.0516049999999999</v>
      </c>
      <c r="T3914">
        <v>-2.785456E-2</v>
      </c>
      <c r="U3914">
        <v>-0.301178</v>
      </c>
      <c r="V3914">
        <v>1.7782320000000001E-2</v>
      </c>
      <c r="W3914">
        <v>0.1925791</v>
      </c>
      <c r="X3914">
        <v>0.98112029999999995</v>
      </c>
      <c r="Y3914">
        <v>0.10846840000000001</v>
      </c>
      <c r="Z3914">
        <v>-1.226546E-3</v>
      </c>
      <c r="AA3914">
        <v>0.99409910000000001</v>
      </c>
      <c r="AB3914">
        <v>33</v>
      </c>
      <c r="AC3914">
        <v>62.751300000000001</v>
      </c>
      <c r="AD3914">
        <v>-0.57586669999999995</v>
      </c>
      <c r="AE3914">
        <v>-6.2294999999999998</v>
      </c>
      <c r="AF3914">
        <v>6.8760335466615601</v>
      </c>
      <c r="AG3914">
        <v>-0.57586669999999995</v>
      </c>
      <c r="AH3914">
        <v>62.678459798007701</v>
      </c>
      <c r="AI3914">
        <v>90.523258729032193</v>
      </c>
      <c r="AJ3914">
        <v>83.739498772623506</v>
      </c>
      <c r="AK3914">
        <v>63.057123169721699</v>
      </c>
      <c r="AL3914">
        <v>78.896663864067094</v>
      </c>
      <c r="AM3914">
        <v>88.961656032967497</v>
      </c>
      <c r="AN3914">
        <v>0.99999998186674099</v>
      </c>
    </row>
    <row r="3915" spans="1:40" x14ac:dyDescent="0.25">
      <c r="A3915" t="str">
        <f>"20190304155710749"</f>
        <v>20190304155710749</v>
      </c>
      <c r="B3915" t="str">
        <f>"1551686230738648"</f>
        <v>1551686230738648</v>
      </c>
      <c r="C3915" t="s">
        <v>40</v>
      </c>
      <c r="D3915">
        <v>4.3284200000000004</v>
      </c>
      <c r="E3915">
        <v>0.5148684</v>
      </c>
      <c r="F3915" t="s">
        <v>69</v>
      </c>
      <c r="G3915">
        <v>-169.39259999999999</v>
      </c>
      <c r="H3915">
        <v>0.56029130000000005</v>
      </c>
      <c r="I3915">
        <v>208.57490000000001</v>
      </c>
      <c r="J3915">
        <v>-231.82570000000001</v>
      </c>
      <c r="K3915">
        <v>1.1102609999999999</v>
      </c>
      <c r="L3915">
        <v>214.83699999999999</v>
      </c>
      <c r="M3915">
        <v>0.99984189999999995</v>
      </c>
      <c r="N3915">
        <v>-1.4489739999999999E-2</v>
      </c>
      <c r="O3915">
        <v>1.031646E-2</v>
      </c>
      <c r="P3915">
        <v>0.98396470000000003</v>
      </c>
      <c r="Q3915">
        <v>0.17819579999999999</v>
      </c>
      <c r="R3915">
        <v>-7.780426E-3</v>
      </c>
      <c r="S3915">
        <v>3.051453</v>
      </c>
      <c r="T3915">
        <v>-2.6741979999999999E-2</v>
      </c>
      <c r="U3915">
        <v>-0.30435180000000001</v>
      </c>
      <c r="V3915">
        <v>1.7939400000000001E-2</v>
      </c>
      <c r="W3915">
        <v>0.19243170000000001</v>
      </c>
      <c r="X3915">
        <v>0.98114639999999997</v>
      </c>
      <c r="Y3915">
        <v>0.1094976</v>
      </c>
      <c r="Z3915">
        <v>-1.2150349999999999E-3</v>
      </c>
      <c r="AA3915">
        <v>0.99398629999999999</v>
      </c>
      <c r="AB3915">
        <v>33</v>
      </c>
      <c r="AC3915">
        <v>62.433100000000003</v>
      </c>
      <c r="AD3915">
        <v>-0.54996970000000001</v>
      </c>
      <c r="AE3915">
        <v>-6.2621000000000002</v>
      </c>
      <c r="AF3915">
        <v>6.9053923183025603</v>
      </c>
      <c r="AG3915">
        <v>-0.54996970000000001</v>
      </c>
      <c r="AH3915">
        <v>62.360376564867003</v>
      </c>
      <c r="AI3915">
        <v>90.502221255278499</v>
      </c>
      <c r="AJ3915">
        <v>83.681172136863395</v>
      </c>
      <c r="AK3915">
        <v>62.743951700961603</v>
      </c>
      <c r="AL3915">
        <v>78.905270661934594</v>
      </c>
      <c r="AM3915">
        <v>88.952513722840195</v>
      </c>
      <c r="AN3915">
        <v>1.0000000197351</v>
      </c>
    </row>
    <row r="3916" spans="1:40" x14ac:dyDescent="0.25">
      <c r="A3916" t="str">
        <f>"20190304155710771"</f>
        <v>20190304155710771</v>
      </c>
      <c r="B3916" t="str">
        <f>"1551686230768904"</f>
        <v>1551686230768904</v>
      </c>
      <c r="C3916" t="s">
        <v>40</v>
      </c>
      <c r="D3916">
        <v>4.3022650000000002</v>
      </c>
      <c r="E3916">
        <v>0.50798940000000004</v>
      </c>
      <c r="F3916" t="s">
        <v>53</v>
      </c>
      <c r="G3916">
        <v>-179.9573</v>
      </c>
      <c r="H3916">
        <v>5.0446530000000003E-2</v>
      </c>
      <c r="I3916">
        <v>212.08770000000001</v>
      </c>
      <c r="J3916">
        <v>-231.50729999999999</v>
      </c>
      <c r="K3916">
        <v>1.1102590000000001</v>
      </c>
      <c r="L3916">
        <v>214.84030000000001</v>
      </c>
      <c r="M3916">
        <v>0.99984189999999995</v>
      </c>
      <c r="N3916">
        <v>-1.448822E-2</v>
      </c>
      <c r="O3916">
        <v>1.031665E-2</v>
      </c>
      <c r="P3916">
        <v>0.98401760000000005</v>
      </c>
      <c r="Q3916">
        <v>0.1779144</v>
      </c>
      <c r="R3916">
        <v>-7.4907469999999999E-3</v>
      </c>
      <c r="S3916">
        <v>3.058929</v>
      </c>
      <c r="T3916">
        <v>-6.2502379999999996E-2</v>
      </c>
      <c r="U3916">
        <v>-0.162139899999999</v>
      </c>
      <c r="V3916">
        <v>1.7650599999999898E-2</v>
      </c>
      <c r="W3916">
        <v>0.19214999999999999</v>
      </c>
      <c r="X3916">
        <v>0.98120680000000005</v>
      </c>
      <c r="Y3916">
        <v>6.3208899999999998E-2</v>
      </c>
      <c r="Z3916">
        <v>-1.1648439999999999E-3</v>
      </c>
      <c r="AA3916">
        <v>0.99799970000000005</v>
      </c>
      <c r="AB3916">
        <v>33</v>
      </c>
      <c r="AC3916">
        <v>51.549999999999898</v>
      </c>
      <c r="AD3916">
        <v>-1.05981247</v>
      </c>
      <c r="AE3916">
        <v>-2.7526000000000002</v>
      </c>
      <c r="AF3916">
        <v>3.2829489136639101</v>
      </c>
      <c r="AG3916">
        <v>-1.05981247</v>
      </c>
      <c r="AH3916">
        <v>51.497151063237197</v>
      </c>
      <c r="AI3916">
        <v>91.1765941522643</v>
      </c>
      <c r="AJ3916">
        <v>86.352324033314005</v>
      </c>
      <c r="AK3916">
        <v>51.612571372400801</v>
      </c>
      <c r="AL3916">
        <v>78.9217173211714</v>
      </c>
      <c r="AM3916">
        <v>88.969436592123301</v>
      </c>
      <c r="AN3916">
        <v>0.99999997527329898</v>
      </c>
    </row>
    <row r="3917" spans="1:40" x14ac:dyDescent="0.25">
      <c r="A3917" t="str">
        <f>"20190304155710790"</f>
        <v>20190304155710790</v>
      </c>
      <c r="B3917" t="str">
        <f>"1551686230788424"</f>
        <v>1551686230788424</v>
      </c>
      <c r="C3917" t="s">
        <v>40</v>
      </c>
      <c r="D3917">
        <v>4.3522400000000001</v>
      </c>
      <c r="E3917">
        <v>0.50667459999999997</v>
      </c>
      <c r="F3917" t="s">
        <v>53</v>
      </c>
      <c r="G3917">
        <v>-179.94220000000001</v>
      </c>
      <c r="H3917">
        <v>6.5562179999999998E-2</v>
      </c>
      <c r="I3917">
        <v>213.0419</v>
      </c>
      <c r="J3917">
        <v>-231.2199</v>
      </c>
      <c r="K3917">
        <v>1.110263</v>
      </c>
      <c r="L3917">
        <v>214.8433</v>
      </c>
      <c r="M3917">
        <v>0.99984200000000001</v>
      </c>
      <c r="N3917">
        <v>-1.448666E-2</v>
      </c>
      <c r="O3917">
        <v>1.031666E-2</v>
      </c>
      <c r="P3917">
        <v>0.98406740000000004</v>
      </c>
      <c r="Q3917">
        <v>0.1776431</v>
      </c>
      <c r="R3917">
        <v>-7.3935769999999897E-3</v>
      </c>
      <c r="S3917">
        <v>3.059113</v>
      </c>
      <c r="T3917">
        <v>-6.1976789999999997E-2</v>
      </c>
      <c r="U3917">
        <v>-0.10668950000000001</v>
      </c>
      <c r="V3917">
        <v>1.7554009999999998E-2</v>
      </c>
      <c r="W3917">
        <v>0.19187770000000001</v>
      </c>
      <c r="X3917">
        <v>0.98126179999999996</v>
      </c>
      <c r="Y3917">
        <v>4.514833E-2</v>
      </c>
      <c r="Z3917">
        <v>-8.438861E-4</v>
      </c>
      <c r="AA3917">
        <v>0.99897990000000003</v>
      </c>
      <c r="AB3917">
        <v>33</v>
      </c>
      <c r="AC3917">
        <v>51.277699999999903</v>
      </c>
      <c r="AD3917">
        <v>-1.0447008200000001</v>
      </c>
      <c r="AE3917">
        <v>-1.8013999999999999</v>
      </c>
      <c r="AF3917">
        <v>2.32940845527897</v>
      </c>
      <c r="AG3917">
        <v>-1.0447008200000001</v>
      </c>
      <c r="AH3917">
        <v>51.235143920026097</v>
      </c>
      <c r="AI3917">
        <v>91.166912142116999</v>
      </c>
      <c r="AJ3917">
        <v>87.396837088707699</v>
      </c>
      <c r="AK3917">
        <v>51.2987087172828</v>
      </c>
      <c r="AL3917">
        <v>78.937614580670598</v>
      </c>
      <c r="AM3917">
        <v>88.975132409324303</v>
      </c>
      <c r="AN3917">
        <v>0.99999995758180404</v>
      </c>
    </row>
    <row r="3918" spans="1:40" x14ac:dyDescent="0.25">
      <c r="A3918" t="str">
        <f>"20190304155710804"</f>
        <v>20190304155710804</v>
      </c>
      <c r="B3918" t="str">
        <f>"1551686230798185"</f>
        <v>1551686230798185</v>
      </c>
      <c r="C3918" t="s">
        <v>40</v>
      </c>
      <c r="D3918">
        <v>4.3307890000000002</v>
      </c>
      <c r="E3918">
        <v>0.50625169999999997</v>
      </c>
      <c r="F3918" t="s">
        <v>53</v>
      </c>
      <c r="G3918">
        <v>-179.95769999999999</v>
      </c>
      <c r="H3918">
        <v>3.8622070000000001E-2</v>
      </c>
      <c r="I3918">
        <v>213.2397</v>
      </c>
      <c r="J3918">
        <v>-231.011</v>
      </c>
      <c r="K3918">
        <v>1.110258</v>
      </c>
      <c r="L3918">
        <v>214.84540000000001</v>
      </c>
      <c r="M3918">
        <v>0.99984200000000001</v>
      </c>
      <c r="N3918">
        <v>-1.44856E-2</v>
      </c>
      <c r="O3918">
        <v>1.031667E-2</v>
      </c>
      <c r="P3918">
        <v>0.98408549999999995</v>
      </c>
      <c r="Q3918">
        <v>0.177563</v>
      </c>
      <c r="R3918">
        <v>-6.8920669999999896E-3</v>
      </c>
      <c r="S3918">
        <v>3.059418</v>
      </c>
      <c r="T3918">
        <v>-6.3957449999999999E-2</v>
      </c>
      <c r="U3918">
        <v>-9.5703129999999997E-2</v>
      </c>
      <c r="V3918">
        <v>1.7052749999999998E-2</v>
      </c>
      <c r="W3918">
        <v>0.1917972</v>
      </c>
      <c r="X3918">
        <v>0.9812864</v>
      </c>
      <c r="Y3918">
        <v>4.156166E-2</v>
      </c>
      <c r="Z3918">
        <v>-8.0163469999999998E-4</v>
      </c>
      <c r="AA3918">
        <v>0.99913560000000001</v>
      </c>
      <c r="AB3918">
        <v>33</v>
      </c>
      <c r="AC3918">
        <v>51.0533</v>
      </c>
      <c r="AD3918">
        <v>-1.07163593</v>
      </c>
      <c r="AE3918">
        <v>-1.6057000000000099</v>
      </c>
      <c r="AF3918">
        <v>2.1314315835419801</v>
      </c>
      <c r="AG3918">
        <v>-1.07163593</v>
      </c>
      <c r="AH3918">
        <v>51.011561642733298</v>
      </c>
      <c r="AI3918">
        <v>91.202427057262298</v>
      </c>
      <c r="AJ3918">
        <v>87.607384761682297</v>
      </c>
      <c r="AK3918">
        <v>51.067316606535798</v>
      </c>
      <c r="AL3918">
        <v>78.942314434912404</v>
      </c>
      <c r="AM3918">
        <v>89.004416786304404</v>
      </c>
      <c r="AN3918">
        <v>0.99999998051768102</v>
      </c>
    </row>
    <row r="3919" spans="1:40" x14ac:dyDescent="0.25">
      <c r="A3919" t="str">
        <f>"20190304155710828"</f>
        <v>20190304155710828</v>
      </c>
      <c r="B3919" t="str">
        <f>"1551686230818680"</f>
        <v>1551686230818680</v>
      </c>
      <c r="C3919" t="s">
        <v>40</v>
      </c>
      <c r="D3919">
        <v>4.3578159999999997</v>
      </c>
      <c r="E3919">
        <v>0.50565059999999995</v>
      </c>
      <c r="F3919" t="s">
        <v>53</v>
      </c>
      <c r="G3919">
        <v>-179.95769999999999</v>
      </c>
      <c r="H3919">
        <v>3.9895020000000003E-2</v>
      </c>
      <c r="I3919">
        <v>213.33369999999999</v>
      </c>
      <c r="J3919">
        <v>-230.67869999999999</v>
      </c>
      <c r="K3919">
        <v>1.110257</v>
      </c>
      <c r="L3919">
        <v>214.84880000000001</v>
      </c>
      <c r="M3919">
        <v>0.99984189999999995</v>
      </c>
      <c r="N3919">
        <v>-1.4483569999999999E-2</v>
      </c>
      <c r="O3919">
        <v>1.031704E-2</v>
      </c>
      <c r="P3919">
        <v>0.98414009999999996</v>
      </c>
      <c r="Q3919">
        <v>0.17727270000000001</v>
      </c>
      <c r="R3919">
        <v>-6.5539980000000001E-3</v>
      </c>
      <c r="S3919">
        <v>3.0594790000000001</v>
      </c>
      <c r="T3919">
        <v>-6.4143899999999907E-2</v>
      </c>
      <c r="U3919">
        <v>-9.0591430000000001E-2</v>
      </c>
      <c r="V3919">
        <v>1.6715509999999999E-2</v>
      </c>
      <c r="W3919">
        <v>0.1915056</v>
      </c>
      <c r="X3919">
        <v>0.98134920000000003</v>
      </c>
      <c r="Y3919">
        <v>3.9894110000000003E-2</v>
      </c>
      <c r="Z3919">
        <v>-7.7394529999999897E-4</v>
      </c>
      <c r="AA3919">
        <v>0.99920359999999997</v>
      </c>
      <c r="AB3919">
        <v>33</v>
      </c>
      <c r="AC3919">
        <v>50.720999999999997</v>
      </c>
      <c r="AD3919">
        <v>-1.0703619799999999</v>
      </c>
      <c r="AE3919">
        <v>-1.5151000000000101</v>
      </c>
      <c r="AF3919">
        <v>2.0374582763313902</v>
      </c>
      <c r="AG3919">
        <v>-1.0703619799999999</v>
      </c>
      <c r="AH3919">
        <v>50.680117517600799</v>
      </c>
      <c r="AI3919">
        <v>91.208928348212595</v>
      </c>
      <c r="AJ3919">
        <v>87.697816515686</v>
      </c>
      <c r="AK3919">
        <v>50.732348877159701</v>
      </c>
      <c r="AL3919">
        <v>78.959337966735802</v>
      </c>
      <c r="AM3919">
        <v>89.024164314040405</v>
      </c>
      <c r="AN3919">
        <v>1.0000000277232699</v>
      </c>
    </row>
    <row r="3920" spans="1:40" x14ac:dyDescent="0.25">
      <c r="A3920" t="str">
        <f>"20190304155710849"</f>
        <v>20190304155710849</v>
      </c>
      <c r="B3920" t="str">
        <f>"1551686230838201"</f>
        <v>1551686230838201</v>
      </c>
      <c r="C3920" t="s">
        <v>40</v>
      </c>
      <c r="D3920">
        <v>4.3501770000000004</v>
      </c>
      <c r="E3920">
        <v>0.50540299999999905</v>
      </c>
      <c r="F3920" t="s">
        <v>53</v>
      </c>
      <c r="G3920">
        <v>-179.95769999999999</v>
      </c>
      <c r="H3920">
        <v>1.0354789999999999E-2</v>
      </c>
      <c r="I3920">
        <v>213.4496</v>
      </c>
      <c r="J3920">
        <v>-230.35220000000001</v>
      </c>
      <c r="K3920">
        <v>1.1102559999999999</v>
      </c>
      <c r="L3920">
        <v>214.85220000000001</v>
      </c>
      <c r="M3920">
        <v>0.99984200000000001</v>
      </c>
      <c r="N3920">
        <v>-1.448109E-2</v>
      </c>
      <c r="O3920">
        <v>1.0314179999999999E-2</v>
      </c>
      <c r="P3920">
        <v>0.98418939999999999</v>
      </c>
      <c r="Q3920">
        <v>0.17701220000000001</v>
      </c>
      <c r="R3920">
        <v>-6.1483800000000002E-3</v>
      </c>
      <c r="S3920">
        <v>3.059723</v>
      </c>
      <c r="T3920">
        <v>-6.6351179999999996E-2</v>
      </c>
      <c r="U3920">
        <v>-8.4411620000000007E-2</v>
      </c>
      <c r="V3920">
        <v>1.6308340000000001E-2</v>
      </c>
      <c r="W3920">
        <v>0.19124350000000001</v>
      </c>
      <c r="X3920">
        <v>0.98140709999999998</v>
      </c>
      <c r="Y3920">
        <v>3.787227E-2</v>
      </c>
      <c r="Z3920">
        <v>-7.5911849999999999E-4</v>
      </c>
      <c r="AA3920">
        <v>0.99928229999999996</v>
      </c>
      <c r="AB3920">
        <v>33</v>
      </c>
      <c r="AC3920">
        <v>50.394500000000001</v>
      </c>
      <c r="AD3920">
        <v>-1.0999012100000001</v>
      </c>
      <c r="AE3920">
        <v>-1.4026000000000001</v>
      </c>
      <c r="AF3920">
        <v>1.9214431974755499</v>
      </c>
      <c r="AG3920">
        <v>-1.0999012100000001</v>
      </c>
      <c r="AH3920">
        <v>50.353382549443701</v>
      </c>
      <c r="AI3920">
        <v>91.2504396611684</v>
      </c>
      <c r="AJ3920">
        <v>87.814700984481803</v>
      </c>
      <c r="AK3920">
        <v>50.402032308266101</v>
      </c>
      <c r="AL3920">
        <v>78.974637302141204</v>
      </c>
      <c r="AM3920">
        <v>89.047986243001006</v>
      </c>
      <c r="AN3920">
        <v>0.99999996708810701</v>
      </c>
    </row>
    <row r="3921" spans="1:40" x14ac:dyDescent="0.25">
      <c r="A3921" t="str">
        <f>"20190304155710869"</f>
        <v>20190304155710869</v>
      </c>
      <c r="B3921" t="str">
        <f>"1551686230858697"</f>
        <v>1551686230858697</v>
      </c>
      <c r="C3921" t="s">
        <v>40</v>
      </c>
      <c r="D3921">
        <v>4.3821089999999998</v>
      </c>
      <c r="E3921">
        <v>0.5051194</v>
      </c>
      <c r="F3921" t="s">
        <v>53</v>
      </c>
      <c r="G3921">
        <v>-180.83070000000001</v>
      </c>
      <c r="H3921" s="1">
        <v>2.4467429999999999E-6</v>
      </c>
      <c r="I3921">
        <v>213.54519999999999</v>
      </c>
      <c r="J3921">
        <v>-230.06950000000001</v>
      </c>
      <c r="K3921">
        <v>1.1102529999999999</v>
      </c>
      <c r="L3921">
        <v>214.85509999999999</v>
      </c>
      <c r="M3921">
        <v>0.99984220000000001</v>
      </c>
      <c r="N3921">
        <v>-1.4478710000000001E-2</v>
      </c>
      <c r="O3921">
        <v>1.030471E-2</v>
      </c>
      <c r="P3921">
        <v>0.98421769999999997</v>
      </c>
      <c r="Q3921">
        <v>0.17685699999999999</v>
      </c>
      <c r="R3921">
        <v>-6.1173529999999999E-3</v>
      </c>
      <c r="S3921">
        <v>3.060028</v>
      </c>
      <c r="T3921">
        <v>-6.8604709999999999E-2</v>
      </c>
      <c r="U3921">
        <v>-8.076477E-2</v>
      </c>
      <c r="V3921">
        <v>1.627021E-2</v>
      </c>
      <c r="W3921">
        <v>0.19108629999999999</v>
      </c>
      <c r="X3921">
        <v>0.98143840000000004</v>
      </c>
      <c r="Y3921">
        <v>3.6669590000000002E-2</v>
      </c>
      <c r="Z3921">
        <v>-7.5830789999999895E-4</v>
      </c>
      <c r="AA3921">
        <v>0.99932719999999997</v>
      </c>
      <c r="AB3921">
        <v>33</v>
      </c>
      <c r="AC3921">
        <v>49.238799999999998</v>
      </c>
      <c r="AD3921">
        <v>-1.110250553257</v>
      </c>
      <c r="AE3921">
        <v>-1.3098999999999901</v>
      </c>
      <c r="AF3921">
        <v>1.81635229414318</v>
      </c>
      <c r="AG3921">
        <v>-1.110250553257</v>
      </c>
      <c r="AH3921">
        <v>49.197689912744202</v>
      </c>
      <c r="AI3921">
        <v>91.291901882097306</v>
      </c>
      <c r="AJ3921">
        <v>87.885630898582605</v>
      </c>
      <c r="AK3921">
        <v>49.243725333264301</v>
      </c>
      <c r="AL3921">
        <v>78.983813942085504</v>
      </c>
      <c r="AM3921">
        <v>89.0502419922814</v>
      </c>
      <c r="AN3921">
        <v>1.0000000133878399</v>
      </c>
    </row>
    <row r="3922" spans="1:40" x14ac:dyDescent="0.25">
      <c r="A3922" t="str">
        <f>"20190304155710883"</f>
        <v>20190304155710883</v>
      </c>
      <c r="B3922" t="str">
        <f>"1551686230878216"</f>
        <v>1551686230878216</v>
      </c>
      <c r="C3922" t="s">
        <v>40</v>
      </c>
      <c r="D3922">
        <v>4.3724589999999903</v>
      </c>
      <c r="E3922">
        <v>0.5051293</v>
      </c>
      <c r="F3922" t="s">
        <v>53</v>
      </c>
      <c r="G3922">
        <v>-181.27430000000001</v>
      </c>
      <c r="H3922" s="1">
        <v>2.5201989999999998E-6</v>
      </c>
      <c r="I3922">
        <v>213.60499999999999</v>
      </c>
      <c r="J3922">
        <v>-229.86699999999999</v>
      </c>
      <c r="K3922">
        <v>1.1102529999999999</v>
      </c>
      <c r="L3922">
        <v>214.85720000000001</v>
      </c>
      <c r="M3922">
        <v>0.99984229999999996</v>
      </c>
      <c r="N3922">
        <v>-1.4476940000000001E-2</v>
      </c>
      <c r="O3922">
        <v>1.029242E-2</v>
      </c>
      <c r="P3922">
        <v>0.98422290000000001</v>
      </c>
      <c r="Q3922">
        <v>0.17682679999999901</v>
      </c>
      <c r="R3922">
        <v>-6.1794390000000001E-3</v>
      </c>
      <c r="S3922">
        <v>3.060165</v>
      </c>
      <c r="T3922">
        <v>-6.9628830000000003E-2</v>
      </c>
      <c r="U3922">
        <v>-7.8399659999999996E-2</v>
      </c>
      <c r="V3922">
        <v>1.632221E-2</v>
      </c>
      <c r="W3922">
        <v>0.19105440000000001</v>
      </c>
      <c r="X3922">
        <v>0.98144370000000003</v>
      </c>
      <c r="Y3922">
        <v>3.5884230000000003E-2</v>
      </c>
      <c r="Z3922">
        <v>-7.531266E-4</v>
      </c>
      <c r="AA3922">
        <v>0.99935569999999896</v>
      </c>
      <c r="AB3922">
        <v>33</v>
      </c>
      <c r="AC3922">
        <v>48.592700000000001</v>
      </c>
      <c r="AD3922">
        <v>-1.110250479801</v>
      </c>
      <c r="AE3922">
        <v>-1.25220000000001</v>
      </c>
      <c r="AF3922">
        <v>1.7514088287832399</v>
      </c>
      <c r="AG3922">
        <v>-1.110250479801</v>
      </c>
      <c r="AH3922">
        <v>48.551907077236301</v>
      </c>
      <c r="AI3922">
        <v>91.309119658217597</v>
      </c>
      <c r="AJ3922">
        <v>87.934069991955994</v>
      </c>
      <c r="AK3922">
        <v>48.5961703208188</v>
      </c>
      <c r="AL3922">
        <v>78.985675468876295</v>
      </c>
      <c r="AM3922">
        <v>89.047212244839898</v>
      </c>
      <c r="AN3922">
        <v>0.99999996728416596</v>
      </c>
    </row>
    <row r="3923" spans="1:40" x14ac:dyDescent="0.25">
      <c r="A3923" t="str">
        <f>"20190304155710905"</f>
        <v>20190304155710905</v>
      </c>
      <c r="B3923" t="str">
        <f>"1551686230898713"</f>
        <v>1551686230898713</v>
      </c>
      <c r="C3923" t="s">
        <v>40</v>
      </c>
      <c r="D3923">
        <v>4.3744870000000002</v>
      </c>
      <c r="E3923">
        <v>0.50512239999999997</v>
      </c>
      <c r="F3923" t="s">
        <v>53</v>
      </c>
      <c r="G3923">
        <v>-181.4727</v>
      </c>
      <c r="H3923" s="1">
        <v>2.5546460000000001E-6</v>
      </c>
      <c r="I3923">
        <v>213.61349999999999</v>
      </c>
      <c r="J3923">
        <v>-229.53819999999999</v>
      </c>
      <c r="K3923">
        <v>1.1102399999999999</v>
      </c>
      <c r="L3923">
        <v>214.86060000000001</v>
      </c>
      <c r="M3923">
        <v>0.99984260000000003</v>
      </c>
      <c r="N3923">
        <v>-1.4474020000000001E-2</v>
      </c>
      <c r="O3923">
        <v>1.0263889999999999E-2</v>
      </c>
      <c r="P3923">
        <v>0.98417189999999999</v>
      </c>
      <c r="Q3923">
        <v>0.17712039999999901</v>
      </c>
      <c r="R3923">
        <v>-5.8800839999999998E-3</v>
      </c>
      <c r="S3923">
        <v>3.0601959999999999</v>
      </c>
      <c r="T3923">
        <v>-7.0206169999999998E-2</v>
      </c>
      <c r="U3923">
        <v>-7.86438E-2</v>
      </c>
      <c r="V3923">
        <v>1.5998950000000001E-2</v>
      </c>
      <c r="W3923">
        <v>0.19134370000000001</v>
      </c>
      <c r="X3923">
        <v>0.98139270000000001</v>
      </c>
      <c r="Y3923">
        <v>3.5934899999999999E-2</v>
      </c>
      <c r="Z3923">
        <v>-7.5912889999999995E-4</v>
      </c>
      <c r="AA3923">
        <v>0.99935379999999996</v>
      </c>
      <c r="AB3923">
        <v>33</v>
      </c>
      <c r="AC3923">
        <v>48.065499999999901</v>
      </c>
      <c r="AD3923">
        <v>-1.11023744535399</v>
      </c>
      <c r="AE3923">
        <v>-1.2471000000000101</v>
      </c>
      <c r="AF3923">
        <v>1.7394975049703001</v>
      </c>
      <c r="AG3923">
        <v>-1.11023744535399</v>
      </c>
      <c r="AH3923">
        <v>48.0245605180301</v>
      </c>
      <c r="AI3923">
        <v>91.323467107535805</v>
      </c>
      <c r="AJ3923">
        <v>87.925596552841895</v>
      </c>
      <c r="AK3923">
        <v>48.068876538825002</v>
      </c>
      <c r="AL3923">
        <v>78.968788670485495</v>
      </c>
      <c r="AM3923">
        <v>89.066030226021596</v>
      </c>
      <c r="AN3923">
        <v>1.0000000047720401</v>
      </c>
    </row>
    <row r="3924" spans="1:40" x14ac:dyDescent="0.25">
      <c r="A3924" t="str">
        <f>"20190304155710927"</f>
        <v>20190304155710927</v>
      </c>
      <c r="B3924" t="str">
        <f>"1551686230918233"</f>
        <v>1551686230918233</v>
      </c>
      <c r="C3924" t="s">
        <v>40</v>
      </c>
      <c r="D3924">
        <v>4.381723</v>
      </c>
      <c r="E3924">
        <v>0.50513859999999999</v>
      </c>
      <c r="F3924" t="s">
        <v>53</v>
      </c>
      <c r="G3924">
        <v>-180.65459999999999</v>
      </c>
      <c r="H3924" s="1">
        <v>2.4084830000000001E-6</v>
      </c>
      <c r="I3924">
        <v>213.62559999999999</v>
      </c>
      <c r="J3924">
        <v>-229.2099</v>
      </c>
      <c r="K3924">
        <v>1.110231</v>
      </c>
      <c r="L3924">
        <v>214.8639</v>
      </c>
      <c r="M3924">
        <v>0.99984300000000004</v>
      </c>
      <c r="N3924">
        <v>-1.4470999999999999E-2</v>
      </c>
      <c r="O3924">
        <v>1.0222180000000001E-2</v>
      </c>
      <c r="P3924">
        <v>0.98414769999999896</v>
      </c>
      <c r="Q3924">
        <v>0.17724960000000001</v>
      </c>
      <c r="R3924">
        <v>-6.0061999999999997E-3</v>
      </c>
      <c r="S3924">
        <v>3.060333</v>
      </c>
      <c r="T3924">
        <v>-6.9505929999999994E-2</v>
      </c>
      <c r="U3924">
        <v>-7.7316280000000001E-2</v>
      </c>
      <c r="V3924">
        <v>1.6088930000000001E-2</v>
      </c>
      <c r="W3924">
        <v>0.19146959999999999</v>
      </c>
      <c r="X3924">
        <v>0.98136670000000004</v>
      </c>
      <c r="Y3924">
        <v>3.5459310000000001E-2</v>
      </c>
      <c r="Z3924">
        <v>-7.4343490000000005E-4</v>
      </c>
      <c r="AA3924">
        <v>0.99937089999999995</v>
      </c>
      <c r="AB3924">
        <v>33</v>
      </c>
      <c r="AC3924">
        <v>48.555300000000003</v>
      </c>
      <c r="AD3924">
        <v>-1.110228591517</v>
      </c>
      <c r="AE3924">
        <v>-1.2383</v>
      </c>
      <c r="AF3924">
        <v>1.7337224657611801</v>
      </c>
      <c r="AG3924">
        <v>-1.110228591517</v>
      </c>
      <c r="AH3924">
        <v>48.514755147603097</v>
      </c>
      <c r="AI3924">
        <v>91.310111817899696</v>
      </c>
      <c r="AJ3924">
        <v>87.953349932165196</v>
      </c>
      <c r="AK3924">
        <v>48.558417067956299</v>
      </c>
      <c r="AL3924">
        <v>78.961439536108202</v>
      </c>
      <c r="AM3924">
        <v>89.060753528142101</v>
      </c>
      <c r="AN3924">
        <v>1.0000000306307899</v>
      </c>
    </row>
    <row r="3925" spans="1:40" x14ac:dyDescent="0.25">
      <c r="A3925" t="str">
        <f>"20190304155710951"</f>
        <v>20190304155710951</v>
      </c>
      <c r="B3925" t="str">
        <f>"1551686230948488"</f>
        <v>1551686230948488</v>
      </c>
      <c r="C3925" t="s">
        <v>40</v>
      </c>
      <c r="D3925">
        <v>4.4561440000000001</v>
      </c>
      <c r="E3925">
        <v>0.50506709999999999</v>
      </c>
      <c r="F3925" t="s">
        <v>53</v>
      </c>
      <c r="G3925">
        <v>-180.39500000000001</v>
      </c>
      <c r="H3925" s="1">
        <v>2.3623440000000002E-6</v>
      </c>
      <c r="I3925">
        <v>213.62649999999999</v>
      </c>
      <c r="J3925">
        <v>-228.881</v>
      </c>
      <c r="K3925">
        <v>1.1102289999999999</v>
      </c>
      <c r="L3925">
        <v>214.8672</v>
      </c>
      <c r="M3925">
        <v>0.9998437</v>
      </c>
      <c r="N3925">
        <v>-1.4467870000000001E-2</v>
      </c>
      <c r="O3925">
        <v>1.0164960000000001E-2</v>
      </c>
      <c r="P3925">
        <v>0.98405960000000003</v>
      </c>
      <c r="Q3925">
        <v>0.17773599999999901</v>
      </c>
      <c r="R3925">
        <v>-6.1048020000000003E-3</v>
      </c>
      <c r="S3925">
        <v>3.0603790000000002</v>
      </c>
      <c r="T3925">
        <v>-6.9604159999999998E-2</v>
      </c>
      <c r="U3925">
        <v>-7.7575679999999994E-2</v>
      </c>
      <c r="V3925">
        <v>1.613535E-2</v>
      </c>
      <c r="W3925">
        <v>0.1919507</v>
      </c>
      <c r="X3925">
        <v>0.98127189999999997</v>
      </c>
      <c r="Y3925">
        <v>3.5486339999999998E-2</v>
      </c>
      <c r="Z3925">
        <v>-7.4432830000000004E-4</v>
      </c>
      <c r="AA3925">
        <v>0.99936990000000003</v>
      </c>
      <c r="AB3925">
        <v>33</v>
      </c>
      <c r="AC3925">
        <v>48.485999999999898</v>
      </c>
      <c r="AD3925">
        <v>-1.1102266376559999</v>
      </c>
      <c r="AE3925">
        <v>-1.2406999999999999</v>
      </c>
      <c r="AF3925">
        <v>1.73263786013736</v>
      </c>
      <c r="AG3925">
        <v>-1.1102266376559999</v>
      </c>
      <c r="AH3925">
        <v>48.445497503376501</v>
      </c>
      <c r="AI3925">
        <v>91.311980446467601</v>
      </c>
      <c r="AJ3925">
        <v>87.951707643940694</v>
      </c>
      <c r="AK3925">
        <v>48.489182974051097</v>
      </c>
      <c r="AL3925">
        <v>78.933353033895798</v>
      </c>
      <c r="AM3925">
        <v>89.057953103682806</v>
      </c>
      <c r="AN3925">
        <v>0.999999981239861</v>
      </c>
    </row>
    <row r="3926" spans="1:40" x14ac:dyDescent="0.25">
      <c r="A3926" t="str">
        <f>"20190304155710972"</f>
        <v>20190304155710972</v>
      </c>
      <c r="B3926" t="str">
        <f>"1551686230968985"</f>
        <v>1551686230968985</v>
      </c>
      <c r="C3926" t="s">
        <v>40</v>
      </c>
      <c r="D3926">
        <v>4.4007569999999996</v>
      </c>
      <c r="E3926">
        <v>0.50513160000000001</v>
      </c>
      <c r="F3926" t="s">
        <v>53</v>
      </c>
      <c r="G3926">
        <v>-179.95769999999999</v>
      </c>
      <c r="H3926">
        <v>2.90967E-2</v>
      </c>
      <c r="I3926">
        <v>213.63390000000001</v>
      </c>
      <c r="J3926">
        <v>-228.5684</v>
      </c>
      <c r="K3926">
        <v>1.1102179999999999</v>
      </c>
      <c r="L3926">
        <v>214.87029999999999</v>
      </c>
      <c r="M3926">
        <v>0.99984450000000002</v>
      </c>
      <c r="N3926">
        <v>-1.446483E-2</v>
      </c>
      <c r="O3926">
        <v>1.0097220000000001E-2</v>
      </c>
      <c r="P3926">
        <v>0.98407120000000003</v>
      </c>
      <c r="Q3926">
        <v>0.17766100000000001</v>
      </c>
      <c r="R3926">
        <v>-6.3881490000000001E-3</v>
      </c>
      <c r="S3926">
        <v>3.060333</v>
      </c>
      <c r="T3926">
        <v>-6.7628859999999999E-2</v>
      </c>
      <c r="U3926">
        <v>-7.7148439999999999E-2</v>
      </c>
      <c r="V3926">
        <v>1.635706E-2</v>
      </c>
      <c r="W3926">
        <v>0.1918725</v>
      </c>
      <c r="X3926">
        <v>0.98128349999999998</v>
      </c>
      <c r="Y3926">
        <v>3.5280400000000003E-2</v>
      </c>
      <c r="Z3926">
        <v>-7.2202619999999905E-4</v>
      </c>
      <c r="AA3926">
        <v>0.99937719999999997</v>
      </c>
      <c r="AB3926">
        <v>33</v>
      </c>
      <c r="AC3926">
        <v>48.610700000000001</v>
      </c>
      <c r="AD3926">
        <v>-1.0811213</v>
      </c>
      <c r="AE3926">
        <v>-1.23639999999997</v>
      </c>
      <c r="AF3926">
        <v>1.7263678246929</v>
      </c>
      <c r="AG3926">
        <v>-1.0811213</v>
      </c>
      <c r="AH3926">
        <v>48.571726129652099</v>
      </c>
      <c r="AI3926">
        <v>91.274288486246604</v>
      </c>
      <c r="AJ3926">
        <v>87.964413089420404</v>
      </c>
      <c r="AK3926">
        <v>48.614419140265099</v>
      </c>
      <c r="AL3926">
        <v>78.9379181699382</v>
      </c>
      <c r="AM3926">
        <v>89.045022446589996</v>
      </c>
      <c r="AN3926">
        <v>0.99999995852016998</v>
      </c>
    </row>
    <row r="3927" spans="1:40" x14ac:dyDescent="0.25">
      <c r="A3927" t="str">
        <f>"20190304155710992"</f>
        <v>20190304155710992</v>
      </c>
      <c r="B3927" t="str">
        <f>"1551686230988505"</f>
        <v>1551686230988505</v>
      </c>
      <c r="C3927" t="s">
        <v>40</v>
      </c>
      <c r="D3927">
        <v>4.3872080000000002</v>
      </c>
      <c r="E3927">
        <v>0.50505409999999995</v>
      </c>
      <c r="F3927" t="s">
        <v>53</v>
      </c>
      <c r="G3927">
        <v>-179.95769999999999</v>
      </c>
      <c r="H3927">
        <v>2.6323860000000001E-2</v>
      </c>
      <c r="I3927">
        <v>213.63839999999999</v>
      </c>
      <c r="J3927">
        <v>-228.28059999999999</v>
      </c>
      <c r="K3927">
        <v>1.1102110000000001</v>
      </c>
      <c r="L3927">
        <v>214.8732</v>
      </c>
      <c r="M3927">
        <v>0.99984530000000005</v>
      </c>
      <c r="N3927">
        <v>-1.446217E-2</v>
      </c>
      <c r="O3927">
        <v>1.0026119999999999E-2</v>
      </c>
      <c r="P3927">
        <v>0.98406309999999997</v>
      </c>
      <c r="Q3927">
        <v>0.1776867</v>
      </c>
      <c r="R3927">
        <v>-6.8887829999999999E-3</v>
      </c>
      <c r="S3927">
        <v>3.0603940000000001</v>
      </c>
      <c r="T3927">
        <v>-6.8238969999999996E-2</v>
      </c>
      <c r="U3927">
        <v>-7.7560420000000005E-2</v>
      </c>
      <c r="V3927">
        <v>1.6791239999999999E-2</v>
      </c>
      <c r="W3927">
        <v>0.19189500000000001</v>
      </c>
      <c r="X3927">
        <v>0.98127180000000003</v>
      </c>
      <c r="Y3927">
        <v>3.5343029999999998E-2</v>
      </c>
      <c r="Z3927">
        <v>-7.2811559999999998E-4</v>
      </c>
      <c r="AA3927">
        <v>0.99937500000000001</v>
      </c>
      <c r="AB3927">
        <v>33</v>
      </c>
      <c r="AC3927">
        <v>48.322899999999997</v>
      </c>
      <c r="AD3927">
        <v>-1.0838871400000001</v>
      </c>
      <c r="AE3927">
        <v>-1.2347999999999999</v>
      </c>
      <c r="AF3927">
        <v>1.71841573192134</v>
      </c>
      <c r="AG3927">
        <v>-1.0838871400000001</v>
      </c>
      <c r="AH3927">
        <v>48.283812929264897</v>
      </c>
      <c r="AI3927">
        <v>91.285160656097304</v>
      </c>
      <c r="AJ3927">
        <v>87.961709645561001</v>
      </c>
      <c r="AK3927">
        <v>48.326538826489802</v>
      </c>
      <c r="AL3927">
        <v>78.936604970969896</v>
      </c>
      <c r="AM3927">
        <v>89.019666824110004</v>
      </c>
      <c r="AN3927">
        <v>0.99999999112048799</v>
      </c>
    </row>
    <row r="3928" spans="1:40" x14ac:dyDescent="0.25">
      <c r="A3928" t="str">
        <f>"20190304155711006"</f>
        <v>20190304155711006</v>
      </c>
      <c r="B3928" t="str">
        <f>"1551686230998265"</f>
        <v>1551686230998265</v>
      </c>
      <c r="C3928" t="s">
        <v>40</v>
      </c>
      <c r="D3928">
        <v>4.3960619999999997</v>
      </c>
      <c r="E3928">
        <v>0.50497720000000001</v>
      </c>
      <c r="F3928" t="s">
        <v>53</v>
      </c>
      <c r="G3928">
        <v>-179.9564</v>
      </c>
      <c r="H3928">
        <v>5.1306829999999998E-2</v>
      </c>
      <c r="I3928">
        <v>213.63409999999999</v>
      </c>
      <c r="J3928">
        <v>-228.07740000000001</v>
      </c>
      <c r="K3928">
        <v>1.1102030000000001</v>
      </c>
      <c r="L3928">
        <v>214.8751</v>
      </c>
      <c r="M3928">
        <v>0.99984580000000001</v>
      </c>
      <c r="N3928">
        <v>-1.4460239999999999E-2</v>
      </c>
      <c r="O3928">
        <v>9.9715710000000003E-3</v>
      </c>
      <c r="P3928">
        <v>0.98409749999999996</v>
      </c>
      <c r="Q3928">
        <v>0.17748939999999999</v>
      </c>
      <c r="R3928">
        <v>-7.0660929999999999E-3</v>
      </c>
      <c r="S3928">
        <v>3.0601500000000001</v>
      </c>
      <c r="T3928">
        <v>-6.7055580000000004E-2</v>
      </c>
      <c r="U3928">
        <v>-7.846069E-2</v>
      </c>
      <c r="V3928">
        <v>1.6917350000000001E-2</v>
      </c>
      <c r="W3928">
        <v>0.19169610000000001</v>
      </c>
      <c r="X3928">
        <v>0.98130850000000003</v>
      </c>
      <c r="Y3928">
        <v>3.558468E-2</v>
      </c>
      <c r="Z3928">
        <v>-7.2143049999999996E-4</v>
      </c>
      <c r="AA3928">
        <v>0.99936639999999999</v>
      </c>
      <c r="AB3928">
        <v>32</v>
      </c>
      <c r="AC3928">
        <v>48.121000000000002</v>
      </c>
      <c r="AD3928">
        <v>-1.0588961699999999</v>
      </c>
      <c r="AE3928">
        <v>-1.2410000000000101</v>
      </c>
      <c r="AF3928">
        <v>1.7199981000128799</v>
      </c>
      <c r="AG3928">
        <v>-1.0588961699999999</v>
      </c>
      <c r="AH3928">
        <v>48.082964062104097</v>
      </c>
      <c r="AI3928">
        <v>91.260773264954295</v>
      </c>
      <c r="AJ3928">
        <v>87.951319519032793</v>
      </c>
      <c r="AK3928">
        <v>48.125368440776498</v>
      </c>
      <c r="AL3928">
        <v>78.948216570068993</v>
      </c>
      <c r="AM3928">
        <v>89.012342451925505</v>
      </c>
      <c r="AN3928">
        <v>0.99999998182924099</v>
      </c>
    </row>
    <row r="3929" spans="1:40" x14ac:dyDescent="0.25">
      <c r="A3929" t="str">
        <f>"20190304155711027"</f>
        <v>20190304155711027</v>
      </c>
      <c r="B3929" t="str">
        <f>"1551686231018760"</f>
        <v>1551686231018760</v>
      </c>
      <c r="C3929" t="s">
        <v>40</v>
      </c>
      <c r="D3929">
        <v>4.3686239999999996</v>
      </c>
      <c r="E3929">
        <v>0.50491249999999999</v>
      </c>
      <c r="F3929" t="s">
        <v>53</v>
      </c>
      <c r="G3929">
        <v>-179.95769999999999</v>
      </c>
      <c r="H3929">
        <v>4.198002E-2</v>
      </c>
      <c r="I3929">
        <v>213.65090000000001</v>
      </c>
      <c r="J3929">
        <v>-227.76609999999999</v>
      </c>
      <c r="K3929">
        <v>1.110198</v>
      </c>
      <c r="L3929">
        <v>214.87809999999999</v>
      </c>
      <c r="M3929">
        <v>0.99984669999999998</v>
      </c>
      <c r="N3929">
        <v>-1.445715E-2</v>
      </c>
      <c r="O3929">
        <v>9.8832729999999997E-3</v>
      </c>
      <c r="P3929">
        <v>0.98410019999999998</v>
      </c>
      <c r="Q3929">
        <v>0.17745559999999999</v>
      </c>
      <c r="R3929">
        <v>-7.5173790000000002E-3</v>
      </c>
      <c r="S3929">
        <v>3.060165</v>
      </c>
      <c r="T3929">
        <v>-6.7933560000000004E-2</v>
      </c>
      <c r="U3929">
        <v>-7.7850340000000004E-2</v>
      </c>
      <c r="V3929">
        <v>1.7284580000000001E-2</v>
      </c>
      <c r="W3929">
        <v>0.1916592</v>
      </c>
      <c r="X3929">
        <v>0.9813094</v>
      </c>
      <c r="Y3929">
        <v>3.5296910000000001E-2</v>
      </c>
      <c r="Z3929">
        <v>-7.2340890000000002E-4</v>
      </c>
      <c r="AA3929">
        <v>0.99937659999999995</v>
      </c>
      <c r="AB3929">
        <v>32</v>
      </c>
      <c r="AC3929">
        <v>47.808399999999999</v>
      </c>
      <c r="AD3929">
        <v>-1.06821798</v>
      </c>
      <c r="AE3929">
        <v>-1.2271999999999801</v>
      </c>
      <c r="AF3929">
        <v>1.6988453022175301</v>
      </c>
      <c r="AG3929">
        <v>-1.06821798</v>
      </c>
      <c r="AH3929">
        <v>47.770101345018297</v>
      </c>
      <c r="AI3929">
        <v>91.280205280712494</v>
      </c>
      <c r="AJ3929">
        <v>87.963251916980894</v>
      </c>
      <c r="AK3929">
        <v>47.812234287125499</v>
      </c>
      <c r="AL3929">
        <v>78.950371736780696</v>
      </c>
      <c r="AM3929">
        <v>88.990908384089295</v>
      </c>
      <c r="AN3929">
        <v>1.00000007208938</v>
      </c>
    </row>
    <row r="3930" spans="1:40" x14ac:dyDescent="0.25">
      <c r="A3930" t="str">
        <f>"20190304155711041"</f>
        <v>20190304155711041</v>
      </c>
      <c r="B3930" t="str">
        <f>"1551686231038281"</f>
        <v>1551686231038281</v>
      </c>
      <c r="C3930" t="s">
        <v>40</v>
      </c>
      <c r="D3930">
        <v>4.3957079999999999</v>
      </c>
      <c r="E3930">
        <v>0.50472709999999998</v>
      </c>
      <c r="F3930" t="s">
        <v>53</v>
      </c>
      <c r="G3930">
        <v>-179.95769999999999</v>
      </c>
      <c r="H3930">
        <v>4.195074E-2</v>
      </c>
      <c r="I3930">
        <v>213.64830000000001</v>
      </c>
      <c r="J3930">
        <v>-227.56979999999999</v>
      </c>
      <c r="K3930">
        <v>1.1101989999999999</v>
      </c>
      <c r="L3930">
        <v>214.88</v>
      </c>
      <c r="M3930">
        <v>0.99984740000000005</v>
      </c>
      <c r="N3930">
        <v>-1.445516E-2</v>
      </c>
      <c r="O3930">
        <v>9.8251799999999993E-3</v>
      </c>
      <c r="P3930">
        <v>0.98405810000000005</v>
      </c>
      <c r="Q3930">
        <v>0.1776721</v>
      </c>
      <c r="R3930">
        <v>-7.9139680000000004E-3</v>
      </c>
      <c r="S3930">
        <v>3.0602109999999998</v>
      </c>
      <c r="T3930">
        <v>-6.8378449999999993E-2</v>
      </c>
      <c r="U3930">
        <v>-7.8720090000000006E-2</v>
      </c>
      <c r="V3930">
        <v>1.7625180000000001E-2</v>
      </c>
      <c r="W3930">
        <v>0.1918725</v>
      </c>
      <c r="X3930">
        <v>0.98126159999999996</v>
      </c>
      <c r="Y3930">
        <v>3.5522060000000001E-2</v>
      </c>
      <c r="Z3930">
        <v>-7.3106919999999995E-4</v>
      </c>
      <c r="AA3930">
        <v>0.99936860000000005</v>
      </c>
      <c r="AB3930">
        <v>32</v>
      </c>
      <c r="AC3930">
        <v>47.612099999999998</v>
      </c>
      <c r="AD3930">
        <v>-1.0682482599999901</v>
      </c>
      <c r="AE3930">
        <v>-1.23169999999998</v>
      </c>
      <c r="AF3930">
        <v>1.6986322843961801</v>
      </c>
      <c r="AG3930">
        <v>-1.0682482599999901</v>
      </c>
      <c r="AH3930">
        <v>47.573766006306897</v>
      </c>
      <c r="AI3930">
        <v>91.285516794784897</v>
      </c>
      <c r="AJ3930">
        <v>87.955109671841896</v>
      </c>
      <c r="AK3930">
        <v>47.616065755219999</v>
      </c>
      <c r="AL3930">
        <v>78.937918807424793</v>
      </c>
      <c r="AM3930">
        <v>88.970977925235402</v>
      </c>
      <c r="AN3930">
        <v>1.0000000154304201</v>
      </c>
    </row>
    <row r="3931" spans="1:40" x14ac:dyDescent="0.25">
      <c r="A3931" t="str">
        <f>"20190304155711062"</f>
        <v>20190304155711062</v>
      </c>
      <c r="B3931" t="str">
        <f>"1551686231058778"</f>
        <v>1551686231058778</v>
      </c>
      <c r="C3931" t="s">
        <v>40</v>
      </c>
      <c r="D3931">
        <v>4.4004149999999997</v>
      </c>
      <c r="E3931">
        <v>0.50465569999999904</v>
      </c>
      <c r="F3931" t="s">
        <v>53</v>
      </c>
      <c r="G3931">
        <v>-179.9554</v>
      </c>
      <c r="H3931">
        <v>5.2272100000000002E-2</v>
      </c>
      <c r="I3931">
        <v>213.66210000000001</v>
      </c>
      <c r="J3931">
        <v>-227.26660000000001</v>
      </c>
      <c r="K3931">
        <v>1.1101939999999999</v>
      </c>
      <c r="L3931">
        <v>214.88290000000001</v>
      </c>
      <c r="M3931">
        <v>0.99984819999999996</v>
      </c>
      <c r="N3931">
        <v>-1.4452080000000001E-2</v>
      </c>
      <c r="O3931">
        <v>9.7341800000000003E-3</v>
      </c>
      <c r="P3931">
        <v>0.98405889999999996</v>
      </c>
      <c r="Q3931">
        <v>0.17764859999999999</v>
      </c>
      <c r="R3931">
        <v>-8.3209700000000004E-3</v>
      </c>
      <c r="S3931">
        <v>3.0602420000000001</v>
      </c>
      <c r="T3931">
        <v>-6.7994479999999996E-2</v>
      </c>
      <c r="U3931">
        <v>-7.8277589999999994E-2</v>
      </c>
      <c r="V3931">
        <v>1.794459E-2</v>
      </c>
      <c r="W3931">
        <v>0.19184590000000001</v>
      </c>
      <c r="X3931">
        <v>0.98126100000000005</v>
      </c>
      <c r="Y3931">
        <v>3.5286669999999999E-2</v>
      </c>
      <c r="Z3931">
        <v>-7.2255649999999904E-4</v>
      </c>
      <c r="AA3931">
        <v>0.99937699999999996</v>
      </c>
      <c r="AB3931">
        <v>32</v>
      </c>
      <c r="AC3931">
        <v>47.311199999999999</v>
      </c>
      <c r="AD3931">
        <v>-1.0579219</v>
      </c>
      <c r="AE3931">
        <v>-1.2207999999999899</v>
      </c>
      <c r="AF3931">
        <v>1.68048627605044</v>
      </c>
      <c r="AG3931">
        <v>-1.0579219</v>
      </c>
      <c r="AH3931">
        <v>47.273451778592197</v>
      </c>
      <c r="AI3931">
        <v>91.281186349569793</v>
      </c>
      <c r="AJ3931">
        <v>87.964095264795006</v>
      </c>
      <c r="AK3931">
        <v>47.315140028677703</v>
      </c>
      <c r="AL3931">
        <v>78.939471595249401</v>
      </c>
      <c r="AM3931">
        <v>88.952333087386606</v>
      </c>
      <c r="AN3931">
        <v>1.00000000388903</v>
      </c>
    </row>
    <row r="3932" spans="1:40" x14ac:dyDescent="0.25">
      <c r="A3932" t="str">
        <f>"20190304155711084"</f>
        <v>20190304155711084</v>
      </c>
      <c r="B3932" t="str">
        <f>"1551686231078296"</f>
        <v>1551686231078296</v>
      </c>
      <c r="C3932" t="s">
        <v>40</v>
      </c>
      <c r="D3932">
        <v>4.3874209999999998</v>
      </c>
      <c r="E3932">
        <v>0.50530810000000004</v>
      </c>
      <c r="F3932" t="s">
        <v>53</v>
      </c>
      <c r="G3932">
        <v>-179.953</v>
      </c>
      <c r="H3932">
        <v>5.4674130000000001E-2</v>
      </c>
      <c r="I3932">
        <v>213.66990000000001</v>
      </c>
      <c r="J3932">
        <v>-226.9435</v>
      </c>
      <c r="K3932">
        <v>1.1101909999999999</v>
      </c>
      <c r="L3932">
        <v>214.88589999999999</v>
      </c>
      <c r="M3932">
        <v>0.99984930000000005</v>
      </c>
      <c r="N3932">
        <v>-1.4448809999999999E-2</v>
      </c>
      <c r="O3932">
        <v>9.6356919999999995E-3</v>
      </c>
      <c r="P3932">
        <v>0.98401450000000001</v>
      </c>
      <c r="Q3932">
        <v>0.17787709999999901</v>
      </c>
      <c r="R3932">
        <v>-8.6788630000000002E-3</v>
      </c>
      <c r="S3932">
        <v>3.0602719999999999</v>
      </c>
      <c r="T3932">
        <v>-6.8271760000000001E-2</v>
      </c>
      <c r="U3932">
        <v>-7.846069E-2</v>
      </c>
      <c r="V3932">
        <v>1.8206369999999999E-2</v>
      </c>
      <c r="W3932">
        <v>0.19206999999999999</v>
      </c>
      <c r="X3932">
        <v>0.98121230000000004</v>
      </c>
      <c r="Y3932">
        <v>3.5247649999999998E-2</v>
      </c>
      <c r="Z3932">
        <v>-7.2351320000000002E-4</v>
      </c>
      <c r="AA3932">
        <v>0.99937830000000005</v>
      </c>
      <c r="AB3932">
        <v>32</v>
      </c>
      <c r="AC3932">
        <v>46.990499999999997</v>
      </c>
      <c r="AD3932">
        <v>-1.0555168699999999</v>
      </c>
      <c r="AE3932">
        <v>-1.21599999999997</v>
      </c>
      <c r="AF3932">
        <v>1.6679357329612601</v>
      </c>
      <c r="AG3932">
        <v>-1.0555168699999999</v>
      </c>
      <c r="AH3932">
        <v>46.952925244962103</v>
      </c>
      <c r="AI3932">
        <v>91.286999135200901</v>
      </c>
      <c r="AJ3932">
        <v>87.965504619280793</v>
      </c>
      <c r="AK3932">
        <v>46.994396629078501</v>
      </c>
      <c r="AL3932">
        <v>78.926387892108707</v>
      </c>
      <c r="AM3932">
        <v>88.937000206966005</v>
      </c>
      <c r="AN3932">
        <v>0.99999996723993201</v>
      </c>
    </row>
    <row r="3933" spans="1:40" x14ac:dyDescent="0.25">
      <c r="A3933" t="str">
        <f>"20190304155711106"</f>
        <v>20190304155711106</v>
      </c>
      <c r="B3933" t="str">
        <f>"1551686231098796"</f>
        <v>1551686231098796</v>
      </c>
      <c r="C3933" t="s">
        <v>40</v>
      </c>
      <c r="D3933">
        <v>4.6585190000000001</v>
      </c>
      <c r="E3933">
        <v>0.54700419999999905</v>
      </c>
      <c r="F3933" t="s">
        <v>53</v>
      </c>
      <c r="G3933">
        <v>-179.95519999999999</v>
      </c>
      <c r="H3933">
        <v>5.2498910000000003E-2</v>
      </c>
      <c r="I3933">
        <v>213.58920000000001</v>
      </c>
      <c r="J3933">
        <v>-226.6283</v>
      </c>
      <c r="K3933">
        <v>1.11019</v>
      </c>
      <c r="L3933">
        <v>214.88890000000001</v>
      </c>
      <c r="M3933">
        <v>0.99985009999999996</v>
      </c>
      <c r="N3933">
        <v>-1.4445650000000001E-2</v>
      </c>
      <c r="O3933">
        <v>9.5388859999999999E-3</v>
      </c>
      <c r="P3933">
        <v>0.98413989999999996</v>
      </c>
      <c r="Q3933">
        <v>0.1771595</v>
      </c>
      <c r="R3933">
        <v>-9.1159020000000004E-3</v>
      </c>
      <c r="S3933">
        <v>3.0604550000000001</v>
      </c>
      <c r="T3933">
        <v>-6.8889859999999997E-2</v>
      </c>
      <c r="U3933">
        <v>-8.4457400000000002E-2</v>
      </c>
      <c r="V3933">
        <v>1.85501E-2</v>
      </c>
      <c r="W3933">
        <v>0.1913512</v>
      </c>
      <c r="X3933">
        <v>0.9813463</v>
      </c>
      <c r="Y3933">
        <v>3.7105109999999997E-2</v>
      </c>
      <c r="Z3933">
        <v>-7.6249070000000002E-4</v>
      </c>
      <c r="AA3933">
        <v>0.99931110000000001</v>
      </c>
      <c r="AB3933">
        <v>32</v>
      </c>
      <c r="AC3933">
        <v>46.673099999999998</v>
      </c>
      <c r="AD3933">
        <v>-1.0576910900000001</v>
      </c>
      <c r="AE3933">
        <v>-1.2997000000000001</v>
      </c>
      <c r="AF3933">
        <v>1.7440017791189499</v>
      </c>
      <c r="AG3933">
        <v>-1.0576910900000001</v>
      </c>
      <c r="AH3933">
        <v>46.634646365609598</v>
      </c>
      <c r="AI3933">
        <v>91.2983595181</v>
      </c>
      <c r="AJ3933">
        <v>87.858300522722999</v>
      </c>
      <c r="AK3933">
        <v>46.679229795412198</v>
      </c>
      <c r="AL3933">
        <v>78.968350521414294</v>
      </c>
      <c r="AM3933">
        <v>88.917083726921106</v>
      </c>
      <c r="AN3933">
        <v>0.99999997423756903</v>
      </c>
    </row>
    <row r="3934" spans="1:40" x14ac:dyDescent="0.25">
      <c r="A3934" t="str">
        <f>"20190304155711129"</f>
        <v>20190304155711129</v>
      </c>
      <c r="B3934" t="str">
        <f>"1551686231118313"</f>
        <v>1551686231118313</v>
      </c>
      <c r="C3934" t="s">
        <v>40</v>
      </c>
      <c r="D3934">
        <v>4.572533</v>
      </c>
      <c r="E3934">
        <v>0.55274369999999995</v>
      </c>
      <c r="F3934" t="s">
        <v>53</v>
      </c>
      <c r="G3934">
        <v>-190.85740000000001</v>
      </c>
      <c r="H3934" s="1">
        <v>4.2166179999999996E-6</v>
      </c>
      <c r="I3934">
        <v>209.994</v>
      </c>
      <c r="J3934">
        <v>-226.29990000000001</v>
      </c>
      <c r="K3934">
        <v>1.110187</v>
      </c>
      <c r="L3934">
        <v>214.89189999999999</v>
      </c>
      <c r="M3934">
        <v>0.99985119999999905</v>
      </c>
      <c r="N3934">
        <v>-1.444232E-2</v>
      </c>
      <c r="O3934">
        <v>9.4377360000000004E-3</v>
      </c>
      <c r="P3934">
        <v>0.98412909999999998</v>
      </c>
      <c r="Q3934">
        <v>0.1771904</v>
      </c>
      <c r="R3934">
        <v>-9.6758839999999992E-3</v>
      </c>
      <c r="S3934">
        <v>3.0615540000000001</v>
      </c>
      <c r="T3934">
        <v>-9.5018389999999994E-2</v>
      </c>
      <c r="U3934">
        <v>-0.41894530000000002</v>
      </c>
      <c r="V3934">
        <v>1.901125E-2</v>
      </c>
      <c r="W3934">
        <v>0.1913783</v>
      </c>
      <c r="X3934">
        <v>0.98133219999999999</v>
      </c>
      <c r="Y3934">
        <v>0.1448207</v>
      </c>
      <c r="Z3934">
        <v>-3.4433020000000001E-3</v>
      </c>
      <c r="AA3934">
        <v>0.98945190000000005</v>
      </c>
      <c r="AB3934">
        <v>32</v>
      </c>
      <c r="AC3934">
        <v>35.442499999999903</v>
      </c>
      <c r="AD3934">
        <v>-1.1101827833819999</v>
      </c>
      <c r="AE3934">
        <v>-4.89789999999996</v>
      </c>
      <c r="AF3934">
        <v>5.2271810582859004</v>
      </c>
      <c r="AG3934">
        <v>-1.1101827833819999</v>
      </c>
      <c r="AH3934">
        <v>35.360646947285602</v>
      </c>
      <c r="AI3934">
        <v>91.778948171127098</v>
      </c>
      <c r="AJ3934">
        <v>81.591159642107598</v>
      </c>
      <c r="AK3934">
        <v>35.762148707246297</v>
      </c>
      <c r="AL3934">
        <v>78.966768679275305</v>
      </c>
      <c r="AM3934">
        <v>88.890153458106099</v>
      </c>
      <c r="AN3934">
        <v>0.99999998404714596</v>
      </c>
    </row>
    <row r="3935" spans="1:40" x14ac:dyDescent="0.25">
      <c r="A3935" t="str">
        <f>"20190304155711152"</f>
        <v>20190304155711152</v>
      </c>
      <c r="B3935" t="str">
        <f>"1551686231148569"</f>
        <v>1551686231148569</v>
      </c>
      <c r="C3935" t="s">
        <v>40</v>
      </c>
      <c r="D3935">
        <v>4.5906640000000003</v>
      </c>
      <c r="E3935">
        <v>0.55621529999999997</v>
      </c>
      <c r="F3935" t="s">
        <v>53</v>
      </c>
      <c r="G3935">
        <v>-188.92529999999999</v>
      </c>
      <c r="H3935" s="1">
        <v>4.3747050000000002E-6</v>
      </c>
      <c r="I3935">
        <v>209.19579999999999</v>
      </c>
      <c r="J3935">
        <v>-225.97030000000001</v>
      </c>
      <c r="K3935">
        <v>1.110196</v>
      </c>
      <c r="L3935">
        <v>214.89490000000001</v>
      </c>
      <c r="M3935">
        <v>0.99985219999999997</v>
      </c>
      <c r="N3935">
        <v>-1.4438950000000001E-2</v>
      </c>
      <c r="O3935">
        <v>9.3346790000000002E-3</v>
      </c>
      <c r="P3935">
        <v>0.98408499999999999</v>
      </c>
      <c r="Q3935">
        <v>0.1774154</v>
      </c>
      <c r="R3935">
        <v>-1.002374E-2</v>
      </c>
      <c r="S3935">
        <v>3.060165</v>
      </c>
      <c r="T3935">
        <v>-9.0899830000000001E-2</v>
      </c>
      <c r="U3935">
        <v>-0.46638489999999999</v>
      </c>
      <c r="V3935">
        <v>1.925808E-2</v>
      </c>
      <c r="W3935">
        <v>0.19159970000000001</v>
      </c>
      <c r="X3935">
        <v>0.98128419999999905</v>
      </c>
      <c r="Y3935">
        <v>0.1597838</v>
      </c>
      <c r="Z3935">
        <v>-3.661297E-3</v>
      </c>
      <c r="AA3935">
        <v>0.98714519999999994</v>
      </c>
      <c r="AB3935">
        <v>32</v>
      </c>
      <c r="AC3935">
        <v>37.045000000000002</v>
      </c>
      <c r="AD3935">
        <v>-1.1101916252949999</v>
      </c>
      <c r="AE3935">
        <v>-5.6991000000000103</v>
      </c>
      <c r="AF3935">
        <v>6.0393921526887304</v>
      </c>
      <c r="AG3935">
        <v>-1.1101916252949999</v>
      </c>
      <c r="AH3935">
        <v>36.957755582022003</v>
      </c>
      <c r="AI3935">
        <v>91.698107544317395</v>
      </c>
      <c r="AJ3935">
        <v>80.719134085981295</v>
      </c>
      <c r="AK3935">
        <v>37.464416192959902</v>
      </c>
      <c r="AL3935">
        <v>78.9538444009074</v>
      </c>
      <c r="AM3935">
        <v>88.875692610646595</v>
      </c>
      <c r="AN3935">
        <v>0.99999999992750799</v>
      </c>
    </row>
    <row r="3936" spans="1:40" x14ac:dyDescent="0.25">
      <c r="A3936" t="str">
        <f>"20190304155711173"</f>
        <v>20190304155711173</v>
      </c>
      <c r="B3936" t="str">
        <f>"1551686231169068"</f>
        <v>1551686231169068</v>
      </c>
      <c r="C3936" t="s">
        <v>40</v>
      </c>
      <c r="D3936">
        <v>4.5897649999999999</v>
      </c>
      <c r="E3936">
        <v>0.55728059999999902</v>
      </c>
      <c r="F3936" t="s">
        <v>53</v>
      </c>
      <c r="G3936">
        <v>-187.83080000000001</v>
      </c>
      <c r="H3936" s="1">
        <v>4.3457099999999996E-6</v>
      </c>
      <c r="I3936">
        <v>208.7286</v>
      </c>
      <c r="J3936">
        <v>-225.65880000000001</v>
      </c>
      <c r="K3936">
        <v>1.110195</v>
      </c>
      <c r="L3936">
        <v>214.89769999999999</v>
      </c>
      <c r="M3936">
        <v>0.9998532</v>
      </c>
      <c r="N3936">
        <v>-1.4435760000000001E-2</v>
      </c>
      <c r="O3936">
        <v>9.2333299999999997E-3</v>
      </c>
      <c r="P3936">
        <v>0.98394300000000001</v>
      </c>
      <c r="Q3936">
        <v>0.17818779999999901</v>
      </c>
      <c r="R3936">
        <v>-1.026907E-2</v>
      </c>
      <c r="S3936">
        <v>3.0595400000000001</v>
      </c>
      <c r="T3936">
        <v>-8.9059230000000003E-2</v>
      </c>
      <c r="U3936">
        <v>-0.49465940000000003</v>
      </c>
      <c r="V3936">
        <v>1.9403690000000001E-2</v>
      </c>
      <c r="W3936">
        <v>0.19236619999999999</v>
      </c>
      <c r="X3936">
        <v>0.98113139999999999</v>
      </c>
      <c r="Y3936">
        <v>0.16860839999999999</v>
      </c>
      <c r="Z3936">
        <v>-3.7975650000000001E-3</v>
      </c>
      <c r="AA3936">
        <v>0.98567579999999999</v>
      </c>
      <c r="AB3936">
        <v>32</v>
      </c>
      <c r="AC3936">
        <v>37.828000000000003</v>
      </c>
      <c r="AD3936">
        <v>-1.11019065429</v>
      </c>
      <c r="AE3936">
        <v>-6.1690999999999798</v>
      </c>
      <c r="AF3936">
        <v>6.5126875318808297</v>
      </c>
      <c r="AG3936">
        <v>-1.11019065429</v>
      </c>
      <c r="AH3936">
        <v>37.737757381532099</v>
      </c>
      <c r="AI3936">
        <v>91.660541122340803</v>
      </c>
      <c r="AJ3936">
        <v>80.208484712103896</v>
      </c>
      <c r="AK3936">
        <v>38.311694746698002</v>
      </c>
      <c r="AL3936">
        <v>78.909095225766393</v>
      </c>
      <c r="AM3936">
        <v>88.867017573728901</v>
      </c>
      <c r="AN3936">
        <v>1.000000041077</v>
      </c>
    </row>
    <row r="3937" spans="1:40" x14ac:dyDescent="0.25">
      <c r="A3937" t="str">
        <f>"20190304155711196"</f>
        <v>20190304155711196</v>
      </c>
      <c r="B3937" t="str">
        <f>"1551686231188584"</f>
        <v>1551686231188584</v>
      </c>
      <c r="C3937" t="s">
        <v>40</v>
      </c>
      <c r="D3937">
        <v>4.5944500000000001</v>
      </c>
      <c r="E3937">
        <v>0.55832729999999997</v>
      </c>
      <c r="F3937" t="s">
        <v>53</v>
      </c>
      <c r="G3937">
        <v>-185.68979999999999</v>
      </c>
      <c r="H3937" s="1">
        <v>4.1121470000000002E-6</v>
      </c>
      <c r="I3937">
        <v>208.315</v>
      </c>
      <c r="J3937">
        <v>-225.33969999999999</v>
      </c>
      <c r="K3937">
        <v>1.110193</v>
      </c>
      <c r="L3937">
        <v>214.9006</v>
      </c>
      <c r="M3937">
        <v>0.99985440000000003</v>
      </c>
      <c r="N3937">
        <v>-1.4432510000000001E-2</v>
      </c>
      <c r="O3937">
        <v>9.1250529999999993E-3</v>
      </c>
      <c r="P3937">
        <v>0.98387100000000005</v>
      </c>
      <c r="Q3937">
        <v>0.1785881</v>
      </c>
      <c r="R3937">
        <v>-1.022056E-2</v>
      </c>
      <c r="S3937">
        <v>3.0590670000000002</v>
      </c>
      <c r="T3937">
        <v>-8.49694E-2</v>
      </c>
      <c r="U3937">
        <v>-0.50381469999999995</v>
      </c>
      <c r="V3937">
        <v>1.924998E-2</v>
      </c>
      <c r="W3937">
        <v>0.19276209999999999</v>
      </c>
      <c r="X3937">
        <v>0.9810567</v>
      </c>
      <c r="Y3937">
        <v>0.1714049</v>
      </c>
      <c r="Z3937">
        <v>-3.7306890000000001E-3</v>
      </c>
      <c r="AA3937">
        <v>0.9851936</v>
      </c>
      <c r="AB3937">
        <v>32</v>
      </c>
      <c r="AC3937">
        <v>39.649900000000002</v>
      </c>
      <c r="AD3937">
        <v>-1.110188887853</v>
      </c>
      <c r="AE3937">
        <v>-6.5856000000000003</v>
      </c>
      <c r="AF3937">
        <v>6.9418745738287901</v>
      </c>
      <c r="AG3937">
        <v>-1.110188887853</v>
      </c>
      <c r="AH3937">
        <v>39.557968276811003</v>
      </c>
      <c r="AI3937">
        <v>91.583392997313695</v>
      </c>
      <c r="AJ3937">
        <v>80.046731452455106</v>
      </c>
      <c r="AK3937">
        <v>40.177792325545603</v>
      </c>
      <c r="AL3937">
        <v>78.8859789457304</v>
      </c>
      <c r="AM3937">
        <v>88.875904833724604</v>
      </c>
      <c r="AN3937">
        <v>1.0000000187706499</v>
      </c>
    </row>
    <row r="3938" spans="1:40" x14ac:dyDescent="0.25">
      <c r="A3938" t="str">
        <f>"20190304155711217"</f>
        <v>20190304155711217</v>
      </c>
      <c r="B3938" t="str">
        <f>"1551686231209081"</f>
        <v>1551686231209081</v>
      </c>
      <c r="C3938" t="s">
        <v>40</v>
      </c>
      <c r="D3938">
        <v>4.6147099999999996</v>
      </c>
      <c r="E3938">
        <v>0.55963399999999996</v>
      </c>
      <c r="F3938" t="s">
        <v>53</v>
      </c>
      <c r="G3938">
        <v>-184.4205</v>
      </c>
      <c r="H3938" s="1">
        <v>3.9811029999999998E-6</v>
      </c>
      <c r="I3938">
        <v>208.0488</v>
      </c>
      <c r="J3938">
        <v>-225.02010000000001</v>
      </c>
      <c r="K3938">
        <v>1.110193</v>
      </c>
      <c r="L3938">
        <v>214.9034</v>
      </c>
      <c r="M3938">
        <v>0.9998553</v>
      </c>
      <c r="N3938">
        <v>-1.442922E-2</v>
      </c>
      <c r="O3938">
        <v>9.0110380000000007E-3</v>
      </c>
      <c r="P3938">
        <v>0.98389420000000005</v>
      </c>
      <c r="Q3938">
        <v>0.1784809</v>
      </c>
      <c r="R3938">
        <v>-9.848697E-3</v>
      </c>
      <c r="S3938">
        <v>3.058929</v>
      </c>
      <c r="T3938">
        <v>-8.2992670000000004E-2</v>
      </c>
      <c r="U3938">
        <v>-0.51220699999999997</v>
      </c>
      <c r="V3938">
        <v>1.8768199999999999E-2</v>
      </c>
      <c r="W3938">
        <v>0.19265209999999999</v>
      </c>
      <c r="X3938">
        <v>0.98108759999999995</v>
      </c>
      <c r="Y3938">
        <v>0.1739319</v>
      </c>
      <c r="Z3938">
        <v>-3.7203980000000002E-3</v>
      </c>
      <c r="AA3938">
        <v>0.98475060000000003</v>
      </c>
      <c r="AB3938">
        <v>32</v>
      </c>
      <c r="AC3938">
        <v>40.599600000000002</v>
      </c>
      <c r="AD3938">
        <v>-1.1101890188970001</v>
      </c>
      <c r="AE3938">
        <v>-6.8545999999999996</v>
      </c>
      <c r="AF3938">
        <v>7.2149588785938903</v>
      </c>
      <c r="AG3938">
        <v>-1.1101890188970001</v>
      </c>
      <c r="AH3938">
        <v>40.506728773943202</v>
      </c>
      <c r="AI3938">
        <v>91.545627598531098</v>
      </c>
      <c r="AJ3938">
        <v>79.900532584407202</v>
      </c>
      <c r="AK3938">
        <v>41.159242306476898</v>
      </c>
      <c r="AL3938">
        <v>78.892401411052106</v>
      </c>
      <c r="AM3938">
        <v>88.904065751042495</v>
      </c>
      <c r="AN3938">
        <v>0.99999997791970396</v>
      </c>
    </row>
    <row r="3939" spans="1:40" x14ac:dyDescent="0.25">
      <c r="A3939" t="str">
        <f>"20190304155711240"</f>
        <v>20190304155711240</v>
      </c>
      <c r="B3939" t="str">
        <f>"1551686231228601"</f>
        <v>1551686231228601</v>
      </c>
      <c r="C3939" t="s">
        <v>40</v>
      </c>
      <c r="D3939">
        <v>4.6372629999999999</v>
      </c>
      <c r="E3939">
        <v>0.56027479999999996</v>
      </c>
      <c r="F3939" t="s">
        <v>53</v>
      </c>
      <c r="G3939">
        <v>-183.71129999999999</v>
      </c>
      <c r="H3939" s="1">
        <v>3.9196130000000003E-6</v>
      </c>
      <c r="I3939">
        <v>207.86689999999999</v>
      </c>
      <c r="J3939">
        <v>-224.7029</v>
      </c>
      <c r="K3939">
        <v>1.1101890000000001</v>
      </c>
      <c r="L3939">
        <v>214.90610000000001</v>
      </c>
      <c r="M3939">
        <v>0.99985659999999998</v>
      </c>
      <c r="N3939">
        <v>-1.442593E-2</v>
      </c>
      <c r="O3939">
        <v>8.8881110000000006E-3</v>
      </c>
      <c r="P3939">
        <v>0.98386850000000003</v>
      </c>
      <c r="Q3939">
        <v>0.17863200000000001</v>
      </c>
      <c r="R3939">
        <v>-9.6803150000000001E-3</v>
      </c>
      <c r="S3939">
        <v>3.0587770000000001</v>
      </c>
      <c r="T3939">
        <v>-8.2205769999999997E-2</v>
      </c>
      <c r="U3939">
        <v>-0.52102660000000001</v>
      </c>
      <c r="V3939">
        <v>1.848178E-2</v>
      </c>
      <c r="W3939">
        <v>0.19279950000000001</v>
      </c>
      <c r="X3939">
        <v>0.98106409999999999</v>
      </c>
      <c r="Y3939">
        <v>0.17657890000000001</v>
      </c>
      <c r="Z3939">
        <v>-3.748496E-3</v>
      </c>
      <c r="AA3939">
        <v>0.98427929999999997</v>
      </c>
      <c r="AB3939">
        <v>32</v>
      </c>
      <c r="AC3939">
        <v>40.991599999999998</v>
      </c>
      <c r="AD3939">
        <v>-1.1101850803869999</v>
      </c>
      <c r="AE3939">
        <v>-7.0392000000000197</v>
      </c>
      <c r="AF3939">
        <v>7.3980266137900497</v>
      </c>
      <c r="AG3939">
        <v>-1.1101850803869999</v>
      </c>
      <c r="AH3939">
        <v>40.898269151086701</v>
      </c>
      <c r="AI3939">
        <v>91.530095017797905</v>
      </c>
      <c r="AJ3939">
        <v>79.746724187098494</v>
      </c>
      <c r="AK3939">
        <v>41.5768171971567</v>
      </c>
      <c r="AL3939">
        <v>78.883794861033806</v>
      </c>
      <c r="AM3939">
        <v>88.920760884864805</v>
      </c>
      <c r="AN3939">
        <v>0.99999999585051402</v>
      </c>
    </row>
    <row r="3940" spans="1:40" x14ac:dyDescent="0.25">
      <c r="A3940" t="str">
        <f>"20190304155711262"</f>
        <v>20190304155711262</v>
      </c>
      <c r="B3940" t="str">
        <f>"1551686231258856"</f>
        <v>1551686231258856</v>
      </c>
      <c r="C3940" t="s">
        <v>40</v>
      </c>
      <c r="D3940">
        <v>4.6244839999999998</v>
      </c>
      <c r="E3940">
        <v>0.56038809999999994</v>
      </c>
      <c r="F3940" t="s">
        <v>53</v>
      </c>
      <c r="G3940">
        <v>-181.9913</v>
      </c>
      <c r="H3940" s="1">
        <v>3.630237E-6</v>
      </c>
      <c r="I3940">
        <v>207.56209999999999</v>
      </c>
      <c r="J3940">
        <v>-224.38239999999999</v>
      </c>
      <c r="K3940">
        <v>1.1101810000000001</v>
      </c>
      <c r="L3940">
        <v>214.90880000000001</v>
      </c>
      <c r="M3940">
        <v>0.99985780000000002</v>
      </c>
      <c r="N3940">
        <v>-1.4422580000000001E-2</v>
      </c>
      <c r="O3940">
        <v>8.7507139999999997E-3</v>
      </c>
      <c r="P3940">
        <v>0.98393010000000003</v>
      </c>
      <c r="Q3940">
        <v>0.17831810000000001</v>
      </c>
      <c r="R3940">
        <v>-9.2031430000000004E-3</v>
      </c>
      <c r="S3940">
        <v>3.0584410000000002</v>
      </c>
      <c r="T3940">
        <v>-7.9496739999999996E-2</v>
      </c>
      <c r="U3940">
        <v>-0.52587890000000004</v>
      </c>
      <c r="V3940">
        <v>1.787383E-2</v>
      </c>
      <c r="W3940">
        <v>0.19248270000000001</v>
      </c>
      <c r="X3940">
        <v>0.98113760000000005</v>
      </c>
      <c r="Y3940">
        <v>0.17798310000000001</v>
      </c>
      <c r="Z3940">
        <v>-3.6896609999999999E-3</v>
      </c>
      <c r="AA3940">
        <v>0.98402659999999997</v>
      </c>
      <c r="AB3940">
        <v>32</v>
      </c>
      <c r="AC3940">
        <v>42.391100000000002</v>
      </c>
      <c r="AD3940">
        <v>-1.110177369763</v>
      </c>
      <c r="AE3940">
        <v>-7.3467000000000198</v>
      </c>
      <c r="AF3940">
        <v>7.7122742927067804</v>
      </c>
      <c r="AG3940">
        <v>-1.110177369763</v>
      </c>
      <c r="AH3940">
        <v>42.297017123807898</v>
      </c>
      <c r="AI3940">
        <v>91.479131561960401</v>
      </c>
      <c r="AJ3940">
        <v>79.666429704670605</v>
      </c>
      <c r="AK3940">
        <v>43.008712211945799</v>
      </c>
      <c r="AL3940">
        <v>78.902292989390503</v>
      </c>
      <c r="AM3940">
        <v>88.956332165284905</v>
      </c>
      <c r="AN3940">
        <v>1.0000000268659499</v>
      </c>
    </row>
    <row r="3941" spans="1:40" x14ac:dyDescent="0.25">
      <c r="A3941" t="str">
        <f>"20190304155711285"</f>
        <v>20190304155711285</v>
      </c>
      <c r="B3941" t="str">
        <f>"1551686231278377"</f>
        <v>1551686231278377</v>
      </c>
      <c r="C3941" t="s">
        <v>40</v>
      </c>
      <c r="D3941">
        <v>4.5859329999999998</v>
      </c>
      <c r="E3941">
        <v>0.560936199999999</v>
      </c>
      <c r="F3941" t="s">
        <v>53</v>
      </c>
      <c r="G3941">
        <v>-182.0394</v>
      </c>
      <c r="H3941" s="1">
        <v>3.620421E-6</v>
      </c>
      <c r="I3941">
        <v>207.6395</v>
      </c>
      <c r="J3941">
        <v>-224.06370000000001</v>
      </c>
      <c r="K3941">
        <v>1.11016</v>
      </c>
      <c r="L3941">
        <v>214.91139999999999</v>
      </c>
      <c r="M3941">
        <v>0.9998591</v>
      </c>
      <c r="N3941">
        <v>-1.4419299999999901E-2</v>
      </c>
      <c r="O3941">
        <v>8.5971050000000007E-3</v>
      </c>
      <c r="P3941">
        <v>0.98399369999999997</v>
      </c>
      <c r="Q3941">
        <v>0.177954</v>
      </c>
      <c r="R3941">
        <v>-9.4350170000000004E-3</v>
      </c>
      <c r="S3941">
        <v>3.05864</v>
      </c>
      <c r="T3941">
        <v>-8.0193520000000004E-2</v>
      </c>
      <c r="U3941">
        <v>-0.52510069999999998</v>
      </c>
      <c r="V3941">
        <v>1.7960710000000001E-2</v>
      </c>
      <c r="W3941">
        <v>0.19211590000000001</v>
      </c>
      <c r="X3941">
        <v>0.98120790000000002</v>
      </c>
      <c r="Y3941">
        <v>0.17757699999999901</v>
      </c>
      <c r="Z3941">
        <v>-3.701321E-3</v>
      </c>
      <c r="AA3941">
        <v>0.98409999999999997</v>
      </c>
      <c r="AB3941">
        <v>32</v>
      </c>
      <c r="AC3941">
        <v>42.024299999999997</v>
      </c>
      <c r="AD3941">
        <v>-1.1101563795789999</v>
      </c>
      <c r="AE3941">
        <v>-7.27189999999998</v>
      </c>
      <c r="AF3941">
        <v>7.6277877211199003</v>
      </c>
      <c r="AG3941">
        <v>-1.1101563795789999</v>
      </c>
      <c r="AH3941">
        <v>41.931811112252703</v>
      </c>
      <c r="AI3941">
        <v>91.492092296338896</v>
      </c>
      <c r="AJ3941">
        <v>79.690098249138501</v>
      </c>
      <c r="AK3941">
        <v>42.634403664871698</v>
      </c>
      <c r="AL3941">
        <v>78.923708752581206</v>
      </c>
      <c r="AM3941">
        <v>88.951335421556706</v>
      </c>
      <c r="AN3941">
        <v>1.00000002457946</v>
      </c>
    </row>
    <row r="3942" spans="1:40" x14ac:dyDescent="0.25">
      <c r="A3942" t="str">
        <f>"20190304155711307"</f>
        <v>20190304155711307</v>
      </c>
      <c r="B3942" t="str">
        <f>"1551686231298872"</f>
        <v>1551686231298872</v>
      </c>
      <c r="C3942" t="s">
        <v>40</v>
      </c>
      <c r="D3942">
        <v>4.4947540000000004</v>
      </c>
      <c r="E3942">
        <v>0.56148669999999901</v>
      </c>
      <c r="F3942" t="s">
        <v>53</v>
      </c>
      <c r="G3942">
        <v>-182.053</v>
      </c>
      <c r="H3942" s="1">
        <v>3.6258160000000001E-6</v>
      </c>
      <c r="I3942">
        <v>207.63050000000001</v>
      </c>
      <c r="J3942">
        <v>-223.74770000000001</v>
      </c>
      <c r="K3942">
        <v>1.1101449999999999</v>
      </c>
      <c r="L3942">
        <v>214.91399999999999</v>
      </c>
      <c r="M3942">
        <v>0.99986059999999999</v>
      </c>
      <c r="N3942">
        <v>-1.441608E-2</v>
      </c>
      <c r="O3942">
        <v>8.4239420000000002E-3</v>
      </c>
      <c r="P3942">
        <v>0.98405770000000004</v>
      </c>
      <c r="Q3942">
        <v>0.17754790000000001</v>
      </c>
      <c r="R3942">
        <v>-1.036422E-2</v>
      </c>
      <c r="S3942">
        <v>3.058319</v>
      </c>
      <c r="T3942">
        <v>-8.0817700000000006E-2</v>
      </c>
      <c r="U3942">
        <v>-0.53004459999999998</v>
      </c>
      <c r="V3942">
        <v>1.8727259999999999E-2</v>
      </c>
      <c r="W3942">
        <v>0.19170690000000001</v>
      </c>
      <c r="X3942">
        <v>0.98127350000000002</v>
      </c>
      <c r="Y3942">
        <v>0.1789665</v>
      </c>
      <c r="Z3942">
        <v>-3.7471409999999998E-3</v>
      </c>
      <c r="AA3942">
        <v>0.98384799999999994</v>
      </c>
      <c r="AB3942">
        <v>32</v>
      </c>
      <c r="AC3942">
        <v>41.694699999999997</v>
      </c>
      <c r="AD3942">
        <v>-1.1101413741840001</v>
      </c>
      <c r="AE3942">
        <v>-7.2835000000000001</v>
      </c>
      <c r="AF3942">
        <v>7.6292633967703303</v>
      </c>
      <c r="AG3942">
        <v>-1.1101413741840001</v>
      </c>
      <c r="AH3942">
        <v>41.603238259915898</v>
      </c>
      <c r="AI3942">
        <v>91.503459718829703</v>
      </c>
      <c r="AJ3942">
        <v>79.608473321920698</v>
      </c>
      <c r="AK3942">
        <v>42.311552885226298</v>
      </c>
      <c r="AL3942">
        <v>78.947585880249306</v>
      </c>
      <c r="AM3942">
        <v>88.906662904437795</v>
      </c>
      <c r="AN3942">
        <v>0.99999996378848299</v>
      </c>
    </row>
    <row r="3943" spans="1:40" x14ac:dyDescent="0.25">
      <c r="A3943" t="str">
        <f>"20190304155711330"</f>
        <v>20190304155711330</v>
      </c>
      <c r="B3943" t="str">
        <f>"1551686231318393"</f>
        <v>1551686231318393</v>
      </c>
      <c r="C3943" t="s">
        <v>40</v>
      </c>
      <c r="D3943">
        <v>4.5395079999999997</v>
      </c>
      <c r="E3943">
        <v>0.56186420000000004</v>
      </c>
      <c r="F3943" t="s">
        <v>53</v>
      </c>
      <c r="G3943">
        <v>-181.3186</v>
      </c>
      <c r="H3943" s="1">
        <v>3.5088039999999999E-6</v>
      </c>
      <c r="I3943">
        <v>207.45740000000001</v>
      </c>
      <c r="J3943">
        <v>-223.42779999999999</v>
      </c>
      <c r="K3943">
        <v>1.1101289999999999</v>
      </c>
      <c r="L3943">
        <v>214.91650000000001</v>
      </c>
      <c r="M3943">
        <v>0.99986240000000004</v>
      </c>
      <c r="N3943">
        <v>-1.441285E-2</v>
      </c>
      <c r="O3943">
        <v>8.2253999999999904E-3</v>
      </c>
      <c r="P3943">
        <v>0.98416740000000003</v>
      </c>
      <c r="Q3943">
        <v>0.1768662</v>
      </c>
      <c r="R3943">
        <v>-1.152952E-2</v>
      </c>
      <c r="S3943">
        <v>3.0573579999999998</v>
      </c>
      <c r="T3943">
        <v>-7.9994679999999999E-2</v>
      </c>
      <c r="U3943">
        <v>-0.53730769999999906</v>
      </c>
      <c r="V3943">
        <v>1.9706350000000001E-2</v>
      </c>
      <c r="W3943">
        <v>0.1910221</v>
      </c>
      <c r="X3943">
        <v>0.98138789999999998</v>
      </c>
      <c r="Y3943">
        <v>0.18109140000000001</v>
      </c>
      <c r="Z3943">
        <v>-3.7619929999999999E-3</v>
      </c>
      <c r="AA3943">
        <v>0.98345910000000003</v>
      </c>
      <c r="AB3943">
        <v>32</v>
      </c>
      <c r="AC3943">
        <v>42.109199999999902</v>
      </c>
      <c r="AD3943">
        <v>-1.1101254911959999</v>
      </c>
      <c r="AE3943">
        <v>-7.4591000000000003</v>
      </c>
      <c r="AF3943">
        <v>7.7999924341438902</v>
      </c>
      <c r="AG3943">
        <v>-1.1101254911959999</v>
      </c>
      <c r="AH3943">
        <v>42.018100235451399</v>
      </c>
      <c r="AI3943">
        <v>91.488002923715001</v>
      </c>
      <c r="AJ3943">
        <v>79.483656598339905</v>
      </c>
      <c r="AK3943">
        <v>42.750356816935998</v>
      </c>
      <c r="AL3943">
        <v>78.987561173173304</v>
      </c>
      <c r="AM3943">
        <v>88.849650614332603</v>
      </c>
      <c r="AN3943">
        <v>0.99999999659257099</v>
      </c>
    </row>
    <row r="3944" spans="1:40" x14ac:dyDescent="0.25">
      <c r="A3944" t="str">
        <f>"20190304155711353"</f>
        <v>20190304155711353</v>
      </c>
      <c r="B3944" t="str">
        <f>"1551686231348648"</f>
        <v>1551686231348648</v>
      </c>
      <c r="C3944" t="s">
        <v>40</v>
      </c>
      <c r="D3944">
        <v>4.4799699999999998</v>
      </c>
      <c r="E3944">
        <v>0.57132640000000001</v>
      </c>
      <c r="F3944" t="s">
        <v>53</v>
      </c>
      <c r="G3944">
        <v>-181.5369</v>
      </c>
      <c r="H3944" s="1">
        <v>3.5561900000000001E-6</v>
      </c>
      <c r="I3944">
        <v>207.46129999999999</v>
      </c>
      <c r="J3944">
        <v>-223.09790000000001</v>
      </c>
      <c r="K3944">
        <v>1.1101080000000001</v>
      </c>
      <c r="L3944">
        <v>214.91890000000001</v>
      </c>
      <c r="M3944">
        <v>0.99986439999999999</v>
      </c>
      <c r="N3944">
        <v>-1.440955E-2</v>
      </c>
      <c r="O3944">
        <v>7.9903370000000001E-3</v>
      </c>
      <c r="P3944">
        <v>0.98421130000000001</v>
      </c>
      <c r="Q3944">
        <v>0.17656859999999999</v>
      </c>
      <c r="R3944">
        <v>-1.2344290000000001E-2</v>
      </c>
      <c r="S3944">
        <v>3.0564269999999998</v>
      </c>
      <c r="T3944">
        <v>-8.099663E-2</v>
      </c>
      <c r="U3944">
        <v>-0.54394529999999996</v>
      </c>
      <c r="V3944">
        <v>2.0299500000000002E-2</v>
      </c>
      <c r="W3944">
        <v>0.19072069999999999</v>
      </c>
      <c r="X3944">
        <v>0.98143440000000004</v>
      </c>
      <c r="Y3944">
        <v>0.1829789</v>
      </c>
      <c r="Z3944">
        <v>-3.830094E-3</v>
      </c>
      <c r="AA3944">
        <v>0.98310940000000002</v>
      </c>
      <c r="AB3944">
        <v>32</v>
      </c>
      <c r="AC3944">
        <v>41.561</v>
      </c>
      <c r="AD3944">
        <v>-1.1101044438100001</v>
      </c>
      <c r="AE3944">
        <v>-7.45760000000001</v>
      </c>
      <c r="AF3944">
        <v>7.7841024720143999</v>
      </c>
      <c r="AG3944">
        <v>-1.1101044438100001</v>
      </c>
      <c r="AH3944">
        <v>41.471413728722801</v>
      </c>
      <c r="AI3944">
        <v>91.507019688999904</v>
      </c>
      <c r="AJ3944">
        <v>79.369384427849496</v>
      </c>
      <c r="AK3944">
        <v>42.210220798165601</v>
      </c>
      <c r="AL3944">
        <v>79.005153241438705</v>
      </c>
      <c r="AM3944">
        <v>88.815091603281999</v>
      </c>
      <c r="AN3944">
        <v>0.99999996830604898</v>
      </c>
    </row>
    <row r="3945" spans="1:40" x14ac:dyDescent="0.25">
      <c r="A3945" t="str">
        <f>"20190304155711375"</f>
        <v>20190304155711375</v>
      </c>
      <c r="B3945" t="str">
        <f>"1551686231368169"</f>
        <v>1551686231368169</v>
      </c>
      <c r="C3945" t="s">
        <v>40</v>
      </c>
      <c r="D3945">
        <v>4.4991009999999996</v>
      </c>
      <c r="E3945">
        <v>0.5706966</v>
      </c>
      <c r="F3945" t="s">
        <v>47</v>
      </c>
      <c r="G3945">
        <v>-177.84059999999999</v>
      </c>
      <c r="H3945">
        <v>0.2190329</v>
      </c>
      <c r="I3945">
        <v>205.6985</v>
      </c>
      <c r="J3945">
        <v>-222.78720000000001</v>
      </c>
      <c r="K3945">
        <v>1.1100859999999999</v>
      </c>
      <c r="L3945">
        <v>214.9212</v>
      </c>
      <c r="M3945">
        <v>0.99986629999999999</v>
      </c>
      <c r="N3945">
        <v>-1.440644E-2</v>
      </c>
      <c r="O3945">
        <v>7.7424629999999998E-3</v>
      </c>
      <c r="P3945">
        <v>0.98429730000000004</v>
      </c>
      <c r="Q3945">
        <v>0.1759878</v>
      </c>
      <c r="R3945">
        <v>-1.369213E-2</v>
      </c>
      <c r="S3945">
        <v>3.0511020000000002</v>
      </c>
      <c r="T3945">
        <v>-6.007349E-2</v>
      </c>
      <c r="U3945">
        <v>-0.62161250000000001</v>
      </c>
      <c r="V3945">
        <v>2.1413419999999999E-2</v>
      </c>
      <c r="W3945">
        <v>0.19013650000000001</v>
      </c>
      <c r="X3945">
        <v>0.98152410000000001</v>
      </c>
      <c r="Y3945">
        <v>0.20714630000000001</v>
      </c>
      <c r="Z3945">
        <v>-3.5664719999999998E-3</v>
      </c>
      <c r="AA3945">
        <v>0.97830349999999999</v>
      </c>
      <c r="AB3945">
        <v>32</v>
      </c>
      <c r="AC3945">
        <v>44.946599999999997</v>
      </c>
      <c r="AD3945">
        <v>-0.89105310000000004</v>
      </c>
      <c r="AE3945">
        <v>-9.2226999999999997</v>
      </c>
      <c r="AF3945">
        <v>9.5668489542706894</v>
      </c>
      <c r="AG3945">
        <v>-0.89105310000000004</v>
      </c>
      <c r="AH3945">
        <v>44.856921367278701</v>
      </c>
      <c r="AI3945">
        <v>91.112968798647401</v>
      </c>
      <c r="AJ3945">
        <v>77.960635038961797</v>
      </c>
      <c r="AK3945">
        <v>45.8744151907256</v>
      </c>
      <c r="AL3945">
        <v>79.039249612925204</v>
      </c>
      <c r="AM3945">
        <v>88.750204915903296</v>
      </c>
      <c r="AN3945">
        <v>0.99999999103457804</v>
      </c>
    </row>
    <row r="3946" spans="1:40" x14ac:dyDescent="0.25">
      <c r="A3946" t="str">
        <f>"20190304155711396"</f>
        <v>20190304155711396</v>
      </c>
      <c r="B3946" t="str">
        <f>"1551686231388683"</f>
        <v>1551686231388683</v>
      </c>
      <c r="C3946" t="s">
        <v>40</v>
      </c>
      <c r="D3946">
        <v>4.499358</v>
      </c>
      <c r="E3946">
        <v>0.57041269999999999</v>
      </c>
      <c r="F3946" t="s">
        <v>47</v>
      </c>
      <c r="G3946">
        <v>-178.05019999999999</v>
      </c>
      <c r="H3946">
        <v>0.20043130000000001</v>
      </c>
      <c r="I3946">
        <v>205.81649999999999</v>
      </c>
      <c r="J3946">
        <v>-222.4776</v>
      </c>
      <c r="K3946">
        <v>1.110066</v>
      </c>
      <c r="L3946">
        <v>214.92330000000001</v>
      </c>
      <c r="M3946">
        <v>0.99986830000000004</v>
      </c>
      <c r="N3946">
        <v>-1.4403310000000001E-2</v>
      </c>
      <c r="O3946">
        <v>7.4729769999999996E-3</v>
      </c>
      <c r="P3946">
        <v>0.98427039999999999</v>
      </c>
      <c r="Q3946">
        <v>0.17603179999999999</v>
      </c>
      <c r="R3946">
        <v>-1.4983649999999999E-2</v>
      </c>
      <c r="S3946">
        <v>3.0503230000000001</v>
      </c>
      <c r="T3946">
        <v>-6.2023519999999999E-2</v>
      </c>
      <c r="U3946">
        <v>-0.62078859999999902</v>
      </c>
      <c r="V3946">
        <v>2.2448289999999999E-2</v>
      </c>
      <c r="W3946">
        <v>0.19017539999999999</v>
      </c>
      <c r="X3946">
        <v>0.98149350000000002</v>
      </c>
      <c r="Y3946">
        <v>0.20667430000000001</v>
      </c>
      <c r="Z3946">
        <v>-3.6273989999999999E-3</v>
      </c>
      <c r="AA3946">
        <v>0.97840309999999997</v>
      </c>
      <c r="AB3946">
        <v>32</v>
      </c>
      <c r="AC3946">
        <v>44.427399999999999</v>
      </c>
      <c r="AD3946">
        <v>-0.90963470000000002</v>
      </c>
      <c r="AE3946">
        <v>-9.1068000000000193</v>
      </c>
      <c r="AF3946">
        <v>9.4347893739106503</v>
      </c>
      <c r="AG3946">
        <v>-0.90963470000000002</v>
      </c>
      <c r="AH3946">
        <v>44.340258840109101</v>
      </c>
      <c r="AI3946">
        <v>91.149522994819506</v>
      </c>
      <c r="AJ3946">
        <v>77.987666462359599</v>
      </c>
      <c r="AK3946">
        <v>45.342047150799999</v>
      </c>
      <c r="AL3946">
        <v>79.036980033325406</v>
      </c>
      <c r="AM3946">
        <v>88.689784423431405</v>
      </c>
      <c r="AN3946">
        <v>1.00000004951566</v>
      </c>
    </row>
    <row r="3947" spans="1:40" x14ac:dyDescent="0.25">
      <c r="A3947" t="str">
        <f>"20190304155711418"</f>
        <v>20190304155711418</v>
      </c>
      <c r="B3947" t="str">
        <f>"1551686231408185"</f>
        <v>1551686231408185</v>
      </c>
      <c r="C3947" t="s">
        <v>40</v>
      </c>
      <c r="D3947">
        <v>4.4444030000000003</v>
      </c>
      <c r="E3947">
        <v>0.57030649999999905</v>
      </c>
      <c r="F3947" t="s">
        <v>47</v>
      </c>
      <c r="G3947">
        <v>-177.8425</v>
      </c>
      <c r="H3947">
        <v>0.21057619999999999</v>
      </c>
      <c r="I3947">
        <v>205.81440000000001</v>
      </c>
      <c r="J3947">
        <v>-222.15389999999999</v>
      </c>
      <c r="K3947">
        <v>1.110042</v>
      </c>
      <c r="L3947">
        <v>214.9254</v>
      </c>
      <c r="M3947">
        <v>0.9998707</v>
      </c>
      <c r="N3947">
        <v>-1.44E-2</v>
      </c>
      <c r="O3947">
        <v>7.1642559999999999E-3</v>
      </c>
      <c r="P3947">
        <v>0.98435189999999995</v>
      </c>
      <c r="Q3947">
        <v>0.1755351</v>
      </c>
      <c r="R3947">
        <v>-1.5450810000000001E-2</v>
      </c>
      <c r="S3947">
        <v>3.0494539999999999</v>
      </c>
      <c r="T3947">
        <v>-6.145287E-2</v>
      </c>
      <c r="U3947">
        <v>-0.62231449999999999</v>
      </c>
      <c r="V3947">
        <v>2.2621249999999999E-2</v>
      </c>
      <c r="W3947">
        <v>0.18967539999999999</v>
      </c>
      <c r="X3947">
        <v>0.98158619999999996</v>
      </c>
      <c r="Y3947">
        <v>0.20689769999999999</v>
      </c>
      <c r="Z3947">
        <v>-3.60925E-3</v>
      </c>
      <c r="AA3947">
        <v>0.97835589999999995</v>
      </c>
      <c r="AB3947">
        <v>32</v>
      </c>
      <c r="AC3947">
        <v>44.3113999999999</v>
      </c>
      <c r="AD3947">
        <v>-0.89946579999999998</v>
      </c>
      <c r="AE3947">
        <v>-9.11099999999999</v>
      </c>
      <c r="AF3947">
        <v>9.4245314845113892</v>
      </c>
      <c r="AG3947">
        <v>-0.89946579999999998</v>
      </c>
      <c r="AH3947">
        <v>44.227497993931799</v>
      </c>
      <c r="AI3947">
        <v>91.139500943174099</v>
      </c>
      <c r="AJ3947">
        <v>77.970644190228796</v>
      </c>
      <c r="AK3947">
        <v>45.229441862918797</v>
      </c>
      <c r="AL3947">
        <v>79.066158177622995</v>
      </c>
      <c r="AM3947">
        <v>88.679817654210098</v>
      </c>
      <c r="AN3947">
        <v>0.99999997317358003</v>
      </c>
    </row>
    <row r="3948" spans="1:40" x14ac:dyDescent="0.25">
      <c r="A3948" t="str">
        <f>"20190304155711441"</f>
        <v>20190304155711441</v>
      </c>
      <c r="B3948" t="str">
        <f>"1551686231438441"</f>
        <v>1551686231438441</v>
      </c>
      <c r="C3948" t="s">
        <v>40</v>
      </c>
      <c r="D3948">
        <v>4.4199299999999999</v>
      </c>
      <c r="E3948">
        <v>0.57070889999999996</v>
      </c>
      <c r="F3948" t="s">
        <v>47</v>
      </c>
      <c r="G3948">
        <v>-177.83599999999899</v>
      </c>
      <c r="H3948">
        <v>0.239312</v>
      </c>
      <c r="I3948">
        <v>205.8716</v>
      </c>
      <c r="J3948">
        <v>-221.84569999999999</v>
      </c>
      <c r="K3948">
        <v>1.110017</v>
      </c>
      <c r="L3948">
        <v>214.9273</v>
      </c>
      <c r="M3948">
        <v>0.99987300000000001</v>
      </c>
      <c r="N3948">
        <v>-1.4396859999999999E-2</v>
      </c>
      <c r="O3948">
        <v>6.8404859999999998E-3</v>
      </c>
      <c r="P3948">
        <v>0.98446009999999995</v>
      </c>
      <c r="Q3948">
        <v>0.174888299999999</v>
      </c>
      <c r="R3948">
        <v>-1.5893629999999999E-2</v>
      </c>
      <c r="S3948">
        <v>3.048584</v>
      </c>
      <c r="T3948">
        <v>-5.9896709999999999E-2</v>
      </c>
      <c r="U3948">
        <v>-0.62280269999999904</v>
      </c>
      <c r="V3948">
        <v>2.275551E-2</v>
      </c>
      <c r="W3948">
        <v>0.18902640000000001</v>
      </c>
      <c r="X3948">
        <v>0.98170829999999998</v>
      </c>
      <c r="Y3948">
        <v>0.2067889</v>
      </c>
      <c r="Z3948">
        <v>-3.550143E-3</v>
      </c>
      <c r="AA3948">
        <v>0.97837909999999995</v>
      </c>
      <c r="AB3948">
        <v>32</v>
      </c>
      <c r="AC3948">
        <v>44.009700000000002</v>
      </c>
      <c r="AD3948">
        <v>-0.87070499999999995</v>
      </c>
      <c r="AE3948">
        <v>-9.0556999999999999</v>
      </c>
      <c r="AF3948">
        <v>9.3530547313602206</v>
      </c>
      <c r="AG3948">
        <v>-0.87070499999999995</v>
      </c>
      <c r="AH3948">
        <v>43.930221522685599</v>
      </c>
      <c r="AI3948">
        <v>91.110578588848</v>
      </c>
      <c r="AJ3948">
        <v>77.980786862173801</v>
      </c>
      <c r="AK3948">
        <v>44.923291542774102</v>
      </c>
      <c r="AL3948">
        <v>79.1040284114396</v>
      </c>
      <c r="AM3948">
        <v>88.672150114324893</v>
      </c>
      <c r="AN3948">
        <v>0.999999989710605</v>
      </c>
    </row>
    <row r="3949" spans="1:40" x14ac:dyDescent="0.25">
      <c r="A3949" t="str">
        <f>"20190304155711463"</f>
        <v>20190304155711463</v>
      </c>
      <c r="B3949" t="str">
        <f>"1551686231458940"</f>
        <v>1551686231458940</v>
      </c>
      <c r="C3949" t="s">
        <v>40</v>
      </c>
      <c r="D3949">
        <v>4.4300129999999998</v>
      </c>
      <c r="E3949">
        <v>0.5707835</v>
      </c>
      <c r="F3949" t="s">
        <v>47</v>
      </c>
      <c r="G3949">
        <v>-177.82589999999999</v>
      </c>
      <c r="H3949">
        <v>0.28461589999999998</v>
      </c>
      <c r="I3949">
        <v>205.8612</v>
      </c>
      <c r="J3949">
        <v>-221.52269999999999</v>
      </c>
      <c r="K3949">
        <v>1.1099870000000001</v>
      </c>
      <c r="L3949">
        <v>214.92910000000001</v>
      </c>
      <c r="M3949">
        <v>0.99987559999999998</v>
      </c>
      <c r="N3949">
        <v>-1.4393639999999999E-2</v>
      </c>
      <c r="O3949">
        <v>6.4641539999999997E-3</v>
      </c>
      <c r="P3949">
        <v>0.98445400000000005</v>
      </c>
      <c r="Q3949">
        <v>0.17493259999999999</v>
      </c>
      <c r="R3949">
        <v>-1.5780450000000001E-2</v>
      </c>
      <c r="S3949">
        <v>3.0473940000000002</v>
      </c>
      <c r="T3949">
        <v>-5.7140709999999997E-2</v>
      </c>
      <c r="U3949">
        <v>-0.62762450000000003</v>
      </c>
      <c r="V3949">
        <v>2.228484E-2</v>
      </c>
      <c r="W3949">
        <v>0.18906619999999999</v>
      </c>
      <c r="X3949">
        <v>0.98171140000000001</v>
      </c>
      <c r="Y3949">
        <v>0.20798530000000001</v>
      </c>
      <c r="Z3949">
        <v>-3.4700960000000002E-3</v>
      </c>
      <c r="AA3949">
        <v>0.97812580000000005</v>
      </c>
      <c r="AB3949">
        <v>32</v>
      </c>
      <c r="AC3949">
        <v>43.696800000000003</v>
      </c>
      <c r="AD3949">
        <v>-0.82537109999999902</v>
      </c>
      <c r="AE3949">
        <v>-9.0678999999999998</v>
      </c>
      <c r="AF3949">
        <v>9.3470054565536298</v>
      </c>
      <c r="AG3949">
        <v>-0.82537109999999902</v>
      </c>
      <c r="AH3949">
        <v>43.6223435119065</v>
      </c>
      <c r="AI3949">
        <v>91.059902127051899</v>
      </c>
      <c r="AJ3949">
        <v>77.906046103552896</v>
      </c>
      <c r="AK3949">
        <v>44.620136731394403</v>
      </c>
      <c r="AL3949">
        <v>79.101705809526905</v>
      </c>
      <c r="AM3949">
        <v>88.699609646003793</v>
      </c>
      <c r="AN3949">
        <v>0.99999995748311099</v>
      </c>
    </row>
    <row r="3950" spans="1:40" x14ac:dyDescent="0.25">
      <c r="A3950" t="str">
        <f>"20190304155711486"</f>
        <v>20190304155711486</v>
      </c>
      <c r="B3950" t="str">
        <f>"1551686231478457"</f>
        <v>1551686231478457</v>
      </c>
      <c r="C3950" t="s">
        <v>40</v>
      </c>
      <c r="D3950">
        <v>4.4113360000000004</v>
      </c>
      <c r="E3950">
        <v>0.57100399999999996</v>
      </c>
      <c r="F3950" t="s">
        <v>47</v>
      </c>
      <c r="G3950">
        <v>-177.81630000000001</v>
      </c>
      <c r="H3950">
        <v>0.32742310000000002</v>
      </c>
      <c r="I3950">
        <v>205.91540000000001</v>
      </c>
      <c r="J3950">
        <v>-221.2141</v>
      </c>
      <c r="K3950">
        <v>1.109961</v>
      </c>
      <c r="L3950">
        <v>214.9307</v>
      </c>
      <c r="M3950">
        <v>0.99987820000000005</v>
      </c>
      <c r="N3950">
        <v>-1.43906E-2</v>
      </c>
      <c r="O3950">
        <v>6.0614309999999999E-3</v>
      </c>
      <c r="P3950">
        <v>0.9844927</v>
      </c>
      <c r="Q3950">
        <v>0.17468120000000001</v>
      </c>
      <c r="R3950">
        <v>-1.615697E-2</v>
      </c>
      <c r="S3950">
        <v>3.0469970000000002</v>
      </c>
      <c r="T3950">
        <v>-5.4556609999999998E-2</v>
      </c>
      <c r="U3950">
        <v>-0.62838749999999999</v>
      </c>
      <c r="V3950">
        <v>2.2280000000000001E-2</v>
      </c>
      <c r="W3950">
        <v>0.1888106</v>
      </c>
      <c r="X3950">
        <v>0.98176070000000004</v>
      </c>
      <c r="Y3950">
        <v>0.20785590000000001</v>
      </c>
      <c r="Z3950">
        <v>-3.373862E-3</v>
      </c>
      <c r="AA3950">
        <v>0.97815359999999996</v>
      </c>
      <c r="AB3950">
        <v>32</v>
      </c>
      <c r="AC3950">
        <v>43.397799999999897</v>
      </c>
      <c r="AD3950">
        <v>-0.78253790000000001</v>
      </c>
      <c r="AE3950">
        <v>-9.0152999999999892</v>
      </c>
      <c r="AF3950">
        <v>9.2753232775225705</v>
      </c>
      <c r="AG3950">
        <v>-0.78253790000000001</v>
      </c>
      <c r="AH3950">
        <v>43.328846029746401</v>
      </c>
      <c r="AI3950">
        <v>91.011756972430305</v>
      </c>
      <c r="AJ3950">
        <v>77.917165032967503</v>
      </c>
      <c r="AK3950">
        <v>44.317410638900803</v>
      </c>
      <c r="AL3950">
        <v>79.116619207655006</v>
      </c>
      <c r="AM3950">
        <v>88.699957241939003</v>
      </c>
      <c r="AN3950">
        <v>0.999999956568424</v>
      </c>
    </row>
    <row r="3951" spans="1:40" x14ac:dyDescent="0.25">
      <c r="A3951" t="str">
        <f>"20190304155711508"</f>
        <v>20190304155711508</v>
      </c>
      <c r="B3951" t="str">
        <f>"1551686231498954"</f>
        <v>1551686231498954</v>
      </c>
      <c r="C3951" t="s">
        <v>40</v>
      </c>
      <c r="D3951">
        <v>4.3773499999999999</v>
      </c>
      <c r="E3951">
        <v>0.57141219999999904</v>
      </c>
      <c r="F3951" t="s">
        <v>47</v>
      </c>
      <c r="G3951">
        <v>-177.81030000000001</v>
      </c>
      <c r="H3951">
        <v>0.35427229999999998</v>
      </c>
      <c r="I3951">
        <v>205.93889999999999</v>
      </c>
      <c r="J3951">
        <v>-220.8948</v>
      </c>
      <c r="K3951">
        <v>1.1099139999999901</v>
      </c>
      <c r="L3951">
        <v>214.93219999999999</v>
      </c>
      <c r="M3951">
        <v>0.99988100000000002</v>
      </c>
      <c r="N3951">
        <v>-1.4387779999999999E-2</v>
      </c>
      <c r="O3951">
        <v>5.5905859999999998E-3</v>
      </c>
      <c r="P3951">
        <v>0.98458239999999997</v>
      </c>
      <c r="Q3951">
        <v>0.17413589999999901</v>
      </c>
      <c r="R3951">
        <v>-1.6568550000000001E-2</v>
      </c>
      <c r="S3951">
        <v>3.0462950000000002</v>
      </c>
      <c r="T3951">
        <v>-5.3038000000000002E-2</v>
      </c>
      <c r="U3951">
        <v>-0.63108830000000005</v>
      </c>
      <c r="V3951">
        <v>2.2247719999999999E-2</v>
      </c>
      <c r="W3951">
        <v>0.1882617</v>
      </c>
      <c r="X3951">
        <v>0.98186689999999999</v>
      </c>
      <c r="Y3951">
        <v>0.20827390000000001</v>
      </c>
      <c r="Z3951">
        <v>-3.3249709999999999E-3</v>
      </c>
      <c r="AA3951">
        <v>0.97806490000000001</v>
      </c>
      <c r="AB3951">
        <v>32</v>
      </c>
      <c r="AC3951">
        <v>43.084499999999899</v>
      </c>
      <c r="AD3951">
        <v>-0.75564169999999897</v>
      </c>
      <c r="AE3951">
        <v>-8.9932999999999996</v>
      </c>
      <c r="AF3951">
        <v>9.2313309101350995</v>
      </c>
      <c r="AG3951">
        <v>-0.75564169999999897</v>
      </c>
      <c r="AH3951">
        <v>43.020862738090997</v>
      </c>
      <c r="AI3951">
        <v>90.983879302388701</v>
      </c>
      <c r="AJ3951">
        <v>77.889232079828602</v>
      </c>
      <c r="AK3951">
        <v>44.006625586164397</v>
      </c>
      <c r="AL3951">
        <v>79.1486438586182</v>
      </c>
      <c r="AM3951">
        <v>88.701980504440499</v>
      </c>
      <c r="AN3951">
        <v>1.0000000190238401</v>
      </c>
    </row>
    <row r="3952" spans="1:40" x14ac:dyDescent="0.25">
      <c r="A3952" t="str">
        <f>"20190304155711531"</f>
        <v>20190304155711531</v>
      </c>
      <c r="B3952" t="str">
        <f>"1551686231528233"</f>
        <v>1551686231528233</v>
      </c>
      <c r="C3952" t="s">
        <v>40</v>
      </c>
      <c r="D3952">
        <v>4.3028329999999997</v>
      </c>
      <c r="E3952">
        <v>0.57190839999999998</v>
      </c>
      <c r="F3952" t="s">
        <v>47</v>
      </c>
      <c r="G3952">
        <v>-177.81099999999901</v>
      </c>
      <c r="H3952">
        <v>0.35133189999999997</v>
      </c>
      <c r="I3952">
        <v>205.94159999999999</v>
      </c>
      <c r="J3952">
        <v>-220.5847</v>
      </c>
      <c r="K3952">
        <v>1.1098650000000001</v>
      </c>
      <c r="L3952">
        <v>214.93340000000001</v>
      </c>
      <c r="M3952">
        <v>0.99988379999999999</v>
      </c>
      <c r="N3952">
        <v>-1.4384910000000001E-2</v>
      </c>
      <c r="O3952">
        <v>5.065946E-3</v>
      </c>
      <c r="P3952">
        <v>0.98468409999999995</v>
      </c>
      <c r="Q3952">
        <v>0.173563299999999</v>
      </c>
      <c r="R3952">
        <v>-1.652814E-2</v>
      </c>
      <c r="S3952">
        <v>3.0457610000000002</v>
      </c>
      <c r="T3952">
        <v>-5.3627130000000002E-2</v>
      </c>
      <c r="U3952">
        <v>-0.63557430000000004</v>
      </c>
      <c r="V3952">
        <v>2.1713590000000001E-2</v>
      </c>
      <c r="W3952">
        <v>0.18768570000000001</v>
      </c>
      <c r="X3952">
        <v>0.98198909999999995</v>
      </c>
      <c r="Y3952">
        <v>0.20917430000000001</v>
      </c>
      <c r="Z3952">
        <v>-3.358677E-3</v>
      </c>
      <c r="AA3952">
        <v>0.97787259999999998</v>
      </c>
      <c r="AB3952">
        <v>32</v>
      </c>
      <c r="AC3952">
        <v>42.773699999999998</v>
      </c>
      <c r="AD3952">
        <v>-0.75853309999999896</v>
      </c>
      <c r="AE3952">
        <v>-8.9918000000000102</v>
      </c>
      <c r="AF3952">
        <v>9.2056237683937301</v>
      </c>
      <c r="AG3952">
        <v>-0.75853309999999896</v>
      </c>
      <c r="AH3952">
        <v>42.7147298327816</v>
      </c>
      <c r="AI3952">
        <v>90.994528910551907</v>
      </c>
      <c r="AJ3952">
        <v>77.837972053316093</v>
      </c>
      <c r="AK3952">
        <v>43.702025423503301</v>
      </c>
      <c r="AL3952">
        <v>79.182244964555807</v>
      </c>
      <c r="AM3952">
        <v>88.733291067863902</v>
      </c>
      <c r="AN3952">
        <v>0.99999999724699395</v>
      </c>
    </row>
    <row r="3953" spans="1:40" x14ac:dyDescent="0.25">
      <c r="A3953" t="str">
        <f>"20190304155711554"</f>
        <v>20190304155711554</v>
      </c>
      <c r="B3953" t="str">
        <f>"1551686231548730"</f>
        <v>1551686231548730</v>
      </c>
      <c r="C3953" t="s">
        <v>40</v>
      </c>
      <c r="D3953">
        <v>4.3285679999999997</v>
      </c>
      <c r="E3953">
        <v>0.57234510000000005</v>
      </c>
      <c r="F3953" t="s">
        <v>47</v>
      </c>
      <c r="G3953">
        <v>-177.80359999999999</v>
      </c>
      <c r="H3953">
        <v>0.38428370000000001</v>
      </c>
      <c r="I3953">
        <v>205.93819999999999</v>
      </c>
      <c r="J3953">
        <v>-220.25540000000001</v>
      </c>
      <c r="K3953">
        <v>1.109801</v>
      </c>
      <c r="L3953">
        <v>214.93440000000001</v>
      </c>
      <c r="M3953">
        <v>0.99988699999999997</v>
      </c>
      <c r="N3953">
        <v>-1.4381649999999999E-2</v>
      </c>
      <c r="O3953">
        <v>4.4164749999999996E-3</v>
      </c>
      <c r="P3953">
        <v>0.98469169999999995</v>
      </c>
      <c r="Q3953">
        <v>0.17350380000000001</v>
      </c>
      <c r="R3953">
        <v>-1.6709760000000001E-2</v>
      </c>
      <c r="S3953">
        <v>3.045013</v>
      </c>
      <c r="T3953">
        <v>-5.164444E-2</v>
      </c>
      <c r="U3953">
        <v>-0.64024349999999997</v>
      </c>
      <c r="V3953">
        <v>2.1284899999999999E-2</v>
      </c>
      <c r="W3953">
        <v>0.1876206</v>
      </c>
      <c r="X3953">
        <v>0.98201099999999997</v>
      </c>
      <c r="Y3953">
        <v>0.2100265</v>
      </c>
      <c r="Z3953">
        <v>-3.2998210000000001E-3</v>
      </c>
      <c r="AA3953">
        <v>0.97769010000000001</v>
      </c>
      <c r="AB3953">
        <v>31</v>
      </c>
      <c r="AC3953">
        <v>42.451799999999999</v>
      </c>
      <c r="AD3953">
        <v>-0.72551730000000003</v>
      </c>
      <c r="AE3953">
        <v>-8.9962000000000106</v>
      </c>
      <c r="AF3953">
        <v>9.18105255724352</v>
      </c>
      <c r="AG3953">
        <v>-0.72551730000000003</v>
      </c>
      <c r="AH3953">
        <v>42.399798374063998</v>
      </c>
      <c r="AI3953">
        <v>90.958111640452401</v>
      </c>
      <c r="AJ3953">
        <v>77.782067429523494</v>
      </c>
      <c r="AK3953">
        <v>43.388489298116198</v>
      </c>
      <c r="AL3953">
        <v>79.186043179228093</v>
      </c>
      <c r="AM3953">
        <v>88.758319394491494</v>
      </c>
      <c r="AN3953">
        <v>1.00000007031668</v>
      </c>
    </row>
    <row r="3954" spans="1:40" x14ac:dyDescent="0.25">
      <c r="A3954" t="str">
        <f>"20190304155711575"</f>
        <v>20190304155711575</v>
      </c>
      <c r="B3954" t="str">
        <f>"1551686231568249"</f>
        <v>1551686231568249</v>
      </c>
      <c r="C3954" t="s">
        <v>40</v>
      </c>
      <c r="D3954">
        <v>4.3171730000000004</v>
      </c>
      <c r="E3954">
        <v>0.57305819999999996</v>
      </c>
      <c r="F3954" t="s">
        <v>47</v>
      </c>
      <c r="G3954">
        <v>-177.7954</v>
      </c>
      <c r="H3954">
        <v>0.42083280000000001</v>
      </c>
      <c r="I3954">
        <v>205.9385</v>
      </c>
      <c r="J3954">
        <v>-219.95349999999999</v>
      </c>
      <c r="K3954">
        <v>1.1097360000000001</v>
      </c>
      <c r="L3954">
        <v>214.93510000000001</v>
      </c>
      <c r="M3954">
        <v>0.99988969999999999</v>
      </c>
      <c r="N3954">
        <v>-1.4378790000000001E-2</v>
      </c>
      <c r="O3954">
        <v>3.752656E-3</v>
      </c>
      <c r="P3954">
        <v>0.98482219999999998</v>
      </c>
      <c r="Q3954">
        <v>0.1727428</v>
      </c>
      <c r="R3954">
        <v>-1.6895919999999998E-2</v>
      </c>
      <c r="S3954">
        <v>3.0443880000000001</v>
      </c>
      <c r="T3954">
        <v>-4.9399140000000001E-2</v>
      </c>
      <c r="U3954">
        <v>-0.64500429999999997</v>
      </c>
      <c r="V3954">
        <v>2.0844089999999999E-2</v>
      </c>
      <c r="W3954">
        <v>0.1868561</v>
      </c>
      <c r="X3954">
        <v>0.98216610000000004</v>
      </c>
      <c r="Y3954">
        <v>0.21088489999999999</v>
      </c>
      <c r="Z3954">
        <v>-3.231954E-3</v>
      </c>
      <c r="AA3954">
        <v>0.97750559999999997</v>
      </c>
      <c r="AB3954">
        <v>31</v>
      </c>
      <c r="AC3954">
        <v>42.158099999999898</v>
      </c>
      <c r="AD3954">
        <v>-0.68890320000000005</v>
      </c>
      <c r="AE3954">
        <v>-8.9966000000000008</v>
      </c>
      <c r="AF3954">
        <v>9.1524203352433506</v>
      </c>
      <c r="AG3954">
        <v>-0.68890320000000005</v>
      </c>
      <c r="AH3954">
        <v>42.113282909768898</v>
      </c>
      <c r="AI3954">
        <v>90.915805729735993</v>
      </c>
      <c r="AJ3954">
        <v>77.738657510858403</v>
      </c>
      <c r="AK3954">
        <v>43.101855911899897</v>
      </c>
      <c r="AL3954">
        <v>79.230633249998306</v>
      </c>
      <c r="AM3954">
        <v>88.784218745466802</v>
      </c>
      <c r="AN3954">
        <v>0.99999996309217298</v>
      </c>
    </row>
    <row r="3955" spans="1:40" x14ac:dyDescent="0.25">
      <c r="A3955" t="str">
        <f>"20190304155711598"</f>
        <v>20190304155711598</v>
      </c>
      <c r="B3955" t="str">
        <f>"1551686231588745"</f>
        <v>1551686231588745</v>
      </c>
      <c r="C3955" t="s">
        <v>40</v>
      </c>
      <c r="D3955">
        <v>4.3141999999999996</v>
      </c>
      <c r="E3955">
        <v>0.5733973</v>
      </c>
      <c r="F3955" t="s">
        <v>47</v>
      </c>
      <c r="G3955">
        <v>-177.79249999999999</v>
      </c>
      <c r="H3955">
        <v>0.43379770000000001</v>
      </c>
      <c r="I3955">
        <v>205.9066</v>
      </c>
      <c r="J3955">
        <v>-219.64269999999999</v>
      </c>
      <c r="K3955">
        <v>1.1096729999999999</v>
      </c>
      <c r="L3955">
        <v>214.93539999999999</v>
      </c>
      <c r="M3955">
        <v>0.99989229999999996</v>
      </c>
      <c r="N3955">
        <v>-1.437592E-2</v>
      </c>
      <c r="O3955">
        <v>2.9873130000000001E-3</v>
      </c>
      <c r="P3955">
        <v>0.98496130000000004</v>
      </c>
      <c r="Q3955">
        <v>0.1719396</v>
      </c>
      <c r="R3955">
        <v>-1.69856E-2</v>
      </c>
      <c r="S3955">
        <v>3.0436100000000001</v>
      </c>
      <c r="T3955">
        <v>-4.8796180000000001E-2</v>
      </c>
      <c r="U3955">
        <v>-0.65176389999999995</v>
      </c>
      <c r="V3955">
        <v>2.0207840000000001E-2</v>
      </c>
      <c r="W3955">
        <v>0.1860504</v>
      </c>
      <c r="X3955">
        <v>0.98233239999999999</v>
      </c>
      <c r="Y3955">
        <v>0.21226439999999999</v>
      </c>
      <c r="Z3955">
        <v>-3.2303779999999999E-3</v>
      </c>
      <c r="AA3955">
        <v>0.97720689999999999</v>
      </c>
      <c r="AB3955">
        <v>31</v>
      </c>
      <c r="AC3955">
        <v>41.850200000000001</v>
      </c>
      <c r="AD3955">
        <v>-0.67587529999999996</v>
      </c>
      <c r="AE3955">
        <v>-9.0287999999999897</v>
      </c>
      <c r="AF3955">
        <v>9.15151153219227</v>
      </c>
      <c r="AG3955">
        <v>-0.67587529999999996</v>
      </c>
      <c r="AH3955">
        <v>41.812618104289598</v>
      </c>
      <c r="AI3955">
        <v>90.904659241136898</v>
      </c>
      <c r="AJ3955">
        <v>77.654372545229606</v>
      </c>
      <c r="AK3955">
        <v>42.807732986928499</v>
      </c>
      <c r="AL3955">
        <v>79.277621121607396</v>
      </c>
      <c r="AM3955">
        <v>88.821518393627102</v>
      </c>
      <c r="AN3955">
        <v>1.0000000261136901</v>
      </c>
    </row>
    <row r="3956" spans="1:40" x14ac:dyDescent="0.25">
      <c r="A3956" t="str">
        <f>"20190304155711615"</f>
        <v>20190304155711615</v>
      </c>
      <c r="B3956" t="str">
        <f>"1551686231608265"</f>
        <v>1551686231608265</v>
      </c>
      <c r="C3956" t="s">
        <v>40</v>
      </c>
      <c r="D3956">
        <v>4.339537</v>
      </c>
      <c r="E3956">
        <v>0.57367969999999902</v>
      </c>
      <c r="F3956" t="s">
        <v>47</v>
      </c>
      <c r="G3956">
        <v>-177.79249999999999</v>
      </c>
      <c r="H3956">
        <v>0.43396459999999998</v>
      </c>
      <c r="I3956">
        <v>205.9254</v>
      </c>
      <c r="J3956">
        <v>-219.40100000000001</v>
      </c>
      <c r="K3956">
        <v>1.1096200000000001</v>
      </c>
      <c r="L3956">
        <v>214.93549999999999</v>
      </c>
      <c r="M3956">
        <v>0.99989399999999995</v>
      </c>
      <c r="N3956">
        <v>-1.4373749999999999E-2</v>
      </c>
      <c r="O3956">
        <v>2.3291990000000001E-3</v>
      </c>
      <c r="P3956">
        <v>0.9849774</v>
      </c>
      <c r="Q3956">
        <v>0.1718132</v>
      </c>
      <c r="R3956">
        <v>-1.7325900000000002E-2</v>
      </c>
      <c r="S3956">
        <v>3.043091</v>
      </c>
      <c r="T3956">
        <v>-4.9133419999999997E-2</v>
      </c>
      <c r="U3956">
        <v>-0.65515140000000005</v>
      </c>
      <c r="V3956">
        <v>1.9923610000000001E-2</v>
      </c>
      <c r="W3956">
        <v>0.1859201</v>
      </c>
      <c r="X3956">
        <v>0.98236290000000004</v>
      </c>
      <c r="Y3956">
        <v>0.21269460000000001</v>
      </c>
      <c r="Z3956">
        <v>-3.2477859999999999E-3</v>
      </c>
      <c r="AA3956">
        <v>0.97711340000000002</v>
      </c>
      <c r="AB3956">
        <v>31</v>
      </c>
      <c r="AC3956">
        <v>41.6084999999999</v>
      </c>
      <c r="AD3956">
        <v>-0.67565540000000002</v>
      </c>
      <c r="AE3956">
        <v>-9.0100999999999907</v>
      </c>
      <c r="AF3956">
        <v>9.1047067959746801</v>
      </c>
      <c r="AG3956">
        <v>-0.67565540000000002</v>
      </c>
      <c r="AH3956">
        <v>41.576926447425599</v>
      </c>
      <c r="AI3956">
        <v>90.909468922220299</v>
      </c>
      <c r="AJ3956">
        <v>77.648085340570802</v>
      </c>
      <c r="AK3956">
        <v>42.567511189578099</v>
      </c>
      <c r="AL3956">
        <v>79.285219595974397</v>
      </c>
      <c r="AM3956">
        <v>88.838125618076205</v>
      </c>
      <c r="AN3956">
        <v>1.0000000505579201</v>
      </c>
    </row>
    <row r="3957" spans="1:40" x14ac:dyDescent="0.25">
      <c r="A3957" t="str">
        <f>"20190304155711631"</f>
        <v>20190304155711631</v>
      </c>
      <c r="B3957" t="str">
        <f>"1551686231628763"</f>
        <v>1551686231628763</v>
      </c>
      <c r="C3957" t="s">
        <v>40</v>
      </c>
      <c r="D3957">
        <v>4.2957479999999997</v>
      </c>
      <c r="E3957">
        <v>0.57412249999999998</v>
      </c>
      <c r="F3957" t="s">
        <v>47</v>
      </c>
      <c r="G3957">
        <v>-177.78700000000001</v>
      </c>
      <c r="H3957">
        <v>0.45833220000000002</v>
      </c>
      <c r="I3957">
        <v>205.9297</v>
      </c>
      <c r="J3957">
        <v>-219.17140000000001</v>
      </c>
      <c r="K3957">
        <v>1.1095649999999999</v>
      </c>
      <c r="L3957">
        <v>214.93539999999999</v>
      </c>
      <c r="M3957">
        <v>0.99989530000000004</v>
      </c>
      <c r="N3957">
        <v>-1.4371800000000001E-2</v>
      </c>
      <c r="O3957">
        <v>1.649155E-3</v>
      </c>
      <c r="P3957">
        <v>0.98513850000000003</v>
      </c>
      <c r="Q3957">
        <v>0.17085220000000001</v>
      </c>
      <c r="R3957">
        <v>-1.7653180000000001E-2</v>
      </c>
      <c r="S3957">
        <v>3.0424959999999999</v>
      </c>
      <c r="T3957">
        <v>-4.7617199999999998E-2</v>
      </c>
      <c r="U3957">
        <v>-0.65843200000000002</v>
      </c>
      <c r="V3957">
        <v>1.9604750000000001E-2</v>
      </c>
      <c r="W3957">
        <v>0.18495809999999999</v>
      </c>
      <c r="X3957">
        <v>0.9825509</v>
      </c>
      <c r="Y3957">
        <v>0.2130782</v>
      </c>
      <c r="Z3957">
        <v>-3.1992560000000001E-3</v>
      </c>
      <c r="AA3957">
        <v>0.97702990000000001</v>
      </c>
      <c r="AB3957">
        <v>31</v>
      </c>
      <c r="AC3957">
        <v>41.384399999999999</v>
      </c>
      <c r="AD3957">
        <v>-0.65123279999999895</v>
      </c>
      <c r="AE3957">
        <v>-9.0056999999999903</v>
      </c>
      <c r="AF3957">
        <v>9.0717992349610803</v>
      </c>
      <c r="AG3957">
        <v>-0.65123279999999895</v>
      </c>
      <c r="AH3957">
        <v>41.35971163936</v>
      </c>
      <c r="AI3957">
        <v>90.881137743684405</v>
      </c>
      <c r="AJ3957">
        <v>77.628708674642596</v>
      </c>
      <c r="AK3957">
        <v>42.3479325635886</v>
      </c>
      <c r="AL3957">
        <v>79.341311078852002</v>
      </c>
      <c r="AM3957">
        <v>88.856934125064896</v>
      </c>
      <c r="AN3957">
        <v>1.0000000580344801</v>
      </c>
    </row>
    <row r="3958" spans="1:40" x14ac:dyDescent="0.25">
      <c r="A3958" t="str">
        <f>"20190304155711648"</f>
        <v>20190304155711648</v>
      </c>
      <c r="B3958" t="str">
        <f>"1551686231638521"</f>
        <v>1551686231638521</v>
      </c>
      <c r="C3958" t="s">
        <v>40</v>
      </c>
      <c r="D3958">
        <v>4.2875489999999896</v>
      </c>
      <c r="E3958">
        <v>0.57447169999999903</v>
      </c>
      <c r="F3958" t="s">
        <v>47</v>
      </c>
      <c r="G3958">
        <v>-177.78989999999999</v>
      </c>
      <c r="H3958">
        <v>0.44525419999999999</v>
      </c>
      <c r="I3958">
        <v>205.9117</v>
      </c>
      <c r="J3958">
        <v>-218.9359</v>
      </c>
      <c r="K3958">
        <v>1.1095029999999999</v>
      </c>
      <c r="L3958">
        <v>214.935</v>
      </c>
      <c r="M3958">
        <v>0.99989649999999997</v>
      </c>
      <c r="N3958">
        <v>-1.4369989999999999E-2</v>
      </c>
      <c r="O3958">
        <v>8.8286880000000003E-4</v>
      </c>
      <c r="P3958">
        <v>0.98514270000000004</v>
      </c>
      <c r="Q3958">
        <v>0.17077970000000001</v>
      </c>
      <c r="R3958">
        <v>-1.8119E-2</v>
      </c>
      <c r="S3958">
        <v>3.0418240000000001</v>
      </c>
      <c r="T3958">
        <v>-4.8831579999999999E-2</v>
      </c>
      <c r="U3958">
        <v>-0.66329959999999999</v>
      </c>
      <c r="V3958">
        <v>1.934408E-2</v>
      </c>
      <c r="W3958">
        <v>0.18488170000000001</v>
      </c>
      <c r="X3958">
        <v>0.98257039999999995</v>
      </c>
      <c r="Y3958">
        <v>0.2138649</v>
      </c>
      <c r="Z3958">
        <v>-3.252783E-3</v>
      </c>
      <c r="AA3958">
        <v>0.9768578</v>
      </c>
      <c r="AB3958">
        <v>31</v>
      </c>
      <c r="AC3958">
        <v>41.146000000000001</v>
      </c>
      <c r="AD3958">
        <v>-0.66424879999999997</v>
      </c>
      <c r="AE3958">
        <v>-9.0233000000000008</v>
      </c>
      <c r="AF3958">
        <v>9.0573745371225698</v>
      </c>
      <c r="AG3958">
        <v>-0.66424879999999997</v>
      </c>
      <c r="AH3958">
        <v>41.127789893031597</v>
      </c>
      <c r="AI3958">
        <v>90.903645293679901</v>
      </c>
      <c r="AJ3958">
        <v>77.580276337645799</v>
      </c>
      <c r="AK3958">
        <v>42.1185512744606</v>
      </c>
      <c r="AL3958">
        <v>79.345764817394894</v>
      </c>
      <c r="AM3958">
        <v>88.872151060101103</v>
      </c>
      <c r="AN3958">
        <v>1.0000000136910401</v>
      </c>
    </row>
    <row r="3959" spans="1:40" x14ac:dyDescent="0.25">
      <c r="A3959" t="str">
        <f>"20190304155711662"</f>
        <v>20190304155711662</v>
      </c>
      <c r="B3959" t="str">
        <f>"1551686231659017"</f>
        <v>1551686231659017</v>
      </c>
      <c r="C3959" t="s">
        <v>40</v>
      </c>
      <c r="D3959">
        <v>4.2783870000000004</v>
      </c>
      <c r="E3959">
        <v>0.57505740000000005</v>
      </c>
      <c r="F3959" t="s">
        <v>47</v>
      </c>
      <c r="G3959">
        <v>-177.7869</v>
      </c>
      <c r="H3959">
        <v>0.45896229999999899</v>
      </c>
      <c r="I3959">
        <v>205.90350000000001</v>
      </c>
      <c r="J3959">
        <v>-218.72559999999999</v>
      </c>
      <c r="K3959">
        <v>1.109442</v>
      </c>
      <c r="L3959">
        <v>214.93450000000001</v>
      </c>
      <c r="M3959">
        <v>0.99989680000000003</v>
      </c>
      <c r="N3959">
        <v>-1.4368590000000001E-2</v>
      </c>
      <c r="O3959">
        <v>1.3950799999999999E-4</v>
      </c>
      <c r="P3959">
        <v>0.98515419999999998</v>
      </c>
      <c r="Q3959">
        <v>0.1706462</v>
      </c>
      <c r="R3959">
        <v>-1.8744569999999999E-2</v>
      </c>
      <c r="S3959">
        <v>3.04129</v>
      </c>
      <c r="T3959">
        <v>-4.8080919999999999E-2</v>
      </c>
      <c r="U3959">
        <v>-0.66751099999999997</v>
      </c>
      <c r="V3959">
        <v>1.926427E-2</v>
      </c>
      <c r="W3959">
        <v>0.1847444</v>
      </c>
      <c r="X3959">
        <v>0.98259779999999997</v>
      </c>
      <c r="Y3959">
        <v>0.2144663</v>
      </c>
      <c r="Z3959">
        <v>-3.2346200000000001E-3</v>
      </c>
      <c r="AA3959">
        <v>0.97672610000000004</v>
      </c>
      <c r="AB3959">
        <v>31</v>
      </c>
      <c r="AC3959">
        <v>40.938699999999898</v>
      </c>
      <c r="AD3959">
        <v>-0.65047969999999999</v>
      </c>
      <c r="AE3959">
        <v>-9.0310000000000006</v>
      </c>
      <c r="AF3959">
        <v>9.0345367282711599</v>
      </c>
      <c r="AG3959">
        <v>-0.65047969999999999</v>
      </c>
      <c r="AH3959">
        <v>40.927586327760203</v>
      </c>
      <c r="AI3959">
        <v>90.889147739656394</v>
      </c>
      <c r="AJ3959">
        <v>77.551904205932402</v>
      </c>
      <c r="AK3959">
        <v>41.917935306391897</v>
      </c>
      <c r="AL3959">
        <v>79.3537694961894</v>
      </c>
      <c r="AM3959">
        <v>88.876834468690603</v>
      </c>
      <c r="AN3959">
        <v>1.00000002099741</v>
      </c>
    </row>
    <row r="3960" spans="1:40" x14ac:dyDescent="0.25">
      <c r="A3960" t="str">
        <f>"20190304155711676"</f>
        <v>20190304155711676</v>
      </c>
      <c r="B3960" t="str">
        <f>"1551686231668777"</f>
        <v>1551686231668777</v>
      </c>
      <c r="C3960" t="s">
        <v>40</v>
      </c>
      <c r="D3960">
        <v>4.2529909999999997</v>
      </c>
      <c r="E3960">
        <v>0.57526409999999994</v>
      </c>
      <c r="F3960" t="s">
        <v>47</v>
      </c>
      <c r="G3960">
        <v>-177.78360000000001</v>
      </c>
      <c r="H3960">
        <v>0.47356789999999999</v>
      </c>
      <c r="I3960">
        <v>205.8545</v>
      </c>
      <c r="J3960">
        <v>-218.542</v>
      </c>
      <c r="K3960">
        <v>1.1093839999999999</v>
      </c>
      <c r="L3960">
        <v>214.93379999999999</v>
      </c>
      <c r="M3960">
        <v>0.99989669999999997</v>
      </c>
      <c r="N3960">
        <v>-1.43675E-2</v>
      </c>
      <c r="O3960">
        <v>-5.5121339999999997E-4</v>
      </c>
      <c r="P3960">
        <v>0.98511420000000005</v>
      </c>
      <c r="Q3960">
        <v>0.17080109999999901</v>
      </c>
      <c r="R3960">
        <v>-1.9418600000000001E-2</v>
      </c>
      <c r="S3960">
        <v>3.040543</v>
      </c>
      <c r="T3960">
        <v>-4.7222970000000003E-2</v>
      </c>
      <c r="U3960">
        <v>-0.67431640000000004</v>
      </c>
      <c r="V3960">
        <v>1.928376E-2</v>
      </c>
      <c r="W3960">
        <v>0.18489539999999999</v>
      </c>
      <c r="X3960">
        <v>0.98256900000000003</v>
      </c>
      <c r="Y3960">
        <v>0.21592729999999999</v>
      </c>
      <c r="Z3960">
        <v>-3.225983E-3</v>
      </c>
      <c r="AA3960">
        <v>0.9764041</v>
      </c>
      <c r="AB3960">
        <v>31</v>
      </c>
      <c r="AC3960">
        <v>40.758400000000002</v>
      </c>
      <c r="AD3960">
        <v>-0.6358161</v>
      </c>
      <c r="AE3960">
        <v>-9.0792999999999893</v>
      </c>
      <c r="AF3960">
        <v>9.0547304407433504</v>
      </c>
      <c r="AG3960">
        <v>-0.6358161</v>
      </c>
      <c r="AH3960">
        <v>40.753950392077201</v>
      </c>
      <c r="AI3960">
        <v>90.872544840942496</v>
      </c>
      <c r="AJ3960">
        <v>77.473473853146501</v>
      </c>
      <c r="AK3960">
        <v>41.752567322590302</v>
      </c>
      <c r="AL3960">
        <v>79.344966012489095</v>
      </c>
      <c r="AM3960">
        <v>88.875665488088501</v>
      </c>
      <c r="AN3960">
        <v>1.00000000605094</v>
      </c>
    </row>
    <row r="3961" spans="1:40" x14ac:dyDescent="0.25">
      <c r="A3961" t="str">
        <f>"20190304155711700"</f>
        <v>20190304155711700</v>
      </c>
      <c r="B3961" t="str">
        <f>"1551686231688297"</f>
        <v>1551686231688297</v>
      </c>
      <c r="C3961" t="s">
        <v>40</v>
      </c>
      <c r="D3961">
        <v>4.2856779999999999</v>
      </c>
      <c r="E3961">
        <v>0.58608099999999996</v>
      </c>
      <c r="F3961" t="s">
        <v>47</v>
      </c>
      <c r="G3961">
        <v>-177.77879999999999</v>
      </c>
      <c r="H3961">
        <v>0.49496570000000001</v>
      </c>
      <c r="I3961">
        <v>205.83750000000001</v>
      </c>
      <c r="J3961">
        <v>-218.2234</v>
      </c>
      <c r="K3961">
        <v>1.1092770000000001</v>
      </c>
      <c r="L3961">
        <v>214.9323</v>
      </c>
      <c r="M3961">
        <v>0.99989519999999998</v>
      </c>
      <c r="N3961">
        <v>-1.436598E-2</v>
      </c>
      <c r="O3961">
        <v>-1.8610129999999999E-3</v>
      </c>
      <c r="P3961">
        <v>0.98509179999999996</v>
      </c>
      <c r="Q3961">
        <v>0.17078019999999999</v>
      </c>
      <c r="R3961">
        <v>-2.0703829999999999E-2</v>
      </c>
      <c r="S3961">
        <v>3.039917</v>
      </c>
      <c r="T3961">
        <v>-4.5820359999999997E-2</v>
      </c>
      <c r="U3961">
        <v>-0.67835999999999996</v>
      </c>
      <c r="V3961">
        <v>1.9325930000000002E-2</v>
      </c>
      <c r="W3961">
        <v>0.18486820000000001</v>
      </c>
      <c r="X3961">
        <v>0.98257329999999998</v>
      </c>
      <c r="Y3961">
        <v>0.21593039999999999</v>
      </c>
      <c r="Z3961">
        <v>-3.1763149999999999E-3</v>
      </c>
      <c r="AA3961">
        <v>0.97640360000000004</v>
      </c>
      <c r="AB3961">
        <v>31</v>
      </c>
      <c r="AC3961">
        <v>40.444600000000001</v>
      </c>
      <c r="AD3961">
        <v>-0.6143113</v>
      </c>
      <c r="AE3961">
        <v>-9.0947999999999904</v>
      </c>
      <c r="AF3961">
        <v>9.0175283136410904</v>
      </c>
      <c r="AG3961">
        <v>-0.6143113</v>
      </c>
      <c r="AH3961">
        <v>40.4525738502523</v>
      </c>
      <c r="AI3961">
        <v>90.849185013813894</v>
      </c>
      <c r="AJ3961">
        <v>77.433314749706298</v>
      </c>
      <c r="AK3961">
        <v>41.450017205916097</v>
      </c>
      <c r="AL3961">
        <v>79.346551906986406</v>
      </c>
      <c r="AM3961">
        <v>88.873212340509397</v>
      </c>
      <c r="AN3961">
        <v>1.00000001640724</v>
      </c>
    </row>
    <row r="3962" spans="1:40" x14ac:dyDescent="0.25">
      <c r="A3962" t="str">
        <f>"20190304155711721"</f>
        <v>20190304155711721</v>
      </c>
      <c r="B3962" t="str">
        <f>"1551686231718553"</f>
        <v>1551686231718553</v>
      </c>
      <c r="C3962" t="s">
        <v>40</v>
      </c>
      <c r="D3962">
        <v>4.2949010000000003</v>
      </c>
      <c r="E3962">
        <v>0.58560210000000001</v>
      </c>
      <c r="F3962" t="s">
        <v>69</v>
      </c>
      <c r="G3962">
        <v>-168.41210000000001</v>
      </c>
      <c r="H3962">
        <v>0.79707340000000004</v>
      </c>
      <c r="I3962">
        <v>202.31790000000001</v>
      </c>
      <c r="J3962">
        <v>-217.91489999999999</v>
      </c>
      <c r="K3962">
        <v>1.1091789999999999</v>
      </c>
      <c r="L3962">
        <v>214.93029999999999</v>
      </c>
      <c r="M3962">
        <v>0.99989150000000004</v>
      </c>
      <c r="N3962">
        <v>-1.4364770000000001E-2</v>
      </c>
      <c r="O3962">
        <v>-3.254949E-3</v>
      </c>
      <c r="P3962">
        <v>0.98503350000000001</v>
      </c>
      <c r="Q3962">
        <v>0.17094570000000001</v>
      </c>
      <c r="R3962">
        <v>-2.2054009999999999E-2</v>
      </c>
      <c r="S3962">
        <v>3.032562</v>
      </c>
      <c r="T3962">
        <v>-1.9005299999999999E-2</v>
      </c>
      <c r="U3962">
        <v>-0.76797490000000002</v>
      </c>
      <c r="V3962">
        <v>1.9349990000000001E-2</v>
      </c>
      <c r="W3962">
        <v>0.18502750000000001</v>
      </c>
      <c r="X3962">
        <v>0.98254280000000005</v>
      </c>
      <c r="Y3962">
        <v>0.2423208</v>
      </c>
      <c r="Z3962">
        <v>-2.5411069999999999E-3</v>
      </c>
      <c r="AA3962">
        <v>0.97019279999999997</v>
      </c>
      <c r="AB3962">
        <v>31</v>
      </c>
      <c r="AC3962">
        <v>49.502799999999901</v>
      </c>
      <c r="AD3962">
        <v>-0.31210559999999998</v>
      </c>
      <c r="AE3962">
        <v>-12.6123999999999</v>
      </c>
      <c r="AF3962">
        <v>12.450722699171299</v>
      </c>
      <c r="AG3962">
        <v>-0.31210559999999998</v>
      </c>
      <c r="AH3962">
        <v>49.5417453968358</v>
      </c>
      <c r="AI3962">
        <v>90.350064476165301</v>
      </c>
      <c r="AJ3962">
        <v>75.892715393182797</v>
      </c>
      <c r="AK3962">
        <v>51.083289269604698</v>
      </c>
      <c r="AL3962">
        <v>79.337264028132694</v>
      </c>
      <c r="AM3962">
        <v>88.871774885743804</v>
      </c>
      <c r="AN3962">
        <v>0.99999997585054401</v>
      </c>
    </row>
    <row r="3963" spans="1:40" x14ac:dyDescent="0.25">
      <c r="A3963" t="str">
        <f>"20190304155711743"</f>
        <v>20190304155711743</v>
      </c>
      <c r="B3963" t="str">
        <f>"1551686231739049"</f>
        <v>1551686231739049</v>
      </c>
      <c r="C3963" t="s">
        <v>40</v>
      </c>
      <c r="D3963">
        <v>4.3054829999999997</v>
      </c>
      <c r="E3963">
        <v>0.58554450000000002</v>
      </c>
      <c r="F3963" t="s">
        <v>69</v>
      </c>
      <c r="G3963">
        <v>-168.41210000000001</v>
      </c>
      <c r="H3963">
        <v>0.76390080000000005</v>
      </c>
      <c r="I3963">
        <v>202.37559999999999</v>
      </c>
      <c r="J3963">
        <v>-217.601</v>
      </c>
      <c r="K3963">
        <v>1.1090770000000001</v>
      </c>
      <c r="L3963">
        <v>214.92769999999999</v>
      </c>
      <c r="M3963">
        <v>0.99988540000000004</v>
      </c>
      <c r="N3963">
        <v>-1.4363570000000001E-2</v>
      </c>
      <c r="O3963">
        <v>-4.794637E-3</v>
      </c>
      <c r="P3963">
        <v>0.98494119999999996</v>
      </c>
      <c r="Q3963">
        <v>0.17126569999999999</v>
      </c>
      <c r="R3963">
        <v>-2.364463E-2</v>
      </c>
      <c r="S3963">
        <v>3.0320130000000001</v>
      </c>
      <c r="T3963">
        <v>-2.1146060000000001E-2</v>
      </c>
      <c r="U3963">
        <v>-0.768966699999999</v>
      </c>
      <c r="V3963">
        <v>1.9469810000000001E-2</v>
      </c>
      <c r="W3963">
        <v>0.18534049999999999</v>
      </c>
      <c r="X3963">
        <v>0.98248150000000001</v>
      </c>
      <c r="Y3963">
        <v>0.2411645</v>
      </c>
      <c r="Z3963">
        <v>-2.6218919999999998E-3</v>
      </c>
      <c r="AA3963">
        <v>0.97048069999999997</v>
      </c>
      <c r="AB3963">
        <v>31</v>
      </c>
      <c r="AC3963">
        <v>49.188899999999897</v>
      </c>
      <c r="AD3963">
        <v>-0.34517619999999999</v>
      </c>
      <c r="AE3963">
        <v>-12.5520999999999</v>
      </c>
      <c r="AF3963">
        <v>12.3155190727324</v>
      </c>
      <c r="AG3963">
        <v>-0.34517619999999999</v>
      </c>
      <c r="AH3963">
        <v>49.2462466681013</v>
      </c>
      <c r="AI3963">
        <v>90.389592837613193</v>
      </c>
      <c r="AJ3963">
        <v>75.9594231905253</v>
      </c>
      <c r="AK3963">
        <v>50.764002674487401</v>
      </c>
      <c r="AL3963">
        <v>79.319015459166593</v>
      </c>
      <c r="AM3963">
        <v>88.864719644312501</v>
      </c>
      <c r="AN3963">
        <v>1.0000000361419601</v>
      </c>
    </row>
    <row r="3964" spans="1:40" x14ac:dyDescent="0.25">
      <c r="A3964" t="str">
        <f>"20190304155711766"</f>
        <v>20190304155711766</v>
      </c>
      <c r="B3964" t="str">
        <f>"1551686231758569"</f>
        <v>1551686231758569</v>
      </c>
      <c r="C3964" t="s">
        <v>40</v>
      </c>
      <c r="D3964">
        <v>4.2668059999999999</v>
      </c>
      <c r="E3964">
        <v>0.58506669999999905</v>
      </c>
      <c r="F3964" t="s">
        <v>69</v>
      </c>
      <c r="G3964">
        <v>-168.41210000000001</v>
      </c>
      <c r="H3964">
        <v>0.82007030000000003</v>
      </c>
      <c r="I3964">
        <v>202.3733</v>
      </c>
      <c r="J3964">
        <v>-217.29089999999999</v>
      </c>
      <c r="K3964">
        <v>1.108984</v>
      </c>
      <c r="L3964">
        <v>214.92449999999999</v>
      </c>
      <c r="M3964">
        <v>0.99987630000000005</v>
      </c>
      <c r="N3964">
        <v>-1.4362420000000001E-2</v>
      </c>
      <c r="O3964">
        <v>-6.4380540000000003E-3</v>
      </c>
      <c r="P3964">
        <v>0.98490889999999998</v>
      </c>
      <c r="Q3964">
        <v>0.17113879999999901</v>
      </c>
      <c r="R3964">
        <v>-2.581112E-2</v>
      </c>
      <c r="S3964">
        <v>3.0303800000000001</v>
      </c>
      <c r="T3964">
        <v>-1.7802720000000001E-2</v>
      </c>
      <c r="U3964">
        <v>-0.7734375</v>
      </c>
      <c r="V3964">
        <v>2.005935E-2</v>
      </c>
      <c r="W3964">
        <v>0.1852056</v>
      </c>
      <c r="X3964">
        <v>0.98249509999999995</v>
      </c>
      <c r="Y3964">
        <v>0.24104229999999999</v>
      </c>
      <c r="Z3964">
        <v>-2.5090960000000002E-3</v>
      </c>
      <c r="AA3964">
        <v>0.97051140000000002</v>
      </c>
      <c r="AB3964">
        <v>31</v>
      </c>
      <c r="AC3964">
        <v>48.878799999999899</v>
      </c>
      <c r="AD3964">
        <v>-0.288913699999999</v>
      </c>
      <c r="AE3964">
        <v>-12.5511999999999</v>
      </c>
      <c r="AF3964">
        <v>12.2358220195564</v>
      </c>
      <c r="AG3964">
        <v>-0.288913699999999</v>
      </c>
      <c r="AH3964">
        <v>48.956995785495003</v>
      </c>
      <c r="AI3964">
        <v>90.328030288846804</v>
      </c>
      <c r="AJ3964">
        <v>75.967531305737594</v>
      </c>
      <c r="AK3964">
        <v>50.463712189664399</v>
      </c>
      <c r="AL3964">
        <v>79.326881053662206</v>
      </c>
      <c r="AM3964">
        <v>88.830369291650399</v>
      </c>
      <c r="AN3964">
        <v>1.00000005665889</v>
      </c>
    </row>
    <row r="3965" spans="1:40" x14ac:dyDescent="0.25">
      <c r="A3965" t="str">
        <f>"20190304155711788"</f>
        <v>20190304155711788</v>
      </c>
      <c r="B3965" t="str">
        <f>"1551686231779067"</f>
        <v>1551686231779067</v>
      </c>
      <c r="C3965" t="s">
        <v>40</v>
      </c>
      <c r="D3965">
        <v>4.3354540000000004</v>
      </c>
      <c r="E3965">
        <v>0.58473129999999995</v>
      </c>
      <c r="F3965" t="s">
        <v>69</v>
      </c>
      <c r="G3965">
        <v>-168.41210000000001</v>
      </c>
      <c r="H3965">
        <v>0.82586859999999995</v>
      </c>
      <c r="I3965">
        <v>202.39689999999999</v>
      </c>
      <c r="J3965">
        <v>-216.9846</v>
      </c>
      <c r="K3965">
        <v>1.108889</v>
      </c>
      <c r="L3965">
        <v>214.92080000000001</v>
      </c>
      <c r="M3965">
        <v>0.99986350000000002</v>
      </c>
      <c r="N3965">
        <v>-1.4361530000000001E-2</v>
      </c>
      <c r="O3965">
        <v>-8.1756999999999993E-3</v>
      </c>
      <c r="P3965">
        <v>0.98489000000000004</v>
      </c>
      <c r="Q3965">
        <v>0.1709126</v>
      </c>
      <c r="R3965">
        <v>-2.794232E-2</v>
      </c>
      <c r="S3965">
        <v>3.0286710000000001</v>
      </c>
      <c r="T3965">
        <v>-1.7540569999999998E-2</v>
      </c>
      <c r="U3965">
        <v>-0.77624510000000002</v>
      </c>
      <c r="V3965">
        <v>2.051851E-2</v>
      </c>
      <c r="W3965">
        <v>0.1849732</v>
      </c>
      <c r="X3965">
        <v>0.98252930000000005</v>
      </c>
      <c r="Y3965">
        <v>0.24033160000000001</v>
      </c>
      <c r="Z3965">
        <v>-2.5072229999999998E-3</v>
      </c>
      <c r="AA3965">
        <v>0.97068759999999998</v>
      </c>
      <c r="AB3965">
        <v>31</v>
      </c>
      <c r="AC3965">
        <v>48.572499999999899</v>
      </c>
      <c r="AD3965">
        <v>-0.28302040000000001</v>
      </c>
      <c r="AE3965">
        <v>-12.523899999999999</v>
      </c>
      <c r="AF3965">
        <v>12.1259401937654</v>
      </c>
      <c r="AG3965">
        <v>-0.28302040000000001</v>
      </c>
      <c r="AH3965">
        <v>48.671729047088597</v>
      </c>
      <c r="AI3965">
        <v>90.323282762546</v>
      </c>
      <c r="AJ3965">
        <v>76.010290732758804</v>
      </c>
      <c r="AK3965">
        <v>50.160300383498502</v>
      </c>
      <c r="AL3965">
        <v>79.3404296612172</v>
      </c>
      <c r="AM3965">
        <v>88.803645685336704</v>
      </c>
      <c r="AN3965">
        <v>0.99999995966467403</v>
      </c>
    </row>
    <row r="3966" spans="1:40" x14ac:dyDescent="0.25">
      <c r="A3966" t="str">
        <f>"20190304155711811"</f>
        <v>20190304155711811</v>
      </c>
      <c r="B3966" t="str">
        <f>"1551686231798586"</f>
        <v>1551686231798586</v>
      </c>
      <c r="C3966" t="s">
        <v>40</v>
      </c>
      <c r="D3966">
        <v>4.3609650000000002</v>
      </c>
      <c r="E3966">
        <v>0.58490920000000002</v>
      </c>
      <c r="F3966" t="s">
        <v>69</v>
      </c>
      <c r="G3966">
        <v>-168.41210000000001</v>
      </c>
      <c r="H3966">
        <v>0.84961319999999996</v>
      </c>
      <c r="I3966">
        <v>202.40260000000001</v>
      </c>
      <c r="J3966">
        <v>-216.67750000000001</v>
      </c>
      <c r="K3966">
        <v>1.1088009999999999</v>
      </c>
      <c r="L3966">
        <v>214.91640000000001</v>
      </c>
      <c r="M3966">
        <v>0.99984680000000004</v>
      </c>
      <c r="N3966">
        <v>-1.436075E-2</v>
      </c>
      <c r="O3966">
        <v>-1.0024409999999999E-2</v>
      </c>
      <c r="P3966">
        <v>0.98494289999999995</v>
      </c>
      <c r="Q3966">
        <v>0.1702005</v>
      </c>
      <c r="R3966">
        <v>-3.032294E-2</v>
      </c>
      <c r="S3966">
        <v>3.026688</v>
      </c>
      <c r="T3966">
        <v>-1.6154169999999999E-2</v>
      </c>
      <c r="U3966">
        <v>-0.78004459999999998</v>
      </c>
      <c r="V3966">
        <v>2.1113880000000002E-2</v>
      </c>
      <c r="W3966">
        <v>0.18425610000000001</v>
      </c>
      <c r="X3966">
        <v>0.98265150000000001</v>
      </c>
      <c r="Y3966">
        <v>0.2398342</v>
      </c>
      <c r="Z3966">
        <v>-2.4687300000000001E-3</v>
      </c>
      <c r="AA3966">
        <v>0.97081070000000003</v>
      </c>
      <c r="AB3966">
        <v>31</v>
      </c>
      <c r="AC3966">
        <v>48.2654</v>
      </c>
      <c r="AD3966">
        <v>-0.25918780000000002</v>
      </c>
      <c r="AE3966">
        <v>-12.5138</v>
      </c>
      <c r="AF3966">
        <v>12.028964097019299</v>
      </c>
      <c r="AG3966">
        <v>-0.25918780000000002</v>
      </c>
      <c r="AH3966">
        <v>48.3871232784795</v>
      </c>
      <c r="AI3966">
        <v>90.297839208140402</v>
      </c>
      <c r="AJ3966">
        <v>76.039360341614895</v>
      </c>
      <c r="AK3966">
        <v>49.860574151626302</v>
      </c>
      <c r="AL3966">
        <v>79.382235906626505</v>
      </c>
      <c r="AM3966">
        <v>88.769095558214104</v>
      </c>
      <c r="AN3966">
        <v>1.0000000383840499</v>
      </c>
    </row>
    <row r="3967" spans="1:40" x14ac:dyDescent="0.25">
      <c r="A3967" t="str">
        <f>"20190304155711833"</f>
        <v>20190304155711833</v>
      </c>
      <c r="B3967" t="str">
        <f>"1551686231828841"</f>
        <v>1551686231828841</v>
      </c>
      <c r="C3967" t="s">
        <v>40</v>
      </c>
      <c r="D3967">
        <v>4.314438</v>
      </c>
      <c r="E3967">
        <v>0.58544490000000005</v>
      </c>
      <c r="F3967" t="s">
        <v>69</v>
      </c>
      <c r="G3967">
        <v>-168.41210000000001</v>
      </c>
      <c r="H3967">
        <v>0.80944249999999995</v>
      </c>
      <c r="I3967">
        <v>202.3296</v>
      </c>
      <c r="J3967">
        <v>-216.36060000000001</v>
      </c>
      <c r="K3967">
        <v>1.1087129999999901</v>
      </c>
      <c r="L3967">
        <v>214.9111</v>
      </c>
      <c r="M3967">
        <v>0.9998245</v>
      </c>
      <c r="N3967">
        <v>-1.4360090000000001E-2</v>
      </c>
      <c r="O3967">
        <v>-1.2039390000000001E-2</v>
      </c>
      <c r="P3967">
        <v>0.98497000000000001</v>
      </c>
      <c r="Q3967">
        <v>0.16959199999999999</v>
      </c>
      <c r="R3967">
        <v>-3.2752120000000003E-2</v>
      </c>
      <c r="S3967">
        <v>3.0248110000000001</v>
      </c>
      <c r="T3967">
        <v>-1.8758770000000001E-2</v>
      </c>
      <c r="U3967">
        <v>-0.78881840000000003</v>
      </c>
      <c r="V3967">
        <v>2.1592920000000002E-2</v>
      </c>
      <c r="W3967">
        <v>0.1836421</v>
      </c>
      <c r="X3967">
        <v>0.98275599999999996</v>
      </c>
      <c r="Y3967">
        <v>0.24065909999999999</v>
      </c>
      <c r="Z3967">
        <v>-2.5871890000000002E-3</v>
      </c>
      <c r="AA3967">
        <v>0.97060630000000003</v>
      </c>
      <c r="AB3967">
        <v>31</v>
      </c>
      <c r="AC3967">
        <v>47.948500000000003</v>
      </c>
      <c r="AD3967">
        <v>-0.299270499999999</v>
      </c>
      <c r="AE3967">
        <v>-12.5815</v>
      </c>
      <c r="AF3967">
        <v>12.002820323042201</v>
      </c>
      <c r="AG3967">
        <v>-0.299270499999999</v>
      </c>
      <c r="AH3967">
        <v>48.094760451849602</v>
      </c>
      <c r="AI3967">
        <v>90.345910175657494</v>
      </c>
      <c r="AJ3967">
        <v>75.987158820374205</v>
      </c>
      <c r="AK3967">
        <v>49.570790204113202</v>
      </c>
      <c r="AL3967">
        <v>79.418026002135605</v>
      </c>
      <c r="AM3967">
        <v>88.7413110136564</v>
      </c>
      <c r="AN3967">
        <v>1.00000001531126</v>
      </c>
    </row>
    <row r="3968" spans="1:40" x14ac:dyDescent="0.25">
      <c r="A3968" t="str">
        <f>"20190304155711855"</f>
        <v>20190304155711855</v>
      </c>
      <c r="B3968" t="str">
        <f>"1551686231848361"</f>
        <v>1551686231848361</v>
      </c>
      <c r="C3968" t="s">
        <v>40</v>
      </c>
      <c r="D3968">
        <v>4.3588129999999996</v>
      </c>
      <c r="E3968">
        <v>0.58612919999999902</v>
      </c>
      <c r="F3968" t="s">
        <v>69</v>
      </c>
      <c r="G3968">
        <v>-168.41220000000001</v>
      </c>
      <c r="H3968">
        <v>0.7837887</v>
      </c>
      <c r="I3968">
        <v>202.2149</v>
      </c>
      <c r="J3968">
        <v>-216.059</v>
      </c>
      <c r="K3968">
        <v>1.108646</v>
      </c>
      <c r="L3968">
        <v>214.90530000000001</v>
      </c>
      <c r="M3968">
        <v>0.99979850000000003</v>
      </c>
      <c r="N3968">
        <v>-1.435937E-2</v>
      </c>
      <c r="O3968">
        <v>-1.4029120000000001E-2</v>
      </c>
      <c r="P3968">
        <v>0.98507599999999995</v>
      </c>
      <c r="Q3968">
        <v>0.16842199999999999</v>
      </c>
      <c r="R3968">
        <v>-3.5489399999999997E-2</v>
      </c>
      <c r="S3968">
        <v>3.0226899999999999</v>
      </c>
      <c r="T3968">
        <v>-2.048123E-2</v>
      </c>
      <c r="U3968">
        <v>-0.80036929999999995</v>
      </c>
      <c r="V3968">
        <v>2.23936E-2</v>
      </c>
      <c r="W3968">
        <v>0.1824674</v>
      </c>
      <c r="X3968">
        <v>0.98295690000000002</v>
      </c>
      <c r="Y3968">
        <v>0.24236079999999999</v>
      </c>
      <c r="Z3968">
        <v>-2.6816280000000001E-3</v>
      </c>
      <c r="AA3968">
        <v>0.97018249999999995</v>
      </c>
      <c r="AB3968">
        <v>31</v>
      </c>
      <c r="AC3968">
        <v>47.646799999999999</v>
      </c>
      <c r="AD3968">
        <v>-0.32485729999999902</v>
      </c>
      <c r="AE3968">
        <v>-12.6904</v>
      </c>
      <c r="AF3968">
        <v>12.0201175105848</v>
      </c>
      <c r="AG3968">
        <v>-0.32485729999999902</v>
      </c>
      <c r="AH3968">
        <v>47.818087860583802</v>
      </c>
      <c r="AI3968">
        <v>90.377495507306804</v>
      </c>
      <c r="AJ3968">
        <v>75.889806998360498</v>
      </c>
      <c r="AK3968">
        <v>49.306777261104202</v>
      </c>
      <c r="AL3968">
        <v>79.486488512023101</v>
      </c>
      <c r="AM3968">
        <v>88.694920538075905</v>
      </c>
      <c r="AN3968">
        <v>1.00000004632066</v>
      </c>
    </row>
    <row r="3969" spans="1:40" x14ac:dyDescent="0.25">
      <c r="A3969" t="str">
        <f>"20190304155711877"</f>
        <v>20190304155711877</v>
      </c>
      <c r="B3969" t="str">
        <f>"1551686231868861"</f>
        <v>1551686231868861</v>
      </c>
      <c r="C3969" t="s">
        <v>40</v>
      </c>
      <c r="D3969">
        <v>4.3268040000000001</v>
      </c>
      <c r="E3969">
        <v>0.59523300000000001</v>
      </c>
      <c r="F3969" t="s">
        <v>69</v>
      </c>
      <c r="G3969">
        <v>-168.41220000000001</v>
      </c>
      <c r="H3969">
        <v>0.75092510000000001</v>
      </c>
      <c r="I3969">
        <v>202.06039999999999</v>
      </c>
      <c r="J3969">
        <v>-215.75190000000001</v>
      </c>
      <c r="K3969">
        <v>1.1085860000000001</v>
      </c>
      <c r="L3969">
        <v>214.89879999999999</v>
      </c>
      <c r="M3969">
        <v>0.99976690000000001</v>
      </c>
      <c r="N3969">
        <v>-1.4358279999999999E-2</v>
      </c>
      <c r="O3969">
        <v>-1.612369E-2</v>
      </c>
      <c r="P3969">
        <v>0.98521550000000002</v>
      </c>
      <c r="Q3969">
        <v>0.1670239</v>
      </c>
      <c r="R3969">
        <v>-3.8124869999999998E-2</v>
      </c>
      <c r="S3969">
        <v>3.0199889999999998</v>
      </c>
      <c r="T3969">
        <v>-2.2671219999999999E-2</v>
      </c>
      <c r="U3969">
        <v>-0.81414790000000004</v>
      </c>
      <c r="V3969">
        <v>2.2982929999999999E-2</v>
      </c>
      <c r="W3969">
        <v>0.1810658</v>
      </c>
      <c r="X3969">
        <v>0.98320240000000003</v>
      </c>
      <c r="Y3969">
        <v>0.24467079999999999</v>
      </c>
      <c r="Z3969">
        <v>-2.798502E-3</v>
      </c>
      <c r="AA3969">
        <v>0.96960219999999997</v>
      </c>
      <c r="AB3969">
        <v>31</v>
      </c>
      <c r="AC3969">
        <v>47.339699999999901</v>
      </c>
      <c r="AD3969">
        <v>-0.3576609</v>
      </c>
      <c r="AE3969">
        <v>-12.8384</v>
      </c>
      <c r="AF3969">
        <v>12.072719469759701</v>
      </c>
      <c r="AG3969">
        <v>-0.3576609</v>
      </c>
      <c r="AH3969">
        <v>47.538040904302797</v>
      </c>
      <c r="AI3969">
        <v>90.417804639092793</v>
      </c>
      <c r="AJ3969">
        <v>75.750458438435501</v>
      </c>
      <c r="AK3969">
        <v>49.0483823355477</v>
      </c>
      <c r="AL3969">
        <v>79.568154202686003</v>
      </c>
      <c r="AM3969">
        <v>88.660921573342506</v>
      </c>
      <c r="AN3969">
        <v>0.999999999183392</v>
      </c>
    </row>
    <row r="3970" spans="1:40" x14ac:dyDescent="0.25">
      <c r="A3970" t="str">
        <f>"20190304155711894"</f>
        <v>20190304155711894</v>
      </c>
      <c r="B3970" t="str">
        <f>"1551686231888469"</f>
        <v>1551686231888469</v>
      </c>
      <c r="C3970" t="s">
        <v>40</v>
      </c>
      <c r="D3970">
        <v>4.3596959999999996</v>
      </c>
      <c r="E3970">
        <v>0.59670389999999995</v>
      </c>
      <c r="F3970" t="s">
        <v>69</v>
      </c>
      <c r="G3970">
        <v>-168.4127</v>
      </c>
      <c r="H3970">
        <v>0.91808129999999999</v>
      </c>
      <c r="I3970">
        <v>200.8442</v>
      </c>
      <c r="J3970">
        <v>-215.5087</v>
      </c>
      <c r="K3970">
        <v>1.1085419999999999</v>
      </c>
      <c r="L3970">
        <v>214.89320000000001</v>
      </c>
      <c r="M3970">
        <v>0.99973800000000002</v>
      </c>
      <c r="N3970">
        <v>-1.4357299999999899E-2</v>
      </c>
      <c r="O3970">
        <v>-1.783181E-2</v>
      </c>
      <c r="P3970">
        <v>0.98522659999999995</v>
      </c>
      <c r="Q3970">
        <v>0.1664494</v>
      </c>
      <c r="R3970">
        <v>-4.0294290000000003E-2</v>
      </c>
      <c r="S3970">
        <v>3.0124360000000001</v>
      </c>
      <c r="T3970">
        <v>-1.212072E-2</v>
      </c>
      <c r="U3970">
        <v>-0.89436340000000003</v>
      </c>
      <c r="V3970">
        <v>2.3484979999999999E-2</v>
      </c>
      <c r="W3970">
        <v>0.18048710000000001</v>
      </c>
      <c r="X3970">
        <v>0.98329690000000003</v>
      </c>
      <c r="Y3970">
        <v>0.26746120000000001</v>
      </c>
      <c r="Z3970">
        <v>-2.668021E-3</v>
      </c>
      <c r="AA3970">
        <v>0.96356489999999995</v>
      </c>
      <c r="AB3970">
        <v>31</v>
      </c>
      <c r="AC3970">
        <v>47.095999999999997</v>
      </c>
      <c r="AD3970">
        <v>-0.19046070000000001</v>
      </c>
      <c r="AE3970">
        <v>-14.048999999999999</v>
      </c>
      <c r="AF3970">
        <v>13.2066739965897</v>
      </c>
      <c r="AG3970">
        <v>-0.19046070000000001</v>
      </c>
      <c r="AH3970">
        <v>47.338344183395897</v>
      </c>
      <c r="AI3970">
        <v>90.222043027885405</v>
      </c>
      <c r="AJ3970">
        <v>74.411710728415201</v>
      </c>
      <c r="AK3970">
        <v>49.146427574708802</v>
      </c>
      <c r="AL3970">
        <v>79.601866357386101</v>
      </c>
      <c r="AM3970">
        <v>88.631812565103999</v>
      </c>
      <c r="AN3970">
        <v>0.99999996555080894</v>
      </c>
    </row>
    <row r="3971" spans="1:40" x14ac:dyDescent="0.25">
      <c r="A3971" t="str">
        <f>"20190304155711910"</f>
        <v>20190304155711910</v>
      </c>
      <c r="B3971" t="str">
        <f>"1551686231908965"</f>
        <v>1551686231908965</v>
      </c>
      <c r="C3971" t="s">
        <v>40</v>
      </c>
      <c r="D3971">
        <v>3.9689190000000001</v>
      </c>
      <c r="E3971">
        <v>0.61575230000000003</v>
      </c>
      <c r="F3971" t="s">
        <v>69</v>
      </c>
      <c r="G3971">
        <v>-168.4128</v>
      </c>
      <c r="H3971">
        <v>1.085207</v>
      </c>
      <c r="I3971">
        <v>200.60650000000001</v>
      </c>
      <c r="J3971">
        <v>-215.28739999999999</v>
      </c>
      <c r="K3971">
        <v>1.1084940000000001</v>
      </c>
      <c r="L3971">
        <v>214.8877</v>
      </c>
      <c r="M3971">
        <v>0.99970840000000005</v>
      </c>
      <c r="N3971">
        <v>-1.435643E-2</v>
      </c>
      <c r="O3971">
        <v>-1.942315E-2</v>
      </c>
      <c r="P3971">
        <v>0.98532399999999998</v>
      </c>
      <c r="Q3971">
        <v>0.16505719999999999</v>
      </c>
      <c r="R3971">
        <v>-4.3505500000000003E-2</v>
      </c>
      <c r="S3971">
        <v>3.0079189999999998</v>
      </c>
      <c r="T3971">
        <v>-1.4882090000000001E-3</v>
      </c>
      <c r="U3971">
        <v>-0.9124603</v>
      </c>
      <c r="V3971">
        <v>2.5136490000000001E-2</v>
      </c>
      <c r="W3971">
        <v>0.17908789999999999</v>
      </c>
      <c r="X3971">
        <v>0.98351189999999999</v>
      </c>
      <c r="Y3971">
        <v>0.27164660000000002</v>
      </c>
      <c r="Z3971">
        <v>-2.3222270000000001E-3</v>
      </c>
      <c r="AA3971">
        <v>0.96239430000000004</v>
      </c>
      <c r="AB3971">
        <v>31</v>
      </c>
      <c r="AC3971">
        <v>46.874600000000001</v>
      </c>
      <c r="AD3971">
        <v>-2.3286999999999999E-2</v>
      </c>
      <c r="AE3971">
        <v>-14.281199999999901</v>
      </c>
      <c r="AF3971">
        <v>13.367956205614099</v>
      </c>
      <c r="AG3971">
        <v>-2.3286999999999999E-2</v>
      </c>
      <c r="AH3971">
        <v>47.1431592165438</v>
      </c>
      <c r="AI3971">
        <v>90.027228505835197</v>
      </c>
      <c r="AJ3971">
        <v>74.168737597702702</v>
      </c>
      <c r="AK3971">
        <v>49.001839315641902</v>
      </c>
      <c r="AL3971">
        <v>79.683362801364495</v>
      </c>
      <c r="AM3971">
        <v>88.535959426552907</v>
      </c>
      <c r="AN3971">
        <v>0.99999998824876901</v>
      </c>
    </row>
    <row r="3972" spans="1:40" x14ac:dyDescent="0.25">
      <c r="A3972" t="str">
        <f>"20190304155711933"</f>
        <v>20190304155711933</v>
      </c>
      <c r="B3972" t="str">
        <f>"1551686231928485"</f>
        <v>1551686231928485</v>
      </c>
      <c r="C3972" t="s">
        <v>40</v>
      </c>
      <c r="D3972">
        <v>4.4348140000000003</v>
      </c>
      <c r="E3972">
        <v>0.62094380000000005</v>
      </c>
      <c r="F3972" t="s">
        <v>69</v>
      </c>
      <c r="G3972">
        <v>-168.41380000000001</v>
      </c>
      <c r="H3972">
        <v>1.7336640000000001</v>
      </c>
      <c r="I3972">
        <v>198.0744</v>
      </c>
      <c r="J3972">
        <v>-214.9736</v>
      </c>
      <c r="K3972">
        <v>1.108425</v>
      </c>
      <c r="L3972">
        <v>214.87909999999999</v>
      </c>
      <c r="M3972">
        <v>0.99966029999999995</v>
      </c>
      <c r="N3972">
        <v>-1.4355659999999999E-2</v>
      </c>
      <c r="O3972">
        <v>-2.1756310000000001E-2</v>
      </c>
      <c r="P3972">
        <v>0.98529330000000004</v>
      </c>
      <c r="Q3972">
        <v>0.1639021</v>
      </c>
      <c r="R3972">
        <v>-4.8305010000000002E-2</v>
      </c>
      <c r="S3972">
        <v>2.9906009999999998</v>
      </c>
      <c r="T3972">
        <v>3.9888859999999998E-2</v>
      </c>
      <c r="U3972">
        <v>-1.072708</v>
      </c>
      <c r="V3972">
        <v>2.765604E-2</v>
      </c>
      <c r="W3972">
        <v>0.1779192</v>
      </c>
      <c r="X3972">
        <v>0.98365639999999999</v>
      </c>
      <c r="Y3972">
        <v>0.31708029999999998</v>
      </c>
      <c r="Z3972">
        <v>-8.7863350000000004E-4</v>
      </c>
      <c r="AA3972">
        <v>0.94839830000000003</v>
      </c>
      <c r="AB3972">
        <v>31</v>
      </c>
      <c r="AC3972">
        <v>46.559800000000003</v>
      </c>
      <c r="AD3972">
        <v>0.62523899999999899</v>
      </c>
      <c r="AE3972">
        <v>-16.804699999999901</v>
      </c>
      <c r="AF3972">
        <v>15.7851293306946</v>
      </c>
      <c r="AG3972">
        <v>0.62523899999999899</v>
      </c>
      <c r="AH3972">
        <v>46.906939247846999</v>
      </c>
      <c r="AI3972">
        <v>89.276209361168398</v>
      </c>
      <c r="AJ3972">
        <v>71.400877543209603</v>
      </c>
      <c r="AK3972">
        <v>49.495678411302599</v>
      </c>
      <c r="AL3972">
        <v>79.751417572051693</v>
      </c>
      <c r="AM3972">
        <v>88.389521949933197</v>
      </c>
      <c r="AN3972">
        <v>1.0000000057690399</v>
      </c>
    </row>
    <row r="3973" spans="1:40" x14ac:dyDescent="0.25">
      <c r="A3973" t="str">
        <f>"20190304155711955"</f>
        <v>20190304155711955</v>
      </c>
      <c r="B3973" t="str">
        <f>"1551686231948982"</f>
        <v>1551686231948982</v>
      </c>
      <c r="C3973" t="s">
        <v>40</v>
      </c>
      <c r="D3973">
        <v>4.4333809999999998</v>
      </c>
      <c r="E3973">
        <v>0.62148309999999996</v>
      </c>
      <c r="F3973" t="s">
        <v>69</v>
      </c>
      <c r="G3973">
        <v>-168.41409999999999</v>
      </c>
      <c r="H3973">
        <v>1.5609919999999999</v>
      </c>
      <c r="I3973">
        <v>197.25989999999999</v>
      </c>
      <c r="J3973">
        <v>-214.66749999999999</v>
      </c>
      <c r="K3973">
        <v>1.10836</v>
      </c>
      <c r="L3973">
        <v>214.8699</v>
      </c>
      <c r="M3973">
        <v>0.99960629999999995</v>
      </c>
      <c r="N3973">
        <v>-1.4355079999999999E-2</v>
      </c>
      <c r="O3973">
        <v>-2.410731E-2</v>
      </c>
      <c r="P3973">
        <v>0.98508180000000001</v>
      </c>
      <c r="Q3973">
        <v>0.1635925</v>
      </c>
      <c r="R3973">
        <v>-5.3398370000000001E-2</v>
      </c>
      <c r="S3973">
        <v>2.984604</v>
      </c>
      <c r="T3973">
        <v>2.9012920000000001E-2</v>
      </c>
      <c r="U3973">
        <v>-1.12944</v>
      </c>
      <c r="V3973">
        <v>3.0460480000000002E-2</v>
      </c>
      <c r="W3973">
        <v>0.17759069999999999</v>
      </c>
      <c r="X3973">
        <v>0.98363290000000003</v>
      </c>
      <c r="Y3973">
        <v>0.33128940000000001</v>
      </c>
      <c r="Z3973">
        <v>-1.4622909999999999E-3</v>
      </c>
      <c r="AA3973">
        <v>0.94352809999999998</v>
      </c>
      <c r="AB3973">
        <v>31</v>
      </c>
      <c r="AC3973">
        <v>46.253399999999999</v>
      </c>
      <c r="AD3973">
        <v>0.45263199999999898</v>
      </c>
      <c r="AE3973">
        <v>-17.61</v>
      </c>
      <c r="AF3973">
        <v>16.4883420125241</v>
      </c>
      <c r="AG3973">
        <v>0.45263199999999898</v>
      </c>
      <c r="AH3973">
        <v>46.660625683599399</v>
      </c>
      <c r="AI3973">
        <v>89.475972180599001</v>
      </c>
      <c r="AJ3973">
        <v>70.538254490196096</v>
      </c>
      <c r="AK3973">
        <v>49.490244364261997</v>
      </c>
      <c r="AL3973">
        <v>79.770543659876495</v>
      </c>
      <c r="AM3973">
        <v>88.226269799782102</v>
      </c>
      <c r="AN3973">
        <v>0.99999998976536497</v>
      </c>
    </row>
    <row r="3974" spans="1:40" x14ac:dyDescent="0.25">
      <c r="A3974" t="str">
        <f>"20190304155711978"</f>
        <v>20190304155711978</v>
      </c>
      <c r="B3974" t="str">
        <f>"1551686231968501"</f>
        <v>1551686231968501</v>
      </c>
      <c r="C3974" t="s">
        <v>40</v>
      </c>
      <c r="D3974">
        <v>4.3438030000000003</v>
      </c>
      <c r="E3974">
        <v>0.62174459999999998</v>
      </c>
      <c r="F3974" t="s">
        <v>69</v>
      </c>
      <c r="G3974">
        <v>-168.41409999999999</v>
      </c>
      <c r="H3974">
        <v>1.413459</v>
      </c>
      <c r="I3974">
        <v>197.03299999999999</v>
      </c>
      <c r="J3974">
        <v>-214.36619999999999</v>
      </c>
      <c r="K3974">
        <v>1.1083000000000001</v>
      </c>
      <c r="L3974">
        <v>214.86009999999999</v>
      </c>
      <c r="M3974">
        <v>0.99954580000000004</v>
      </c>
      <c r="N3974">
        <v>-1.435467E-2</v>
      </c>
      <c r="O3974">
        <v>-2.6499950000000001E-2</v>
      </c>
      <c r="P3974">
        <v>0.98479079999999997</v>
      </c>
      <c r="Q3974">
        <v>0.1638626</v>
      </c>
      <c r="R3974">
        <v>-5.7759440000000002E-2</v>
      </c>
      <c r="S3974">
        <v>2.9798740000000001</v>
      </c>
      <c r="T3974">
        <v>1.965809E-2</v>
      </c>
      <c r="U3974">
        <v>-1.1491389999999999</v>
      </c>
      <c r="V3974">
        <v>3.2496909999999997E-2</v>
      </c>
      <c r="W3974">
        <v>0.17784459999999999</v>
      </c>
      <c r="X3974">
        <v>0.98352189999999995</v>
      </c>
      <c r="Y3974">
        <v>0.33496520000000002</v>
      </c>
      <c r="Z3974">
        <v>-1.9572499999999998E-3</v>
      </c>
      <c r="AA3974">
        <v>0.94222839999999997</v>
      </c>
      <c r="AB3974">
        <v>31</v>
      </c>
      <c r="AC3974">
        <v>45.952100000000002</v>
      </c>
      <c r="AD3974">
        <v>0.30515900000000001</v>
      </c>
      <c r="AE3974">
        <v>-17.827100000000002</v>
      </c>
      <c r="AF3974">
        <v>16.6023479398356</v>
      </c>
      <c r="AG3974">
        <v>0.30515900000000001</v>
      </c>
      <c r="AH3974">
        <v>46.406646058317698</v>
      </c>
      <c r="AI3974">
        <v>89.645259878131895</v>
      </c>
      <c r="AJ3974">
        <v>70.314924975442395</v>
      </c>
      <c r="AK3974">
        <v>49.288009469977801</v>
      </c>
      <c r="AL3974">
        <v>79.755761456245807</v>
      </c>
      <c r="AM3974">
        <v>88.107557487660898</v>
      </c>
      <c r="AN3974">
        <v>1.0000000393441499</v>
      </c>
    </row>
    <row r="3975" spans="1:40" x14ac:dyDescent="0.25">
      <c r="A3975" t="str">
        <f>"20190304155712000"</f>
        <v>20190304155712000</v>
      </c>
      <c r="B3975" t="str">
        <f>"1551686231988997"</f>
        <v>1551686231988997</v>
      </c>
      <c r="C3975" t="s">
        <v>40</v>
      </c>
      <c r="D3975">
        <v>4.4243610000000002</v>
      </c>
      <c r="E3975">
        <v>0.62242619999999904</v>
      </c>
      <c r="F3975" t="s">
        <v>69</v>
      </c>
      <c r="G3975">
        <v>-168.41409999999999</v>
      </c>
      <c r="H3975">
        <v>1.3050660000000001</v>
      </c>
      <c r="I3975">
        <v>196.87889999999999</v>
      </c>
      <c r="J3975">
        <v>-214.05539999999999</v>
      </c>
      <c r="K3975">
        <v>1.1082270000000001</v>
      </c>
      <c r="L3975">
        <v>214.8492</v>
      </c>
      <c r="M3975">
        <v>0.99947459999999999</v>
      </c>
      <c r="N3975">
        <v>-1.435444E-2</v>
      </c>
      <c r="O3975">
        <v>-2.906034E-2</v>
      </c>
      <c r="P3975">
        <v>0.98454299999999995</v>
      </c>
      <c r="Q3975">
        <v>0.164159</v>
      </c>
      <c r="R3975">
        <v>-6.1049859999999997E-2</v>
      </c>
      <c r="S3975">
        <v>2.9759370000000001</v>
      </c>
      <c r="T3975">
        <v>1.274514E-2</v>
      </c>
      <c r="U3975">
        <v>-1.16449</v>
      </c>
      <c r="V3975">
        <v>3.3299580000000002E-2</v>
      </c>
      <c r="W3975">
        <v>0.17813029999999999</v>
      </c>
      <c r="X3975">
        <v>0.98344330000000002</v>
      </c>
      <c r="Y3975">
        <v>0.33718880000000001</v>
      </c>
      <c r="Z3975">
        <v>-2.3328009999999998E-3</v>
      </c>
      <c r="AA3975">
        <v>0.94143410000000005</v>
      </c>
      <c r="AB3975">
        <v>31</v>
      </c>
      <c r="AC3975">
        <v>45.641300000000001</v>
      </c>
      <c r="AD3975">
        <v>0.19683899999999999</v>
      </c>
      <c r="AE3975">
        <v>-17.970300000000002</v>
      </c>
      <c r="AF3975">
        <v>16.635952604290001</v>
      </c>
      <c r="AG3975">
        <v>0.19683899999999999</v>
      </c>
      <c r="AH3975">
        <v>46.143553606281003</v>
      </c>
      <c r="AI3975">
        <v>89.7700755147617</v>
      </c>
      <c r="AJ3975">
        <v>70.174446275658099</v>
      </c>
      <c r="AK3975">
        <v>49.051210016265998</v>
      </c>
      <c r="AL3975">
        <v>79.739125977948106</v>
      </c>
      <c r="AM3975">
        <v>88.060694763805998</v>
      </c>
      <c r="AN3975">
        <v>0.99999999506057802</v>
      </c>
    </row>
    <row r="3976" spans="1:40" x14ac:dyDescent="0.25">
      <c r="A3976" t="str">
        <f>"20190304155712022"</f>
        <v>20190304155712022</v>
      </c>
      <c r="B3976" t="str">
        <f>"1551686232018278"</f>
        <v>1551686232018278</v>
      </c>
      <c r="C3976" t="s">
        <v>40</v>
      </c>
      <c r="D3976">
        <v>4.4004810000000001</v>
      </c>
      <c r="E3976">
        <v>0.62112089999999998</v>
      </c>
      <c r="F3976" t="s">
        <v>69</v>
      </c>
      <c r="G3976">
        <v>-168.41419999999999</v>
      </c>
      <c r="H3976">
        <v>1.3516239999999999</v>
      </c>
      <c r="I3976">
        <v>196.7277</v>
      </c>
      <c r="J3976">
        <v>-213.75299999999999</v>
      </c>
      <c r="K3976">
        <v>1.1081479999999999</v>
      </c>
      <c r="L3976">
        <v>214.83760000000001</v>
      </c>
      <c r="M3976">
        <v>0.99939610000000001</v>
      </c>
      <c r="N3976">
        <v>-1.4354540000000001E-2</v>
      </c>
      <c r="O3976">
        <v>-3.1650739999999997E-2</v>
      </c>
      <c r="P3976">
        <v>0.98433219999999999</v>
      </c>
      <c r="Q3976">
        <v>0.16418779999999999</v>
      </c>
      <c r="R3976">
        <v>-6.4287529999999996E-2</v>
      </c>
      <c r="S3976">
        <v>2.9713129999999999</v>
      </c>
      <c r="T3976">
        <v>1.5847679999999999E-2</v>
      </c>
      <c r="U3976">
        <v>-1.1797329999999999</v>
      </c>
      <c r="V3976">
        <v>3.4019189999999998E-2</v>
      </c>
      <c r="W3976">
        <v>0.1781491</v>
      </c>
      <c r="X3976">
        <v>0.98341520000000004</v>
      </c>
      <c r="Y3976">
        <v>0.33942610000000001</v>
      </c>
      <c r="Z3976">
        <v>-2.2541760000000001E-3</v>
      </c>
      <c r="AA3976">
        <v>0.94062999999999997</v>
      </c>
      <c r="AB3976">
        <v>31</v>
      </c>
      <c r="AC3976">
        <v>45.3387999999999</v>
      </c>
      <c r="AD3976">
        <v>0.243476</v>
      </c>
      <c r="AE3976">
        <v>-18.1099</v>
      </c>
      <c r="AF3976">
        <v>16.665256257172199</v>
      </c>
      <c r="AG3976">
        <v>0.243476</v>
      </c>
      <c r="AH3976">
        <v>45.888189554944098</v>
      </c>
      <c r="AI3976">
        <v>89.714259660598699</v>
      </c>
      <c r="AJ3976">
        <v>70.040450184309506</v>
      </c>
      <c r="AK3976">
        <v>48.821265728269204</v>
      </c>
      <c r="AL3976">
        <v>79.738030647447303</v>
      </c>
      <c r="AM3976">
        <v>88.018762503450304</v>
      </c>
      <c r="AN3976">
        <v>0.99999993135505005</v>
      </c>
    </row>
    <row r="3977" spans="1:40" x14ac:dyDescent="0.25">
      <c r="A3977" t="str">
        <f>"20190304155712056"</f>
        <v>20190304155712056</v>
      </c>
      <c r="B3977" t="str">
        <f>"1551686232048533"</f>
        <v>1551686232048533</v>
      </c>
      <c r="C3977" t="s">
        <v>40</v>
      </c>
      <c r="D3977">
        <v>4.4580780000000004</v>
      </c>
      <c r="E3977">
        <v>0.62044290000000002</v>
      </c>
      <c r="F3977" t="s">
        <v>69</v>
      </c>
      <c r="G3977">
        <v>-168.41409999999999</v>
      </c>
      <c r="H3977">
        <v>1.3347739999999999</v>
      </c>
      <c r="I3977">
        <v>196.82990000000001</v>
      </c>
      <c r="J3977">
        <v>-213.29400000000001</v>
      </c>
      <c r="K3977">
        <v>1.1080319999999999</v>
      </c>
      <c r="L3977">
        <v>214.8184</v>
      </c>
      <c r="M3977">
        <v>0.9992567</v>
      </c>
      <c r="N3977">
        <v>-1.4355420000000001E-2</v>
      </c>
      <c r="O3977">
        <v>-3.5782519999999998E-2</v>
      </c>
      <c r="P3977">
        <v>0.98405480000000001</v>
      </c>
      <c r="Q3977">
        <v>0.16401569999999999</v>
      </c>
      <c r="R3977">
        <v>-6.8812890000000002E-2</v>
      </c>
      <c r="S3977">
        <v>2.9682770000000001</v>
      </c>
      <c r="T3977">
        <v>1.483917E-2</v>
      </c>
      <c r="U3977">
        <v>-1.1789400000000001</v>
      </c>
      <c r="V3977">
        <v>3.4526590000000003E-2</v>
      </c>
      <c r="W3977">
        <v>0.1779656</v>
      </c>
      <c r="X3977">
        <v>0.98343080000000005</v>
      </c>
      <c r="Y3977">
        <v>0.33564719999999998</v>
      </c>
      <c r="Z3977">
        <v>-2.3570829999999998E-3</v>
      </c>
      <c r="AA3977">
        <v>0.94198479999999996</v>
      </c>
      <c r="AB3977">
        <v>31</v>
      </c>
      <c r="AC3977">
        <v>44.879899999999999</v>
      </c>
      <c r="AD3977">
        <v>0.226742</v>
      </c>
      <c r="AE3977">
        <v>-17.988499999999899</v>
      </c>
      <c r="AF3977">
        <v>16.370536708985</v>
      </c>
      <c r="AG3977">
        <v>0.226742</v>
      </c>
      <c r="AH3977">
        <v>45.493892597165697</v>
      </c>
      <c r="AI3977">
        <v>89.7313059313271</v>
      </c>
      <c r="AJ3977">
        <v>70.209223555790999</v>
      </c>
      <c r="AK3977">
        <v>48.350182499316702</v>
      </c>
      <c r="AL3977">
        <v>79.748715761459195</v>
      </c>
      <c r="AM3977">
        <v>87.989268075454106</v>
      </c>
      <c r="AN3977">
        <v>0.99999998929451395</v>
      </c>
    </row>
    <row r="3978" spans="1:40" x14ac:dyDescent="0.25">
      <c r="A3978" t="str">
        <f>"20190304155712078"</f>
        <v>20190304155712078</v>
      </c>
      <c r="B3978" t="str">
        <f>"1551686232069029"</f>
        <v>1551686232069029</v>
      </c>
      <c r="C3978" t="s">
        <v>40</v>
      </c>
      <c r="D3978">
        <v>4.3967720000000003</v>
      </c>
      <c r="E3978">
        <v>0.61896649999999998</v>
      </c>
      <c r="F3978" t="s">
        <v>69</v>
      </c>
      <c r="G3978">
        <v>-168.41409999999999</v>
      </c>
      <c r="H3978">
        <v>1.1767590000000001</v>
      </c>
      <c r="I3978">
        <v>196.84540000000001</v>
      </c>
      <c r="J3978">
        <v>-212.98769999999999</v>
      </c>
      <c r="K3978">
        <v>1.1079490000000001</v>
      </c>
      <c r="L3978">
        <v>214.80439999999999</v>
      </c>
      <c r="M3978">
        <v>0.99914879999999995</v>
      </c>
      <c r="N3978">
        <v>-1.43564E-2</v>
      </c>
      <c r="O3978">
        <v>-3.8672579999999998E-2</v>
      </c>
      <c r="P3978">
        <v>0.98387349999999996</v>
      </c>
      <c r="Q3978">
        <v>0.16354879999999999</v>
      </c>
      <c r="R3978">
        <v>-7.2420010000000007E-2</v>
      </c>
      <c r="S3978">
        <v>2.9648439999999998</v>
      </c>
      <c r="T3978">
        <v>4.542351E-3</v>
      </c>
      <c r="U3978">
        <v>-1.1873320000000001</v>
      </c>
      <c r="V3978">
        <v>3.5318589999999997E-2</v>
      </c>
      <c r="W3978">
        <v>0.17748929999999999</v>
      </c>
      <c r="X3978">
        <v>0.98348869999999999</v>
      </c>
      <c r="Y3978">
        <v>0.33559050000000001</v>
      </c>
      <c r="Z3978">
        <v>-2.843773E-3</v>
      </c>
      <c r="AA3978">
        <v>0.9420037</v>
      </c>
      <c r="AB3978">
        <v>31</v>
      </c>
      <c r="AC3978">
        <v>44.573599999999999</v>
      </c>
      <c r="AD3978">
        <v>6.8809999999999996E-2</v>
      </c>
      <c r="AE3978">
        <v>-17.9589999999999</v>
      </c>
      <c r="AF3978">
        <v>16.221575708104101</v>
      </c>
      <c r="AG3978">
        <v>6.8809999999999996E-2</v>
      </c>
      <c r="AH3978">
        <v>45.234748920527501</v>
      </c>
      <c r="AI3978">
        <v>89.917958867962696</v>
      </c>
      <c r="AJ3978">
        <v>70.271723339640403</v>
      </c>
      <c r="AK3978">
        <v>48.055455082363103</v>
      </c>
      <c r="AL3978">
        <v>79.776446711219805</v>
      </c>
      <c r="AM3978">
        <v>87.943304370347093</v>
      </c>
      <c r="AN3978">
        <v>0.999999938720882</v>
      </c>
    </row>
    <row r="3979" spans="1:40" x14ac:dyDescent="0.25">
      <c r="A3979" t="str">
        <f>"20190304155712100"</f>
        <v>20190304155712100</v>
      </c>
      <c r="B3979" t="str">
        <f>"1551686232098309"</f>
        <v>1551686232098309</v>
      </c>
      <c r="C3979" t="s">
        <v>40</v>
      </c>
      <c r="D3979">
        <v>4.4815649999999998</v>
      </c>
      <c r="E3979">
        <v>0.61819990000000002</v>
      </c>
      <c r="F3979" t="s">
        <v>69</v>
      </c>
      <c r="G3979">
        <v>-168.41399999999999</v>
      </c>
      <c r="H3979">
        <v>1.1854929999999999</v>
      </c>
      <c r="I3979">
        <v>196.95189999999999</v>
      </c>
      <c r="J3979">
        <v>-212.6825</v>
      </c>
      <c r="K3979">
        <v>1.1078680000000001</v>
      </c>
      <c r="L3979">
        <v>214.7894</v>
      </c>
      <c r="M3979">
        <v>0.99902959999999996</v>
      </c>
      <c r="N3979">
        <v>-1.435724E-2</v>
      </c>
      <c r="O3979">
        <v>-4.1642319999999997E-2</v>
      </c>
      <c r="P3979">
        <v>0.98365060000000004</v>
      </c>
      <c r="Q3979">
        <v>0.16293389999999999</v>
      </c>
      <c r="R3979">
        <v>-7.6710810000000004E-2</v>
      </c>
      <c r="S3979">
        <v>2.9610289999999999</v>
      </c>
      <c r="T3979">
        <v>5.1535369999999997E-3</v>
      </c>
      <c r="U3979">
        <v>-1.1859440000000001</v>
      </c>
      <c r="V3979">
        <v>3.6711830000000001E-2</v>
      </c>
      <c r="W3979">
        <v>0.17686189999999999</v>
      </c>
      <c r="X3979">
        <v>0.98355079999999995</v>
      </c>
      <c r="Y3979">
        <v>0.33282800000000001</v>
      </c>
      <c r="Z3979">
        <v>-2.8459919999999999E-3</v>
      </c>
      <c r="AA3979">
        <v>0.94298329999999997</v>
      </c>
      <c r="AB3979">
        <v>30</v>
      </c>
      <c r="AC3979">
        <v>44.268499999999896</v>
      </c>
      <c r="AD3979">
        <v>7.7625E-2</v>
      </c>
      <c r="AE3979">
        <v>-17.837499999999999</v>
      </c>
      <c r="AF3979">
        <v>15.978349245139199</v>
      </c>
      <c r="AG3979">
        <v>7.7625E-2</v>
      </c>
      <c r="AH3979">
        <v>44.972845169801303</v>
      </c>
      <c r="AI3979">
        <v>89.906812014262599</v>
      </c>
      <c r="AJ3979">
        <v>70.440442746939596</v>
      </c>
      <c r="AK3979">
        <v>47.727041317341097</v>
      </c>
      <c r="AL3979">
        <v>79.812972914876497</v>
      </c>
      <c r="AM3979">
        <v>87.862380989929804</v>
      </c>
      <c r="AN3979">
        <v>1.00000003315709</v>
      </c>
    </row>
    <row r="3980" spans="1:40" x14ac:dyDescent="0.25">
      <c r="A3980" t="str">
        <f>"20190304155712123"</f>
        <v>20190304155712123</v>
      </c>
      <c r="B3980" t="str">
        <f>"1551686232118806"</f>
        <v>1551686232118806</v>
      </c>
      <c r="C3980" t="s">
        <v>40</v>
      </c>
      <c r="D3980">
        <v>4.4866010000000003</v>
      </c>
      <c r="E3980">
        <v>0.61712619999999996</v>
      </c>
      <c r="F3980" t="s">
        <v>69</v>
      </c>
      <c r="G3980">
        <v>-168.41409999999999</v>
      </c>
      <c r="H3980">
        <v>1.3243069999999999</v>
      </c>
      <c r="I3980">
        <v>196.92490000000001</v>
      </c>
      <c r="J3980">
        <v>-212.37700000000001</v>
      </c>
      <c r="K3980">
        <v>1.107801</v>
      </c>
      <c r="L3980">
        <v>214.77350000000001</v>
      </c>
      <c r="M3980">
        <v>0.99889729999999999</v>
      </c>
      <c r="N3980">
        <v>-1.435779E-2</v>
      </c>
      <c r="O3980">
        <v>-4.4702279999999997E-2</v>
      </c>
      <c r="P3980">
        <v>0.98339690000000002</v>
      </c>
      <c r="Q3980">
        <v>0.16245419999999999</v>
      </c>
      <c r="R3980">
        <v>-8.0866690000000005E-2</v>
      </c>
      <c r="S3980">
        <v>2.9544980000000001</v>
      </c>
      <c r="T3980">
        <v>1.4447450000000001E-2</v>
      </c>
      <c r="U3980">
        <v>-1.192291</v>
      </c>
      <c r="V3980">
        <v>3.7880110000000002E-2</v>
      </c>
      <c r="W3980">
        <v>0.17637050000000001</v>
      </c>
      <c r="X3980">
        <v>0.98359470000000004</v>
      </c>
      <c r="Y3980">
        <v>0.33240890000000001</v>
      </c>
      <c r="Z3980">
        <v>-2.5234049999999998E-3</v>
      </c>
      <c r="AA3980">
        <v>0.94313199999999997</v>
      </c>
      <c r="AB3980">
        <v>30</v>
      </c>
      <c r="AC3980">
        <v>43.962899999999998</v>
      </c>
      <c r="AD3980">
        <v>0.216505999999999</v>
      </c>
      <c r="AE3980">
        <v>-17.848600000000001</v>
      </c>
      <c r="AF3980">
        <v>15.8649794963306</v>
      </c>
      <c r="AG3980">
        <v>0.216505999999999</v>
      </c>
      <c r="AH3980">
        <v>44.7159678099761</v>
      </c>
      <c r="AI3980">
        <v>89.738554582743305</v>
      </c>
      <c r="AJ3980">
        <v>70.465594789981694</v>
      </c>
      <c r="AK3980">
        <v>47.447468072067302</v>
      </c>
      <c r="AL3980">
        <v>79.841577341473894</v>
      </c>
      <c r="AM3980">
        <v>87.794520063027605</v>
      </c>
      <c r="AN3980">
        <v>0.99999999493597602</v>
      </c>
    </row>
    <row r="3981" spans="1:40" x14ac:dyDescent="0.25">
      <c r="A3981" t="str">
        <f>"20190304155712146"</f>
        <v>20190304155712146</v>
      </c>
      <c r="B3981" t="str">
        <f>"1551686232138325"</f>
        <v>1551686232138325</v>
      </c>
      <c r="C3981" t="s">
        <v>40</v>
      </c>
      <c r="D3981">
        <v>4.432531</v>
      </c>
      <c r="E3981">
        <v>0.61710149999999997</v>
      </c>
      <c r="F3981" t="s">
        <v>69</v>
      </c>
      <c r="G3981">
        <v>-168.41409999999999</v>
      </c>
      <c r="H3981">
        <v>1.3118570000000001</v>
      </c>
      <c r="I3981">
        <v>196.94919999999999</v>
      </c>
      <c r="J3981">
        <v>-212.0711</v>
      </c>
      <c r="K3981">
        <v>1.1077429999999999</v>
      </c>
      <c r="L3981">
        <v>214.75649999999999</v>
      </c>
      <c r="M3981">
        <v>0.99875130000000001</v>
      </c>
      <c r="N3981">
        <v>-1.435823E-2</v>
      </c>
      <c r="O3981">
        <v>-4.7850200000000002E-2</v>
      </c>
      <c r="P3981">
        <v>0.98308059999999997</v>
      </c>
      <c r="Q3981">
        <v>0.1619111</v>
      </c>
      <c r="R3981">
        <v>-8.5659200000000005E-2</v>
      </c>
      <c r="S3981">
        <v>2.950043</v>
      </c>
      <c r="T3981">
        <v>1.3695000000000001E-2</v>
      </c>
      <c r="U3981">
        <v>-1.1960599999999999</v>
      </c>
      <c r="V3981">
        <v>3.9597140000000003E-2</v>
      </c>
      <c r="W3981">
        <v>0.17581189999999999</v>
      </c>
      <c r="X3981">
        <v>0.98362709999999998</v>
      </c>
      <c r="Y3981">
        <v>0.33096560000000003</v>
      </c>
      <c r="Z3981">
        <v>-2.6034270000000002E-3</v>
      </c>
      <c r="AA3981">
        <v>0.94363920000000001</v>
      </c>
      <c r="AB3981">
        <v>30</v>
      </c>
      <c r="AC3981">
        <v>43.656999999999996</v>
      </c>
      <c r="AD3981">
        <v>0.20411399999999999</v>
      </c>
      <c r="AE3981">
        <v>-17.807299999999898</v>
      </c>
      <c r="AF3981">
        <v>15.697392161556801</v>
      </c>
      <c r="AG3981">
        <v>0.20411399999999999</v>
      </c>
      <c r="AH3981">
        <v>44.458319119245502</v>
      </c>
      <c r="AI3981">
        <v>89.751956505987394</v>
      </c>
      <c r="AJ3981">
        <v>70.552836562778097</v>
      </c>
      <c r="AK3981">
        <v>47.148615272427399</v>
      </c>
      <c r="AL3981">
        <v>79.874091027821905</v>
      </c>
      <c r="AM3981">
        <v>87.694731427465896</v>
      </c>
      <c r="AN3981">
        <v>1.0000000147660899</v>
      </c>
    </row>
    <row r="3982" spans="1:40" x14ac:dyDescent="0.25">
      <c r="A3982" t="str">
        <f>"20190304155712168"</f>
        <v>20190304155712168</v>
      </c>
      <c r="B3982" t="str">
        <f>"1551686232158821"</f>
        <v>1551686232158821</v>
      </c>
      <c r="C3982" t="s">
        <v>40</v>
      </c>
      <c r="D3982">
        <v>4.4516109999999998</v>
      </c>
      <c r="E3982">
        <v>0.61683250000000001</v>
      </c>
      <c r="F3982" t="s">
        <v>69</v>
      </c>
      <c r="G3982">
        <v>-168.41409999999999</v>
      </c>
      <c r="H3982">
        <v>1.2339100000000001</v>
      </c>
      <c r="I3982">
        <v>196.81360000000001</v>
      </c>
      <c r="J3982">
        <v>-211.76820000000001</v>
      </c>
      <c r="K3982">
        <v>1.107685</v>
      </c>
      <c r="L3982">
        <v>214.73859999999999</v>
      </c>
      <c r="M3982">
        <v>0.99859359999999997</v>
      </c>
      <c r="N3982">
        <v>-1.4358640000000001E-2</v>
      </c>
      <c r="O3982">
        <v>-5.1037440000000003E-2</v>
      </c>
      <c r="P3982">
        <v>0.98268509999999998</v>
      </c>
      <c r="Q3982">
        <v>0.16123379999999901</v>
      </c>
      <c r="R3982">
        <v>-9.1290369999999996E-2</v>
      </c>
      <c r="S3982">
        <v>2.944763</v>
      </c>
      <c r="T3982">
        <v>8.5124969999999904E-3</v>
      </c>
      <c r="U3982">
        <v>-1.2102809999999999</v>
      </c>
      <c r="V3982">
        <v>4.211322E-2</v>
      </c>
      <c r="W3982">
        <v>0.17511479999999999</v>
      </c>
      <c r="X3982">
        <v>0.98364689999999999</v>
      </c>
      <c r="Y3982">
        <v>0.33244469999999998</v>
      </c>
      <c r="Z3982">
        <v>-2.8659710000000001E-3</v>
      </c>
      <c r="AA3982">
        <v>0.94311840000000002</v>
      </c>
      <c r="AB3982">
        <v>30</v>
      </c>
      <c r="AC3982">
        <v>43.354100000000003</v>
      </c>
      <c r="AD3982">
        <v>0.126225</v>
      </c>
      <c r="AE3982">
        <v>-17.924999999999901</v>
      </c>
      <c r="AF3982">
        <v>15.6886104642861</v>
      </c>
      <c r="AG3982">
        <v>0.126225</v>
      </c>
      <c r="AH3982">
        <v>44.212207006150003</v>
      </c>
      <c r="AI3982">
        <v>89.845840046930405</v>
      </c>
      <c r="AJ3982">
        <v>70.4628754789494</v>
      </c>
      <c r="AK3982">
        <v>46.913406179954499</v>
      </c>
      <c r="AL3982">
        <v>79.914660870707195</v>
      </c>
      <c r="AM3982">
        <v>87.548472818078196</v>
      </c>
      <c r="AN3982">
        <v>0.99999997017870801</v>
      </c>
    </row>
    <row r="3983" spans="1:40" x14ac:dyDescent="0.25">
      <c r="A3983" t="str">
        <f>"20190304155712190"</f>
        <v>20190304155712190</v>
      </c>
      <c r="B3983" t="str">
        <f>"1551686232178341"</f>
        <v>1551686232178341</v>
      </c>
      <c r="C3983" t="s">
        <v>40</v>
      </c>
      <c r="D3983">
        <v>4.3614389999999998</v>
      </c>
      <c r="E3983">
        <v>0.61725430000000003</v>
      </c>
      <c r="F3983" t="s">
        <v>69</v>
      </c>
      <c r="G3983">
        <v>-168.41409999999999</v>
      </c>
      <c r="H3983">
        <v>1.160134</v>
      </c>
      <c r="I3983">
        <v>196.66890000000001</v>
      </c>
      <c r="J3983">
        <v>-211.4691</v>
      </c>
      <c r="K3983">
        <v>1.107634</v>
      </c>
      <c r="L3983">
        <v>214.7199</v>
      </c>
      <c r="M3983">
        <v>0.99842450000000005</v>
      </c>
      <c r="N3983">
        <v>-1.435882E-2</v>
      </c>
      <c r="O3983">
        <v>-5.4243720000000002E-2</v>
      </c>
      <c r="P3983">
        <v>0.9822168</v>
      </c>
      <c r="Q3983">
        <v>0.1607577</v>
      </c>
      <c r="R3983">
        <v>-9.6992220000000004E-2</v>
      </c>
      <c r="S3983">
        <v>2.938507</v>
      </c>
      <c r="T3983">
        <v>3.5573240000000002E-3</v>
      </c>
      <c r="U3983">
        <v>-1.224747</v>
      </c>
      <c r="V3983">
        <v>4.4683019999999997E-2</v>
      </c>
      <c r="W3983">
        <v>0.1746171</v>
      </c>
      <c r="X3983">
        <v>0.983622</v>
      </c>
      <c r="Y3983">
        <v>0.33408009999999999</v>
      </c>
      <c r="Z3983">
        <v>-3.1135619999999998E-3</v>
      </c>
      <c r="AA3983">
        <v>0.94253949999999997</v>
      </c>
      <c r="AB3983">
        <v>30</v>
      </c>
      <c r="AC3983">
        <v>43.055</v>
      </c>
      <c r="AD3983">
        <v>5.2499999999999901E-2</v>
      </c>
      <c r="AE3983">
        <v>-18.050999999999899</v>
      </c>
      <c r="AF3983">
        <v>15.688694538014101</v>
      </c>
      <c r="AG3983">
        <v>5.2499999999999901E-2</v>
      </c>
      <c r="AH3983">
        <v>43.970796867959301</v>
      </c>
      <c r="AI3983">
        <v>89.935568724452295</v>
      </c>
      <c r="AJ3983">
        <v>70.363699056135601</v>
      </c>
      <c r="AK3983">
        <v>46.685852993818699</v>
      </c>
      <c r="AL3983">
        <v>79.943623238371202</v>
      </c>
      <c r="AM3983">
        <v>87.3990114230714</v>
      </c>
      <c r="AN3983">
        <v>0.99999997138636398</v>
      </c>
    </row>
    <row r="3984" spans="1:40" x14ac:dyDescent="0.25">
      <c r="A3984" t="str">
        <f>"20190304155714024"</f>
        <v>20190304155714024</v>
      </c>
      <c r="B3984" t="str">
        <f>"1551686234018306"</f>
        <v>1551686234018306</v>
      </c>
      <c r="C3984" t="s">
        <v>40</v>
      </c>
      <c r="D3984">
        <v>6.242165</v>
      </c>
      <c r="E3984">
        <v>0.76590029999999998</v>
      </c>
      <c r="F3984" t="s">
        <v>69</v>
      </c>
      <c r="G3984">
        <v>-168.41419999999999</v>
      </c>
      <c r="H3984">
        <v>1.136496</v>
      </c>
      <c r="I3984">
        <v>196.4359</v>
      </c>
      <c r="J3984">
        <v>-191.1643</v>
      </c>
      <c r="K3984">
        <v>1.095979</v>
      </c>
      <c r="L3984">
        <v>204.97280000000001</v>
      </c>
      <c r="M3984">
        <v>0.49286990000000003</v>
      </c>
      <c r="N3984">
        <v>-1.744207E-2</v>
      </c>
      <c r="O3984">
        <v>-0.86992809999999898</v>
      </c>
      <c r="P3984">
        <v>0.25525959999999998</v>
      </c>
      <c r="Q3984">
        <v>0.16385629999999901</v>
      </c>
      <c r="R3984">
        <v>-0.95288709999999999</v>
      </c>
      <c r="S3984">
        <v>2.931076</v>
      </c>
      <c r="T3984">
        <v>1.967192E-3</v>
      </c>
      <c r="U3984">
        <v>-1.2447360000000001</v>
      </c>
      <c r="V3984">
        <v>0.2537143</v>
      </c>
      <c r="W3984">
        <v>0.1718285</v>
      </c>
      <c r="X3984">
        <v>0.95189489999999999</v>
      </c>
      <c r="Y3984">
        <v>-0.60799599999999998</v>
      </c>
      <c r="Z3984">
        <v>-1.290088E-2</v>
      </c>
      <c r="AA3984">
        <v>0.79383530000000002</v>
      </c>
      <c r="AB3984">
        <v>26</v>
      </c>
      <c r="AC3984">
        <v>22.7501</v>
      </c>
      <c r="AD3984">
        <v>4.05169999999999E-2</v>
      </c>
      <c r="AE3984">
        <v>-8.5368999999999993</v>
      </c>
      <c r="AF3984">
        <v>-15.585698923565401</v>
      </c>
      <c r="AG3984">
        <v>4.05169999999999E-2</v>
      </c>
      <c r="AH3984">
        <v>18.6421140819137</v>
      </c>
      <c r="AI3984">
        <v>89.904463190773996</v>
      </c>
      <c r="AJ3984">
        <v>129.89723618390099</v>
      </c>
      <c r="AK3984">
        <v>24.299054920025199</v>
      </c>
      <c r="AL3984">
        <v>80.105850446884702</v>
      </c>
      <c r="AM3984">
        <v>75.075570358411099</v>
      </c>
      <c r="AN3984">
        <v>0.99999994004137305</v>
      </c>
    </row>
    <row r="3985" spans="1:40" x14ac:dyDescent="0.25">
      <c r="A3985" t="str">
        <f>"20190304155714041"</f>
        <v>20190304155714041</v>
      </c>
      <c r="B3985" t="str">
        <f>"1551686234038802"</f>
        <v>1551686234038802</v>
      </c>
      <c r="C3985" t="s">
        <v>40</v>
      </c>
      <c r="D3985">
        <v>4.7223220000000001</v>
      </c>
      <c r="E3985">
        <v>0.76159779999999999</v>
      </c>
      <c r="F3985" t="s">
        <v>75</v>
      </c>
      <c r="G3985">
        <v>-226.26310000000001</v>
      </c>
      <c r="H3985">
        <v>6.4660820000000001</v>
      </c>
      <c r="I3985">
        <v>110.6041</v>
      </c>
      <c r="J3985">
        <v>-191.0752</v>
      </c>
      <c r="K3985">
        <v>1.096004</v>
      </c>
      <c r="L3985">
        <v>204.78399999999999</v>
      </c>
      <c r="M3985">
        <v>0.47946349999999999</v>
      </c>
      <c r="N3985">
        <v>-1.7447979999999998E-2</v>
      </c>
      <c r="O3985">
        <v>-0.87738839999999996</v>
      </c>
      <c r="P3985">
        <v>0.24091129999999999</v>
      </c>
      <c r="Q3985">
        <v>0.1640838</v>
      </c>
      <c r="R3985">
        <v>-0.9565766</v>
      </c>
      <c r="S3985">
        <v>-1.2865599999999999</v>
      </c>
      <c r="T3985">
        <v>0.19684360000000001</v>
      </c>
      <c r="U3985">
        <v>-3.4591219999999998</v>
      </c>
      <c r="V3985">
        <v>0.25339260000000002</v>
      </c>
      <c r="W3985">
        <v>0.17208590000000001</v>
      </c>
      <c r="X3985">
        <v>0.95193419999999895</v>
      </c>
      <c r="Y3985">
        <v>0.75491660000000005</v>
      </c>
      <c r="Z3985">
        <v>-5.4182399999999999E-2</v>
      </c>
      <c r="AA3985">
        <v>0.65357869999999996</v>
      </c>
      <c r="AB3985">
        <v>26</v>
      </c>
      <c r="AC3985">
        <v>-35.187899999999999</v>
      </c>
      <c r="AD3985">
        <v>5.3700779999999897</v>
      </c>
      <c r="AE3985">
        <v>-94.179900000000004</v>
      </c>
      <c r="AF3985">
        <v>75.8245284882085</v>
      </c>
      <c r="AG3985">
        <v>5.3700779999999897</v>
      </c>
      <c r="AH3985">
        <v>65.583939778237607</v>
      </c>
      <c r="AI3985">
        <v>86.933859051017194</v>
      </c>
      <c r="AJ3985">
        <v>40.857956572129403</v>
      </c>
      <c r="AK3985">
        <v>100.396464155968</v>
      </c>
      <c r="AL3985">
        <v>80.090880551288194</v>
      </c>
      <c r="AM3985">
        <v>75.094239050274794</v>
      </c>
      <c r="AN3985">
        <v>1.0000000439215999</v>
      </c>
    </row>
    <row r="3986" spans="1:40" x14ac:dyDescent="0.25">
      <c r="A3986" t="str">
        <f>"20190304155714058"</f>
        <v>20190304155714058</v>
      </c>
      <c r="B3986" t="str">
        <f>"1551686234048562"</f>
        <v>1551686234048562</v>
      </c>
      <c r="C3986" t="s">
        <v>40</v>
      </c>
      <c r="D3986">
        <v>4.7714999999999996</v>
      </c>
      <c r="E3986">
        <v>0.75819049999999999</v>
      </c>
      <c r="F3986" t="s">
        <v>75</v>
      </c>
      <c r="G3986">
        <v>-226.3981</v>
      </c>
      <c r="H3986">
        <v>6.0689609999999998</v>
      </c>
      <c r="I3986">
        <v>111.8682</v>
      </c>
      <c r="J3986">
        <v>-190.99369999999999</v>
      </c>
      <c r="K3986">
        <v>1.0960369999999999</v>
      </c>
      <c r="L3986">
        <v>204.60470000000001</v>
      </c>
      <c r="M3986">
        <v>0.46670299999999998</v>
      </c>
      <c r="N3986">
        <v>-1.7451700000000001E-2</v>
      </c>
      <c r="O3986">
        <v>-0.88424199999999997</v>
      </c>
      <c r="P3986">
        <v>0.22784389999999999</v>
      </c>
      <c r="Q3986">
        <v>0.16456599999999999</v>
      </c>
      <c r="R3986">
        <v>-0.9596905</v>
      </c>
      <c r="S3986">
        <v>-1.305237</v>
      </c>
      <c r="T3986">
        <v>0.18375839999999999</v>
      </c>
      <c r="U3986">
        <v>-3.4333800000000001</v>
      </c>
      <c r="V3986">
        <v>0.25255090000000002</v>
      </c>
      <c r="W3986">
        <v>0.17261670000000001</v>
      </c>
      <c r="X3986">
        <v>0.95206170000000001</v>
      </c>
      <c r="Y3986">
        <v>0.75014449999999999</v>
      </c>
      <c r="Z3986">
        <v>-5.27368E-2</v>
      </c>
      <c r="AA3986">
        <v>0.65916770000000002</v>
      </c>
      <c r="AB3986">
        <v>26</v>
      </c>
      <c r="AC3986">
        <v>-35.404400000000003</v>
      </c>
      <c r="AD3986">
        <v>4.9729239999999999</v>
      </c>
      <c r="AE3986">
        <v>-92.736500000000007</v>
      </c>
      <c r="AF3986">
        <v>74.411060961627996</v>
      </c>
      <c r="AG3986">
        <v>4.9729239999999999</v>
      </c>
      <c r="AH3986">
        <v>65.324188548680198</v>
      </c>
      <c r="AI3986">
        <v>87.124837537123398</v>
      </c>
      <c r="AJ3986">
        <v>41.279339654188099</v>
      </c>
      <c r="AK3986">
        <v>99.141240541403405</v>
      </c>
      <c r="AL3986">
        <v>80.060005303005298</v>
      </c>
      <c r="AM3986">
        <v>75.143460098186594</v>
      </c>
      <c r="AN3986">
        <v>0.99999998140829405</v>
      </c>
    </row>
    <row r="3987" spans="1:40" x14ac:dyDescent="0.25">
      <c r="A3987" t="str">
        <f>"20190304155714073"</f>
        <v>20190304155714073</v>
      </c>
      <c r="B3987" t="str">
        <f>"1551686234069058"</f>
        <v>1551686234069058</v>
      </c>
      <c r="C3987" t="s">
        <v>40</v>
      </c>
      <c r="D3987">
        <v>5.2345040000000003</v>
      </c>
      <c r="E3987">
        <v>0.7326068</v>
      </c>
      <c r="F3987" t="s">
        <v>75</v>
      </c>
      <c r="G3987">
        <v>-226.3981</v>
      </c>
      <c r="H3987">
        <v>6.024311</v>
      </c>
      <c r="I3987">
        <v>113.5461</v>
      </c>
      <c r="J3987">
        <v>-190.91540000000001</v>
      </c>
      <c r="K3987">
        <v>1.096066</v>
      </c>
      <c r="L3987">
        <v>204.42590000000001</v>
      </c>
      <c r="M3987">
        <v>0.45395849999999999</v>
      </c>
      <c r="N3987">
        <v>-1.7453719999999999E-2</v>
      </c>
      <c r="O3987">
        <v>-0.89085190000000003</v>
      </c>
      <c r="P3987">
        <v>0.21484990000000001</v>
      </c>
      <c r="Q3987">
        <v>0.1648656</v>
      </c>
      <c r="R3987">
        <v>-0.96263109999999996</v>
      </c>
      <c r="S3987">
        <v>-1.325485</v>
      </c>
      <c r="T3987">
        <v>0.18450710000000001</v>
      </c>
      <c r="U3987">
        <v>-3.4090880000000001</v>
      </c>
      <c r="V3987">
        <v>0.25172509999999998</v>
      </c>
      <c r="W3987">
        <v>0.1729647</v>
      </c>
      <c r="X3987">
        <v>0.95221719999999999</v>
      </c>
      <c r="Y3987">
        <v>0.74559219999999904</v>
      </c>
      <c r="Z3987">
        <v>-5.3716600000000003E-2</v>
      </c>
      <c r="AA3987">
        <v>0.66423399999999999</v>
      </c>
      <c r="AB3987">
        <v>26</v>
      </c>
      <c r="AC3987">
        <v>-35.482699999999902</v>
      </c>
      <c r="AD3987">
        <v>4.9282449999999898</v>
      </c>
      <c r="AE3987">
        <v>-90.879800000000003</v>
      </c>
      <c r="AF3987">
        <v>72.691100629479706</v>
      </c>
      <c r="AG3987">
        <v>4.9282449999999898</v>
      </c>
      <c r="AH3987">
        <v>64.697558171274295</v>
      </c>
      <c r="AI3987">
        <v>87.100825675411301</v>
      </c>
      <c r="AJ3987">
        <v>41.670172754272798</v>
      </c>
      <c r="AK3987">
        <v>97.437455543700395</v>
      </c>
      <c r="AL3987">
        <v>80.039761612342801</v>
      </c>
      <c r="AM3987">
        <v>75.192212451019202</v>
      </c>
      <c r="AN3987">
        <v>0.99999995469596903</v>
      </c>
    </row>
    <row r="3988" spans="1:40" x14ac:dyDescent="0.25">
      <c r="A3988" t="str">
        <f>"20190304155714091"</f>
        <v>20190304155714091</v>
      </c>
      <c r="B3988" t="str">
        <f>"1551686234088578"</f>
        <v>1551686234088578</v>
      </c>
      <c r="C3988" t="s">
        <v>40</v>
      </c>
      <c r="D3988">
        <v>5.2859230000000004</v>
      </c>
      <c r="E3988">
        <v>0.71684519999999996</v>
      </c>
      <c r="F3988" t="s">
        <v>76</v>
      </c>
      <c r="G3988">
        <v>-221.09649999999999</v>
      </c>
      <c r="H3988">
        <v>4.5097579999999997</v>
      </c>
      <c r="I3988">
        <v>118.1032</v>
      </c>
      <c r="J3988">
        <v>-190.83420000000001</v>
      </c>
      <c r="K3988">
        <v>1.096101</v>
      </c>
      <c r="L3988">
        <v>204.2328</v>
      </c>
      <c r="M3988">
        <v>0.44017070000000003</v>
      </c>
      <c r="N3988">
        <v>-1.7453900000000001E-2</v>
      </c>
      <c r="O3988">
        <v>-0.8977446</v>
      </c>
      <c r="P3988">
        <v>0.20241410000000001</v>
      </c>
      <c r="Q3988">
        <v>0.16617199999999999</v>
      </c>
      <c r="R3988">
        <v>-0.96509900000000004</v>
      </c>
      <c r="S3988">
        <v>-1.1732180000000001</v>
      </c>
      <c r="T3988">
        <v>0.13269929999999999</v>
      </c>
      <c r="U3988">
        <v>-3.355591</v>
      </c>
      <c r="V3988">
        <v>0.24925539999999999</v>
      </c>
      <c r="W3988">
        <v>0.17438190000000001</v>
      </c>
      <c r="X3988">
        <v>0.95260829999999996</v>
      </c>
      <c r="Y3988">
        <v>0.71161580000000002</v>
      </c>
      <c r="Z3988">
        <v>-4.5494689999999997E-2</v>
      </c>
      <c r="AA3988">
        <v>0.70109429999999995</v>
      </c>
      <c r="AB3988">
        <v>26</v>
      </c>
      <c r="AC3988">
        <v>-30.2622999999999</v>
      </c>
      <c r="AD3988">
        <v>3.4136570000000002</v>
      </c>
      <c r="AE3988">
        <v>-86.129599999999996</v>
      </c>
      <c r="AF3988">
        <v>64.998566415245193</v>
      </c>
      <c r="AG3988">
        <v>3.4136570000000002</v>
      </c>
      <c r="AH3988">
        <v>63.9221702021472</v>
      </c>
      <c r="AI3988">
        <v>87.855545983509799</v>
      </c>
      <c r="AJ3988">
        <v>44.521632216148603</v>
      </c>
      <c r="AK3988">
        <v>91.227794742079396</v>
      </c>
      <c r="AL3988">
        <v>79.957308840716706</v>
      </c>
      <c r="AM3988">
        <v>75.336961380659503</v>
      </c>
      <c r="AN3988">
        <v>0.99999993735282799</v>
      </c>
    </row>
    <row r="3989" spans="1:40" x14ac:dyDescent="0.25">
      <c r="A3989" t="str">
        <f>"20190304155714113"</f>
        <v>20190304155714113</v>
      </c>
      <c r="B3989" t="str">
        <f>"1551686234109074"</f>
        <v>1551686234109074</v>
      </c>
      <c r="C3989" t="s">
        <v>40</v>
      </c>
      <c r="D3989">
        <v>5.1712680000000004</v>
      </c>
      <c r="E3989">
        <v>0.66533920000000002</v>
      </c>
      <c r="F3989" t="s">
        <v>76</v>
      </c>
      <c r="G3989">
        <v>-220.27520000000001</v>
      </c>
      <c r="H3989">
        <v>3.797237</v>
      </c>
      <c r="I3989">
        <v>114.8099</v>
      </c>
      <c r="J3989">
        <v>-190.7346</v>
      </c>
      <c r="K3989">
        <v>1.096152</v>
      </c>
      <c r="L3989">
        <v>203.98230000000001</v>
      </c>
      <c r="M3989">
        <v>0.42227809999999999</v>
      </c>
      <c r="N3989">
        <v>-1.7450549999999999E-2</v>
      </c>
      <c r="O3989">
        <v>-0.90629870000000001</v>
      </c>
      <c r="P3989">
        <v>0.18607789999999999</v>
      </c>
      <c r="Q3989">
        <v>0.165996799999999</v>
      </c>
      <c r="R3989">
        <v>-0.96841169999999999</v>
      </c>
      <c r="S3989">
        <v>-1.093216</v>
      </c>
      <c r="T3989">
        <v>0.1003</v>
      </c>
      <c r="U3989">
        <v>-3.3204959999999999</v>
      </c>
      <c r="V3989">
        <v>0.2464364</v>
      </c>
      <c r="W3989">
        <v>0.17433969999999999</v>
      </c>
      <c r="X3989">
        <v>0.95334920000000001</v>
      </c>
      <c r="Y3989">
        <v>0.68439890000000003</v>
      </c>
      <c r="Z3989">
        <v>-3.9925189999999999E-2</v>
      </c>
      <c r="AA3989">
        <v>0.72801380000000004</v>
      </c>
      <c r="AB3989">
        <v>26</v>
      </c>
      <c r="AC3989">
        <v>-29.540600000000001</v>
      </c>
      <c r="AD3989">
        <v>2.701085</v>
      </c>
      <c r="AE3989">
        <v>-89.172399999999996</v>
      </c>
      <c r="AF3989">
        <v>64.384717850195898</v>
      </c>
      <c r="AG3989">
        <v>2.701085</v>
      </c>
      <c r="AH3989">
        <v>68.296401321972098</v>
      </c>
      <c r="AI3989">
        <v>88.351616521943697</v>
      </c>
      <c r="AJ3989">
        <v>46.688695834440999</v>
      </c>
      <c r="AK3989">
        <v>93.899340713119201</v>
      </c>
      <c r="AL3989">
        <v>79.959764603643904</v>
      </c>
      <c r="AM3989">
        <v>75.5065610012756</v>
      </c>
      <c r="AN3989">
        <v>0.99999996369084398</v>
      </c>
    </row>
    <row r="3990" spans="1:40" x14ac:dyDescent="0.25">
      <c r="A3990" t="str">
        <f>"20190304155714135"</f>
        <v>20190304155714135</v>
      </c>
      <c r="B3990" t="str">
        <f>"1551686234128593"</f>
        <v>1551686234128593</v>
      </c>
      <c r="C3990" t="s">
        <v>40</v>
      </c>
      <c r="D3990">
        <v>5.1728100000000001</v>
      </c>
      <c r="E3990">
        <v>0.66176899999999905</v>
      </c>
      <c r="F3990" t="s">
        <v>77</v>
      </c>
      <c r="G3990">
        <v>-210.81270000000001</v>
      </c>
      <c r="H3990">
        <v>0.65188059999999903</v>
      </c>
      <c r="I3990">
        <v>116.7243</v>
      </c>
      <c r="J3990">
        <v>-190.6422</v>
      </c>
      <c r="K3990">
        <v>1.096198</v>
      </c>
      <c r="L3990">
        <v>203.73599999999999</v>
      </c>
      <c r="M3990">
        <v>0.40466370000000002</v>
      </c>
      <c r="N3990">
        <v>-1.7443799999999999E-2</v>
      </c>
      <c r="O3990">
        <v>-0.91429939999999998</v>
      </c>
      <c r="P3990">
        <v>0.17167650000000001</v>
      </c>
      <c r="Q3990">
        <v>0.16593189999999999</v>
      </c>
      <c r="R3990">
        <v>-0.97107920000000003</v>
      </c>
      <c r="S3990">
        <v>-0.74647519999999901</v>
      </c>
      <c r="T3990">
        <v>-1.6516329999999999E-2</v>
      </c>
      <c r="U3990">
        <v>-3.2441249999999999</v>
      </c>
      <c r="V3990">
        <v>0.24211469999999999</v>
      </c>
      <c r="W3990">
        <v>0.17446449999999999</v>
      </c>
      <c r="X3990">
        <v>0.95443310000000003</v>
      </c>
      <c r="Y3990">
        <v>0.59933329999999996</v>
      </c>
      <c r="Z3990">
        <v>-1.443377E-2</v>
      </c>
      <c r="AA3990">
        <v>0.80036940000000001</v>
      </c>
      <c r="AB3990">
        <v>26</v>
      </c>
      <c r="AC3990">
        <v>-20.170500000000001</v>
      </c>
      <c r="AD3990">
        <v>-0.44431739999999997</v>
      </c>
      <c r="AE3990">
        <v>-87.011699999999905</v>
      </c>
      <c r="AF3990">
        <v>53.659178936451802</v>
      </c>
      <c r="AG3990">
        <v>-0.44431739999999997</v>
      </c>
      <c r="AH3990">
        <v>71.401559519083094</v>
      </c>
      <c r="AI3990">
        <v>90.285022556887299</v>
      </c>
      <c r="AJ3990">
        <v>53.074672889032897</v>
      </c>
      <c r="AK3990">
        <v>89.317901922533196</v>
      </c>
      <c r="AL3990">
        <v>79.952502823350898</v>
      </c>
      <c r="AM3990">
        <v>75.765815526451902</v>
      </c>
      <c r="AN3990">
        <v>0.99999996604597396</v>
      </c>
    </row>
    <row r="3991" spans="1:40" x14ac:dyDescent="0.25">
      <c r="A3991" t="str">
        <f>"20190304155714157"</f>
        <v>20190304155714157</v>
      </c>
      <c r="B3991" t="str">
        <f>"1551686234149093"</f>
        <v>1551686234149093</v>
      </c>
      <c r="C3991" t="s">
        <v>40</v>
      </c>
      <c r="D3991">
        <v>5.154636</v>
      </c>
      <c r="E3991">
        <v>0.65780329999999998</v>
      </c>
      <c r="F3991" t="s">
        <v>77</v>
      </c>
      <c r="G3991">
        <v>-210.8108</v>
      </c>
      <c r="H3991">
        <v>0.64910880000000004</v>
      </c>
      <c r="I3991">
        <v>118.7186</v>
      </c>
      <c r="J3991">
        <v>-190.55359999999999</v>
      </c>
      <c r="K3991">
        <v>1.09626</v>
      </c>
      <c r="L3991">
        <v>203.48500000000001</v>
      </c>
      <c r="M3991">
        <v>0.38671680000000003</v>
      </c>
      <c r="N3991">
        <v>-1.7433199999999999E-2</v>
      </c>
      <c r="O3991">
        <v>-0.92203369999999996</v>
      </c>
      <c r="P3991">
        <v>0.15858359999999999</v>
      </c>
      <c r="Q3991">
        <v>0.16472039999999999</v>
      </c>
      <c r="R3991">
        <v>-0.97350840000000005</v>
      </c>
      <c r="S3991">
        <v>-0.76568599999999998</v>
      </c>
      <c r="T3991">
        <v>-1.6972299999999999E-2</v>
      </c>
      <c r="U3991">
        <v>-3.2276150000000001</v>
      </c>
      <c r="V3991">
        <v>0.23630680000000001</v>
      </c>
      <c r="W3991">
        <v>0.17350189999999999</v>
      </c>
      <c r="X3991">
        <v>0.95606290000000005</v>
      </c>
      <c r="Y3991">
        <v>0.58905240000000003</v>
      </c>
      <c r="Z3991">
        <v>-1.4200549999999999E-2</v>
      </c>
      <c r="AA3991">
        <v>0.80796999999999997</v>
      </c>
      <c r="AB3991">
        <v>26</v>
      </c>
      <c r="AC3991">
        <v>-20.257200000000001</v>
      </c>
      <c r="AD3991">
        <v>-0.44715120000000003</v>
      </c>
      <c r="AE3991">
        <v>-84.766400000000004</v>
      </c>
      <c r="AF3991">
        <v>51.464880053743798</v>
      </c>
      <c r="AG3991">
        <v>-0.44715120000000003</v>
      </c>
      <c r="AH3991">
        <v>70.332517154240193</v>
      </c>
      <c r="AI3991">
        <v>90.293968533648297</v>
      </c>
      <c r="AJ3991">
        <v>53.805698334618697</v>
      </c>
      <c r="AK3991">
        <v>87.152147376833994</v>
      </c>
      <c r="AL3991">
        <v>80.008510686184394</v>
      </c>
      <c r="AM3991">
        <v>76.116651366538704</v>
      </c>
      <c r="AN3991">
        <v>1.00000004089312</v>
      </c>
    </row>
    <row r="3992" spans="1:40" x14ac:dyDescent="0.25">
      <c r="A3992" t="str">
        <f>"20190304155714182"</f>
        <v>20190304155714182</v>
      </c>
      <c r="B3992" t="str">
        <f>"1551686234178369"</f>
        <v>1551686234178369</v>
      </c>
      <c r="C3992" t="s">
        <v>40</v>
      </c>
      <c r="D3992">
        <v>5.1164649999999998</v>
      </c>
      <c r="E3992">
        <v>0.65407740000000003</v>
      </c>
      <c r="F3992" t="s">
        <v>77</v>
      </c>
      <c r="G3992">
        <v>-210.99760000000001</v>
      </c>
      <c r="H3992">
        <v>0.52645620000000004</v>
      </c>
      <c r="I3992">
        <v>119.1403</v>
      </c>
      <c r="J3992">
        <v>-190.4641</v>
      </c>
      <c r="K3992">
        <v>1.096341</v>
      </c>
      <c r="L3992">
        <v>203.21459999999999</v>
      </c>
      <c r="M3992">
        <v>0.367392</v>
      </c>
      <c r="N3992">
        <v>-1.7416859999999999E-2</v>
      </c>
      <c r="O3992">
        <v>-0.92990320000000004</v>
      </c>
      <c r="P3992">
        <v>0.14483509999999999</v>
      </c>
      <c r="Q3992">
        <v>0.1645557</v>
      </c>
      <c r="R3992">
        <v>-0.97567649999999995</v>
      </c>
      <c r="S3992">
        <v>-0.77857969999999999</v>
      </c>
      <c r="T3992">
        <v>-2.1698950000000002E-2</v>
      </c>
      <c r="U3992">
        <v>-3.2121279999999999</v>
      </c>
      <c r="V3992">
        <v>0.22979169999999999</v>
      </c>
      <c r="W3992">
        <v>0.17361270000000001</v>
      </c>
      <c r="X3992">
        <v>0.95762959999999997</v>
      </c>
      <c r="Y3992">
        <v>0.5760556</v>
      </c>
      <c r="Z3992">
        <v>-1.2886679999999999E-2</v>
      </c>
      <c r="AA3992">
        <v>0.81730899999999995</v>
      </c>
      <c r="AB3992">
        <v>26</v>
      </c>
      <c r="AC3992">
        <v>-20.5335</v>
      </c>
      <c r="AD3992">
        <v>-0.56988479999999997</v>
      </c>
      <c r="AE3992">
        <v>-84.074299999999994</v>
      </c>
      <c r="AF3992">
        <v>49.987803107242698</v>
      </c>
      <c r="AG3992">
        <v>-0.56988479999999997</v>
      </c>
      <c r="AH3992">
        <v>70.644763345375594</v>
      </c>
      <c r="AI3992">
        <v>90.377292426404097</v>
      </c>
      <c r="AJ3992">
        <v>54.717008293240198</v>
      </c>
      <c r="AK3992">
        <v>86.543560224304699</v>
      </c>
      <c r="AL3992">
        <v>80.0020643032545</v>
      </c>
      <c r="AM3992">
        <v>76.506495913864995</v>
      </c>
      <c r="AN3992">
        <v>1.00000002289316</v>
      </c>
    </row>
    <row r="3993" spans="1:40" x14ac:dyDescent="0.25">
      <c r="A3993" t="str">
        <f>"20190304155714204"</f>
        <v>20190304155714204</v>
      </c>
      <c r="B3993" t="str">
        <f>"1551686234198865"</f>
        <v>1551686234198865</v>
      </c>
      <c r="C3993" t="s">
        <v>40</v>
      </c>
      <c r="D3993">
        <v>5.1441780000000001</v>
      </c>
      <c r="E3993">
        <v>0.65211889999999995</v>
      </c>
      <c r="F3993" t="s">
        <v>77</v>
      </c>
      <c r="G3993">
        <v>-211.37790000000001</v>
      </c>
      <c r="H3993">
        <v>0.52671630000000003</v>
      </c>
      <c r="I3993">
        <v>119.1401</v>
      </c>
      <c r="J3993">
        <v>-190.38489999999999</v>
      </c>
      <c r="K3993">
        <v>1.096433</v>
      </c>
      <c r="L3993">
        <v>202.95840000000001</v>
      </c>
      <c r="M3993">
        <v>0.34912130000000002</v>
      </c>
      <c r="N3993">
        <v>-1.739568E-2</v>
      </c>
      <c r="O3993">
        <v>-0.93691610000000003</v>
      </c>
      <c r="P3993">
        <v>0.1320614</v>
      </c>
      <c r="Q3993">
        <v>0.16438649999999999</v>
      </c>
      <c r="R3993">
        <v>-0.97751580000000005</v>
      </c>
      <c r="S3993">
        <v>-0.7951355</v>
      </c>
      <c r="T3993">
        <v>-2.1655799999999999E-2</v>
      </c>
      <c r="U3993">
        <v>-3.196472</v>
      </c>
      <c r="V3993">
        <v>0.22351850000000001</v>
      </c>
      <c r="W3993">
        <v>0.1737081</v>
      </c>
      <c r="X3993">
        <v>0.9590959</v>
      </c>
      <c r="Y3993">
        <v>0.56491519999999995</v>
      </c>
      <c r="Z3993">
        <v>-1.2731599999999999E-2</v>
      </c>
      <c r="AA3993">
        <v>0.82505069999999903</v>
      </c>
      <c r="AB3993">
        <v>26</v>
      </c>
      <c r="AC3993">
        <v>-20.992999999999999</v>
      </c>
      <c r="AD3993">
        <v>-0.56971669999999996</v>
      </c>
      <c r="AE3993">
        <v>-83.818299999999994</v>
      </c>
      <c r="AF3993">
        <v>48.936709656226398</v>
      </c>
      <c r="AG3993">
        <v>-0.56971669999999996</v>
      </c>
      <c r="AH3993">
        <v>71.209288719969905</v>
      </c>
      <c r="AI3993">
        <v>90.377784353497006</v>
      </c>
      <c r="AJ3993">
        <v>55.502228904785902</v>
      </c>
      <c r="AK3993">
        <v>86.405375579879902</v>
      </c>
      <c r="AL3993">
        <v>79.996513564962598</v>
      </c>
      <c r="AM3993">
        <v>76.881306234997396</v>
      </c>
      <c r="AN3993">
        <v>0.99999998462233397</v>
      </c>
    </row>
    <row r="3994" spans="1:40" x14ac:dyDescent="0.25">
      <c r="A3994" t="str">
        <f>"20190304155714226"</f>
        <v>20190304155714226</v>
      </c>
      <c r="B3994" t="str">
        <f>"1551686234218386"</f>
        <v>1551686234218386</v>
      </c>
      <c r="C3994" t="s">
        <v>40</v>
      </c>
      <c r="D3994">
        <v>5.0547740000000001</v>
      </c>
      <c r="E3994">
        <v>0.64871499999999904</v>
      </c>
      <c r="F3994" t="s">
        <v>77</v>
      </c>
      <c r="G3994">
        <v>-211.98400000000001</v>
      </c>
      <c r="H3994">
        <v>0.40695170000000003</v>
      </c>
      <c r="I3994">
        <v>119.2246</v>
      </c>
      <c r="J3994">
        <v>-190.31389999999999</v>
      </c>
      <c r="K3994">
        <v>1.096543</v>
      </c>
      <c r="L3994">
        <v>202.71190000000001</v>
      </c>
      <c r="M3994">
        <v>0.33160959999999901</v>
      </c>
      <c r="N3994">
        <v>-1.7368890000000001E-2</v>
      </c>
      <c r="O3994">
        <v>-0.94325680000000001</v>
      </c>
      <c r="P3994">
        <v>0.1204036</v>
      </c>
      <c r="Q3994">
        <v>0.1630414</v>
      </c>
      <c r="R3994">
        <v>-0.97924489999999997</v>
      </c>
      <c r="S3994">
        <v>-0.82141109999999995</v>
      </c>
      <c r="T3994">
        <v>-2.6219840000000001E-2</v>
      </c>
      <c r="U3994">
        <v>-3.1843870000000001</v>
      </c>
      <c r="V3994">
        <v>0.21704670000000001</v>
      </c>
      <c r="W3994">
        <v>0.17263589999999901</v>
      </c>
      <c r="X3994">
        <v>0.96077449999999998</v>
      </c>
      <c r="Y3994">
        <v>0.55664650000000004</v>
      </c>
      <c r="Z3994">
        <v>-1.142074E-2</v>
      </c>
      <c r="AA3994">
        <v>0.83067099999999905</v>
      </c>
      <c r="AB3994">
        <v>26</v>
      </c>
      <c r="AC3994">
        <v>-21.670100000000001</v>
      </c>
      <c r="AD3994">
        <v>-0.68959130000000002</v>
      </c>
      <c r="AE3994">
        <v>-83.487300000000005</v>
      </c>
      <c r="AF3994">
        <v>48.129843926786897</v>
      </c>
      <c r="AG3994">
        <v>-0.68959130000000002</v>
      </c>
      <c r="AH3994">
        <v>71.570172821783899</v>
      </c>
      <c r="AI3994">
        <v>90.458093935498198</v>
      </c>
      <c r="AJ3994">
        <v>56.079773098531597</v>
      </c>
      <c r="AK3994">
        <v>86.251069850280203</v>
      </c>
      <c r="AL3994">
        <v>80.058888964290603</v>
      </c>
      <c r="AM3994">
        <v>77.270105336712504</v>
      </c>
      <c r="AN3994">
        <v>1.00000003189997</v>
      </c>
    </row>
    <row r="3995" spans="1:40" x14ac:dyDescent="0.25">
      <c r="A3995" t="str">
        <f>"20190304155714247"</f>
        <v>20190304155714247</v>
      </c>
      <c r="B3995" t="str">
        <f>"1551686234238882"</f>
        <v>1551686234238882</v>
      </c>
      <c r="C3995" t="s">
        <v>40</v>
      </c>
      <c r="D3995">
        <v>5.1419350000000001</v>
      </c>
      <c r="E3995">
        <v>0.64519579999999999</v>
      </c>
      <c r="F3995" t="s">
        <v>77</v>
      </c>
      <c r="G3995">
        <v>-212.03380000000001</v>
      </c>
      <c r="H3995">
        <v>0.21518870000000001</v>
      </c>
      <c r="I3995">
        <v>119.91719999999999</v>
      </c>
      <c r="J3995">
        <v>-190.24709999999999</v>
      </c>
      <c r="K3995">
        <v>1.096668</v>
      </c>
      <c r="L3995">
        <v>202.46340000000001</v>
      </c>
      <c r="M3995">
        <v>0.31403229999999999</v>
      </c>
      <c r="N3995">
        <v>-1.7334720000000001E-2</v>
      </c>
      <c r="O3995">
        <v>-0.9492543</v>
      </c>
      <c r="P3995">
        <v>0.1100183</v>
      </c>
      <c r="Q3995">
        <v>0.1615366</v>
      </c>
      <c r="R3995">
        <v>-0.98071520000000001</v>
      </c>
      <c r="S3995">
        <v>-0.83200069999999904</v>
      </c>
      <c r="T3995">
        <v>-3.3759949999999997E-2</v>
      </c>
      <c r="U3995">
        <v>-3.1715239999999998</v>
      </c>
      <c r="V3995">
        <v>0.2093325</v>
      </c>
      <c r="W3995">
        <v>0.17144889999999999</v>
      </c>
      <c r="X3995">
        <v>0.96269680000000002</v>
      </c>
      <c r="Y3995">
        <v>0.54456789999999999</v>
      </c>
      <c r="Z3995">
        <v>-9.2536340000000002E-3</v>
      </c>
      <c r="AA3995">
        <v>0.83866569999999996</v>
      </c>
      <c r="AB3995">
        <v>26</v>
      </c>
      <c r="AC3995">
        <v>-21.7867</v>
      </c>
      <c r="AD3995">
        <v>-0.88147929999999997</v>
      </c>
      <c r="AE3995">
        <v>-82.546199999999999</v>
      </c>
      <c r="AF3995">
        <v>46.605315065972697</v>
      </c>
      <c r="AG3995">
        <v>-0.88147929999999997</v>
      </c>
      <c r="AH3995">
        <v>71.518712767255394</v>
      </c>
      <c r="AI3995">
        <v>90.591623582007998</v>
      </c>
      <c r="AJ3995">
        <v>56.909641427175501</v>
      </c>
      <c r="AK3995">
        <v>85.368370454402495</v>
      </c>
      <c r="AL3995">
        <v>80.1279278978447</v>
      </c>
      <c r="AM3995">
        <v>77.732351437756407</v>
      </c>
      <c r="AN3995">
        <v>0.99999997479884895</v>
      </c>
    </row>
    <row r="3996" spans="1:40" x14ac:dyDescent="0.25">
      <c r="A3996" t="str">
        <f>"20190304155714270"</f>
        <v>20190304155714270</v>
      </c>
      <c r="B3996" t="str">
        <f>"1551686234258402"</f>
        <v>1551686234258402</v>
      </c>
      <c r="C3996" t="s">
        <v>40</v>
      </c>
      <c r="D3996">
        <v>5.1288650000000002</v>
      </c>
      <c r="E3996">
        <v>0.64256169999999901</v>
      </c>
      <c r="F3996" t="s">
        <v>41</v>
      </c>
      <c r="G3996">
        <v>-210.36019999999999</v>
      </c>
      <c r="H3996">
        <v>7.9986420000000003E-2</v>
      </c>
      <c r="I3996">
        <v>126.61109999999999</v>
      </c>
      <c r="J3996">
        <v>-190.18289999999999</v>
      </c>
      <c r="K3996">
        <v>1.0968260000000001</v>
      </c>
      <c r="L3996">
        <v>202.2054</v>
      </c>
      <c r="M3996">
        <v>0.29591220000000001</v>
      </c>
      <c r="N3996">
        <v>-1.7291250000000001E-2</v>
      </c>
      <c r="O3996">
        <v>-0.95505859999999998</v>
      </c>
      <c r="P3996">
        <v>9.8311919999999997E-2</v>
      </c>
      <c r="Q3996">
        <v>0.16136349999999999</v>
      </c>
      <c r="R3996">
        <v>-0.98198620000000003</v>
      </c>
      <c r="S3996">
        <v>-0.83790589999999998</v>
      </c>
      <c r="T3996">
        <v>-4.2354700000000002E-2</v>
      </c>
      <c r="U3996">
        <v>-3.1599879999999998</v>
      </c>
      <c r="V3996">
        <v>0.20241190000000001</v>
      </c>
      <c r="W3996">
        <v>0.17156070000000001</v>
      </c>
      <c r="X3996">
        <v>0.96415569999999895</v>
      </c>
      <c r="Y3996">
        <v>0.53074880000000002</v>
      </c>
      <c r="Z3996">
        <v>-6.7142919999999898E-3</v>
      </c>
      <c r="AA3996">
        <v>0.84750259999999999</v>
      </c>
      <c r="AB3996">
        <v>26</v>
      </c>
      <c r="AC3996">
        <v>-20.177299999999999</v>
      </c>
      <c r="AD3996">
        <v>-1.0168395800000001</v>
      </c>
      <c r="AE3996">
        <v>-75.594300000000004</v>
      </c>
      <c r="AF3996">
        <v>41.638973931866602</v>
      </c>
      <c r="AG3996">
        <v>-1.0168395800000001</v>
      </c>
      <c r="AH3996">
        <v>66.224995855190002</v>
      </c>
      <c r="AI3996">
        <v>90.744716066673803</v>
      </c>
      <c r="AJ3996">
        <v>57.840366827158903</v>
      </c>
      <c r="AK3996">
        <v>78.234188107566197</v>
      </c>
      <c r="AL3996">
        <v>80.121425468541503</v>
      </c>
      <c r="AM3996">
        <v>78.143681236961797</v>
      </c>
      <c r="AN3996">
        <v>0.99999993244429197</v>
      </c>
    </row>
    <row r="3997" spans="1:40" x14ac:dyDescent="0.25">
      <c r="A3997" t="str">
        <f>"20190304155714292"</f>
        <v>20190304155714292</v>
      </c>
      <c r="B3997" t="str">
        <f>"1551686234288658"</f>
        <v>1551686234288658</v>
      </c>
      <c r="C3997" t="s">
        <v>40</v>
      </c>
      <c r="D3997">
        <v>5.0947279999999999</v>
      </c>
      <c r="E3997">
        <v>0.63950969999999996</v>
      </c>
      <c r="F3997" t="s">
        <v>78</v>
      </c>
      <c r="G3997">
        <v>-209.90280000000001</v>
      </c>
      <c r="H3997">
        <v>4.571998E-2</v>
      </c>
      <c r="I3997">
        <v>129.6163</v>
      </c>
      <c r="J3997">
        <v>-190.12350000000001</v>
      </c>
      <c r="K3997">
        <v>1.097013</v>
      </c>
      <c r="L3997">
        <v>201.94499999999999</v>
      </c>
      <c r="M3997">
        <v>0.27781119999999998</v>
      </c>
      <c r="N3997">
        <v>-1.7236850000000001E-2</v>
      </c>
      <c r="O3997">
        <v>-0.96048100000000003</v>
      </c>
      <c r="P3997">
        <v>8.6716680000000004E-2</v>
      </c>
      <c r="Q3997">
        <v>0.16158040000000001</v>
      </c>
      <c r="R3997">
        <v>-0.98304210000000003</v>
      </c>
      <c r="S3997">
        <v>-0.85523989999999905</v>
      </c>
      <c r="T3997">
        <v>-4.5585870000000001E-2</v>
      </c>
      <c r="U3997">
        <v>-3.1481479999999999</v>
      </c>
      <c r="V3997">
        <v>0.19546620000000001</v>
      </c>
      <c r="W3997">
        <v>0.17205909999999999</v>
      </c>
      <c r="X3997">
        <v>0.9654992</v>
      </c>
      <c r="Y3997">
        <v>0.5198315</v>
      </c>
      <c r="Z3997">
        <v>-5.5671740000000003E-3</v>
      </c>
      <c r="AA3997">
        <v>0.85425069999999903</v>
      </c>
      <c r="AB3997">
        <v>26</v>
      </c>
      <c r="AC3997">
        <v>-19.779299999999999</v>
      </c>
      <c r="AD3997">
        <v>-1.0512930199999999</v>
      </c>
      <c r="AE3997">
        <v>-72.328699999999998</v>
      </c>
      <c r="AF3997">
        <v>39.089491163168901</v>
      </c>
      <c r="AG3997">
        <v>-1.0512930199999999</v>
      </c>
      <c r="AH3997">
        <v>63.972364739206299</v>
      </c>
      <c r="AI3997">
        <v>90.803400941308595</v>
      </c>
      <c r="AJ3997">
        <v>58.573520057101298</v>
      </c>
      <c r="AK3997">
        <v>74.977043064763606</v>
      </c>
      <c r="AL3997">
        <v>80.092439261292697</v>
      </c>
      <c r="AM3997">
        <v>78.555105142581695</v>
      </c>
      <c r="AN3997">
        <v>1.0000000372179401</v>
      </c>
    </row>
    <row r="3998" spans="1:40" x14ac:dyDescent="0.25">
      <c r="A3998" t="str">
        <f>"20190304155714315"</f>
        <v>20190304155714315</v>
      </c>
      <c r="B3998" t="str">
        <f>"1551686234309154"</f>
        <v>1551686234309154</v>
      </c>
      <c r="C3998" t="s">
        <v>40</v>
      </c>
      <c r="D3998">
        <v>4.9401910000000004</v>
      </c>
      <c r="E3998">
        <v>0.58837459999999997</v>
      </c>
      <c r="F3998" t="s">
        <v>78</v>
      </c>
      <c r="G3998">
        <v>-209.7758</v>
      </c>
      <c r="H3998" s="1">
        <v>-2.1902619999999998E-6</v>
      </c>
      <c r="I3998">
        <v>131.0033</v>
      </c>
      <c r="J3998">
        <v>-190.06909999999999</v>
      </c>
      <c r="K3998">
        <v>1.0972230000000001</v>
      </c>
      <c r="L3998">
        <v>201.68530000000001</v>
      </c>
      <c r="M3998">
        <v>0.25995800000000002</v>
      </c>
      <c r="N3998">
        <v>-1.7173520000000001E-2</v>
      </c>
      <c r="O3998">
        <v>-0.96546730000000003</v>
      </c>
      <c r="P3998">
        <v>7.5562619999999997E-2</v>
      </c>
      <c r="Q3998">
        <v>0.1613705</v>
      </c>
      <c r="R3998">
        <v>-0.98399689999999995</v>
      </c>
      <c r="S3998">
        <v>-0.86883539999999904</v>
      </c>
      <c r="T3998">
        <v>-4.8499349999999997E-2</v>
      </c>
      <c r="U3998">
        <v>-3.1363530000000002</v>
      </c>
      <c r="V3998">
        <v>0.1884084</v>
      </c>
      <c r="W3998">
        <v>0.17213049999999999</v>
      </c>
      <c r="X3998">
        <v>0.96688850000000004</v>
      </c>
      <c r="Y3998">
        <v>0.5082044</v>
      </c>
      <c r="Z3998">
        <v>-4.4717079999999996E-3</v>
      </c>
      <c r="AA3998">
        <v>0.86122489999999996</v>
      </c>
      <c r="AB3998">
        <v>26</v>
      </c>
      <c r="AC3998">
        <v>-19.706700000000001</v>
      </c>
      <c r="AD3998">
        <v>-1.097225190262</v>
      </c>
      <c r="AE3998">
        <v>-70.682000000000002</v>
      </c>
      <c r="AF3998">
        <v>37.397676621504701</v>
      </c>
      <c r="AG3998">
        <v>-1.097225190262</v>
      </c>
      <c r="AH3998">
        <v>63.113437026413301</v>
      </c>
      <c r="AI3998">
        <v>90.856877080796394</v>
      </c>
      <c r="AJ3998">
        <v>59.3512661930029</v>
      </c>
      <c r="AK3998">
        <v>73.369585340874195</v>
      </c>
      <c r="AL3998">
        <v>80.088286039165297</v>
      </c>
      <c r="AM3998">
        <v>78.973489829859901</v>
      </c>
      <c r="AN3998">
        <v>1.0000000028265299</v>
      </c>
    </row>
    <row r="3999" spans="1:40" x14ac:dyDescent="0.25">
      <c r="A3999" t="str">
        <f>"20190304155714336"</f>
        <v>20190304155714336</v>
      </c>
      <c r="B3999" t="str">
        <f>"1551686234328674"</f>
        <v>1551686234328674</v>
      </c>
      <c r="C3999" t="s">
        <v>40</v>
      </c>
      <c r="D3999">
        <v>4.9402790000000003</v>
      </c>
      <c r="E3999">
        <v>0.57884380000000002</v>
      </c>
      <c r="F3999" t="s">
        <v>54</v>
      </c>
      <c r="G3999">
        <v>-211.35900000000001</v>
      </c>
      <c r="H3999">
        <v>1.0764499999999999</v>
      </c>
      <c r="I3999">
        <v>68.994450000000001</v>
      </c>
      <c r="J3999">
        <v>-190.0206</v>
      </c>
      <c r="K3999">
        <v>1.09744</v>
      </c>
      <c r="L3999">
        <v>201.4314</v>
      </c>
      <c r="M3999">
        <v>0.2426876</v>
      </c>
      <c r="N3999">
        <v>-1.7105950000000002E-2</v>
      </c>
      <c r="O3999">
        <v>-0.96995379999999998</v>
      </c>
      <c r="P3999">
        <v>6.4718280000000003E-2</v>
      </c>
      <c r="Q3999">
        <v>0.1616744</v>
      </c>
      <c r="R3999">
        <v>-0.98472000000000004</v>
      </c>
      <c r="S3999">
        <v>-0.49528499999999998</v>
      </c>
      <c r="T3999">
        <v>-4.8279760000000002E-4</v>
      </c>
      <c r="U3999">
        <v>-3.0868989999999998</v>
      </c>
      <c r="V3999">
        <v>0.18169270000000001</v>
      </c>
      <c r="W3999">
        <v>0.17269039999999999</v>
      </c>
      <c r="X3999">
        <v>0.96807319999999997</v>
      </c>
      <c r="Y3999">
        <v>0.3932602</v>
      </c>
      <c r="Z3999">
        <v>-1.730313E-2</v>
      </c>
      <c r="AA3999">
        <v>0.91926439999999998</v>
      </c>
      <c r="AB3999">
        <v>26</v>
      </c>
      <c r="AC3999">
        <v>-21.3384</v>
      </c>
      <c r="AD3999">
        <v>-2.0990000000000002E-2</v>
      </c>
      <c r="AE3999">
        <v>-132.43695</v>
      </c>
      <c r="AF3999">
        <v>52.8457918408183</v>
      </c>
      <c r="AG3999">
        <v>-2.0990000000000002E-2</v>
      </c>
      <c r="AH3999">
        <v>123.29717938144</v>
      </c>
      <c r="AI3999">
        <v>90.008965214495007</v>
      </c>
      <c r="AJ3999">
        <v>66.799782802143099</v>
      </c>
      <c r="AK3999">
        <v>134.144968594734</v>
      </c>
      <c r="AL3999">
        <v>80.055718068683206</v>
      </c>
      <c r="AM3999">
        <v>79.370112115544998</v>
      </c>
      <c r="AN3999">
        <v>0.99999996602184404</v>
      </c>
    </row>
    <row r="4000" spans="1:40" x14ac:dyDescent="0.25">
      <c r="A4000" t="str">
        <f>"20190304155714358"</f>
        <v>20190304155714358</v>
      </c>
      <c r="B4000" t="str">
        <f>"1551686234349173"</f>
        <v>1551686234349173</v>
      </c>
      <c r="C4000" t="s">
        <v>40</v>
      </c>
      <c r="D4000">
        <v>4.8655839999999904</v>
      </c>
      <c r="E4000">
        <v>0.57557170000000002</v>
      </c>
      <c r="F4000" t="s">
        <v>54</v>
      </c>
      <c r="G4000">
        <v>-212.2253</v>
      </c>
      <c r="H4000">
        <v>0.31365680000000001</v>
      </c>
      <c r="I4000">
        <v>50.255459999999999</v>
      </c>
      <c r="J4000">
        <v>-189.97579999999999</v>
      </c>
      <c r="K4000">
        <v>1.0976680000000001</v>
      </c>
      <c r="L4000">
        <v>201.17320000000001</v>
      </c>
      <c r="M4000">
        <v>0.2253501</v>
      </c>
      <c r="N4000">
        <v>-1.7033739999999999E-2</v>
      </c>
      <c r="O4000">
        <v>-0.97412900000000002</v>
      </c>
      <c r="P4000">
        <v>5.3851059999999999E-2</v>
      </c>
      <c r="Q4000">
        <v>0.16263710000000001</v>
      </c>
      <c r="R4000">
        <v>-0.98521579999999997</v>
      </c>
      <c r="S4000">
        <v>-0.45222469999999998</v>
      </c>
      <c r="T4000">
        <v>-1.5962359999999998E-2</v>
      </c>
      <c r="U4000">
        <v>-3.0788730000000002</v>
      </c>
      <c r="V4000">
        <v>0.17498520000000001</v>
      </c>
      <c r="W4000">
        <v>0.1739002</v>
      </c>
      <c r="X4000">
        <v>0.96909179999999995</v>
      </c>
      <c r="Y4000">
        <v>0.36449199999999998</v>
      </c>
      <c r="Z4000">
        <v>-1.2541439999999999E-2</v>
      </c>
      <c r="AA4000">
        <v>0.93112209999999995</v>
      </c>
      <c r="AB4000">
        <v>26</v>
      </c>
      <c r="AC4000">
        <v>-22.249500000000001</v>
      </c>
      <c r="AD4000">
        <v>-0.78401120000000002</v>
      </c>
      <c r="AE4000">
        <v>-150.91773999999899</v>
      </c>
      <c r="AF4000">
        <v>55.689816508997403</v>
      </c>
      <c r="AG4000">
        <v>-0.78401120000000002</v>
      </c>
      <c r="AH4000">
        <v>142.016265039373</v>
      </c>
      <c r="AI4000">
        <v>90.294471395959704</v>
      </c>
      <c r="AJ4000">
        <v>68.588022353708197</v>
      </c>
      <c r="AK4000">
        <v>152.547008728788</v>
      </c>
      <c r="AL4000">
        <v>79.985337179554094</v>
      </c>
      <c r="AM4000">
        <v>79.764607971954405</v>
      </c>
      <c r="AN4000">
        <v>1.0000000083031599</v>
      </c>
    </row>
    <row r="4001" spans="1:40" x14ac:dyDescent="0.25">
      <c r="A4001" t="str">
        <f>"20190304155714383"</f>
        <v>20190304155714383</v>
      </c>
      <c r="B4001" t="str">
        <f>"1551686234378449"</f>
        <v>1551686234378449</v>
      </c>
      <c r="C4001" t="s">
        <v>40</v>
      </c>
      <c r="D4001">
        <v>4.8999639999999998</v>
      </c>
      <c r="E4001">
        <v>0.57179559999999996</v>
      </c>
      <c r="F4001" t="s">
        <v>54</v>
      </c>
      <c r="G4001">
        <v>-212.2253</v>
      </c>
      <c r="H4001">
        <v>0.24103260000000001</v>
      </c>
      <c r="I4001">
        <v>51.832819999999998</v>
      </c>
      <c r="J4001">
        <v>-189.9324</v>
      </c>
      <c r="K4001">
        <v>1.0979410000000001</v>
      </c>
      <c r="L4001">
        <v>200.89519999999999</v>
      </c>
      <c r="M4001">
        <v>0.20698440000000001</v>
      </c>
      <c r="N4001">
        <v>-1.6949510000000001E-2</v>
      </c>
      <c r="O4001">
        <v>-0.9781976</v>
      </c>
      <c r="P4001">
        <v>4.211525E-2</v>
      </c>
      <c r="Q4001">
        <v>0.16410949999999999</v>
      </c>
      <c r="R4001">
        <v>-0.98554310000000001</v>
      </c>
      <c r="S4001">
        <v>-0.45782469999999997</v>
      </c>
      <c r="T4001">
        <v>-1.762652E-2</v>
      </c>
      <c r="U4001">
        <v>-3.0729519999999999</v>
      </c>
      <c r="V4001">
        <v>0.16815350000000001</v>
      </c>
      <c r="W4001">
        <v>0.175619</v>
      </c>
      <c r="X4001">
        <v>0.96999089999999999</v>
      </c>
      <c r="Y4001">
        <v>0.34884389999999998</v>
      </c>
      <c r="Z4001">
        <v>-1.187588E-2</v>
      </c>
      <c r="AA4001">
        <v>0.93710559999999998</v>
      </c>
      <c r="AB4001">
        <v>26</v>
      </c>
      <c r="AC4001">
        <v>-22.292899999999999</v>
      </c>
      <c r="AD4001">
        <v>-0.85690840000000001</v>
      </c>
      <c r="AE4001">
        <v>-149.06237999999999</v>
      </c>
      <c r="AF4001">
        <v>52.666302297487803</v>
      </c>
      <c r="AG4001">
        <v>-0.85690840000000001</v>
      </c>
      <c r="AH4001">
        <v>141.21387542014</v>
      </c>
      <c r="AI4001">
        <v>90.3257579665582</v>
      </c>
      <c r="AJ4001">
        <v>69.546790297859204</v>
      </c>
      <c r="AK4001">
        <v>150.71772391086299</v>
      </c>
      <c r="AL4001">
        <v>79.885317805785306</v>
      </c>
      <c r="AM4001">
        <v>80.165189120907499</v>
      </c>
      <c r="AN4001">
        <v>0.99999998940302903</v>
      </c>
    </row>
    <row r="4002" spans="1:40" x14ac:dyDescent="0.25">
      <c r="A4002" t="str">
        <f>"20190304155714405"</f>
        <v>20190304155714405</v>
      </c>
      <c r="B4002" t="str">
        <f>"1551686234398948"</f>
        <v>1551686234398948</v>
      </c>
      <c r="C4002" t="s">
        <v>40</v>
      </c>
      <c r="D4002">
        <v>4.7640269999999996</v>
      </c>
      <c r="E4002">
        <v>0.57085929999999996</v>
      </c>
      <c r="F4002" t="s">
        <v>54</v>
      </c>
      <c r="G4002">
        <v>-212.2253</v>
      </c>
      <c r="H4002">
        <v>0.23803350000000001</v>
      </c>
      <c r="I4002">
        <v>53.160240000000002</v>
      </c>
      <c r="J4002">
        <v>-189.89619999999999</v>
      </c>
      <c r="K4002">
        <v>1.0982259999999999</v>
      </c>
      <c r="L4002">
        <v>200.6343</v>
      </c>
      <c r="M4002">
        <v>0.19009690000000001</v>
      </c>
      <c r="N4002">
        <v>-1.6859510000000001E-2</v>
      </c>
      <c r="O4002">
        <v>-0.98162079999999996</v>
      </c>
      <c r="P4002">
        <v>3.1621249999999997E-2</v>
      </c>
      <c r="Q4002">
        <v>0.16548160000000001</v>
      </c>
      <c r="R4002">
        <v>-0.98570630000000004</v>
      </c>
      <c r="S4002">
        <v>-0.46276859999999997</v>
      </c>
      <c r="T4002">
        <v>-1.785016E-2</v>
      </c>
      <c r="U4002">
        <v>-3.0667719999999998</v>
      </c>
      <c r="V4002">
        <v>0.16161879999999901</v>
      </c>
      <c r="W4002">
        <v>0.1772195</v>
      </c>
      <c r="X4002">
        <v>0.97081030000000001</v>
      </c>
      <c r="Y4002">
        <v>0.33440890000000001</v>
      </c>
      <c r="Z4002">
        <v>-1.164252E-2</v>
      </c>
      <c r="AA4002">
        <v>0.94235619999999998</v>
      </c>
      <c r="AB4002">
        <v>26</v>
      </c>
      <c r="AC4002">
        <v>-22.3291</v>
      </c>
      <c r="AD4002">
        <v>-0.86019249999999903</v>
      </c>
      <c r="AE4002">
        <v>-147.47406000000001</v>
      </c>
      <c r="AF4002">
        <v>49.958498235800597</v>
      </c>
      <c r="AG4002">
        <v>-0.86019249999999903</v>
      </c>
      <c r="AH4002">
        <v>140.534179989314</v>
      </c>
      <c r="AI4002">
        <v>90.330438285199406</v>
      </c>
      <c r="AJ4002">
        <v>70.430207809478304</v>
      </c>
      <c r="AK4002">
        <v>149.15242948870301</v>
      </c>
      <c r="AL4002">
        <v>79.792154890159395</v>
      </c>
      <c r="AM4002">
        <v>80.548181812869501</v>
      </c>
      <c r="AN4002">
        <v>1.0000000131398901</v>
      </c>
    </row>
    <row r="4003" spans="1:40" x14ac:dyDescent="0.25">
      <c r="A4003" t="str">
        <f>"20190304155714427"</f>
        <v>20190304155714427</v>
      </c>
      <c r="B4003" t="str">
        <f>"1551686234418466"</f>
        <v>1551686234418466</v>
      </c>
      <c r="C4003" t="s">
        <v>40</v>
      </c>
      <c r="D4003">
        <v>4.9021339999999904</v>
      </c>
      <c r="E4003">
        <v>0.55621089999999995</v>
      </c>
      <c r="F4003" t="s">
        <v>54</v>
      </c>
      <c r="G4003">
        <v>-212.2253</v>
      </c>
      <c r="H4003">
        <v>0.3837931</v>
      </c>
      <c r="I4003">
        <v>60.309010000000001</v>
      </c>
      <c r="J4003">
        <v>-189.86539999999999</v>
      </c>
      <c r="K4003">
        <v>1.098543</v>
      </c>
      <c r="L4003">
        <v>200.38380000000001</v>
      </c>
      <c r="M4003">
        <v>0.17426269999999999</v>
      </c>
      <c r="N4003">
        <v>-1.6761129999999999E-2</v>
      </c>
      <c r="O4003">
        <v>-0.9845566</v>
      </c>
      <c r="P4003">
        <v>2.1242179999999999E-2</v>
      </c>
      <c r="Q4003">
        <v>0.1655375</v>
      </c>
      <c r="R4003">
        <v>-0.98597480000000004</v>
      </c>
      <c r="S4003">
        <v>-0.48719790000000002</v>
      </c>
      <c r="T4003">
        <v>-1.5587810000000001E-2</v>
      </c>
      <c r="U4003">
        <v>-3.0617519999999998</v>
      </c>
      <c r="V4003">
        <v>0.1560501</v>
      </c>
      <c r="W4003">
        <v>0.1774715</v>
      </c>
      <c r="X4003">
        <v>0.97167499999999996</v>
      </c>
      <c r="Y4003">
        <v>0.32679229999999998</v>
      </c>
      <c r="Z4003">
        <v>-1.219228E-2</v>
      </c>
      <c r="AA4003">
        <v>0.94501749999999995</v>
      </c>
      <c r="AB4003">
        <v>25</v>
      </c>
      <c r="AC4003">
        <v>-22.3599</v>
      </c>
      <c r="AD4003">
        <v>-0.71474990000000005</v>
      </c>
      <c r="AE4003">
        <v>-140.07478999999901</v>
      </c>
      <c r="AF4003">
        <v>46.429739037863101</v>
      </c>
      <c r="AG4003">
        <v>-0.71474990000000005</v>
      </c>
      <c r="AH4003">
        <v>134.03047996072399</v>
      </c>
      <c r="AI4003">
        <v>90.288708956169899</v>
      </c>
      <c r="AJ4003">
        <v>70.893311127007806</v>
      </c>
      <c r="AK4003">
        <v>141.846399647808</v>
      </c>
      <c r="AL4003">
        <v>79.777484036852499</v>
      </c>
      <c r="AM4003">
        <v>80.876258870903698</v>
      </c>
      <c r="AN4003">
        <v>1.0000000363236199</v>
      </c>
    </row>
    <row r="4004" spans="1:40" x14ac:dyDescent="0.25">
      <c r="A4004" t="str">
        <f>"20190304155714448"</f>
        <v>20190304155714448</v>
      </c>
      <c r="B4004" t="str">
        <f>"1551686234438966"</f>
        <v>1551686234438966</v>
      </c>
      <c r="C4004" t="s">
        <v>40</v>
      </c>
      <c r="D4004">
        <v>4.9348769999999904</v>
      </c>
      <c r="E4004">
        <v>0.55406909999999998</v>
      </c>
      <c r="F4004" t="s">
        <v>41</v>
      </c>
      <c r="G4004">
        <v>-201.18049999999999</v>
      </c>
      <c r="H4004">
        <v>7.9985420000000002E-2</v>
      </c>
      <c r="I4004">
        <v>114.5528</v>
      </c>
      <c r="J4004">
        <v>-189.83879999999999</v>
      </c>
      <c r="K4004">
        <v>1.0988869999999999</v>
      </c>
      <c r="L4004">
        <v>200.13759999999999</v>
      </c>
      <c r="M4004">
        <v>0.15912029999999999</v>
      </c>
      <c r="N4004">
        <v>-1.6653640000000001E-2</v>
      </c>
      <c r="O4004">
        <v>-0.98711879999999996</v>
      </c>
      <c r="P4004">
        <v>1.1549709999999999E-2</v>
      </c>
      <c r="Q4004">
        <v>0.16638069999999999</v>
      </c>
      <c r="R4004">
        <v>-0.98599400000000004</v>
      </c>
      <c r="S4004">
        <v>-0.4030609</v>
      </c>
      <c r="T4004">
        <v>-3.6282780000000001E-2</v>
      </c>
      <c r="U4004">
        <v>-3.0574490000000001</v>
      </c>
      <c r="V4004">
        <v>0.15050649999999999</v>
      </c>
      <c r="W4004">
        <v>0.1785042</v>
      </c>
      <c r="X4004">
        <v>0.97236</v>
      </c>
      <c r="Y4004">
        <v>0.2867401</v>
      </c>
      <c r="Z4004">
        <v>-5.4896809999999997E-3</v>
      </c>
      <c r="AA4004">
        <v>0.95799270000000003</v>
      </c>
      <c r="AB4004">
        <v>25</v>
      </c>
      <c r="AC4004">
        <v>-11.341699999999999</v>
      </c>
      <c r="AD4004">
        <v>-1.0189015800000001</v>
      </c>
      <c r="AE4004">
        <v>-85.584799999999902</v>
      </c>
      <c r="AF4004">
        <v>24.813868076135702</v>
      </c>
      <c r="AG4004">
        <v>-1.0189015800000001</v>
      </c>
      <c r="AH4004">
        <v>82.677616159978797</v>
      </c>
      <c r="AI4004">
        <v>90.676267009091703</v>
      </c>
      <c r="AJ4004">
        <v>73.294027377747994</v>
      </c>
      <c r="AK4004">
        <v>86.327020238314603</v>
      </c>
      <c r="AL4004">
        <v>79.717353814140907</v>
      </c>
      <c r="AM4004">
        <v>81.201310947820801</v>
      </c>
      <c r="AN4004">
        <v>0.99999996277994396</v>
      </c>
    </row>
    <row r="4005" spans="1:40" x14ac:dyDescent="0.25">
      <c r="A4005" t="str">
        <f>"20190304155714471"</f>
        <v>20190304155714471</v>
      </c>
      <c r="B4005" t="str">
        <f>"1551686234468242"</f>
        <v>1551686234468242</v>
      </c>
      <c r="C4005" t="s">
        <v>40</v>
      </c>
      <c r="D4005">
        <v>4.9009850000000004</v>
      </c>
      <c r="E4005">
        <v>0.55066490000000001</v>
      </c>
      <c r="F4005" t="s">
        <v>78</v>
      </c>
      <c r="G4005">
        <v>-198.02590000000001</v>
      </c>
      <c r="H4005" s="1">
        <v>-9.3197740000000007E-6</v>
      </c>
      <c r="I4005">
        <v>139.98859999999999</v>
      </c>
      <c r="J4005">
        <v>-189.81389999999999</v>
      </c>
      <c r="K4005">
        <v>1.099315</v>
      </c>
      <c r="L4005">
        <v>199.87440000000001</v>
      </c>
      <c r="M4005">
        <v>0.14344489999999999</v>
      </c>
      <c r="N4005">
        <v>-1.6528520000000001E-2</v>
      </c>
      <c r="O4005">
        <v>-0.98952030000000002</v>
      </c>
      <c r="P4005">
        <v>1.5189649999999999E-3</v>
      </c>
      <c r="Q4005">
        <v>0.1666995</v>
      </c>
      <c r="R4005">
        <v>-0.98600670000000001</v>
      </c>
      <c r="S4005">
        <v>-0.41609190000000001</v>
      </c>
      <c r="T4005">
        <v>-5.5848839999999997E-2</v>
      </c>
      <c r="U4005">
        <v>-3.0569310000000001</v>
      </c>
      <c r="V4005">
        <v>0.14477370000000001</v>
      </c>
      <c r="W4005">
        <v>0.1790156</v>
      </c>
      <c r="X4005">
        <v>0.97313609999999995</v>
      </c>
      <c r="Y4005">
        <v>0.27555010000000002</v>
      </c>
      <c r="Z4005">
        <v>8.5728949999999996E-4</v>
      </c>
      <c r="AA4005">
        <v>0.96128630000000004</v>
      </c>
      <c r="AB4005">
        <v>25</v>
      </c>
      <c r="AC4005">
        <v>-8.2120000000000104</v>
      </c>
      <c r="AD4005">
        <v>-1.0993243197739999</v>
      </c>
      <c r="AE4005">
        <v>-59.885800000000003</v>
      </c>
      <c r="AF4005">
        <v>16.713008674639902</v>
      </c>
      <c r="AG4005">
        <v>-1.0993243197739999</v>
      </c>
      <c r="AH4005">
        <v>58.068971899094599</v>
      </c>
      <c r="AI4005">
        <v>91.042257451844407</v>
      </c>
      <c r="AJ4005">
        <v>73.943490305441102</v>
      </c>
      <c r="AK4005">
        <v>60.436236401156499</v>
      </c>
      <c r="AL4005">
        <v>79.687572818400199</v>
      </c>
      <c r="AM4005">
        <v>81.538155872870902</v>
      </c>
      <c r="AN4005">
        <v>0.999999939189128</v>
      </c>
    </row>
    <row r="4006" spans="1:40" x14ac:dyDescent="0.25">
      <c r="A4006" t="str">
        <f>"20190304155714492"</f>
        <v>20190304155714492</v>
      </c>
      <c r="B4006" t="str">
        <f>"1551686234488738"</f>
        <v>1551686234488738</v>
      </c>
      <c r="C4006" t="s">
        <v>40</v>
      </c>
      <c r="D4006">
        <v>4.9133829999999996</v>
      </c>
      <c r="E4006">
        <v>0.54903559999999996</v>
      </c>
      <c r="F4006" t="s">
        <v>78</v>
      </c>
      <c r="G4006">
        <v>-196.6549</v>
      </c>
      <c r="H4006" s="1">
        <v>-1.2055390000000001E-5</v>
      </c>
      <c r="I4006">
        <v>150.03559999999999</v>
      </c>
      <c r="J4006">
        <v>-189.79339999999999</v>
      </c>
      <c r="K4006">
        <v>1.099756</v>
      </c>
      <c r="L4006">
        <v>199.6172</v>
      </c>
      <c r="M4006">
        <v>0.12869800000000001</v>
      </c>
      <c r="N4006">
        <v>-1.6398429999999999E-2</v>
      </c>
      <c r="O4006">
        <v>-0.9915484</v>
      </c>
      <c r="P4006">
        <v>-7.4634590000000004E-3</v>
      </c>
      <c r="Q4006">
        <v>0.16704449999999901</v>
      </c>
      <c r="R4006">
        <v>-0.98592139999999995</v>
      </c>
      <c r="S4006">
        <v>-0.41928100000000001</v>
      </c>
      <c r="T4006">
        <v>-6.7377329999999999E-2</v>
      </c>
      <c r="U4006">
        <v>-3.0545960000000001</v>
      </c>
      <c r="V4006">
        <v>0.13894049999999999</v>
      </c>
      <c r="W4006">
        <v>0.1795457</v>
      </c>
      <c r="X4006">
        <v>0.97388850000000005</v>
      </c>
      <c r="Y4006">
        <v>0.26229170000000002</v>
      </c>
      <c r="Z4006">
        <v>4.7478219999999996E-3</v>
      </c>
      <c r="AA4006">
        <v>0.96497699999999997</v>
      </c>
      <c r="AB4006">
        <v>25</v>
      </c>
      <c r="AC4006">
        <v>-6.8615000000000004</v>
      </c>
      <c r="AD4006">
        <v>-1.09976805539</v>
      </c>
      <c r="AE4006">
        <v>-49.581600000000002</v>
      </c>
      <c r="AF4006">
        <v>13.1799704818329</v>
      </c>
      <c r="AG4006">
        <v>-1.09976805539</v>
      </c>
      <c r="AH4006">
        <v>48.262681130188902</v>
      </c>
      <c r="AI4006">
        <v>91.259283586227397</v>
      </c>
      <c r="AJ4006">
        <v>74.725633167108398</v>
      </c>
      <c r="AK4006">
        <v>50.042057327331499</v>
      </c>
      <c r="AL4006">
        <v>79.656700400099496</v>
      </c>
      <c r="AM4006">
        <v>81.880646534798103</v>
      </c>
      <c r="AN4006">
        <v>0.99999996568049399</v>
      </c>
    </row>
    <row r="4007" spans="1:40" x14ac:dyDescent="0.25">
      <c r="A4007" t="str">
        <f>"20190304155714516"</f>
        <v>20190304155714516</v>
      </c>
      <c r="B4007" t="str">
        <f>"1551686234509234"</f>
        <v>1551686234509234</v>
      </c>
      <c r="C4007" t="s">
        <v>40</v>
      </c>
      <c r="D4007">
        <v>4.8971669999999996</v>
      </c>
      <c r="E4007">
        <v>0.54708330000000005</v>
      </c>
      <c r="F4007" t="s">
        <v>78</v>
      </c>
      <c r="G4007">
        <v>-196.62090000000001</v>
      </c>
      <c r="H4007" s="1">
        <v>-1.2651939999999999E-5</v>
      </c>
      <c r="I4007">
        <v>151.54990000000001</v>
      </c>
      <c r="J4007">
        <v>-189.7756</v>
      </c>
      <c r="K4007">
        <v>1.1001860000000001</v>
      </c>
      <c r="L4007">
        <v>199.351</v>
      </c>
      <c r="M4007">
        <v>0.11393</v>
      </c>
      <c r="N4007">
        <v>-1.6265109999999999E-2</v>
      </c>
      <c r="O4007">
        <v>-0.99335589999999996</v>
      </c>
      <c r="P4007">
        <v>-1.6427219999999999E-2</v>
      </c>
      <c r="Q4007">
        <v>0.166518</v>
      </c>
      <c r="R4007">
        <v>-0.98590180000000005</v>
      </c>
      <c r="S4007">
        <v>-0.43342589999999998</v>
      </c>
      <c r="T4007">
        <v>-6.9815520000000006E-2</v>
      </c>
      <c r="U4007">
        <v>-3.0514070000000002</v>
      </c>
      <c r="V4007">
        <v>0.13309409999999999</v>
      </c>
      <c r="W4007">
        <v>0.1791864</v>
      </c>
      <c r="X4007">
        <v>0.97477080000000005</v>
      </c>
      <c r="Y4007">
        <v>0.25244429999999901</v>
      </c>
      <c r="Z4007">
        <v>5.7723929999999998E-3</v>
      </c>
      <c r="AA4007">
        <v>0.96759419999999996</v>
      </c>
      <c r="AB4007">
        <v>25</v>
      </c>
      <c r="AC4007">
        <v>-6.8452999999999999</v>
      </c>
      <c r="AD4007">
        <v>-1.10019865194</v>
      </c>
      <c r="AE4007">
        <v>-47.801099999999899</v>
      </c>
      <c r="AF4007">
        <v>12.2410609742187</v>
      </c>
      <c r="AG4007">
        <v>-1.10019865194</v>
      </c>
      <c r="AH4007">
        <v>46.685551609514903</v>
      </c>
      <c r="AI4007">
        <v>91.305864032424907</v>
      </c>
      <c r="AJ4007">
        <v>75.307652399336902</v>
      </c>
      <c r="AK4007">
        <v>48.276233696643601</v>
      </c>
      <c r="AL4007">
        <v>79.677626069640198</v>
      </c>
      <c r="AM4007">
        <v>82.224977558136899</v>
      </c>
      <c r="AN4007">
        <v>0.99999995896620397</v>
      </c>
    </row>
    <row r="4008" spans="1:40" x14ac:dyDescent="0.25">
      <c r="A4008" t="str">
        <f>"20190304155714538"</f>
        <v>20190304155714538</v>
      </c>
      <c r="B4008" t="str">
        <f>"1551686234528757"</f>
        <v>1551686234528757</v>
      </c>
      <c r="C4008" t="s">
        <v>40</v>
      </c>
      <c r="D4008">
        <v>4.9616959999999999</v>
      </c>
      <c r="E4008">
        <v>0.54515449999999999</v>
      </c>
      <c r="F4008" t="s">
        <v>78</v>
      </c>
      <c r="G4008">
        <v>-196.23759999999999</v>
      </c>
      <c r="H4008" s="1">
        <v>-1.3519419999999999E-5</v>
      </c>
      <c r="I4008">
        <v>154.91919999999999</v>
      </c>
      <c r="J4008">
        <v>-189.76169999999999</v>
      </c>
      <c r="K4008">
        <v>1.1005819999999999</v>
      </c>
      <c r="L4008">
        <v>199.0975</v>
      </c>
      <c r="M4008">
        <v>0.1003619</v>
      </c>
      <c r="N4008">
        <v>-1.614252E-2</v>
      </c>
      <c r="O4008">
        <v>-0.99482009999999998</v>
      </c>
      <c r="P4008">
        <v>-2.4395429999999999E-2</v>
      </c>
      <c r="Q4008">
        <v>0.1655422</v>
      </c>
      <c r="R4008">
        <v>-0.98590109999999997</v>
      </c>
      <c r="S4008">
        <v>-0.44332890000000003</v>
      </c>
      <c r="T4008">
        <v>-7.5479630000000006E-2</v>
      </c>
      <c r="U4008">
        <v>-3.0482640000000001</v>
      </c>
      <c r="V4008">
        <v>0.12747449999999999</v>
      </c>
      <c r="W4008">
        <v>0.17835879999999901</v>
      </c>
      <c r="X4008">
        <v>0.97567329999999997</v>
      </c>
      <c r="Y4008">
        <v>0.2424415</v>
      </c>
      <c r="Z4008">
        <v>7.8115149999999998E-3</v>
      </c>
      <c r="AA4008">
        <v>0.97013459999999996</v>
      </c>
      <c r="AB4008">
        <v>25</v>
      </c>
      <c r="AC4008">
        <v>-6.4758999999999904</v>
      </c>
      <c r="AD4008">
        <v>-1.1005955194199999</v>
      </c>
      <c r="AE4008">
        <v>-44.1783</v>
      </c>
      <c r="AF4008">
        <v>10.8709852715797</v>
      </c>
      <c r="AG4008">
        <v>-1.1005955194199999</v>
      </c>
      <c r="AH4008">
        <v>43.278871704937103</v>
      </c>
      <c r="AI4008">
        <v>91.412864885871699</v>
      </c>
      <c r="AJ4008">
        <v>75.899895286942595</v>
      </c>
      <c r="AK4008">
        <v>44.636872284297397</v>
      </c>
      <c r="AL4008">
        <v>79.725820867476898</v>
      </c>
      <c r="AM4008">
        <v>82.556306889478506</v>
      </c>
      <c r="AN4008">
        <v>0.99999999901028902</v>
      </c>
    </row>
    <row r="4009" spans="1:40" x14ac:dyDescent="0.25">
      <c r="A4009" t="str">
        <f>"20190304155714560"</f>
        <v>20190304155714560</v>
      </c>
      <c r="B4009" t="str">
        <f>"1551686234548275"</f>
        <v>1551686234548275</v>
      </c>
      <c r="C4009" t="s">
        <v>40</v>
      </c>
      <c r="D4009">
        <v>4.9664460000000004</v>
      </c>
      <c r="E4009">
        <v>0.52900909999999901</v>
      </c>
      <c r="F4009" t="s">
        <v>78</v>
      </c>
      <c r="G4009">
        <v>-195.85759999999999</v>
      </c>
      <c r="H4009" s="1">
        <v>-1.456315E-5</v>
      </c>
      <c r="I4009">
        <v>157.96950000000001</v>
      </c>
      <c r="J4009">
        <v>-189.75049999999999</v>
      </c>
      <c r="K4009">
        <v>1.1009960000000001</v>
      </c>
      <c r="L4009">
        <v>198.8372</v>
      </c>
      <c r="M4009">
        <v>8.7000240000000006E-2</v>
      </c>
      <c r="N4009">
        <v>-1.6015720000000001E-2</v>
      </c>
      <c r="O4009">
        <v>-0.99607950000000001</v>
      </c>
      <c r="P4009">
        <v>-3.1385250000000003E-2</v>
      </c>
      <c r="Q4009">
        <v>0.1669342</v>
      </c>
      <c r="R4009">
        <v>-0.98546840000000002</v>
      </c>
      <c r="S4009">
        <v>-0.4513855</v>
      </c>
      <c r="T4009">
        <v>-8.1496600000000002E-2</v>
      </c>
      <c r="U4009">
        <v>-3.0454249999999998</v>
      </c>
      <c r="V4009">
        <v>0.1211135</v>
      </c>
      <c r="W4009">
        <v>0.1798989</v>
      </c>
      <c r="X4009">
        <v>0.97620079999999998</v>
      </c>
      <c r="Y4009">
        <v>0.23204459999999999</v>
      </c>
      <c r="Z4009">
        <v>9.9741680000000003E-3</v>
      </c>
      <c r="AA4009">
        <v>0.97265400000000002</v>
      </c>
      <c r="AB4009">
        <v>25</v>
      </c>
      <c r="AC4009">
        <v>-6.1071</v>
      </c>
      <c r="AD4009">
        <v>-1.10101056314999</v>
      </c>
      <c r="AE4009">
        <v>-40.8676999999999</v>
      </c>
      <c r="AF4009">
        <v>9.6330546038481799</v>
      </c>
      <c r="AG4009">
        <v>-1.10101056314999</v>
      </c>
      <c r="AH4009">
        <v>40.152807667861197</v>
      </c>
      <c r="AI4009">
        <v>91.527367233303806</v>
      </c>
      <c r="AJ4009">
        <v>76.509149993391404</v>
      </c>
      <c r="AK4009">
        <v>41.306850870928699</v>
      </c>
      <c r="AL4009">
        <v>79.636129429412193</v>
      </c>
      <c r="AM4009">
        <v>82.927670739827207</v>
      </c>
      <c r="AN4009">
        <v>1.0000000480120399</v>
      </c>
    </row>
    <row r="4010" spans="1:40" x14ac:dyDescent="0.25">
      <c r="A4010" t="str">
        <f>"20190304155714582"</f>
        <v>20190304155714582</v>
      </c>
      <c r="B4010" t="str">
        <f>"1551686234578530"</f>
        <v>1551686234578530</v>
      </c>
      <c r="C4010" t="s">
        <v>40</v>
      </c>
      <c r="D4010">
        <v>4.9660380000000002</v>
      </c>
      <c r="E4010">
        <v>0.52727749999999995</v>
      </c>
      <c r="F4010" t="s">
        <v>41</v>
      </c>
      <c r="G4010">
        <v>-193.86850000000001</v>
      </c>
      <c r="H4010" s="1">
        <v>-2.3397039999999999E-6</v>
      </c>
      <c r="I4010">
        <v>162.3638</v>
      </c>
      <c r="J4010">
        <v>-189.74250000000001</v>
      </c>
      <c r="K4010">
        <v>1.101413</v>
      </c>
      <c r="L4010">
        <v>198.5857</v>
      </c>
      <c r="M4010">
        <v>7.4658680000000005E-2</v>
      </c>
      <c r="N4010">
        <v>-1.58877999999999E-2</v>
      </c>
      <c r="O4010">
        <v>-0.99708260000000004</v>
      </c>
      <c r="P4010">
        <v>-3.8284909999999998E-2</v>
      </c>
      <c r="Q4010">
        <v>0.16894219999999999</v>
      </c>
      <c r="R4010">
        <v>-0.98488209999999998</v>
      </c>
      <c r="S4010">
        <v>-0.344223</v>
      </c>
      <c r="T4010">
        <v>-9.2033390000000007E-2</v>
      </c>
      <c r="U4010">
        <v>-3.0488430000000002</v>
      </c>
      <c r="V4010">
        <v>0.1156828</v>
      </c>
      <c r="W4010">
        <v>0.18201870000000001</v>
      </c>
      <c r="X4010">
        <v>0.97646639999999996</v>
      </c>
      <c r="Y4010">
        <v>0.18599499999999999</v>
      </c>
      <c r="Z4010">
        <v>1.3737279999999999E-2</v>
      </c>
      <c r="AA4010">
        <v>0.98245470000000001</v>
      </c>
      <c r="AB4010">
        <v>25</v>
      </c>
      <c r="AC4010">
        <v>-4.1260000000000003</v>
      </c>
      <c r="AD4010">
        <v>-1.1014153397040001</v>
      </c>
      <c r="AE4010">
        <v>-36.221899999999998</v>
      </c>
      <c r="AF4010">
        <v>6.8128839821299003</v>
      </c>
      <c r="AG4010">
        <v>-1.1014153397040001</v>
      </c>
      <c r="AH4010">
        <v>35.780044910545101</v>
      </c>
      <c r="AI4010">
        <v>91.732076267164203</v>
      </c>
      <c r="AJ4010">
        <v>79.219353133993195</v>
      </c>
      <c r="AK4010">
        <v>36.439540580324604</v>
      </c>
      <c r="AL4010">
        <v>79.512634220283402</v>
      </c>
      <c r="AM4010">
        <v>83.243612514994496</v>
      </c>
      <c r="AN4010">
        <v>0.99999997384724404</v>
      </c>
    </row>
    <row r="4011" spans="1:40" x14ac:dyDescent="0.25">
      <c r="A4011" t="str">
        <f>"20190304155714606"</f>
        <v>20190304155714606</v>
      </c>
      <c r="B4011" t="str">
        <f>"1551686234599026"</f>
        <v>1551686234599026</v>
      </c>
      <c r="C4011" t="s">
        <v>40</v>
      </c>
      <c r="D4011">
        <v>5.0196820000000004</v>
      </c>
      <c r="E4011">
        <v>0.52589699999999995</v>
      </c>
      <c r="F4011" t="s">
        <v>41</v>
      </c>
      <c r="G4011">
        <v>-194.18719999999999</v>
      </c>
      <c r="H4011" s="1">
        <v>-1.23987E-6</v>
      </c>
      <c r="I4011">
        <v>159.85769999999999</v>
      </c>
      <c r="J4011">
        <v>-189.73660000000001</v>
      </c>
      <c r="K4011">
        <v>1.1018939999999999</v>
      </c>
      <c r="L4011">
        <v>198.31389999999999</v>
      </c>
      <c r="M4011">
        <v>6.1971539999999999E-2</v>
      </c>
      <c r="N4011">
        <v>-1.5745039999999998E-2</v>
      </c>
      <c r="O4011">
        <v>-0.99795370000000005</v>
      </c>
      <c r="P4011">
        <v>-4.885573E-2</v>
      </c>
      <c r="Q4011">
        <v>0.16924040000000001</v>
      </c>
      <c r="R4011">
        <v>-0.98436319999999999</v>
      </c>
      <c r="S4011">
        <v>-0.34973140000000003</v>
      </c>
      <c r="T4011">
        <v>-8.6664920000000006E-2</v>
      </c>
      <c r="U4011">
        <v>-3.0473180000000002</v>
      </c>
      <c r="V4011">
        <v>0.1135313</v>
      </c>
      <c r="W4011">
        <v>0.1823534</v>
      </c>
      <c r="X4011">
        <v>0.97665650000000004</v>
      </c>
      <c r="Y4011">
        <v>0.17530509999999999</v>
      </c>
      <c r="Z4011">
        <v>1.223599E-2</v>
      </c>
      <c r="AA4011">
        <v>0.98443809999999998</v>
      </c>
      <c r="AB4011">
        <v>25</v>
      </c>
      <c r="AC4011">
        <v>-4.4505999999999801</v>
      </c>
      <c r="AD4011">
        <v>-1.1018952398699999</v>
      </c>
      <c r="AE4011">
        <v>-38.456200000000003</v>
      </c>
      <c r="AF4011">
        <v>6.8200036108158999</v>
      </c>
      <c r="AG4011">
        <v>-1.1018952398699999</v>
      </c>
      <c r="AH4011">
        <v>38.075573681038698</v>
      </c>
      <c r="AI4011">
        <v>91.631705283185696</v>
      </c>
      <c r="AJ4011">
        <v>79.845007506970106</v>
      </c>
      <c r="AK4011">
        <v>38.697234184259202</v>
      </c>
      <c r="AL4011">
        <v>79.493131393934405</v>
      </c>
      <c r="AM4011">
        <v>83.369419210095799</v>
      </c>
      <c r="AN4011">
        <v>1.0000000187817499</v>
      </c>
    </row>
    <row r="4012" spans="1:40" x14ac:dyDescent="0.25">
      <c r="A4012" t="str">
        <f>"20190304155714627"</f>
        <v>20190304155714627</v>
      </c>
      <c r="B4012" t="str">
        <f>"1551686234618547"</f>
        <v>1551686234618547</v>
      </c>
      <c r="C4012" t="s">
        <v>40</v>
      </c>
      <c r="D4012">
        <v>4.9976089999999997</v>
      </c>
      <c r="E4012">
        <v>0.52514869999999902</v>
      </c>
      <c r="F4012" t="s">
        <v>41</v>
      </c>
      <c r="G4012">
        <v>-194.31659999999999</v>
      </c>
      <c r="H4012" s="1">
        <v>-1.614892E-6</v>
      </c>
      <c r="I4012">
        <v>160.57820000000001</v>
      </c>
      <c r="J4012">
        <v>-189.7337</v>
      </c>
      <c r="K4012">
        <v>1.1023700000000001</v>
      </c>
      <c r="L4012">
        <v>198.0668</v>
      </c>
      <c r="M4012">
        <v>5.104678E-2</v>
      </c>
      <c r="N4012">
        <v>-1.5614309999999999E-2</v>
      </c>
      <c r="O4012">
        <v>-0.99857439999999997</v>
      </c>
      <c r="P4012">
        <v>-5.3088709999999997E-2</v>
      </c>
      <c r="Q4012">
        <v>0.1687118</v>
      </c>
      <c r="R4012">
        <v>-0.98423479999999997</v>
      </c>
      <c r="S4012">
        <v>-0.36952210000000002</v>
      </c>
      <c r="T4012">
        <v>-8.8902350000000005E-2</v>
      </c>
      <c r="U4012">
        <v>-3.0445709999999999</v>
      </c>
      <c r="V4012">
        <v>0.10680820000000001</v>
      </c>
      <c r="W4012">
        <v>0.18196480000000001</v>
      </c>
      <c r="X4012">
        <v>0.97748699999999999</v>
      </c>
      <c r="Y4012">
        <v>0.1709407</v>
      </c>
      <c r="Z4012">
        <v>1.3150790000000001E-2</v>
      </c>
      <c r="AA4012">
        <v>0.9851936</v>
      </c>
      <c r="AB4012">
        <v>25</v>
      </c>
      <c r="AC4012">
        <v>-4.5828999999999898</v>
      </c>
      <c r="AD4012">
        <v>-1.102371614892</v>
      </c>
      <c r="AE4012">
        <v>-37.488599999999899</v>
      </c>
      <c r="AF4012">
        <v>6.4853037270935703</v>
      </c>
      <c r="AG4012">
        <v>-1.102371614892</v>
      </c>
      <c r="AH4012">
        <v>37.174071528350801</v>
      </c>
      <c r="AI4012">
        <v>91.673310828756797</v>
      </c>
      <c r="AJ4012">
        <v>80.103904419245197</v>
      </c>
      <c r="AK4012">
        <v>37.751635482517997</v>
      </c>
      <c r="AL4012">
        <v>79.515775270108406</v>
      </c>
      <c r="AM4012">
        <v>83.764135181140105</v>
      </c>
      <c r="AN4012">
        <v>1.0000000075976301</v>
      </c>
    </row>
    <row r="4013" spans="1:40" x14ac:dyDescent="0.25">
      <c r="A4013" t="str">
        <f>"20190304155714641"</f>
        <v>20190304155714641</v>
      </c>
      <c r="B4013" t="str">
        <f>"1551686234639043"</f>
        <v>1551686234639043</v>
      </c>
      <c r="C4013" t="s">
        <v>40</v>
      </c>
      <c r="D4013">
        <v>5.0006250000000003</v>
      </c>
      <c r="E4013">
        <v>0.51728439999999998</v>
      </c>
      <c r="F4013" t="s">
        <v>41</v>
      </c>
      <c r="G4013">
        <v>-194.22569999999999</v>
      </c>
      <c r="H4013" s="1">
        <v>-2.1260309999999999E-6</v>
      </c>
      <c r="I4013">
        <v>161.7107</v>
      </c>
      <c r="J4013">
        <v>-189.733</v>
      </c>
      <c r="K4013">
        <v>1.1026860000000001</v>
      </c>
      <c r="L4013">
        <v>197.9093</v>
      </c>
      <c r="M4013">
        <v>4.4445199999999997E-2</v>
      </c>
      <c r="N4013">
        <v>-1.553128E-2</v>
      </c>
      <c r="O4013">
        <v>-0.99889119999999998</v>
      </c>
      <c r="P4013">
        <v>-5.66119E-2</v>
      </c>
      <c r="Q4013">
        <v>0.1688296</v>
      </c>
      <c r="R4013">
        <v>-0.98401839999999996</v>
      </c>
      <c r="S4013">
        <v>-0.37605290000000002</v>
      </c>
      <c r="T4013">
        <v>-9.2286350000000003E-2</v>
      </c>
      <c r="U4013">
        <v>-3.0435940000000001</v>
      </c>
      <c r="V4013">
        <v>0.10369979999999999</v>
      </c>
      <c r="W4013">
        <v>0.182142</v>
      </c>
      <c r="X4013">
        <v>0.97778860000000001</v>
      </c>
      <c r="Y4013">
        <v>0.16654539999999901</v>
      </c>
      <c r="Z4013">
        <v>1.436689E-2</v>
      </c>
      <c r="AA4013">
        <v>0.9859291</v>
      </c>
      <c r="AB4013">
        <v>25</v>
      </c>
      <c r="AC4013">
        <v>-4.4926999999999797</v>
      </c>
      <c r="AD4013">
        <v>-1.102688126031</v>
      </c>
      <c r="AE4013">
        <v>-36.198599999999999</v>
      </c>
      <c r="AF4013">
        <v>6.0917402242092198</v>
      </c>
      <c r="AG4013">
        <v>-1.102688126031</v>
      </c>
      <c r="AH4013">
        <v>35.930282264372998</v>
      </c>
      <c r="AI4013">
        <v>91.733118902747805</v>
      </c>
      <c r="AJ4013">
        <v>80.377386120346699</v>
      </c>
      <c r="AK4013">
        <v>36.4597093194674</v>
      </c>
      <c r="AL4013">
        <v>79.505449311709</v>
      </c>
      <c r="AM4013">
        <v>83.946100818551997</v>
      </c>
      <c r="AN4013">
        <v>0.99999995148699805</v>
      </c>
    </row>
    <row r="4014" spans="1:40" x14ac:dyDescent="0.25">
      <c r="A4014" t="str">
        <f>"20190304155714654"</f>
        <v>20190304155714654</v>
      </c>
      <c r="B4014" t="str">
        <f>"1551686234648802"</f>
        <v>1551686234648802</v>
      </c>
      <c r="C4014" t="s">
        <v>40</v>
      </c>
      <c r="D4014">
        <v>5.0647830000000003</v>
      </c>
      <c r="E4014">
        <v>0.51728439999999998</v>
      </c>
      <c r="F4014" t="s">
        <v>41</v>
      </c>
      <c r="G4014">
        <v>-193.5677</v>
      </c>
      <c r="H4014" s="1">
        <v>-2.0247409999999999E-6</v>
      </c>
      <c r="I4014">
        <v>161.86670000000001</v>
      </c>
      <c r="J4014">
        <v>-189.7329</v>
      </c>
      <c r="K4014">
        <v>1.1029880000000001</v>
      </c>
      <c r="L4014">
        <v>197.76179999999999</v>
      </c>
      <c r="M4014">
        <v>3.8432099999999997E-2</v>
      </c>
      <c r="N4014">
        <v>-1.5455460000000001E-2</v>
      </c>
      <c r="O4014">
        <v>-0.99914179999999997</v>
      </c>
      <c r="P4014">
        <v>-5.8968230000000003E-2</v>
      </c>
      <c r="Q4014">
        <v>0.1695286</v>
      </c>
      <c r="R4014">
        <v>-0.98375970000000001</v>
      </c>
      <c r="S4014">
        <v>-0.32408140000000002</v>
      </c>
      <c r="T4014">
        <v>-9.3191499999999997E-2</v>
      </c>
      <c r="U4014">
        <v>-3.0460660000000002</v>
      </c>
      <c r="V4014">
        <v>0.10002170000000001</v>
      </c>
      <c r="W4014">
        <v>0.1829085</v>
      </c>
      <c r="X4014">
        <v>0.97802869999999997</v>
      </c>
      <c r="Y4014">
        <v>0.14387649999999999</v>
      </c>
      <c r="Z4014">
        <v>1.481789E-2</v>
      </c>
      <c r="AA4014">
        <v>0.98948469999999999</v>
      </c>
      <c r="AB4014">
        <v>25</v>
      </c>
      <c r="AC4014">
        <v>-3.8348</v>
      </c>
      <c r="AD4014">
        <v>-1.1029900247409901</v>
      </c>
      <c r="AE4014">
        <v>-35.8950999999999</v>
      </c>
      <c r="AF4014">
        <v>5.2067940559073298</v>
      </c>
      <c r="AG4014">
        <v>-1.1029900247409901</v>
      </c>
      <c r="AH4014">
        <v>35.687860958167001</v>
      </c>
      <c r="AI4014">
        <v>91.751719664782399</v>
      </c>
      <c r="AJ4014">
        <v>81.699216847853904</v>
      </c>
      <c r="AK4014">
        <v>36.082554110051099</v>
      </c>
      <c r="AL4014">
        <v>79.460782235762593</v>
      </c>
      <c r="AM4014">
        <v>84.160737420477801</v>
      </c>
      <c r="AN4014">
        <v>0.99999999893341496</v>
      </c>
    </row>
    <row r="4015" spans="1:40" x14ac:dyDescent="0.25">
      <c r="A4015" t="str">
        <f>"20190304155714672"</f>
        <v>20190304155714672</v>
      </c>
      <c r="B4015" t="str">
        <f>"1551686234668322"</f>
        <v>1551686234668322</v>
      </c>
      <c r="C4015" t="s">
        <v>40</v>
      </c>
      <c r="D4015">
        <v>4.8945460000000001</v>
      </c>
      <c r="E4015">
        <v>0.52402939999999998</v>
      </c>
      <c r="F4015" t="s">
        <v>41</v>
      </c>
      <c r="G4015">
        <v>-193.74690000000001</v>
      </c>
      <c r="H4015" s="1">
        <v>-1.6011359999999999E-6</v>
      </c>
      <c r="I4015">
        <v>160.86969999999999</v>
      </c>
      <c r="J4015">
        <v>-189.73390000000001</v>
      </c>
      <c r="K4015">
        <v>1.103413</v>
      </c>
      <c r="L4015">
        <v>197.55779999999999</v>
      </c>
      <c r="M4015">
        <v>3.0488350000000001E-2</v>
      </c>
      <c r="N4015">
        <v>-1.535252E-2</v>
      </c>
      <c r="O4015">
        <v>-0.99941740000000001</v>
      </c>
      <c r="P4015">
        <v>-6.0857019999999998E-2</v>
      </c>
      <c r="Q4015">
        <v>0.17059949999999999</v>
      </c>
      <c r="R4015">
        <v>-0.98345970000000005</v>
      </c>
      <c r="S4015">
        <v>-0.33134459999999999</v>
      </c>
      <c r="T4015">
        <v>-9.1049080000000004E-2</v>
      </c>
      <c r="U4015">
        <v>-3.0453489999999999</v>
      </c>
      <c r="V4015">
        <v>9.3936110000000003E-2</v>
      </c>
      <c r="W4015">
        <v>0.18408359999999999</v>
      </c>
      <c r="X4015">
        <v>0.97841160000000005</v>
      </c>
      <c r="Y4015">
        <v>0.13836909999999999</v>
      </c>
      <c r="Z4015">
        <v>1.4257850000000001E-2</v>
      </c>
      <c r="AA4015">
        <v>0.99027810000000005</v>
      </c>
      <c r="AB4015">
        <v>25</v>
      </c>
      <c r="AC4015">
        <v>-4.0129999999999999</v>
      </c>
      <c r="AD4015">
        <v>-1.103414601136</v>
      </c>
      <c r="AE4015">
        <v>-36.688099999999899</v>
      </c>
      <c r="AF4015">
        <v>5.12524410382394</v>
      </c>
      <c r="AG4015">
        <v>-1.103414601136</v>
      </c>
      <c r="AH4015">
        <v>36.5160367080707</v>
      </c>
      <c r="AI4015">
        <v>91.714004581062696</v>
      </c>
      <c r="AJ4015">
        <v>82.0103865340662</v>
      </c>
      <c r="AK4015">
        <v>36.8904674376857</v>
      </c>
      <c r="AL4015">
        <v>79.392291148258394</v>
      </c>
      <c r="AM4015">
        <v>84.515910747817401</v>
      </c>
      <c r="AN4015">
        <v>1.0000000117827199</v>
      </c>
    </row>
    <row r="4016" spans="1:40" x14ac:dyDescent="0.25">
      <c r="A4016" t="str">
        <f>"20190304155714684"</f>
        <v>20190304155714684</v>
      </c>
      <c r="B4016" t="str">
        <f>"1551686234679059"</f>
        <v>1551686234679059</v>
      </c>
      <c r="C4016" t="s">
        <v>40</v>
      </c>
      <c r="D4016">
        <v>4.9169799999999997</v>
      </c>
      <c r="E4016">
        <v>0.523428</v>
      </c>
      <c r="F4016" t="s">
        <v>78</v>
      </c>
      <c r="G4016">
        <v>-196.42959999999999</v>
      </c>
      <c r="H4016" s="1">
        <v>-1.065362E-5</v>
      </c>
      <c r="I4016">
        <v>145.24279999999999</v>
      </c>
      <c r="J4016">
        <v>-189.73560000000001</v>
      </c>
      <c r="K4016">
        <v>1.1037159999999999</v>
      </c>
      <c r="L4016">
        <v>197.4025</v>
      </c>
      <c r="M4016">
        <v>2.4738659999999999E-2</v>
      </c>
      <c r="N4016">
        <v>-1.5275850000000001E-2</v>
      </c>
      <c r="O4016">
        <v>-0.99957720000000005</v>
      </c>
      <c r="P4016">
        <v>-6.3543959999999997E-2</v>
      </c>
      <c r="Q4016">
        <v>0.1711522</v>
      </c>
      <c r="R4016">
        <v>-0.98319330000000005</v>
      </c>
      <c r="S4016">
        <v>-0.38876339999999998</v>
      </c>
      <c r="T4016">
        <v>-6.4067479999999996E-2</v>
      </c>
      <c r="U4016">
        <v>-3.0375369999999999</v>
      </c>
      <c r="V4016">
        <v>9.0844629999999996E-2</v>
      </c>
      <c r="W4016">
        <v>0.18467980000000001</v>
      </c>
      <c r="X4016">
        <v>0.97859110000000005</v>
      </c>
      <c r="Y4016">
        <v>0.15140970000000001</v>
      </c>
      <c r="Z4016">
        <v>5.571884E-3</v>
      </c>
      <c r="AA4016">
        <v>0.98845539999999998</v>
      </c>
      <c r="AB4016">
        <v>25</v>
      </c>
      <c r="AC4016">
        <v>-6.6939999999999804</v>
      </c>
      <c r="AD4016">
        <v>-1.1037266536200001</v>
      </c>
      <c r="AE4016">
        <v>-52.159700000000001</v>
      </c>
      <c r="AF4016">
        <v>7.9789477222180603</v>
      </c>
      <c r="AG4016">
        <v>-1.1037266536200001</v>
      </c>
      <c r="AH4016">
        <v>51.955226082201101</v>
      </c>
      <c r="AI4016">
        <v>91.202899068336606</v>
      </c>
      <c r="AJ4016">
        <v>81.269097127255904</v>
      </c>
      <c r="AK4016">
        <v>52.575919740242597</v>
      </c>
      <c r="AL4016">
        <v>79.357534931677606</v>
      </c>
      <c r="AM4016">
        <v>84.696315120289398</v>
      </c>
      <c r="AN4016">
        <v>0.99999995816354204</v>
      </c>
    </row>
    <row r="4017" spans="1:40" x14ac:dyDescent="0.25">
      <c r="A4017" t="str">
        <f>"20190304155714707"</f>
        <v>20190304155714707</v>
      </c>
      <c r="B4017" t="str">
        <f>"1551686234698579"</f>
        <v>1551686234698579</v>
      </c>
      <c r="C4017" t="s">
        <v>40</v>
      </c>
      <c r="D4017">
        <v>5.1111570000000004</v>
      </c>
      <c r="E4017">
        <v>0.52328169999999996</v>
      </c>
      <c r="F4017" t="s">
        <v>78</v>
      </c>
      <c r="G4017">
        <v>-196.34280000000001</v>
      </c>
      <c r="H4017" s="1">
        <v>-1.090852E-5</v>
      </c>
      <c r="I4017">
        <v>146.15950000000001</v>
      </c>
      <c r="J4017">
        <v>-189.73929999999999</v>
      </c>
      <c r="K4017">
        <v>1.1041459999999901</v>
      </c>
      <c r="L4017">
        <v>197.16380000000001</v>
      </c>
      <c r="M4017">
        <v>1.628216E-2</v>
      </c>
      <c r="N4017">
        <v>-1.51637E-2</v>
      </c>
      <c r="O4017">
        <v>-0.99975250000000004</v>
      </c>
      <c r="P4017">
        <v>-6.5797030000000006E-2</v>
      </c>
      <c r="Q4017">
        <v>0.1710961</v>
      </c>
      <c r="R4017">
        <v>-0.98305500000000001</v>
      </c>
      <c r="S4017">
        <v>-0.39163209999999998</v>
      </c>
      <c r="T4017">
        <v>-6.5421460000000001E-2</v>
      </c>
      <c r="U4017">
        <v>-3.0373380000000001</v>
      </c>
      <c r="V4017">
        <v>8.4600259999999997E-2</v>
      </c>
      <c r="W4017">
        <v>0.1847065</v>
      </c>
      <c r="X4017">
        <v>0.97914570000000001</v>
      </c>
      <c r="Y4017">
        <v>0.14397179999999901</v>
      </c>
      <c r="Z4017">
        <v>6.1508519999999896E-3</v>
      </c>
      <c r="AA4017">
        <v>0.98956270000000002</v>
      </c>
      <c r="AB4017">
        <v>25</v>
      </c>
      <c r="AC4017">
        <v>-6.6035000000000199</v>
      </c>
      <c r="AD4017">
        <v>-1.10415690851999</v>
      </c>
      <c r="AE4017">
        <v>-51.004300000000001</v>
      </c>
      <c r="AF4017">
        <v>7.42975549350255</v>
      </c>
      <c r="AG4017">
        <v>-1.10415690851999</v>
      </c>
      <c r="AH4017">
        <v>50.866559976813797</v>
      </c>
      <c r="AI4017">
        <v>91.230467832115295</v>
      </c>
      <c r="AJ4017">
        <v>81.689933997201507</v>
      </c>
      <c r="AK4017">
        <v>51.418161704272002</v>
      </c>
      <c r="AL4017">
        <v>79.355978789475301</v>
      </c>
      <c r="AM4017">
        <v>85.061787519394301</v>
      </c>
      <c r="AN4017">
        <v>0.99999999848140297</v>
      </c>
    </row>
    <row r="4018" spans="1:40" x14ac:dyDescent="0.25">
      <c r="A4018" t="str">
        <f>"20190304155714729"</f>
        <v>20190304155714729</v>
      </c>
      <c r="B4018" t="str">
        <f>"1551686234719075"</f>
        <v>1551686234719075</v>
      </c>
      <c r="C4018" t="s">
        <v>40</v>
      </c>
      <c r="D4018">
        <v>4.9865120000000003</v>
      </c>
      <c r="E4018">
        <v>0.52210349999999905</v>
      </c>
      <c r="F4018" t="s">
        <v>78</v>
      </c>
      <c r="G4018">
        <v>-196.0138</v>
      </c>
      <c r="H4018" s="1">
        <v>-1.162195E-5</v>
      </c>
      <c r="I4018">
        <v>149.08609999999999</v>
      </c>
      <c r="J4018">
        <v>-189.745</v>
      </c>
      <c r="K4018">
        <v>1.1045849999999999</v>
      </c>
      <c r="L4018">
        <v>196.9042</v>
      </c>
      <c r="M4018">
        <v>7.6830319999999898E-3</v>
      </c>
      <c r="N4018">
        <v>-1.504789E-2</v>
      </c>
      <c r="O4018">
        <v>-0.99985740000000001</v>
      </c>
      <c r="P4018">
        <v>-6.7795750000000002E-2</v>
      </c>
      <c r="Q4018">
        <v>0.17140759999999999</v>
      </c>
      <c r="R4018">
        <v>-0.98286499999999999</v>
      </c>
      <c r="S4018">
        <v>-0.39639279999999999</v>
      </c>
      <c r="T4018">
        <v>-6.9755910000000004E-2</v>
      </c>
      <c r="U4018">
        <v>-3.0373380000000001</v>
      </c>
      <c r="V4018">
        <v>7.7959139999999996E-2</v>
      </c>
      <c r="W4018">
        <v>0.18509120000000001</v>
      </c>
      <c r="X4018">
        <v>0.97962419999999995</v>
      </c>
      <c r="Y4018">
        <v>0.1369821</v>
      </c>
      <c r="Z4018">
        <v>7.7003710000000001E-3</v>
      </c>
      <c r="AA4018">
        <v>0.99054359999999997</v>
      </c>
      <c r="AB4018">
        <v>25</v>
      </c>
      <c r="AC4018">
        <v>-6.2687999999999899</v>
      </c>
      <c r="AD4018">
        <v>-1.1045966219500001</v>
      </c>
      <c r="AE4018">
        <v>-47.818100000000001</v>
      </c>
      <c r="AF4018">
        <v>6.6325650816922801</v>
      </c>
      <c r="AG4018">
        <v>-1.1045966219500001</v>
      </c>
      <c r="AH4018">
        <v>47.743473616507998</v>
      </c>
      <c r="AI4018">
        <v>91.312760570176806</v>
      </c>
      <c r="AJ4018">
        <v>82.091039376357998</v>
      </c>
      <c r="AK4018">
        <v>48.214627720540399</v>
      </c>
      <c r="AL4018">
        <v>79.333550145442302</v>
      </c>
      <c r="AM4018">
        <v>85.449953178099193</v>
      </c>
      <c r="AN4018">
        <v>0.99999997652630901</v>
      </c>
    </row>
    <row r="4019" spans="1:40" x14ac:dyDescent="0.25">
      <c r="A4019" t="str">
        <f>"20190304155714750"</f>
        <v>20190304155714750</v>
      </c>
      <c r="B4019" t="str">
        <f>"1551686234738594"</f>
        <v>1551686234738594</v>
      </c>
      <c r="C4019" t="s">
        <v>40</v>
      </c>
      <c r="D4019">
        <v>4.9142989999999998</v>
      </c>
      <c r="E4019">
        <v>0.52120319999999998</v>
      </c>
      <c r="F4019" t="s">
        <v>78</v>
      </c>
      <c r="G4019">
        <v>-195.62649999999999</v>
      </c>
      <c r="H4019" s="1">
        <v>-1.24756E-5</v>
      </c>
      <c r="I4019">
        <v>151.44040000000001</v>
      </c>
      <c r="J4019">
        <v>-189.75149999999999</v>
      </c>
      <c r="K4019">
        <v>1.104984</v>
      </c>
      <c r="L4019">
        <v>196.66980000000001</v>
      </c>
      <c r="M4019">
        <v>5.1704660000000005E-4</v>
      </c>
      <c r="N4019">
        <v>-1.494586E-2</v>
      </c>
      <c r="O4019">
        <v>-0.9998882</v>
      </c>
      <c r="P4019">
        <v>-6.8081639999999999E-2</v>
      </c>
      <c r="Q4019">
        <v>0.1735505</v>
      </c>
      <c r="R4019">
        <v>-0.98246900000000004</v>
      </c>
      <c r="S4019">
        <v>-0.3930206</v>
      </c>
      <c r="T4019">
        <v>-7.3813199999999995E-2</v>
      </c>
      <c r="U4019">
        <v>-3.0380549999999999</v>
      </c>
      <c r="V4019">
        <v>7.1053450000000004E-2</v>
      </c>
      <c r="W4019">
        <v>0.1872983</v>
      </c>
      <c r="X4019">
        <v>0.97972999999999999</v>
      </c>
      <c r="Y4019">
        <v>0.12876679999999999</v>
      </c>
      <c r="Z4019">
        <v>9.1429460000000008E-3</v>
      </c>
      <c r="AA4019">
        <v>0.99163279999999998</v>
      </c>
      <c r="AB4019">
        <v>25</v>
      </c>
      <c r="AC4019">
        <v>-5.875</v>
      </c>
      <c r="AD4019">
        <v>-1.1049964755999999</v>
      </c>
      <c r="AE4019">
        <v>-45.229399999999998</v>
      </c>
      <c r="AF4019">
        <v>5.8949274055787901</v>
      </c>
      <c r="AG4019">
        <v>-1.1049964755999999</v>
      </c>
      <c r="AH4019">
        <v>45.199825157072098</v>
      </c>
      <c r="AI4019">
        <v>91.388670734997802</v>
      </c>
      <c r="AJ4019">
        <v>82.569466960616793</v>
      </c>
      <c r="AK4019">
        <v>45.596001804522501</v>
      </c>
      <c r="AL4019">
        <v>79.204842763368205</v>
      </c>
      <c r="AM4019">
        <v>85.851971687516695</v>
      </c>
      <c r="AN4019">
        <v>1.0000000594198899</v>
      </c>
    </row>
    <row r="4020" spans="1:40" x14ac:dyDescent="0.25">
      <c r="A4020" t="str">
        <f>"20190304155714763"</f>
        <v>20190304155714763</v>
      </c>
      <c r="B4020" t="str">
        <f>"1551686234759090"</f>
        <v>1551686234759090</v>
      </c>
      <c r="C4020" t="s">
        <v>40</v>
      </c>
      <c r="D4020">
        <v>5.0002259999999996</v>
      </c>
      <c r="E4020">
        <v>0.52074690000000001</v>
      </c>
      <c r="F4020" t="s">
        <v>78</v>
      </c>
      <c r="G4020">
        <v>-195.89269999999999</v>
      </c>
      <c r="H4020" s="1">
        <v>-1.1416610000000001E-5</v>
      </c>
      <c r="I4020">
        <v>148.38890000000001</v>
      </c>
      <c r="J4020">
        <v>-189.75659999999999</v>
      </c>
      <c r="K4020">
        <v>1.1052569999999999</v>
      </c>
      <c r="L4020">
        <v>196.5136</v>
      </c>
      <c r="M4020">
        <v>-3.9241450000000004E-3</v>
      </c>
      <c r="N4020">
        <v>-1.487866E-2</v>
      </c>
      <c r="O4020">
        <v>-0.99988160000000004</v>
      </c>
      <c r="P4020">
        <v>-6.9418499999999994E-2</v>
      </c>
      <c r="Q4020">
        <v>0.17506440000000001</v>
      </c>
      <c r="R4020">
        <v>-0.98210660000000005</v>
      </c>
      <c r="S4020">
        <v>-0.38655089999999998</v>
      </c>
      <c r="T4020">
        <v>-6.9553379999999998E-2</v>
      </c>
      <c r="U4020">
        <v>-3.0390169999999999</v>
      </c>
      <c r="V4020">
        <v>6.7922899999999994E-2</v>
      </c>
      <c r="W4020">
        <v>0.18882930000000001</v>
      </c>
      <c r="X4020">
        <v>0.97965809999999998</v>
      </c>
      <c r="Y4020">
        <v>0.1222473</v>
      </c>
      <c r="Z4020">
        <v>7.8297149999999992E-3</v>
      </c>
      <c r="AA4020">
        <v>0.99246880000000004</v>
      </c>
      <c r="AB4020">
        <v>25</v>
      </c>
      <c r="AC4020">
        <v>-6.1360999999999901</v>
      </c>
      <c r="AD4020">
        <v>-1.10526841661</v>
      </c>
      <c r="AE4020">
        <v>-48.124699999999898</v>
      </c>
      <c r="AF4020">
        <v>5.9440983472374196</v>
      </c>
      <c r="AG4020">
        <v>-1.10526841661</v>
      </c>
      <c r="AH4020">
        <v>48.123433298772198</v>
      </c>
      <c r="AI4020">
        <v>91.305781981227497</v>
      </c>
      <c r="AJ4020">
        <v>82.958618785650998</v>
      </c>
      <c r="AK4020">
        <v>48.501739720300399</v>
      </c>
      <c r="AL4020">
        <v>79.115528726724605</v>
      </c>
      <c r="AM4020">
        <v>86.033843337231005</v>
      </c>
      <c r="AN4020">
        <v>1.00000000888925</v>
      </c>
    </row>
    <row r="4021" spans="1:40" x14ac:dyDescent="0.25">
      <c r="A4021" t="str">
        <f>"20190304155714775"</f>
        <v>20190304155714775</v>
      </c>
      <c r="B4021" t="str">
        <f>"1551686234768850"</f>
        <v>1551686234768850</v>
      </c>
      <c r="C4021" t="s">
        <v>40</v>
      </c>
      <c r="D4021">
        <v>4.9313900000000004</v>
      </c>
      <c r="E4021">
        <v>0.51237089999999996</v>
      </c>
      <c r="F4021" t="s">
        <v>78</v>
      </c>
      <c r="G4021">
        <v>-196.19579999999999</v>
      </c>
      <c r="H4021" s="1">
        <v>-1.081748E-5</v>
      </c>
      <c r="I4021">
        <v>145.91319999999999</v>
      </c>
      <c r="J4021">
        <v>-189.76140000000001</v>
      </c>
      <c r="K4021">
        <v>1.1054850000000001</v>
      </c>
      <c r="L4021">
        <v>196.3784</v>
      </c>
      <c r="M4021">
        <v>-7.650708E-3</v>
      </c>
      <c r="N4021">
        <v>-1.4823029999999999E-2</v>
      </c>
      <c r="O4021">
        <v>-0.99986079999999999</v>
      </c>
      <c r="P4021">
        <v>-7.0195270000000004E-2</v>
      </c>
      <c r="Q4021">
        <v>0.17625950000000001</v>
      </c>
      <c r="R4021">
        <v>-0.98183750000000003</v>
      </c>
      <c r="S4021">
        <v>-0.38674930000000002</v>
      </c>
      <c r="T4021">
        <v>-6.6384789999999999E-2</v>
      </c>
      <c r="U4021">
        <v>-3.0391689999999998</v>
      </c>
      <c r="V4021">
        <v>6.4951259999999997E-2</v>
      </c>
      <c r="W4021">
        <v>0.1900405</v>
      </c>
      <c r="X4021">
        <v>0.97962539999999998</v>
      </c>
      <c r="Y4021">
        <v>0.11860800000000001</v>
      </c>
      <c r="Z4021">
        <v>6.8577619999999999E-3</v>
      </c>
      <c r="AA4021">
        <v>0.99291750000000001</v>
      </c>
      <c r="AB4021">
        <v>25</v>
      </c>
      <c r="AC4021">
        <v>-6.4343999999999797</v>
      </c>
      <c r="AD4021">
        <v>-1.10549581748</v>
      </c>
      <c r="AE4021">
        <v>-50.465200000000003</v>
      </c>
      <c r="AF4021">
        <v>6.0452201268507499</v>
      </c>
      <c r="AG4021">
        <v>-1.10549581748</v>
      </c>
      <c r="AH4021">
        <v>50.489114828678296</v>
      </c>
      <c r="AI4021">
        <v>91.245439529811904</v>
      </c>
      <c r="AJ4021">
        <v>83.172300107340305</v>
      </c>
      <c r="AK4021">
        <v>50.8617491202181</v>
      </c>
      <c r="AL4021">
        <v>79.044852159666604</v>
      </c>
      <c r="AM4021">
        <v>86.206719116552406</v>
      </c>
      <c r="AN4021">
        <v>0.99999999107049797</v>
      </c>
    </row>
    <row r="4022" spans="1:40" x14ac:dyDescent="0.25">
      <c r="A4022" t="str">
        <f>"20190304155714788"</f>
        <v>20190304155714788</v>
      </c>
      <c r="B4022" t="str">
        <f>"1551686234778610"</f>
        <v>1551686234778610</v>
      </c>
      <c r="C4022" t="s">
        <v>40</v>
      </c>
      <c r="D4022">
        <v>4.8240639999999999</v>
      </c>
      <c r="E4022">
        <v>0.51237089999999996</v>
      </c>
      <c r="F4022" t="s">
        <v>78</v>
      </c>
      <c r="G4022">
        <v>-194.22200000000001</v>
      </c>
      <c r="H4022" s="1">
        <v>-1.310916E-5</v>
      </c>
      <c r="I4022">
        <v>154.21270000000001</v>
      </c>
      <c r="J4022">
        <v>-189.76650000000001</v>
      </c>
      <c r="K4022">
        <v>1.10571</v>
      </c>
      <c r="L4022">
        <v>196.2397</v>
      </c>
      <c r="M4022">
        <v>-1.1364239999999999E-2</v>
      </c>
      <c r="N4022">
        <v>-1.4768099999999999E-2</v>
      </c>
      <c r="O4022">
        <v>-0.9998264</v>
      </c>
      <c r="P4022">
        <v>-7.1003209999999997E-2</v>
      </c>
      <c r="Q4022">
        <v>0.1767031</v>
      </c>
      <c r="R4022">
        <v>-0.98169989999999996</v>
      </c>
      <c r="S4022">
        <v>-0.32231140000000003</v>
      </c>
      <c r="T4022">
        <v>-7.9879999999999896E-2</v>
      </c>
      <c r="U4022">
        <v>-3.0467680000000001</v>
      </c>
      <c r="V4022">
        <v>6.2015069999999999E-2</v>
      </c>
      <c r="W4022">
        <v>0.19049840000000001</v>
      </c>
      <c r="X4022">
        <v>0.97972669999999995</v>
      </c>
      <c r="Y4022">
        <v>9.3856800000000004E-2</v>
      </c>
      <c r="Z4022">
        <v>1.131881E-2</v>
      </c>
      <c r="AA4022">
        <v>0.9955214</v>
      </c>
      <c r="AB4022">
        <v>25</v>
      </c>
      <c r="AC4022">
        <v>-4.4554999999999998</v>
      </c>
      <c r="AD4022">
        <v>-1.1057231091599999</v>
      </c>
      <c r="AE4022">
        <v>-42.027000000000001</v>
      </c>
      <c r="AF4022">
        <v>3.9748344071800399</v>
      </c>
      <c r="AG4022">
        <v>-1.1057231091599999</v>
      </c>
      <c r="AH4022">
        <v>42.046143246618698</v>
      </c>
      <c r="AI4022">
        <v>91.499725084359994</v>
      </c>
      <c r="AJ4022">
        <v>84.599589848666895</v>
      </c>
      <c r="AK4022">
        <v>42.248077992659198</v>
      </c>
      <c r="AL4022">
        <v>79.018127858734999</v>
      </c>
      <c r="AM4022">
        <v>86.378104588246202</v>
      </c>
      <c r="AN4022">
        <v>0.99999995800127595</v>
      </c>
    </row>
    <row r="4023" spans="1:40" x14ac:dyDescent="0.25">
      <c r="A4023" t="str">
        <f>"20190304155714807"</f>
        <v>20190304155714807</v>
      </c>
      <c r="B4023" t="str">
        <f>"1551686234799107"</f>
        <v>1551686234799107</v>
      </c>
      <c r="C4023" t="s">
        <v>40</v>
      </c>
      <c r="D4023">
        <v>4.9716300000000002</v>
      </c>
      <c r="E4023">
        <v>0.51292439999999995</v>
      </c>
      <c r="F4023" t="s">
        <v>78</v>
      </c>
      <c r="G4023">
        <v>-194.3305</v>
      </c>
      <c r="H4023" s="1">
        <v>-1.2908120000000001E-5</v>
      </c>
      <c r="I4023">
        <v>153.37549999999999</v>
      </c>
      <c r="J4023">
        <v>-189.77510000000001</v>
      </c>
      <c r="K4023">
        <v>1.106044</v>
      </c>
      <c r="L4023">
        <v>196.0273</v>
      </c>
      <c r="M4023">
        <v>-1.670669E-2</v>
      </c>
      <c r="N4023">
        <v>-1.4689829999999999E-2</v>
      </c>
      <c r="O4023">
        <v>-0.99975259999999999</v>
      </c>
      <c r="P4023">
        <v>-7.0100330000000002E-2</v>
      </c>
      <c r="Q4023">
        <v>0.1773207</v>
      </c>
      <c r="R4023">
        <v>-0.98165349999999996</v>
      </c>
      <c r="S4023">
        <v>-0.32438660000000002</v>
      </c>
      <c r="T4023">
        <v>-7.8589800000000001E-2</v>
      </c>
      <c r="U4023">
        <v>-3.0466000000000002</v>
      </c>
      <c r="V4023">
        <v>5.5718940000000002E-2</v>
      </c>
      <c r="W4023">
        <v>0.19115689999999999</v>
      </c>
      <c r="X4023">
        <v>0.97997679999999998</v>
      </c>
      <c r="Y4023">
        <v>8.9214379999999996E-2</v>
      </c>
      <c r="Z4023">
        <v>1.0983329999999999E-2</v>
      </c>
      <c r="AA4023">
        <v>0.9959519</v>
      </c>
      <c r="AB4023">
        <v>25</v>
      </c>
      <c r="AC4023">
        <v>-4.5553999999999899</v>
      </c>
      <c r="AD4023">
        <v>-1.10605690812</v>
      </c>
      <c r="AE4023">
        <v>-42.651800000000001</v>
      </c>
      <c r="AF4023">
        <v>3.83956393120476</v>
      </c>
      <c r="AG4023">
        <v>-1.10605690812</v>
      </c>
      <c r="AH4023">
        <v>42.6935730001195</v>
      </c>
      <c r="AI4023">
        <v>91.478059903737204</v>
      </c>
      <c r="AJ4023">
        <v>84.8610396693024</v>
      </c>
      <c r="AK4023">
        <v>42.880144456173902</v>
      </c>
      <c r="AL4023">
        <v>78.979693242669299</v>
      </c>
      <c r="AM4023">
        <v>86.745814185801507</v>
      </c>
      <c r="AN4023">
        <v>1.0000000446152799</v>
      </c>
    </row>
    <row r="4024" spans="1:40" x14ac:dyDescent="0.25">
      <c r="A4024" t="str">
        <f>"20190304155714830"</f>
        <v>20190304155714830</v>
      </c>
      <c r="B4024" t="str">
        <f>"1551686234818626"</f>
        <v>1551686234818626</v>
      </c>
      <c r="C4024" t="s">
        <v>40</v>
      </c>
      <c r="D4024">
        <v>4.990869</v>
      </c>
      <c r="E4024">
        <v>0.51213310000000001</v>
      </c>
      <c r="F4024" t="s">
        <v>78</v>
      </c>
      <c r="G4024">
        <v>-194.17699999999999</v>
      </c>
      <c r="H4024" s="1">
        <v>-1.3311880000000001E-5</v>
      </c>
      <c r="I4024">
        <v>154.8614</v>
      </c>
      <c r="J4024">
        <v>-189.78630000000001</v>
      </c>
      <c r="K4024">
        <v>1.1064400000000001</v>
      </c>
      <c r="L4024">
        <v>195.77440000000001</v>
      </c>
      <c r="M4024">
        <v>-2.2589339999999999E-2</v>
      </c>
      <c r="N4024">
        <v>-1.460271E-2</v>
      </c>
      <c r="O4024">
        <v>-0.99963820000000003</v>
      </c>
      <c r="P4024">
        <v>-7.0522230000000005E-2</v>
      </c>
      <c r="Q4024">
        <v>0.17745250000000001</v>
      </c>
      <c r="R4024">
        <v>-0.98159940000000001</v>
      </c>
      <c r="S4024">
        <v>-0.32588200000000001</v>
      </c>
      <c r="T4024">
        <v>-8.1883549999999999E-2</v>
      </c>
      <c r="U4024">
        <v>-3.0475919999999999</v>
      </c>
      <c r="V4024">
        <v>5.0180269999999999E-2</v>
      </c>
      <c r="W4024">
        <v>0.19131090000000001</v>
      </c>
      <c r="X4024">
        <v>0.9802459</v>
      </c>
      <c r="Y4024">
        <v>8.3800959999999994E-2</v>
      </c>
      <c r="Z4024">
        <v>1.2142210000000001E-2</v>
      </c>
      <c r="AA4024">
        <v>0.99640850000000003</v>
      </c>
      <c r="AB4024">
        <v>25</v>
      </c>
      <c r="AC4024">
        <v>-4.3907000000000096</v>
      </c>
      <c r="AD4024">
        <v>-1.10645331188</v>
      </c>
      <c r="AE4024">
        <v>-40.912999999999997</v>
      </c>
      <c r="AF4024">
        <v>3.4627794063681701</v>
      </c>
      <c r="AG4024">
        <v>-1.10645331188</v>
      </c>
      <c r="AH4024">
        <v>40.972126493777203</v>
      </c>
      <c r="AI4024">
        <v>91.541405444013193</v>
      </c>
      <c r="AJ4024">
        <v>85.1690993714396</v>
      </c>
      <c r="AK4024">
        <v>41.133079505072502</v>
      </c>
      <c r="AL4024">
        <v>78.970702979522699</v>
      </c>
      <c r="AM4024">
        <v>87.069500475248503</v>
      </c>
      <c r="AN4024">
        <v>0.99999997221144599</v>
      </c>
    </row>
    <row r="4025" spans="1:40" x14ac:dyDescent="0.25">
      <c r="A4025" t="str">
        <f>"20190304155714851"</f>
        <v>20190304155714851</v>
      </c>
      <c r="B4025" t="str">
        <f>"1551686234848883"</f>
        <v>1551686234848883</v>
      </c>
      <c r="C4025" t="s">
        <v>40</v>
      </c>
      <c r="D4025">
        <v>4.9489400000000003</v>
      </c>
      <c r="E4025">
        <v>0.51170119999999997</v>
      </c>
      <c r="F4025" t="s">
        <v>78</v>
      </c>
      <c r="G4025">
        <v>-193.8603</v>
      </c>
      <c r="H4025" s="1">
        <v>-1.41724E-5</v>
      </c>
      <c r="I4025">
        <v>156.93279999999999</v>
      </c>
      <c r="J4025">
        <v>-189.798</v>
      </c>
      <c r="K4025">
        <v>1.106822</v>
      </c>
      <c r="L4025">
        <v>195.5318</v>
      </c>
      <c r="M4025">
        <v>-2.767855E-2</v>
      </c>
      <c r="N4025">
        <v>-1.4523039999999999E-2</v>
      </c>
      <c r="O4025">
        <v>-0.9995115</v>
      </c>
      <c r="P4025">
        <v>-6.9726109999999994E-2</v>
      </c>
      <c r="Q4025">
        <v>0.176764</v>
      </c>
      <c r="R4025">
        <v>-0.98178080000000001</v>
      </c>
      <c r="S4025">
        <v>-0.31979370000000001</v>
      </c>
      <c r="T4025">
        <v>-8.6853379999999994E-2</v>
      </c>
      <c r="U4025">
        <v>-3.04895</v>
      </c>
      <c r="V4025">
        <v>4.4196069999999997E-2</v>
      </c>
      <c r="W4025">
        <v>0.1906458</v>
      </c>
      <c r="X4025">
        <v>0.98066350000000002</v>
      </c>
      <c r="Y4025">
        <v>7.6710050000000002E-2</v>
      </c>
      <c r="Z4025">
        <v>1.383964E-2</v>
      </c>
      <c r="AA4025">
        <v>0.99695739999999999</v>
      </c>
      <c r="AB4025">
        <v>25</v>
      </c>
      <c r="AC4025">
        <v>-4.0622999999999898</v>
      </c>
      <c r="AD4025">
        <v>-1.1068361724</v>
      </c>
      <c r="AE4025">
        <v>-38.598999999999997</v>
      </c>
      <c r="AF4025">
        <v>2.9898348856546701</v>
      </c>
      <c r="AG4025">
        <v>-1.1068361724</v>
      </c>
      <c r="AH4025">
        <v>38.665214117259197</v>
      </c>
      <c r="AI4025">
        <v>91.634832049881695</v>
      </c>
      <c r="AJ4025">
        <v>85.578332782350202</v>
      </c>
      <c r="AK4025">
        <v>38.7964300121739</v>
      </c>
      <c r="AL4025">
        <v>79.009525338450899</v>
      </c>
      <c r="AM4025">
        <v>87.419567499272304</v>
      </c>
      <c r="AN4025">
        <v>1.0000000069466599</v>
      </c>
    </row>
    <row r="4026" spans="1:40" x14ac:dyDescent="0.25">
      <c r="A4026" t="str">
        <f>"20190304155714864"</f>
        <v>20190304155714864</v>
      </c>
      <c r="B4026" t="str">
        <f>"1551686234858642"</f>
        <v>1551686234858642</v>
      </c>
      <c r="C4026" t="s">
        <v>40</v>
      </c>
      <c r="D4026">
        <v>5.1085789999999998</v>
      </c>
      <c r="E4026">
        <v>0.51171480000000003</v>
      </c>
      <c r="F4026" t="s">
        <v>78</v>
      </c>
      <c r="G4026">
        <v>-193.54740000000001</v>
      </c>
      <c r="H4026" s="1">
        <v>-1.485302E-5</v>
      </c>
      <c r="I4026">
        <v>159.1216</v>
      </c>
      <c r="J4026">
        <v>-189.80549999999999</v>
      </c>
      <c r="K4026">
        <v>1.107051</v>
      </c>
      <c r="L4026">
        <v>195.38239999999999</v>
      </c>
      <c r="M4026">
        <v>-3.0557830000000001E-2</v>
      </c>
      <c r="N4026">
        <v>-1.447623E-2</v>
      </c>
      <c r="O4026">
        <v>-0.99942830000000005</v>
      </c>
      <c r="P4026">
        <v>-6.9621600000000006E-2</v>
      </c>
      <c r="Q4026">
        <v>0.17693249999999999</v>
      </c>
      <c r="R4026">
        <v>-0.98175760000000001</v>
      </c>
      <c r="S4026">
        <v>-0.3140869</v>
      </c>
      <c r="T4026">
        <v>-9.2719670000000004E-2</v>
      </c>
      <c r="U4026">
        <v>-3.0500790000000002</v>
      </c>
      <c r="V4026">
        <v>4.1155740000000003E-2</v>
      </c>
      <c r="W4026">
        <v>0.1908185</v>
      </c>
      <c r="X4026">
        <v>0.98076220000000003</v>
      </c>
      <c r="Y4026">
        <v>7.1950829999999993E-2</v>
      </c>
      <c r="Z4026">
        <v>1.5794470000000001E-2</v>
      </c>
      <c r="AA4026">
        <v>0.99728309999999998</v>
      </c>
      <c r="AB4026">
        <v>25</v>
      </c>
      <c r="AC4026">
        <v>-3.74190000000001</v>
      </c>
      <c r="AD4026">
        <v>-1.1070658530199999</v>
      </c>
      <c r="AE4026">
        <v>-36.260799999999897</v>
      </c>
      <c r="AF4026">
        <v>2.6295595945754799</v>
      </c>
      <c r="AG4026">
        <v>-1.1070658530199999</v>
      </c>
      <c r="AH4026">
        <v>36.324716735473302</v>
      </c>
      <c r="AI4026">
        <v>91.741105880995306</v>
      </c>
      <c r="AJ4026">
        <v>85.859559857380802</v>
      </c>
      <c r="AK4026">
        <v>36.436591832616898</v>
      </c>
      <c r="AL4026">
        <v>78.999445164232199</v>
      </c>
      <c r="AM4026">
        <v>87.597106033932903</v>
      </c>
      <c r="AN4026">
        <v>0.99999999391301797</v>
      </c>
    </row>
    <row r="4027" spans="1:40" x14ac:dyDescent="0.25">
      <c r="A4027" t="str">
        <f>"20190304155714877"</f>
        <v>20190304155714877</v>
      </c>
      <c r="B4027" t="str">
        <f>"1551686234868402"</f>
        <v>1551686234868402</v>
      </c>
      <c r="C4027" t="s">
        <v>40</v>
      </c>
      <c r="D4027">
        <v>4.9970410000000003</v>
      </c>
      <c r="E4027">
        <v>0.51124910000000001</v>
      </c>
      <c r="F4027" t="s">
        <v>78</v>
      </c>
      <c r="G4027">
        <v>-193.4948</v>
      </c>
      <c r="H4027" s="1">
        <v>-1.4954989999999999E-5</v>
      </c>
      <c r="I4027">
        <v>159.52690000000001</v>
      </c>
      <c r="J4027">
        <v>-189.8126</v>
      </c>
      <c r="K4027">
        <v>1.1072500000000001</v>
      </c>
      <c r="L4027">
        <v>195.24549999999999</v>
      </c>
      <c r="M4027">
        <v>-3.3084009999999997E-2</v>
      </c>
      <c r="N4027">
        <v>-1.4435760000000001E-2</v>
      </c>
      <c r="O4027">
        <v>-0.99934849999999997</v>
      </c>
      <c r="P4027">
        <v>-6.9692580000000004E-2</v>
      </c>
      <c r="Q4027">
        <v>0.17764569999999999</v>
      </c>
      <c r="R4027">
        <v>-0.98162400000000005</v>
      </c>
      <c r="S4027">
        <v>-0.31387330000000002</v>
      </c>
      <c r="T4027">
        <v>-9.4184760000000006E-2</v>
      </c>
      <c r="U4027">
        <v>-3.050446</v>
      </c>
      <c r="V4027">
        <v>3.866149E-2</v>
      </c>
      <c r="W4027">
        <v>0.191529</v>
      </c>
      <c r="X4027">
        <v>0.98072519999999996</v>
      </c>
      <c r="Y4027">
        <v>6.9347980000000004E-2</v>
      </c>
      <c r="Z4027">
        <v>1.6309919999999999E-2</v>
      </c>
      <c r="AA4027">
        <v>0.99745919999999999</v>
      </c>
      <c r="AB4027">
        <v>25</v>
      </c>
      <c r="AC4027">
        <v>-3.6821999999999901</v>
      </c>
      <c r="AD4027">
        <v>-1.10726495499</v>
      </c>
      <c r="AE4027">
        <v>-35.718599999999903</v>
      </c>
      <c r="AF4027">
        <v>2.49597304133089</v>
      </c>
      <c r="AG4027">
        <v>-1.10726495499</v>
      </c>
      <c r="AH4027">
        <v>35.786848464277</v>
      </c>
      <c r="AI4027">
        <v>91.767905861212299</v>
      </c>
      <c r="AJ4027">
        <v>86.010335756414406</v>
      </c>
      <c r="AK4027">
        <v>35.890868478050599</v>
      </c>
      <c r="AL4027">
        <v>78.957971574627393</v>
      </c>
      <c r="AM4027">
        <v>87.742493205594101</v>
      </c>
      <c r="AN4027">
        <v>0.99999999328252998</v>
      </c>
    </row>
    <row r="4028" spans="1:40" x14ac:dyDescent="0.25">
      <c r="A4028" t="str">
        <f>"20190304155714895"</f>
        <v>20190304155714895</v>
      </c>
      <c r="B4028" t="str">
        <f>"1551686234888902"</f>
        <v>1551686234888902</v>
      </c>
      <c r="C4028" t="s">
        <v>40</v>
      </c>
      <c r="D4028">
        <v>4.9844249999999999</v>
      </c>
      <c r="E4028">
        <v>0.50410120000000003</v>
      </c>
      <c r="F4028" t="s">
        <v>78</v>
      </c>
      <c r="G4028">
        <v>-193.5016</v>
      </c>
      <c r="H4028" s="1">
        <v>-1.480789E-5</v>
      </c>
      <c r="I4028">
        <v>158.94229999999999</v>
      </c>
      <c r="J4028">
        <v>-189.8236</v>
      </c>
      <c r="K4028">
        <v>1.1075269999999999</v>
      </c>
      <c r="L4028">
        <v>195.03980000000001</v>
      </c>
      <c r="M4028">
        <v>-3.6665749999999997E-2</v>
      </c>
      <c r="N4028">
        <v>-1.4379070000000001E-2</v>
      </c>
      <c r="O4028">
        <v>-0.99922409999999995</v>
      </c>
      <c r="P4028">
        <v>-6.8611060000000001E-2</v>
      </c>
      <c r="Q4028">
        <v>0.1796536</v>
      </c>
      <c r="R4028">
        <v>-0.98133459999999995</v>
      </c>
      <c r="S4028">
        <v>-0.31002809999999997</v>
      </c>
      <c r="T4028">
        <v>-9.3056200000000006E-2</v>
      </c>
      <c r="U4028">
        <v>-3.05098</v>
      </c>
      <c r="V4028">
        <v>3.3956960000000001E-2</v>
      </c>
      <c r="W4028">
        <v>0.19353590000000001</v>
      </c>
      <c r="X4028">
        <v>0.98050530000000002</v>
      </c>
      <c r="Y4028">
        <v>6.4512020000000003E-2</v>
      </c>
      <c r="Z4028">
        <v>1.5996860000000002E-2</v>
      </c>
      <c r="AA4028">
        <v>0.99778869999999997</v>
      </c>
      <c r="AB4028">
        <v>25</v>
      </c>
      <c r="AC4028">
        <v>-3.6779999999999902</v>
      </c>
      <c r="AD4028">
        <v>-1.1075418078899999</v>
      </c>
      <c r="AE4028">
        <v>-36.097499999999997</v>
      </c>
      <c r="AF4028">
        <v>2.3496583481641702</v>
      </c>
      <c r="AG4028">
        <v>-1.1075418078899999</v>
      </c>
      <c r="AH4028">
        <v>36.174389042128901</v>
      </c>
      <c r="AI4028">
        <v>91.749976711596204</v>
      </c>
      <c r="AJ4028">
        <v>86.283650925980794</v>
      </c>
      <c r="AK4028">
        <v>36.267533218853202</v>
      </c>
      <c r="AL4028">
        <v>78.840791600438095</v>
      </c>
      <c r="AM4028">
        <v>88.016519424600503</v>
      </c>
      <c r="AN4028">
        <v>0.99999993152466804</v>
      </c>
    </row>
    <row r="4029" spans="1:40" x14ac:dyDescent="0.25">
      <c r="A4029" t="str">
        <f>"20190304155714907"</f>
        <v>20190304155714907</v>
      </c>
      <c r="B4029" t="str">
        <f>"1551686234898658"</f>
        <v>1551686234898658</v>
      </c>
      <c r="C4029" t="s">
        <v>40</v>
      </c>
      <c r="D4029">
        <v>4.8297650000000001</v>
      </c>
      <c r="E4029">
        <v>0.50410120000000003</v>
      </c>
      <c r="F4029" t="s">
        <v>78</v>
      </c>
      <c r="G4029">
        <v>-192.84559999999999</v>
      </c>
      <c r="H4029" s="1">
        <v>-1.4516550000000001E-5</v>
      </c>
      <c r="I4029">
        <v>157.94479999999999</v>
      </c>
      <c r="J4029">
        <v>-189.8312</v>
      </c>
      <c r="K4029">
        <v>1.1076979999999901</v>
      </c>
      <c r="L4029">
        <v>194.90190000000001</v>
      </c>
      <c r="M4029">
        <v>-3.8920179999999999E-2</v>
      </c>
      <c r="N4029">
        <v>-1.4343740000000001E-2</v>
      </c>
      <c r="O4029">
        <v>-0.99913949999999996</v>
      </c>
      <c r="P4029">
        <v>-6.8804379999999998E-2</v>
      </c>
      <c r="Q4029">
        <v>0.180728</v>
      </c>
      <c r="R4029">
        <v>-0.98112379999999999</v>
      </c>
      <c r="S4029">
        <v>-0.24899289999999999</v>
      </c>
      <c r="T4029">
        <v>-9.1253639999999997E-2</v>
      </c>
      <c r="U4029">
        <v>-3.0563660000000001</v>
      </c>
      <c r="V4029">
        <v>3.1868489999999999E-2</v>
      </c>
      <c r="W4029">
        <v>0.194601</v>
      </c>
      <c r="X4029">
        <v>0.98036460000000003</v>
      </c>
      <c r="Y4029">
        <v>4.2317750000000001E-2</v>
      </c>
      <c r="Z4029">
        <v>1.542937E-2</v>
      </c>
      <c r="AA4029">
        <v>0.99898509999999996</v>
      </c>
      <c r="AB4029">
        <v>25</v>
      </c>
      <c r="AC4029">
        <v>-3.01439999999999</v>
      </c>
      <c r="AD4029">
        <v>-1.1077125165499999</v>
      </c>
      <c r="AE4029">
        <v>-36.957099999999997</v>
      </c>
      <c r="AF4029">
        <v>1.5721877209036501</v>
      </c>
      <c r="AG4029">
        <v>-1.1077125165499999</v>
      </c>
      <c r="AH4029">
        <v>37.013393531773701</v>
      </c>
      <c r="AI4029">
        <v>91.712655393534405</v>
      </c>
      <c r="AJ4029">
        <v>87.567755986172799</v>
      </c>
      <c r="AK4029">
        <v>37.0633255656725</v>
      </c>
      <c r="AL4029">
        <v>78.778583353446194</v>
      </c>
      <c r="AM4029">
        <v>88.138154686124295</v>
      </c>
      <c r="AN4029">
        <v>0.99999994939451797</v>
      </c>
    </row>
    <row r="4030" spans="1:40" x14ac:dyDescent="0.25">
      <c r="A4030" t="str">
        <f>"20190304155714920"</f>
        <v>20190304155714920</v>
      </c>
      <c r="B4030" t="str">
        <f>"1551686234908419"</f>
        <v>1551686234908419</v>
      </c>
      <c r="C4030" t="s">
        <v>40</v>
      </c>
      <c r="D4030">
        <v>4.9934529999999997</v>
      </c>
      <c r="E4030">
        <v>0.50462529999999906</v>
      </c>
      <c r="F4030" t="s">
        <v>78</v>
      </c>
      <c r="G4030">
        <v>-192.96539999999999</v>
      </c>
      <c r="H4030" s="1">
        <v>-1.38688E-5</v>
      </c>
      <c r="I4030">
        <v>156.4101</v>
      </c>
      <c r="J4030">
        <v>-189.83920000000001</v>
      </c>
      <c r="K4030">
        <v>1.107861</v>
      </c>
      <c r="L4030">
        <v>194.762</v>
      </c>
      <c r="M4030">
        <v>-4.1039850000000003E-2</v>
      </c>
      <c r="N4030">
        <v>-1.4310059999999999E-2</v>
      </c>
      <c r="O4030">
        <v>-0.99905509999999997</v>
      </c>
      <c r="P4030">
        <v>-6.8846879999999999E-2</v>
      </c>
      <c r="Q4030">
        <v>0.18135699999999999</v>
      </c>
      <c r="R4030">
        <v>-0.98100469999999895</v>
      </c>
      <c r="S4030">
        <v>-0.2488708</v>
      </c>
      <c r="T4030">
        <v>-8.7959170000000003E-2</v>
      </c>
      <c r="U4030">
        <v>-3.0564879999999999</v>
      </c>
      <c r="V4030">
        <v>2.9760760000000001E-2</v>
      </c>
      <c r="W4030">
        <v>0.19522120000000001</v>
      </c>
      <c r="X4030">
        <v>0.98030759999999995</v>
      </c>
      <c r="Y4030">
        <v>4.0157419999999999E-2</v>
      </c>
      <c r="Z4030">
        <v>1.438737E-2</v>
      </c>
      <c r="AA4030">
        <v>0.99908980000000003</v>
      </c>
      <c r="AB4030">
        <v>25</v>
      </c>
      <c r="AC4030">
        <v>-3.1261999999999799</v>
      </c>
      <c r="AD4030">
        <v>-1.1078748688</v>
      </c>
      <c r="AE4030">
        <v>-38.351900000000001</v>
      </c>
      <c r="AF4030">
        <v>1.5481650155561</v>
      </c>
      <c r="AG4030">
        <v>-1.1078748688</v>
      </c>
      <c r="AH4030">
        <v>38.416048998612602</v>
      </c>
      <c r="AI4030">
        <v>91.650547804951302</v>
      </c>
      <c r="AJ4030">
        <v>87.692231507011101</v>
      </c>
      <c r="AK4030">
        <v>38.463190485243402</v>
      </c>
      <c r="AL4030">
        <v>78.742354292287601</v>
      </c>
      <c r="AM4030">
        <v>88.261114796527195</v>
      </c>
      <c r="AN4030">
        <v>1.0000000051914799</v>
      </c>
    </row>
    <row r="4031" spans="1:40" x14ac:dyDescent="0.25">
      <c r="A4031" t="str">
        <f>"20190304155714940"</f>
        <v>20190304155714940</v>
      </c>
      <c r="B4031" t="str">
        <f>"1551686234928915"</f>
        <v>1551686234928915</v>
      </c>
      <c r="C4031" t="s">
        <v>40</v>
      </c>
      <c r="D4031">
        <v>5.1974499999999999</v>
      </c>
      <c r="E4031">
        <v>0.50429309999999905</v>
      </c>
      <c r="F4031" t="s">
        <v>78</v>
      </c>
      <c r="G4031">
        <v>-192.93809999999999</v>
      </c>
      <c r="H4031" s="1">
        <v>-1.424401E-5</v>
      </c>
      <c r="I4031">
        <v>157.29040000000001</v>
      </c>
      <c r="J4031">
        <v>-189.852</v>
      </c>
      <c r="K4031">
        <v>1.108107</v>
      </c>
      <c r="L4031">
        <v>194.54179999999999</v>
      </c>
      <c r="M4031">
        <v>-4.415902E-2</v>
      </c>
      <c r="N4031">
        <v>-1.425994E-2</v>
      </c>
      <c r="O4031">
        <v>-0.9989228</v>
      </c>
      <c r="P4031">
        <v>-6.7577899999999996E-2</v>
      </c>
      <c r="Q4031">
        <v>0.18195</v>
      </c>
      <c r="R4031">
        <v>-0.98098300000000005</v>
      </c>
      <c r="S4031">
        <v>-0.25282290000000002</v>
      </c>
      <c r="T4031">
        <v>-9.0384010000000001E-2</v>
      </c>
      <c r="U4031">
        <v>-3.0570529999999998</v>
      </c>
      <c r="V4031">
        <v>2.53169E-2</v>
      </c>
      <c r="W4031">
        <v>0.1958067</v>
      </c>
      <c r="X4031">
        <v>0.98031570000000001</v>
      </c>
      <c r="Y4031">
        <v>3.8304980000000002E-2</v>
      </c>
      <c r="Z4031">
        <v>1.521779E-2</v>
      </c>
      <c r="AA4031">
        <v>0.99915019999999999</v>
      </c>
      <c r="AB4031">
        <v>25</v>
      </c>
      <c r="AC4031">
        <v>-3.0860999999999801</v>
      </c>
      <c r="AD4031">
        <v>-1.1081212440099999</v>
      </c>
      <c r="AE4031">
        <v>-37.251399999999897</v>
      </c>
      <c r="AF4031">
        <v>1.43667381936906</v>
      </c>
      <c r="AG4031">
        <v>-1.1081212440099999</v>
      </c>
      <c r="AH4031">
        <v>37.3185497021339</v>
      </c>
      <c r="AI4031">
        <v>91.699558684622005</v>
      </c>
      <c r="AJ4031">
        <v>87.795339914319797</v>
      </c>
      <c r="AK4031">
        <v>37.362629942568603</v>
      </c>
      <c r="AL4031">
        <v>78.708147855607194</v>
      </c>
      <c r="AM4031">
        <v>88.520650877432502</v>
      </c>
      <c r="AN4031">
        <v>1.0000000404284899</v>
      </c>
    </row>
    <row r="4032" spans="1:40" x14ac:dyDescent="0.25">
      <c r="A4032" t="str">
        <f>"20190304155714953"</f>
        <v>20190304155714953</v>
      </c>
      <c r="B4032" t="str">
        <f>"1551686234948434"</f>
        <v>1551686234948434</v>
      </c>
      <c r="C4032" t="s">
        <v>40</v>
      </c>
      <c r="D4032">
        <v>5.127961</v>
      </c>
      <c r="E4032">
        <v>0.50418009999999902</v>
      </c>
      <c r="F4032" t="s">
        <v>78</v>
      </c>
      <c r="G4032">
        <v>-192.9796</v>
      </c>
      <c r="H4032" s="1">
        <v>-1.362826E-5</v>
      </c>
      <c r="I4032">
        <v>155.84649999999999</v>
      </c>
      <c r="J4032">
        <v>-189.8605</v>
      </c>
      <c r="K4032">
        <v>1.108257</v>
      </c>
      <c r="L4032">
        <v>194.3997</v>
      </c>
      <c r="M4032">
        <v>-4.6032179999999999E-2</v>
      </c>
      <c r="N4032">
        <v>-1.422937E-2</v>
      </c>
      <c r="O4032">
        <v>-0.99883849999999996</v>
      </c>
      <c r="P4032">
        <v>-6.6960359999999997E-2</v>
      </c>
      <c r="Q4032">
        <v>0.18172070000000001</v>
      </c>
      <c r="R4032">
        <v>-0.98106769999999999</v>
      </c>
      <c r="S4032">
        <v>-0.24711610000000001</v>
      </c>
      <c r="T4032">
        <v>-8.7554569999999998E-2</v>
      </c>
      <c r="U4032">
        <v>-3.057388</v>
      </c>
      <c r="V4032">
        <v>2.278208E-2</v>
      </c>
      <c r="W4032">
        <v>0.19557099999999999</v>
      </c>
      <c r="X4032">
        <v>0.98042490000000004</v>
      </c>
      <c r="Y4032">
        <v>3.4571739999999997E-2</v>
      </c>
      <c r="Z4032">
        <v>1.4324750000000001E-2</v>
      </c>
      <c r="AA4032">
        <v>0.99929950000000001</v>
      </c>
      <c r="AB4032">
        <v>25</v>
      </c>
      <c r="AC4032">
        <v>-3.1191</v>
      </c>
      <c r="AD4032">
        <v>-1.1082706282599999</v>
      </c>
      <c r="AE4032">
        <v>-38.553199999999997</v>
      </c>
      <c r="AF4032">
        <v>1.3398252439143301</v>
      </c>
      <c r="AG4032">
        <v>-1.1082706282599999</v>
      </c>
      <c r="AH4032">
        <v>38.624207146041996</v>
      </c>
      <c r="AI4032">
        <v>91.642588345414595</v>
      </c>
      <c r="AJ4032">
        <v>88.013277981926393</v>
      </c>
      <c r="AK4032">
        <v>38.663325945009703</v>
      </c>
      <c r="AL4032">
        <v>78.721918389367602</v>
      </c>
      <c r="AM4032">
        <v>88.6688606431251</v>
      </c>
      <c r="AN4032">
        <v>1.00000001187506</v>
      </c>
    </row>
    <row r="4033" spans="1:40" x14ac:dyDescent="0.25">
      <c r="A4033" t="str">
        <f>"20190304155714966"</f>
        <v>20190304155714966</v>
      </c>
      <c r="B4033" t="str">
        <f>"1551686234959171"</f>
        <v>1551686234959171</v>
      </c>
      <c r="C4033" t="s">
        <v>40</v>
      </c>
      <c r="D4033">
        <v>4.9931089999999996</v>
      </c>
      <c r="E4033">
        <v>0.50448400000000004</v>
      </c>
      <c r="F4033" t="s">
        <v>78</v>
      </c>
      <c r="G4033">
        <v>-192.79490000000001</v>
      </c>
      <c r="H4033" s="1">
        <v>-1.4457970000000001E-5</v>
      </c>
      <c r="I4033">
        <v>157.81870000000001</v>
      </c>
      <c r="J4033">
        <v>-189.86920000000001</v>
      </c>
      <c r="K4033">
        <v>1.1084020000000001</v>
      </c>
      <c r="L4033">
        <v>194.25540000000001</v>
      </c>
      <c r="M4033">
        <v>-4.780301E-2</v>
      </c>
      <c r="N4033">
        <v>-1.4200000000000001E-2</v>
      </c>
      <c r="O4033">
        <v>-0.99875590000000003</v>
      </c>
      <c r="P4033">
        <v>-6.6417329999999997E-2</v>
      </c>
      <c r="Q4033">
        <v>0.18136350000000001</v>
      </c>
      <c r="R4033">
        <v>-0.98117080000000001</v>
      </c>
      <c r="S4033">
        <v>-0.24533079999999999</v>
      </c>
      <c r="T4033">
        <v>-9.2655420000000002E-2</v>
      </c>
      <c r="U4033">
        <v>-3.0583040000000001</v>
      </c>
      <c r="V4033">
        <v>2.0422639999999999E-2</v>
      </c>
      <c r="W4033">
        <v>0.1952062</v>
      </c>
      <c r="X4033">
        <v>0.98054960000000002</v>
      </c>
      <c r="Y4033">
        <v>3.2194500000000001E-2</v>
      </c>
      <c r="Z4033">
        <v>1.6004899999999999E-2</v>
      </c>
      <c r="AA4033">
        <v>0.99935350000000001</v>
      </c>
      <c r="AB4033">
        <v>25</v>
      </c>
      <c r="AC4033">
        <v>-2.9257</v>
      </c>
      <c r="AD4033">
        <v>-1.10841645797</v>
      </c>
      <c r="AE4033">
        <v>-36.436700000000002</v>
      </c>
      <c r="AF4033">
        <v>1.1793108084077599</v>
      </c>
      <c r="AG4033">
        <v>-1.10841645797</v>
      </c>
      <c r="AH4033">
        <v>36.501346058733702</v>
      </c>
      <c r="AI4033">
        <v>91.738428639836897</v>
      </c>
      <c r="AJ4033">
        <v>88.149491917237498</v>
      </c>
      <c r="AK4033">
        <v>36.537208775802199</v>
      </c>
      <c r="AL4033">
        <v>78.743230887166604</v>
      </c>
      <c r="AM4033">
        <v>88.806830451512099</v>
      </c>
      <c r="AN4033">
        <v>1.00000003140158</v>
      </c>
    </row>
    <row r="4034" spans="1:40" x14ac:dyDescent="0.25">
      <c r="A4034" t="str">
        <f>"20190304155714977"</f>
        <v>20190304155714977</v>
      </c>
      <c r="B4034" t="str">
        <f>"1551686234968932"</f>
        <v>1551686234968932</v>
      </c>
      <c r="C4034" t="s">
        <v>40</v>
      </c>
      <c r="D4034">
        <v>4.9778390000000003</v>
      </c>
      <c r="E4034">
        <v>0.50459330000000002</v>
      </c>
      <c r="F4034" t="s">
        <v>78</v>
      </c>
      <c r="G4034">
        <v>-192.72980000000001</v>
      </c>
      <c r="H4034" s="1">
        <v>-1.47725799999999E-5</v>
      </c>
      <c r="I4034">
        <v>158.80189999999999</v>
      </c>
      <c r="J4034">
        <v>-189.87690000000001</v>
      </c>
      <c r="K4034">
        <v>1.108519</v>
      </c>
      <c r="L4034">
        <v>194.13050000000001</v>
      </c>
      <c r="M4034">
        <v>-4.9248510000000002E-2</v>
      </c>
      <c r="N4034">
        <v>-1.41762E-2</v>
      </c>
      <c r="O4034">
        <v>-0.99868610000000002</v>
      </c>
      <c r="P4034">
        <v>-6.5934549999999995E-2</v>
      </c>
      <c r="Q4034">
        <v>0.1812887</v>
      </c>
      <c r="R4034">
        <v>-0.98121740000000002</v>
      </c>
      <c r="S4034">
        <v>-0.24678040000000001</v>
      </c>
      <c r="T4034">
        <v>-9.562242E-2</v>
      </c>
      <c r="U4034">
        <v>-3.058548</v>
      </c>
      <c r="V4034">
        <v>1.845979E-2</v>
      </c>
      <c r="W4034">
        <v>0.1951234</v>
      </c>
      <c r="X4034">
        <v>0.9806049</v>
      </c>
      <c r="Y4034">
        <v>3.1210959999999999E-2</v>
      </c>
      <c r="Z4034">
        <v>1.698941E-2</v>
      </c>
      <c r="AA4034">
        <v>0.99936840000000005</v>
      </c>
      <c r="AB4034">
        <v>25</v>
      </c>
      <c r="AC4034">
        <v>-2.8529</v>
      </c>
      <c r="AD4034">
        <v>-1.10853377258</v>
      </c>
      <c r="AE4034">
        <v>-35.328600000000002</v>
      </c>
      <c r="AF4034">
        <v>1.1082978498943801</v>
      </c>
      <c r="AG4034">
        <v>-1.10853377258</v>
      </c>
      <c r="AH4034">
        <v>35.391617643550497</v>
      </c>
      <c r="AI4034">
        <v>91.793149434673595</v>
      </c>
      <c r="AJ4034">
        <v>88.206353695765401</v>
      </c>
      <c r="AK4034">
        <v>35.426314664050302</v>
      </c>
      <c r="AL4034">
        <v>78.748066922367499</v>
      </c>
      <c r="AM4034">
        <v>88.921540014179001</v>
      </c>
      <c r="AN4034">
        <v>0.99999993748920502</v>
      </c>
    </row>
    <row r="4035" spans="1:40" x14ac:dyDescent="0.25">
      <c r="A4035" t="str">
        <f>"20190304155714989"</f>
        <v>20190304155714989</v>
      </c>
      <c r="B4035" t="str">
        <f>"1551686234978691"</f>
        <v>1551686234978691</v>
      </c>
      <c r="C4035" t="s">
        <v>40</v>
      </c>
      <c r="D4035">
        <v>4.9760869999999997</v>
      </c>
      <c r="E4035">
        <v>0.50477179999999999</v>
      </c>
      <c r="F4035" t="s">
        <v>78</v>
      </c>
      <c r="G4035">
        <v>-192.66749999999999</v>
      </c>
      <c r="H4035" s="1">
        <v>-1.4965179999999901E-5</v>
      </c>
      <c r="I4035">
        <v>159.56739999999999</v>
      </c>
      <c r="J4035">
        <v>-189.88550000000001</v>
      </c>
      <c r="K4035">
        <v>1.1086450000000001</v>
      </c>
      <c r="L4035">
        <v>193.9931</v>
      </c>
      <c r="M4035">
        <v>-5.0791280000000001E-2</v>
      </c>
      <c r="N4035">
        <v>-1.415108E-2</v>
      </c>
      <c r="O4035">
        <v>-0.99860919999999997</v>
      </c>
      <c r="P4035">
        <v>-6.5551880000000007E-2</v>
      </c>
      <c r="Q4035">
        <v>0.18167420000000001</v>
      </c>
      <c r="R4035">
        <v>-0.98117189999999999</v>
      </c>
      <c r="S4035">
        <v>-0.2469788</v>
      </c>
      <c r="T4035">
        <v>-9.8109249999999995E-2</v>
      </c>
      <c r="U4035">
        <v>-3.0589599999999999</v>
      </c>
      <c r="V4035">
        <v>1.650391E-2</v>
      </c>
      <c r="W4035">
        <v>0.19549800000000001</v>
      </c>
      <c r="X4035">
        <v>0.98056520000000003</v>
      </c>
      <c r="Y4035">
        <v>2.971961E-2</v>
      </c>
      <c r="Z4035">
        <v>1.7817179999999998E-2</v>
      </c>
      <c r="AA4035">
        <v>0.9993995</v>
      </c>
      <c r="AB4035">
        <v>25</v>
      </c>
      <c r="AC4035">
        <v>-2.78199999999998</v>
      </c>
      <c r="AD4035">
        <v>-1.10865996518</v>
      </c>
      <c r="AE4035">
        <v>-34.425699999999999</v>
      </c>
      <c r="AF4035">
        <v>1.02864844157902</v>
      </c>
      <c r="AG4035">
        <v>-1.10865996518</v>
      </c>
      <c r="AH4035">
        <v>34.487037670499703</v>
      </c>
      <c r="AI4035">
        <v>91.840443966754606</v>
      </c>
      <c r="AJ4035">
        <v>88.291539382389601</v>
      </c>
      <c r="AK4035">
        <v>34.520182673636299</v>
      </c>
      <c r="AL4035">
        <v>78.726182935064799</v>
      </c>
      <c r="AM4035">
        <v>89.035744780281107</v>
      </c>
      <c r="AN4035">
        <v>0.99999997925016304</v>
      </c>
    </row>
    <row r="4036" spans="1:40" x14ac:dyDescent="0.25">
      <c r="A4036" t="str">
        <f>"20190304155715009"</f>
        <v>20190304155715009</v>
      </c>
      <c r="B4036" t="str">
        <f>"1551686234999087"</f>
        <v>1551686234999087</v>
      </c>
      <c r="C4036" t="s">
        <v>40</v>
      </c>
      <c r="D4036">
        <v>5.0040959999999997</v>
      </c>
      <c r="E4036">
        <v>0.50491090000000005</v>
      </c>
      <c r="F4036" t="s">
        <v>78</v>
      </c>
      <c r="G4036">
        <v>-192.679</v>
      </c>
      <c r="H4036" s="1">
        <v>-1.4938420000000001E-5</v>
      </c>
      <c r="I4036">
        <v>159.46100000000001</v>
      </c>
      <c r="J4036">
        <v>-189.8989</v>
      </c>
      <c r="K4036">
        <v>1.1088229999999999</v>
      </c>
      <c r="L4036">
        <v>193.78120000000001</v>
      </c>
      <c r="M4036">
        <v>-5.2960189999999997E-2</v>
      </c>
      <c r="N4036">
        <v>-1.411598E-2</v>
      </c>
      <c r="O4036">
        <v>-0.99849690000000002</v>
      </c>
      <c r="P4036">
        <v>-6.7510780000000006E-2</v>
      </c>
      <c r="Q4036">
        <v>0.18242710000000001</v>
      </c>
      <c r="R4036">
        <v>-0.98089890000000002</v>
      </c>
      <c r="S4036">
        <v>-0.24748229999999999</v>
      </c>
      <c r="T4036">
        <v>-9.8217490000000005E-2</v>
      </c>
      <c r="U4036">
        <v>-3.0592350000000001</v>
      </c>
      <c r="V4036">
        <v>1.6258559999999998E-2</v>
      </c>
      <c r="W4036">
        <v>0.1962219</v>
      </c>
      <c r="X4036">
        <v>0.98042470000000004</v>
      </c>
      <c r="Y4036">
        <v>2.7705279999999999E-2</v>
      </c>
      <c r="Z4036">
        <v>1.7881149999999998E-2</v>
      </c>
      <c r="AA4036">
        <v>0.99945620000000002</v>
      </c>
      <c r="AB4036">
        <v>25</v>
      </c>
      <c r="AC4036">
        <v>-2.7801</v>
      </c>
      <c r="AD4036">
        <v>-1.10883793842</v>
      </c>
      <c r="AE4036">
        <v>-34.3202</v>
      </c>
      <c r="AF4036">
        <v>0.95741947816146999</v>
      </c>
      <c r="AG4036">
        <v>-1.10883793842</v>
      </c>
      <c r="AH4036">
        <v>34.383618319739398</v>
      </c>
      <c r="AI4036">
        <v>91.846377332088807</v>
      </c>
      <c r="AJ4036">
        <v>88.404998457990999</v>
      </c>
      <c r="AK4036">
        <v>34.414813414986902</v>
      </c>
      <c r="AL4036">
        <v>78.683887381696394</v>
      </c>
      <c r="AM4036">
        <v>89.049940815785007</v>
      </c>
      <c r="AN4036">
        <v>0.99999998359148601</v>
      </c>
    </row>
    <row r="4037" spans="1:40" x14ac:dyDescent="0.25">
      <c r="A4037" t="str">
        <f>"20190304155715031"</f>
        <v>20190304155715031</v>
      </c>
      <c r="B4037" t="str">
        <f>"1551686235018607"</f>
        <v>1551686235018607</v>
      </c>
      <c r="C4037" t="s">
        <v>40</v>
      </c>
      <c r="D4037">
        <v>5.1141740000000002</v>
      </c>
      <c r="E4037">
        <v>0.50439239999999996</v>
      </c>
      <c r="F4037" t="s">
        <v>78</v>
      </c>
      <c r="G4037">
        <v>-192.75829999999999</v>
      </c>
      <c r="H4037" s="1">
        <v>-1.488058E-5</v>
      </c>
      <c r="I4037">
        <v>159.2312</v>
      </c>
      <c r="J4037">
        <v>-189.91419999999999</v>
      </c>
      <c r="K4037">
        <v>1.109008</v>
      </c>
      <c r="L4037">
        <v>193.54509999999999</v>
      </c>
      <c r="M4037">
        <v>-5.5145630000000001E-2</v>
      </c>
      <c r="N4037">
        <v>-1.408066E-2</v>
      </c>
      <c r="O4037">
        <v>-0.99837909999999996</v>
      </c>
      <c r="P4037">
        <v>-6.7360069999999994E-2</v>
      </c>
      <c r="Q4037">
        <v>0.18232760000000001</v>
      </c>
      <c r="R4037">
        <v>-0.98092760000000001</v>
      </c>
      <c r="S4037">
        <v>-0.2531891</v>
      </c>
      <c r="T4037">
        <v>-9.8183039999999999E-2</v>
      </c>
      <c r="U4037">
        <v>-3.0592649999999999</v>
      </c>
      <c r="V4037">
        <v>1.3866699999999999E-2</v>
      </c>
      <c r="W4037">
        <v>0.1961041</v>
      </c>
      <c r="X4037">
        <v>0.98048500000000005</v>
      </c>
      <c r="Y4037">
        <v>2.7368610000000002E-2</v>
      </c>
      <c r="Z4037">
        <v>1.7898890000000001E-2</v>
      </c>
      <c r="AA4037">
        <v>0.99946520000000005</v>
      </c>
      <c r="AB4037">
        <v>25</v>
      </c>
      <c r="AC4037">
        <v>-2.8440999999999899</v>
      </c>
      <c r="AD4037">
        <v>-1.10902288058</v>
      </c>
      <c r="AE4037">
        <v>-34.313899999999897</v>
      </c>
      <c r="AF4037">
        <v>0.946340435592949</v>
      </c>
      <c r="AG4037">
        <v>-1.10902288058</v>
      </c>
      <c r="AH4037">
        <v>34.382859639554702</v>
      </c>
      <c r="AI4037">
        <v>91.846742213365403</v>
      </c>
      <c r="AJ4037">
        <v>88.423411317129293</v>
      </c>
      <c r="AK4037">
        <v>34.4137549384401</v>
      </c>
      <c r="AL4037">
        <v>78.690770392173803</v>
      </c>
      <c r="AM4037">
        <v>89.1897373024064</v>
      </c>
      <c r="AN4037">
        <v>0.99999996931534896</v>
      </c>
    </row>
    <row r="4038" spans="1:40" x14ac:dyDescent="0.25">
      <c r="A4038" t="str">
        <f>"20190304155715052"</f>
        <v>20190304155715052</v>
      </c>
      <c r="B4038" t="str">
        <f>"1551686235048864"</f>
        <v>1551686235048864</v>
      </c>
      <c r="C4038" t="s">
        <v>40</v>
      </c>
      <c r="D4038">
        <v>4.9765040000000003</v>
      </c>
      <c r="E4038">
        <v>0.50414009999999998</v>
      </c>
      <c r="F4038" t="s">
        <v>41</v>
      </c>
      <c r="G4038">
        <v>-192.61429999999999</v>
      </c>
      <c r="H4038" s="1">
        <v>-9.9367080000000007E-7</v>
      </c>
      <c r="I4038">
        <v>160.22219999999999</v>
      </c>
      <c r="J4038">
        <v>-189.93029999999999</v>
      </c>
      <c r="K4038">
        <v>1.109189</v>
      </c>
      <c r="L4038">
        <v>193.29939999999999</v>
      </c>
      <c r="M4038">
        <v>-5.7154490000000002E-2</v>
      </c>
      <c r="N4038">
        <v>-1.4047499999999999E-2</v>
      </c>
      <c r="O4038">
        <v>-0.9982666</v>
      </c>
      <c r="P4038">
        <v>-6.6687549999999998E-2</v>
      </c>
      <c r="Q4038">
        <v>0.181862</v>
      </c>
      <c r="R4038">
        <v>-0.9810603</v>
      </c>
      <c r="S4038">
        <v>-0.24797060000000001</v>
      </c>
      <c r="T4038">
        <v>-0.1018469</v>
      </c>
      <c r="U4038">
        <v>-3.0602420000000001</v>
      </c>
      <c r="V4038">
        <v>1.112311E-2</v>
      </c>
      <c r="W4038">
        <v>0.19562199999999999</v>
      </c>
      <c r="X4038">
        <v>0.9806163</v>
      </c>
      <c r="Y4038">
        <v>2.363697E-2</v>
      </c>
      <c r="Z4038">
        <v>1.9111349999999999E-2</v>
      </c>
      <c r="AA4038">
        <v>0.99953789999999998</v>
      </c>
      <c r="AB4038">
        <v>25</v>
      </c>
      <c r="AC4038">
        <v>-2.6839999999999899</v>
      </c>
      <c r="AD4038">
        <v>-1.1091899936708001</v>
      </c>
      <c r="AE4038">
        <v>-33.077199999999998</v>
      </c>
      <c r="AF4038">
        <v>0.78803449457292596</v>
      </c>
      <c r="AG4038">
        <v>-1.1091899936708001</v>
      </c>
      <c r="AH4038">
        <v>33.139516135374997</v>
      </c>
      <c r="AI4038">
        <v>91.916450718109004</v>
      </c>
      <c r="AJ4038">
        <v>88.637803187767901</v>
      </c>
      <c r="AK4038">
        <v>33.167436296667198</v>
      </c>
      <c r="AL4038">
        <v>78.718938720102599</v>
      </c>
      <c r="AM4038">
        <v>89.350123052704504</v>
      </c>
      <c r="AN4038">
        <v>1.00000000914288</v>
      </c>
    </row>
    <row r="4039" spans="1:40" x14ac:dyDescent="0.25">
      <c r="A4039" t="str">
        <f>"20190304155715066"</f>
        <v>20190304155715066</v>
      </c>
      <c r="B4039" t="str">
        <f>"1551686235058624"</f>
        <v>1551686235058624</v>
      </c>
      <c r="C4039" t="s">
        <v>40</v>
      </c>
      <c r="D4039">
        <v>4.9638660000000003</v>
      </c>
      <c r="E4039">
        <v>0.50418260000000004</v>
      </c>
      <c r="F4039" t="s">
        <v>41</v>
      </c>
      <c r="G4039">
        <v>-192.44329999999999</v>
      </c>
      <c r="H4039" s="1">
        <v>-1.681703E-6</v>
      </c>
      <c r="I4039">
        <v>161.7739</v>
      </c>
      <c r="J4039">
        <v>-189.9401</v>
      </c>
      <c r="K4039">
        <v>1.109283</v>
      </c>
      <c r="L4039">
        <v>193.1516</v>
      </c>
      <c r="M4039">
        <v>-5.8268859999999999E-2</v>
      </c>
      <c r="N4039">
        <v>-1.402926E-2</v>
      </c>
      <c r="O4039">
        <v>-0.99820229999999999</v>
      </c>
      <c r="P4039">
        <v>-6.6358009999999995E-2</v>
      </c>
      <c r="Q4039">
        <v>0.1820937</v>
      </c>
      <c r="R4039">
        <v>-0.98103980000000002</v>
      </c>
      <c r="S4039">
        <v>-0.2440338</v>
      </c>
      <c r="T4039">
        <v>-0.1077089</v>
      </c>
      <c r="U4039">
        <v>-3.0613100000000002</v>
      </c>
      <c r="V4039">
        <v>9.6541149999999996E-3</v>
      </c>
      <c r="W4039">
        <v>0.19584219999999999</v>
      </c>
      <c r="X4039">
        <v>0.98058789999999996</v>
      </c>
      <c r="Y4039">
        <v>2.1213159999999998E-2</v>
      </c>
      <c r="Z4039">
        <v>2.1021669999999999E-2</v>
      </c>
      <c r="AA4039">
        <v>0.9995539</v>
      </c>
      <c r="AB4039">
        <v>25</v>
      </c>
      <c r="AC4039">
        <v>-2.5031999999999899</v>
      </c>
      <c r="AD4039">
        <v>-1.109284681703</v>
      </c>
      <c r="AE4039">
        <v>-31.377700000000001</v>
      </c>
      <c r="AF4039">
        <v>0.66959162847409903</v>
      </c>
      <c r="AG4039">
        <v>-1.109284681703</v>
      </c>
      <c r="AH4039">
        <v>31.4312148434108</v>
      </c>
      <c r="AI4039">
        <v>92.020811573432098</v>
      </c>
      <c r="AJ4039">
        <v>88.779589897349695</v>
      </c>
      <c r="AK4039">
        <v>31.4579104834798</v>
      </c>
      <c r="AL4039">
        <v>78.7060732285764</v>
      </c>
      <c r="AM4039">
        <v>89.435928004231698</v>
      </c>
      <c r="AN4039">
        <v>0.99999999943184104</v>
      </c>
    </row>
    <row r="4040" spans="1:40" x14ac:dyDescent="0.25">
      <c r="A4040" t="str">
        <f>"20190304155715079"</f>
        <v>20190304155715079</v>
      </c>
      <c r="B4040" t="str">
        <f>"1551686235068384"</f>
        <v>1551686235068384</v>
      </c>
      <c r="C4040" t="s">
        <v>40</v>
      </c>
      <c r="D4040">
        <v>4.9759769999999897</v>
      </c>
      <c r="E4040">
        <v>0.50423009999999902</v>
      </c>
      <c r="F4040" t="s">
        <v>41</v>
      </c>
      <c r="G4040">
        <v>-192.44640000000001</v>
      </c>
      <c r="H4040" s="1">
        <v>-1.6171740000000001E-6</v>
      </c>
      <c r="I4040">
        <v>161.63570000000001</v>
      </c>
      <c r="J4040">
        <v>-189.94919999999999</v>
      </c>
      <c r="K4040">
        <v>1.1093660000000001</v>
      </c>
      <c r="L4040">
        <v>193.0155</v>
      </c>
      <c r="M4040">
        <v>-5.9228889999999999E-2</v>
      </c>
      <c r="N4040">
        <v>-1.4013640000000001E-2</v>
      </c>
      <c r="O4040">
        <v>-0.99814619999999998</v>
      </c>
      <c r="P4040">
        <v>-6.6150360000000005E-2</v>
      </c>
      <c r="Q4040">
        <v>0.1823033</v>
      </c>
      <c r="R4040">
        <v>-0.98101470000000002</v>
      </c>
      <c r="S4040">
        <v>-0.2434692</v>
      </c>
      <c r="T4040">
        <v>-0.1077573</v>
      </c>
      <c r="U4040">
        <v>-3.061493</v>
      </c>
      <c r="V4040">
        <v>8.4665190000000005E-3</v>
      </c>
      <c r="W4040">
        <v>0.19604089999999999</v>
      </c>
      <c r="X4040">
        <v>0.98055919999999996</v>
      </c>
      <c r="Y4040">
        <v>2.0064060000000002E-2</v>
      </c>
      <c r="Z4040">
        <v>2.104905E-2</v>
      </c>
      <c r="AA4040">
        <v>0.9995771</v>
      </c>
      <c r="AB4040">
        <v>25</v>
      </c>
      <c r="AC4040">
        <v>-2.4972000000000198</v>
      </c>
      <c r="AD4040">
        <v>-1.1093676171739999</v>
      </c>
      <c r="AE4040">
        <v>-31.3797999999999</v>
      </c>
      <c r="AF4040">
        <v>0.63325565914176596</v>
      </c>
      <c r="AG4040">
        <v>-1.1093676171739999</v>
      </c>
      <c r="AH4040">
        <v>31.433581214842199</v>
      </c>
      <c r="AI4040">
        <v>92.020858937499597</v>
      </c>
      <c r="AJ4040">
        <v>88.845884945628498</v>
      </c>
      <c r="AK4040">
        <v>31.459525381511199</v>
      </c>
      <c r="AL4040">
        <v>78.694463866015198</v>
      </c>
      <c r="AM4040">
        <v>89.505298862757499</v>
      </c>
      <c r="AN4040">
        <v>1.00000003056071</v>
      </c>
    </row>
    <row r="4041" spans="1:40" x14ac:dyDescent="0.25">
      <c r="A4041" t="str">
        <f>"20190304155715096"</f>
        <v>20190304155715096</v>
      </c>
      <c r="B4041" t="str">
        <f>"1551686235088879"</f>
        <v>1551686235088879</v>
      </c>
      <c r="C4041" t="s">
        <v>40</v>
      </c>
      <c r="D4041">
        <v>4.9787290000000004</v>
      </c>
      <c r="E4041">
        <v>0.50419429999999998</v>
      </c>
      <c r="F4041" t="s">
        <v>41</v>
      </c>
      <c r="G4041">
        <v>-192.46170000000001</v>
      </c>
      <c r="H4041" s="1">
        <v>-1.515273E-6</v>
      </c>
      <c r="I4041">
        <v>161.41149999999999</v>
      </c>
      <c r="J4041">
        <v>-189.96250000000001</v>
      </c>
      <c r="K4041">
        <v>1.1094710000000001</v>
      </c>
      <c r="L4041">
        <v>192.8175</v>
      </c>
      <c r="M4041">
        <v>-6.0522289999999999E-2</v>
      </c>
      <c r="N4041">
        <v>-1.399245E-2</v>
      </c>
      <c r="O4041">
        <v>-0.99806879999999998</v>
      </c>
      <c r="P4041">
        <v>-6.5066490000000005E-2</v>
      </c>
      <c r="Q4041">
        <v>0.18365709999999999</v>
      </c>
      <c r="R4041">
        <v>-0.98083450000000005</v>
      </c>
      <c r="S4041">
        <v>-0.2433929</v>
      </c>
      <c r="T4041">
        <v>-0.1074682</v>
      </c>
      <c r="U4041">
        <v>-3.0615839999999999</v>
      </c>
      <c r="V4041">
        <v>6.0732669999999898E-3</v>
      </c>
      <c r="W4041">
        <v>0.197379</v>
      </c>
      <c r="X4041">
        <v>0.98030850000000003</v>
      </c>
      <c r="Y4041">
        <v>1.874195E-2</v>
      </c>
      <c r="Z4041">
        <v>2.0972379999999999E-2</v>
      </c>
      <c r="AA4041">
        <v>0.9996043</v>
      </c>
      <c r="AB4041">
        <v>25</v>
      </c>
      <c r="AC4041">
        <v>-2.4992000000000001</v>
      </c>
      <c r="AD4041">
        <v>-1.1094725152729901</v>
      </c>
      <c r="AE4041">
        <v>-31.405999999999999</v>
      </c>
      <c r="AF4041">
        <v>0.59293329245163495</v>
      </c>
      <c r="AG4041">
        <v>-1.1094725152729901</v>
      </c>
      <c r="AH4041">
        <v>31.4606735495843</v>
      </c>
      <c r="AI4041">
        <v>92.019361960960694</v>
      </c>
      <c r="AJ4041">
        <v>88.920285237503606</v>
      </c>
      <c r="AK4041">
        <v>31.485813938104801</v>
      </c>
      <c r="AL4041">
        <v>78.616268856620593</v>
      </c>
      <c r="AM4041">
        <v>89.645042233966507</v>
      </c>
      <c r="AN4041">
        <v>1.00000005469265</v>
      </c>
    </row>
    <row r="4042" spans="1:40" x14ac:dyDescent="0.25">
      <c r="A4042" t="str">
        <f>"20190304155715108"</f>
        <v>20190304155715108</v>
      </c>
      <c r="B4042" t="str">
        <f>"1551686235098640"</f>
        <v>1551686235098640</v>
      </c>
      <c r="C4042" t="s">
        <v>40</v>
      </c>
      <c r="D4042">
        <v>4.9693250000000004</v>
      </c>
      <c r="E4042">
        <v>0.50423339999999905</v>
      </c>
      <c r="F4042" t="s">
        <v>41</v>
      </c>
      <c r="G4042">
        <v>-192.4838</v>
      </c>
      <c r="H4042" s="1">
        <v>-1.177442E-6</v>
      </c>
      <c r="I4042">
        <v>160.68440000000001</v>
      </c>
      <c r="J4042">
        <v>-189.97149999999999</v>
      </c>
      <c r="K4042">
        <v>1.109545</v>
      </c>
      <c r="L4042">
        <v>192.6857</v>
      </c>
      <c r="M4042">
        <v>-6.1313960000000001E-2</v>
      </c>
      <c r="N4042">
        <v>-1.3979220000000001E-2</v>
      </c>
      <c r="O4042">
        <v>-0.99802080000000004</v>
      </c>
      <c r="P4042">
        <v>-6.4912579999999998E-2</v>
      </c>
      <c r="Q4042">
        <v>0.18431900000000001</v>
      </c>
      <c r="R4042">
        <v>-0.98072079999999995</v>
      </c>
      <c r="S4042">
        <v>-0.24029539999999999</v>
      </c>
      <c r="T4042">
        <v>-0.1057396</v>
      </c>
      <c r="U4042">
        <v>-3.0624850000000001</v>
      </c>
      <c r="V4042">
        <v>5.1132790000000001E-3</v>
      </c>
      <c r="W4042">
        <v>0.1980296</v>
      </c>
      <c r="X4042">
        <v>0.98018269999999996</v>
      </c>
      <c r="Y4042">
        <v>1.692246E-2</v>
      </c>
      <c r="Z4042">
        <v>2.04136E-2</v>
      </c>
      <c r="AA4042">
        <v>0.99964839999999999</v>
      </c>
      <c r="AB4042">
        <v>25</v>
      </c>
      <c r="AC4042">
        <v>-2.51230000000001</v>
      </c>
      <c r="AD4042">
        <v>-1.1095461774419999</v>
      </c>
      <c r="AE4042">
        <v>-32.001299999999901</v>
      </c>
      <c r="AF4042">
        <v>0.54460373433645004</v>
      </c>
      <c r="AG4042">
        <v>-1.1095461774419999</v>
      </c>
      <c r="AH4042">
        <v>32.0568320321876</v>
      </c>
      <c r="AI4042">
        <v>91.982035659786206</v>
      </c>
      <c r="AJ4042">
        <v>89.026713118973404</v>
      </c>
      <c r="AK4042">
        <v>32.080650957971798</v>
      </c>
      <c r="AL4042">
        <v>78.578240960375197</v>
      </c>
      <c r="AM4042">
        <v>89.701110161769094</v>
      </c>
      <c r="AN4042">
        <v>0.99999999673879003</v>
      </c>
    </row>
    <row r="4043" spans="1:40" x14ac:dyDescent="0.25">
      <c r="A4043" t="str">
        <f>"20190304155715121"</f>
        <v>20190304155715121</v>
      </c>
      <c r="B4043" t="str">
        <f>"1551686235108400"</f>
        <v>1551686235108400</v>
      </c>
      <c r="C4043" t="s">
        <v>40</v>
      </c>
      <c r="D4043">
        <v>4.9465529999999998</v>
      </c>
      <c r="E4043">
        <v>0.5042392</v>
      </c>
      <c r="F4043" t="s">
        <v>41</v>
      </c>
      <c r="G4043">
        <v>-192.54419999999999</v>
      </c>
      <c r="H4043" s="1">
        <v>-8.1125639999999999E-7</v>
      </c>
      <c r="I4043">
        <v>159.87569999999999</v>
      </c>
      <c r="J4043">
        <v>-189.9803</v>
      </c>
      <c r="K4043">
        <v>1.1096200000000001</v>
      </c>
      <c r="L4043">
        <v>192.55590000000001</v>
      </c>
      <c r="M4043">
        <v>-6.1998209999999998E-2</v>
      </c>
      <c r="N4043">
        <v>-1.3967200000000001E-2</v>
      </c>
      <c r="O4043">
        <v>-0.9979787</v>
      </c>
      <c r="P4043">
        <v>-6.4483170000000006E-2</v>
      </c>
      <c r="Q4043">
        <v>0.18478839999999999</v>
      </c>
      <c r="R4043">
        <v>-0.9806608</v>
      </c>
      <c r="S4043">
        <v>-0.24014279999999999</v>
      </c>
      <c r="T4043">
        <v>-0.10356659999999999</v>
      </c>
      <c r="U4043">
        <v>-3.0625309999999999</v>
      </c>
      <c r="V4043">
        <v>3.9794540000000003E-3</v>
      </c>
      <c r="W4043">
        <v>0.1984891</v>
      </c>
      <c r="X4043">
        <v>0.98009500000000005</v>
      </c>
      <c r="Y4043">
        <v>1.6187710000000001E-2</v>
      </c>
      <c r="Z4043">
        <v>1.971813E-2</v>
      </c>
      <c r="AA4043">
        <v>0.99967450000000002</v>
      </c>
      <c r="AB4043">
        <v>25</v>
      </c>
      <c r="AC4043">
        <v>-2.5638999999999799</v>
      </c>
      <c r="AD4043">
        <v>-1.1096208112563899</v>
      </c>
      <c r="AE4043">
        <v>-32.680199999999999</v>
      </c>
      <c r="AF4043">
        <v>0.53204592600057299</v>
      </c>
      <c r="AG4043">
        <v>-1.1096208112563899</v>
      </c>
      <c r="AH4043">
        <v>32.738779629402302</v>
      </c>
      <c r="AI4043">
        <v>91.940936048237901</v>
      </c>
      <c r="AJ4043">
        <v>89.068954212704796</v>
      </c>
      <c r="AK4043">
        <v>32.761898950377002</v>
      </c>
      <c r="AL4043">
        <v>78.551380207058102</v>
      </c>
      <c r="AM4043">
        <v>89.767364728905093</v>
      </c>
      <c r="AN4043">
        <v>0.99999998394897405</v>
      </c>
    </row>
    <row r="4044" spans="1:40" x14ac:dyDescent="0.25">
      <c r="A4044" t="str">
        <f>"20190304155715141"</f>
        <v>20190304155715141</v>
      </c>
      <c r="B4044" t="str">
        <f>"1551686235138655"</f>
        <v>1551686235138655</v>
      </c>
      <c r="C4044" t="s">
        <v>40</v>
      </c>
      <c r="D4044">
        <v>4.9285189999999997</v>
      </c>
      <c r="E4044">
        <v>0.50461610000000001</v>
      </c>
      <c r="F4044" t="s">
        <v>78</v>
      </c>
      <c r="G4044">
        <v>-192.5737</v>
      </c>
      <c r="H4044" s="1">
        <v>-1.4907669999999999E-5</v>
      </c>
      <c r="I4044">
        <v>159.33879999999999</v>
      </c>
      <c r="J4044">
        <v>-189.99610000000001</v>
      </c>
      <c r="K4044">
        <v>1.1097629999999901</v>
      </c>
      <c r="L4044">
        <v>192.32480000000001</v>
      </c>
      <c r="M4044">
        <v>-6.3087790000000005E-2</v>
      </c>
      <c r="N4044">
        <v>-1.394719E-2</v>
      </c>
      <c r="O4044">
        <v>-0.99791059999999998</v>
      </c>
      <c r="P4044">
        <v>-6.4084569999999993E-2</v>
      </c>
      <c r="Q4044">
        <v>0.18501000000000001</v>
      </c>
      <c r="R4044">
        <v>-0.98064510000000005</v>
      </c>
      <c r="S4044">
        <v>-0.23912050000000001</v>
      </c>
      <c r="T4044">
        <v>-0.10231170000000001</v>
      </c>
      <c r="U4044">
        <v>-3.0627140000000002</v>
      </c>
      <c r="V4044">
        <v>2.4414100000000002E-3</v>
      </c>
      <c r="W4044">
        <v>0.19869419999999999</v>
      </c>
      <c r="X4044">
        <v>0.98005850000000005</v>
      </c>
      <c r="Y4044">
        <v>1.4760809999999999E-2</v>
      </c>
      <c r="Z4044">
        <v>1.932656E-2</v>
      </c>
      <c r="AA4044">
        <v>0.99970420000000004</v>
      </c>
      <c r="AB4044">
        <v>24</v>
      </c>
      <c r="AC4044">
        <v>-2.5775999999999799</v>
      </c>
      <c r="AD4044">
        <v>-1.1097779076699901</v>
      </c>
      <c r="AE4044">
        <v>-32.985999999999997</v>
      </c>
      <c r="AF4044">
        <v>0.490696210517719</v>
      </c>
      <c r="AG4044">
        <v>-1.1097779076699901</v>
      </c>
      <c r="AH4044">
        <v>33.045731518382397</v>
      </c>
      <c r="AI4044">
        <v>91.923234804037094</v>
      </c>
      <c r="AJ4044">
        <v>89.149277244164693</v>
      </c>
      <c r="AK4044">
        <v>33.068002076938001</v>
      </c>
      <c r="AL4044">
        <v>78.5393902647115</v>
      </c>
      <c r="AM4044">
        <v>89.857271581528295</v>
      </c>
      <c r="AN4044">
        <v>1.00000000450933</v>
      </c>
    </row>
    <row r="4045" spans="1:40" x14ac:dyDescent="0.25">
      <c r="A4045" t="str">
        <f>"20190304155715155"</f>
        <v>20190304155715155</v>
      </c>
      <c r="B4045" t="str">
        <f>"1551686235148416"</f>
        <v>1551686235148416</v>
      </c>
      <c r="C4045" t="s">
        <v>40</v>
      </c>
      <c r="D4045">
        <v>5.0348290000000002</v>
      </c>
      <c r="E4045">
        <v>0.50492230000000005</v>
      </c>
      <c r="F4045" t="s">
        <v>78</v>
      </c>
      <c r="G4045">
        <v>-192.6354</v>
      </c>
      <c r="H4045" s="1">
        <v>-1.476757E-5</v>
      </c>
      <c r="I4045">
        <v>158.78200000000001</v>
      </c>
      <c r="J4045">
        <v>-190.00579999999999</v>
      </c>
      <c r="K4045">
        <v>1.109853</v>
      </c>
      <c r="L4045">
        <v>192.18299999999999</v>
      </c>
      <c r="M4045">
        <v>-6.3661140000000005E-2</v>
      </c>
      <c r="N4045">
        <v>-1.3935919999999999E-2</v>
      </c>
      <c r="O4045">
        <v>-0.99787429999999999</v>
      </c>
      <c r="P4045">
        <v>-6.3837690000000002E-2</v>
      </c>
      <c r="Q4045">
        <v>0.1849596</v>
      </c>
      <c r="R4045">
        <v>-0.98067059999999995</v>
      </c>
      <c r="S4045">
        <v>-0.2409821</v>
      </c>
      <c r="T4045">
        <v>-0.10132670000000001</v>
      </c>
      <c r="U4045">
        <v>-3.062576</v>
      </c>
      <c r="V4045">
        <v>1.584189E-3</v>
      </c>
      <c r="W4045">
        <v>0.19863529999999999</v>
      </c>
      <c r="X4045">
        <v>0.98007219999999995</v>
      </c>
      <c r="Y4045">
        <v>1.479426E-2</v>
      </c>
      <c r="Z4045">
        <v>1.901752E-2</v>
      </c>
      <c r="AA4045">
        <v>0.99970970000000003</v>
      </c>
      <c r="AB4045">
        <v>24</v>
      </c>
      <c r="AC4045">
        <v>-2.6296000000000102</v>
      </c>
      <c r="AD4045">
        <v>-1.1098677675699999</v>
      </c>
      <c r="AE4045">
        <v>-33.400999999999897</v>
      </c>
      <c r="AF4045">
        <v>0.49716727756944801</v>
      </c>
      <c r="AG4045">
        <v>-1.1098677675699999</v>
      </c>
      <c r="AH4045">
        <v>33.463933691822199</v>
      </c>
      <c r="AI4045">
        <v>91.899371105822894</v>
      </c>
      <c r="AJ4045">
        <v>89.148830157517594</v>
      </c>
      <c r="AK4045">
        <v>33.486024545981103</v>
      </c>
      <c r="AL4045">
        <v>78.542833622263203</v>
      </c>
      <c r="AM4045">
        <v>89.907387165353299</v>
      </c>
      <c r="AN4045">
        <v>1.00000000463685</v>
      </c>
    </row>
    <row r="4046" spans="1:40" x14ac:dyDescent="0.25">
      <c r="A4046" t="str">
        <f>"20190304155715166"</f>
        <v>20190304155715166</v>
      </c>
      <c r="B4046" t="str">
        <f>"1551686235159152"</f>
        <v>1551686235159152</v>
      </c>
      <c r="C4046" t="s">
        <v>40</v>
      </c>
      <c r="D4046">
        <v>4.927988</v>
      </c>
      <c r="E4046">
        <v>0.50510480000000002</v>
      </c>
      <c r="F4046" t="s">
        <v>78</v>
      </c>
      <c r="G4046">
        <v>-192.6807</v>
      </c>
      <c r="H4046" s="1">
        <v>-1.4690669999999999E-5</v>
      </c>
      <c r="I4046">
        <v>158.47640000000001</v>
      </c>
      <c r="J4046">
        <v>-190.0153</v>
      </c>
      <c r="K4046">
        <v>1.1099460000000001</v>
      </c>
      <c r="L4046">
        <v>192.0438</v>
      </c>
      <c r="M4046">
        <v>-6.4156160000000004E-2</v>
      </c>
      <c r="N4046">
        <v>-1.392556E-2</v>
      </c>
      <c r="O4046">
        <v>-0.99784280000000003</v>
      </c>
      <c r="P4046">
        <v>-6.3434790000000005E-2</v>
      </c>
      <c r="Q4046">
        <v>0.184785</v>
      </c>
      <c r="R4046">
        <v>-0.98072969999999904</v>
      </c>
      <c r="S4046">
        <v>-0.24302670000000001</v>
      </c>
      <c r="T4046">
        <v>-0.1008347</v>
      </c>
      <c r="U4046">
        <v>-3.0623469999999999</v>
      </c>
      <c r="V4046">
        <v>6.4607379999999999E-4</v>
      </c>
      <c r="W4046">
        <v>0.19845260000000001</v>
      </c>
      <c r="X4046">
        <v>0.98011029999999999</v>
      </c>
      <c r="Y4046">
        <v>1.4967630000000001E-2</v>
      </c>
      <c r="Z4046">
        <v>1.886871E-2</v>
      </c>
      <c r="AA4046">
        <v>0.99970990000000004</v>
      </c>
      <c r="AB4046">
        <v>24</v>
      </c>
      <c r="AC4046">
        <v>-2.6654</v>
      </c>
      <c r="AD4046">
        <v>-1.1099606906699999</v>
      </c>
      <c r="AE4046">
        <v>-33.5673999999999</v>
      </c>
      <c r="AF4046">
        <v>0.50559439073013202</v>
      </c>
      <c r="AG4046">
        <v>-1.1099606906699999</v>
      </c>
      <c r="AH4046">
        <v>33.632708170565401</v>
      </c>
      <c r="AI4046">
        <v>91.889999822099099</v>
      </c>
      <c r="AJ4046">
        <v>89.138747830413806</v>
      </c>
      <c r="AK4046">
        <v>33.654816851517502</v>
      </c>
      <c r="AL4046">
        <v>78.553514438025005</v>
      </c>
      <c r="AM4046">
        <v>89.962231499217594</v>
      </c>
      <c r="AN4046">
        <v>1.0000000260121</v>
      </c>
    </row>
    <row r="4047" spans="1:40" x14ac:dyDescent="0.25">
      <c r="A4047" t="str">
        <f>"20190304155715186"</f>
        <v>20190304155715186</v>
      </c>
      <c r="B4047" t="str">
        <f>"1551686235178679"</f>
        <v>1551686235178679</v>
      </c>
      <c r="C4047" t="s">
        <v>40</v>
      </c>
      <c r="D4047">
        <v>4.9106730000000001</v>
      </c>
      <c r="E4047">
        <v>0.50535799999999997</v>
      </c>
      <c r="F4047" t="s">
        <v>78</v>
      </c>
      <c r="G4047">
        <v>-192.69329999999999</v>
      </c>
      <c r="H4047" s="1">
        <v>-1.466932E-5</v>
      </c>
      <c r="I4047">
        <v>158.39150000000001</v>
      </c>
      <c r="J4047">
        <v>-190.02940000000001</v>
      </c>
      <c r="K4047">
        <v>1.110077</v>
      </c>
      <c r="L4047">
        <v>191.8374</v>
      </c>
      <c r="M4047">
        <v>-6.4748340000000001E-2</v>
      </c>
      <c r="N4047">
        <v>-1.3911659999999999E-2</v>
      </c>
      <c r="O4047">
        <v>-0.99780469999999999</v>
      </c>
      <c r="P4047">
        <v>-6.2801640000000006E-2</v>
      </c>
      <c r="Q4047">
        <v>0.18430060000000001</v>
      </c>
      <c r="R4047">
        <v>-0.98086169999999995</v>
      </c>
      <c r="S4047">
        <v>-0.24368290000000001</v>
      </c>
      <c r="T4047">
        <v>-0.1010009</v>
      </c>
      <c r="U4047">
        <v>-3.062195</v>
      </c>
      <c r="V4047">
        <v>-6.4203739999999995E-4</v>
      </c>
      <c r="W4047">
        <v>0.1979572</v>
      </c>
      <c r="X4047">
        <v>0.98021049999999998</v>
      </c>
      <c r="Y4047">
        <v>1.459103E-2</v>
      </c>
      <c r="Z4047">
        <v>1.893649E-2</v>
      </c>
      <c r="AA4047">
        <v>0.9997142</v>
      </c>
      <c r="AB4047">
        <v>24</v>
      </c>
      <c r="AC4047">
        <v>-2.66389999999998</v>
      </c>
      <c r="AD4047">
        <v>-1.11009166932</v>
      </c>
      <c r="AE4047">
        <v>-33.445899999999902</v>
      </c>
      <c r="AF4047">
        <v>0.491994499440366</v>
      </c>
      <c r="AG4047">
        <v>-1.11009166932</v>
      </c>
      <c r="AH4047">
        <v>33.511519891283903</v>
      </c>
      <c r="AI4047">
        <v>91.897063241162897</v>
      </c>
      <c r="AJ4047">
        <v>89.1588807850584</v>
      </c>
      <c r="AK4047">
        <v>33.533510515985199</v>
      </c>
      <c r="AL4047">
        <v>78.582473509967897</v>
      </c>
      <c r="AM4047">
        <v>90.037528702303007</v>
      </c>
      <c r="AN4047">
        <v>1.0000000447770501</v>
      </c>
    </row>
    <row r="4048" spans="1:40" x14ac:dyDescent="0.25">
      <c r="A4048" t="str">
        <f>"20190304155715199"</f>
        <v>20190304155715199</v>
      </c>
      <c r="B4048" t="str">
        <f>"1551686235188432"</f>
        <v>1551686235188432</v>
      </c>
      <c r="C4048" t="s">
        <v>40</v>
      </c>
      <c r="D4048">
        <v>4.9251740000000002</v>
      </c>
      <c r="E4048">
        <v>0.50544639999999996</v>
      </c>
      <c r="F4048" t="s">
        <v>78</v>
      </c>
      <c r="G4048">
        <v>-192.63339999999999</v>
      </c>
      <c r="H4048" s="1">
        <v>-1.4857030000000001E-5</v>
      </c>
      <c r="I4048">
        <v>159.13749999999999</v>
      </c>
      <c r="J4048">
        <v>-190.03819999999999</v>
      </c>
      <c r="K4048">
        <v>1.1101589999999999</v>
      </c>
      <c r="L4048">
        <v>191.70670000000001</v>
      </c>
      <c r="M4048">
        <v>-6.5030370000000004E-2</v>
      </c>
      <c r="N4048">
        <v>-1.390363E-2</v>
      </c>
      <c r="O4048">
        <v>-0.99778650000000002</v>
      </c>
      <c r="P4048">
        <v>-6.2563960000000002E-2</v>
      </c>
      <c r="Q4048">
        <v>0.1843081</v>
      </c>
      <c r="R4048">
        <v>-0.98087530000000001</v>
      </c>
      <c r="S4048">
        <v>-0.24388119999999999</v>
      </c>
      <c r="T4048">
        <v>-0.1039643</v>
      </c>
      <c r="U4048">
        <v>-3.0624690000000001</v>
      </c>
      <c r="V4048">
        <v>-1.1977769999999999E-3</v>
      </c>
      <c r="W4048">
        <v>0.1979572</v>
      </c>
      <c r="X4048">
        <v>0.98020989999999997</v>
      </c>
      <c r="Y4048">
        <v>1.4364170000000001E-2</v>
      </c>
      <c r="Z4048">
        <v>1.990258E-2</v>
      </c>
      <c r="AA4048">
        <v>0.9996988</v>
      </c>
      <c r="AB4048">
        <v>24</v>
      </c>
      <c r="AC4048">
        <v>-2.5952000000000002</v>
      </c>
      <c r="AD4048">
        <v>-1.1101738570299999</v>
      </c>
      <c r="AE4048">
        <v>-32.569200000000002</v>
      </c>
      <c r="AF4048">
        <v>0.47097017067739699</v>
      </c>
      <c r="AG4048">
        <v>-1.1101738570299999</v>
      </c>
      <c r="AH4048">
        <v>32.631355000865199</v>
      </c>
      <c r="AI4048">
        <v>91.948344938889704</v>
      </c>
      <c r="AJ4048">
        <v>89.173104226256498</v>
      </c>
      <c r="AK4048">
        <v>32.653631162353001</v>
      </c>
      <c r="AL4048">
        <v>78.582472620182301</v>
      </c>
      <c r="AM4048">
        <v>90.070013098969895</v>
      </c>
      <c r="AN4048">
        <v>0.99999996787979495</v>
      </c>
    </row>
    <row r="4049" spans="1:40" x14ac:dyDescent="0.25">
      <c r="A4049" t="str">
        <f>"20190304155715213"</f>
        <v>20190304155715213</v>
      </c>
      <c r="B4049" t="str">
        <f>"1551686235208928"</f>
        <v>1551686235208928</v>
      </c>
      <c r="C4049" t="s">
        <v>40</v>
      </c>
      <c r="D4049">
        <v>5.0531360000000003</v>
      </c>
      <c r="E4049">
        <v>0.50568029999999997</v>
      </c>
      <c r="F4049" t="s">
        <v>78</v>
      </c>
      <c r="G4049">
        <v>-192.65389999999999</v>
      </c>
      <c r="H4049" s="1">
        <v>-1.47852399999999E-5</v>
      </c>
      <c r="I4049">
        <v>158.85220000000001</v>
      </c>
      <c r="J4049">
        <v>-190.04939999999999</v>
      </c>
      <c r="K4049">
        <v>1.110266</v>
      </c>
      <c r="L4049">
        <v>191.5419</v>
      </c>
      <c r="M4049">
        <v>-6.5310999999999994E-2</v>
      </c>
      <c r="N4049">
        <v>-1.389408E-2</v>
      </c>
      <c r="O4049">
        <v>-0.99776830000000005</v>
      </c>
      <c r="P4049">
        <v>-6.2270600000000002E-2</v>
      </c>
      <c r="Q4049">
        <v>0.18443789999999999</v>
      </c>
      <c r="R4049">
        <v>-0.98087000000000002</v>
      </c>
      <c r="S4049">
        <v>-0.24380489999999999</v>
      </c>
      <c r="T4049">
        <v>-0.103479</v>
      </c>
      <c r="U4049">
        <v>-3.0623629999999999</v>
      </c>
      <c r="V4049">
        <v>-1.8156349999999999E-3</v>
      </c>
      <c r="W4049">
        <v>0.1980768</v>
      </c>
      <c r="X4049">
        <v>0.98018479999999997</v>
      </c>
      <c r="Y4049">
        <v>1.406131E-2</v>
      </c>
      <c r="Z4049">
        <v>1.9755089999999999E-2</v>
      </c>
      <c r="AA4049">
        <v>0.99970599999999998</v>
      </c>
      <c r="AB4049">
        <v>24</v>
      </c>
      <c r="AC4049">
        <v>-2.6044999999999998</v>
      </c>
      <c r="AD4049">
        <v>-1.1102807852399901</v>
      </c>
      <c r="AE4049">
        <v>-32.689699999999903</v>
      </c>
      <c r="AF4049">
        <v>0.46320430053952899</v>
      </c>
      <c r="AG4049">
        <v>-1.1102807852399901</v>
      </c>
      <c r="AH4049">
        <v>32.752467601522298</v>
      </c>
      <c r="AI4049">
        <v>91.9413407105896</v>
      </c>
      <c r="AJ4049">
        <v>89.189744034317499</v>
      </c>
      <c r="AK4049">
        <v>32.774554392621098</v>
      </c>
      <c r="AL4049">
        <v>78.575481738050996</v>
      </c>
      <c r="AM4049">
        <v>90.106131112885294</v>
      </c>
      <c r="AN4049">
        <v>0.99999997868986601</v>
      </c>
    </row>
    <row r="4050" spans="1:40" x14ac:dyDescent="0.25">
      <c r="A4050" t="str">
        <f>"20190304155715232"</f>
        <v>20190304155715232</v>
      </c>
      <c r="B4050" t="str">
        <f>"1551686235228448"</f>
        <v>1551686235228448</v>
      </c>
      <c r="C4050" t="s">
        <v>40</v>
      </c>
      <c r="D4050">
        <v>4.96061</v>
      </c>
      <c r="E4050">
        <v>0.50574359999999996</v>
      </c>
      <c r="F4050" t="s">
        <v>78</v>
      </c>
      <c r="G4050">
        <v>-192.6807</v>
      </c>
      <c r="H4050" s="1">
        <v>-1.473149E-5</v>
      </c>
      <c r="I4050">
        <v>158.6386</v>
      </c>
      <c r="J4050">
        <v>-190.0625</v>
      </c>
      <c r="K4050">
        <v>1.110379</v>
      </c>
      <c r="L4050">
        <v>191.34729999999999</v>
      </c>
      <c r="M4050">
        <v>-6.5503790000000006E-2</v>
      </c>
      <c r="N4050">
        <v>-1.388379E-2</v>
      </c>
      <c r="O4050">
        <v>-0.99775590000000003</v>
      </c>
      <c r="P4050">
        <v>-6.1650879999999998E-2</v>
      </c>
      <c r="Q4050">
        <v>0.18486739999999999</v>
      </c>
      <c r="R4050">
        <v>-0.98082800000000003</v>
      </c>
      <c r="S4050">
        <v>-0.2449036</v>
      </c>
      <c r="T4050">
        <v>-0.1033367</v>
      </c>
      <c r="U4050">
        <v>-3.0623930000000001</v>
      </c>
      <c r="V4050">
        <v>-2.6763329999999999E-3</v>
      </c>
      <c r="W4050">
        <v>0.1984947</v>
      </c>
      <c r="X4050">
        <v>0.98009829999999998</v>
      </c>
      <c r="Y4050">
        <v>1.422373E-2</v>
      </c>
      <c r="Z4050">
        <v>1.9717950000000001E-2</v>
      </c>
      <c r="AA4050">
        <v>0.99970440000000005</v>
      </c>
      <c r="AB4050">
        <v>24</v>
      </c>
      <c r="AC4050">
        <v>-2.6181999999999999</v>
      </c>
      <c r="AD4050">
        <v>-1.1103937314899901</v>
      </c>
      <c r="AE4050">
        <v>-32.708699999999901</v>
      </c>
      <c r="AF4050">
        <v>0.469288490052646</v>
      </c>
      <c r="AG4050">
        <v>-1.1103937314899901</v>
      </c>
      <c r="AH4050">
        <v>32.772428595440701</v>
      </c>
      <c r="AI4050">
        <v>91.940351518066805</v>
      </c>
      <c r="AJ4050">
        <v>89.179602690163193</v>
      </c>
      <c r="AK4050">
        <v>32.794592267157199</v>
      </c>
      <c r="AL4050">
        <v>78.551052943900899</v>
      </c>
      <c r="AM4050">
        <v>90.156455943587503</v>
      </c>
      <c r="AN4050">
        <v>0.99999999317465305</v>
      </c>
    </row>
    <row r="4051" spans="1:40" x14ac:dyDescent="0.25">
      <c r="A4051" t="str">
        <f>"20190304155715253"</f>
        <v>20190304155715253</v>
      </c>
      <c r="B4051" t="str">
        <f>"1551686235248944"</f>
        <v>1551686235248944</v>
      </c>
      <c r="C4051" t="s">
        <v>40</v>
      </c>
      <c r="D4051">
        <v>5.5258570000000002</v>
      </c>
      <c r="E4051">
        <v>0.4924289</v>
      </c>
      <c r="F4051" t="s">
        <v>78</v>
      </c>
      <c r="G4051">
        <v>-192.7227</v>
      </c>
      <c r="H4051" s="1">
        <v>-1.449392E-5</v>
      </c>
      <c r="I4051">
        <v>157.91749999999999</v>
      </c>
      <c r="J4051">
        <v>-190.07820000000001</v>
      </c>
      <c r="K4051">
        <v>1.110501</v>
      </c>
      <c r="L4051">
        <v>191.1112</v>
      </c>
      <c r="M4051">
        <v>-6.5570970000000006E-2</v>
      </c>
      <c r="N4051">
        <v>-1.387269E-2</v>
      </c>
      <c r="O4051">
        <v>-0.99775170000000002</v>
      </c>
      <c r="P4051">
        <v>-6.0702270000000003E-2</v>
      </c>
      <c r="Q4051">
        <v>0.18541369999999999</v>
      </c>
      <c r="R4051">
        <v>-0.98078430000000005</v>
      </c>
      <c r="S4051">
        <v>-0.2436981</v>
      </c>
      <c r="T4051">
        <v>-0.10172249999999999</v>
      </c>
      <c r="U4051">
        <v>-3.0624850000000001</v>
      </c>
      <c r="V4051">
        <v>-3.743339E-3</v>
      </c>
      <c r="W4051">
        <v>0.19902829999999999</v>
      </c>
      <c r="X4051">
        <v>0.97998660000000004</v>
      </c>
      <c r="Y4051">
        <v>1.376403E-2</v>
      </c>
      <c r="Z4051">
        <v>1.920444E-2</v>
      </c>
      <c r="AA4051">
        <v>0.99972079999999997</v>
      </c>
      <c r="AB4051">
        <v>24</v>
      </c>
      <c r="AC4051">
        <v>-2.6444999999999901</v>
      </c>
      <c r="AD4051">
        <v>-1.1105154939199999</v>
      </c>
      <c r="AE4051">
        <v>-33.1937</v>
      </c>
      <c r="AF4051">
        <v>0.46154228575533301</v>
      </c>
      <c r="AG4051">
        <v>-1.1105154939199999</v>
      </c>
      <c r="AH4051">
        <v>33.258678538883402</v>
      </c>
      <c r="AI4051">
        <v>91.912225741581807</v>
      </c>
      <c r="AJ4051">
        <v>89.204937512990497</v>
      </c>
      <c r="AK4051">
        <v>33.280414121470301</v>
      </c>
      <c r="AL4051">
        <v>78.519857655248799</v>
      </c>
      <c r="AM4051">
        <v>90.218856546472594</v>
      </c>
      <c r="AN4051">
        <v>1.0000000064836501</v>
      </c>
    </row>
    <row r="4052" spans="1:40" x14ac:dyDescent="0.25">
      <c r="A4052" t="str">
        <f>"20190304155715266"</f>
        <v>20190304155715266</v>
      </c>
      <c r="B4052" t="str">
        <f>"1551686235258704"</f>
        <v>1551686235258704</v>
      </c>
      <c r="C4052" t="s">
        <v>40</v>
      </c>
      <c r="D4052">
        <v>5.072546</v>
      </c>
      <c r="E4052">
        <v>0.48968410000000001</v>
      </c>
      <c r="F4052" t="s">
        <v>78</v>
      </c>
      <c r="G4052">
        <v>-191.48259999999999</v>
      </c>
      <c r="H4052" s="1">
        <v>-1.4872559999999999E-5</v>
      </c>
      <c r="I4052">
        <v>159.19919999999999</v>
      </c>
      <c r="J4052">
        <v>-190.08779999999999</v>
      </c>
      <c r="K4052">
        <v>1.1105609999999999</v>
      </c>
      <c r="L4052">
        <v>190.9657</v>
      </c>
      <c r="M4052">
        <v>-6.5545919999999994E-2</v>
      </c>
      <c r="N4052">
        <v>-1.3866430000000001E-2</v>
      </c>
      <c r="O4052">
        <v>-0.99775320000000001</v>
      </c>
      <c r="P4052">
        <v>-5.9837099999999997E-2</v>
      </c>
      <c r="Q4052">
        <v>0.18591369999999999</v>
      </c>
      <c r="R4052">
        <v>-0.98074260000000002</v>
      </c>
      <c r="S4052">
        <v>-0.1351318</v>
      </c>
      <c r="T4052">
        <v>-0.10685550000000001</v>
      </c>
      <c r="U4052">
        <v>-3.0706180000000001</v>
      </c>
      <c r="V4052">
        <v>-4.6082959999999996E-3</v>
      </c>
      <c r="W4052">
        <v>0.1995199</v>
      </c>
      <c r="X4052">
        <v>0.97988299999999995</v>
      </c>
      <c r="Y4052">
        <v>-2.1620170000000001E-2</v>
      </c>
      <c r="Z4052">
        <v>2.0803970000000001E-2</v>
      </c>
      <c r="AA4052">
        <v>0.99954980000000004</v>
      </c>
      <c r="AB4052">
        <v>24</v>
      </c>
      <c r="AC4052">
        <v>-1.3948</v>
      </c>
      <c r="AD4052">
        <v>-1.1105758725599999</v>
      </c>
      <c r="AE4052">
        <v>-31.766500000000001</v>
      </c>
      <c r="AF4052">
        <v>-0.68972331215746296</v>
      </c>
      <c r="AG4052">
        <v>-1.1105758725599999</v>
      </c>
      <c r="AH4052">
        <v>31.750874317727</v>
      </c>
      <c r="AI4052">
        <v>92.002791769427702</v>
      </c>
      <c r="AJ4052">
        <v>91.244438818575404</v>
      </c>
      <c r="AK4052">
        <v>31.777777092744302</v>
      </c>
      <c r="AL4052">
        <v>78.491115200318006</v>
      </c>
      <c r="AM4052">
        <v>90.269454582827606</v>
      </c>
      <c r="AN4052">
        <v>1.00000006028851</v>
      </c>
    </row>
    <row r="4053" spans="1:40" x14ac:dyDescent="0.25">
      <c r="A4053" t="str">
        <f>"20190304155715278"</f>
        <v>20190304155715278</v>
      </c>
      <c r="B4053" t="str">
        <f>"1551686235268463"</f>
        <v>1551686235268463</v>
      </c>
      <c r="C4053" t="s">
        <v>40</v>
      </c>
      <c r="D4053">
        <v>5.0094200000000004</v>
      </c>
      <c r="E4053">
        <v>0.48776720000000001</v>
      </c>
      <c r="F4053" t="s">
        <v>78</v>
      </c>
      <c r="G4053">
        <v>-191.24870000000001</v>
      </c>
      <c r="H4053" s="1">
        <v>-1.470562E-5</v>
      </c>
      <c r="I4053">
        <v>158.7157</v>
      </c>
      <c r="J4053">
        <v>-190.09559999999999</v>
      </c>
      <c r="K4053">
        <v>1.1106</v>
      </c>
      <c r="L4053">
        <v>190.84610000000001</v>
      </c>
      <c r="M4053">
        <v>-6.5482250000000006E-2</v>
      </c>
      <c r="N4053">
        <v>-1.3861490000000001E-2</v>
      </c>
      <c r="O4053">
        <v>-0.99775760000000002</v>
      </c>
      <c r="P4053">
        <v>-5.9198479999999998E-2</v>
      </c>
      <c r="Q4053">
        <v>0.1857357</v>
      </c>
      <c r="R4053">
        <v>-0.98081510000000005</v>
      </c>
      <c r="S4053">
        <v>-0.11059570000000001</v>
      </c>
      <c r="T4053">
        <v>-0.10579570000000001</v>
      </c>
      <c r="U4053">
        <v>-3.0722049999999999</v>
      </c>
      <c r="V4053">
        <v>-5.2079689999999998E-3</v>
      </c>
      <c r="W4053">
        <v>0.19933680000000001</v>
      </c>
      <c r="X4053">
        <v>0.97991719999999904</v>
      </c>
      <c r="Y4053">
        <v>-2.9545510000000001E-2</v>
      </c>
      <c r="Z4053">
        <v>2.044642E-2</v>
      </c>
      <c r="AA4053">
        <v>0.99935430000000003</v>
      </c>
      <c r="AB4053">
        <v>24</v>
      </c>
      <c r="AC4053">
        <v>-1.15310000000002</v>
      </c>
      <c r="AD4053">
        <v>-1.11061470562</v>
      </c>
      <c r="AE4053">
        <v>-32.130400000000002</v>
      </c>
      <c r="AF4053">
        <v>-0.95241159273068798</v>
      </c>
      <c r="AG4053">
        <v>-1.11061470562</v>
      </c>
      <c r="AH4053">
        <v>32.0986391363111</v>
      </c>
      <c r="AI4053">
        <v>91.980775593183495</v>
      </c>
      <c r="AJ4053">
        <v>91.699547409441195</v>
      </c>
      <c r="AK4053">
        <v>32.131965194638099</v>
      </c>
      <c r="AL4053">
        <v>78.501820419716196</v>
      </c>
      <c r="AM4053">
        <v>90.3045071911082</v>
      </c>
      <c r="AN4053">
        <v>1.00000000081559</v>
      </c>
    </row>
    <row r="4054" spans="1:40" x14ac:dyDescent="0.25">
      <c r="A4054" t="str">
        <f>"20190304155715290"</f>
        <v>20190304155715290</v>
      </c>
      <c r="B4054" t="str">
        <f>"1551686235288960"</f>
        <v>1551686235288960</v>
      </c>
      <c r="C4054" t="s">
        <v>40</v>
      </c>
      <c r="D4054">
        <v>4.8886779999999996</v>
      </c>
      <c r="E4054">
        <v>0.48578290000000002</v>
      </c>
      <c r="F4054" t="s">
        <v>78</v>
      </c>
      <c r="G4054">
        <v>-191.08099999999999</v>
      </c>
      <c r="H4054" s="1">
        <v>-1.4507469999999999E-5</v>
      </c>
      <c r="I4054">
        <v>158.2885</v>
      </c>
      <c r="J4054">
        <v>-190.10480000000001</v>
      </c>
      <c r="K4054">
        <v>1.110649</v>
      </c>
      <c r="L4054">
        <v>190.7056</v>
      </c>
      <c r="M4054">
        <v>-6.5382969999999999E-2</v>
      </c>
      <c r="N4054">
        <v>-1.385583E-2</v>
      </c>
      <c r="O4054">
        <v>-0.99776410000000004</v>
      </c>
      <c r="P4054">
        <v>-5.8509709999999999E-2</v>
      </c>
      <c r="Q4054">
        <v>0.18538560000000001</v>
      </c>
      <c r="R4054">
        <v>-0.98092250000000003</v>
      </c>
      <c r="S4054">
        <v>-9.3002319999999999E-2</v>
      </c>
      <c r="T4054">
        <v>-0.1048248</v>
      </c>
      <c r="U4054">
        <v>-3.072937</v>
      </c>
      <c r="V4054">
        <v>-5.8275189999999998E-3</v>
      </c>
      <c r="W4054">
        <v>0.1989812</v>
      </c>
      <c r="X4054">
        <v>0.97998600000000002</v>
      </c>
      <c r="Y4054">
        <v>-3.516739E-2</v>
      </c>
      <c r="Z4054">
        <v>2.012738E-2</v>
      </c>
      <c r="AA4054">
        <v>0.99917869999999998</v>
      </c>
      <c r="AB4054">
        <v>24</v>
      </c>
      <c r="AC4054">
        <v>-0.97619999999997698</v>
      </c>
      <c r="AD4054">
        <v>-1.11066350747</v>
      </c>
      <c r="AE4054">
        <v>-32.417099999999998</v>
      </c>
      <c r="AF4054">
        <v>-1.1442768663940699</v>
      </c>
      <c r="AG4054">
        <v>-1.11066350747</v>
      </c>
      <c r="AH4054">
        <v>32.373587318489797</v>
      </c>
      <c r="AI4054">
        <v>91.963690756504604</v>
      </c>
      <c r="AJ4054">
        <v>92.024333963117698</v>
      </c>
      <c r="AK4054">
        <v>32.412838487884301</v>
      </c>
      <c r="AL4054">
        <v>78.522611511043195</v>
      </c>
      <c r="AM4054">
        <v>90.340707222551799</v>
      </c>
      <c r="AN4054">
        <v>1.0000000190635601</v>
      </c>
    </row>
    <row r="4055" spans="1:40" x14ac:dyDescent="0.25">
      <c r="A4055" t="str">
        <f>"20190304155715308"</f>
        <v>20190304155715308</v>
      </c>
      <c r="B4055" t="str">
        <f>"1551686235299231"</f>
        <v>1551686235299231</v>
      </c>
      <c r="C4055" t="s">
        <v>40</v>
      </c>
      <c r="D4055">
        <v>5.1077279999999998</v>
      </c>
      <c r="E4055">
        <v>0.48620289999999999</v>
      </c>
      <c r="F4055" t="s">
        <v>78</v>
      </c>
      <c r="G4055">
        <v>-190.9042</v>
      </c>
      <c r="H4055" s="1">
        <v>-1.4362340000000001E-5</v>
      </c>
      <c r="I4055">
        <v>157.98670000000001</v>
      </c>
      <c r="J4055">
        <v>-190.11689999999999</v>
      </c>
      <c r="K4055">
        <v>1.110708</v>
      </c>
      <c r="L4055">
        <v>190.51939999999999</v>
      </c>
      <c r="M4055">
        <v>-6.51669E-2</v>
      </c>
      <c r="N4055">
        <v>-1.3849139999999999E-2</v>
      </c>
      <c r="O4055">
        <v>-0.99777830000000001</v>
      </c>
      <c r="P4055">
        <v>-5.6954020000000001E-2</v>
      </c>
      <c r="Q4055">
        <v>0.18489800000000001</v>
      </c>
      <c r="R4055">
        <v>-0.98110620000000004</v>
      </c>
      <c r="S4055">
        <v>-7.5088500000000002E-2</v>
      </c>
      <c r="T4055">
        <v>-0.1043352</v>
      </c>
      <c r="U4055">
        <v>-3.0735929999999998</v>
      </c>
      <c r="V4055">
        <v>-7.2076989999999997E-3</v>
      </c>
      <c r="W4055">
        <v>0.19848669999999999</v>
      </c>
      <c r="X4055">
        <v>0.98007710000000003</v>
      </c>
      <c r="Y4055">
        <v>-4.0774079999999997E-2</v>
      </c>
      <c r="Z4055">
        <v>1.9965460000000001E-2</v>
      </c>
      <c r="AA4055">
        <v>0.99896890000000005</v>
      </c>
      <c r="AB4055">
        <v>24</v>
      </c>
      <c r="AC4055">
        <v>-0.78730000000001599</v>
      </c>
      <c r="AD4055">
        <v>-1.11072236234</v>
      </c>
      <c r="AE4055">
        <v>-32.532699999999899</v>
      </c>
      <c r="AF4055">
        <v>-1.3330793049948499</v>
      </c>
      <c r="AG4055">
        <v>-1.11072236234</v>
      </c>
      <c r="AH4055">
        <v>32.477010435529202</v>
      </c>
      <c r="AI4055">
        <v>91.9571206379552</v>
      </c>
      <c r="AJ4055">
        <v>92.350492369094795</v>
      </c>
      <c r="AK4055">
        <v>32.523330263505898</v>
      </c>
      <c r="AL4055">
        <v>78.551520943864901</v>
      </c>
      <c r="AM4055">
        <v>90.421357960345503</v>
      </c>
      <c r="AN4055">
        <v>1.00000002147308</v>
      </c>
    </row>
    <row r="4056" spans="1:40" x14ac:dyDescent="0.25">
      <c r="A4056" t="str">
        <f>"20190304155715320"</f>
        <v>20190304155715320</v>
      </c>
      <c r="B4056" t="str">
        <f>"1551686235308988"</f>
        <v>1551686235308988</v>
      </c>
      <c r="C4056" t="s">
        <v>40</v>
      </c>
      <c r="D4056">
        <v>4.8989419999999999</v>
      </c>
      <c r="E4056">
        <v>0.48599439999999999</v>
      </c>
      <c r="F4056" t="s">
        <v>78</v>
      </c>
      <c r="G4056">
        <v>-190.89619999999999</v>
      </c>
      <c r="H4056" s="1">
        <v>-1.4364370000000001E-5</v>
      </c>
      <c r="I4056">
        <v>157.9931</v>
      </c>
      <c r="J4056">
        <v>-190.12530000000001</v>
      </c>
      <c r="K4056">
        <v>1.110749</v>
      </c>
      <c r="L4056">
        <v>190.3878</v>
      </c>
      <c r="M4056">
        <v>-6.4967179999999999E-2</v>
      </c>
      <c r="N4056">
        <v>-1.384497E-2</v>
      </c>
      <c r="O4056">
        <v>-0.99779150000000005</v>
      </c>
      <c r="P4056">
        <v>-5.5899509999999999E-2</v>
      </c>
      <c r="Q4056">
        <v>0.18464849999999999</v>
      </c>
      <c r="R4056">
        <v>-0.98121369999999997</v>
      </c>
      <c r="S4056">
        <v>-7.3638919999999997E-2</v>
      </c>
      <c r="T4056">
        <v>-0.1049471</v>
      </c>
      <c r="U4056">
        <v>-3.0732569999999999</v>
      </c>
      <c r="V4056">
        <v>-8.0899869999999999E-3</v>
      </c>
      <c r="W4056">
        <v>0.19823250000000001</v>
      </c>
      <c r="X4056">
        <v>0.98012169999999998</v>
      </c>
      <c r="Y4056">
        <v>-4.1042290000000002E-2</v>
      </c>
      <c r="Z4056">
        <v>2.0171830000000002E-2</v>
      </c>
      <c r="AA4056">
        <v>0.9989538</v>
      </c>
      <c r="AB4056">
        <v>24</v>
      </c>
      <c r="AC4056">
        <v>-0.77089999999998304</v>
      </c>
      <c r="AD4056">
        <v>-1.1107633643699999</v>
      </c>
      <c r="AE4056">
        <v>-32.3947</v>
      </c>
      <c r="AF4056">
        <v>-1.3339552076253101</v>
      </c>
      <c r="AG4056">
        <v>-1.1107633643699999</v>
      </c>
      <c r="AH4056">
        <v>32.3383393256291</v>
      </c>
      <c r="AI4056">
        <v>91.965562576734698</v>
      </c>
      <c r="AJ4056">
        <v>92.362109471125905</v>
      </c>
      <c r="AK4056">
        <v>32.384894967980102</v>
      </c>
      <c r="AL4056">
        <v>78.566381245664502</v>
      </c>
      <c r="AM4056">
        <v>90.472912277450305</v>
      </c>
      <c r="AN4056">
        <v>1.00000005937839</v>
      </c>
    </row>
    <row r="4057" spans="1:40" x14ac:dyDescent="0.25">
      <c r="A4057" t="str">
        <f>"20190304155715333"</f>
        <v>20190304155715333</v>
      </c>
      <c r="B4057" t="str">
        <f>"1551686235328507"</f>
        <v>1551686235328507</v>
      </c>
      <c r="C4057" t="s">
        <v>40</v>
      </c>
      <c r="D4057">
        <v>4.9511459999999996</v>
      </c>
      <c r="E4057">
        <v>0.48522799999999999</v>
      </c>
      <c r="F4057" t="s">
        <v>78</v>
      </c>
      <c r="G4057">
        <v>-190.85820000000001</v>
      </c>
      <c r="H4057" s="1">
        <v>-1.419351E-5</v>
      </c>
      <c r="I4057">
        <v>157.6027</v>
      </c>
      <c r="J4057">
        <v>-190.1337</v>
      </c>
      <c r="K4057">
        <v>1.110789</v>
      </c>
      <c r="L4057">
        <v>190.25620000000001</v>
      </c>
      <c r="M4057">
        <v>-6.4748970000000003E-2</v>
      </c>
      <c r="N4057">
        <v>-1.3841010000000001E-2</v>
      </c>
      <c r="O4057">
        <v>-0.99780570000000002</v>
      </c>
      <c r="P4057">
        <v>-5.4707619999999998E-2</v>
      </c>
      <c r="Q4057">
        <v>0.18452060000000001</v>
      </c>
      <c r="R4057">
        <v>-0.98130510000000004</v>
      </c>
      <c r="S4057">
        <v>-6.8695069999999997E-2</v>
      </c>
      <c r="T4057">
        <v>-0.104116899999999</v>
      </c>
      <c r="U4057">
        <v>-3.073105</v>
      </c>
      <c r="V4057">
        <v>-9.0903800000000003E-3</v>
      </c>
      <c r="W4057">
        <v>0.19809969999999999</v>
      </c>
      <c r="X4057">
        <v>0.98013969999999995</v>
      </c>
      <c r="Y4057">
        <v>-4.2428250000000001E-2</v>
      </c>
      <c r="Z4057">
        <v>1.9908309999999999E-2</v>
      </c>
      <c r="AA4057">
        <v>0.99890109999999999</v>
      </c>
      <c r="AB4057">
        <v>24</v>
      </c>
      <c r="AC4057">
        <v>-0.72450000000000603</v>
      </c>
      <c r="AD4057">
        <v>-1.11080319351</v>
      </c>
      <c r="AE4057">
        <v>-32.653500000000001</v>
      </c>
      <c r="AF4057">
        <v>-1.3898957853644001</v>
      </c>
      <c r="AG4057">
        <v>-1.11080319351</v>
      </c>
      <c r="AH4057">
        <v>32.594181377180902</v>
      </c>
      <c r="AI4057">
        <v>91.950102466488005</v>
      </c>
      <c r="AJ4057">
        <v>92.441753182217099</v>
      </c>
      <c r="AK4057">
        <v>32.642707511440499</v>
      </c>
      <c r="AL4057">
        <v>78.574143140900802</v>
      </c>
      <c r="AM4057">
        <v>90.531378817835403</v>
      </c>
      <c r="AN4057">
        <v>0.99999997883236103</v>
      </c>
    </row>
    <row r="4058" spans="1:40" x14ac:dyDescent="0.25">
      <c r="A4058" t="str">
        <f>"20190304155715345"</f>
        <v>20190304155715345</v>
      </c>
      <c r="B4058" t="str">
        <f>"1551686235339245"</f>
        <v>1551686235339245</v>
      </c>
      <c r="C4058" t="s">
        <v>40</v>
      </c>
      <c r="D4058">
        <v>4.9241489999999999</v>
      </c>
      <c r="E4058">
        <v>0.48460490000000001</v>
      </c>
      <c r="F4058" t="s">
        <v>78</v>
      </c>
      <c r="G4058">
        <v>-190.73929999999999</v>
      </c>
      <c r="H4058" s="1">
        <v>-1.469054E-5</v>
      </c>
      <c r="I4058">
        <v>158.78579999999999</v>
      </c>
      <c r="J4058">
        <v>-190.14250000000001</v>
      </c>
      <c r="K4058">
        <v>1.1108279999999999</v>
      </c>
      <c r="L4058">
        <v>190.11590000000001</v>
      </c>
      <c r="M4058">
        <v>-6.4477240000000005E-2</v>
      </c>
      <c r="N4058">
        <v>-1.3837260000000001E-2</v>
      </c>
      <c r="O4058">
        <v>-0.99782340000000003</v>
      </c>
      <c r="P4058">
        <v>-5.3611319999999997E-2</v>
      </c>
      <c r="Q4058">
        <v>0.18455859999999999</v>
      </c>
      <c r="R4058">
        <v>-0.98135879999999998</v>
      </c>
      <c r="S4058">
        <v>-5.9158330000000002E-2</v>
      </c>
      <c r="T4058">
        <v>-0.10851180000000001</v>
      </c>
      <c r="U4058">
        <v>-3.074265</v>
      </c>
      <c r="V4058">
        <v>-9.9413829999999998E-3</v>
      </c>
      <c r="W4058">
        <v>0.198132</v>
      </c>
      <c r="X4058">
        <v>0.98012500000000002</v>
      </c>
      <c r="Y4058">
        <v>-4.5260960000000003E-2</v>
      </c>
      <c r="Z4058">
        <v>2.1320039999999998E-2</v>
      </c>
      <c r="AA4058">
        <v>0.99874759999999996</v>
      </c>
      <c r="AB4058">
        <v>24</v>
      </c>
      <c r="AC4058">
        <v>-0.59679999999997302</v>
      </c>
      <c r="AD4058">
        <v>-1.11084269054</v>
      </c>
      <c r="AE4058">
        <v>-31.330100000000002</v>
      </c>
      <c r="AF4058">
        <v>-1.4229253848460499</v>
      </c>
      <c r="AG4058">
        <v>-1.11084269054</v>
      </c>
      <c r="AH4058">
        <v>31.264089959001499</v>
      </c>
      <c r="AI4058">
        <v>92.032814636520598</v>
      </c>
      <c r="AJ4058">
        <v>92.605909714662701</v>
      </c>
      <c r="AK4058">
        <v>31.316162106786098</v>
      </c>
      <c r="AL4058">
        <v>78.572256096407699</v>
      </c>
      <c r="AM4058">
        <v>90.581129709152407</v>
      </c>
      <c r="AN4058">
        <v>1.0000000680724701</v>
      </c>
    </row>
    <row r="4059" spans="1:40" x14ac:dyDescent="0.25">
      <c r="A4059" t="str">
        <f>"20190304155715357"</f>
        <v>20190304155715357</v>
      </c>
      <c r="B4059" t="str">
        <f>"1551686235349004"</f>
        <v>1551686235349004</v>
      </c>
      <c r="C4059" t="s">
        <v>40</v>
      </c>
      <c r="D4059">
        <v>5.0709629999999999</v>
      </c>
      <c r="E4059">
        <v>0.48495820000000001</v>
      </c>
      <c r="F4059" t="s">
        <v>78</v>
      </c>
      <c r="G4059">
        <v>-190.66480000000001</v>
      </c>
      <c r="H4059" s="1">
        <v>-1.4562249999999999E-5</v>
      </c>
      <c r="I4059">
        <v>158.50219999999999</v>
      </c>
      <c r="J4059">
        <v>-190.15039999999999</v>
      </c>
      <c r="K4059">
        <v>1.110865</v>
      </c>
      <c r="L4059">
        <v>189.98949999999999</v>
      </c>
      <c r="M4059">
        <v>-6.4205869999999998E-2</v>
      </c>
      <c r="N4059">
        <v>-1.383406E-2</v>
      </c>
      <c r="O4059">
        <v>-0.99784090000000003</v>
      </c>
      <c r="P4059">
        <v>-5.2721770000000001E-2</v>
      </c>
      <c r="Q4059">
        <v>0.18412729999999999</v>
      </c>
      <c r="R4059">
        <v>-0.98148760000000002</v>
      </c>
      <c r="S4059">
        <v>-5.0796510000000003E-2</v>
      </c>
      <c r="T4059">
        <v>-0.10803310000000001</v>
      </c>
      <c r="U4059">
        <v>-3.0745390000000001</v>
      </c>
      <c r="V4059">
        <v>-1.0587289999999999E-2</v>
      </c>
      <c r="W4059">
        <v>0.19769680000000001</v>
      </c>
      <c r="X4059">
        <v>0.98020600000000002</v>
      </c>
      <c r="Y4059">
        <v>-4.7705450000000003E-2</v>
      </c>
      <c r="Z4059">
        <v>2.116372E-2</v>
      </c>
      <c r="AA4059">
        <v>0.9986372</v>
      </c>
      <c r="AB4059">
        <v>24</v>
      </c>
      <c r="AC4059">
        <v>-0.51440000000002295</v>
      </c>
      <c r="AD4059">
        <v>-1.1108795622499901</v>
      </c>
      <c r="AE4059">
        <v>-31.487300000000001</v>
      </c>
      <c r="AF4059">
        <v>-1.5066494920462501</v>
      </c>
      <c r="AG4059">
        <v>-1.1108795622499901</v>
      </c>
      <c r="AH4059">
        <v>31.416256434455001</v>
      </c>
      <c r="AI4059">
        <v>92.0228134551068</v>
      </c>
      <c r="AJ4059">
        <v>92.745666660983503</v>
      </c>
      <c r="AK4059">
        <v>31.471975064319398</v>
      </c>
      <c r="AL4059">
        <v>78.597693144413498</v>
      </c>
      <c r="AM4059">
        <v>90.618832618351803</v>
      </c>
      <c r="AN4059">
        <v>0.99999995893789095</v>
      </c>
    </row>
    <row r="4060" spans="1:40" x14ac:dyDescent="0.25">
      <c r="A4060" t="str">
        <f>"20190304155715375"</f>
        <v>20190304155715375</v>
      </c>
      <c r="B4060" t="str">
        <f>"1551686235368523"</f>
        <v>1551686235368523</v>
      </c>
      <c r="C4060" t="s">
        <v>40</v>
      </c>
      <c r="D4060">
        <v>4.8863560000000001</v>
      </c>
      <c r="E4060">
        <v>0.48419689999999999</v>
      </c>
      <c r="F4060" t="s">
        <v>78</v>
      </c>
      <c r="G4060">
        <v>-190.67619999999999</v>
      </c>
      <c r="H4060" s="1">
        <v>-1.4494009999999999E-5</v>
      </c>
      <c r="I4060">
        <v>158.3408</v>
      </c>
      <c r="J4060">
        <v>-190.16239999999999</v>
      </c>
      <c r="K4060">
        <v>1.1109169999999999</v>
      </c>
      <c r="L4060">
        <v>189.79589999999999</v>
      </c>
      <c r="M4060">
        <v>-6.3749319999999998E-2</v>
      </c>
      <c r="N4060">
        <v>-1.38294E-2</v>
      </c>
      <c r="O4060">
        <v>-0.99787020000000004</v>
      </c>
      <c r="P4060">
        <v>-5.0805179999999998E-2</v>
      </c>
      <c r="Q4060">
        <v>0.18368960000000001</v>
      </c>
      <c r="R4060">
        <v>-0.98167059999999995</v>
      </c>
      <c r="S4060">
        <v>-5.1071169999999999E-2</v>
      </c>
      <c r="T4060">
        <v>-0.1079016</v>
      </c>
      <c r="U4060">
        <v>-3.0740970000000001</v>
      </c>
      <c r="V4060">
        <v>-1.208686E-2</v>
      </c>
      <c r="W4060">
        <v>0.19725319999999999</v>
      </c>
      <c r="X4060">
        <v>0.98027810000000004</v>
      </c>
      <c r="Y4060">
        <v>-4.7157049999999999E-2</v>
      </c>
      <c r="Z4060">
        <v>2.113282E-2</v>
      </c>
      <c r="AA4060">
        <v>0.99866390000000005</v>
      </c>
      <c r="AB4060">
        <v>24</v>
      </c>
      <c r="AC4060">
        <v>-0.51380000000000303</v>
      </c>
      <c r="AD4060">
        <v>-1.1109314940099999</v>
      </c>
      <c r="AE4060">
        <v>-31.455099999999899</v>
      </c>
      <c r="AF4060">
        <v>-1.4908190555254399</v>
      </c>
      <c r="AG4060">
        <v>-1.1109314940099999</v>
      </c>
      <c r="AH4060">
        <v>31.384726172021502</v>
      </c>
      <c r="AI4060">
        <v>92.024982494120295</v>
      </c>
      <c r="AJ4060">
        <v>92.719586630911493</v>
      </c>
      <c r="AK4060">
        <v>31.439747885971801</v>
      </c>
      <c r="AL4060">
        <v>78.623620988687307</v>
      </c>
      <c r="AM4060">
        <v>90.706422977242397</v>
      </c>
      <c r="AN4060">
        <v>1.00000003521725</v>
      </c>
    </row>
    <row r="4061" spans="1:40" x14ac:dyDescent="0.25">
      <c r="A4061" t="str">
        <f>"20190304155715387"</f>
        <v>20190304155715387</v>
      </c>
      <c r="B4061" t="str">
        <f>"1551686235378284"</f>
        <v>1551686235378284</v>
      </c>
      <c r="C4061" t="s">
        <v>40</v>
      </c>
      <c r="D4061">
        <v>5.2451089999999896</v>
      </c>
      <c r="E4061">
        <v>0.48451</v>
      </c>
      <c r="F4061" t="s">
        <v>78</v>
      </c>
      <c r="G4061">
        <v>-190.55799999999999</v>
      </c>
      <c r="H4061" s="1">
        <v>-1.4799470000000001E-5</v>
      </c>
      <c r="I4061">
        <v>159.0772</v>
      </c>
      <c r="J4061">
        <v>-190.1704</v>
      </c>
      <c r="K4061">
        <v>1.110946</v>
      </c>
      <c r="L4061">
        <v>189.66560000000001</v>
      </c>
      <c r="M4061">
        <v>-6.3414559999999995E-2</v>
      </c>
      <c r="N4061">
        <v>-1.3826430000000001E-2</v>
      </c>
      <c r="O4061">
        <v>-0.9978918</v>
      </c>
      <c r="P4061">
        <v>-4.9898699999999997E-2</v>
      </c>
      <c r="Q4061">
        <v>0.18333360000000001</v>
      </c>
      <c r="R4061">
        <v>-0.98178399999999999</v>
      </c>
      <c r="S4061">
        <v>-3.9596560000000003E-2</v>
      </c>
      <c r="T4061">
        <v>-0.1111983</v>
      </c>
      <c r="U4061">
        <v>-3.0747680000000002</v>
      </c>
      <c r="V4061">
        <v>-1.268377E-2</v>
      </c>
      <c r="W4061">
        <v>0.19689329999999999</v>
      </c>
      <c r="X4061">
        <v>0.98034290000000002</v>
      </c>
      <c r="Y4061">
        <v>-5.0550110000000002E-2</v>
      </c>
      <c r="Z4061">
        <v>2.219227E-2</v>
      </c>
      <c r="AA4061">
        <v>0.998475</v>
      </c>
      <c r="AB4061">
        <v>24</v>
      </c>
      <c r="AC4061">
        <v>-0.38759999999999201</v>
      </c>
      <c r="AD4061">
        <v>-1.1109607994699999</v>
      </c>
      <c r="AE4061">
        <v>-30.5884</v>
      </c>
      <c r="AF4061">
        <v>-1.55106932836932</v>
      </c>
      <c r="AG4061">
        <v>-1.1109607994699999</v>
      </c>
      <c r="AH4061">
        <v>30.511162537809799</v>
      </c>
      <c r="AI4061">
        <v>92.082623832543504</v>
      </c>
      <c r="AJ4061">
        <v>92.910190292864499</v>
      </c>
      <c r="AK4061">
        <v>30.5707554595567</v>
      </c>
      <c r="AL4061">
        <v>78.644654116109805</v>
      </c>
      <c r="AM4061">
        <v>90.741256904524107</v>
      </c>
      <c r="AN4061">
        <v>1.0000000255933501</v>
      </c>
    </row>
    <row r="4062" spans="1:40" x14ac:dyDescent="0.25">
      <c r="A4062" t="str">
        <f>"20190304155715400"</f>
        <v>20190304155715400</v>
      </c>
      <c r="B4062" t="str">
        <f>"1551686235389020"</f>
        <v>1551686235389020</v>
      </c>
      <c r="C4062" t="s">
        <v>40</v>
      </c>
      <c r="D4062">
        <v>4.9085809999999999</v>
      </c>
      <c r="E4062">
        <v>0.48435329999999899</v>
      </c>
      <c r="F4062" t="s">
        <v>78</v>
      </c>
      <c r="G4062">
        <v>-190.55850000000001</v>
      </c>
      <c r="H4062" s="1">
        <v>-1.493141E-5</v>
      </c>
      <c r="I4062">
        <v>159.4332</v>
      </c>
      <c r="J4062">
        <v>-190.17840000000001</v>
      </c>
      <c r="K4062">
        <v>1.1109690000000001</v>
      </c>
      <c r="L4062">
        <v>189.5341</v>
      </c>
      <c r="M4062">
        <v>-6.3046140000000001E-2</v>
      </c>
      <c r="N4062">
        <v>-1.382362E-2</v>
      </c>
      <c r="O4062">
        <v>-0.99791470000000004</v>
      </c>
      <c r="P4062">
        <v>-4.9206130000000001E-2</v>
      </c>
      <c r="Q4062">
        <v>0.182916</v>
      </c>
      <c r="R4062">
        <v>-0.98189630000000006</v>
      </c>
      <c r="S4062">
        <v>-3.9474490000000001E-2</v>
      </c>
      <c r="T4062">
        <v>-0.1129891</v>
      </c>
      <c r="U4062">
        <v>-3.0747529999999998</v>
      </c>
      <c r="V4062">
        <v>-1.303034E-2</v>
      </c>
      <c r="W4062">
        <v>0.19647290000000001</v>
      </c>
      <c r="X4062">
        <v>0.98042269999999998</v>
      </c>
      <c r="Y4062">
        <v>-5.0221080000000001E-2</v>
      </c>
      <c r="Z4062">
        <v>2.277614E-2</v>
      </c>
      <c r="AA4062">
        <v>0.99847839999999999</v>
      </c>
      <c r="AB4062">
        <v>24</v>
      </c>
      <c r="AC4062">
        <v>-0.380099999999998</v>
      </c>
      <c r="AD4062">
        <v>-1.1109839314100001</v>
      </c>
      <c r="AE4062">
        <v>-30.100899999999999</v>
      </c>
      <c r="AF4062">
        <v>-1.5165179943912399</v>
      </c>
      <c r="AG4062">
        <v>-1.1109839314100001</v>
      </c>
      <c r="AH4062">
        <v>30.024078564814399</v>
      </c>
      <c r="AI4062">
        <v>92.116458866636094</v>
      </c>
      <c r="AJ4062">
        <v>92.891555859560896</v>
      </c>
      <c r="AK4062">
        <v>30.082875623671899</v>
      </c>
      <c r="AL4062">
        <v>78.669221181617402</v>
      </c>
      <c r="AM4062">
        <v>90.761446602445901</v>
      </c>
      <c r="AN4062">
        <v>1.0000000304351</v>
      </c>
    </row>
    <row r="4063" spans="1:40" x14ac:dyDescent="0.25">
      <c r="A4063" t="str">
        <f>"20190304155715415"</f>
        <v>20190304155715415</v>
      </c>
      <c r="B4063" t="str">
        <f>"1551686235409047"</f>
        <v>1551686235409047</v>
      </c>
      <c r="C4063" t="s">
        <v>40</v>
      </c>
      <c r="D4063">
        <v>5.079491</v>
      </c>
      <c r="E4063">
        <v>0.48438429999999999</v>
      </c>
      <c r="F4063" t="s">
        <v>41</v>
      </c>
      <c r="G4063">
        <v>-190.52940000000001</v>
      </c>
      <c r="H4063" s="1">
        <v>-3.0761990000000001E-7</v>
      </c>
      <c r="I4063">
        <v>159.9444</v>
      </c>
      <c r="J4063">
        <v>-190.18790000000001</v>
      </c>
      <c r="K4063">
        <v>1.1109899999999999</v>
      </c>
      <c r="L4063">
        <v>189.375</v>
      </c>
      <c r="M4063">
        <v>-6.2579590000000004E-2</v>
      </c>
      <c r="N4063">
        <v>-1.382034E-2</v>
      </c>
      <c r="O4063">
        <v>-0.99794450000000001</v>
      </c>
      <c r="P4063">
        <v>-4.8148999999999997E-2</v>
      </c>
      <c r="Q4063">
        <v>0.182334</v>
      </c>
      <c r="R4063">
        <v>-0.98205719999999996</v>
      </c>
      <c r="S4063">
        <v>-3.6483759999999997E-2</v>
      </c>
      <c r="T4063">
        <v>-0.11545320000000001</v>
      </c>
      <c r="U4063">
        <v>-3.0749970000000002</v>
      </c>
      <c r="V4063">
        <v>-1.3647670000000001E-2</v>
      </c>
      <c r="W4063">
        <v>0.19588749999999999</v>
      </c>
      <c r="X4063">
        <v>0.98053140000000005</v>
      </c>
      <c r="Y4063">
        <v>-5.0725850000000003E-2</v>
      </c>
      <c r="Z4063">
        <v>2.3574560000000001E-2</v>
      </c>
      <c r="AA4063">
        <v>0.99843440000000006</v>
      </c>
      <c r="AB4063">
        <v>24</v>
      </c>
      <c r="AC4063">
        <v>-0.34149999999999597</v>
      </c>
      <c r="AD4063">
        <v>-1.1109903076198999</v>
      </c>
      <c r="AE4063">
        <v>-29.430599999999998</v>
      </c>
      <c r="AF4063">
        <v>-1.4989641008085599</v>
      </c>
      <c r="AG4063">
        <v>-1.1109903076198999</v>
      </c>
      <c r="AH4063">
        <v>29.352454962269899</v>
      </c>
      <c r="AI4063">
        <v>92.164792036751905</v>
      </c>
      <c r="AJ4063">
        <v>92.923427482967995</v>
      </c>
      <c r="AK4063">
        <v>29.4116950404294</v>
      </c>
      <c r="AL4063">
        <v>78.703426459025394</v>
      </c>
      <c r="AM4063">
        <v>90.797428212307395</v>
      </c>
      <c r="AN4063">
        <v>0.99999999896931901</v>
      </c>
    </row>
    <row r="4064" spans="1:40" x14ac:dyDescent="0.25">
      <c r="A4064" t="str">
        <f>"20190304155715433"</f>
        <v>20190304155715433</v>
      </c>
      <c r="B4064" t="str">
        <f>"1551686235428567"</f>
        <v>1551686235428567</v>
      </c>
      <c r="C4064" t="s">
        <v>40</v>
      </c>
      <c r="D4064">
        <v>4.8568230000000003</v>
      </c>
      <c r="E4064">
        <v>0.48432249999999999</v>
      </c>
      <c r="F4064" t="s">
        <v>41</v>
      </c>
      <c r="G4064">
        <v>-190.50829999999999</v>
      </c>
      <c r="H4064" s="1">
        <v>-4.2187800000000001E-7</v>
      </c>
      <c r="I4064">
        <v>160.19799999999901</v>
      </c>
      <c r="J4064">
        <v>-190.1996</v>
      </c>
      <c r="K4064">
        <v>1.1110100000000001</v>
      </c>
      <c r="L4064">
        <v>189.1782</v>
      </c>
      <c r="M4064">
        <v>-6.196364E-2</v>
      </c>
      <c r="N4064">
        <v>-1.381655E-2</v>
      </c>
      <c r="O4064">
        <v>-0.99798299999999995</v>
      </c>
      <c r="P4064">
        <v>-4.687231E-2</v>
      </c>
      <c r="Q4064">
        <v>0.1808661</v>
      </c>
      <c r="R4064">
        <v>-0.9823906</v>
      </c>
      <c r="S4064">
        <v>-3.3767699999999998E-2</v>
      </c>
      <c r="T4064">
        <v>-0.11708490000000001</v>
      </c>
      <c r="U4064">
        <v>-3.0749050000000002</v>
      </c>
      <c r="V4064">
        <v>-1.434533E-2</v>
      </c>
      <c r="W4064">
        <v>0.19441810000000001</v>
      </c>
      <c r="X4064">
        <v>0.98081390000000002</v>
      </c>
      <c r="Y4064">
        <v>-5.099074E-2</v>
      </c>
      <c r="Z4064">
        <v>2.4108959999999999E-2</v>
      </c>
      <c r="AA4064">
        <v>0.99840810000000002</v>
      </c>
      <c r="AB4064">
        <v>24</v>
      </c>
      <c r="AC4064">
        <v>-0.30869999999998698</v>
      </c>
      <c r="AD4064">
        <v>-1.1110104218779999</v>
      </c>
      <c r="AE4064">
        <v>-28.9802</v>
      </c>
      <c r="AF4064">
        <v>-1.4855998379770099</v>
      </c>
      <c r="AG4064">
        <v>-1.1110104218779999</v>
      </c>
      <c r="AH4064">
        <v>28.9011595560277</v>
      </c>
      <c r="AI4064">
        <v>92.198564794590197</v>
      </c>
      <c r="AJ4064">
        <v>92.942572291808702</v>
      </c>
      <c r="AK4064">
        <v>28.960634915676302</v>
      </c>
      <c r="AL4064">
        <v>78.789267899315007</v>
      </c>
      <c r="AM4064">
        <v>90.837945163557293</v>
      </c>
      <c r="AN4064">
        <v>1.0000000462668099</v>
      </c>
    </row>
    <row r="4065" spans="1:40" x14ac:dyDescent="0.25">
      <c r="A4065" t="str">
        <f>"20190304155715453"</f>
        <v>20190304155715453</v>
      </c>
      <c r="B4065" t="str">
        <f>"1551686235449063"</f>
        <v>1551686235449063</v>
      </c>
      <c r="C4065" t="s">
        <v>40</v>
      </c>
      <c r="D4065">
        <v>5.0416600000000003</v>
      </c>
      <c r="E4065">
        <v>0.48429949999999999</v>
      </c>
      <c r="F4065" t="s">
        <v>41</v>
      </c>
      <c r="G4065">
        <v>-190.47909999999999</v>
      </c>
      <c r="H4065" s="1">
        <v>-5.2868349999999998E-7</v>
      </c>
      <c r="I4065">
        <v>160.44040000000001</v>
      </c>
      <c r="J4065">
        <v>-190.21209999999999</v>
      </c>
      <c r="K4065">
        <v>1.111024</v>
      </c>
      <c r="L4065">
        <v>188.9623</v>
      </c>
      <c r="M4065">
        <v>-6.1252210000000001E-2</v>
      </c>
      <c r="N4065">
        <v>-1.3812639999999999E-2</v>
      </c>
      <c r="O4065">
        <v>-0.99802670000000004</v>
      </c>
      <c r="P4065">
        <v>-4.5614099999999998E-2</v>
      </c>
      <c r="Q4065">
        <v>0.17926800000000001</v>
      </c>
      <c r="R4065">
        <v>-0.98274220000000001</v>
      </c>
      <c r="S4065">
        <v>-2.990723E-2</v>
      </c>
      <c r="T4065">
        <v>-0.1188509</v>
      </c>
      <c r="U4065">
        <v>-3.074249</v>
      </c>
      <c r="V4065">
        <v>-1.492772E-2</v>
      </c>
      <c r="W4065">
        <v>0.1928192</v>
      </c>
      <c r="X4065">
        <v>0.98112080000000002</v>
      </c>
      <c r="Y4065">
        <v>-5.152984E-2</v>
      </c>
      <c r="Z4065">
        <v>2.4694049999999999E-2</v>
      </c>
      <c r="AA4065">
        <v>0.99836610000000003</v>
      </c>
      <c r="AB4065">
        <v>24</v>
      </c>
      <c r="AC4065">
        <v>-0.26699999999999502</v>
      </c>
      <c r="AD4065">
        <v>-1.1110245286835001</v>
      </c>
      <c r="AE4065">
        <v>-28.521899999999899</v>
      </c>
      <c r="AF4065">
        <v>-1.4784544386023399</v>
      </c>
      <c r="AG4065">
        <v>-1.1110245286835001</v>
      </c>
      <c r="AH4065">
        <v>28.441538236145401</v>
      </c>
      <c r="AI4065">
        <v>92.234020022449698</v>
      </c>
      <c r="AJ4065">
        <v>92.975683778427594</v>
      </c>
      <c r="AK4065">
        <v>28.501601714087599</v>
      </c>
      <c r="AL4065">
        <v>78.882645187296205</v>
      </c>
      <c r="AM4065">
        <v>90.871686100218099</v>
      </c>
      <c r="AN4065">
        <v>1.0000000524528301</v>
      </c>
    </row>
    <row r="4066" spans="1:40" x14ac:dyDescent="0.25">
      <c r="A4066" t="str">
        <f>"20190304155715465"</f>
        <v>20190304155715465</v>
      </c>
      <c r="B4066" t="str">
        <f>"1551686235458823"</f>
        <v>1551686235458823</v>
      </c>
      <c r="C4066" t="s">
        <v>40</v>
      </c>
      <c r="D4066">
        <v>4.8330659999999996</v>
      </c>
      <c r="E4066">
        <v>0.48435089999999997</v>
      </c>
      <c r="F4066" t="s">
        <v>41</v>
      </c>
      <c r="G4066">
        <v>-190.45509999999999</v>
      </c>
      <c r="H4066" s="1">
        <v>-7.6211799999999899E-7</v>
      </c>
      <c r="I4066">
        <v>160.9477</v>
      </c>
      <c r="J4066">
        <v>-190.21960000000001</v>
      </c>
      <c r="K4066">
        <v>1.111027</v>
      </c>
      <c r="L4066">
        <v>188.8331</v>
      </c>
      <c r="M4066">
        <v>-6.081611E-2</v>
      </c>
      <c r="N4066">
        <v>-1.3810350000000001E-2</v>
      </c>
      <c r="O4066">
        <v>-0.99805339999999998</v>
      </c>
      <c r="P4066">
        <v>-4.498427E-2</v>
      </c>
      <c r="Q4066">
        <v>0.17816319999999999</v>
      </c>
      <c r="R4066">
        <v>-0.98297219999999996</v>
      </c>
      <c r="S4066">
        <v>-2.66571E-2</v>
      </c>
      <c r="T4066">
        <v>-0.1218987</v>
      </c>
      <c r="U4066">
        <v>-3.0736849999999998</v>
      </c>
      <c r="V4066">
        <v>-1.5141119999999999E-2</v>
      </c>
      <c r="W4066">
        <v>0.19171389999999999</v>
      </c>
      <c r="X4066">
        <v>0.98133400000000004</v>
      </c>
      <c r="Y4066">
        <v>-5.2146890000000001E-2</v>
      </c>
      <c r="Z4066">
        <v>2.5690319999999999E-2</v>
      </c>
      <c r="AA4066">
        <v>0.99830890000000005</v>
      </c>
      <c r="AB4066">
        <v>24</v>
      </c>
      <c r="AC4066">
        <v>-0.23549999999997301</v>
      </c>
      <c r="AD4066">
        <v>-1.111027762118</v>
      </c>
      <c r="AE4066">
        <v>-27.885400000000001</v>
      </c>
      <c r="AF4066">
        <v>-1.4586640008302201</v>
      </c>
      <c r="AG4066">
        <v>-1.111027762118</v>
      </c>
      <c r="AH4066">
        <v>27.803963621028998</v>
      </c>
      <c r="AI4066">
        <v>92.285144339214796</v>
      </c>
      <c r="AJ4066">
        <v>93.003123708948294</v>
      </c>
      <c r="AK4066">
        <v>27.864358531913499</v>
      </c>
      <c r="AL4066">
        <v>78.947177033787199</v>
      </c>
      <c r="AM4066">
        <v>90.883953315385895</v>
      </c>
      <c r="AN4066">
        <v>0.99999994626203004</v>
      </c>
    </row>
    <row r="4067" spans="1:40" x14ac:dyDescent="0.25">
      <c r="A4067" t="str">
        <f>"20190304155715478"</f>
        <v>20190304155715478</v>
      </c>
      <c r="B4067" t="str">
        <f>"1551686235468583"</f>
        <v>1551686235468583</v>
      </c>
      <c r="C4067" t="s">
        <v>40</v>
      </c>
      <c r="D4067">
        <v>4.95235</v>
      </c>
      <c r="E4067">
        <v>0.4845431</v>
      </c>
      <c r="F4067" t="s">
        <v>41</v>
      </c>
      <c r="G4067">
        <v>-190.4487</v>
      </c>
      <c r="H4067" s="1">
        <v>-9.046019E-7</v>
      </c>
      <c r="I4067">
        <v>161.2527</v>
      </c>
      <c r="J4067">
        <v>-190.22710000000001</v>
      </c>
      <c r="K4067">
        <v>1.111024</v>
      </c>
      <c r="L4067">
        <v>188.70169999999999</v>
      </c>
      <c r="M4067">
        <v>-6.036909E-2</v>
      </c>
      <c r="N4067">
        <v>-1.3807369999999999E-2</v>
      </c>
      <c r="O4067">
        <v>-0.99808079999999999</v>
      </c>
      <c r="P4067">
        <v>-4.4200330000000003E-2</v>
      </c>
      <c r="Q4067">
        <v>0.1774242</v>
      </c>
      <c r="R4067">
        <v>-0.98314159999999995</v>
      </c>
      <c r="S4067">
        <v>-2.5527950000000001E-2</v>
      </c>
      <c r="T4067">
        <v>-0.12379999999999999</v>
      </c>
      <c r="U4067">
        <v>-3.073242</v>
      </c>
      <c r="V4067">
        <v>-1.5493410000000001E-2</v>
      </c>
      <c r="W4067">
        <v>0.190973</v>
      </c>
      <c r="X4067">
        <v>0.98147300000000004</v>
      </c>
      <c r="Y4067">
        <v>-5.2065069999999998E-2</v>
      </c>
      <c r="Z4067">
        <v>2.6315930000000001E-2</v>
      </c>
      <c r="AA4067">
        <v>0.99829690000000004</v>
      </c>
      <c r="AB4067">
        <v>24</v>
      </c>
      <c r="AC4067">
        <v>-0.221599999999995</v>
      </c>
      <c r="AD4067">
        <v>-1.1110249046018901</v>
      </c>
      <c r="AE4067">
        <v>-27.448999999999899</v>
      </c>
      <c r="AF4067">
        <v>-1.43368442566038</v>
      </c>
      <c r="AG4067">
        <v>-1.1110249046018901</v>
      </c>
      <c r="AH4067">
        <v>27.367472610435801</v>
      </c>
      <c r="AI4067">
        <v>92.321554392232102</v>
      </c>
      <c r="AJ4067">
        <v>92.998780621113497</v>
      </c>
      <c r="AK4067">
        <v>27.427511452080001</v>
      </c>
      <c r="AL4067">
        <v>78.990427096090798</v>
      </c>
      <c r="AM4067">
        <v>90.904388890216794</v>
      </c>
      <c r="AN4067">
        <v>0.99999999110571403</v>
      </c>
    </row>
    <row r="4068" spans="1:40" x14ac:dyDescent="0.25">
      <c r="A4068" t="str">
        <f>"20190304155715490"</f>
        <v>20190304155715490</v>
      </c>
      <c r="B4068" t="str">
        <f>"1551686235478343"</f>
        <v>1551686235478343</v>
      </c>
      <c r="C4068" t="s">
        <v>40</v>
      </c>
      <c r="D4068">
        <v>4.8637800000000002</v>
      </c>
      <c r="E4068">
        <v>0.48458279999999898</v>
      </c>
      <c r="F4068" t="s">
        <v>41</v>
      </c>
      <c r="G4068">
        <v>-190.45189999999999</v>
      </c>
      <c r="H4068" s="1">
        <v>-1.0341200000000001E-6</v>
      </c>
      <c r="I4068">
        <v>161.5249</v>
      </c>
      <c r="J4068">
        <v>-190.2345</v>
      </c>
      <c r="K4068">
        <v>1.11102099999999</v>
      </c>
      <c r="L4068">
        <v>188.5728</v>
      </c>
      <c r="M4068">
        <v>-5.9929049999999998E-2</v>
      </c>
      <c r="N4068">
        <v>-1.38041E-2</v>
      </c>
      <c r="O4068">
        <v>-0.99810730000000003</v>
      </c>
      <c r="P4068">
        <v>-4.3431350000000001E-2</v>
      </c>
      <c r="Q4068">
        <v>0.176868</v>
      </c>
      <c r="R4068">
        <v>-0.98327589999999998</v>
      </c>
      <c r="S4068">
        <v>-2.5421139999999998E-2</v>
      </c>
      <c r="T4068">
        <v>-0.1256266</v>
      </c>
      <c r="U4068">
        <v>-3.0729519999999999</v>
      </c>
      <c r="V4068">
        <v>-1.5834460000000002E-2</v>
      </c>
      <c r="W4068">
        <v>0.190415</v>
      </c>
      <c r="X4068">
        <v>0.981576</v>
      </c>
      <c r="Y4068">
        <v>-5.1658780000000001E-2</v>
      </c>
      <c r="Z4068">
        <v>2.6916160000000001E-2</v>
      </c>
      <c r="AA4068">
        <v>0.99830200000000002</v>
      </c>
      <c r="AB4068">
        <v>24</v>
      </c>
      <c r="AC4068">
        <v>-0.21739999999999701</v>
      </c>
      <c r="AD4068">
        <v>-1.1110220341199999</v>
      </c>
      <c r="AE4068">
        <v>-27.047899999999998</v>
      </c>
      <c r="AF4068">
        <v>-1.4017351313627999</v>
      </c>
      <c r="AG4068">
        <v>-1.1110220341199999</v>
      </c>
      <c r="AH4068">
        <v>26.966809034396402</v>
      </c>
      <c r="AI4068">
        <v>92.3560523602562</v>
      </c>
      <c r="AJ4068">
        <v>92.975557484359797</v>
      </c>
      <c r="AK4068">
        <v>27.026061881754099</v>
      </c>
      <c r="AL4068">
        <v>79.022996147889998</v>
      </c>
      <c r="AM4068">
        <v>90.924196438409396</v>
      </c>
      <c r="AN4068">
        <v>1.0000000230622399</v>
      </c>
    </row>
    <row r="4069" spans="1:40" x14ac:dyDescent="0.25">
      <c r="A4069" t="str">
        <f>"20190304155715503"</f>
        <v>20190304155715503</v>
      </c>
      <c r="B4069" t="str">
        <f>"1551686235498370"</f>
        <v>1551686235498370</v>
      </c>
      <c r="C4069" t="s">
        <v>40</v>
      </c>
      <c r="D4069">
        <v>4.8494539999999997</v>
      </c>
      <c r="E4069">
        <v>0.48454819999999998</v>
      </c>
      <c r="F4069" t="s">
        <v>41</v>
      </c>
      <c r="G4069">
        <v>-190.44390000000001</v>
      </c>
      <c r="H4069" s="1">
        <v>-9.772491999999999E-7</v>
      </c>
      <c r="I4069">
        <v>161.4091</v>
      </c>
      <c r="J4069">
        <v>-190.24250000000001</v>
      </c>
      <c r="K4069">
        <v>1.1110150000000001</v>
      </c>
      <c r="L4069">
        <v>188.4297</v>
      </c>
      <c r="M4069">
        <v>-5.9440890000000003E-2</v>
      </c>
      <c r="N4069">
        <v>-1.3799489999999999E-2</v>
      </c>
      <c r="O4069">
        <v>-0.99813660000000004</v>
      </c>
      <c r="P4069">
        <v>-4.2973190000000001E-2</v>
      </c>
      <c r="Q4069">
        <v>0.17644089999999901</v>
      </c>
      <c r="R4069">
        <v>-0.98337269999999999</v>
      </c>
      <c r="S4069">
        <v>-2.36969E-2</v>
      </c>
      <c r="T4069">
        <v>-0.12567229999999999</v>
      </c>
      <c r="U4069">
        <v>-3.0726010000000001</v>
      </c>
      <c r="V4069">
        <v>-1.581428E-2</v>
      </c>
      <c r="W4069">
        <v>0.1899844</v>
      </c>
      <c r="X4069">
        <v>0.98165979999999997</v>
      </c>
      <c r="Y4069">
        <v>-5.1729549999999999E-2</v>
      </c>
      <c r="Z4069">
        <v>2.6941779999999999E-2</v>
      </c>
      <c r="AA4069">
        <v>0.99829760000000001</v>
      </c>
      <c r="AB4069">
        <v>24</v>
      </c>
      <c r="AC4069">
        <v>-0.20140000000000599</v>
      </c>
      <c r="AD4069">
        <v>-1.1110159772492001</v>
      </c>
      <c r="AE4069">
        <v>-27.020600000000002</v>
      </c>
      <c r="AF4069">
        <v>-1.4028657746504101</v>
      </c>
      <c r="AG4069">
        <v>-1.1110159772492001</v>
      </c>
      <c r="AH4069">
        <v>26.939244366836199</v>
      </c>
      <c r="AI4069">
        <v>92.3584359156484</v>
      </c>
      <c r="AJ4069">
        <v>92.980994855139002</v>
      </c>
      <c r="AK4069">
        <v>26.99861618564</v>
      </c>
      <c r="AL4069">
        <v>79.048126899590699</v>
      </c>
      <c r="AM4069">
        <v>90.922940032995797</v>
      </c>
      <c r="AN4069">
        <v>1.0000000633156501</v>
      </c>
    </row>
    <row r="4070" spans="1:40" x14ac:dyDescent="0.25">
      <c r="A4070" t="str">
        <f>"20190304155715521"</f>
        <v>20190304155715521</v>
      </c>
      <c r="B4070" t="str">
        <f>"1551686235518866"</f>
        <v>1551686235518866</v>
      </c>
      <c r="C4070" t="s">
        <v>40</v>
      </c>
      <c r="D4070">
        <v>4.8728600000000002</v>
      </c>
      <c r="E4070">
        <v>0.48429529999999898</v>
      </c>
      <c r="F4070" t="s">
        <v>41</v>
      </c>
      <c r="G4070">
        <v>-190.43979999999999</v>
      </c>
      <c r="H4070" s="1">
        <v>-8.4116779999999997E-7</v>
      </c>
      <c r="I4070">
        <v>161.12350000000001</v>
      </c>
      <c r="J4070">
        <v>-190.25319999999999</v>
      </c>
      <c r="K4070">
        <v>1.1110040000000001</v>
      </c>
      <c r="L4070">
        <v>188.23759999999999</v>
      </c>
      <c r="M4070">
        <v>-5.8788239999999999E-2</v>
      </c>
      <c r="N4070">
        <v>-1.37902999999999E-2</v>
      </c>
      <c r="O4070">
        <v>-0.99817529999999999</v>
      </c>
      <c r="P4070">
        <v>-4.1893960000000001E-2</v>
      </c>
      <c r="Q4070">
        <v>0.17629839999999999</v>
      </c>
      <c r="R4070">
        <v>-0.98344500000000001</v>
      </c>
      <c r="S4070">
        <v>-2.2201539999999999E-2</v>
      </c>
      <c r="T4070">
        <v>-0.1249992</v>
      </c>
      <c r="U4070">
        <v>-3.0721889999999998</v>
      </c>
      <c r="V4070">
        <v>-1.624915E-2</v>
      </c>
      <c r="W4070">
        <v>0.18983269999999999</v>
      </c>
      <c r="X4070">
        <v>0.98168200000000005</v>
      </c>
      <c r="Y4070">
        <v>-5.1561540000000003E-2</v>
      </c>
      <c r="Z4070">
        <v>2.674085E-2</v>
      </c>
      <c r="AA4070">
        <v>0.99831179999999997</v>
      </c>
      <c r="AB4070">
        <v>24</v>
      </c>
      <c r="AC4070">
        <v>-0.18659999999999799</v>
      </c>
      <c r="AD4070">
        <v>-1.1110048411678</v>
      </c>
      <c r="AE4070">
        <v>-27.114099999999901</v>
      </c>
      <c r="AF4070">
        <v>-1.4055047891525301</v>
      </c>
      <c r="AG4070">
        <v>-1.1110048411678</v>
      </c>
      <c r="AH4070">
        <v>27.032782582619699</v>
      </c>
      <c r="AI4070">
        <v>92.350271004298804</v>
      </c>
      <c r="AJ4070">
        <v>92.976276913088398</v>
      </c>
      <c r="AK4070">
        <v>27.092085737879501</v>
      </c>
      <c r="AL4070">
        <v>79.056979284336506</v>
      </c>
      <c r="AM4070">
        <v>90.948293544819805</v>
      </c>
      <c r="AN4070">
        <v>1.0000000189945</v>
      </c>
    </row>
    <row r="4071" spans="1:40" x14ac:dyDescent="0.25">
      <c r="A4071" t="str">
        <f>"20190304155715534"</f>
        <v>20190304155715534</v>
      </c>
      <c r="B4071" t="str">
        <f>"1551686235528627"</f>
        <v>1551686235528627</v>
      </c>
      <c r="C4071" t="s">
        <v>40</v>
      </c>
      <c r="D4071">
        <v>4.7875500000000004</v>
      </c>
      <c r="E4071">
        <v>0.48416880000000001</v>
      </c>
      <c r="F4071" t="s">
        <v>41</v>
      </c>
      <c r="G4071">
        <v>-190.40520000000001</v>
      </c>
      <c r="H4071" s="1">
        <v>-7.6520659999999895E-7</v>
      </c>
      <c r="I4071">
        <v>160.98230000000001</v>
      </c>
      <c r="J4071">
        <v>-190.26060000000001</v>
      </c>
      <c r="K4071">
        <v>1.1109960000000001</v>
      </c>
      <c r="L4071">
        <v>188.10249999999999</v>
      </c>
      <c r="M4071">
        <v>-5.8332009999999997E-2</v>
      </c>
      <c r="N4071">
        <v>-1.378188E-2</v>
      </c>
      <c r="O4071">
        <v>-0.99820220000000004</v>
      </c>
      <c r="P4071">
        <v>-4.1329129999999999E-2</v>
      </c>
      <c r="Q4071">
        <v>0.17617739999999901</v>
      </c>
      <c r="R4071">
        <v>-0.98349070000000005</v>
      </c>
      <c r="S4071">
        <v>-1.7135620000000001E-2</v>
      </c>
      <c r="T4071">
        <v>-0.12523199999999901</v>
      </c>
      <c r="U4071">
        <v>-3.0722049999999999</v>
      </c>
      <c r="V4071">
        <v>-1.636284E-2</v>
      </c>
      <c r="W4071">
        <v>0.1897044</v>
      </c>
      <c r="X4071">
        <v>0.98170489999999999</v>
      </c>
      <c r="Y4071">
        <v>-5.2750739999999997E-2</v>
      </c>
      <c r="Z4071">
        <v>2.682435E-2</v>
      </c>
      <c r="AA4071">
        <v>0.99824740000000001</v>
      </c>
      <c r="AB4071">
        <v>24</v>
      </c>
      <c r="AC4071">
        <v>-0.14459999999999601</v>
      </c>
      <c r="AD4071">
        <v>-1.1109967652066</v>
      </c>
      <c r="AE4071">
        <v>-27.120199999999901</v>
      </c>
      <c r="AF4071">
        <v>-1.43536341389694</v>
      </c>
      <c r="AG4071">
        <v>-1.1109967652066</v>
      </c>
      <c r="AH4071">
        <v>27.037075685331299</v>
      </c>
      <c r="AI4071">
        <v>92.349746368877206</v>
      </c>
      <c r="AJ4071">
        <v>93.038906083794402</v>
      </c>
      <c r="AK4071">
        <v>27.097934304234101</v>
      </c>
      <c r="AL4071">
        <v>79.064466241302696</v>
      </c>
      <c r="AM4071">
        <v>90.954904949715896</v>
      </c>
      <c r="AN4071">
        <v>1.00000000629811</v>
      </c>
    </row>
    <row r="4072" spans="1:40" x14ac:dyDescent="0.25">
      <c r="A4072" t="str">
        <f>"20190304155715546"</f>
        <v>20190304155715546</v>
      </c>
      <c r="B4072" t="str">
        <f>"1551686235538387"</f>
        <v>1551686235538387</v>
      </c>
      <c r="C4072" t="s">
        <v>40</v>
      </c>
      <c r="D4072">
        <v>5.0324330000000002</v>
      </c>
      <c r="E4072">
        <v>0.48434949999999999</v>
      </c>
      <c r="F4072" t="s">
        <v>41</v>
      </c>
      <c r="G4072">
        <v>-190.3871</v>
      </c>
      <c r="H4072" s="1">
        <v>-6.5143739999999995E-7</v>
      </c>
      <c r="I4072">
        <v>160.7518</v>
      </c>
      <c r="J4072">
        <v>-190.26750000000001</v>
      </c>
      <c r="K4072">
        <v>1.1109830000000001</v>
      </c>
      <c r="L4072">
        <v>187.97640000000001</v>
      </c>
      <c r="M4072">
        <v>-5.7908929999999997E-2</v>
      </c>
      <c r="N4072">
        <v>-1.3772589999999999E-2</v>
      </c>
      <c r="O4072">
        <v>-0.99822699999999998</v>
      </c>
      <c r="P4072">
        <v>-4.0580400000000003E-2</v>
      </c>
      <c r="Q4072">
        <v>0.17556189999999999</v>
      </c>
      <c r="R4072">
        <v>-0.9836319</v>
      </c>
      <c r="S4072">
        <v>-1.420593E-2</v>
      </c>
      <c r="T4072">
        <v>-0.1247911</v>
      </c>
      <c r="U4072">
        <v>-3.0721280000000002</v>
      </c>
      <c r="V4072">
        <v>-1.6697710000000001E-2</v>
      </c>
      <c r="W4072">
        <v>0.18908069999999999</v>
      </c>
      <c r="X4072">
        <v>0.98181960000000001</v>
      </c>
      <c r="Y4072">
        <v>-5.3279130000000001E-2</v>
      </c>
      <c r="Z4072">
        <v>2.6692520000000001E-2</v>
      </c>
      <c r="AA4072">
        <v>0.99822279999999997</v>
      </c>
      <c r="AB4072">
        <v>24</v>
      </c>
      <c r="AC4072">
        <v>-0.11959999999999101</v>
      </c>
      <c r="AD4072">
        <v>-1.1109836514373901</v>
      </c>
      <c r="AE4072">
        <v>-27.224599999999999</v>
      </c>
      <c r="AF4072">
        <v>-1.4548747727457501</v>
      </c>
      <c r="AG4072">
        <v>-1.1109836514373901</v>
      </c>
      <c r="AH4072">
        <v>27.1406350689664</v>
      </c>
      <c r="AI4072">
        <v>92.340698713368894</v>
      </c>
      <c r="AJ4072">
        <v>93.068405662306205</v>
      </c>
      <c r="AK4072">
        <v>27.202298013677801</v>
      </c>
      <c r="AL4072">
        <v>79.100860514031496</v>
      </c>
      <c r="AM4072">
        <v>90.974329794171894</v>
      </c>
      <c r="AN4072">
        <v>1.00000002578794</v>
      </c>
    </row>
    <row r="4073" spans="1:40" x14ac:dyDescent="0.25">
      <c r="A4073" t="str">
        <f>"20190304155715558"</f>
        <v>20190304155715558</v>
      </c>
      <c r="B4073" t="str">
        <f>"1551686235548146"</f>
        <v>1551686235548146</v>
      </c>
      <c r="C4073" t="s">
        <v>40</v>
      </c>
      <c r="D4073">
        <v>5.444572</v>
      </c>
      <c r="E4073">
        <v>0.4847958</v>
      </c>
      <c r="F4073" t="s">
        <v>41</v>
      </c>
      <c r="G4073">
        <v>-190.38339999999999</v>
      </c>
      <c r="H4073" s="1">
        <v>-7.8426800000000002E-7</v>
      </c>
      <c r="I4073">
        <v>161.03489999999999</v>
      </c>
      <c r="J4073">
        <v>-190.27440000000001</v>
      </c>
      <c r="K4073">
        <v>1.1109739999999999</v>
      </c>
      <c r="L4073">
        <v>187.84889999999999</v>
      </c>
      <c r="M4073">
        <v>-5.7485099999999997E-2</v>
      </c>
      <c r="N4073">
        <v>-1.376313E-2</v>
      </c>
      <c r="O4073">
        <v>-0.99825149999999996</v>
      </c>
      <c r="P4073">
        <v>-4.010528E-2</v>
      </c>
      <c r="Q4073">
        <v>0.17481259999999901</v>
      </c>
      <c r="R4073">
        <v>-0.98378460000000001</v>
      </c>
      <c r="S4073">
        <v>-1.3214109999999999E-2</v>
      </c>
      <c r="T4073">
        <v>-0.12668009999999999</v>
      </c>
      <c r="U4073">
        <v>-3.072006</v>
      </c>
      <c r="V4073">
        <v>-1.675919E-2</v>
      </c>
      <c r="W4073">
        <v>0.18832450000000001</v>
      </c>
      <c r="X4073">
        <v>0.9819639</v>
      </c>
      <c r="Y4073">
        <v>-5.3177160000000001E-2</v>
      </c>
      <c r="Z4073">
        <v>2.7316770000000001E-2</v>
      </c>
      <c r="AA4073">
        <v>0.99821139999999997</v>
      </c>
      <c r="AB4073">
        <v>24</v>
      </c>
      <c r="AC4073">
        <v>-0.10899999999998</v>
      </c>
      <c r="AD4073">
        <v>-1.110974784268</v>
      </c>
      <c r="AE4073">
        <v>-26.814</v>
      </c>
      <c r="AF4073">
        <v>-1.43027648535753</v>
      </c>
      <c r="AG4073">
        <v>-1.110974784268</v>
      </c>
      <c r="AH4073">
        <v>26.730031763233299</v>
      </c>
      <c r="AI4073">
        <v>92.376606883547595</v>
      </c>
      <c r="AJ4073">
        <v>93.062874407678905</v>
      </c>
      <c r="AK4073">
        <v>26.791314896049901</v>
      </c>
      <c r="AL4073">
        <v>79.144980428542496</v>
      </c>
      <c r="AM4073">
        <v>90.977772847253107</v>
      </c>
      <c r="AN4073">
        <v>1.0000000443264501</v>
      </c>
    </row>
    <row r="4074" spans="1:40" x14ac:dyDescent="0.25">
      <c r="A4074" t="str">
        <f>"20190304155715576"</f>
        <v>20190304155715576</v>
      </c>
      <c r="B4074" t="str">
        <f>"1551686235568642"</f>
        <v>1551686235568642</v>
      </c>
      <c r="C4074" t="s">
        <v>40</v>
      </c>
      <c r="D4074">
        <v>4.7114890000000003</v>
      </c>
      <c r="E4074">
        <v>0.48507070000000002</v>
      </c>
      <c r="F4074" t="s">
        <v>41</v>
      </c>
      <c r="G4074">
        <v>-190.40940000000001</v>
      </c>
      <c r="H4074" s="1">
        <v>-6.770248E-7</v>
      </c>
      <c r="I4074">
        <v>160.79339999999999</v>
      </c>
      <c r="J4074">
        <v>-190.28479999999999</v>
      </c>
      <c r="K4074">
        <v>1.110962</v>
      </c>
      <c r="L4074">
        <v>187.65649999999999</v>
      </c>
      <c r="M4074">
        <v>-5.6850369999999997E-2</v>
      </c>
      <c r="N4074">
        <v>-1.3747769999999999E-2</v>
      </c>
      <c r="O4074">
        <v>-0.99828819999999996</v>
      </c>
      <c r="P4074">
        <v>-3.9277840000000001E-2</v>
      </c>
      <c r="Q4074">
        <v>0.1734174</v>
      </c>
      <c r="R4074">
        <v>-0.98406510000000003</v>
      </c>
      <c r="S4074">
        <v>-1.531982E-2</v>
      </c>
      <c r="T4074">
        <v>-0.1261139</v>
      </c>
      <c r="U4074">
        <v>-3.0712429999999999</v>
      </c>
      <c r="V4074">
        <v>-1.696891E-2</v>
      </c>
      <c r="W4074">
        <v>0.18691749999999999</v>
      </c>
      <c r="X4074">
        <v>0.98222909999999997</v>
      </c>
      <c r="Y4074">
        <v>-5.1857279999999999E-2</v>
      </c>
      <c r="Z4074">
        <v>2.7162760000000001E-2</v>
      </c>
      <c r="AA4074">
        <v>0.99828510000000004</v>
      </c>
      <c r="AB4074">
        <v>24</v>
      </c>
      <c r="AC4074">
        <v>-0.124600000000015</v>
      </c>
      <c r="AD4074">
        <v>-1.1109626770248</v>
      </c>
      <c r="AE4074">
        <v>-26.863099999999999</v>
      </c>
      <c r="AF4074">
        <v>-1.4005274902980001</v>
      </c>
      <c r="AG4074">
        <v>-1.1109626770248</v>
      </c>
      <c r="AH4074">
        <v>26.780926641815899</v>
      </c>
      <c r="AI4074">
        <v>92.372221248674606</v>
      </c>
      <c r="AJ4074">
        <v>92.993596276447704</v>
      </c>
      <c r="AK4074">
        <v>26.840524345011399</v>
      </c>
      <c r="AL4074">
        <v>79.227053146755694</v>
      </c>
      <c r="AM4074">
        <v>90.989738767160205</v>
      </c>
      <c r="AN4074">
        <v>1.0000000502998201</v>
      </c>
    </row>
    <row r="4075" spans="1:40" x14ac:dyDescent="0.25">
      <c r="A4075" t="str">
        <f>"20190304155715589"</f>
        <v>20190304155715589</v>
      </c>
      <c r="B4075" t="str">
        <f>"1551686235578403"</f>
        <v>1551686235578403</v>
      </c>
      <c r="C4075" t="s">
        <v>40</v>
      </c>
      <c r="D4075">
        <v>3.2751169999999998</v>
      </c>
      <c r="E4075">
        <v>0.48507070000000002</v>
      </c>
      <c r="F4075" t="s">
        <v>41</v>
      </c>
      <c r="G4075">
        <v>-190.41460000000001</v>
      </c>
      <c r="H4075" s="1">
        <v>-1.0448619999999999E-6</v>
      </c>
      <c r="I4075">
        <v>161.5686</v>
      </c>
      <c r="J4075">
        <v>-190.2919</v>
      </c>
      <c r="K4075">
        <v>1.1109519999999999</v>
      </c>
      <c r="L4075">
        <v>187.5214</v>
      </c>
      <c r="M4075">
        <v>-5.6407850000000002E-2</v>
      </c>
      <c r="N4075">
        <v>-1.373566E-2</v>
      </c>
      <c r="O4075">
        <v>-0.99831340000000002</v>
      </c>
      <c r="P4075">
        <v>-3.872623E-2</v>
      </c>
      <c r="Q4075">
        <v>0.17297199999999999</v>
      </c>
      <c r="R4075">
        <v>-0.98416530000000002</v>
      </c>
      <c r="S4075">
        <v>-1.528931E-2</v>
      </c>
      <c r="T4075">
        <v>-0.1307808</v>
      </c>
      <c r="U4075">
        <v>-3.0710299999999999</v>
      </c>
      <c r="V4075">
        <v>-1.7085639999999999E-2</v>
      </c>
      <c r="W4075">
        <v>0.18646119999999999</v>
      </c>
      <c r="X4075">
        <v>0.98231380000000001</v>
      </c>
      <c r="Y4075">
        <v>-5.1424020000000001E-2</v>
      </c>
      <c r="Z4075">
        <v>2.869147E-2</v>
      </c>
      <c r="AA4075">
        <v>0.9982647</v>
      </c>
      <c r="AB4075">
        <v>24</v>
      </c>
      <c r="AC4075">
        <v>-0.122700000000008</v>
      </c>
      <c r="AD4075">
        <v>-1.110953044862</v>
      </c>
      <c r="AE4075">
        <v>-25.9528</v>
      </c>
      <c r="AF4075">
        <v>-1.3391212851463901</v>
      </c>
      <c r="AG4075">
        <v>-1.110953044862</v>
      </c>
      <c r="AH4075">
        <v>25.870987071737201</v>
      </c>
      <c r="AI4075">
        <v>92.455603810755207</v>
      </c>
      <c r="AJ4075">
        <v>92.963071521901398</v>
      </c>
      <c r="AK4075">
        <v>25.929431820813399</v>
      </c>
      <c r="AL4075">
        <v>79.253665070242604</v>
      </c>
      <c r="AM4075">
        <v>90.996459952596297</v>
      </c>
      <c r="AN4075">
        <v>1.0000000499350401</v>
      </c>
    </row>
    <row r="4076" spans="1:40" x14ac:dyDescent="0.25">
      <c r="A4076" t="str">
        <f>"20190304155715656"</f>
        <v>20190304155715656</v>
      </c>
      <c r="B4076" t="str">
        <f>"1551686235648195"</f>
        <v>1551686235648195</v>
      </c>
      <c r="C4076" t="s">
        <v>40</v>
      </c>
      <c r="D4076">
        <v>4.5476210000000004</v>
      </c>
      <c r="E4076">
        <v>0.48507070000000002</v>
      </c>
      <c r="F4076" t="s">
        <v>41</v>
      </c>
      <c r="G4076">
        <v>-190.40479999999999</v>
      </c>
      <c r="H4076" s="1">
        <v>-1.104855E-6</v>
      </c>
      <c r="I4076">
        <v>161.70099999999999</v>
      </c>
      <c r="J4076">
        <v>-190.32839999999999</v>
      </c>
      <c r="K4076">
        <v>1.110903</v>
      </c>
      <c r="L4076">
        <v>186.8194</v>
      </c>
      <c r="M4076">
        <v>-5.4139369999999999E-2</v>
      </c>
      <c r="N4076">
        <v>-1.364727E-2</v>
      </c>
      <c r="O4076">
        <v>-0.99844040000000001</v>
      </c>
      <c r="P4076">
        <v>-3.5692019999999998E-2</v>
      </c>
      <c r="Q4076">
        <v>0.16970160000000001</v>
      </c>
      <c r="R4076">
        <v>-0.98484950000000004</v>
      </c>
      <c r="S4076">
        <v>-1.3427730000000001E-2</v>
      </c>
      <c r="T4076">
        <v>-0.13213279999999999</v>
      </c>
      <c r="U4076">
        <v>-3.0709840000000002</v>
      </c>
      <c r="V4076">
        <v>-1.790135E-2</v>
      </c>
      <c r="W4076">
        <v>0.18311240000000001</v>
      </c>
      <c r="X4076">
        <v>0.98292900000000005</v>
      </c>
      <c r="Y4076">
        <v>-4.9760470000000001E-2</v>
      </c>
      <c r="Z4076">
        <v>2.922802E-2</v>
      </c>
      <c r="AA4076">
        <v>0.99833340000000004</v>
      </c>
      <c r="AB4076">
        <v>24</v>
      </c>
      <c r="AC4076">
        <v>-7.6400000000006602E-2</v>
      </c>
      <c r="AD4076">
        <v>-1.1109041048549999</v>
      </c>
      <c r="AE4076">
        <v>-25.118400000000001</v>
      </c>
      <c r="AF4076">
        <v>-1.2812266444228799</v>
      </c>
      <c r="AG4076">
        <v>-1.1109041048549999</v>
      </c>
      <c r="AH4076">
        <v>25.036719449427</v>
      </c>
      <c r="AI4076">
        <v>92.537288442639493</v>
      </c>
      <c r="AJ4076">
        <v>92.929493206559101</v>
      </c>
      <c r="AK4076">
        <v>25.094082378797498</v>
      </c>
      <c r="AL4076">
        <v>79.448899091690095</v>
      </c>
      <c r="AM4076">
        <v>91.043369790482799</v>
      </c>
      <c r="AN4076">
        <v>1.0000000142032901</v>
      </c>
    </row>
    <row r="4077" spans="1:40" x14ac:dyDescent="0.25">
      <c r="A4077" t="str">
        <f>"20190304155715666"</f>
        <v>20190304155715666</v>
      </c>
      <c r="B4077" t="str">
        <f>"1551686235658931"</f>
        <v>1551686235658931</v>
      </c>
      <c r="C4077" t="s">
        <v>40</v>
      </c>
      <c r="D4077">
        <v>4.7027279999999996</v>
      </c>
      <c r="E4077">
        <v>0.59813700000000003</v>
      </c>
      <c r="F4077" t="s">
        <v>41</v>
      </c>
      <c r="G4077">
        <v>-190.35769999999999</v>
      </c>
      <c r="H4077" s="1">
        <v>-1.636755E-6</v>
      </c>
      <c r="I4077">
        <v>162.8528</v>
      </c>
      <c r="J4077">
        <v>-190.33459999999999</v>
      </c>
      <c r="K4077">
        <v>1.110895</v>
      </c>
      <c r="L4077">
        <v>186.69669999999999</v>
      </c>
      <c r="M4077">
        <v>-5.37452E-2</v>
      </c>
      <c r="N4077">
        <v>-1.363058E-2</v>
      </c>
      <c r="O4077">
        <v>-0.99846199999999996</v>
      </c>
      <c r="P4077">
        <v>-3.4983220000000002E-2</v>
      </c>
      <c r="Q4077">
        <v>0.16884969999999999</v>
      </c>
      <c r="R4077">
        <v>-0.98502109999999998</v>
      </c>
      <c r="S4077">
        <v>-3.7536620000000001E-3</v>
      </c>
      <c r="T4077">
        <v>-0.14232590000000001</v>
      </c>
      <c r="U4077">
        <v>-3.0705260000000001</v>
      </c>
      <c r="V4077">
        <v>-1.822727E-2</v>
      </c>
      <c r="W4077">
        <v>0.18224560000000001</v>
      </c>
      <c r="X4077">
        <v>0.98308410000000002</v>
      </c>
      <c r="Y4077">
        <v>-5.2508560000000003E-2</v>
      </c>
      <c r="Z4077">
        <v>3.255044E-2</v>
      </c>
      <c r="AA4077">
        <v>0.99808980000000003</v>
      </c>
      <c r="AB4077">
        <v>24</v>
      </c>
      <c r="AC4077">
        <v>-2.3099999999999399E-2</v>
      </c>
      <c r="AD4077">
        <v>-1.1108966367549999</v>
      </c>
      <c r="AE4077">
        <v>-23.843899999999898</v>
      </c>
      <c r="AF4077">
        <v>-1.25582121440585</v>
      </c>
      <c r="AG4077">
        <v>-1.1108966367549999</v>
      </c>
      <c r="AH4077">
        <v>23.7591002441964</v>
      </c>
      <c r="AI4077">
        <v>92.673284438822606</v>
      </c>
      <c r="AJ4077">
        <v>93.025634769385405</v>
      </c>
      <c r="AK4077">
        <v>23.818186804915999</v>
      </c>
      <c r="AL4077">
        <v>79.499413153477406</v>
      </c>
      <c r="AM4077">
        <v>91.062193964713899</v>
      </c>
      <c r="AN4077">
        <v>1.0000000198819099</v>
      </c>
    </row>
    <row r="4078" spans="1:40" x14ac:dyDescent="0.25">
      <c r="A4078" t="str">
        <f>"20190304155715679"</f>
        <v>20190304155715679</v>
      </c>
      <c r="B4078" t="str">
        <f>"1551686235668691"</f>
        <v>1551686235668691</v>
      </c>
      <c r="C4078" t="s">
        <v>40</v>
      </c>
      <c r="D4078">
        <v>4.572565</v>
      </c>
      <c r="E4078">
        <v>0.58840789999999998</v>
      </c>
      <c r="F4078" t="s">
        <v>44</v>
      </c>
      <c r="G4078">
        <v>-212.0385</v>
      </c>
      <c r="H4078">
        <v>-0.05</v>
      </c>
      <c r="I4078">
        <v>113.8711</v>
      </c>
      <c r="J4078">
        <v>-190.34100000000001</v>
      </c>
      <c r="K4078">
        <v>1.110887</v>
      </c>
      <c r="L4078">
        <v>186.5693</v>
      </c>
      <c r="M4078">
        <v>-5.3334739999999999E-2</v>
      </c>
      <c r="N4078">
        <v>-1.361213E-2</v>
      </c>
      <c r="O4078">
        <v>-0.99848389999999998</v>
      </c>
      <c r="P4078">
        <v>-3.4599060000000001E-2</v>
      </c>
      <c r="Q4078">
        <v>0.16804559999999999</v>
      </c>
      <c r="R4078">
        <v>-0.98517189999999999</v>
      </c>
      <c r="S4078">
        <v>-0.90060419999999997</v>
      </c>
      <c r="T4078">
        <v>-4.8171279999999997E-2</v>
      </c>
      <c r="U4078">
        <v>-3.0218959999999999</v>
      </c>
      <c r="V4078">
        <v>-1.82118E-2</v>
      </c>
      <c r="W4078">
        <v>0.18142549999999999</v>
      </c>
      <c r="X4078">
        <v>0.983236</v>
      </c>
      <c r="Y4078">
        <v>0.234042</v>
      </c>
      <c r="Z4078">
        <v>1.843578E-3</v>
      </c>
      <c r="AA4078">
        <v>0.97222470000000005</v>
      </c>
      <c r="AB4078">
        <v>24</v>
      </c>
      <c r="AC4078">
        <v>-21.697500000000002</v>
      </c>
      <c r="AD4078">
        <v>-1.160887</v>
      </c>
      <c r="AE4078">
        <v>-72.6982</v>
      </c>
      <c r="AF4078">
        <v>17.7847490052601</v>
      </c>
      <c r="AG4078">
        <v>-1.160887</v>
      </c>
      <c r="AH4078">
        <v>73.734782303730995</v>
      </c>
      <c r="AI4078">
        <v>90.876853680671502</v>
      </c>
      <c r="AJ4078">
        <v>76.439333209344298</v>
      </c>
      <c r="AK4078">
        <v>75.858177391666104</v>
      </c>
      <c r="AL4078">
        <v>79.547197379099401</v>
      </c>
      <c r="AM4078">
        <v>91.061128735440093</v>
      </c>
      <c r="AN4078">
        <v>0.999999956702744</v>
      </c>
    </row>
    <row r="4079" spans="1:40" x14ac:dyDescent="0.25">
      <c r="A4079" t="str">
        <f>"20190304155715693"</f>
        <v>20190304155715693</v>
      </c>
      <c r="B4079" t="str">
        <f>"1551686235688212"</f>
        <v>1551686235688212</v>
      </c>
      <c r="C4079" t="s">
        <v>40</v>
      </c>
      <c r="D4079">
        <v>4.7353339999999999</v>
      </c>
      <c r="E4079">
        <v>0.5764186</v>
      </c>
      <c r="F4079" t="s">
        <v>44</v>
      </c>
      <c r="G4079">
        <v>-211.738</v>
      </c>
      <c r="H4079">
        <v>-0.05</v>
      </c>
      <c r="I4079">
        <v>107.8479</v>
      </c>
      <c r="J4079">
        <v>-190.34829999999999</v>
      </c>
      <c r="K4079">
        <v>1.1108750000000001</v>
      </c>
      <c r="L4079">
        <v>186.42189999999999</v>
      </c>
      <c r="M4079">
        <v>-5.2859440000000001E-2</v>
      </c>
      <c r="N4079">
        <v>-1.358845E-2</v>
      </c>
      <c r="O4079">
        <v>-0.9985096</v>
      </c>
      <c r="P4079">
        <v>-3.4021370000000002E-2</v>
      </c>
      <c r="Q4079">
        <v>0.1671636</v>
      </c>
      <c r="R4079">
        <v>-0.9853421</v>
      </c>
      <c r="S4079">
        <v>-0.821914699999999</v>
      </c>
      <c r="T4079">
        <v>-4.45925E-2</v>
      </c>
      <c r="U4079">
        <v>-3.0238800000000001</v>
      </c>
      <c r="V4079">
        <v>-1.8326470000000001E-2</v>
      </c>
      <c r="W4079">
        <v>0.18052180000000001</v>
      </c>
      <c r="X4079">
        <v>0.98340019999999995</v>
      </c>
      <c r="Y4079">
        <v>0.21087220000000001</v>
      </c>
      <c r="Z4079">
        <v>7.9664190000000004E-4</v>
      </c>
      <c r="AA4079">
        <v>0.97751330000000003</v>
      </c>
      <c r="AB4079">
        <v>24</v>
      </c>
      <c r="AC4079">
        <v>-21.389700000000001</v>
      </c>
      <c r="AD4079">
        <v>-1.1608750000000001</v>
      </c>
      <c r="AE4079">
        <v>-78.573999999999998</v>
      </c>
      <c r="AF4079">
        <v>17.202534226615899</v>
      </c>
      <c r="AG4079">
        <v>-1.1608750000000001</v>
      </c>
      <c r="AH4079">
        <v>79.578710206400899</v>
      </c>
      <c r="AI4079">
        <v>90.816891798847394</v>
      </c>
      <c r="AJ4079">
        <v>77.802057972451806</v>
      </c>
      <c r="AK4079">
        <v>81.425093998704398</v>
      </c>
      <c r="AL4079">
        <v>79.599845001850198</v>
      </c>
      <c r="AM4079">
        <v>91.067630302960396</v>
      </c>
      <c r="AN4079">
        <v>0.99999996656896895</v>
      </c>
    </row>
    <row r="4080" spans="1:40" x14ac:dyDescent="0.25">
      <c r="A4080" t="str">
        <f>"20190304155715711"</f>
        <v>20190304155715711</v>
      </c>
      <c r="B4080" t="str">
        <f>"1551686235708707"</f>
        <v>1551686235708707</v>
      </c>
      <c r="C4080" t="s">
        <v>40</v>
      </c>
      <c r="D4080">
        <v>4.7097709999999999</v>
      </c>
      <c r="E4080">
        <v>0.57019540000000002</v>
      </c>
      <c r="F4080" t="s">
        <v>78</v>
      </c>
      <c r="G4080">
        <v>-202.35339999999999</v>
      </c>
      <c r="H4080" s="1">
        <v>-7.5430949999999902E-6</v>
      </c>
      <c r="I4080">
        <v>136.227</v>
      </c>
      <c r="J4080">
        <v>-190.358</v>
      </c>
      <c r="K4080">
        <v>1.11086</v>
      </c>
      <c r="L4080">
        <v>186.2243</v>
      </c>
      <c r="M4080">
        <v>-5.2220429999999998E-2</v>
      </c>
      <c r="N4080">
        <v>-1.354726E-2</v>
      </c>
      <c r="O4080">
        <v>-0.99854390000000004</v>
      </c>
      <c r="P4080">
        <v>-3.3558959999999999E-2</v>
      </c>
      <c r="Q4080">
        <v>0.1655491</v>
      </c>
      <c r="R4080">
        <v>-0.98563080000000003</v>
      </c>
      <c r="S4080">
        <v>-0.72491459999999996</v>
      </c>
      <c r="T4080">
        <v>-6.7079310000000003E-2</v>
      </c>
      <c r="U4080">
        <v>-3.0309599999999999</v>
      </c>
      <c r="V4080">
        <v>-1.8169790000000002E-2</v>
      </c>
      <c r="W4080">
        <v>0.17887110000000001</v>
      </c>
      <c r="X4080">
        <v>0.98370469999999999</v>
      </c>
      <c r="Y4080">
        <v>0.18144930000000001</v>
      </c>
      <c r="Z4080">
        <v>8.1299719999999992E-3</v>
      </c>
      <c r="AA4080">
        <v>0.98336670000000004</v>
      </c>
      <c r="AB4080">
        <v>24</v>
      </c>
      <c r="AC4080">
        <v>-11.995399999999901</v>
      </c>
      <c r="AD4080">
        <v>-1.1108675430949999</v>
      </c>
      <c r="AE4080">
        <v>-49.997300000000003</v>
      </c>
      <c r="AF4080">
        <v>9.3635398475147298</v>
      </c>
      <c r="AG4080">
        <v>-1.1108675430949999</v>
      </c>
      <c r="AH4080">
        <v>50.531944585702597</v>
      </c>
      <c r="AI4080">
        <v>91.238284624775105</v>
      </c>
      <c r="AJ4080">
        <v>79.502195151963704</v>
      </c>
      <c r="AK4080">
        <v>51.404156726735799</v>
      </c>
      <c r="AL4080">
        <v>79.695988248584598</v>
      </c>
      <c r="AM4080">
        <v>91.058177229479696</v>
      </c>
      <c r="AN4080">
        <v>0.99999997424297105</v>
      </c>
    </row>
    <row r="4081" spans="1:40" x14ac:dyDescent="0.25">
      <c r="A4081" t="str">
        <f>"20190304155715725"</f>
        <v>20190304155715725</v>
      </c>
      <c r="B4081" t="str">
        <f>"1551686235718467"</f>
        <v>1551686235718467</v>
      </c>
      <c r="C4081" t="s">
        <v>40</v>
      </c>
      <c r="D4081">
        <v>4.6410150000000003</v>
      </c>
      <c r="E4081">
        <v>0.56796969999999902</v>
      </c>
      <c r="F4081" t="s">
        <v>78</v>
      </c>
      <c r="G4081">
        <v>-197.58459999999999</v>
      </c>
      <c r="H4081" s="1">
        <v>-1.327354E-5</v>
      </c>
      <c r="I4081">
        <v>153.6807</v>
      </c>
      <c r="J4081">
        <v>-190.36519999999999</v>
      </c>
      <c r="K4081">
        <v>1.110851</v>
      </c>
      <c r="L4081">
        <v>186.07669999999999</v>
      </c>
      <c r="M4081">
        <v>-5.1742290000000003E-2</v>
      </c>
      <c r="N4081">
        <v>-1.3511570000000001E-2</v>
      </c>
      <c r="O4081">
        <v>-0.99856920000000005</v>
      </c>
      <c r="P4081">
        <v>-3.3336989999999997E-2</v>
      </c>
      <c r="Q4081">
        <v>0.16459770000000001</v>
      </c>
      <c r="R4081">
        <v>-0.98579729999999999</v>
      </c>
      <c r="S4081">
        <v>-0.67465209999999998</v>
      </c>
      <c r="T4081">
        <v>-0.1037078</v>
      </c>
      <c r="U4081">
        <v>-3.0381770000000001</v>
      </c>
      <c r="V4081">
        <v>-1.7926319999999999E-2</v>
      </c>
      <c r="W4081">
        <v>0.17788679999999901</v>
      </c>
      <c r="X4081">
        <v>0.98388770000000003</v>
      </c>
      <c r="Y4081">
        <v>0.16587589999999999</v>
      </c>
      <c r="Z4081">
        <v>1.9973500000000002E-2</v>
      </c>
      <c r="AA4081">
        <v>0.9859443</v>
      </c>
      <c r="AB4081">
        <v>24</v>
      </c>
      <c r="AC4081">
        <v>-7.2194000000000003</v>
      </c>
      <c r="AD4081">
        <v>-1.1108642735400001</v>
      </c>
      <c r="AE4081">
        <v>-32.395999999999901</v>
      </c>
      <c r="AF4081">
        <v>5.5271401866376202</v>
      </c>
      <c r="AG4081">
        <v>-1.1108642735400001</v>
      </c>
      <c r="AH4081">
        <v>32.689560652536102</v>
      </c>
      <c r="AI4081">
        <v>91.919072523270202</v>
      </c>
      <c r="AJ4081">
        <v>80.403212266483706</v>
      </c>
      <c r="AK4081">
        <v>33.172137008833303</v>
      </c>
      <c r="AL4081">
        <v>79.753304365434701</v>
      </c>
      <c r="AM4081">
        <v>91.0438069782642</v>
      </c>
      <c r="AN4081">
        <v>1.00000003638713</v>
      </c>
    </row>
    <row r="4082" spans="1:40" x14ac:dyDescent="0.25">
      <c r="A4082" t="str">
        <f>"20190304155715739"</f>
        <v>20190304155715739</v>
      </c>
      <c r="B4082" t="str">
        <f>"1551686235728227"</f>
        <v>1551686235728227</v>
      </c>
      <c r="C4082" t="s">
        <v>40</v>
      </c>
      <c r="D4082">
        <v>4.7215910000000001</v>
      </c>
      <c r="E4082">
        <v>0.5662026</v>
      </c>
      <c r="F4082" t="s">
        <v>78</v>
      </c>
      <c r="G4082">
        <v>-196.90100000000001</v>
      </c>
      <c r="H4082" s="1">
        <v>-1.3961899999999999E-5</v>
      </c>
      <c r="I4082">
        <v>155.8135</v>
      </c>
      <c r="J4082">
        <v>-190.37190000000001</v>
      </c>
      <c r="K4082">
        <v>1.110841</v>
      </c>
      <c r="L4082">
        <v>185.93600000000001</v>
      </c>
      <c r="M4082">
        <v>-5.1287619999999999E-2</v>
      </c>
      <c r="N4082">
        <v>-1.3476170000000001E-2</v>
      </c>
      <c r="O4082">
        <v>-0.99859330000000002</v>
      </c>
      <c r="P4082">
        <v>-3.3326469999999997E-2</v>
      </c>
      <c r="Q4082">
        <v>0.1636138</v>
      </c>
      <c r="R4082">
        <v>-0.98596189999999995</v>
      </c>
      <c r="S4082">
        <v>-0.65646359999999904</v>
      </c>
      <c r="T4082">
        <v>-0.1115761</v>
      </c>
      <c r="U4082">
        <v>-3.0396580000000002</v>
      </c>
      <c r="V4082">
        <v>-1.7495130000000001E-2</v>
      </c>
      <c r="W4082">
        <v>0.17687130000000001</v>
      </c>
      <c r="X4082">
        <v>0.98407849999999997</v>
      </c>
      <c r="Y4082">
        <v>0.16057869999999999</v>
      </c>
      <c r="Z4082">
        <v>2.256093E-2</v>
      </c>
      <c r="AA4082">
        <v>0.98676509999999995</v>
      </c>
      <c r="AB4082">
        <v>24</v>
      </c>
      <c r="AC4082">
        <v>-6.5290999999999704</v>
      </c>
      <c r="AD4082">
        <v>-1.1108549619000001</v>
      </c>
      <c r="AE4082">
        <v>-30.122499999999899</v>
      </c>
      <c r="AF4082">
        <v>4.9689999810301897</v>
      </c>
      <c r="AG4082">
        <v>-1.1108549619000001</v>
      </c>
      <c r="AH4082">
        <v>30.378281636126701</v>
      </c>
      <c r="AI4082">
        <v>92.066782914057995</v>
      </c>
      <c r="AJ4082">
        <v>80.7103497161511</v>
      </c>
      <c r="AK4082">
        <v>30.802028418948101</v>
      </c>
      <c r="AL4082">
        <v>79.812425523376803</v>
      </c>
      <c r="AM4082">
        <v>91.018507694135593</v>
      </c>
      <c r="AN4082">
        <v>1.0000000152498201</v>
      </c>
    </row>
    <row r="4083" spans="1:40" x14ac:dyDescent="0.25">
      <c r="A4083" t="str">
        <f>"20190304155715755"</f>
        <v>20190304155715755</v>
      </c>
      <c r="B4083" t="str">
        <f>"1551686235748723"</f>
        <v>1551686235748723</v>
      </c>
      <c r="C4083" t="s">
        <v>40</v>
      </c>
      <c r="D4083">
        <v>4.7000529999999996</v>
      </c>
      <c r="E4083">
        <v>0.56347269999999905</v>
      </c>
      <c r="F4083" t="s">
        <v>78</v>
      </c>
      <c r="G4083">
        <v>-196.40819999999999</v>
      </c>
      <c r="H4083" s="1">
        <v>-1.4410890000000001E-5</v>
      </c>
      <c r="I4083">
        <v>157.36439999999999</v>
      </c>
      <c r="J4083">
        <v>-190.38</v>
      </c>
      <c r="K4083">
        <v>1.110824</v>
      </c>
      <c r="L4083">
        <v>185.76660000000001</v>
      </c>
      <c r="M4083">
        <v>-5.0740100000000003E-2</v>
      </c>
      <c r="N4083">
        <v>-1.3431739999999999E-2</v>
      </c>
      <c r="O4083">
        <v>-0.9986216</v>
      </c>
      <c r="P4083">
        <v>-3.3352239999999998E-2</v>
      </c>
      <c r="Q4083">
        <v>0.16205720000000001</v>
      </c>
      <c r="R4083">
        <v>-0.98621769999999997</v>
      </c>
      <c r="S4083">
        <v>-0.64237979999999995</v>
      </c>
      <c r="T4083">
        <v>-0.1182177</v>
      </c>
      <c r="U4083">
        <v>-3.0406040000000001</v>
      </c>
      <c r="V4083">
        <v>-1.6940230000000001E-2</v>
      </c>
      <c r="W4083">
        <v>0.1752754</v>
      </c>
      <c r="X4083">
        <v>0.98437370000000002</v>
      </c>
      <c r="Y4083">
        <v>0.1566726</v>
      </c>
      <c r="Z4083">
        <v>2.47613E-2</v>
      </c>
      <c r="AA4083">
        <v>0.9873402</v>
      </c>
      <c r="AB4083">
        <v>24</v>
      </c>
      <c r="AC4083">
        <v>-6.0281999999999902</v>
      </c>
      <c r="AD4083">
        <v>-1.11083841089</v>
      </c>
      <c r="AE4083">
        <v>-28.402200000000001</v>
      </c>
      <c r="AF4083">
        <v>4.5724803001135799</v>
      </c>
      <c r="AG4083">
        <v>-1.11083841089</v>
      </c>
      <c r="AH4083">
        <v>28.629601255523799</v>
      </c>
      <c r="AI4083">
        <v>92.194200723043295</v>
      </c>
      <c r="AJ4083">
        <v>80.925833738425197</v>
      </c>
      <c r="AK4083">
        <v>29.013714104201199</v>
      </c>
      <c r="AL4083">
        <v>79.905315015077804</v>
      </c>
      <c r="AM4083">
        <v>90.985914072804306</v>
      </c>
      <c r="AN4083">
        <v>1.0000000092446499</v>
      </c>
    </row>
    <row r="4084" spans="1:40" x14ac:dyDescent="0.25">
      <c r="A4084" t="str">
        <f>"20190304155715770"</f>
        <v>20190304155715770</v>
      </c>
      <c r="B4084" t="str">
        <f>"1551686235758483"</f>
        <v>1551686235758483</v>
      </c>
      <c r="C4084" t="s">
        <v>40</v>
      </c>
      <c r="D4084">
        <v>4.6640490000000003</v>
      </c>
      <c r="E4084">
        <v>0.56232059999999995</v>
      </c>
      <c r="F4084" t="s">
        <v>78</v>
      </c>
      <c r="G4084">
        <v>-195.7363</v>
      </c>
      <c r="H4084" s="1">
        <v>-1.495171E-5</v>
      </c>
      <c r="I4084">
        <v>159.5138</v>
      </c>
      <c r="J4084">
        <v>-190.3871</v>
      </c>
      <c r="K4084">
        <v>1.110814</v>
      </c>
      <c r="L4084">
        <v>185.6163</v>
      </c>
      <c r="M4084">
        <v>-5.0254409999999999E-2</v>
      </c>
      <c r="N4084">
        <v>-1.3390549999999999E-2</v>
      </c>
      <c r="O4084">
        <v>-0.9986469</v>
      </c>
      <c r="P4084">
        <v>-3.328884E-2</v>
      </c>
      <c r="Q4084">
        <v>0.16130249999999999</v>
      </c>
      <c r="R4084">
        <v>-0.98634370000000005</v>
      </c>
      <c r="S4084">
        <v>-0.62066650000000001</v>
      </c>
      <c r="T4084">
        <v>-0.12872020000000001</v>
      </c>
      <c r="U4084">
        <v>-3.042084</v>
      </c>
      <c r="V4084">
        <v>-1.6529060000000002E-2</v>
      </c>
      <c r="W4084">
        <v>0.17448239999999901</v>
      </c>
      <c r="X4084">
        <v>0.9845216</v>
      </c>
      <c r="Y4084">
        <v>0.1502772</v>
      </c>
      <c r="Z4084">
        <v>2.8213599999999998E-2</v>
      </c>
      <c r="AA4084">
        <v>0.98824129999999999</v>
      </c>
      <c r="AB4084">
        <v>24</v>
      </c>
      <c r="AC4084">
        <v>-5.34919999999999</v>
      </c>
      <c r="AD4084">
        <v>-1.1108289517100001</v>
      </c>
      <c r="AE4084">
        <v>-26.1024999999999</v>
      </c>
      <c r="AF4084">
        <v>4.0235635552103197</v>
      </c>
      <c r="AG4084">
        <v>-1.1108289517100001</v>
      </c>
      <c r="AH4084">
        <v>26.292659058886599</v>
      </c>
      <c r="AI4084">
        <v>92.391423318899896</v>
      </c>
      <c r="AJ4084">
        <v>81.299528683740505</v>
      </c>
      <c r="AK4084">
        <v>26.621925644656599</v>
      </c>
      <c r="AL4084">
        <v>79.951462098400697</v>
      </c>
      <c r="AM4084">
        <v>90.961844221355904</v>
      </c>
      <c r="AN4084">
        <v>1.0000000493004</v>
      </c>
    </row>
    <row r="4085" spans="1:40" x14ac:dyDescent="0.25">
      <c r="A4085" t="str">
        <f>"20190304155715788"</f>
        <v>20190304155715788</v>
      </c>
      <c r="B4085" t="str">
        <f>"1551686235778983"</f>
        <v>1551686235778983</v>
      </c>
      <c r="C4085" t="s">
        <v>40</v>
      </c>
      <c r="D4085">
        <v>4.6740409999999999</v>
      </c>
      <c r="E4085">
        <v>0.56108559999999996</v>
      </c>
      <c r="F4085" t="s">
        <v>41</v>
      </c>
      <c r="G4085">
        <v>-195.56180000000001</v>
      </c>
      <c r="H4085" s="1">
        <v>-1.611381E-6</v>
      </c>
      <c r="I4085">
        <v>159.8698</v>
      </c>
      <c r="J4085">
        <v>-190.3963</v>
      </c>
      <c r="K4085">
        <v>1.1108009999999999</v>
      </c>
      <c r="L4085">
        <v>185.41929999999999</v>
      </c>
      <c r="M4085">
        <v>-4.961749E-2</v>
      </c>
      <c r="N4085">
        <v>-1.33356E-2</v>
      </c>
      <c r="O4085">
        <v>-0.9986796</v>
      </c>
      <c r="P4085">
        <v>-3.3834459999999997E-2</v>
      </c>
      <c r="Q4085">
        <v>0.16017490000000001</v>
      </c>
      <c r="R4085">
        <v>-0.98650890000000002</v>
      </c>
      <c r="S4085">
        <v>-0.61148069999999999</v>
      </c>
      <c r="T4085">
        <v>-0.13126109999999999</v>
      </c>
      <c r="U4085">
        <v>-3.0423740000000001</v>
      </c>
      <c r="V4085">
        <v>-1.536147E-2</v>
      </c>
      <c r="W4085">
        <v>0.17330470000000001</v>
      </c>
      <c r="X4085">
        <v>0.98474839999999997</v>
      </c>
      <c r="Y4085">
        <v>0.14801800000000001</v>
      </c>
      <c r="Z4085">
        <v>2.910302E-2</v>
      </c>
      <c r="AA4085">
        <v>0.9885564</v>
      </c>
      <c r="AB4085">
        <v>24</v>
      </c>
      <c r="AC4085">
        <v>-5.1654999999999998</v>
      </c>
      <c r="AD4085">
        <v>-1.1108026113809999</v>
      </c>
      <c r="AE4085">
        <v>-25.549499999999899</v>
      </c>
      <c r="AF4085">
        <v>3.8842683825089201</v>
      </c>
      <c r="AG4085">
        <v>-1.1108026113809999</v>
      </c>
      <c r="AH4085">
        <v>25.7276260198303</v>
      </c>
      <c r="AI4085">
        <v>92.444567897566998</v>
      </c>
      <c r="AJ4085">
        <v>81.414520911022294</v>
      </c>
      <c r="AK4085">
        <v>26.042890851920699</v>
      </c>
      <c r="AL4085">
        <v>80.019982321219999</v>
      </c>
      <c r="AM4085">
        <v>90.893706470206496</v>
      </c>
      <c r="AN4085">
        <v>0.99999995255260399</v>
      </c>
    </row>
    <row r="4086" spans="1:40" x14ac:dyDescent="0.25">
      <c r="A4086" t="str">
        <f>"20190304155715802"</f>
        <v>20190304155715802</v>
      </c>
      <c r="B4086" t="str">
        <f>"1551686235798500"</f>
        <v>1551686235798500</v>
      </c>
      <c r="C4086" t="s">
        <v>40</v>
      </c>
      <c r="D4086">
        <v>4.6603909999999997</v>
      </c>
      <c r="E4086">
        <v>0.55971059999999995</v>
      </c>
      <c r="F4086" t="s">
        <v>41</v>
      </c>
      <c r="G4086">
        <v>-195.38929999999999</v>
      </c>
      <c r="H4086" s="1">
        <v>-1.7330570000000001E-6</v>
      </c>
      <c r="I4086">
        <v>160.2244</v>
      </c>
      <c r="J4086">
        <v>-190.40270000000001</v>
      </c>
      <c r="K4086">
        <v>1.1107910000000001</v>
      </c>
      <c r="L4086">
        <v>185.28</v>
      </c>
      <c r="M4086">
        <v>-4.9167660000000002E-2</v>
      </c>
      <c r="N4086">
        <v>-1.3295609999999999E-2</v>
      </c>
      <c r="O4086">
        <v>-0.99870199999999998</v>
      </c>
      <c r="P4086">
        <v>-3.4125309999999999E-2</v>
      </c>
      <c r="Q4086">
        <v>0.159771</v>
      </c>
      <c r="R4086">
        <v>-0.98656410000000005</v>
      </c>
      <c r="S4086">
        <v>-0.60287480000000004</v>
      </c>
      <c r="T4086">
        <v>-0.1341224</v>
      </c>
      <c r="U4086">
        <v>-3.0421299999999998</v>
      </c>
      <c r="V4086">
        <v>-1.4628220000000001E-2</v>
      </c>
      <c r="W4086">
        <v>0.17286319999999999</v>
      </c>
      <c r="X4086">
        <v>0.98483719999999997</v>
      </c>
      <c r="Y4086">
        <v>0.14578339999999901</v>
      </c>
      <c r="Z4086">
        <v>3.008744E-2</v>
      </c>
      <c r="AA4086">
        <v>0.98885889999999999</v>
      </c>
      <c r="AB4086">
        <v>24</v>
      </c>
      <c r="AC4086">
        <v>-4.9865999999999797</v>
      </c>
      <c r="AD4086">
        <v>-1.110792733057</v>
      </c>
      <c r="AE4086">
        <v>-25.055599999999998</v>
      </c>
      <c r="AF4086">
        <v>3.7414602763392901</v>
      </c>
      <c r="AG4086">
        <v>-1.110792733057</v>
      </c>
      <c r="AH4086">
        <v>25.222807245105798</v>
      </c>
      <c r="AI4086">
        <v>92.494373685224701</v>
      </c>
      <c r="AJ4086">
        <v>81.562477206098293</v>
      </c>
      <c r="AK4086">
        <v>25.5229777028269</v>
      </c>
      <c r="AL4086">
        <v>80.045666434754295</v>
      </c>
      <c r="AM4086">
        <v>90.850976829646498</v>
      </c>
      <c r="AN4086">
        <v>0.99999999061922396</v>
      </c>
    </row>
    <row r="4087" spans="1:40" x14ac:dyDescent="0.25">
      <c r="A4087" t="str">
        <f>"20190304155715816"</f>
        <v>20190304155715816</v>
      </c>
      <c r="B4087" t="str">
        <f>"1551686235808259"</f>
        <v>1551686235808259</v>
      </c>
      <c r="C4087" t="s">
        <v>40</v>
      </c>
      <c r="D4087">
        <v>4.619567</v>
      </c>
      <c r="E4087">
        <v>0.55928880000000003</v>
      </c>
      <c r="F4087" t="s">
        <v>41</v>
      </c>
      <c r="G4087">
        <v>-195.3767</v>
      </c>
      <c r="H4087" s="1">
        <v>-1.5036920000000001E-6</v>
      </c>
      <c r="I4087">
        <v>159.74619999999999</v>
      </c>
      <c r="J4087">
        <v>-190.40950000000001</v>
      </c>
      <c r="K4087">
        <v>1.1107819999999999</v>
      </c>
      <c r="L4087">
        <v>185.13069999999999</v>
      </c>
      <c r="M4087">
        <v>-4.8686970000000003E-2</v>
      </c>
      <c r="N4087">
        <v>-1.325259E-2</v>
      </c>
      <c r="O4087">
        <v>-0.99872620000000001</v>
      </c>
      <c r="P4087">
        <v>-3.4179689999999999E-2</v>
      </c>
      <c r="Q4087">
        <v>0.15946160000000001</v>
      </c>
      <c r="R4087">
        <v>-0.9866123</v>
      </c>
      <c r="S4087">
        <v>-0.59254459999999998</v>
      </c>
      <c r="T4087">
        <v>-0.1323259</v>
      </c>
      <c r="U4087">
        <v>-3.041779</v>
      </c>
      <c r="V4087">
        <v>-1.409938E-2</v>
      </c>
      <c r="W4087">
        <v>0.1725129</v>
      </c>
      <c r="X4087">
        <v>0.98490639999999996</v>
      </c>
      <c r="Y4087">
        <v>0.14305199999999901</v>
      </c>
      <c r="Z4087">
        <v>2.957802E-2</v>
      </c>
      <c r="AA4087">
        <v>0.98927310000000002</v>
      </c>
      <c r="AB4087">
        <v>24</v>
      </c>
      <c r="AC4087">
        <v>-4.9671999999999903</v>
      </c>
      <c r="AD4087">
        <v>-1.110783503692</v>
      </c>
      <c r="AE4087">
        <v>-25.384499999999999</v>
      </c>
      <c r="AF4087">
        <v>3.7184479244551198</v>
      </c>
      <c r="AG4087">
        <v>-1.110783503692</v>
      </c>
      <c r="AH4087">
        <v>25.549132874824501</v>
      </c>
      <c r="AI4087">
        <v>92.463522468280999</v>
      </c>
      <c r="AJ4087">
        <v>81.7192529191082</v>
      </c>
      <c r="AK4087">
        <v>25.842191966131601</v>
      </c>
      <c r="AL4087">
        <v>80.066043922509493</v>
      </c>
      <c r="AM4087">
        <v>90.820158941751103</v>
      </c>
      <c r="AN4087">
        <v>1.0000000549718699</v>
      </c>
    </row>
    <row r="4088" spans="1:40" x14ac:dyDescent="0.25">
      <c r="A4088" t="str">
        <f>"20190304155715835"</f>
        <v>20190304155715835</v>
      </c>
      <c r="B4088" t="str">
        <f>"1551686235828755"</f>
        <v>1551686235828755</v>
      </c>
      <c r="C4088" t="s">
        <v>40</v>
      </c>
      <c r="D4088">
        <v>4.5886269999999998</v>
      </c>
      <c r="E4088">
        <v>0.55860500000000002</v>
      </c>
      <c r="F4088" t="s">
        <v>78</v>
      </c>
      <c r="G4088">
        <v>-195.40549999999999</v>
      </c>
      <c r="H4088" s="1">
        <v>-1.4906310000000001E-5</v>
      </c>
      <c r="I4088">
        <v>159.33340000000001</v>
      </c>
      <c r="J4088">
        <v>-190.4188</v>
      </c>
      <c r="K4088">
        <v>1.110762</v>
      </c>
      <c r="L4088">
        <v>184.92420000000001</v>
      </c>
      <c r="M4088">
        <v>-4.802729E-2</v>
      </c>
      <c r="N4088">
        <v>-1.3192840000000001E-2</v>
      </c>
      <c r="O4088">
        <v>-0.99875919999999896</v>
      </c>
      <c r="P4088">
        <v>-3.5270370000000002E-2</v>
      </c>
      <c r="Q4088">
        <v>0.15895429999999999</v>
      </c>
      <c r="R4088">
        <v>-0.98665619999999998</v>
      </c>
      <c r="S4088">
        <v>-0.58901979999999998</v>
      </c>
      <c r="T4088">
        <v>-0.13096089999999999</v>
      </c>
      <c r="U4088">
        <v>-3.041458</v>
      </c>
      <c r="V4088">
        <v>-1.2356819999999999E-2</v>
      </c>
      <c r="W4088">
        <v>0.17195060000000001</v>
      </c>
      <c r="X4088">
        <v>0.98502809999999996</v>
      </c>
      <c r="Y4088">
        <v>0.14262349999999999</v>
      </c>
      <c r="Z4088">
        <v>2.9208149999999999E-2</v>
      </c>
      <c r="AA4088">
        <v>0.98934599999999995</v>
      </c>
      <c r="AB4088">
        <v>24</v>
      </c>
      <c r="AC4088">
        <v>-4.9866999999999804</v>
      </c>
      <c r="AD4088">
        <v>-1.1107769063099999</v>
      </c>
      <c r="AE4088">
        <v>-25.590800000000002</v>
      </c>
      <c r="AF4088">
        <v>3.7449835792641801</v>
      </c>
      <c r="AG4088">
        <v>-1.1107769063099999</v>
      </c>
      <c r="AH4088">
        <v>25.7540360171953</v>
      </c>
      <c r="AI4088">
        <v>92.443976032705507</v>
      </c>
      <c r="AJ4088">
        <v>81.726412234608105</v>
      </c>
      <c r="AK4088">
        <v>26.048591104310098</v>
      </c>
      <c r="AL4088">
        <v>80.098749822304995</v>
      </c>
      <c r="AM4088">
        <v>90.718717059152098</v>
      </c>
      <c r="AN4088">
        <v>1.00000002881524</v>
      </c>
    </row>
    <row r="4089" spans="1:40" x14ac:dyDescent="0.25">
      <c r="A4089" t="str">
        <f>"20190304155715856"</f>
        <v>20190304155715856</v>
      </c>
      <c r="B4089" t="str">
        <f>"1551686235848276"</f>
        <v>1551686235848276</v>
      </c>
      <c r="C4089" t="s">
        <v>40</v>
      </c>
      <c r="D4089">
        <v>4.6292619999999998</v>
      </c>
      <c r="E4089">
        <v>0.55805179999999999</v>
      </c>
      <c r="F4089" t="s">
        <v>78</v>
      </c>
      <c r="G4089">
        <v>-195.3768</v>
      </c>
      <c r="H4089" s="1">
        <v>-1.4876649999999999E-5</v>
      </c>
      <c r="I4089">
        <v>159.21549999999999</v>
      </c>
      <c r="J4089">
        <v>-190.42850000000001</v>
      </c>
      <c r="K4089">
        <v>1.110741</v>
      </c>
      <c r="L4089">
        <v>184.7037</v>
      </c>
      <c r="M4089">
        <v>-4.7333300000000002E-2</v>
      </c>
      <c r="N4089">
        <v>-1.312838E-2</v>
      </c>
      <c r="O4089">
        <v>-0.99879289999999998</v>
      </c>
      <c r="P4089">
        <v>-3.599869E-2</v>
      </c>
      <c r="Q4089">
        <v>0.1583736</v>
      </c>
      <c r="R4089">
        <v>-0.98672289999999996</v>
      </c>
      <c r="S4089">
        <v>-0.5864258</v>
      </c>
      <c r="T4089">
        <v>-0.1313819</v>
      </c>
      <c r="U4089">
        <v>-3.0408019999999998</v>
      </c>
      <c r="V4089">
        <v>-1.0941909999999999E-2</v>
      </c>
      <c r="W4089">
        <v>0.17130989999999999</v>
      </c>
      <c r="X4089">
        <v>0.98515640000000004</v>
      </c>
      <c r="Y4089">
        <v>0.14253650000000001</v>
      </c>
      <c r="Z4089">
        <v>2.942183E-2</v>
      </c>
      <c r="AA4089">
        <v>0.98935220000000001</v>
      </c>
      <c r="AB4089">
        <v>24</v>
      </c>
      <c r="AC4089">
        <v>-4.9482999999999802</v>
      </c>
      <c r="AD4089">
        <v>-1.1107558766500001</v>
      </c>
      <c r="AE4089">
        <v>-25.488199999999999</v>
      </c>
      <c r="AF4089">
        <v>3.7293827835401601</v>
      </c>
      <c r="AG4089">
        <v>-1.1107558766500001</v>
      </c>
      <c r="AH4089">
        <v>25.646928013378101</v>
      </c>
      <c r="AI4089">
        <v>92.454124181300799</v>
      </c>
      <c r="AJ4089">
        <v>81.726468788031696</v>
      </c>
      <c r="AK4089">
        <v>25.940450865146399</v>
      </c>
      <c r="AL4089">
        <v>80.136011559723798</v>
      </c>
      <c r="AM4089">
        <v>90.6363451381538</v>
      </c>
      <c r="AN4089">
        <v>0.99999996984670803</v>
      </c>
    </row>
    <row r="4090" spans="1:40" x14ac:dyDescent="0.25">
      <c r="A4090" t="str">
        <f>"20190304155715869"</f>
        <v>20190304155715869</v>
      </c>
      <c r="B4090" t="str">
        <f>"1551686235859012"</f>
        <v>1551686235859012</v>
      </c>
      <c r="C4090" t="s">
        <v>40</v>
      </c>
      <c r="D4090">
        <v>4.6096430000000002</v>
      </c>
      <c r="E4090">
        <v>0.55784609999999901</v>
      </c>
      <c r="F4090" t="s">
        <v>78</v>
      </c>
      <c r="G4090">
        <v>-195.40899999999999</v>
      </c>
      <c r="H4090" s="1">
        <v>-1.476183E-5</v>
      </c>
      <c r="I4090">
        <v>158.75919999999999</v>
      </c>
      <c r="J4090">
        <v>-190.43450000000001</v>
      </c>
      <c r="K4090">
        <v>1.1107279999999999</v>
      </c>
      <c r="L4090">
        <v>184.56800000000001</v>
      </c>
      <c r="M4090">
        <v>-4.6911729999999999E-2</v>
      </c>
      <c r="N4090">
        <v>-1.308894E-2</v>
      </c>
      <c r="O4090">
        <v>-0.99881330000000002</v>
      </c>
      <c r="P4090">
        <v>-3.6257449999999997E-2</v>
      </c>
      <c r="Q4090">
        <v>0.1582057</v>
      </c>
      <c r="R4090">
        <v>-0.98674039999999996</v>
      </c>
      <c r="S4090">
        <v>-0.58357239999999999</v>
      </c>
      <c r="T4090">
        <v>-0.13014970000000001</v>
      </c>
      <c r="U4090">
        <v>-3.0399780000000001</v>
      </c>
      <c r="V4090">
        <v>-1.0263950000000001E-2</v>
      </c>
      <c r="W4090">
        <v>0.17110449999999999</v>
      </c>
      <c r="X4090">
        <v>0.98519939999999995</v>
      </c>
      <c r="Y4090">
        <v>0.14211119999999999</v>
      </c>
      <c r="Z4090">
        <v>2.9079839999999999E-2</v>
      </c>
      <c r="AA4090">
        <v>0.98942350000000001</v>
      </c>
      <c r="AB4090">
        <v>24</v>
      </c>
      <c r="AC4090">
        <v>-4.9744999999999999</v>
      </c>
      <c r="AD4090">
        <v>-1.1107427618300001</v>
      </c>
      <c r="AE4090">
        <v>-25.808799999999898</v>
      </c>
      <c r="AF4090">
        <v>3.7514835121401</v>
      </c>
      <c r="AG4090">
        <v>-1.1107427618300001</v>
      </c>
      <c r="AH4090">
        <v>25.967388671625901</v>
      </c>
      <c r="AI4090">
        <v>92.424170122594106</v>
      </c>
      <c r="AJ4090">
        <v>81.779410769207303</v>
      </c>
      <c r="AK4090">
        <v>26.260477003438101</v>
      </c>
      <c r="AL4090">
        <v>80.147956562291796</v>
      </c>
      <c r="AM4090">
        <v>90.596894132487705</v>
      </c>
      <c r="AN4090">
        <v>0.999999978175105</v>
      </c>
    </row>
    <row r="4091" spans="1:40" x14ac:dyDescent="0.25">
      <c r="A4091" t="str">
        <f>"20190304155715882"</f>
        <v>20190304155715882</v>
      </c>
      <c r="B4091" t="str">
        <f>"1551686235878532"</f>
        <v>1551686235878532</v>
      </c>
      <c r="C4091" t="s">
        <v>40</v>
      </c>
      <c r="D4091">
        <v>4.6386880000000001</v>
      </c>
      <c r="E4091">
        <v>0.55726180000000003</v>
      </c>
      <c r="F4091" t="s">
        <v>78</v>
      </c>
      <c r="G4091">
        <v>-195.46289999999999</v>
      </c>
      <c r="H4091" s="1">
        <v>-1.4651149999999999E-5</v>
      </c>
      <c r="I4091">
        <v>158.3193</v>
      </c>
      <c r="J4091">
        <v>-190.4402</v>
      </c>
      <c r="K4091">
        <v>1.110714</v>
      </c>
      <c r="L4091">
        <v>184.4358</v>
      </c>
      <c r="M4091">
        <v>-4.6512169999999999E-2</v>
      </c>
      <c r="N4091">
        <v>-1.3052930000000001E-2</v>
      </c>
      <c r="O4091">
        <v>-0.99883259999999996</v>
      </c>
      <c r="P4091">
        <v>-3.6752489999999999E-2</v>
      </c>
      <c r="Q4091">
        <v>0.1581688</v>
      </c>
      <c r="R4091">
        <v>-0.9867281</v>
      </c>
      <c r="S4091">
        <v>-0.5822754</v>
      </c>
      <c r="T4091">
        <v>-0.1286205</v>
      </c>
      <c r="U4091">
        <v>-3.03952</v>
      </c>
      <c r="V4091">
        <v>-9.370069E-3</v>
      </c>
      <c r="W4091">
        <v>0.17103309999999999</v>
      </c>
      <c r="X4091">
        <v>0.98522069999999995</v>
      </c>
      <c r="Y4091">
        <v>0.1421306</v>
      </c>
      <c r="Z4091">
        <v>2.8629930000000001E-2</v>
      </c>
      <c r="AA4091">
        <v>0.98943380000000003</v>
      </c>
      <c r="AB4091">
        <v>24</v>
      </c>
      <c r="AC4091">
        <v>-5.02269999999998</v>
      </c>
      <c r="AD4091">
        <v>-1.1107286511499901</v>
      </c>
      <c r="AE4091">
        <v>-26.116499999999998</v>
      </c>
      <c r="AF4091">
        <v>3.7958038433876902</v>
      </c>
      <c r="AG4091">
        <v>-1.1107286511499901</v>
      </c>
      <c r="AH4091">
        <v>26.2760340475471</v>
      </c>
      <c r="AI4091">
        <v>92.395701613842505</v>
      </c>
      <c r="AJ4091">
        <v>81.779986126593499</v>
      </c>
      <c r="AK4091">
        <v>26.572011783487898</v>
      </c>
      <c r="AL4091">
        <v>80.152108641641206</v>
      </c>
      <c r="AM4091">
        <v>90.544902498964802</v>
      </c>
      <c r="AN4091">
        <v>0.99999997359858195</v>
      </c>
    </row>
    <row r="4092" spans="1:40" x14ac:dyDescent="0.25">
      <c r="A4092" t="str">
        <f>"20190304155715894"</f>
        <v>20190304155715894</v>
      </c>
      <c r="B4092" t="str">
        <f>"1551686235889267"</f>
        <v>1551686235889267</v>
      </c>
      <c r="C4092" t="s">
        <v>40</v>
      </c>
      <c r="D4092">
        <v>4.6579129999999997</v>
      </c>
      <c r="E4092">
        <v>0.55692459999999999</v>
      </c>
      <c r="F4092" t="s">
        <v>78</v>
      </c>
      <c r="G4092">
        <v>-195.55940000000001</v>
      </c>
      <c r="H4092" s="1">
        <v>-1.44608399999999E-5</v>
      </c>
      <c r="I4092">
        <v>157.56299999999999</v>
      </c>
      <c r="J4092">
        <v>-190.44560000000001</v>
      </c>
      <c r="K4092">
        <v>1.1107020000000001</v>
      </c>
      <c r="L4092">
        <v>184.3107</v>
      </c>
      <c r="M4092">
        <v>-4.6141880000000003E-2</v>
      </c>
      <c r="N4092">
        <v>-1.302005E-2</v>
      </c>
      <c r="O4092">
        <v>-0.99885020000000002</v>
      </c>
      <c r="P4092">
        <v>-3.6957820000000002E-2</v>
      </c>
      <c r="Q4092">
        <v>0.15826950000000001</v>
      </c>
      <c r="R4092">
        <v>-0.98670429999999998</v>
      </c>
      <c r="S4092">
        <v>-0.57890319999999995</v>
      </c>
      <c r="T4092">
        <v>-0.1256071</v>
      </c>
      <c r="U4092">
        <v>-3.0389249999999999</v>
      </c>
      <c r="V4092">
        <v>-8.7935269999999902E-3</v>
      </c>
      <c r="W4092">
        <v>0.1711027</v>
      </c>
      <c r="X4092">
        <v>0.98521389999999998</v>
      </c>
      <c r="Y4092">
        <v>0.1414802</v>
      </c>
      <c r="Z4092">
        <v>2.7703019999999998E-2</v>
      </c>
      <c r="AA4092">
        <v>0.98955340000000003</v>
      </c>
      <c r="AB4092">
        <v>24</v>
      </c>
      <c r="AC4092">
        <v>-5.1137999999999897</v>
      </c>
      <c r="AD4092">
        <v>-1.11071646084</v>
      </c>
      <c r="AE4092">
        <v>-26.747699999999998</v>
      </c>
      <c r="AF4092">
        <v>3.86762467509284</v>
      </c>
      <c r="AG4092">
        <v>-1.11071646084</v>
      </c>
      <c r="AH4092">
        <v>26.910418918573399</v>
      </c>
      <c r="AI4092">
        <v>92.339506283139698</v>
      </c>
      <c r="AJ4092">
        <v>81.821330562469399</v>
      </c>
      <c r="AK4092">
        <v>27.209609663809601</v>
      </c>
      <c r="AL4092">
        <v>80.148060902369195</v>
      </c>
      <c r="AM4092">
        <v>90.511379920228407</v>
      </c>
      <c r="AN4092">
        <v>0.99999994440879802</v>
      </c>
    </row>
    <row r="4093" spans="1:40" x14ac:dyDescent="0.25">
      <c r="A4093" t="str">
        <f>"20190304155715912"</f>
        <v>20190304155715912</v>
      </c>
      <c r="B4093" t="str">
        <f>"1551686235908787"</f>
        <v>1551686235908787</v>
      </c>
      <c r="C4093" t="s">
        <v>40</v>
      </c>
      <c r="D4093">
        <v>4.6291580000000003</v>
      </c>
      <c r="E4093">
        <v>0.55640780000000001</v>
      </c>
      <c r="F4093" t="s">
        <v>78</v>
      </c>
      <c r="G4093">
        <v>-195.59809999999999</v>
      </c>
      <c r="H4093" s="1">
        <v>-1.43556E-5</v>
      </c>
      <c r="I4093">
        <v>157.1447</v>
      </c>
      <c r="J4093">
        <v>-190.4538</v>
      </c>
      <c r="K4093">
        <v>1.1106799999999999</v>
      </c>
      <c r="L4093">
        <v>184.12010000000001</v>
      </c>
      <c r="M4093">
        <v>-4.5603030000000003E-2</v>
      </c>
      <c r="N4093">
        <v>-1.297364E-2</v>
      </c>
      <c r="O4093">
        <v>-0.99887539999999997</v>
      </c>
      <c r="P4093">
        <v>-3.7656519999999999E-2</v>
      </c>
      <c r="Q4093">
        <v>0.15813489999999999</v>
      </c>
      <c r="R4093">
        <v>-0.98669969999999996</v>
      </c>
      <c r="S4093">
        <v>-0.57635499999999995</v>
      </c>
      <c r="T4093">
        <v>-0.1242439</v>
      </c>
      <c r="U4093">
        <v>-3.0387729999999999</v>
      </c>
      <c r="V4093">
        <v>-7.5535219999999896E-3</v>
      </c>
      <c r="W4093">
        <v>0.1709242</v>
      </c>
      <c r="X4093">
        <v>0.9852552</v>
      </c>
      <c r="Y4093">
        <v>0.1412252</v>
      </c>
      <c r="Z4093">
        <v>2.731488E-2</v>
      </c>
      <c r="AA4093">
        <v>0.98960060000000005</v>
      </c>
      <c r="AB4093">
        <v>24</v>
      </c>
      <c r="AC4093">
        <v>-5.1442999999999799</v>
      </c>
      <c r="AD4093">
        <v>-1.1106943556</v>
      </c>
      <c r="AE4093">
        <v>-26.9754</v>
      </c>
      <c r="AF4093">
        <v>3.9023001538786701</v>
      </c>
      <c r="AG4093">
        <v>-1.1106943556</v>
      </c>
      <c r="AH4093">
        <v>27.137554019871601</v>
      </c>
      <c r="AI4093">
        <v>92.319876087630206</v>
      </c>
      <c r="AJ4093">
        <v>81.817129067060307</v>
      </c>
      <c r="AK4093">
        <v>27.439176857624101</v>
      </c>
      <c r="AL4093">
        <v>80.158441402669098</v>
      </c>
      <c r="AM4093">
        <v>90.439253152083396</v>
      </c>
      <c r="AN4093">
        <v>0.999999973483641</v>
      </c>
    </row>
    <row r="4094" spans="1:40" x14ac:dyDescent="0.25">
      <c r="A4094" t="str">
        <f>"20190304155715924"</f>
        <v>20190304155715924</v>
      </c>
      <c r="B4094" t="str">
        <f>"1551686235918547"</f>
        <v>1551686235918547</v>
      </c>
      <c r="C4094" t="s">
        <v>40</v>
      </c>
      <c r="D4094">
        <v>4.6377579999999998</v>
      </c>
      <c r="E4094">
        <v>0.5561178</v>
      </c>
      <c r="F4094" t="s">
        <v>78</v>
      </c>
      <c r="G4094">
        <v>-195.6421</v>
      </c>
      <c r="H4094" s="1">
        <v>-1.4209539999999999E-5</v>
      </c>
      <c r="I4094">
        <v>156.65100000000001</v>
      </c>
      <c r="J4094">
        <v>-190.45959999999999</v>
      </c>
      <c r="K4094">
        <v>1.110657</v>
      </c>
      <c r="L4094">
        <v>183.98339999999999</v>
      </c>
      <c r="M4094">
        <v>-4.5240089999999997E-2</v>
      </c>
      <c r="N4094">
        <v>-1.2943120000000001E-2</v>
      </c>
      <c r="O4094">
        <v>-0.99889249999999996</v>
      </c>
      <c r="P4094">
        <v>-3.7728619999999997E-2</v>
      </c>
      <c r="Q4094">
        <v>0.15804550000000001</v>
      </c>
      <c r="R4094">
        <v>-0.98671089999999995</v>
      </c>
      <c r="S4094">
        <v>-0.57385249999999999</v>
      </c>
      <c r="T4094">
        <v>-0.122849</v>
      </c>
      <c r="U4094">
        <v>-3.0382389999999999</v>
      </c>
      <c r="V4094">
        <v>-7.1148699999999997E-3</v>
      </c>
      <c r="W4094">
        <v>0.1708057</v>
      </c>
      <c r="X4094">
        <v>0.98527900000000002</v>
      </c>
      <c r="Y4094">
        <v>0.1408326</v>
      </c>
      <c r="Z4094">
        <v>2.6905510000000001E-2</v>
      </c>
      <c r="AA4094">
        <v>0.98966779999999999</v>
      </c>
      <c r="AB4094">
        <v>24</v>
      </c>
      <c r="AC4094">
        <v>-5.1825000000000001</v>
      </c>
      <c r="AD4094">
        <v>-1.11067120954</v>
      </c>
      <c r="AE4094">
        <v>-27.3323999999999</v>
      </c>
      <c r="AF4094">
        <v>3.9342983172153199</v>
      </c>
      <c r="AG4094">
        <v>-1.11067120954</v>
      </c>
      <c r="AH4094">
        <v>27.4950613390609</v>
      </c>
      <c r="AI4094">
        <v>92.289923277309398</v>
      </c>
      <c r="AJ4094">
        <v>81.8567619340146</v>
      </c>
      <c r="AK4094">
        <v>27.7973144714245</v>
      </c>
      <c r="AL4094">
        <v>80.165332134960195</v>
      </c>
      <c r="AM4094">
        <v>90.413735538145403</v>
      </c>
      <c r="AN4094">
        <v>0.99999995818430198</v>
      </c>
    </row>
    <row r="4095" spans="1:40" x14ac:dyDescent="0.25">
      <c r="A4095" t="str">
        <f>"20190304155715938"</f>
        <v>20190304155715938</v>
      </c>
      <c r="B4095" t="str">
        <f>"1551686235929283"</f>
        <v>1551686235929283</v>
      </c>
      <c r="C4095" t="s">
        <v>40</v>
      </c>
      <c r="D4095">
        <v>4.6530559999999896</v>
      </c>
      <c r="E4095">
        <v>0.55588319999999902</v>
      </c>
      <c r="F4095" t="s">
        <v>78</v>
      </c>
      <c r="G4095">
        <v>-195.6635</v>
      </c>
      <c r="H4095" s="1">
        <v>-1.4071740000000001E-5</v>
      </c>
      <c r="I4095">
        <v>156.3254</v>
      </c>
      <c r="J4095">
        <v>-190.46530000000001</v>
      </c>
      <c r="K4095">
        <v>1.1106320000000001</v>
      </c>
      <c r="L4095">
        <v>183.8501</v>
      </c>
      <c r="M4095">
        <v>-4.490214E-2</v>
      </c>
      <c r="N4095">
        <v>-1.291492E-2</v>
      </c>
      <c r="O4095">
        <v>-0.99890789999999996</v>
      </c>
      <c r="P4095">
        <v>-3.7904090000000001E-2</v>
      </c>
      <c r="Q4095">
        <v>0.15768270000000001</v>
      </c>
      <c r="R4095">
        <v>-0.98676229999999998</v>
      </c>
      <c r="S4095">
        <v>-0.57160949999999999</v>
      </c>
      <c r="T4095">
        <v>-0.1220012</v>
      </c>
      <c r="U4095">
        <v>-3.0380859999999998</v>
      </c>
      <c r="V4095">
        <v>-6.5985219999999999E-3</v>
      </c>
      <c r="W4095">
        <v>0.17041679999999901</v>
      </c>
      <c r="X4095">
        <v>0.98534999999999995</v>
      </c>
      <c r="Y4095">
        <v>0.14047270000000001</v>
      </c>
      <c r="Z4095">
        <v>2.666524E-2</v>
      </c>
      <c r="AA4095">
        <v>0.98972539999999998</v>
      </c>
      <c r="AB4095">
        <v>24</v>
      </c>
      <c r="AC4095">
        <v>-5.1981999999999804</v>
      </c>
      <c r="AD4095">
        <v>-1.11064607174</v>
      </c>
      <c r="AE4095">
        <v>-27.524699999999999</v>
      </c>
      <c r="AF4095">
        <v>3.9507241249679601</v>
      </c>
      <c r="AG4095">
        <v>-1.11064607174</v>
      </c>
      <c r="AH4095">
        <v>27.686836374981301</v>
      </c>
      <c r="AI4095">
        <v>92.274153804629194</v>
      </c>
      <c r="AJ4095">
        <v>81.879101512919206</v>
      </c>
      <c r="AK4095">
        <v>27.9893312578786</v>
      </c>
      <c r="AL4095">
        <v>80.187946675738303</v>
      </c>
      <c r="AM4095">
        <v>90.383682762795303</v>
      </c>
      <c r="AN4095">
        <v>1.0000000243574101</v>
      </c>
    </row>
    <row r="4096" spans="1:40" x14ac:dyDescent="0.25">
      <c r="A4096" t="str">
        <f>"20190304155715956"</f>
        <v>20190304155715956</v>
      </c>
      <c r="B4096" t="str">
        <f>"1551686235948803"</f>
        <v>1551686235948803</v>
      </c>
      <c r="C4096" t="s">
        <v>40</v>
      </c>
      <c r="D4096">
        <v>4.6667100000000001</v>
      </c>
      <c r="E4096">
        <v>0.55547460000000004</v>
      </c>
      <c r="F4096" t="s">
        <v>78</v>
      </c>
      <c r="G4096">
        <v>-195.6456</v>
      </c>
      <c r="H4096" s="1">
        <v>-1.403596E-5</v>
      </c>
      <c r="I4096">
        <v>156.2456</v>
      </c>
      <c r="J4096">
        <v>-190.4736</v>
      </c>
      <c r="K4096">
        <v>1.110595</v>
      </c>
      <c r="L4096">
        <v>183.65170000000001</v>
      </c>
      <c r="M4096">
        <v>-4.4432899999999997E-2</v>
      </c>
      <c r="N4096">
        <v>-1.287573E-2</v>
      </c>
      <c r="O4096">
        <v>-0.99892950000000003</v>
      </c>
      <c r="P4096">
        <v>-3.8164160000000003E-2</v>
      </c>
      <c r="Q4096">
        <v>0.1573764</v>
      </c>
      <c r="R4096">
        <v>-0.98680109999999999</v>
      </c>
      <c r="S4096">
        <v>-0.57009889999999996</v>
      </c>
      <c r="T4096">
        <v>-0.12222669999999999</v>
      </c>
      <c r="U4096">
        <v>-3.0378720000000001</v>
      </c>
      <c r="V4096">
        <v>-5.8607349999999997E-3</v>
      </c>
      <c r="W4096">
        <v>0.17007369999999999</v>
      </c>
      <c r="X4096">
        <v>0.98541389999999995</v>
      </c>
      <c r="Y4096">
        <v>0.14047470000000001</v>
      </c>
      <c r="Z4096">
        <v>2.6782319999999998E-2</v>
      </c>
      <c r="AA4096">
        <v>0.98972199999999999</v>
      </c>
      <c r="AB4096">
        <v>24</v>
      </c>
      <c r="AC4096">
        <v>-5.1719999999999899</v>
      </c>
      <c r="AD4096">
        <v>-1.11060903596</v>
      </c>
      <c r="AE4096">
        <v>-27.406099999999999</v>
      </c>
      <c r="AF4096">
        <v>3.9428055770793802</v>
      </c>
      <c r="AG4096">
        <v>-1.11060903596</v>
      </c>
      <c r="AH4096">
        <v>27.565143495459399</v>
      </c>
      <c r="AI4096">
        <v>92.283997428839001</v>
      </c>
      <c r="AJ4096">
        <v>81.859859753446102</v>
      </c>
      <c r="AK4096">
        <v>27.867836374119001</v>
      </c>
      <c r="AL4096">
        <v>80.207895675139895</v>
      </c>
      <c r="AM4096">
        <v>90.340761806903402</v>
      </c>
      <c r="AN4096">
        <v>0.99999998297981996</v>
      </c>
    </row>
    <row r="4097" spans="1:40" x14ac:dyDescent="0.25">
      <c r="A4097" t="str">
        <f>"20190304155715979"</f>
        <v>20190304155715979</v>
      </c>
      <c r="B4097" t="str">
        <f>"1551686235969304"</f>
        <v>1551686235969304</v>
      </c>
      <c r="C4097" t="s">
        <v>40</v>
      </c>
      <c r="D4097">
        <v>4.6323109999999996</v>
      </c>
      <c r="E4097">
        <v>0.55502510000000005</v>
      </c>
      <c r="F4097" t="s">
        <v>78</v>
      </c>
      <c r="G4097">
        <v>-195.61779999999999</v>
      </c>
      <c r="H4097" s="1">
        <v>-1.3970689999999999E-5</v>
      </c>
      <c r="I4097">
        <v>156.0993</v>
      </c>
      <c r="J4097">
        <v>-190.48320000000001</v>
      </c>
      <c r="K4097">
        <v>1.1105430000000001</v>
      </c>
      <c r="L4097">
        <v>183.4228</v>
      </c>
      <c r="M4097">
        <v>-4.3956599999999998E-2</v>
      </c>
      <c r="N4097">
        <v>-1.283494E-2</v>
      </c>
      <c r="O4097">
        <v>-0.99895109999999998</v>
      </c>
      <c r="P4097">
        <v>-3.8014869999999999E-2</v>
      </c>
      <c r="Q4097">
        <v>0.15714690000000001</v>
      </c>
      <c r="R4097">
        <v>-0.98684360000000004</v>
      </c>
      <c r="S4097">
        <v>-0.56715389999999999</v>
      </c>
      <c r="T4097">
        <v>-0.122448</v>
      </c>
      <c r="U4097">
        <v>-3.0377350000000001</v>
      </c>
      <c r="V4097">
        <v>-5.5208000000000002E-3</v>
      </c>
      <c r="W4097">
        <v>0.16980590000000001</v>
      </c>
      <c r="X4097">
        <v>0.98546210000000001</v>
      </c>
      <c r="Y4097">
        <v>0.1400275</v>
      </c>
      <c r="Z4097">
        <v>2.6901479999999998E-2</v>
      </c>
      <c r="AA4097">
        <v>0.9897821</v>
      </c>
      <c r="AB4097">
        <v>23</v>
      </c>
      <c r="AC4097">
        <v>-5.1345999999999696</v>
      </c>
      <c r="AD4097">
        <v>-1.11055697068999</v>
      </c>
      <c r="AE4097">
        <v>-27.323499999999999</v>
      </c>
      <c r="AF4097">
        <v>3.92223082245998</v>
      </c>
      <c r="AG4097">
        <v>-1.11055697068999</v>
      </c>
      <c r="AH4097">
        <v>27.4789572690499</v>
      </c>
      <c r="AI4097">
        <v>92.291142324132196</v>
      </c>
      <c r="AJ4097">
        <v>81.876711404979702</v>
      </c>
      <c r="AK4097">
        <v>27.779674656195599</v>
      </c>
      <c r="AL4097">
        <v>80.223466494263604</v>
      </c>
      <c r="AM4097">
        <v>90.320981629190399</v>
      </c>
      <c r="AN4097">
        <v>1.0000000367219199</v>
      </c>
    </row>
    <row r="4098" spans="1:40" x14ac:dyDescent="0.25">
      <c r="A4098" t="str">
        <f>"20190304155715992"</f>
        <v>20190304155715992</v>
      </c>
      <c r="B4098" t="str">
        <f>"1551686235988820"</f>
        <v>1551686235988820</v>
      </c>
      <c r="C4098" t="s">
        <v>40</v>
      </c>
      <c r="D4098">
        <v>4.639195</v>
      </c>
      <c r="E4098">
        <v>0.55476359999999902</v>
      </c>
      <c r="F4098" t="s">
        <v>78</v>
      </c>
      <c r="G4098">
        <v>-195.58009999999999</v>
      </c>
      <c r="H4098" s="1">
        <v>-1.3882809999999999E-5</v>
      </c>
      <c r="I4098">
        <v>155.90219999999999</v>
      </c>
      <c r="J4098">
        <v>-190.48929999999999</v>
      </c>
      <c r="K4098">
        <v>1.1105100000000001</v>
      </c>
      <c r="L4098">
        <v>183.27590000000001</v>
      </c>
      <c r="M4098">
        <v>-4.3684319999999999E-2</v>
      </c>
      <c r="N4098">
        <v>-1.281096E-2</v>
      </c>
      <c r="O4098">
        <v>-0.99896339999999995</v>
      </c>
      <c r="P4098">
        <v>-3.8043569999999999E-2</v>
      </c>
      <c r="Q4098">
        <v>0.1570734</v>
      </c>
      <c r="R4098">
        <v>-0.98685409999999996</v>
      </c>
      <c r="S4098">
        <v>-0.56262209999999901</v>
      </c>
      <c r="T4098">
        <v>-0.1225888</v>
      </c>
      <c r="U4098">
        <v>-3.0378569999999998</v>
      </c>
      <c r="V4098">
        <v>-5.210279E-3</v>
      </c>
      <c r="W4098">
        <v>0.1697091</v>
      </c>
      <c r="X4098">
        <v>0.98548040000000003</v>
      </c>
      <c r="Y4098">
        <v>0.13886299999999999</v>
      </c>
      <c r="Z4098">
        <v>2.697799E-2</v>
      </c>
      <c r="AA4098">
        <v>0.98994409999999999</v>
      </c>
      <c r="AB4098">
        <v>23</v>
      </c>
      <c r="AC4098">
        <v>-5.0907999999999998</v>
      </c>
      <c r="AD4098">
        <v>-1.1105238828099999</v>
      </c>
      <c r="AE4098">
        <v>-27.373699999999999</v>
      </c>
      <c r="AF4098">
        <v>3.8838614858687102</v>
      </c>
      <c r="AG4098">
        <v>-1.1105238828099999</v>
      </c>
      <c r="AH4098">
        <v>27.526181408868101</v>
      </c>
      <c r="AI4098">
        <v>92.287668658490503</v>
      </c>
      <c r="AJ4098">
        <v>81.968753959960694</v>
      </c>
      <c r="AK4098">
        <v>27.821004767794101</v>
      </c>
      <c r="AL4098">
        <v>80.229093773285598</v>
      </c>
      <c r="AM4098">
        <v>90.302922529228297</v>
      </c>
      <c r="AN4098">
        <v>0.99999997220711301</v>
      </c>
    </row>
    <row r="4099" spans="1:40" x14ac:dyDescent="0.25">
      <c r="A4099" t="str">
        <f>"20190304155716006"</f>
        <v>20190304155716006</v>
      </c>
      <c r="B4099" t="str">
        <f>"1551686235998580"</f>
        <v>1551686235998580</v>
      </c>
      <c r="C4099" t="s">
        <v>40</v>
      </c>
      <c r="D4099">
        <v>4.634315</v>
      </c>
      <c r="E4099">
        <v>0.55461939999999998</v>
      </c>
      <c r="F4099" t="s">
        <v>78</v>
      </c>
      <c r="G4099">
        <v>-195.5857</v>
      </c>
      <c r="H4099" s="1">
        <v>-1.3779400000000001E-5</v>
      </c>
      <c r="I4099">
        <v>155.66</v>
      </c>
      <c r="J4099">
        <v>-190.49529999999999</v>
      </c>
      <c r="K4099">
        <v>1.1104750000000001</v>
      </c>
      <c r="L4099">
        <v>183.1337</v>
      </c>
      <c r="M4099">
        <v>-4.345421E-2</v>
      </c>
      <c r="N4099">
        <v>-1.27898E-2</v>
      </c>
      <c r="O4099">
        <v>-0.99897360000000002</v>
      </c>
      <c r="P4099">
        <v>-3.8061619999999997E-2</v>
      </c>
      <c r="Q4099">
        <v>0.15697050000000001</v>
      </c>
      <c r="R4099">
        <v>-0.98686969999999996</v>
      </c>
      <c r="S4099">
        <v>-0.56060790000000005</v>
      </c>
      <c r="T4099">
        <v>-0.12216</v>
      </c>
      <c r="U4099">
        <v>-3.037811</v>
      </c>
      <c r="V4099">
        <v>-4.951932E-3</v>
      </c>
      <c r="W4099">
        <v>0.1695864</v>
      </c>
      <c r="X4099">
        <v>0.98550289999999996</v>
      </c>
      <c r="Y4099">
        <v>0.13846</v>
      </c>
      <c r="Z4099">
        <v>2.6864470000000001E-2</v>
      </c>
      <c r="AA4099">
        <v>0.99000359999999998</v>
      </c>
      <c r="AB4099">
        <v>23</v>
      </c>
      <c r="AC4099">
        <v>-5.0904000000000096</v>
      </c>
      <c r="AD4099">
        <v>-1.1104887794</v>
      </c>
      <c r="AE4099">
        <v>-27.473700000000001</v>
      </c>
      <c r="AF4099">
        <v>3.8855080185700102</v>
      </c>
      <c r="AG4099">
        <v>-1.1104887794</v>
      </c>
      <c r="AH4099">
        <v>27.625326278665799</v>
      </c>
      <c r="AI4099">
        <v>92.279535644351498</v>
      </c>
      <c r="AJ4099">
        <v>81.993854576329596</v>
      </c>
      <c r="AK4099">
        <v>27.919330398386901</v>
      </c>
      <c r="AL4099">
        <v>80.236227813392304</v>
      </c>
      <c r="AM4099">
        <v>90.287896074388001</v>
      </c>
      <c r="AN4099">
        <v>1.0000000173019501</v>
      </c>
    </row>
    <row r="4100" spans="1:40" x14ac:dyDescent="0.25">
      <c r="A4100" t="str">
        <f>"20190304155716024"</f>
        <v>20190304155716024</v>
      </c>
      <c r="B4100" t="str">
        <f>"1551686236019075"</f>
        <v>1551686236019075</v>
      </c>
      <c r="C4100" t="s">
        <v>40</v>
      </c>
      <c r="D4100">
        <v>4.6569500000000001</v>
      </c>
      <c r="E4100">
        <v>0.55435089999999998</v>
      </c>
      <c r="F4100" t="s">
        <v>78</v>
      </c>
      <c r="G4100">
        <v>-195.57589999999999</v>
      </c>
      <c r="H4100" s="1">
        <v>-1.3727579999999901E-5</v>
      </c>
      <c r="I4100">
        <v>155.5412</v>
      </c>
      <c r="J4100">
        <v>-190.5035</v>
      </c>
      <c r="K4100">
        <v>1.11043</v>
      </c>
      <c r="L4100">
        <v>182.93719999999999</v>
      </c>
      <c r="M4100">
        <v>-4.3183810000000003E-2</v>
      </c>
      <c r="N4100">
        <v>-1.276322E-2</v>
      </c>
      <c r="O4100">
        <v>-0.99898560000000003</v>
      </c>
      <c r="P4100">
        <v>-3.8021350000000002E-2</v>
      </c>
      <c r="Q4100">
        <v>0.15651660000000001</v>
      </c>
      <c r="R4100">
        <v>-0.98694329999999997</v>
      </c>
      <c r="S4100">
        <v>-0.55935669999999904</v>
      </c>
      <c r="T4100">
        <v>-0.1222601</v>
      </c>
      <c r="U4100">
        <v>-3.037811</v>
      </c>
      <c r="V4100">
        <v>-4.7098449999999998E-3</v>
      </c>
      <c r="W4100">
        <v>0.16910749999999999</v>
      </c>
      <c r="X4100">
        <v>0.98558630000000003</v>
      </c>
      <c r="Y4100">
        <v>0.1383335</v>
      </c>
      <c r="Z4100">
        <v>2.6925439999999998E-2</v>
      </c>
      <c r="AA4100">
        <v>0.9900196</v>
      </c>
      <c r="AB4100">
        <v>23</v>
      </c>
      <c r="AC4100">
        <v>-5.0723999999999796</v>
      </c>
      <c r="AD4100">
        <v>-1.1104437275799901</v>
      </c>
      <c r="AE4100">
        <v>-27.395999999999901</v>
      </c>
      <c r="AF4100">
        <v>3.8783467068353601</v>
      </c>
      <c r="AG4100">
        <v>-1.1104437275799901</v>
      </c>
      <c r="AH4100">
        <v>27.545747000043001</v>
      </c>
      <c r="AI4100">
        <v>92.285975446860306</v>
      </c>
      <c r="AJ4100">
        <v>81.985631738292597</v>
      </c>
      <c r="AK4100">
        <v>27.839591165118001</v>
      </c>
      <c r="AL4100">
        <v>80.264068144027405</v>
      </c>
      <c r="AM4100">
        <v>90.273798637968099</v>
      </c>
      <c r="AN4100">
        <v>0.99999994197192998</v>
      </c>
    </row>
    <row r="4101" spans="1:40" x14ac:dyDescent="0.25">
      <c r="A4101" t="str">
        <f>"20190304155716047"</f>
        <v>20190304155716047</v>
      </c>
      <c r="B4101" t="str">
        <f>"1551686236038595"</f>
        <v>1551686236038595</v>
      </c>
      <c r="C4101" t="s">
        <v>40</v>
      </c>
      <c r="D4101">
        <v>4.6587809999999896</v>
      </c>
      <c r="E4101">
        <v>0.55414030000000003</v>
      </c>
      <c r="F4101" t="s">
        <v>78</v>
      </c>
      <c r="G4101">
        <v>-195.50129999999999</v>
      </c>
      <c r="H4101" s="1">
        <v>-1.3770059999999999E-5</v>
      </c>
      <c r="I4101">
        <v>155.6557</v>
      </c>
      <c r="J4101">
        <v>-190.51310000000001</v>
      </c>
      <c r="K4101">
        <v>1.1103799999999999</v>
      </c>
      <c r="L4101">
        <v>182.7056</v>
      </c>
      <c r="M4101">
        <v>-4.2933499999999999E-2</v>
      </c>
      <c r="N4101">
        <v>-1.273531E-2</v>
      </c>
      <c r="O4101">
        <v>-0.99899680000000002</v>
      </c>
      <c r="P4101">
        <v>-3.8337509999999998E-2</v>
      </c>
      <c r="Q4101">
        <v>0.15595690000000001</v>
      </c>
      <c r="R4101">
        <v>-0.98701950000000005</v>
      </c>
      <c r="S4101">
        <v>-0.55651859999999997</v>
      </c>
      <c r="T4101">
        <v>-0.1236498</v>
      </c>
      <c r="U4101">
        <v>-3.0378419999999999</v>
      </c>
      <c r="V4101">
        <v>-4.1293880000000003E-3</v>
      </c>
      <c r="W4101">
        <v>0.16852239999999999</v>
      </c>
      <c r="X4101">
        <v>0.98568920000000004</v>
      </c>
      <c r="Y4101">
        <v>0.13768279999999999</v>
      </c>
      <c r="Z4101">
        <v>2.740809E-2</v>
      </c>
      <c r="AA4101">
        <v>0.99009709999999995</v>
      </c>
      <c r="AB4101">
        <v>23</v>
      </c>
      <c r="AC4101">
        <v>-4.9881999999999698</v>
      </c>
      <c r="AD4101">
        <v>-1.11039377006</v>
      </c>
      <c r="AE4101">
        <v>-27.049900000000001</v>
      </c>
      <c r="AF4101">
        <v>3.8159400479716199</v>
      </c>
      <c r="AG4101">
        <v>-1.11039377006</v>
      </c>
      <c r="AH4101">
        <v>27.194813790547801</v>
      </c>
      <c r="AI4101">
        <v>92.3154910218895</v>
      </c>
      <c r="AJ4101">
        <v>82.012483041551107</v>
      </c>
      <c r="AK4101">
        <v>27.483672787254399</v>
      </c>
      <c r="AL4101">
        <v>80.298080868177806</v>
      </c>
      <c r="AM4101">
        <v>90.240030143631003</v>
      </c>
      <c r="AN4101">
        <v>1.00000002507182</v>
      </c>
    </row>
    <row r="4102" spans="1:40" x14ac:dyDescent="0.25">
      <c r="A4102" t="str">
        <f>"20190304155716068"</f>
        <v>20190304155716068</v>
      </c>
      <c r="B4102" t="str">
        <f>"1551686236059091"</f>
        <v>1551686236059091</v>
      </c>
      <c r="C4102" t="s">
        <v>40</v>
      </c>
      <c r="D4102">
        <v>4.954332</v>
      </c>
      <c r="E4102">
        <v>0.55407489999999904</v>
      </c>
      <c r="F4102" t="s">
        <v>78</v>
      </c>
      <c r="G4102">
        <v>-195.42519999999999</v>
      </c>
      <c r="H4102" s="1">
        <v>-1.38372E-5</v>
      </c>
      <c r="I4102">
        <v>155.8279</v>
      </c>
      <c r="J4102">
        <v>-190.52250000000001</v>
      </c>
      <c r="K4102">
        <v>1.1103289999999999</v>
      </c>
      <c r="L4102">
        <v>182.482</v>
      </c>
      <c r="M4102">
        <v>-4.2760140000000002E-2</v>
      </c>
      <c r="N4102">
        <v>-1.271159E-2</v>
      </c>
      <c r="O4102">
        <v>-0.99900480000000003</v>
      </c>
      <c r="P4102">
        <v>-3.8638369999999998E-2</v>
      </c>
      <c r="Q4102">
        <v>0.1553571</v>
      </c>
      <c r="R4102">
        <v>-0.98710310000000001</v>
      </c>
      <c r="S4102">
        <v>-0.55516049999999995</v>
      </c>
      <c r="T4102">
        <v>-0.125497</v>
      </c>
      <c r="U4102">
        <v>-3.0377200000000002</v>
      </c>
      <c r="V4102">
        <v>-3.6419059999999999E-3</v>
      </c>
      <c r="W4102">
        <v>0.16790099999999999</v>
      </c>
      <c r="X4102">
        <v>0.98579709999999998</v>
      </c>
      <c r="Y4102">
        <v>0.13742989999999999</v>
      </c>
      <c r="Z4102">
        <v>2.8033909999999999E-2</v>
      </c>
      <c r="AA4102">
        <v>0.99011470000000001</v>
      </c>
      <c r="AB4102">
        <v>23</v>
      </c>
      <c r="AC4102">
        <v>-4.9026999999999799</v>
      </c>
      <c r="AD4102">
        <v>-1.1103428371999999</v>
      </c>
      <c r="AE4102">
        <v>-26.6541</v>
      </c>
      <c r="AF4102">
        <v>3.7520922156602801</v>
      </c>
      <c r="AG4102">
        <v>-1.1103428371999999</v>
      </c>
      <c r="AH4102">
        <v>26.794398483360201</v>
      </c>
      <c r="AI4102">
        <v>92.350039798383094</v>
      </c>
      <c r="AJ4102">
        <v>82.028551531297595</v>
      </c>
      <c r="AK4102">
        <v>27.078604973226302</v>
      </c>
      <c r="AL4102">
        <v>80.334198539910503</v>
      </c>
      <c r="AM4102">
        <v>90.211671239316303</v>
      </c>
      <c r="AN4102">
        <v>0.99999996582436002</v>
      </c>
    </row>
    <row r="4103" spans="1:40" x14ac:dyDescent="0.25">
      <c r="A4103" t="str">
        <f>"20190304155716081"</f>
        <v>20190304155716081</v>
      </c>
      <c r="B4103" t="str">
        <f>"1551686236078612"</f>
        <v>1551686236078612</v>
      </c>
      <c r="C4103" t="s">
        <v>40</v>
      </c>
      <c r="D4103">
        <v>4.6400839999999999</v>
      </c>
      <c r="E4103">
        <v>0.55388029999999999</v>
      </c>
      <c r="F4103" t="s">
        <v>78</v>
      </c>
      <c r="G4103">
        <v>-195.3665</v>
      </c>
      <c r="H4103" s="1">
        <v>-1.389691E-5</v>
      </c>
      <c r="I4103">
        <v>155.97919999999999</v>
      </c>
      <c r="J4103">
        <v>-190.5283</v>
      </c>
      <c r="K4103">
        <v>1.1103000000000001</v>
      </c>
      <c r="L4103">
        <v>182.34399999999999</v>
      </c>
      <c r="M4103">
        <v>-4.2685479999999998E-2</v>
      </c>
      <c r="N4103">
        <v>-1.2698620000000001E-2</v>
      </c>
      <c r="O4103">
        <v>-0.99900789999999995</v>
      </c>
      <c r="P4103">
        <v>-3.87493E-2</v>
      </c>
      <c r="Q4103">
        <v>0.15499859999999999</v>
      </c>
      <c r="R4103">
        <v>-0.98715469999999905</v>
      </c>
      <c r="S4103">
        <v>-0.5551758</v>
      </c>
      <c r="T4103">
        <v>-0.1272575</v>
      </c>
      <c r="U4103">
        <v>-3.037506</v>
      </c>
      <c r="V4103">
        <v>-3.4489289999999999E-3</v>
      </c>
      <c r="W4103">
        <v>0.16753100000000001</v>
      </c>
      <c r="X4103">
        <v>0.98586079999999998</v>
      </c>
      <c r="Y4103">
        <v>0.13751759999999999</v>
      </c>
      <c r="Z4103">
        <v>2.8619579999999999E-2</v>
      </c>
      <c r="AA4103">
        <v>0.99008580000000002</v>
      </c>
      <c r="AB4103">
        <v>23</v>
      </c>
      <c r="AC4103">
        <v>-4.8381999999999996</v>
      </c>
      <c r="AD4103">
        <v>-1.1103138969099999</v>
      </c>
      <c r="AE4103">
        <v>-26.364799999999999</v>
      </c>
      <c r="AF4103">
        <v>3.7019530287228002</v>
      </c>
      <c r="AG4103">
        <v>-1.1103138969099999</v>
      </c>
      <c r="AH4103">
        <v>26.501832752542501</v>
      </c>
      <c r="AI4103">
        <v>92.376004176046195</v>
      </c>
      <c r="AJ4103">
        <v>82.047997187674795</v>
      </c>
      <c r="AK4103">
        <v>26.782165566292001</v>
      </c>
      <c r="AL4103">
        <v>80.355703142955093</v>
      </c>
      <c r="AM4103">
        <v>90.200442364056897</v>
      </c>
      <c r="AN4103">
        <v>1.00000002402444</v>
      </c>
    </row>
    <row r="4104" spans="1:40" x14ac:dyDescent="0.25">
      <c r="A4104" t="str">
        <f>"20190304155716094"</f>
        <v>20190304155716094</v>
      </c>
      <c r="B4104" t="str">
        <f>"1551686236089348"</f>
        <v>1551686236089348</v>
      </c>
      <c r="C4104" t="s">
        <v>40</v>
      </c>
      <c r="D4104">
        <v>4.6538559999999896</v>
      </c>
      <c r="E4104">
        <v>0.55377759999999998</v>
      </c>
      <c r="F4104" t="s">
        <v>78</v>
      </c>
      <c r="G4104">
        <v>-195.3347</v>
      </c>
      <c r="H4104" s="1">
        <v>-1.3898649999999999E-5</v>
      </c>
      <c r="I4104">
        <v>155.9898</v>
      </c>
      <c r="J4104">
        <v>-190.53380000000001</v>
      </c>
      <c r="K4104">
        <v>1.110274</v>
      </c>
      <c r="L4104">
        <v>182.2122</v>
      </c>
      <c r="M4104">
        <v>-4.2624960000000003E-2</v>
      </c>
      <c r="N4104">
        <v>-1.2686889999999999E-2</v>
      </c>
      <c r="O4104">
        <v>-0.99901050000000002</v>
      </c>
      <c r="P4104">
        <v>-3.8856910000000001E-2</v>
      </c>
      <c r="Q4104">
        <v>0.1547326</v>
      </c>
      <c r="R4104">
        <v>-0.98719190000000001</v>
      </c>
      <c r="S4104">
        <v>-0.55395509999999903</v>
      </c>
      <c r="T4104">
        <v>-0.12796589999999999</v>
      </c>
      <c r="U4104">
        <v>-3.037369</v>
      </c>
      <c r="V4104">
        <v>-3.2746799999999999E-3</v>
      </c>
      <c r="W4104">
        <v>0.16725419999999999</v>
      </c>
      <c r="X4104">
        <v>0.98590840000000002</v>
      </c>
      <c r="Y4104">
        <v>0.13719919999999999</v>
      </c>
      <c r="Z4104">
        <v>2.8864910000000001E-2</v>
      </c>
      <c r="AA4104">
        <v>0.99012279999999997</v>
      </c>
      <c r="AB4104">
        <v>23</v>
      </c>
      <c r="AC4104">
        <v>-4.80089999999998</v>
      </c>
      <c r="AD4104">
        <v>-1.11028789865</v>
      </c>
      <c r="AE4104">
        <v>-26.2224</v>
      </c>
      <c r="AF4104">
        <v>3.67234697917679</v>
      </c>
      <c r="AG4104">
        <v>-1.11028789865</v>
      </c>
      <c r="AH4104">
        <v>26.357497833513801</v>
      </c>
      <c r="AI4104">
        <v>92.389061386545393</v>
      </c>
      <c r="AJ4104">
        <v>82.068135398854494</v>
      </c>
      <c r="AK4104">
        <v>26.635250394862901</v>
      </c>
      <c r="AL4104">
        <v>80.371789667229905</v>
      </c>
      <c r="AM4104">
        <v>90.190306374591302</v>
      </c>
      <c r="AN4104">
        <v>1.00000003206865</v>
      </c>
    </row>
    <row r="4105" spans="1:40" x14ac:dyDescent="0.25">
      <c r="A4105" t="str">
        <f>"20190304155716106"</f>
        <v>20190304155716106</v>
      </c>
      <c r="B4105" t="str">
        <f>"1551686236099107"</f>
        <v>1551686236099107</v>
      </c>
      <c r="C4105" t="s">
        <v>40</v>
      </c>
      <c r="D4105">
        <v>4.6471559999999998</v>
      </c>
      <c r="E4105">
        <v>0.55369449999999998</v>
      </c>
      <c r="F4105" t="s">
        <v>78</v>
      </c>
      <c r="G4105">
        <v>-195.3365</v>
      </c>
      <c r="H4105" s="1">
        <v>-1.3837810000000001E-5</v>
      </c>
      <c r="I4105">
        <v>155.8477</v>
      </c>
      <c r="J4105">
        <v>-190.5394</v>
      </c>
      <c r="K4105">
        <v>1.1102529999999999</v>
      </c>
      <c r="L4105">
        <v>182.07990000000001</v>
      </c>
      <c r="M4105">
        <v>-4.2578779999999997E-2</v>
      </c>
      <c r="N4105">
        <v>-1.267604E-2</v>
      </c>
      <c r="O4105">
        <v>-0.99901260000000003</v>
      </c>
      <c r="P4105">
        <v>-3.9143610000000002E-2</v>
      </c>
      <c r="Q4105">
        <v>0.15448619999999999</v>
      </c>
      <c r="R4105">
        <v>-0.98721930000000002</v>
      </c>
      <c r="S4105">
        <v>-0.55326839999999999</v>
      </c>
      <c r="T4105">
        <v>-0.12790409999999999</v>
      </c>
      <c r="U4105">
        <v>-3.0371700000000001</v>
      </c>
      <c r="V4105">
        <v>-2.9367949999999999E-3</v>
      </c>
      <c r="W4105">
        <v>0.16699749999999999</v>
      </c>
      <c r="X4105">
        <v>0.98595299999999997</v>
      </c>
      <c r="Y4105">
        <v>0.13703989999999999</v>
      </c>
      <c r="Z4105">
        <v>2.8859639999999999E-2</v>
      </c>
      <c r="AA4105">
        <v>0.99014500000000005</v>
      </c>
      <c r="AB4105">
        <v>23</v>
      </c>
      <c r="AC4105">
        <v>-4.7971000000000004</v>
      </c>
      <c r="AD4105">
        <v>-1.11026683781</v>
      </c>
      <c r="AE4105">
        <v>-26.232199999999999</v>
      </c>
      <c r="AF4105">
        <v>3.6693634616106698</v>
      </c>
      <c r="AG4105">
        <v>-1.11026683781</v>
      </c>
      <c r="AH4105">
        <v>26.366973045956701</v>
      </c>
      <c r="AI4105">
        <v>92.388211785902001</v>
      </c>
      <c r="AJ4105">
        <v>82.077309477252996</v>
      </c>
      <c r="AK4105">
        <v>26.644214911885701</v>
      </c>
      <c r="AL4105">
        <v>80.386707514133604</v>
      </c>
      <c r="AM4105">
        <v>90.170662760967303</v>
      </c>
      <c r="AN4105">
        <v>1.00000005399005</v>
      </c>
    </row>
    <row r="4106" spans="1:40" x14ac:dyDescent="0.25">
      <c r="A4106" t="str">
        <f>"20190304155716123"</f>
        <v>20190304155716123</v>
      </c>
      <c r="B4106" t="str">
        <f>"1551686236118628"</f>
        <v>1551686236118628</v>
      </c>
      <c r="C4106" t="s">
        <v>40</v>
      </c>
      <c r="D4106">
        <v>4.6287669999999999</v>
      </c>
      <c r="E4106">
        <v>0.55355909999999997</v>
      </c>
      <c r="F4106" t="s">
        <v>78</v>
      </c>
      <c r="G4106">
        <v>-195.34039999999999</v>
      </c>
      <c r="H4106" s="1">
        <v>-1.3788070000000001E-5</v>
      </c>
      <c r="I4106">
        <v>155.73089999999999</v>
      </c>
      <c r="J4106">
        <v>-190.54650000000001</v>
      </c>
      <c r="K4106">
        <v>1.1102299999999901</v>
      </c>
      <c r="L4106">
        <v>181.91040000000001</v>
      </c>
      <c r="M4106">
        <v>-4.2534809999999999E-2</v>
      </c>
      <c r="N4106">
        <v>-1.266341E-2</v>
      </c>
      <c r="O4106">
        <v>-0.99901479999999998</v>
      </c>
      <c r="P4106">
        <v>-3.94276E-2</v>
      </c>
      <c r="Q4106">
        <v>0.15398789999999901</v>
      </c>
      <c r="R4106">
        <v>-0.98728570000000004</v>
      </c>
      <c r="S4106">
        <v>-0.55335999999999996</v>
      </c>
      <c r="T4106">
        <v>-0.12796740000000001</v>
      </c>
      <c r="U4106">
        <v>-3.0369419999999998</v>
      </c>
      <c r="V4106">
        <v>-2.6055739999999998E-3</v>
      </c>
      <c r="W4106">
        <v>0.16648779999999999</v>
      </c>
      <c r="X4106">
        <v>0.98604009999999997</v>
      </c>
      <c r="Y4106">
        <v>0.13712539999999901</v>
      </c>
      <c r="Z4106">
        <v>2.8895520000000001E-2</v>
      </c>
      <c r="AA4106">
        <v>0.99013220000000002</v>
      </c>
      <c r="AB4106">
        <v>23</v>
      </c>
      <c r="AC4106">
        <v>-4.7938999999999696</v>
      </c>
      <c r="AD4106">
        <v>-1.11024378806999</v>
      </c>
      <c r="AE4106">
        <v>-26.179500000000001</v>
      </c>
      <c r="AF4106">
        <v>3.6695458685730902</v>
      </c>
      <c r="AG4106">
        <v>-1.11024378806999</v>
      </c>
      <c r="AH4106">
        <v>26.3139367662232</v>
      </c>
      <c r="AI4106">
        <v>92.392876182536398</v>
      </c>
      <c r="AJ4106">
        <v>82.061154912345799</v>
      </c>
      <c r="AK4106">
        <v>26.591755795496098</v>
      </c>
      <c r="AL4106">
        <v>80.416325560077397</v>
      </c>
      <c r="AM4106">
        <v>90.151401597091606</v>
      </c>
      <c r="AN4106">
        <v>1.0000000276863501</v>
      </c>
    </row>
    <row r="4107" spans="1:40" x14ac:dyDescent="0.25">
      <c r="A4107" t="str">
        <f>"20190304155716136"</f>
        <v>20190304155716136</v>
      </c>
      <c r="B4107" t="str">
        <f>"1551686236129364"</f>
        <v>1551686236129364</v>
      </c>
      <c r="C4107" t="s">
        <v>40</v>
      </c>
      <c r="D4107">
        <v>4.6322489999999998</v>
      </c>
      <c r="E4107">
        <v>0.55351609999999996</v>
      </c>
      <c r="F4107" t="s">
        <v>78</v>
      </c>
      <c r="G4107">
        <v>-195.34379999999999</v>
      </c>
      <c r="H4107" s="1">
        <v>-1.370992E-5</v>
      </c>
      <c r="I4107">
        <v>155.548</v>
      </c>
      <c r="J4107">
        <v>-190.5522</v>
      </c>
      <c r="K4107">
        <v>1.11022</v>
      </c>
      <c r="L4107">
        <v>181.7774</v>
      </c>
      <c r="M4107">
        <v>-4.2506620000000002E-2</v>
      </c>
      <c r="N4107">
        <v>-1.2654240000000001E-2</v>
      </c>
      <c r="O4107">
        <v>-0.99901649999999997</v>
      </c>
      <c r="P4107">
        <v>-3.9504850000000001E-2</v>
      </c>
      <c r="Q4107">
        <v>0.15366589999999999</v>
      </c>
      <c r="R4107">
        <v>-0.98733340000000003</v>
      </c>
      <c r="S4107">
        <v>-0.55256649999999996</v>
      </c>
      <c r="T4107">
        <v>-0.1278821</v>
      </c>
      <c r="U4107">
        <v>-3.0365139999999999</v>
      </c>
      <c r="V4107">
        <v>-2.4994539999999999E-3</v>
      </c>
      <c r="W4107">
        <v>0.16615769999999999</v>
      </c>
      <c r="X4107">
        <v>0.98609599999999997</v>
      </c>
      <c r="Y4107">
        <v>0.13692770000000001</v>
      </c>
      <c r="Z4107">
        <v>2.8884300000000002E-2</v>
      </c>
      <c r="AA4107">
        <v>0.99015989999999998</v>
      </c>
      <c r="AB4107">
        <v>23</v>
      </c>
      <c r="AC4107">
        <v>-4.7915999999999803</v>
      </c>
      <c r="AD4107">
        <v>-1.1102337099199999</v>
      </c>
      <c r="AE4107">
        <v>-26.229399999999998</v>
      </c>
      <c r="AF4107">
        <v>3.66590079737139</v>
      </c>
      <c r="AG4107">
        <v>-1.1102337099199999</v>
      </c>
      <c r="AH4107">
        <v>26.363671690102699</v>
      </c>
      <c r="AI4107">
        <v>92.3884764022892</v>
      </c>
      <c r="AJ4107">
        <v>82.083712449608797</v>
      </c>
      <c r="AK4107">
        <v>26.6404698256306</v>
      </c>
      <c r="AL4107">
        <v>80.435505544668203</v>
      </c>
      <c r="AM4107">
        <v>90.145227096143898</v>
      </c>
      <c r="AN4107">
        <v>0.99999997487779302</v>
      </c>
    </row>
    <row r="4108" spans="1:40" x14ac:dyDescent="0.25">
      <c r="A4108" t="str">
        <f>"20190304155716148"</f>
        <v>20190304155716148</v>
      </c>
      <c r="B4108" t="str">
        <f>"1551686236139123"</f>
        <v>1551686236139123</v>
      </c>
      <c r="C4108" t="s">
        <v>40</v>
      </c>
      <c r="D4108">
        <v>4.623901</v>
      </c>
      <c r="E4108">
        <v>0.55357829999999997</v>
      </c>
      <c r="F4108" t="s">
        <v>78</v>
      </c>
      <c r="G4108">
        <v>-195.3331</v>
      </c>
      <c r="H4108" s="1">
        <v>-1.3682730000000001E-5</v>
      </c>
      <c r="I4108">
        <v>155.48689999999999</v>
      </c>
      <c r="J4108">
        <v>-190.55770000000001</v>
      </c>
      <c r="K4108">
        <v>1.1102160000000001</v>
      </c>
      <c r="L4108">
        <v>181.6447</v>
      </c>
      <c r="M4108">
        <v>-4.2482590000000001E-2</v>
      </c>
      <c r="N4108">
        <v>-1.2645689999999999E-2</v>
      </c>
      <c r="O4108">
        <v>-0.99901740000000006</v>
      </c>
      <c r="P4108">
        <v>-3.9538410000000003E-2</v>
      </c>
      <c r="Q4108">
        <v>0.15369449999999901</v>
      </c>
      <c r="R4108">
        <v>-0.98732730000000002</v>
      </c>
      <c r="S4108">
        <v>-0.55216980000000004</v>
      </c>
      <c r="T4108">
        <v>-0.12822529999999999</v>
      </c>
      <c r="U4108">
        <v>-3.0363920000000002</v>
      </c>
      <c r="V4108">
        <v>-2.4402009999999999E-3</v>
      </c>
      <c r="W4108">
        <v>0.16617750000000001</v>
      </c>
      <c r="X4108">
        <v>0.98609290000000005</v>
      </c>
      <c r="Y4108">
        <v>0.1368326</v>
      </c>
      <c r="Z4108">
        <v>2.9006400000000002E-2</v>
      </c>
      <c r="AA4108">
        <v>0.99016939999999998</v>
      </c>
      <c r="AB4108">
        <v>23</v>
      </c>
      <c r="AC4108">
        <v>-4.7753999999999897</v>
      </c>
      <c r="AD4108">
        <v>-1.11022968272999</v>
      </c>
      <c r="AE4108">
        <v>-26.157800000000002</v>
      </c>
      <c r="AF4108">
        <v>3.65337928827784</v>
      </c>
      <c r="AG4108">
        <v>-1.11022968272999</v>
      </c>
      <c r="AH4108">
        <v>26.291233853538699</v>
      </c>
      <c r="AI4108">
        <v>92.395071210420099</v>
      </c>
      <c r="AJ4108">
        <v>82.088948190722704</v>
      </c>
      <c r="AK4108">
        <v>26.567061706441901</v>
      </c>
      <c r="AL4108">
        <v>80.434355932975393</v>
      </c>
      <c r="AM4108">
        <v>90.141784747737404</v>
      </c>
      <c r="AN4108">
        <v>1.0000000617587801</v>
      </c>
    </row>
    <row r="4109" spans="1:40" x14ac:dyDescent="0.25">
      <c r="A4109" t="str">
        <f>"20190304155716168"</f>
        <v>20190304155716168</v>
      </c>
      <c r="B4109" t="str">
        <f>"1551686236158643"</f>
        <v>1551686236158643</v>
      </c>
      <c r="C4109" t="s">
        <v>40</v>
      </c>
      <c r="D4109">
        <v>4.5964669999999996</v>
      </c>
      <c r="E4109">
        <v>0.55357529999999999</v>
      </c>
      <c r="F4109" t="s">
        <v>78</v>
      </c>
      <c r="G4109">
        <v>-195.38810000000001</v>
      </c>
      <c r="H4109" s="1">
        <v>-1.351812E-5</v>
      </c>
      <c r="I4109">
        <v>155.09180000000001</v>
      </c>
      <c r="J4109">
        <v>-190.56639999999999</v>
      </c>
      <c r="K4109">
        <v>1.110212</v>
      </c>
      <c r="L4109">
        <v>181.4392</v>
      </c>
      <c r="M4109">
        <v>-4.2446730000000002E-2</v>
      </c>
      <c r="N4109">
        <v>-1.263383E-2</v>
      </c>
      <c r="O4109">
        <v>-0.99901899999999999</v>
      </c>
      <c r="P4109">
        <v>-3.9748859999999997E-2</v>
      </c>
      <c r="Q4109">
        <v>0.15347239999999901</v>
      </c>
      <c r="R4109">
        <v>-0.98735340000000005</v>
      </c>
      <c r="S4109">
        <v>-0.55232239999999999</v>
      </c>
      <c r="T4109">
        <v>-0.1269479</v>
      </c>
      <c r="U4109">
        <v>-3.0361630000000002</v>
      </c>
      <c r="V4109">
        <v>-2.19578E-3</v>
      </c>
      <c r="W4109">
        <v>0.16594419999999999</v>
      </c>
      <c r="X4109">
        <v>0.98613269999999997</v>
      </c>
      <c r="Y4109">
        <v>0.1369319</v>
      </c>
      <c r="Z4109">
        <v>2.8606989999999999E-2</v>
      </c>
      <c r="AA4109">
        <v>0.99016729999999997</v>
      </c>
      <c r="AB4109">
        <v>23</v>
      </c>
      <c r="AC4109">
        <v>-4.8217000000000203</v>
      </c>
      <c r="AD4109">
        <v>-1.11022551812</v>
      </c>
      <c r="AE4109">
        <v>-26.3474</v>
      </c>
      <c r="AF4109">
        <v>3.6925595238247002</v>
      </c>
      <c r="AG4109">
        <v>-1.11022551812</v>
      </c>
      <c r="AH4109">
        <v>26.482832532855099</v>
      </c>
      <c r="AI4109">
        <v>92.377600582819795</v>
      </c>
      <c r="AJ4109">
        <v>82.062299419906793</v>
      </c>
      <c r="AK4109">
        <v>26.762062990384798</v>
      </c>
      <c r="AL4109">
        <v>80.447910655402197</v>
      </c>
      <c r="AM4109">
        <v>90.127577879548497</v>
      </c>
      <c r="AN4109">
        <v>1.0000000004863601</v>
      </c>
    </row>
    <row r="4110" spans="1:40" x14ac:dyDescent="0.25">
      <c r="A4110" t="str">
        <f>"20190304155716180"</f>
        <v>20190304155716180</v>
      </c>
      <c r="B4110" t="str">
        <f>"1551686236169380"</f>
        <v>1551686236169380</v>
      </c>
      <c r="C4110" t="s">
        <v>40</v>
      </c>
      <c r="D4110">
        <v>4.6612239999999998</v>
      </c>
      <c r="E4110">
        <v>0.55358309999999999</v>
      </c>
      <c r="F4110" t="s">
        <v>78</v>
      </c>
      <c r="G4110">
        <v>-195.43440000000001</v>
      </c>
      <c r="H4110" s="1">
        <v>-1.3341789999999999E-5</v>
      </c>
      <c r="I4110">
        <v>154.6712</v>
      </c>
      <c r="J4110">
        <v>-190.5718</v>
      </c>
      <c r="K4110">
        <v>1.1102080000000001</v>
      </c>
      <c r="L4110">
        <v>181.31180000000001</v>
      </c>
      <c r="M4110">
        <v>-4.2413949999999999E-2</v>
      </c>
      <c r="N4110">
        <v>-1.2627269999999999E-2</v>
      </c>
      <c r="O4110">
        <v>-0.99902020000000002</v>
      </c>
      <c r="P4110">
        <v>-4.0039709999999999E-2</v>
      </c>
      <c r="Q4110">
        <v>0.1534885</v>
      </c>
      <c r="R4110">
        <v>-0.98733870000000001</v>
      </c>
      <c r="S4110">
        <v>-0.55207819999999996</v>
      </c>
      <c r="T4110">
        <v>-0.12591169999999999</v>
      </c>
      <c r="U4110">
        <v>-3.0357820000000002</v>
      </c>
      <c r="V4110">
        <v>-1.8717930000000001E-3</v>
      </c>
      <c r="W4110">
        <v>0.16595360000000001</v>
      </c>
      <c r="X4110">
        <v>0.9861318</v>
      </c>
      <c r="Y4110">
        <v>0.13691120000000001</v>
      </c>
      <c r="Z4110">
        <v>2.8283200000000001E-2</v>
      </c>
      <c r="AA4110">
        <v>0.99017949999999999</v>
      </c>
      <c r="AB4110">
        <v>23</v>
      </c>
      <c r="AC4110">
        <v>-4.8626000000000102</v>
      </c>
      <c r="AD4110">
        <v>-1.11022134179</v>
      </c>
      <c r="AE4110">
        <v>-26.640599999999999</v>
      </c>
      <c r="AF4110">
        <v>3.72194466464589</v>
      </c>
      <c r="AG4110">
        <v>-1.11022134179</v>
      </c>
      <c r="AH4110">
        <v>26.7778750695756</v>
      </c>
      <c r="AI4110">
        <v>92.3515653595571</v>
      </c>
      <c r="AJ4110">
        <v>82.086969452086905</v>
      </c>
      <c r="AK4110">
        <v>27.058086716474399</v>
      </c>
      <c r="AL4110">
        <v>80.447364632287702</v>
      </c>
      <c r="AM4110">
        <v>90.108753931498399</v>
      </c>
      <c r="AN4110">
        <v>1.0000000139666101</v>
      </c>
    </row>
    <row r="4111" spans="1:40" x14ac:dyDescent="0.25">
      <c r="A4111" t="str">
        <f>"20190304155716192"</f>
        <v>20190304155716192</v>
      </c>
      <c r="B4111" t="str">
        <f>"1551686236188899"</f>
        <v>1551686236188899</v>
      </c>
      <c r="C4111" t="s">
        <v>40</v>
      </c>
      <c r="D4111">
        <v>4.6276109999999999</v>
      </c>
      <c r="E4111">
        <v>0.55353660000000005</v>
      </c>
      <c r="F4111" t="s">
        <v>78</v>
      </c>
      <c r="G4111">
        <v>-195.47149999999999</v>
      </c>
      <c r="H4111" s="1">
        <v>-1.3266400000000001E-5</v>
      </c>
      <c r="I4111">
        <v>154.3972</v>
      </c>
      <c r="J4111">
        <v>-190.57730000000001</v>
      </c>
      <c r="K4111">
        <v>1.1102080000000001</v>
      </c>
      <c r="L4111">
        <v>181.18199999999999</v>
      </c>
      <c r="M4111">
        <v>-4.2377980000000003E-2</v>
      </c>
      <c r="N4111">
        <v>-1.2620889999999999E-2</v>
      </c>
      <c r="O4111">
        <v>-0.99902210000000002</v>
      </c>
      <c r="P4111">
        <v>-4.0248909999999999E-2</v>
      </c>
      <c r="Q4111">
        <v>0.1532406</v>
      </c>
      <c r="R4111">
        <v>-0.98736889999999999</v>
      </c>
      <c r="S4111">
        <v>-0.55261229999999995</v>
      </c>
      <c r="T4111">
        <v>-0.1252152</v>
      </c>
      <c r="U4111">
        <v>-3.0355379999999998</v>
      </c>
      <c r="V4111">
        <v>-1.628757E-3</v>
      </c>
      <c r="W4111">
        <v>0.1657006</v>
      </c>
      <c r="X4111">
        <v>0.98617480000000002</v>
      </c>
      <c r="Y4111">
        <v>0.1371308</v>
      </c>
      <c r="Z4111">
        <v>2.8065900000000001E-2</v>
      </c>
      <c r="AA4111">
        <v>0.99015529999999996</v>
      </c>
      <c r="AB4111">
        <v>23</v>
      </c>
      <c r="AC4111">
        <v>-4.8941999999999801</v>
      </c>
      <c r="AD4111">
        <v>-1.1102212664</v>
      </c>
      <c r="AE4111">
        <v>-26.784800000000001</v>
      </c>
      <c r="AF4111">
        <v>3.7483947001490199</v>
      </c>
      <c r="AG4111">
        <v>-1.1102212664</v>
      </c>
      <c r="AH4111">
        <v>26.9233949108465</v>
      </c>
      <c r="AI4111">
        <v>92.338795539741696</v>
      </c>
      <c r="AJ4111">
        <v>82.0739760922051</v>
      </c>
      <c r="AK4111">
        <v>27.2057392403491</v>
      </c>
      <c r="AL4111">
        <v>80.462064219364805</v>
      </c>
      <c r="AM4111">
        <v>90.094629083100102</v>
      </c>
      <c r="AN4111">
        <v>1.00000003892238</v>
      </c>
    </row>
    <row r="4112" spans="1:40" x14ac:dyDescent="0.25">
      <c r="A4112" t="str">
        <f>"20190304155716204"</f>
        <v>20190304155716204</v>
      </c>
      <c r="B4112" t="str">
        <f>"1551686236198660"</f>
        <v>1551686236198660</v>
      </c>
      <c r="C4112" t="s">
        <v>40</v>
      </c>
      <c r="D4112">
        <v>4.6712410000000002</v>
      </c>
      <c r="E4112">
        <v>0.55348459999999999</v>
      </c>
      <c r="F4112" t="s">
        <v>78</v>
      </c>
      <c r="G4112">
        <v>-195.5164</v>
      </c>
      <c r="H4112" s="1">
        <v>-1.318345E-5</v>
      </c>
      <c r="I4112">
        <v>154.05170000000001</v>
      </c>
      <c r="J4112">
        <v>-190.58260000000001</v>
      </c>
      <c r="K4112">
        <v>1.1102099999999999</v>
      </c>
      <c r="L4112">
        <v>181.0556</v>
      </c>
      <c r="M4112">
        <v>-4.2340299999999997E-2</v>
      </c>
      <c r="N4112">
        <v>-1.261522E-2</v>
      </c>
      <c r="O4112">
        <v>-0.99902389999999996</v>
      </c>
      <c r="P4112">
        <v>-4.0691110000000003E-2</v>
      </c>
      <c r="Q4112">
        <v>0.15289720000000001</v>
      </c>
      <c r="R4112">
        <v>-0.98740430000000001</v>
      </c>
      <c r="S4112">
        <v>-0.55255129999999997</v>
      </c>
      <c r="T4112">
        <v>-0.12420299999999999</v>
      </c>
      <c r="U4112">
        <v>-3.035126</v>
      </c>
      <c r="V4112">
        <v>-1.1524669999999999E-3</v>
      </c>
      <c r="W4112">
        <v>0.16535169999999999</v>
      </c>
      <c r="X4112">
        <v>0.98623400000000006</v>
      </c>
      <c r="Y4112">
        <v>0.1371744</v>
      </c>
      <c r="Z4112">
        <v>2.7748869999999998E-2</v>
      </c>
      <c r="AA4112">
        <v>0.99015810000000004</v>
      </c>
      <c r="AB4112">
        <v>23</v>
      </c>
      <c r="AC4112">
        <v>-4.93379999999999</v>
      </c>
      <c r="AD4112">
        <v>-1.11022318345</v>
      </c>
      <c r="AE4112">
        <v>-27.003899999999899</v>
      </c>
      <c r="AF4112">
        <v>3.7797484460138402</v>
      </c>
      <c r="AG4112">
        <v>-1.11022318345</v>
      </c>
      <c r="AH4112">
        <v>27.144195395133099</v>
      </c>
      <c r="AI4112">
        <v>92.319788673525494</v>
      </c>
      <c r="AJ4112">
        <v>82.072706946997599</v>
      </c>
      <c r="AK4112">
        <v>27.428569730873299</v>
      </c>
      <c r="AL4112">
        <v>80.482334035421502</v>
      </c>
      <c r="AM4112">
        <v>90.066953142025497</v>
      </c>
      <c r="AN4112">
        <v>1.0000000078145299</v>
      </c>
    </row>
    <row r="4113" spans="1:40" x14ac:dyDescent="0.25">
      <c r="A4113" t="str">
        <f>"20190304155716218"</f>
        <v>20190304155716218</v>
      </c>
      <c r="B4113" t="str">
        <f>"1551686236208420"</f>
        <v>1551686236208420</v>
      </c>
      <c r="C4113" t="s">
        <v>40</v>
      </c>
      <c r="D4113">
        <v>5.3366339999999903</v>
      </c>
      <c r="E4113">
        <v>0.55348459999999999</v>
      </c>
      <c r="F4113" t="s">
        <v>78</v>
      </c>
      <c r="G4113">
        <v>-195.49080000000001</v>
      </c>
      <c r="H4113" s="1">
        <v>-1.32035E-5</v>
      </c>
      <c r="I4113">
        <v>154.1404</v>
      </c>
      <c r="J4113">
        <v>-190.5881</v>
      </c>
      <c r="K4113">
        <v>1.110215</v>
      </c>
      <c r="L4113">
        <v>180.92570000000001</v>
      </c>
      <c r="M4113">
        <v>-4.2301320000000003E-2</v>
      </c>
      <c r="N4113">
        <v>-1.2609759999999999E-2</v>
      </c>
      <c r="O4113">
        <v>-0.9990253</v>
      </c>
      <c r="P4113">
        <v>-4.0962720000000001E-2</v>
      </c>
      <c r="Q4113">
        <v>0.15300079999999999</v>
      </c>
      <c r="R4113">
        <v>-0.9873769</v>
      </c>
      <c r="S4113">
        <v>-0.55343629999999999</v>
      </c>
      <c r="T4113">
        <v>-0.12518479999999901</v>
      </c>
      <c r="U4113">
        <v>-3.0348660000000001</v>
      </c>
      <c r="V4113">
        <v>-8.4442440000000001E-4</v>
      </c>
      <c r="W4113">
        <v>0.16545000000000001</v>
      </c>
      <c r="X4113">
        <v>0.98621780000000003</v>
      </c>
      <c r="Y4113">
        <v>0.1375054</v>
      </c>
      <c r="Z4113">
        <v>2.8074100000000001E-2</v>
      </c>
      <c r="AA4113">
        <v>0.99010310000000001</v>
      </c>
      <c r="AB4113">
        <v>23</v>
      </c>
      <c r="AC4113">
        <v>-4.9027000000000003</v>
      </c>
      <c r="AD4113">
        <v>-1.1102282035</v>
      </c>
      <c r="AE4113">
        <v>-26.785299999999999</v>
      </c>
      <c r="AF4113">
        <v>3.7589186233525802</v>
      </c>
      <c r="AG4113">
        <v>-1.1102282035</v>
      </c>
      <c r="AH4113">
        <v>26.923970997499602</v>
      </c>
      <c r="AI4113">
        <v>92.338636222413299</v>
      </c>
      <c r="AJ4113">
        <v>82.052175010424904</v>
      </c>
      <c r="AK4113">
        <v>27.207761579281598</v>
      </c>
      <c r="AL4113">
        <v>80.476622956436501</v>
      </c>
      <c r="AM4113">
        <v>90.049058070554494</v>
      </c>
      <c r="AN4113">
        <v>0.99999998229470299</v>
      </c>
    </row>
    <row r="4114" spans="1:40" x14ac:dyDescent="0.25">
      <c r="A4114" t="str">
        <f>"20190304155716231"</f>
        <v>20190304155716231</v>
      </c>
      <c r="B4114" t="str">
        <f>"1551686236228915"</f>
        <v>1551686236228915</v>
      </c>
      <c r="C4114" t="s">
        <v>40</v>
      </c>
      <c r="D4114">
        <v>4.7398899999999999</v>
      </c>
      <c r="E4114">
        <v>0.50432650000000001</v>
      </c>
      <c r="F4114" t="s">
        <v>78</v>
      </c>
      <c r="G4114">
        <v>-195.5061</v>
      </c>
      <c r="H4114" s="1">
        <v>-1.3166199999999999E-5</v>
      </c>
      <c r="I4114">
        <v>153.98679999999999</v>
      </c>
      <c r="J4114">
        <v>-190.59440000000001</v>
      </c>
      <c r="K4114">
        <v>1.110223</v>
      </c>
      <c r="L4114">
        <v>180.7758</v>
      </c>
      <c r="M4114">
        <v>-4.2255920000000002E-2</v>
      </c>
      <c r="N4114">
        <v>-1.260383E-2</v>
      </c>
      <c r="O4114">
        <v>-0.99902769999999996</v>
      </c>
      <c r="P4114">
        <v>-4.1574130000000001E-2</v>
      </c>
      <c r="Q4114">
        <v>0.15297060000000001</v>
      </c>
      <c r="R4114">
        <v>-0.98735629999999996</v>
      </c>
      <c r="S4114">
        <v>-0.55403139999999995</v>
      </c>
      <c r="T4114">
        <v>-0.1250696</v>
      </c>
      <c r="U4114">
        <v>-3.034729</v>
      </c>
      <c r="V4114">
        <v>-1.9122679999999999E-4</v>
      </c>
      <c r="W4114">
        <v>0.1654138</v>
      </c>
      <c r="X4114">
        <v>0.9862242</v>
      </c>
      <c r="Y4114">
        <v>0.13774639999999999</v>
      </c>
      <c r="Z4114">
        <v>2.8043220000000001E-2</v>
      </c>
      <c r="AA4114">
        <v>0.99007049999999996</v>
      </c>
      <c r="AB4114">
        <v>23</v>
      </c>
      <c r="AC4114">
        <v>-4.91169999999999</v>
      </c>
      <c r="AD4114">
        <v>-1.1102361662</v>
      </c>
      <c r="AE4114">
        <v>-26.789000000000001</v>
      </c>
      <c r="AF4114">
        <v>3.76896596791922</v>
      </c>
      <c r="AG4114">
        <v>-1.1102361662</v>
      </c>
      <c r="AH4114">
        <v>26.927886957271699</v>
      </c>
      <c r="AI4114">
        <v>92.338200271420803</v>
      </c>
      <c r="AJ4114">
        <v>82.032347507270103</v>
      </c>
      <c r="AK4114">
        <v>27.2130267481527</v>
      </c>
      <c r="AL4114">
        <v>80.478725896897899</v>
      </c>
      <c r="AM4114">
        <v>90.011109531111103</v>
      </c>
      <c r="AN4114">
        <v>0.999999967231884</v>
      </c>
    </row>
    <row r="4115" spans="1:40" x14ac:dyDescent="0.25">
      <c r="A4115" t="str">
        <f>"20190304155716247"</f>
        <v>20190304155716247</v>
      </c>
      <c r="B4115" t="str">
        <f>"1551686236238676"</f>
        <v>1551686236238676</v>
      </c>
      <c r="C4115" t="s">
        <v>40</v>
      </c>
      <c r="D4115">
        <v>4.7069859999999997</v>
      </c>
      <c r="E4115">
        <v>0.4996447</v>
      </c>
      <c r="F4115" t="s">
        <v>78</v>
      </c>
      <c r="G4115">
        <v>-192.13800000000001</v>
      </c>
      <c r="H4115" s="1">
        <v>-1.213183E-5</v>
      </c>
      <c r="I4115">
        <v>152.08150000000001</v>
      </c>
      <c r="J4115">
        <v>-190.60149999999999</v>
      </c>
      <c r="K4115">
        <v>1.1102350000000001</v>
      </c>
      <c r="L4115">
        <v>180.6062</v>
      </c>
      <c r="M4115">
        <v>-4.2202299999999998E-2</v>
      </c>
      <c r="N4115">
        <v>-1.259775E-2</v>
      </c>
      <c r="O4115">
        <v>-0.99902979999999997</v>
      </c>
      <c r="P4115">
        <v>-4.2695200000000003E-2</v>
      </c>
      <c r="Q4115">
        <v>0.15309589999999901</v>
      </c>
      <c r="R4115">
        <v>-0.98728870000000002</v>
      </c>
      <c r="S4115">
        <v>-0.1640625</v>
      </c>
      <c r="T4115">
        <v>-0.11800190000000001</v>
      </c>
      <c r="U4115">
        <v>-3.0497890000000001</v>
      </c>
      <c r="V4115">
        <v>9.8101200000000007E-4</v>
      </c>
      <c r="W4115">
        <v>0.16553329999999999</v>
      </c>
      <c r="X4115">
        <v>0.98620370000000002</v>
      </c>
      <c r="Y4115">
        <v>1.150256E-2</v>
      </c>
      <c r="Z4115">
        <v>2.6005009999999999E-2</v>
      </c>
      <c r="AA4115">
        <v>0.99959560000000003</v>
      </c>
      <c r="AB4115">
        <v>23</v>
      </c>
      <c r="AC4115">
        <v>-1.53650000000001</v>
      </c>
      <c r="AD4115">
        <v>-1.11024713183</v>
      </c>
      <c r="AE4115">
        <v>-28.524699999999999</v>
      </c>
      <c r="AF4115">
        <v>0.33072799372750999</v>
      </c>
      <c r="AG4115">
        <v>-1.11024713183</v>
      </c>
      <c r="AH4115">
        <v>28.521049046241099</v>
      </c>
      <c r="AI4115">
        <v>92.229094120259703</v>
      </c>
      <c r="AJ4115">
        <v>89.335632118512507</v>
      </c>
      <c r="AK4115">
        <v>28.544566355046701</v>
      </c>
      <c r="AL4115">
        <v>80.471783531148205</v>
      </c>
      <c r="AM4115">
        <v>89.943005863076195</v>
      </c>
      <c r="AN4115">
        <v>0.99999998684356195</v>
      </c>
    </row>
    <row r="4116" spans="1:40" x14ac:dyDescent="0.25">
      <c r="A4116" t="str">
        <f>"20190304155716268"</f>
        <v>20190304155716268</v>
      </c>
      <c r="B4116" t="str">
        <f>"1551686236259175"</f>
        <v>1551686236259175</v>
      </c>
      <c r="C4116" t="s">
        <v>40</v>
      </c>
      <c r="D4116">
        <v>4.7597899999999997</v>
      </c>
      <c r="E4116">
        <v>0.4927937</v>
      </c>
      <c r="F4116" t="s">
        <v>78</v>
      </c>
      <c r="G4116">
        <v>-191.7561</v>
      </c>
      <c r="H4116" s="1">
        <v>-1.265682E-5</v>
      </c>
      <c r="I4116">
        <v>153.4632</v>
      </c>
      <c r="J4116">
        <v>-190.61070000000001</v>
      </c>
      <c r="K4116">
        <v>1.110249</v>
      </c>
      <c r="L4116">
        <v>180.38650000000001</v>
      </c>
      <c r="M4116">
        <v>-4.2125250000000003E-2</v>
      </c>
      <c r="N4116">
        <v>-1.2590830000000001E-2</v>
      </c>
      <c r="O4116">
        <v>-0.99903319999999995</v>
      </c>
      <c r="P4116">
        <v>-4.3791780000000002E-2</v>
      </c>
      <c r="Q4116">
        <v>0.1533687</v>
      </c>
      <c r="R4116">
        <v>-0.98719849999999998</v>
      </c>
      <c r="S4116">
        <v>-0.12983699999999901</v>
      </c>
      <c r="T4116">
        <v>-0.12485209999999999</v>
      </c>
      <c r="U4116">
        <v>-3.0523530000000001</v>
      </c>
      <c r="V4116">
        <v>2.1530339999999999E-3</v>
      </c>
      <c r="W4116">
        <v>0.16579849999999999</v>
      </c>
      <c r="X4116">
        <v>0.98615730000000001</v>
      </c>
      <c r="Y4116">
        <v>3.5294690000000001E-4</v>
      </c>
      <c r="Z4116">
        <v>2.8224280000000001E-2</v>
      </c>
      <c r="AA4116">
        <v>0.99960150000000003</v>
      </c>
      <c r="AB4116">
        <v>23</v>
      </c>
      <c r="AC4116">
        <v>-1.14539999999999</v>
      </c>
      <c r="AD4116">
        <v>-1.1102616568200001</v>
      </c>
      <c r="AE4116">
        <v>-26.923300000000001</v>
      </c>
      <c r="AF4116">
        <v>1.0125497918194301E-2</v>
      </c>
      <c r="AG4116">
        <v>-1.1102616568200001</v>
      </c>
      <c r="AH4116">
        <v>26.901985481865601</v>
      </c>
      <c r="AI4116">
        <v>92.363291094058198</v>
      </c>
      <c r="AJ4116">
        <v>89.978434741585204</v>
      </c>
      <c r="AK4116">
        <v>26.924888232615199</v>
      </c>
      <c r="AL4116">
        <v>80.456375904446801</v>
      </c>
      <c r="AM4116">
        <v>89.874908835186602</v>
      </c>
      <c r="AN4116">
        <v>0.999999999250472</v>
      </c>
    </row>
    <row r="4117" spans="1:40" x14ac:dyDescent="0.25">
      <c r="A4117" t="str">
        <f>"20190304155716281"</f>
        <v>20190304155716281</v>
      </c>
      <c r="B4117" t="str">
        <f>"1551686236278691"</f>
        <v>1551686236278691</v>
      </c>
      <c r="C4117" t="s">
        <v>40</v>
      </c>
      <c r="D4117">
        <v>4.7521009999999997</v>
      </c>
      <c r="E4117">
        <v>0.48916680000000001</v>
      </c>
      <c r="F4117" t="s">
        <v>78</v>
      </c>
      <c r="G4117">
        <v>-191.2218</v>
      </c>
      <c r="H4117" s="1">
        <v>-1.37465299999999E-5</v>
      </c>
      <c r="I4117">
        <v>156.48560000000001</v>
      </c>
      <c r="J4117">
        <v>-190.61590000000001</v>
      </c>
      <c r="K4117">
        <v>1.1102529999999999</v>
      </c>
      <c r="L4117">
        <v>180.26240000000001</v>
      </c>
      <c r="M4117">
        <v>-4.2078419999999998E-2</v>
      </c>
      <c r="N4117">
        <v>-1.258745E-2</v>
      </c>
      <c r="O4117">
        <v>-0.99903529999999996</v>
      </c>
      <c r="P4117">
        <v>-4.4288229999999998E-2</v>
      </c>
      <c r="Q4117">
        <v>0.1537731</v>
      </c>
      <c r="R4117">
        <v>-0.98711329999999997</v>
      </c>
      <c r="S4117">
        <v>-7.8170779999999995E-2</v>
      </c>
      <c r="T4117">
        <v>-0.14202890000000001</v>
      </c>
      <c r="U4117">
        <v>-3.0574949999999999</v>
      </c>
      <c r="V4117">
        <v>2.6974540000000002E-3</v>
      </c>
      <c r="W4117">
        <v>0.16619909999999999</v>
      </c>
      <c r="X4117">
        <v>0.98608850000000003</v>
      </c>
      <c r="Y4117">
        <v>-1.6540490000000001E-2</v>
      </c>
      <c r="Z4117">
        <v>3.3759520000000001E-2</v>
      </c>
      <c r="AA4117">
        <v>0.99929310000000005</v>
      </c>
      <c r="AB4117">
        <v>23</v>
      </c>
      <c r="AC4117">
        <v>-0.605899999999991</v>
      </c>
      <c r="AD4117">
        <v>-1.11026674653</v>
      </c>
      <c r="AE4117">
        <v>-23.776800000000001</v>
      </c>
      <c r="AF4117">
        <v>-0.39434658794137001</v>
      </c>
      <c r="AG4117">
        <v>-1.11026674653</v>
      </c>
      <c r="AH4117">
        <v>23.7295274761941</v>
      </c>
      <c r="AI4117">
        <v>92.678455208631306</v>
      </c>
      <c r="AJ4117">
        <v>90.952076081153194</v>
      </c>
      <c r="AK4117">
        <v>23.758759978654702</v>
      </c>
      <c r="AL4117">
        <v>80.433100039026797</v>
      </c>
      <c r="AM4117">
        <v>89.843267268479494</v>
      </c>
      <c r="AN4117">
        <v>0.99999997346557001</v>
      </c>
    </row>
    <row r="4118" spans="1:40" x14ac:dyDescent="0.25">
      <c r="A4118" t="str">
        <f>"20190304155716293"</f>
        <v>20190304155716293</v>
      </c>
      <c r="B4118" t="str">
        <f>"1551686236288451"</f>
        <v>1551686236288451</v>
      </c>
      <c r="C4118" t="s">
        <v>40</v>
      </c>
      <c r="D4118">
        <v>4.7384539999999999</v>
      </c>
      <c r="E4118">
        <v>0.48786960000000001</v>
      </c>
      <c r="F4118" t="s">
        <v>78</v>
      </c>
      <c r="G4118">
        <v>-190.98910000000001</v>
      </c>
      <c r="H4118" s="1">
        <v>-1.425667E-5</v>
      </c>
      <c r="I4118">
        <v>157.72280000000001</v>
      </c>
      <c r="J4118">
        <v>-190.62110000000001</v>
      </c>
      <c r="K4118">
        <v>1.1102529999999999</v>
      </c>
      <c r="L4118">
        <v>180.13800000000001</v>
      </c>
      <c r="M4118">
        <v>-4.2031840000000001E-2</v>
      </c>
      <c r="N4118">
        <v>-1.258419E-2</v>
      </c>
      <c r="O4118">
        <v>-0.99903699999999995</v>
      </c>
      <c r="P4118">
        <v>-4.4690069999999998E-2</v>
      </c>
      <c r="Q4118">
        <v>0.15422089999999999</v>
      </c>
      <c r="R4118">
        <v>-0.98702520000000005</v>
      </c>
      <c r="S4118">
        <v>-5.0674440000000001E-2</v>
      </c>
      <c r="T4118">
        <v>-0.15075060000000001</v>
      </c>
      <c r="U4118">
        <v>-3.0603940000000001</v>
      </c>
      <c r="V4118">
        <v>3.1471350000000001E-3</v>
      </c>
      <c r="W4118">
        <v>0.1666425</v>
      </c>
      <c r="X4118">
        <v>0.98601229999999995</v>
      </c>
      <c r="Y4118">
        <v>-2.5489330000000001E-2</v>
      </c>
      <c r="Z4118">
        <v>3.6553910000000002E-2</v>
      </c>
      <c r="AA4118">
        <v>0.99900659999999997</v>
      </c>
      <c r="AB4118">
        <v>23</v>
      </c>
      <c r="AC4118">
        <v>-0.367999999999995</v>
      </c>
      <c r="AD4118">
        <v>-1.11026725667</v>
      </c>
      <c r="AE4118">
        <v>-22.415199999999999</v>
      </c>
      <c r="AF4118">
        <v>-0.57314620669324001</v>
      </c>
      <c r="AG4118">
        <v>-1.11026725667</v>
      </c>
      <c r="AH4118">
        <v>22.356023183613601</v>
      </c>
      <c r="AI4118">
        <v>92.842212213866603</v>
      </c>
      <c r="AJ4118">
        <v>91.468582610710996</v>
      </c>
      <c r="AK4118">
        <v>22.3909124990866</v>
      </c>
      <c r="AL4118">
        <v>80.407335493218895</v>
      </c>
      <c r="AM4118">
        <v>89.817125059458704</v>
      </c>
      <c r="AN4118">
        <v>0.99999994150812199</v>
      </c>
    </row>
    <row r="4119" spans="1:40" x14ac:dyDescent="0.25">
      <c r="A4119" t="str">
        <f>"20190304155716305"</f>
        <v>20190304155716305</v>
      </c>
      <c r="B4119" t="str">
        <f>"1551686236299188"</f>
        <v>1551686236299188</v>
      </c>
      <c r="C4119" t="s">
        <v>40</v>
      </c>
      <c r="D4119">
        <v>4.760751</v>
      </c>
      <c r="E4119">
        <v>0.48690349999999999</v>
      </c>
      <c r="F4119" t="s">
        <v>78</v>
      </c>
      <c r="G4119">
        <v>-190.92189999999999</v>
      </c>
      <c r="H4119" s="1">
        <v>-1.43303399999999E-5</v>
      </c>
      <c r="I4119">
        <v>157.9084</v>
      </c>
      <c r="J4119">
        <v>-190.62639999999999</v>
      </c>
      <c r="K4119">
        <v>1.110258</v>
      </c>
      <c r="L4119">
        <v>180.01150000000001</v>
      </c>
      <c r="M4119">
        <v>-4.19864E-2</v>
      </c>
      <c r="N4119">
        <v>-1.2581190000000001E-2</v>
      </c>
      <c r="O4119">
        <v>-0.99903909999999996</v>
      </c>
      <c r="P4119">
        <v>-4.5106680000000003E-2</v>
      </c>
      <c r="Q4119">
        <v>0.15408069999999999</v>
      </c>
      <c r="R4119">
        <v>-0.98702849999999998</v>
      </c>
      <c r="S4119">
        <v>-4.1427609999999997E-2</v>
      </c>
      <c r="T4119">
        <v>-0.1529065</v>
      </c>
      <c r="U4119">
        <v>-3.0614620000000001</v>
      </c>
      <c r="V4119">
        <v>3.606466E-3</v>
      </c>
      <c r="W4119">
        <v>0.16650000000000001</v>
      </c>
      <c r="X4119">
        <v>0.98603490000000005</v>
      </c>
      <c r="Y4119">
        <v>-2.8465270000000001E-2</v>
      </c>
      <c r="Z4119">
        <v>3.7239179999999997E-2</v>
      </c>
      <c r="AA4119">
        <v>0.99890089999999998</v>
      </c>
      <c r="AB4119">
        <v>23</v>
      </c>
      <c r="AC4119">
        <v>-0.29550000000000398</v>
      </c>
      <c r="AD4119">
        <v>-1.1102723303399999</v>
      </c>
      <c r="AE4119">
        <v>-22.103100000000001</v>
      </c>
      <c r="AF4119">
        <v>-0.63127100600667596</v>
      </c>
      <c r="AG4119">
        <v>-1.1102723303399999</v>
      </c>
      <c r="AH4119">
        <v>22.0404114216159</v>
      </c>
      <c r="AI4119">
        <v>92.882622304023698</v>
      </c>
      <c r="AJ4119">
        <v>91.640590016473396</v>
      </c>
      <c r="AK4119">
        <v>22.077385338047598</v>
      </c>
      <c r="AL4119">
        <v>80.415616779169397</v>
      </c>
      <c r="AM4119">
        <v>89.790439101765202</v>
      </c>
      <c r="AN4119">
        <v>1.0000000403075</v>
      </c>
    </row>
    <row r="4120" spans="1:40" x14ac:dyDescent="0.25">
      <c r="A4120" t="str">
        <f>"20190304155716316"</f>
        <v>20190304155716316</v>
      </c>
      <c r="B4120" t="str">
        <f>"1551686236308947"</f>
        <v>1551686236308947</v>
      </c>
      <c r="C4120" t="s">
        <v>40</v>
      </c>
      <c r="D4120">
        <v>4.7542809999999998</v>
      </c>
      <c r="E4120">
        <v>0.48614299999999999</v>
      </c>
      <c r="F4120" t="s">
        <v>78</v>
      </c>
      <c r="G4120">
        <v>-190.8749</v>
      </c>
      <c r="H4120" s="1">
        <v>-1.441967E-5</v>
      </c>
      <c r="I4120">
        <v>158.12639999999999</v>
      </c>
      <c r="J4120">
        <v>-190.63130000000001</v>
      </c>
      <c r="K4120">
        <v>1.1102639999999999</v>
      </c>
      <c r="L4120">
        <v>179.89189999999999</v>
      </c>
      <c r="M4120">
        <v>-4.194063E-2</v>
      </c>
      <c r="N4120">
        <v>-1.2578509999999999E-2</v>
      </c>
      <c r="O4120">
        <v>-0.99904099999999996</v>
      </c>
      <c r="P4120">
        <v>-4.5557830000000001E-2</v>
      </c>
      <c r="Q4120">
        <v>0.15413160000000001</v>
      </c>
      <c r="R4120">
        <v>-0.98699979999999998</v>
      </c>
      <c r="S4120">
        <v>-3.4774779999999998E-2</v>
      </c>
      <c r="T4120">
        <v>-0.1553464</v>
      </c>
      <c r="U4120">
        <v>-3.062103</v>
      </c>
      <c r="V4120">
        <v>4.1030479999999998E-3</v>
      </c>
      <c r="W4120">
        <v>0.166548</v>
      </c>
      <c r="X4120">
        <v>0.98602480000000003</v>
      </c>
      <c r="Y4120">
        <v>-3.0591500000000001E-2</v>
      </c>
      <c r="Z4120">
        <v>3.8023069999999999E-2</v>
      </c>
      <c r="AA4120">
        <v>0.99880849999999999</v>
      </c>
      <c r="AB4120">
        <v>23</v>
      </c>
      <c r="AC4120">
        <v>-0.24359999999998599</v>
      </c>
      <c r="AD4120">
        <v>-1.11027841967</v>
      </c>
      <c r="AE4120">
        <v>-21.765499999999999</v>
      </c>
      <c r="AF4120">
        <v>-0.66780781706485004</v>
      </c>
      <c r="AG4120">
        <v>-1.11027841967</v>
      </c>
      <c r="AH4120">
        <v>21.700104058255398</v>
      </c>
      <c r="AI4120">
        <v>92.927581390846896</v>
      </c>
      <c r="AJ4120">
        <v>91.762687273991602</v>
      </c>
      <c r="AK4120">
        <v>21.738748850585502</v>
      </c>
      <c r="AL4120">
        <v>80.412827139361497</v>
      </c>
      <c r="AM4120">
        <v>89.761582085297405</v>
      </c>
      <c r="AN4120">
        <v>0.99999998876096496</v>
      </c>
    </row>
    <row r="4121" spans="1:40" x14ac:dyDescent="0.25">
      <c r="A4121" t="str">
        <f>"20190304155716327"</f>
        <v>20190304155716327</v>
      </c>
      <c r="B4121" t="str">
        <f>"1551686236318707"</f>
        <v>1551686236318707</v>
      </c>
      <c r="C4121" t="s">
        <v>40</v>
      </c>
      <c r="D4121">
        <v>4.7596339999999904</v>
      </c>
      <c r="E4121">
        <v>0.48540680000000003</v>
      </c>
      <c r="F4121" t="s">
        <v>78</v>
      </c>
      <c r="G4121">
        <v>-190.8416</v>
      </c>
      <c r="H4121" s="1">
        <v>-1.4489110000000001E-5</v>
      </c>
      <c r="I4121">
        <v>158.29519999999999</v>
      </c>
      <c r="J4121">
        <v>-190.63630000000001</v>
      </c>
      <c r="K4121">
        <v>1.1102650000000001</v>
      </c>
      <c r="L4121">
        <v>179.7724</v>
      </c>
      <c r="M4121">
        <v>-4.1892869999999999E-2</v>
      </c>
      <c r="N4121">
        <v>-1.2575970000000001E-2</v>
      </c>
      <c r="O4121">
        <v>-0.99904320000000002</v>
      </c>
      <c r="P4121">
        <v>-4.566808E-2</v>
      </c>
      <c r="Q4121">
        <v>0.15385450000000001</v>
      </c>
      <c r="R4121">
        <v>-0.98703790000000002</v>
      </c>
      <c r="S4121">
        <v>-2.9815669999999999E-2</v>
      </c>
      <c r="T4121">
        <v>-0.15745339999999999</v>
      </c>
      <c r="U4121">
        <v>-3.062729</v>
      </c>
      <c r="V4121">
        <v>4.2589569999999998E-3</v>
      </c>
      <c r="W4121">
        <v>0.16626869999999999</v>
      </c>
      <c r="X4121">
        <v>0.98607129999999998</v>
      </c>
      <c r="Y4121">
        <v>-3.2162540000000003E-2</v>
      </c>
      <c r="Z4121">
        <v>3.869877E-2</v>
      </c>
      <c r="AA4121">
        <v>0.99873319999999999</v>
      </c>
      <c r="AB4121">
        <v>23</v>
      </c>
      <c r="AC4121">
        <v>-0.20529999999999399</v>
      </c>
      <c r="AD4121">
        <v>-1.1102794891100001</v>
      </c>
      <c r="AE4121">
        <v>-21.4772</v>
      </c>
      <c r="AF4121">
        <v>-0.69284133408350401</v>
      </c>
      <c r="AG4121">
        <v>-1.1102794891100001</v>
      </c>
      <c r="AH4121">
        <v>21.4097324803014</v>
      </c>
      <c r="AI4121">
        <v>92.967071168862603</v>
      </c>
      <c r="AJ4121">
        <v>91.853504507815799</v>
      </c>
      <c r="AK4121">
        <v>21.449694509158501</v>
      </c>
      <c r="AL4121">
        <v>80.429056376706797</v>
      </c>
      <c r="AM4121">
        <v>89.752534381779299</v>
      </c>
      <c r="AN4121">
        <v>1.0000000139990499</v>
      </c>
    </row>
    <row r="4122" spans="1:40" x14ac:dyDescent="0.25">
      <c r="A4122" t="str">
        <f>"20190304155716341"</f>
        <v>20190304155716341</v>
      </c>
      <c r="B4122" t="str">
        <f>"1551686236328468"</f>
        <v>1551686236328468</v>
      </c>
      <c r="C4122" t="s">
        <v>40</v>
      </c>
      <c r="D4122">
        <v>4.7511830000000002</v>
      </c>
      <c r="E4122">
        <v>0.48465320000000001</v>
      </c>
      <c r="F4122" t="s">
        <v>78</v>
      </c>
      <c r="G4122">
        <v>-190.8015</v>
      </c>
      <c r="H4122" s="1">
        <v>-1.458999E-5</v>
      </c>
      <c r="I4122">
        <v>158.5386</v>
      </c>
      <c r="J4122">
        <v>-190.64179999999999</v>
      </c>
      <c r="K4122">
        <v>1.110268</v>
      </c>
      <c r="L4122">
        <v>179.63990000000001</v>
      </c>
      <c r="M4122">
        <v>-4.1844850000000003E-2</v>
      </c>
      <c r="N4122">
        <v>-1.257339E-2</v>
      </c>
      <c r="O4122">
        <v>-0.99904510000000002</v>
      </c>
      <c r="P4122">
        <v>-4.5764890000000003E-2</v>
      </c>
      <c r="Q4122">
        <v>0.1537222</v>
      </c>
      <c r="R4122">
        <v>-0.98705370000000003</v>
      </c>
      <c r="S4122">
        <v>-2.3834230000000001E-2</v>
      </c>
      <c r="T4122">
        <v>-0.16017319999999999</v>
      </c>
      <c r="U4122">
        <v>-3.0632630000000001</v>
      </c>
      <c r="V4122">
        <v>4.4017079999999998E-3</v>
      </c>
      <c r="W4122">
        <v>0.1661347</v>
      </c>
      <c r="X4122">
        <v>0.9860932</v>
      </c>
      <c r="Y4122">
        <v>-3.406547E-2</v>
      </c>
      <c r="Z4122">
        <v>3.957426E-2</v>
      </c>
      <c r="AA4122">
        <v>0.99863579999999996</v>
      </c>
      <c r="AB4122">
        <v>23</v>
      </c>
      <c r="AC4122">
        <v>-0.159700000000015</v>
      </c>
      <c r="AD4122">
        <v>-1.11028258999</v>
      </c>
      <c r="AE4122">
        <v>-21.101299999999998</v>
      </c>
      <c r="AF4122">
        <v>-0.72149299361655705</v>
      </c>
      <c r="AG4122">
        <v>-1.11028258999</v>
      </c>
      <c r="AH4122">
        <v>21.031275735188501</v>
      </c>
      <c r="AI4122">
        <v>93.020178693896995</v>
      </c>
      <c r="AJ4122">
        <v>91.964802259000393</v>
      </c>
      <c r="AK4122">
        <v>21.072917183413399</v>
      </c>
      <c r="AL4122">
        <v>80.436841742737897</v>
      </c>
      <c r="AM4122">
        <v>89.744245659524097</v>
      </c>
      <c r="AN4122">
        <v>0.99999995633182204</v>
      </c>
    </row>
    <row r="4123" spans="1:40" x14ac:dyDescent="0.25">
      <c r="A4123" t="str">
        <f>"20190304155716357"</f>
        <v>20190304155716357</v>
      </c>
      <c r="B4123" t="str">
        <f>"1551686236348967"</f>
        <v>1551686236348967</v>
      </c>
      <c r="C4123" t="s">
        <v>40</v>
      </c>
      <c r="D4123">
        <v>4.683351</v>
      </c>
      <c r="E4123">
        <v>0.48408089999999998</v>
      </c>
      <c r="F4123" t="s">
        <v>78</v>
      </c>
      <c r="G4123">
        <v>-190.76570000000001</v>
      </c>
      <c r="H4123" s="1">
        <v>-1.4659160000000001E-5</v>
      </c>
      <c r="I4123">
        <v>158.7072</v>
      </c>
      <c r="J4123">
        <v>-190.6491</v>
      </c>
      <c r="K4123">
        <v>1.110266</v>
      </c>
      <c r="L4123">
        <v>179.4639</v>
      </c>
      <c r="M4123">
        <v>-4.1780850000000001E-2</v>
      </c>
      <c r="N4123">
        <v>-1.257019E-2</v>
      </c>
      <c r="O4123">
        <v>-0.99904789999999999</v>
      </c>
      <c r="P4123">
        <v>-4.5762520000000001E-2</v>
      </c>
      <c r="Q4123">
        <v>0.15376110000000001</v>
      </c>
      <c r="R4123">
        <v>-0.98704809999999998</v>
      </c>
      <c r="S4123">
        <v>-1.8142700000000001E-2</v>
      </c>
      <c r="T4123">
        <v>-0.1625055</v>
      </c>
      <c r="U4123">
        <v>-3.0637970000000001</v>
      </c>
      <c r="V4123">
        <v>4.4624219999999997E-3</v>
      </c>
      <c r="W4123">
        <v>0.16617000000000001</v>
      </c>
      <c r="X4123">
        <v>0.98608700000000005</v>
      </c>
      <c r="Y4123">
        <v>-3.5857069999999998E-2</v>
      </c>
      <c r="Z4123">
        <v>4.0324110000000003E-2</v>
      </c>
      <c r="AA4123">
        <v>0.99854310000000002</v>
      </c>
      <c r="AB4123">
        <v>23</v>
      </c>
      <c r="AC4123">
        <v>-0.11660000000000501</v>
      </c>
      <c r="AD4123">
        <v>-1.1102806591600001</v>
      </c>
      <c r="AE4123">
        <v>-20.756699999999899</v>
      </c>
      <c r="AF4123">
        <v>-0.74866076582607199</v>
      </c>
      <c r="AG4123">
        <v>-1.1102806591600001</v>
      </c>
      <c r="AH4123">
        <v>20.684264354555001</v>
      </c>
      <c r="AI4123">
        <v>93.070541664167393</v>
      </c>
      <c r="AJ4123">
        <v>92.072898725153294</v>
      </c>
      <c r="AK4123">
        <v>20.727566378460999</v>
      </c>
      <c r="AL4123">
        <v>80.434790890225599</v>
      </c>
      <c r="AM4123">
        <v>89.740716385393398</v>
      </c>
      <c r="AN4123">
        <v>0.999999976839552</v>
      </c>
    </row>
    <row r="4124" spans="1:40" x14ac:dyDescent="0.25">
      <c r="A4124" t="str">
        <f>"20190304155716370"</f>
        <v>20190304155716370</v>
      </c>
      <c r="B4124" t="str">
        <f>"1551686236358723"</f>
        <v>1551686236358723</v>
      </c>
      <c r="C4124" t="s">
        <v>40</v>
      </c>
      <c r="D4124">
        <v>4.7085540000000004</v>
      </c>
      <c r="E4124">
        <v>0.483763</v>
      </c>
      <c r="F4124" t="s">
        <v>78</v>
      </c>
      <c r="G4124">
        <v>-190.74209999999999</v>
      </c>
      <c r="H4124" s="1">
        <v>-1.465789E-5</v>
      </c>
      <c r="I4124">
        <v>158.70920000000001</v>
      </c>
      <c r="J4124">
        <v>-190.65459999999999</v>
      </c>
      <c r="K4124">
        <v>1.1102620000000001</v>
      </c>
      <c r="L4124">
        <v>179.33070000000001</v>
      </c>
      <c r="M4124">
        <v>-4.1731320000000002E-2</v>
      </c>
      <c r="N4124">
        <v>-1.256793E-2</v>
      </c>
      <c r="O4124">
        <v>-0.99905010000000005</v>
      </c>
      <c r="P4124">
        <v>-4.550216E-2</v>
      </c>
      <c r="Q4124">
        <v>0.1534122</v>
      </c>
      <c r="R4124">
        <v>-0.98711470000000001</v>
      </c>
      <c r="S4124">
        <v>-1.3732909999999999E-2</v>
      </c>
      <c r="T4124">
        <v>-0.16392390000000001</v>
      </c>
      <c r="U4124">
        <v>-3.06427</v>
      </c>
      <c r="V4124">
        <v>4.2489069999999997E-3</v>
      </c>
      <c r="W4124">
        <v>0.1658192</v>
      </c>
      <c r="X4124">
        <v>0.986147</v>
      </c>
      <c r="Y4124">
        <v>-3.7244760000000002E-2</v>
      </c>
      <c r="Z4124">
        <v>4.0777250000000001E-2</v>
      </c>
      <c r="AA4124">
        <v>0.99847390000000003</v>
      </c>
      <c r="AB4124">
        <v>23</v>
      </c>
      <c r="AC4124">
        <v>-8.7500000000005601E-2</v>
      </c>
      <c r="AD4124">
        <v>-1.1102766578899901</v>
      </c>
      <c r="AE4124">
        <v>-20.621500000000001</v>
      </c>
      <c r="AF4124">
        <v>-0.77097151246348095</v>
      </c>
      <c r="AG4124">
        <v>-1.1102766578899901</v>
      </c>
      <c r="AH4124">
        <v>20.5476220449642</v>
      </c>
      <c r="AI4124">
        <v>93.090759658572395</v>
      </c>
      <c r="AJ4124">
        <v>92.148798604281694</v>
      </c>
      <c r="AK4124">
        <v>20.592034455895401</v>
      </c>
      <c r="AL4124">
        <v>80.455173077342806</v>
      </c>
      <c r="AM4124">
        <v>89.753137278491295</v>
      </c>
      <c r="AN4124">
        <v>0.99999998295416703</v>
      </c>
    </row>
    <row r="4125" spans="1:40" x14ac:dyDescent="0.25">
      <c r="A4125" t="str">
        <f>"20190304155716383"</f>
        <v>20190304155716383</v>
      </c>
      <c r="B4125" t="str">
        <f>"1551686236379220"</f>
        <v>1551686236379220</v>
      </c>
      <c r="C4125" t="s">
        <v>40</v>
      </c>
      <c r="D4125">
        <v>4.712656</v>
      </c>
      <c r="E4125">
        <v>0.48271389999999997</v>
      </c>
      <c r="F4125" t="s">
        <v>78</v>
      </c>
      <c r="G4125">
        <v>-190.7243</v>
      </c>
      <c r="H4125" s="1">
        <v>-1.4694859999999999E-5</v>
      </c>
      <c r="I4125">
        <v>158.79900000000001</v>
      </c>
      <c r="J4125">
        <v>-190.65989999999999</v>
      </c>
      <c r="K4125">
        <v>1.11026</v>
      </c>
      <c r="L4125">
        <v>179.20240000000001</v>
      </c>
      <c r="M4125">
        <v>-4.1684739999999998E-2</v>
      </c>
      <c r="N4125">
        <v>-1.2565990000000001E-2</v>
      </c>
      <c r="O4125">
        <v>-0.99905200000000005</v>
      </c>
      <c r="P4125">
        <v>-4.5286170000000001E-2</v>
      </c>
      <c r="Q4125">
        <v>0.1533486</v>
      </c>
      <c r="R4125">
        <v>-0.98713419999999996</v>
      </c>
      <c r="S4125">
        <v>-1.0406489999999999E-2</v>
      </c>
      <c r="T4125">
        <v>-0.16571440000000001</v>
      </c>
      <c r="U4125">
        <v>-3.0644529999999999</v>
      </c>
      <c r="V4125">
        <v>4.078585E-3</v>
      </c>
      <c r="W4125">
        <v>0.16575429999999999</v>
      </c>
      <c r="X4125">
        <v>0.98615870000000005</v>
      </c>
      <c r="Y4125">
        <v>-3.8281750000000003E-2</v>
      </c>
      <c r="Z4125">
        <v>4.1356110000000001E-2</v>
      </c>
      <c r="AA4125">
        <v>0.99841080000000004</v>
      </c>
      <c r="AB4125">
        <v>23</v>
      </c>
      <c r="AC4125">
        <v>-6.4400000000006202E-2</v>
      </c>
      <c r="AD4125">
        <v>-1.11027469486</v>
      </c>
      <c r="AE4125">
        <v>-20.403400000000001</v>
      </c>
      <c r="AF4125">
        <v>-0.78391215354618804</v>
      </c>
      <c r="AG4125">
        <v>-1.11027469486</v>
      </c>
      <c r="AH4125">
        <v>20.328154079414201</v>
      </c>
      <c r="AI4125">
        <v>93.123933662476603</v>
      </c>
      <c r="AJ4125">
        <v>92.208395968763895</v>
      </c>
      <c r="AK4125">
        <v>20.3735386332107</v>
      </c>
      <c r="AL4125">
        <v>80.458944420425397</v>
      </c>
      <c r="AM4125">
        <v>89.763035731983194</v>
      </c>
      <c r="AN4125">
        <v>1.00000005220488</v>
      </c>
    </row>
    <row r="4126" spans="1:40" x14ac:dyDescent="0.25">
      <c r="A4126" t="str">
        <f>"20190304155716394"</f>
        <v>20190304155716394</v>
      </c>
      <c r="B4126" t="str">
        <f>"1551686236388980"</f>
        <v>1551686236388980</v>
      </c>
      <c r="C4126" t="s">
        <v>40</v>
      </c>
      <c r="D4126">
        <v>4.696269</v>
      </c>
      <c r="E4126">
        <v>0.48252</v>
      </c>
      <c r="F4126" t="s">
        <v>78</v>
      </c>
      <c r="G4126">
        <v>-190.66970000000001</v>
      </c>
      <c r="H4126" s="1">
        <v>-1.4794629999999999E-5</v>
      </c>
      <c r="I4126">
        <v>159.0428</v>
      </c>
      <c r="J4126">
        <v>-190.66489999999999</v>
      </c>
      <c r="K4126">
        <v>1.110258</v>
      </c>
      <c r="L4126">
        <v>179.08029999999999</v>
      </c>
      <c r="M4126">
        <v>-4.1641110000000002E-2</v>
      </c>
      <c r="N4126">
        <v>-1.2564199999999999E-2</v>
      </c>
      <c r="O4126">
        <v>-0.99905370000000004</v>
      </c>
      <c r="P4126">
        <v>-4.5238849999999997E-2</v>
      </c>
      <c r="Q4126">
        <v>0.15303539999999999</v>
      </c>
      <c r="R4126">
        <v>-0.98718490000000003</v>
      </c>
      <c r="S4126">
        <v>-1.495361E-3</v>
      </c>
      <c r="T4126">
        <v>-0.16881779999999999</v>
      </c>
      <c r="U4126">
        <v>-3.0652620000000002</v>
      </c>
      <c r="V4126">
        <v>4.0725170000000003E-3</v>
      </c>
      <c r="W4126">
        <v>0.16544010000000001</v>
      </c>
      <c r="X4126">
        <v>0.98621139999999996</v>
      </c>
      <c r="Y4126">
        <v>-4.1139910000000002E-2</v>
      </c>
      <c r="Z4126">
        <v>4.2346960000000003E-2</v>
      </c>
      <c r="AA4126">
        <v>0.99825560000000002</v>
      </c>
      <c r="AB4126">
        <v>23</v>
      </c>
      <c r="AC4126">
        <v>-4.8000000000172297E-3</v>
      </c>
      <c r="AD4126">
        <v>-1.1102727946299999</v>
      </c>
      <c r="AE4126">
        <v>-20.037499999999898</v>
      </c>
      <c r="AF4126">
        <v>-0.82711427477605004</v>
      </c>
      <c r="AG4126">
        <v>-1.1102727946299999</v>
      </c>
      <c r="AH4126">
        <v>19.959038246208799</v>
      </c>
      <c r="AI4126">
        <v>93.181218722198196</v>
      </c>
      <c r="AJ4126">
        <v>92.373012987687702</v>
      </c>
      <c r="AK4126">
        <v>20.006999560545299</v>
      </c>
      <c r="AL4126">
        <v>80.477197981026293</v>
      </c>
      <c r="AM4126">
        <v>89.763400920143894</v>
      </c>
      <c r="AN4126">
        <v>0.99999996878634201</v>
      </c>
    </row>
    <row r="4127" spans="1:40" x14ac:dyDescent="0.25">
      <c r="A4127" t="str">
        <f>"20190304155716406"</f>
        <v>20190304155716406</v>
      </c>
      <c r="B4127" t="str">
        <f>"1551686236398740"</f>
        <v>1551686236398740</v>
      </c>
      <c r="C4127" t="s">
        <v>40</v>
      </c>
      <c r="D4127">
        <v>4.6954289999999999</v>
      </c>
      <c r="E4127">
        <v>0.48241109999999998</v>
      </c>
      <c r="F4127" t="s">
        <v>78</v>
      </c>
      <c r="G4127">
        <v>-190.6628</v>
      </c>
      <c r="H4127" s="1">
        <v>-1.4827270000000001E-5</v>
      </c>
      <c r="I4127">
        <v>159.12039999999999</v>
      </c>
      <c r="J4127">
        <v>-190.67019999999999</v>
      </c>
      <c r="K4127">
        <v>1.110258</v>
      </c>
      <c r="L4127">
        <v>178.95189999999999</v>
      </c>
      <c r="M4127">
        <v>-4.1596330000000001E-2</v>
      </c>
      <c r="N4127">
        <v>-1.2562439999999999E-2</v>
      </c>
      <c r="O4127">
        <v>-0.99905580000000005</v>
      </c>
      <c r="P4127">
        <v>-4.4995350000000003E-2</v>
      </c>
      <c r="Q4127">
        <v>0.15272949999999999</v>
      </c>
      <c r="R4127">
        <v>-0.98724369999999995</v>
      </c>
      <c r="S4127">
        <v>3.2043460000000002E-4</v>
      </c>
      <c r="T4127">
        <v>-0.1705121</v>
      </c>
      <c r="U4127">
        <v>-3.0653839999999999</v>
      </c>
      <c r="V4127">
        <v>3.8711800000000001E-3</v>
      </c>
      <c r="W4127">
        <v>0.16513259999999999</v>
      </c>
      <c r="X4127">
        <v>0.98626380000000002</v>
      </c>
      <c r="Y4127">
        <v>-4.1686069999999999E-2</v>
      </c>
      <c r="Z4127">
        <v>4.2895519999999999E-2</v>
      </c>
      <c r="AA4127">
        <v>0.99820949999999997</v>
      </c>
      <c r="AB4127">
        <v>23</v>
      </c>
      <c r="AC4127">
        <v>7.3999999999898496E-3</v>
      </c>
      <c r="AD4127">
        <v>-1.11027282727</v>
      </c>
      <c r="AE4127">
        <v>-19.831499999999998</v>
      </c>
      <c r="AF4127">
        <v>-0.82977527048141198</v>
      </c>
      <c r="AG4127">
        <v>-1.11027282727</v>
      </c>
      <c r="AH4127">
        <v>19.752115113828701</v>
      </c>
      <c r="AI4127">
        <v>93.214399729935906</v>
      </c>
      <c r="AJ4127">
        <v>92.405549107966294</v>
      </c>
      <c r="AK4127">
        <v>19.800688983477801</v>
      </c>
      <c r="AL4127">
        <v>80.4950626587231</v>
      </c>
      <c r="AM4127">
        <v>89.775109725522299</v>
      </c>
      <c r="AN4127">
        <v>1.0000000224038901</v>
      </c>
    </row>
    <row r="4128" spans="1:40" x14ac:dyDescent="0.25">
      <c r="A4128" t="str">
        <f>"20190304155716427"</f>
        <v>20190304155716427</v>
      </c>
      <c r="B4128" t="str">
        <f>"1551686236419235"</f>
        <v>1551686236419235</v>
      </c>
      <c r="C4128" t="s">
        <v>40</v>
      </c>
      <c r="D4128">
        <v>4.7099289999999998</v>
      </c>
      <c r="E4128">
        <v>0.48217480000000001</v>
      </c>
      <c r="F4128" t="s">
        <v>78</v>
      </c>
      <c r="G4128">
        <v>-190.65600000000001</v>
      </c>
      <c r="H4128" s="1">
        <v>-1.482665E-5</v>
      </c>
      <c r="I4128">
        <v>159.12029999999999</v>
      </c>
      <c r="J4128">
        <v>-190.67850000000001</v>
      </c>
      <c r="K4128">
        <v>1.1102510000000001</v>
      </c>
      <c r="L4128">
        <v>178.75040000000001</v>
      </c>
      <c r="M4128">
        <v>-4.1520349999999998E-2</v>
      </c>
      <c r="N4128">
        <v>-1.255593E-2</v>
      </c>
      <c r="O4128">
        <v>-0.99905889999999997</v>
      </c>
      <c r="P4128">
        <v>-4.4917749999999999E-2</v>
      </c>
      <c r="Q4128">
        <v>0.15214469999999999</v>
      </c>
      <c r="R4128">
        <v>-0.98733729999999997</v>
      </c>
      <c r="S4128">
        <v>2.1972659999999998E-3</v>
      </c>
      <c r="T4128">
        <v>-0.17161770000000001</v>
      </c>
      <c r="U4128">
        <v>-3.0654140000000001</v>
      </c>
      <c r="V4128">
        <v>3.8663130000000001E-3</v>
      </c>
      <c r="W4128">
        <v>0.16454279999999999</v>
      </c>
      <c r="X4128">
        <v>0.98636230000000003</v>
      </c>
      <c r="Y4128">
        <v>-4.222091E-2</v>
      </c>
      <c r="Z4128">
        <v>4.3259550000000001E-2</v>
      </c>
      <c r="AA4128">
        <v>0.99817129999999998</v>
      </c>
      <c r="AB4128">
        <v>23</v>
      </c>
      <c r="AC4128">
        <v>2.25000000000363E-2</v>
      </c>
      <c r="AD4128">
        <v>-1.1102658266500001</v>
      </c>
      <c r="AE4128">
        <v>-19.630099999999999</v>
      </c>
      <c r="AF4128">
        <v>-0.83492247766268401</v>
      </c>
      <c r="AG4128">
        <v>-1.1102658266500001</v>
      </c>
      <c r="AH4128">
        <v>19.549696570920101</v>
      </c>
      <c r="AI4128">
        <v>93.247494801543098</v>
      </c>
      <c r="AJ4128">
        <v>92.445484584677502</v>
      </c>
      <c r="AK4128">
        <v>19.598990325130998</v>
      </c>
      <c r="AL4128">
        <v>80.5293235418564</v>
      </c>
      <c r="AM4128">
        <v>89.775414893038899</v>
      </c>
      <c r="AN4128">
        <v>0.99999993413466903</v>
      </c>
    </row>
    <row r="4129" spans="1:40" x14ac:dyDescent="0.25">
      <c r="A4129" t="str">
        <f>"20190304155716449"</f>
        <v>20190304155716449</v>
      </c>
      <c r="B4129" t="str">
        <f>"1551686236438755"</f>
        <v>1551686236438755</v>
      </c>
      <c r="C4129" t="s">
        <v>40</v>
      </c>
      <c r="D4129">
        <v>4.7123970000000002</v>
      </c>
      <c r="E4129">
        <v>0.48178569999999998</v>
      </c>
      <c r="F4129" t="s">
        <v>78</v>
      </c>
      <c r="G4129">
        <v>-190.6507</v>
      </c>
      <c r="H4129" s="1">
        <v>-1.485837E-5</v>
      </c>
      <c r="I4129">
        <v>159.19540000000001</v>
      </c>
      <c r="J4129">
        <v>-190.68809999999999</v>
      </c>
      <c r="K4129">
        <v>1.1102449999999999</v>
      </c>
      <c r="L4129">
        <v>178.51589999999999</v>
      </c>
      <c r="M4129">
        <v>-4.1431570000000001E-2</v>
      </c>
      <c r="N4129">
        <v>-1.254365E-2</v>
      </c>
      <c r="O4129">
        <v>-0.99906269999999997</v>
      </c>
      <c r="P4129">
        <v>-4.4597339999999999E-2</v>
      </c>
      <c r="Q4129">
        <v>0.1517724</v>
      </c>
      <c r="R4129">
        <v>-0.98740890000000003</v>
      </c>
      <c r="S4129">
        <v>4.3640140000000003E-3</v>
      </c>
      <c r="T4129">
        <v>-0.174047799999999</v>
      </c>
      <c r="U4129">
        <v>-3.0654910000000002</v>
      </c>
      <c r="V4129">
        <v>3.6317989999999998E-3</v>
      </c>
      <c r="W4129">
        <v>0.16415950000000001</v>
      </c>
      <c r="X4129">
        <v>0.9864271</v>
      </c>
      <c r="Y4129">
        <v>-4.2837119999999999E-2</v>
      </c>
      <c r="Z4129">
        <v>4.4057880000000001E-2</v>
      </c>
      <c r="AA4129">
        <v>0.99811019999999995</v>
      </c>
      <c r="AB4129">
        <v>23</v>
      </c>
      <c r="AC4129">
        <v>3.7399999999991003E-2</v>
      </c>
      <c r="AD4129">
        <v>-1.1102598583700001</v>
      </c>
      <c r="AE4129">
        <v>-19.3204999999999</v>
      </c>
      <c r="AF4129">
        <v>-0.83515154760608501</v>
      </c>
      <c r="AG4129">
        <v>-1.1102598583700001</v>
      </c>
      <c r="AH4129">
        <v>19.238826505230801</v>
      </c>
      <c r="AI4129">
        <v>93.299737279392303</v>
      </c>
      <c r="AJ4129">
        <v>92.485631659476695</v>
      </c>
      <c r="AK4129">
        <v>19.288924292426099</v>
      </c>
      <c r="AL4129">
        <v>80.5515881806175</v>
      </c>
      <c r="AM4129">
        <v>89.789050995748497</v>
      </c>
      <c r="AN4129">
        <v>0.99999997750931702</v>
      </c>
    </row>
    <row r="4130" spans="1:40" x14ac:dyDescent="0.25">
      <c r="A4130" t="str">
        <f>"20190304155716469"</f>
        <v>20190304155716469</v>
      </c>
      <c r="B4130" t="str">
        <f>"1551686236459255"</f>
        <v>1551686236459255</v>
      </c>
      <c r="C4130" t="s">
        <v>40</v>
      </c>
      <c r="D4130">
        <v>4.6876379999999997</v>
      </c>
      <c r="E4130">
        <v>0.48160829999999999</v>
      </c>
      <c r="F4130" t="s">
        <v>78</v>
      </c>
      <c r="G4130">
        <v>-190.63339999999999</v>
      </c>
      <c r="H4130" s="1">
        <v>-1.4843060000000001E-5</v>
      </c>
      <c r="I4130">
        <v>159.16329999999999</v>
      </c>
      <c r="J4130">
        <v>-190.69720000000001</v>
      </c>
      <c r="K4130">
        <v>1.110236</v>
      </c>
      <c r="L4130">
        <v>178.2962</v>
      </c>
      <c r="M4130">
        <v>-4.1348780000000002E-2</v>
      </c>
      <c r="N4130">
        <v>-1.252612E-2</v>
      </c>
      <c r="O4130">
        <v>-0.99906629999999996</v>
      </c>
      <c r="P4130">
        <v>-4.4782019999999999E-2</v>
      </c>
      <c r="Q4130">
        <v>0.15179210000000001</v>
      </c>
      <c r="R4130">
        <v>-0.98739739999999998</v>
      </c>
      <c r="S4130">
        <v>8.6669920000000001E-3</v>
      </c>
      <c r="T4130">
        <v>-0.17587659999999999</v>
      </c>
      <c r="U4130">
        <v>-3.0656590000000001</v>
      </c>
      <c r="V4130">
        <v>3.898477E-3</v>
      </c>
      <c r="W4130">
        <v>0.16416129999999901</v>
      </c>
      <c r="X4130">
        <v>0.98642580000000002</v>
      </c>
      <c r="Y4130">
        <v>-4.4154359999999997E-2</v>
      </c>
      <c r="Z4130">
        <v>4.466349E-2</v>
      </c>
      <c r="AA4130">
        <v>0.99802579999999996</v>
      </c>
      <c r="AB4130">
        <v>23</v>
      </c>
      <c r="AC4130">
        <v>6.3800000000014706E-2</v>
      </c>
      <c r="AD4130">
        <v>-1.11025084306</v>
      </c>
      <c r="AE4130">
        <v>-19.132899999999999</v>
      </c>
      <c r="AF4130">
        <v>-0.852060431401229</v>
      </c>
      <c r="AG4130">
        <v>-1.11025084306</v>
      </c>
      <c r="AH4130">
        <v>19.0497508733228</v>
      </c>
      <c r="AI4130">
        <v>93.332195104953399</v>
      </c>
      <c r="AJ4130">
        <v>92.561028211747598</v>
      </c>
      <c r="AK4130">
        <v>19.1010908654176</v>
      </c>
      <c r="AL4130">
        <v>80.551483793976004</v>
      </c>
      <c r="AM4130">
        <v>89.773561158173905</v>
      </c>
      <c r="AN4130">
        <v>0.99999999472312395</v>
      </c>
    </row>
    <row r="4131" spans="1:40" x14ac:dyDescent="0.25">
      <c r="A4131" t="str">
        <f>"20190304155716482"</f>
        <v>20190304155716482</v>
      </c>
      <c r="B4131" t="str">
        <f>"1551686236478771"</f>
        <v>1551686236478771</v>
      </c>
      <c r="C4131" t="s">
        <v>40</v>
      </c>
      <c r="D4131">
        <v>4.6692580000000001</v>
      </c>
      <c r="E4131">
        <v>0.4814485</v>
      </c>
      <c r="F4131" t="s">
        <v>78</v>
      </c>
      <c r="G4131">
        <v>-190.63730000000001</v>
      </c>
      <c r="H4131" s="1">
        <v>-1.4767239999999999E-5</v>
      </c>
      <c r="I4131">
        <v>158.98570000000001</v>
      </c>
      <c r="J4131">
        <v>-190.70249999999999</v>
      </c>
      <c r="K4131">
        <v>1.1102350000000001</v>
      </c>
      <c r="L4131">
        <v>178.1644</v>
      </c>
      <c r="M4131">
        <v>-4.1295270000000002E-2</v>
      </c>
      <c r="N4131">
        <v>-1.251058E-2</v>
      </c>
      <c r="O4131">
        <v>-0.99906870000000003</v>
      </c>
      <c r="P4131">
        <v>-4.4924520000000003E-2</v>
      </c>
      <c r="Q4131">
        <v>0.151867899999999</v>
      </c>
      <c r="R4131">
        <v>-0.98737940000000002</v>
      </c>
      <c r="S4131">
        <v>9.5062259999999996E-3</v>
      </c>
      <c r="T4131">
        <v>-0.17626800000000001</v>
      </c>
      <c r="U4131">
        <v>-3.0658110000000001</v>
      </c>
      <c r="V4131">
        <v>4.0935670000000002E-3</v>
      </c>
      <c r="W4131">
        <v>0.1642216</v>
      </c>
      <c r="X4131">
        <v>0.98641500000000004</v>
      </c>
      <c r="Y4131">
        <v>-4.4373780000000002E-2</v>
      </c>
      <c r="Z4131">
        <v>4.4802870000000002E-2</v>
      </c>
      <c r="AA4131">
        <v>0.99800990000000001</v>
      </c>
      <c r="AB4131">
        <v>23</v>
      </c>
      <c r="AC4131">
        <v>6.5199999999975902E-2</v>
      </c>
      <c r="AD4131">
        <v>-1.11024976724</v>
      </c>
      <c r="AE4131">
        <v>-19.1786999999999</v>
      </c>
      <c r="AF4131">
        <v>-0.85433289849156002</v>
      </c>
      <c r="AG4131">
        <v>-1.11024976724</v>
      </c>
      <c r="AH4131">
        <v>19.095652079596</v>
      </c>
      <c r="AI4131">
        <v>93.324198404203102</v>
      </c>
      <c r="AJ4131">
        <v>92.561685169327902</v>
      </c>
      <c r="AK4131">
        <v>19.146970193534099</v>
      </c>
      <c r="AL4131">
        <v>80.547981582088994</v>
      </c>
      <c r="AM4131">
        <v>89.762227089180897</v>
      </c>
      <c r="AN4131">
        <v>1.00000002171117</v>
      </c>
    </row>
    <row r="4132" spans="1:40" x14ac:dyDescent="0.25">
      <c r="A4132" t="str">
        <f>"20190304155716495"</f>
        <v>20190304155716495</v>
      </c>
      <c r="B4132" t="str">
        <f>"1551686236488532"</f>
        <v>1551686236488532</v>
      </c>
      <c r="C4132" t="s">
        <v>40</v>
      </c>
      <c r="D4132">
        <v>4.7174120000000004</v>
      </c>
      <c r="E4132">
        <v>0.48138589999999998</v>
      </c>
      <c r="F4132" t="s">
        <v>78</v>
      </c>
      <c r="G4132">
        <v>-190.63800000000001</v>
      </c>
      <c r="H4132" s="1">
        <v>-1.4742850000000001E-5</v>
      </c>
      <c r="I4132">
        <v>158.92869999999999</v>
      </c>
      <c r="J4132">
        <v>-190.708</v>
      </c>
      <c r="K4132">
        <v>1.110239</v>
      </c>
      <c r="L4132">
        <v>178.03099999999901</v>
      </c>
      <c r="M4132">
        <v>-4.1240449999999998E-2</v>
      </c>
      <c r="N4132">
        <v>-1.249377E-2</v>
      </c>
      <c r="O4132">
        <v>-0.9990713</v>
      </c>
      <c r="P4132">
        <v>-4.500991E-2</v>
      </c>
      <c r="Q4132">
        <v>0.1515341</v>
      </c>
      <c r="R4132">
        <v>-0.98742680000000005</v>
      </c>
      <c r="S4132">
        <v>1.0284420000000001E-2</v>
      </c>
      <c r="T4132">
        <v>-0.1769665</v>
      </c>
      <c r="U4132">
        <v>-3.0660400000000001</v>
      </c>
      <c r="V4132">
        <v>4.230223E-3</v>
      </c>
      <c r="W4132">
        <v>0.1638725</v>
      </c>
      <c r="X4132">
        <v>0.98647240000000003</v>
      </c>
      <c r="Y4132">
        <v>-4.4571880000000001E-2</v>
      </c>
      <c r="Z4132">
        <v>4.504172E-2</v>
      </c>
      <c r="AA4132">
        <v>0.9979903</v>
      </c>
      <c r="AB4132">
        <v>23</v>
      </c>
      <c r="AC4132">
        <v>6.9999999999993096E-2</v>
      </c>
      <c r="AD4132">
        <v>-1.1102537428499999</v>
      </c>
      <c r="AE4132">
        <v>-19.1022999999999</v>
      </c>
      <c r="AF4132">
        <v>-0.85490133958978298</v>
      </c>
      <c r="AG4132">
        <v>-1.1102537428499999</v>
      </c>
      <c r="AH4132">
        <v>19.018912120464101</v>
      </c>
      <c r="AI4132">
        <v>93.3375616133427</v>
      </c>
      <c r="AJ4132">
        <v>92.573716551725695</v>
      </c>
      <c r="AK4132">
        <v>19.070462446408602</v>
      </c>
      <c r="AL4132">
        <v>80.568257491656695</v>
      </c>
      <c r="AM4132">
        <v>89.754303882552307</v>
      </c>
      <c r="AN4132">
        <v>0.99999994350231802</v>
      </c>
    </row>
    <row r="4133" spans="1:40" x14ac:dyDescent="0.25">
      <c r="A4133" t="str">
        <f>"20190304155716508"</f>
        <v>20190304155716508</v>
      </c>
      <c r="B4133" t="str">
        <f>"1551686236499268"</f>
        <v>1551686236499268</v>
      </c>
      <c r="C4133" t="s">
        <v>40</v>
      </c>
      <c r="D4133">
        <v>4.6675139999999997</v>
      </c>
      <c r="E4133">
        <v>0.4813267</v>
      </c>
      <c r="F4133" t="s">
        <v>78</v>
      </c>
      <c r="G4133">
        <v>-190.64349999999999</v>
      </c>
      <c r="H4133" s="1">
        <v>-1.474177E-5</v>
      </c>
      <c r="I4133">
        <v>158.92509999999999</v>
      </c>
      <c r="J4133">
        <v>-190.7133</v>
      </c>
      <c r="K4133">
        <v>1.1102379999999901</v>
      </c>
      <c r="L4133">
        <v>177.90049999999999</v>
      </c>
      <c r="M4133">
        <v>-4.1185979999999997E-2</v>
      </c>
      <c r="N4133">
        <v>-1.2475979999999999E-2</v>
      </c>
      <c r="O4133">
        <v>-0.99907369999999995</v>
      </c>
      <c r="P4133">
        <v>-4.5257459999999999E-2</v>
      </c>
      <c r="Q4133">
        <v>0.15158829999999901</v>
      </c>
      <c r="R4133">
        <v>-0.98740709999999998</v>
      </c>
      <c r="S4133">
        <v>1.0345460000000001E-2</v>
      </c>
      <c r="T4133">
        <v>-0.17816699999999999</v>
      </c>
      <c r="U4133">
        <v>-3.0660099999999999</v>
      </c>
      <c r="V4133">
        <v>4.531312E-3</v>
      </c>
      <c r="W4133">
        <v>0.16390879999999999</v>
      </c>
      <c r="X4133">
        <v>0.98646509999999998</v>
      </c>
      <c r="Y4133">
        <v>-4.4537180000000003E-2</v>
      </c>
      <c r="Z4133">
        <v>4.5449419999999997E-2</v>
      </c>
      <c r="AA4133">
        <v>0.99797329999999995</v>
      </c>
      <c r="AB4133">
        <v>23</v>
      </c>
      <c r="AC4133">
        <v>6.9800000000014906E-2</v>
      </c>
      <c r="AD4133">
        <v>-1.1102527417700001</v>
      </c>
      <c r="AE4133">
        <v>-18.9754</v>
      </c>
      <c r="AF4133">
        <v>-0.84841750255683701</v>
      </c>
      <c r="AG4133">
        <v>-1.1102527417700001</v>
      </c>
      <c r="AH4133">
        <v>18.8917480591006</v>
      </c>
      <c r="AI4133">
        <v>93.359979182506095</v>
      </c>
      <c r="AJ4133">
        <v>92.571392610481993</v>
      </c>
      <c r="AK4133">
        <v>18.943352874762802</v>
      </c>
      <c r="AL4133">
        <v>80.5661497847139</v>
      </c>
      <c r="AM4133">
        <v>89.736814584477401</v>
      </c>
      <c r="AN4133">
        <v>1.00000001051194</v>
      </c>
    </row>
    <row r="4134" spans="1:40" x14ac:dyDescent="0.25">
      <c r="A4134" t="str">
        <f>"20190304155716520"</f>
        <v>20190304155716520</v>
      </c>
      <c r="B4134" t="str">
        <f>"1551686236509082"</f>
        <v>1551686236509082</v>
      </c>
      <c r="C4134" t="s">
        <v>40</v>
      </c>
      <c r="D4134">
        <v>4.7062309999999998</v>
      </c>
      <c r="E4134">
        <v>0.48122330000000002</v>
      </c>
      <c r="F4134" t="s">
        <v>78</v>
      </c>
      <c r="G4134">
        <v>-190.6498</v>
      </c>
      <c r="H4134" s="1">
        <v>-1.4689409999999999E-5</v>
      </c>
      <c r="I4134">
        <v>158.80170000000001</v>
      </c>
      <c r="J4134">
        <v>-190.71860000000001</v>
      </c>
      <c r="K4134">
        <v>1.1102350000000001</v>
      </c>
      <c r="L4134">
        <v>177.7715</v>
      </c>
      <c r="M4134">
        <v>-4.1135110000000003E-2</v>
      </c>
      <c r="N4134">
        <v>-1.2453840000000001E-2</v>
      </c>
      <c r="O4134">
        <v>-0.99907610000000002</v>
      </c>
      <c r="P4134">
        <v>-4.5137999999999998E-2</v>
      </c>
      <c r="Q4134">
        <v>0.15159039999999999</v>
      </c>
      <c r="R4134">
        <v>-0.98741239999999997</v>
      </c>
      <c r="S4134">
        <v>1.019287E-2</v>
      </c>
      <c r="T4134">
        <v>-0.17823829999999999</v>
      </c>
      <c r="U4134">
        <v>-3.0660859999999999</v>
      </c>
      <c r="V4134">
        <v>4.4619569999999999E-3</v>
      </c>
      <c r="W4134">
        <v>0.16388900000000001</v>
      </c>
      <c r="X4134">
        <v>0.98646869999999998</v>
      </c>
      <c r="Y4134">
        <v>-4.4436629999999998E-2</v>
      </c>
      <c r="Z4134">
        <v>4.5493550000000001E-2</v>
      </c>
      <c r="AA4134">
        <v>0.99797579999999997</v>
      </c>
      <c r="AB4134">
        <v>23</v>
      </c>
      <c r="AC4134">
        <v>6.8800000000010103E-2</v>
      </c>
      <c r="AD4134">
        <v>-1.11024968941</v>
      </c>
      <c r="AE4134">
        <v>-18.9697999999999</v>
      </c>
      <c r="AF4134">
        <v>-0.84622832861532404</v>
      </c>
      <c r="AG4134">
        <v>-1.11024968941</v>
      </c>
      <c r="AH4134">
        <v>18.886218353937998</v>
      </c>
      <c r="AI4134">
        <v>93.360966905540195</v>
      </c>
      <c r="AJ4134">
        <v>92.565516446585505</v>
      </c>
      <c r="AK4134">
        <v>18.9377401098867</v>
      </c>
      <c r="AL4134">
        <v>80.5672997374961</v>
      </c>
      <c r="AM4134">
        <v>89.740843717560793</v>
      </c>
      <c r="AN4134">
        <v>1.00000000473047</v>
      </c>
    </row>
    <row r="4135" spans="1:40" x14ac:dyDescent="0.25">
      <c r="A4135" t="str">
        <f>"20190304155716537"</f>
        <v>20190304155716537</v>
      </c>
      <c r="B4135" t="str">
        <f>"1551686236528601"</f>
        <v>1551686236528601</v>
      </c>
      <c r="C4135" t="s">
        <v>40</v>
      </c>
      <c r="D4135">
        <v>4.6858849999999999</v>
      </c>
      <c r="E4135">
        <v>0.4810661</v>
      </c>
      <c r="F4135" t="s">
        <v>78</v>
      </c>
      <c r="G4135">
        <v>-190.648</v>
      </c>
      <c r="H4135" s="1">
        <v>-1.463256E-5</v>
      </c>
      <c r="I4135">
        <v>158.6695</v>
      </c>
      <c r="J4135">
        <v>-190.72559999999999</v>
      </c>
      <c r="K4135">
        <v>1.110233</v>
      </c>
      <c r="L4135">
        <v>177.60059999999999</v>
      </c>
      <c r="M4135">
        <v>-4.1068920000000002E-2</v>
      </c>
      <c r="N4135">
        <v>-1.2419589999999999E-2</v>
      </c>
      <c r="O4135">
        <v>-0.99907939999999995</v>
      </c>
      <c r="P4135">
        <v>-4.5246799999999997E-2</v>
      </c>
      <c r="Q4135">
        <v>0.15201999999999999</v>
      </c>
      <c r="R4135">
        <v>-0.98734160000000004</v>
      </c>
      <c r="S4135">
        <v>1.132202E-2</v>
      </c>
      <c r="T4135">
        <v>-0.17821010000000001</v>
      </c>
      <c r="U4135">
        <v>-3.0661320000000001</v>
      </c>
      <c r="V4135">
        <v>4.6394060000000004E-3</v>
      </c>
      <c r="W4135">
        <v>0.1642836</v>
      </c>
      <c r="X4135">
        <v>0.98640220000000001</v>
      </c>
      <c r="Y4135">
        <v>-4.4737800000000001E-2</v>
      </c>
      <c r="Z4135">
        <v>4.5517500000000002E-2</v>
      </c>
      <c r="AA4135">
        <v>0.99796130000000005</v>
      </c>
      <c r="AB4135">
        <v>23</v>
      </c>
      <c r="AC4135">
        <v>7.7599999999989594E-2</v>
      </c>
      <c r="AD4135">
        <v>-1.1102476325599999</v>
      </c>
      <c r="AE4135">
        <v>-18.931099999999901</v>
      </c>
      <c r="AF4135">
        <v>-0.85214325802677404</v>
      </c>
      <c r="AG4135">
        <v>-1.1102476325599999</v>
      </c>
      <c r="AH4135">
        <v>18.847116008024599</v>
      </c>
      <c r="AI4135">
        <v>93.367856285848902</v>
      </c>
      <c r="AJ4135">
        <v>92.588777148308097</v>
      </c>
      <c r="AK4135">
        <v>18.899010020573598</v>
      </c>
      <c r="AL4135">
        <v>80.544379770069995</v>
      </c>
      <c r="AM4135">
        <v>89.730519231238802</v>
      </c>
      <c r="AN4135">
        <v>0.99999996274091496</v>
      </c>
    </row>
    <row r="4136" spans="1:40" x14ac:dyDescent="0.25">
      <c r="A4136" t="str">
        <f>"20190304155716548"</f>
        <v>20190304155716548</v>
      </c>
      <c r="B4136" t="str">
        <f>"1551686236539338"</f>
        <v>1551686236539338</v>
      </c>
      <c r="C4136" t="s">
        <v>40</v>
      </c>
      <c r="D4136">
        <v>4.8829209999999996</v>
      </c>
      <c r="E4136">
        <v>0.48110439999999999</v>
      </c>
      <c r="F4136" t="s">
        <v>78</v>
      </c>
      <c r="G4136">
        <v>-190.64930000000001</v>
      </c>
      <c r="H4136" s="1">
        <v>-1.451537E-5</v>
      </c>
      <c r="I4136">
        <v>158.39609999999999</v>
      </c>
      <c r="J4136">
        <v>-190.7304</v>
      </c>
      <c r="K4136">
        <v>1.1102259999999999</v>
      </c>
      <c r="L4136">
        <v>177.4821</v>
      </c>
      <c r="M4136">
        <v>-4.1023629999999998E-2</v>
      </c>
      <c r="N4136">
        <v>-1.239238E-2</v>
      </c>
      <c r="O4136">
        <v>-0.99908129999999995</v>
      </c>
      <c r="P4136">
        <v>-4.5195510000000001E-2</v>
      </c>
      <c r="Q4136">
        <v>0.15208840000000001</v>
      </c>
      <c r="R4136">
        <v>-0.98733289999999996</v>
      </c>
      <c r="S4136">
        <v>1.217651E-2</v>
      </c>
      <c r="T4136">
        <v>-0.17726979999999901</v>
      </c>
      <c r="U4136">
        <v>-3.0663149999999999</v>
      </c>
      <c r="V4136">
        <v>4.6338760000000003E-3</v>
      </c>
      <c r="W4136">
        <v>0.16432550000000001</v>
      </c>
      <c r="X4136">
        <v>0.98639529999999997</v>
      </c>
      <c r="Y4136">
        <v>-4.497048E-2</v>
      </c>
      <c r="Z4136">
        <v>4.5236209999999999E-2</v>
      </c>
      <c r="AA4136">
        <v>0.99796359999999995</v>
      </c>
      <c r="AB4136">
        <v>23</v>
      </c>
      <c r="AC4136">
        <v>8.1099999999992095E-2</v>
      </c>
      <c r="AD4136">
        <v>-1.1102405153699999</v>
      </c>
      <c r="AE4136">
        <v>-19.085999999999999</v>
      </c>
      <c r="AF4136">
        <v>-0.86115494539467197</v>
      </c>
      <c r="AG4136">
        <v>-1.1102405153699999</v>
      </c>
      <c r="AH4136">
        <v>19.002304435904101</v>
      </c>
      <c r="AI4136">
        <v>93.340376972095598</v>
      </c>
      <c r="AJ4136">
        <v>92.594780422524494</v>
      </c>
      <c r="AK4136">
        <v>19.0541805312306</v>
      </c>
      <c r="AL4136">
        <v>80.541946502827898</v>
      </c>
      <c r="AM4136">
        <v>89.730838554810305</v>
      </c>
      <c r="AN4136">
        <v>1.0000000153095601</v>
      </c>
    </row>
    <row r="4137" spans="1:40" x14ac:dyDescent="0.25">
      <c r="A4137" t="str">
        <f>"20190304155716560"</f>
        <v>20190304155716560</v>
      </c>
      <c r="B4137" t="str">
        <f>"1551686236549098"</f>
        <v>1551686236549098</v>
      </c>
      <c r="C4137" t="s">
        <v>40</v>
      </c>
      <c r="D4137">
        <v>5.0401550000000004</v>
      </c>
      <c r="E4137">
        <v>0.48110439999999999</v>
      </c>
      <c r="F4137" t="s">
        <v>78</v>
      </c>
      <c r="G4137">
        <v>-190.65600000000001</v>
      </c>
      <c r="H4137" s="1">
        <v>-1.4501460000000001E-5</v>
      </c>
      <c r="I4137">
        <v>158.3623</v>
      </c>
      <c r="J4137">
        <v>-190.73519999999999</v>
      </c>
      <c r="K4137">
        <v>1.1102190000000001</v>
      </c>
      <c r="L4137">
        <v>177.3623</v>
      </c>
      <c r="M4137">
        <v>-4.0977529999999998E-2</v>
      </c>
      <c r="N4137">
        <v>-1.236045E-2</v>
      </c>
      <c r="O4137">
        <v>-0.99908390000000002</v>
      </c>
      <c r="P4137">
        <v>-4.5330620000000002E-2</v>
      </c>
      <c r="Q4137">
        <v>0.15224770000000001</v>
      </c>
      <c r="R4137">
        <v>-0.98730269999999998</v>
      </c>
      <c r="S4137">
        <v>1.1932369999999999E-2</v>
      </c>
      <c r="T4137">
        <v>-0.17806259999999999</v>
      </c>
      <c r="U4137">
        <v>-3.0664669999999998</v>
      </c>
      <c r="V4137">
        <v>4.8164059999999996E-3</v>
      </c>
      <c r="W4137">
        <v>0.16445299999999999</v>
      </c>
      <c r="X4137">
        <v>0.98637319999999995</v>
      </c>
      <c r="Y4137">
        <v>-4.4844700000000001E-2</v>
      </c>
      <c r="Z4137">
        <v>4.5522550000000002E-2</v>
      </c>
      <c r="AA4137">
        <v>0.99795619999999996</v>
      </c>
      <c r="AB4137">
        <v>23</v>
      </c>
      <c r="AC4137">
        <v>7.9200000000014301E-2</v>
      </c>
      <c r="AD4137">
        <v>-1.11023350146</v>
      </c>
      <c r="AE4137">
        <v>-19</v>
      </c>
      <c r="AF4137">
        <v>-0.85484700820566595</v>
      </c>
      <c r="AG4137">
        <v>-1.11023350146</v>
      </c>
      <c r="AH4137">
        <v>18.916205779284599</v>
      </c>
      <c r="AI4137">
        <v>93.355544389427294</v>
      </c>
      <c r="AJ4137">
        <v>92.587507481194507</v>
      </c>
      <c r="AK4137">
        <v>18.968031603712699</v>
      </c>
      <c r="AL4137">
        <v>80.534540756806507</v>
      </c>
      <c r="AM4137">
        <v>89.720230088365099</v>
      </c>
      <c r="AN4137">
        <v>1.00000003832699</v>
      </c>
    </row>
    <row r="4138" spans="1:40" x14ac:dyDescent="0.25">
      <c r="A4138" t="str">
        <f>"20190304155716573"</f>
        <v>20190304155716573</v>
      </c>
      <c r="B4138" t="str">
        <f>"1551686236568618"</f>
        <v>1551686236568618</v>
      </c>
      <c r="C4138" t="s">
        <v>40</v>
      </c>
      <c r="D4138">
        <v>4.7312469999999998</v>
      </c>
      <c r="E4138">
        <v>0.54720959999999996</v>
      </c>
      <c r="F4138" t="s">
        <v>78</v>
      </c>
      <c r="G4138">
        <v>-190.66399999999999</v>
      </c>
      <c r="H4138" s="1">
        <v>-1.443031E-5</v>
      </c>
      <c r="I4138">
        <v>158.19479999999999</v>
      </c>
      <c r="J4138">
        <v>-190.7406</v>
      </c>
      <c r="K4138">
        <v>1.1102099999999999</v>
      </c>
      <c r="L4138">
        <v>177.22909999999999</v>
      </c>
      <c r="M4138">
        <v>-4.0926259999999999E-2</v>
      </c>
      <c r="N4138">
        <v>-1.232341E-2</v>
      </c>
      <c r="O4138">
        <v>-0.99908609999999998</v>
      </c>
      <c r="P4138">
        <v>-4.5368039999999998E-2</v>
      </c>
      <c r="Q4138">
        <v>0.15231929999999999</v>
      </c>
      <c r="R4138">
        <v>-0.98728950000000004</v>
      </c>
      <c r="S4138">
        <v>1.139832E-2</v>
      </c>
      <c r="T4138">
        <v>-0.17761979999999999</v>
      </c>
      <c r="U4138">
        <v>-3.0664980000000002</v>
      </c>
      <c r="V4138">
        <v>4.9057500000000004E-3</v>
      </c>
      <c r="W4138">
        <v>0.16448779999999999</v>
      </c>
      <c r="X4138">
        <v>0.98636690000000005</v>
      </c>
      <c r="Y4138">
        <v>-4.4619810000000003E-2</v>
      </c>
      <c r="Z4138">
        <v>4.5416020000000001E-2</v>
      </c>
      <c r="AA4138">
        <v>0.99797119999999995</v>
      </c>
      <c r="AB4138">
        <v>23</v>
      </c>
      <c r="AC4138">
        <v>7.6599999999984902E-2</v>
      </c>
      <c r="AD4138">
        <v>-1.11022443031</v>
      </c>
      <c r="AE4138">
        <v>-19.034300000000002</v>
      </c>
      <c r="AF4138">
        <v>-0.85269681915009299</v>
      </c>
      <c r="AG4138">
        <v>-1.11022443031</v>
      </c>
      <c r="AH4138">
        <v>18.9507434913323</v>
      </c>
      <c r="AI4138">
        <v>93.3494449939394</v>
      </c>
      <c r="AJ4138">
        <v>92.576310417902505</v>
      </c>
      <c r="AK4138">
        <v>19.002377983434599</v>
      </c>
      <c r="AL4138">
        <v>80.532518798611903</v>
      </c>
      <c r="AM4138">
        <v>89.715038640520802</v>
      </c>
      <c r="AN4138">
        <v>0.99999998207375596</v>
      </c>
    </row>
    <row r="4139" spans="1:40" x14ac:dyDescent="0.25">
      <c r="A4139" t="str">
        <f>"20190304155716584"</f>
        <v>20190304155716584</v>
      </c>
      <c r="B4139" t="str">
        <f>"1551686236579354"</f>
        <v>1551686236579354</v>
      </c>
      <c r="C4139" t="s">
        <v>40</v>
      </c>
      <c r="D4139">
        <v>4.5549850000000003</v>
      </c>
      <c r="E4139">
        <v>0.55656589999999995</v>
      </c>
      <c r="F4139" t="s">
        <v>78</v>
      </c>
      <c r="G4139">
        <v>-197.37530000000001</v>
      </c>
      <c r="H4139" s="1">
        <v>-8.6639189999999903E-6</v>
      </c>
      <c r="I4139">
        <v>138.20429999999999</v>
      </c>
      <c r="J4139">
        <v>-190.7458</v>
      </c>
      <c r="K4139">
        <v>1.1102030000000001</v>
      </c>
      <c r="L4139">
        <v>177.10310000000001</v>
      </c>
      <c r="M4139">
        <v>-4.0877810000000001E-2</v>
      </c>
      <c r="N4139">
        <v>-1.2285580000000001E-2</v>
      </c>
      <c r="O4139">
        <v>-0.99908869999999905</v>
      </c>
      <c r="P4139">
        <v>-4.5529310000000003E-2</v>
      </c>
      <c r="Q4139">
        <v>0.15218119999999999</v>
      </c>
      <c r="R4139">
        <v>-0.98730359999999995</v>
      </c>
      <c r="S4139">
        <v>-0.51484679999999905</v>
      </c>
      <c r="T4139">
        <v>-8.615196E-2</v>
      </c>
      <c r="U4139">
        <v>-3.0282900000000001</v>
      </c>
      <c r="V4139">
        <v>5.114721E-3</v>
      </c>
      <c r="W4139">
        <v>0.16431279999999901</v>
      </c>
      <c r="X4139">
        <v>0.98639500000000002</v>
      </c>
      <c r="Y4139">
        <v>0.12711239999999999</v>
      </c>
      <c r="Z4139">
        <v>1.5844790000000001E-2</v>
      </c>
      <c r="AA4139">
        <v>0.99176169999999997</v>
      </c>
      <c r="AB4139">
        <v>23</v>
      </c>
      <c r="AC4139">
        <v>-6.6295000000000002</v>
      </c>
      <c r="AD4139">
        <v>-1.1102116639190001</v>
      </c>
      <c r="AE4139">
        <v>-38.898800000000001</v>
      </c>
      <c r="AF4139">
        <v>5.0297587310109702</v>
      </c>
      <c r="AG4139">
        <v>-1.1102116639190001</v>
      </c>
      <c r="AH4139">
        <v>39.1063450469495</v>
      </c>
      <c r="AI4139">
        <v>91.612886077254501</v>
      </c>
      <c r="AJ4139">
        <v>82.6709988932583</v>
      </c>
      <c r="AK4139">
        <v>39.444103054347103</v>
      </c>
      <c r="AL4139">
        <v>80.542683814257998</v>
      </c>
      <c r="AM4139">
        <v>89.702908773562996</v>
      </c>
      <c r="AN4139">
        <v>0.99999997631987303</v>
      </c>
    </row>
    <row r="4140" spans="1:40" x14ac:dyDescent="0.25">
      <c r="A4140" t="str">
        <f>"20190304155716596"</f>
        <v>20190304155716596</v>
      </c>
      <c r="B4140" t="str">
        <f>"1551686236589114"</f>
        <v>1551686236589114</v>
      </c>
      <c r="C4140" t="s">
        <v>40</v>
      </c>
      <c r="D4140">
        <v>4.6971809999999996</v>
      </c>
      <c r="E4140">
        <v>0.56403319999999901</v>
      </c>
      <c r="F4140" t="s">
        <v>78</v>
      </c>
      <c r="G4140">
        <v>-201.1781</v>
      </c>
      <c r="H4140">
        <v>7.998864E-2</v>
      </c>
      <c r="I4140">
        <v>123.68640000000001</v>
      </c>
      <c r="J4140">
        <v>-190.7508</v>
      </c>
      <c r="K4140">
        <v>1.110193</v>
      </c>
      <c r="L4140">
        <v>176.97900000000001</v>
      </c>
      <c r="M4140">
        <v>-4.0830640000000001E-2</v>
      </c>
      <c r="N4140">
        <v>-1.224653E-2</v>
      </c>
      <c r="O4140">
        <v>-0.99909130000000002</v>
      </c>
      <c r="P4140">
        <v>-4.5533360000000002E-2</v>
      </c>
      <c r="Q4140">
        <v>0.15220790000000001</v>
      </c>
      <c r="R4140">
        <v>-0.98729960000000005</v>
      </c>
      <c r="S4140">
        <v>-0.58987429999999996</v>
      </c>
      <c r="T4140">
        <v>-5.8251379999999998E-2</v>
      </c>
      <c r="U4140">
        <v>-3.02034</v>
      </c>
      <c r="V4140">
        <v>5.1658399999999997E-3</v>
      </c>
      <c r="W4140">
        <v>0.16430059999999999</v>
      </c>
      <c r="X4140">
        <v>0.98639679999999996</v>
      </c>
      <c r="Y4140">
        <v>0.15140979999999901</v>
      </c>
      <c r="Z4140">
        <v>6.7709950000000001E-3</v>
      </c>
      <c r="AA4140">
        <v>0.98844790000000005</v>
      </c>
      <c r="AB4140">
        <v>23</v>
      </c>
      <c r="AC4140">
        <v>-10.427300000000001</v>
      </c>
      <c r="AD4140">
        <v>-1.0302043599999999</v>
      </c>
      <c r="AE4140">
        <v>-53.2926</v>
      </c>
      <c r="AF4140">
        <v>8.2395041177202</v>
      </c>
      <c r="AG4140">
        <v>-1.0302043599999999</v>
      </c>
      <c r="AH4140">
        <v>53.654625851795103</v>
      </c>
      <c r="AI4140">
        <v>91.087239721051802</v>
      </c>
      <c r="AJ4140">
        <v>81.269542008571193</v>
      </c>
      <c r="AK4140">
        <v>54.293366302205001</v>
      </c>
      <c r="AL4140">
        <v>80.543392775655903</v>
      </c>
      <c r="AM4140">
        <v>89.699940101460896</v>
      </c>
      <c r="AN4140">
        <v>1.0000000100567501</v>
      </c>
    </row>
    <row r="4141" spans="1:40" x14ac:dyDescent="0.25">
      <c r="A4141" t="str">
        <f>"20190304155716609"</f>
        <v>20190304155716609</v>
      </c>
      <c r="B4141" t="str">
        <f>"1551686236598874"</f>
        <v>1551686236598874</v>
      </c>
      <c r="C4141" t="s">
        <v>40</v>
      </c>
      <c r="D4141">
        <v>4.6766030000000001</v>
      </c>
      <c r="E4141">
        <v>0.56899040000000001</v>
      </c>
      <c r="F4141" t="s">
        <v>44</v>
      </c>
      <c r="G4141">
        <v>-208.13310000000001</v>
      </c>
      <c r="H4141">
        <v>-0.05</v>
      </c>
      <c r="I4141">
        <v>96.266769999999994</v>
      </c>
      <c r="J4141">
        <v>-190.75620000000001</v>
      </c>
      <c r="K4141">
        <v>1.1101829999999999</v>
      </c>
      <c r="L4141">
        <v>176.84530000000001</v>
      </c>
      <c r="M4141">
        <v>-4.0780209999999997E-2</v>
      </c>
      <c r="N4141">
        <v>-1.220313E-2</v>
      </c>
      <c r="O4141">
        <v>-0.99909369999999997</v>
      </c>
      <c r="P4141">
        <v>-4.5569989999999998E-2</v>
      </c>
      <c r="Q4141">
        <v>0.1521081</v>
      </c>
      <c r="R4141">
        <v>-0.98731290000000005</v>
      </c>
      <c r="S4141">
        <v>-0.6493835</v>
      </c>
      <c r="T4141">
        <v>-4.334354E-2</v>
      </c>
      <c r="U4141">
        <v>-3.01532</v>
      </c>
      <c r="V4141">
        <v>5.2518829999999997E-3</v>
      </c>
      <c r="W4141">
        <v>0.164158</v>
      </c>
      <c r="X4141">
        <v>0.98642010000000002</v>
      </c>
      <c r="Y4141">
        <v>0.17046269999999999</v>
      </c>
      <c r="Z4141">
        <v>1.93834E-3</v>
      </c>
      <c r="AA4141">
        <v>0.98536219999999997</v>
      </c>
      <c r="AB4141">
        <v>23</v>
      </c>
      <c r="AC4141">
        <v>-17.376899999999999</v>
      </c>
      <c r="AD4141">
        <v>-1.160183</v>
      </c>
      <c r="AE4141">
        <v>-80.578530000000001</v>
      </c>
      <c r="AF4141">
        <v>14.0734010525558</v>
      </c>
      <c r="AG4141">
        <v>-1.160183</v>
      </c>
      <c r="AH4141">
        <v>81.204090315127502</v>
      </c>
      <c r="AI4141">
        <v>90.806522213336194</v>
      </c>
      <c r="AJ4141">
        <v>80.167788638109499</v>
      </c>
      <c r="AK4141">
        <v>82.422757328828496</v>
      </c>
      <c r="AL4141">
        <v>80.551675734856104</v>
      </c>
      <c r="AM4141">
        <v>89.694949558362694</v>
      </c>
      <c r="AN4141">
        <v>1.00000002246152</v>
      </c>
    </row>
    <row r="4142" spans="1:40" x14ac:dyDescent="0.25">
      <c r="A4142" t="str">
        <f>"20190304155716626"</f>
        <v>20190304155716626</v>
      </c>
      <c r="B4142" t="str">
        <f>"1551686236618643"</f>
        <v>1551686236618643</v>
      </c>
      <c r="C4142" t="s">
        <v>40</v>
      </c>
      <c r="D4142">
        <v>4.6200390000000002</v>
      </c>
      <c r="E4142">
        <v>0.57628819999999903</v>
      </c>
      <c r="F4142" t="s">
        <v>54</v>
      </c>
      <c r="G4142">
        <v>-212.2252</v>
      </c>
      <c r="H4142">
        <v>0.11347790000000001</v>
      </c>
      <c r="I4142">
        <v>83.012190000000004</v>
      </c>
      <c r="J4142">
        <v>-190.76300000000001</v>
      </c>
      <c r="K4142">
        <v>1.1101730000000001</v>
      </c>
      <c r="L4142">
        <v>176.67580000000001</v>
      </c>
      <c r="M4142">
        <v>-4.0718289999999997E-2</v>
      </c>
      <c r="N4142">
        <v>-1.214383E-2</v>
      </c>
      <c r="O4142">
        <v>-0.99909700000000001</v>
      </c>
      <c r="P4142">
        <v>-4.5969400000000001E-2</v>
      </c>
      <c r="Q4142">
        <v>0.152138</v>
      </c>
      <c r="R4142">
        <v>-0.98729</v>
      </c>
      <c r="S4142">
        <v>-0.68907169999999995</v>
      </c>
      <c r="T4142">
        <v>-3.1989570000000002E-2</v>
      </c>
      <c r="U4142">
        <v>-3.011673</v>
      </c>
      <c r="V4142">
        <v>5.7128650000000001E-3</v>
      </c>
      <c r="W4142">
        <v>0.16412979999999899</v>
      </c>
      <c r="X4142">
        <v>0.98642220000000003</v>
      </c>
      <c r="Y4142">
        <v>0.1831313</v>
      </c>
      <c r="Z4142">
        <v>-1.70408E-3</v>
      </c>
      <c r="AA4142">
        <v>0.98308700000000004</v>
      </c>
      <c r="AB4142">
        <v>23</v>
      </c>
      <c r="AC4142">
        <v>-21.462199999999999</v>
      </c>
      <c r="AD4142">
        <v>-0.99669509999999895</v>
      </c>
      <c r="AE4142">
        <v>-93.663609999999906</v>
      </c>
      <c r="AF4142">
        <v>17.628398704113302</v>
      </c>
      <c r="AG4142">
        <v>-0.99669509999999895</v>
      </c>
      <c r="AH4142">
        <v>94.449727074991003</v>
      </c>
      <c r="AI4142">
        <v>90.594337281350207</v>
      </c>
      <c r="AJ4142">
        <v>79.427776205151801</v>
      </c>
      <c r="AK4142">
        <v>96.085923977104201</v>
      </c>
      <c r="AL4142">
        <v>80.553313405465104</v>
      </c>
      <c r="AM4142">
        <v>89.6681751547479</v>
      </c>
      <c r="AN4142">
        <v>0.99999999236369397</v>
      </c>
    </row>
    <row r="4143" spans="1:40" x14ac:dyDescent="0.25">
      <c r="A4143" t="str">
        <f>"20190304155716642"</f>
        <v>20190304155716642</v>
      </c>
      <c r="B4143" t="str">
        <f>"1551686236639139"</f>
        <v>1551686236639139</v>
      </c>
      <c r="C4143" t="s">
        <v>40</v>
      </c>
      <c r="D4143">
        <v>4.5174019999999997</v>
      </c>
      <c r="E4143">
        <v>0.5794414</v>
      </c>
      <c r="F4143" t="s">
        <v>54</v>
      </c>
      <c r="G4143">
        <v>-212.22540000000001</v>
      </c>
      <c r="H4143">
        <v>0.71691830000000001</v>
      </c>
      <c r="I4143">
        <v>90.472139999999996</v>
      </c>
      <c r="J4143">
        <v>-190.76939999999999</v>
      </c>
      <c r="K4143">
        <v>1.110163</v>
      </c>
      <c r="L4143">
        <v>176.51759999999999</v>
      </c>
      <c r="M4143">
        <v>-4.0661219999999998E-2</v>
      </c>
      <c r="N4143">
        <v>-1.208556E-2</v>
      </c>
      <c r="O4143">
        <v>-0.99910010000000005</v>
      </c>
      <c r="P4143">
        <v>-4.583723E-2</v>
      </c>
      <c r="Q4143">
        <v>0.15200659999999999</v>
      </c>
      <c r="R4143">
        <v>-0.98731630000000004</v>
      </c>
      <c r="S4143">
        <v>-0.74838260000000001</v>
      </c>
      <c r="T4143">
        <v>-1.371169E-2</v>
      </c>
      <c r="U4143">
        <v>-3.0058750000000001</v>
      </c>
      <c r="V4143">
        <v>5.6358469999999898E-3</v>
      </c>
      <c r="W4143">
        <v>0.16394120000000001</v>
      </c>
      <c r="X4143">
        <v>0.98645400000000005</v>
      </c>
      <c r="Y4143">
        <v>0.2019116</v>
      </c>
      <c r="Z4143">
        <v>-7.5844479999999997E-3</v>
      </c>
      <c r="AA4143">
        <v>0.97937439999999998</v>
      </c>
      <c r="AB4143">
        <v>23</v>
      </c>
      <c r="AC4143">
        <v>-21.456</v>
      </c>
      <c r="AD4143">
        <v>-0.393244699999999</v>
      </c>
      <c r="AE4143">
        <v>-86.045459999999906</v>
      </c>
      <c r="AF4143">
        <v>17.9389321392153</v>
      </c>
      <c r="AG4143">
        <v>-0.393244699999999</v>
      </c>
      <c r="AH4143">
        <v>86.845072184036098</v>
      </c>
      <c r="AI4143">
        <v>90.254076471776202</v>
      </c>
      <c r="AJ4143">
        <v>78.328988077323203</v>
      </c>
      <c r="AK4143">
        <v>88.679346469963804</v>
      </c>
      <c r="AL4143">
        <v>80.564267721327994</v>
      </c>
      <c r="AM4143">
        <v>89.672659106487501</v>
      </c>
      <c r="AN4143">
        <v>0.99999998697242298</v>
      </c>
    </row>
    <row r="4144" spans="1:40" x14ac:dyDescent="0.25">
      <c r="A4144" t="str">
        <f>"20190304155716660"</f>
        <v>20190304155716660</v>
      </c>
      <c r="B4144" t="str">
        <f>"1551686236648899"</f>
        <v>1551686236648899</v>
      </c>
      <c r="C4144" t="s">
        <v>40</v>
      </c>
      <c r="D4144">
        <v>4.6242029999999996</v>
      </c>
      <c r="E4144">
        <v>0.58098209999999995</v>
      </c>
      <c r="F4144" t="s">
        <v>54</v>
      </c>
      <c r="G4144">
        <v>-211.35900000000001</v>
      </c>
      <c r="H4144">
        <v>1.0566990000000001</v>
      </c>
      <c r="I4144">
        <v>96.545720000000003</v>
      </c>
      <c r="J4144">
        <v>-190.77760000000001</v>
      </c>
      <c r="K4144">
        <v>1.1101529999999999</v>
      </c>
      <c r="L4144">
        <v>176.315</v>
      </c>
      <c r="M4144">
        <v>-4.0588449999999998E-2</v>
      </c>
      <c r="N4144">
        <v>-1.200736E-2</v>
      </c>
      <c r="O4144">
        <v>-0.99910370000000004</v>
      </c>
      <c r="P4144">
        <v>-4.6371999999999997E-2</v>
      </c>
      <c r="Q4144">
        <v>0.1523746</v>
      </c>
      <c r="R4144">
        <v>-0.98723439999999996</v>
      </c>
      <c r="S4144">
        <v>-0.77314759999999905</v>
      </c>
      <c r="T4144">
        <v>-2.0065310000000002E-3</v>
      </c>
      <c r="U4144">
        <v>-3.0029750000000002</v>
      </c>
      <c r="V4144">
        <v>6.2450329999999997E-3</v>
      </c>
      <c r="W4144">
        <v>0.164231399999999</v>
      </c>
      <c r="X4144">
        <v>0.98640209999999995</v>
      </c>
      <c r="Y4144">
        <v>0.209783</v>
      </c>
      <c r="Z4144">
        <v>-1.1296459999999999E-2</v>
      </c>
      <c r="AA4144">
        <v>0.97768270000000002</v>
      </c>
      <c r="AB4144">
        <v>23</v>
      </c>
      <c r="AC4144">
        <v>-20.581399999999999</v>
      </c>
      <c r="AD4144">
        <v>-5.3454000000000099E-2</v>
      </c>
      <c r="AE4144">
        <v>-79.769279999999995</v>
      </c>
      <c r="AF4144">
        <v>17.326484959492099</v>
      </c>
      <c r="AG4144">
        <v>-5.3454000000000099E-2</v>
      </c>
      <c r="AH4144">
        <v>80.538930101971602</v>
      </c>
      <c r="AI4144">
        <v>90.037176851946796</v>
      </c>
      <c r="AJ4144">
        <v>77.858902119711502</v>
      </c>
      <c r="AK4144">
        <v>82.381607172668694</v>
      </c>
      <c r="AL4144">
        <v>80.547412415181796</v>
      </c>
      <c r="AM4144">
        <v>89.637258220387494</v>
      </c>
      <c r="AN4144">
        <v>1.00000002803377</v>
      </c>
    </row>
    <row r="4145" spans="1:40" x14ac:dyDescent="0.25">
      <c r="A4145" t="str">
        <f>"20190304155716684"</f>
        <v>20190304155716684</v>
      </c>
      <c r="B4145" t="str">
        <f>"1551686236679155"</f>
        <v>1551686236679155</v>
      </c>
      <c r="C4145" t="s">
        <v>40</v>
      </c>
      <c r="D4145">
        <v>4.5194999999999999</v>
      </c>
      <c r="E4145">
        <v>0.58507790000000004</v>
      </c>
      <c r="F4145" t="s">
        <v>54</v>
      </c>
      <c r="G4145">
        <v>-211.35900000000001</v>
      </c>
      <c r="H4145">
        <v>1.209544</v>
      </c>
      <c r="I4145">
        <v>97.819789999999998</v>
      </c>
      <c r="J4145">
        <v>-190.78710000000001</v>
      </c>
      <c r="K4145">
        <v>1.110139</v>
      </c>
      <c r="L4145">
        <v>176.07759999999999</v>
      </c>
      <c r="M4145">
        <v>-4.0502150000000001E-2</v>
      </c>
      <c r="N4145">
        <v>-1.191438E-2</v>
      </c>
      <c r="O4145">
        <v>-0.99910869999999996</v>
      </c>
      <c r="P4145">
        <v>-4.6788139999999999E-2</v>
      </c>
      <c r="Q4145">
        <v>0.15240589999999901</v>
      </c>
      <c r="R4145">
        <v>-0.98721040000000004</v>
      </c>
      <c r="S4145">
        <v>-0.78692629999999997</v>
      </c>
      <c r="T4145">
        <v>3.8012269999999999E-3</v>
      </c>
      <c r="U4145">
        <v>-3.001236</v>
      </c>
      <c r="V4145">
        <v>6.7469100000000001E-3</v>
      </c>
      <c r="W4145">
        <v>0.16417079999999901</v>
      </c>
      <c r="X4145">
        <v>0.98640890000000003</v>
      </c>
      <c r="Y4145">
        <v>0.21420339999999999</v>
      </c>
      <c r="Z4145">
        <v>-1.30817E-2</v>
      </c>
      <c r="AA4145">
        <v>0.9767015</v>
      </c>
      <c r="AB4145">
        <v>23</v>
      </c>
      <c r="AC4145">
        <v>-20.571899999999999</v>
      </c>
      <c r="AD4145">
        <v>9.9404999999999896E-2</v>
      </c>
      <c r="AE4145">
        <v>-78.257809999999907</v>
      </c>
      <c r="AF4145">
        <v>17.385157483369799</v>
      </c>
      <c r="AG4145">
        <v>9.9404999999999896E-2</v>
      </c>
      <c r="AH4145">
        <v>79.026732389876798</v>
      </c>
      <c r="AI4145">
        <v>89.929612758254706</v>
      </c>
      <c r="AJ4145">
        <v>77.593081906170994</v>
      </c>
      <c r="AK4145">
        <v>80.916487901396195</v>
      </c>
      <c r="AL4145">
        <v>80.550932478862904</v>
      </c>
      <c r="AM4145">
        <v>89.608110349042406</v>
      </c>
      <c r="AN4145">
        <v>1.0000000451831901</v>
      </c>
    </row>
    <row r="4146" spans="1:40" x14ac:dyDescent="0.25">
      <c r="A4146" t="str">
        <f>"20190304155716697"</f>
        <v>20190304155716697</v>
      </c>
      <c r="B4146" t="str">
        <f>"1551686236688915"</f>
        <v>1551686236688915</v>
      </c>
      <c r="C4146" t="s">
        <v>40</v>
      </c>
      <c r="D4146">
        <v>4.6014980000000003</v>
      </c>
      <c r="E4146">
        <v>0.58607949999999998</v>
      </c>
      <c r="F4146" t="s">
        <v>54</v>
      </c>
      <c r="G4146">
        <v>-212.06530000000001</v>
      </c>
      <c r="H4146">
        <v>1.542592</v>
      </c>
      <c r="I4146">
        <v>98.375470000000007</v>
      </c>
      <c r="J4146">
        <v>-190.7929</v>
      </c>
      <c r="K4146">
        <v>1.1101319999999999</v>
      </c>
      <c r="L4146">
        <v>175.9325</v>
      </c>
      <c r="M4146">
        <v>-4.0448629999999999E-2</v>
      </c>
      <c r="N4146">
        <v>-1.185831E-2</v>
      </c>
      <c r="O4146">
        <v>-0.99911159999999999</v>
      </c>
      <c r="P4146">
        <v>-4.7045820000000002E-2</v>
      </c>
      <c r="Q4146">
        <v>0.1523487</v>
      </c>
      <c r="R4146">
        <v>-0.98720680000000005</v>
      </c>
      <c r="S4146">
        <v>-0.82081599999999999</v>
      </c>
      <c r="T4146">
        <v>1.6683099999999999E-2</v>
      </c>
      <c r="U4146">
        <v>-2.9973909999999999</v>
      </c>
      <c r="V4146">
        <v>7.0573969999999896E-3</v>
      </c>
      <c r="W4146">
        <v>0.16405829999999999</v>
      </c>
      <c r="X4146">
        <v>0.98642540000000001</v>
      </c>
      <c r="Y4146">
        <v>0.2248406</v>
      </c>
      <c r="Z4146">
        <v>-1.71819E-2</v>
      </c>
      <c r="AA4146">
        <v>0.97424409999999895</v>
      </c>
      <c r="AB4146">
        <v>23</v>
      </c>
      <c r="AC4146">
        <v>-21.272400000000001</v>
      </c>
      <c r="AD4146">
        <v>0.43246000000000001</v>
      </c>
      <c r="AE4146">
        <v>-77.557029999999997</v>
      </c>
      <c r="AF4146">
        <v>18.117169651158999</v>
      </c>
      <c r="AG4146">
        <v>0.43246000000000001</v>
      </c>
      <c r="AH4146">
        <v>78.351783903956601</v>
      </c>
      <c r="AI4146">
        <v>89.691890487600304</v>
      </c>
      <c r="AJ4146">
        <v>76.980399121319493</v>
      </c>
      <c r="AK4146">
        <v>80.420276664239296</v>
      </c>
      <c r="AL4146">
        <v>80.557466432403501</v>
      </c>
      <c r="AM4146">
        <v>89.5900833825484</v>
      </c>
      <c r="AN4146">
        <v>1.00000000120823</v>
      </c>
    </row>
    <row r="4147" spans="1:40" x14ac:dyDescent="0.25">
      <c r="A4147" t="str">
        <f>"20190304155716712"</f>
        <v>20190304155716712</v>
      </c>
      <c r="B4147" t="str">
        <f>"1551686236708436"</f>
        <v>1551686236708436</v>
      </c>
      <c r="C4147" t="s">
        <v>40</v>
      </c>
      <c r="D4147">
        <v>4.5380500000000001</v>
      </c>
      <c r="E4147">
        <v>0.58812240000000005</v>
      </c>
      <c r="F4147" t="s">
        <v>54</v>
      </c>
      <c r="G4147">
        <v>-212.261</v>
      </c>
      <c r="H4147">
        <v>1.64039</v>
      </c>
      <c r="I4147">
        <v>98.375470000000007</v>
      </c>
      <c r="J4147">
        <v>-190.79900000000001</v>
      </c>
      <c r="K4147">
        <v>1.1101209999999999</v>
      </c>
      <c r="L4147">
        <v>175.78270000000001</v>
      </c>
      <c r="M4147">
        <v>-4.0392930000000001E-2</v>
      </c>
      <c r="N4147">
        <v>-1.180052E-2</v>
      </c>
      <c r="O4147">
        <v>-0.99911419999999995</v>
      </c>
      <c r="P4147">
        <v>-4.7485850000000003E-2</v>
      </c>
      <c r="Q4147">
        <v>0.15245899999999901</v>
      </c>
      <c r="R4147">
        <v>-0.9871685</v>
      </c>
      <c r="S4147">
        <v>-0.82936100000000001</v>
      </c>
      <c r="T4147">
        <v>2.048612E-2</v>
      </c>
      <c r="U4147">
        <v>-2.9962010000000001</v>
      </c>
      <c r="V4147">
        <v>7.5536359999999999E-3</v>
      </c>
      <c r="W4147">
        <v>0.16411149999999999</v>
      </c>
      <c r="X4147">
        <v>0.98641290000000004</v>
      </c>
      <c r="Y4147">
        <v>0.2275713</v>
      </c>
      <c r="Z4147">
        <v>-1.834995E-2</v>
      </c>
      <c r="AA4147">
        <v>0.97358849999999997</v>
      </c>
      <c r="AB4147">
        <v>23</v>
      </c>
      <c r="AC4147">
        <v>-21.4619999999999</v>
      </c>
      <c r="AD4147">
        <v>0.53026899999999999</v>
      </c>
      <c r="AE4147">
        <v>-77.407229999999998</v>
      </c>
      <c r="AF4147">
        <v>18.316761124307</v>
      </c>
      <c r="AG4147">
        <v>0.53026899999999999</v>
      </c>
      <c r="AH4147">
        <v>78.207612343820799</v>
      </c>
      <c r="AI4147">
        <v>89.621759880853503</v>
      </c>
      <c r="AJ4147">
        <v>76.818520445008105</v>
      </c>
      <c r="AK4147">
        <v>80.325684259884397</v>
      </c>
      <c r="AL4147">
        <v>80.554376647726997</v>
      </c>
      <c r="AM4147">
        <v>89.561255734355797</v>
      </c>
      <c r="AN4147">
        <v>1.0000000255677399</v>
      </c>
    </row>
    <row r="4148" spans="1:40" x14ac:dyDescent="0.25">
      <c r="A4148" t="str">
        <f>"20190304155716727"</f>
        <v>20190304155716727</v>
      </c>
      <c r="B4148" t="str">
        <f>"1551686236719172"</f>
        <v>1551686236719172</v>
      </c>
      <c r="C4148" t="s">
        <v>40</v>
      </c>
      <c r="D4148">
        <v>4.5204409999999999</v>
      </c>
      <c r="E4148">
        <v>0.58896099999999996</v>
      </c>
      <c r="F4148" t="s">
        <v>54</v>
      </c>
      <c r="G4148">
        <v>-212.69929999999999</v>
      </c>
      <c r="H4148">
        <v>1.825504</v>
      </c>
      <c r="I4148">
        <v>98.375470000000007</v>
      </c>
      <c r="J4148">
        <v>-190.8056</v>
      </c>
      <c r="K4148">
        <v>1.1101110000000001</v>
      </c>
      <c r="L4148">
        <v>175.61779999999999</v>
      </c>
      <c r="M4148">
        <v>-4.0330989999999997E-2</v>
      </c>
      <c r="N4148">
        <v>-1.173561E-2</v>
      </c>
      <c r="O4148">
        <v>-0.99911779999999994</v>
      </c>
      <c r="P4148">
        <v>-4.7914079999999998E-2</v>
      </c>
      <c r="Q4148">
        <v>0.15276099999999901</v>
      </c>
      <c r="R4148">
        <v>-0.98710140000000002</v>
      </c>
      <c r="S4148">
        <v>-0.84707639999999995</v>
      </c>
      <c r="T4148">
        <v>2.7671100000000001E-2</v>
      </c>
      <c r="U4148">
        <v>-2.9940030000000002</v>
      </c>
      <c r="V4148">
        <v>8.0454949999999997E-3</v>
      </c>
      <c r="W4148">
        <v>0.164349</v>
      </c>
      <c r="X4148">
        <v>0.98636939999999995</v>
      </c>
      <c r="Y4148">
        <v>0.23314470000000001</v>
      </c>
      <c r="Z4148">
        <v>-2.0596929999999999E-2</v>
      </c>
      <c r="AA4148">
        <v>0.97222390000000003</v>
      </c>
      <c r="AB4148">
        <v>23</v>
      </c>
      <c r="AC4148">
        <v>-21.8936999999999</v>
      </c>
      <c r="AD4148">
        <v>0.71539299999999995</v>
      </c>
      <c r="AE4148">
        <v>-77.242329999999995</v>
      </c>
      <c r="AF4148">
        <v>18.7589217289947</v>
      </c>
      <c r="AG4148">
        <v>0.71539299999999995</v>
      </c>
      <c r="AH4148">
        <v>78.056332521389194</v>
      </c>
      <c r="AI4148">
        <v>89.4894304996171</v>
      </c>
      <c r="AJ4148">
        <v>76.486637723451594</v>
      </c>
      <c r="AK4148">
        <v>80.282002829206206</v>
      </c>
      <c r="AL4148">
        <v>80.540580951557502</v>
      </c>
      <c r="AM4148">
        <v>89.532667289809197</v>
      </c>
      <c r="AN4148">
        <v>0.99999995852357604</v>
      </c>
    </row>
    <row r="4149" spans="1:40" x14ac:dyDescent="0.25">
      <c r="A4149" t="str">
        <f>"20190304155716749"</f>
        <v>20190304155716749</v>
      </c>
      <c r="B4149" t="str">
        <f>"1551686236738692"</f>
        <v>1551686236738692</v>
      </c>
      <c r="C4149" t="s">
        <v>40</v>
      </c>
      <c r="D4149">
        <v>4.4771039999999998</v>
      </c>
      <c r="E4149">
        <v>0.5899221</v>
      </c>
      <c r="F4149" t="s">
        <v>54</v>
      </c>
      <c r="G4149">
        <v>-212.8682</v>
      </c>
      <c r="H4149">
        <v>1.9215960000000001</v>
      </c>
      <c r="I4149">
        <v>98.375470000000007</v>
      </c>
      <c r="J4149">
        <v>-190.8143</v>
      </c>
      <c r="K4149">
        <v>1.1101000000000001</v>
      </c>
      <c r="L4149">
        <v>175.39879999999999</v>
      </c>
      <c r="M4149">
        <v>-4.0248529999999998E-2</v>
      </c>
      <c r="N4149">
        <v>-1.165032E-2</v>
      </c>
      <c r="O4149">
        <v>-0.99912179999999995</v>
      </c>
      <c r="P4149">
        <v>-4.8719480000000003E-2</v>
      </c>
      <c r="Q4149">
        <v>0.1530589</v>
      </c>
      <c r="R4149">
        <v>-0.98701550000000005</v>
      </c>
      <c r="S4149">
        <v>-0.85484309999999997</v>
      </c>
      <c r="T4149">
        <v>3.1442999999999999E-2</v>
      </c>
      <c r="U4149">
        <v>-2.9928439999999998</v>
      </c>
      <c r="V4149">
        <v>8.9352319999999995E-3</v>
      </c>
      <c r="W4149">
        <v>0.16456209999999999</v>
      </c>
      <c r="X4149">
        <v>0.98632629999999999</v>
      </c>
      <c r="Y4149">
        <v>0.23565240000000001</v>
      </c>
      <c r="Z4149">
        <v>-2.1725499999999998E-2</v>
      </c>
      <c r="AA4149">
        <v>0.97159450000000003</v>
      </c>
      <c r="AB4149">
        <v>23</v>
      </c>
      <c r="AC4149">
        <v>-22.053899999999999</v>
      </c>
      <c r="AD4149">
        <v>0.811495999999999</v>
      </c>
      <c r="AE4149">
        <v>-77.023330000000001</v>
      </c>
      <c r="AF4149">
        <v>18.933798714853801</v>
      </c>
      <c r="AG4149">
        <v>0.811495999999999</v>
      </c>
      <c r="AH4149">
        <v>77.840621059034405</v>
      </c>
      <c r="AI4149">
        <v>89.419628452298298</v>
      </c>
      <c r="AJ4149">
        <v>76.328975299960902</v>
      </c>
      <c r="AK4149">
        <v>80.114352936217401</v>
      </c>
      <c r="AL4149">
        <v>80.528203525955107</v>
      </c>
      <c r="AM4149">
        <v>89.480965803673698</v>
      </c>
      <c r="AN4149">
        <v>1.00000004659949</v>
      </c>
    </row>
    <row r="4150" spans="1:40" x14ac:dyDescent="0.25">
      <c r="A4150" t="str">
        <f>"20190304155716761"</f>
        <v>20190304155716761</v>
      </c>
      <c r="B4150" t="str">
        <f>"1551686236759188"</f>
        <v>1551686236759188</v>
      </c>
      <c r="C4150" t="s">
        <v>40</v>
      </c>
      <c r="D4150">
        <v>4.5107759999999999</v>
      </c>
      <c r="E4150">
        <v>0.59084579999999998</v>
      </c>
      <c r="F4150" t="s">
        <v>54</v>
      </c>
      <c r="G4150">
        <v>-213.09440000000001</v>
      </c>
      <c r="H4150">
        <v>2.0856240000000001</v>
      </c>
      <c r="I4150">
        <v>98.375470000000007</v>
      </c>
      <c r="J4150">
        <v>-190.8194</v>
      </c>
      <c r="K4150">
        <v>1.110096</v>
      </c>
      <c r="L4150">
        <v>175.27029999999999</v>
      </c>
      <c r="M4150">
        <v>-4.0200519999999997E-2</v>
      </c>
      <c r="N4150">
        <v>-1.1598320000000001E-2</v>
      </c>
      <c r="O4150">
        <v>-0.99912420000000002</v>
      </c>
      <c r="P4150">
        <v>-4.9237120000000002E-2</v>
      </c>
      <c r="Q4150">
        <v>0.15317720000000001</v>
      </c>
      <c r="R4150">
        <v>-0.98697140000000005</v>
      </c>
      <c r="S4150">
        <v>-0.86515810000000004</v>
      </c>
      <c r="T4150">
        <v>3.7881610000000003E-2</v>
      </c>
      <c r="U4150">
        <v>-2.990891</v>
      </c>
      <c r="V4150">
        <v>9.5016909999999996E-3</v>
      </c>
      <c r="W4150">
        <v>0.16462889999999999</v>
      </c>
      <c r="X4150">
        <v>0.98630980000000001</v>
      </c>
      <c r="Y4150">
        <v>0.2389503</v>
      </c>
      <c r="Z4150">
        <v>-2.3746159999999999E-2</v>
      </c>
      <c r="AA4150">
        <v>0.97074139999999998</v>
      </c>
      <c r="AB4150">
        <v>23</v>
      </c>
      <c r="AC4150">
        <v>-22.274999999999999</v>
      </c>
      <c r="AD4150">
        <v>0.97552799999999995</v>
      </c>
      <c r="AE4150">
        <v>-76.894829999999999</v>
      </c>
      <c r="AF4150">
        <v>19.162725313815699</v>
      </c>
      <c r="AG4150">
        <v>0.97552799999999995</v>
      </c>
      <c r="AH4150">
        <v>77.716649299626695</v>
      </c>
      <c r="AI4150">
        <v>89.3017506513537</v>
      </c>
      <c r="AJ4150">
        <v>76.148778433299896</v>
      </c>
      <c r="AK4150">
        <v>80.050229697938505</v>
      </c>
      <c r="AL4150">
        <v>80.524322696707202</v>
      </c>
      <c r="AM4150">
        <v>89.4480537939436</v>
      </c>
      <c r="AN4150">
        <v>0.99999998921155397</v>
      </c>
    </row>
    <row r="4151" spans="1:40" x14ac:dyDescent="0.25">
      <c r="A4151" t="str">
        <f>"20190304155716773"</f>
        <v>20190304155716773</v>
      </c>
      <c r="B4151" t="str">
        <f>"1551686236768948"</f>
        <v>1551686236768948</v>
      </c>
      <c r="C4151" t="s">
        <v>40</v>
      </c>
      <c r="D4151">
        <v>4.4623970000000002</v>
      </c>
      <c r="E4151">
        <v>0.59096090000000001</v>
      </c>
      <c r="F4151" t="s">
        <v>54</v>
      </c>
      <c r="G4151">
        <v>-213.30699999999999</v>
      </c>
      <c r="H4151">
        <v>2.1580859999999999</v>
      </c>
      <c r="I4151">
        <v>98.375470000000007</v>
      </c>
      <c r="J4151">
        <v>-190.8245</v>
      </c>
      <c r="K4151">
        <v>1.1100969999999999</v>
      </c>
      <c r="L4151">
        <v>175.1421</v>
      </c>
      <c r="M4151">
        <v>-4.0152889999999997E-2</v>
      </c>
      <c r="N4151">
        <v>-1.154606E-2</v>
      </c>
      <c r="O4151">
        <v>-0.99912690000000004</v>
      </c>
      <c r="P4151">
        <v>-4.992535E-2</v>
      </c>
      <c r="Q4151">
        <v>0.15336659999999999</v>
      </c>
      <c r="R4151">
        <v>-0.98690739999999999</v>
      </c>
      <c r="S4151">
        <v>-0.87431340000000002</v>
      </c>
      <c r="T4151">
        <v>4.0746690000000002E-2</v>
      </c>
      <c r="U4151">
        <v>-2.989655</v>
      </c>
      <c r="V4151">
        <v>1.0239079999999999E-2</v>
      </c>
      <c r="W4151">
        <v>0.1647662</v>
      </c>
      <c r="X4151">
        <v>0.98627949999999998</v>
      </c>
      <c r="Y4151">
        <v>0.2418389</v>
      </c>
      <c r="Z4151">
        <v>-2.4612100000000001E-2</v>
      </c>
      <c r="AA4151">
        <v>0.97000419999999998</v>
      </c>
      <c r="AB4151">
        <v>23</v>
      </c>
      <c r="AC4151">
        <v>-22.482500000000002</v>
      </c>
      <c r="AD4151">
        <v>1.0479889999999901</v>
      </c>
      <c r="AE4151">
        <v>-76.766630000000006</v>
      </c>
      <c r="AF4151">
        <v>19.378432981790901</v>
      </c>
      <c r="AG4151">
        <v>1.0479889999999901</v>
      </c>
      <c r="AH4151">
        <v>77.594191963710998</v>
      </c>
      <c r="AI4151">
        <v>89.249263907274198</v>
      </c>
      <c r="AJ4151">
        <v>75.977736661607295</v>
      </c>
      <c r="AK4151">
        <v>79.984252026727802</v>
      </c>
      <c r="AL4151">
        <v>80.516347134667697</v>
      </c>
      <c r="AM4151">
        <v>89.405204107299696</v>
      </c>
      <c r="AN4151">
        <v>0.99999999577096799</v>
      </c>
    </row>
    <row r="4152" spans="1:40" x14ac:dyDescent="0.25">
      <c r="A4152" t="str">
        <f>"20190304155716785"</f>
        <v>20190304155716785</v>
      </c>
      <c r="B4152" t="str">
        <f>"1551686236778707"</f>
        <v>1551686236778707</v>
      </c>
      <c r="C4152" t="s">
        <v>40</v>
      </c>
      <c r="D4152">
        <v>4.5206109999999997</v>
      </c>
      <c r="E4152">
        <v>0.59124049999999995</v>
      </c>
      <c r="F4152" t="s">
        <v>54</v>
      </c>
      <c r="G4152">
        <v>-213.35929999999999</v>
      </c>
      <c r="H4152">
        <v>2.2087289999999999</v>
      </c>
      <c r="I4152">
        <v>98.375470000000007</v>
      </c>
      <c r="J4152">
        <v>-190.82990000000001</v>
      </c>
      <c r="K4152">
        <v>1.1100909999999999</v>
      </c>
      <c r="L4152">
        <v>175.00729999999999</v>
      </c>
      <c r="M4152">
        <v>-4.0103510000000002E-2</v>
      </c>
      <c r="N4152">
        <v>-1.1490790000000001E-2</v>
      </c>
      <c r="O4152">
        <v>-0.9991295</v>
      </c>
      <c r="P4152">
        <v>-5.0253689999999997E-2</v>
      </c>
      <c r="Q4152">
        <v>0.15387049999999999</v>
      </c>
      <c r="R4152">
        <v>-0.98681260000000004</v>
      </c>
      <c r="S4152">
        <v>-0.87734990000000002</v>
      </c>
      <c r="T4152">
        <v>4.2774319999999998E-2</v>
      </c>
      <c r="U4152">
        <v>-2.9887700000000001</v>
      </c>
      <c r="V4152">
        <v>1.0619989999999999E-2</v>
      </c>
      <c r="W4152">
        <v>0.1652149</v>
      </c>
      <c r="X4152">
        <v>0.98620039999999998</v>
      </c>
      <c r="Y4152">
        <v>0.24286849999999999</v>
      </c>
      <c r="Z4152">
        <v>-2.5210550000000002E-2</v>
      </c>
      <c r="AA4152">
        <v>0.96973160000000003</v>
      </c>
      <c r="AB4152">
        <v>23</v>
      </c>
      <c r="AC4152">
        <v>-22.5293999999999</v>
      </c>
      <c r="AD4152">
        <v>1.098638</v>
      </c>
      <c r="AE4152">
        <v>-76.631829999999994</v>
      </c>
      <c r="AF4152">
        <v>19.434188592799</v>
      </c>
      <c r="AG4152">
        <v>1.098638</v>
      </c>
      <c r="AH4152">
        <v>77.459087402378202</v>
      </c>
      <c r="AI4152">
        <v>89.211827485160796</v>
      </c>
      <c r="AJ4152">
        <v>75.915440209151797</v>
      </c>
      <c r="AK4152">
        <v>79.867420848082901</v>
      </c>
      <c r="AL4152">
        <v>80.490281216487006</v>
      </c>
      <c r="AM4152">
        <v>89.3830289596509</v>
      </c>
      <c r="AN4152">
        <v>0.999999988164884</v>
      </c>
    </row>
    <row r="4153" spans="1:40" x14ac:dyDescent="0.25">
      <c r="A4153" t="str">
        <f>"20190304155716798"</f>
        <v>20190304155716798</v>
      </c>
      <c r="B4153" t="str">
        <f>"1551686236788468"</f>
        <v>1551686236788468</v>
      </c>
      <c r="C4153" t="s">
        <v>40</v>
      </c>
      <c r="D4153">
        <v>4.5189440000000003</v>
      </c>
      <c r="E4153">
        <v>0.59160249999999903</v>
      </c>
      <c r="F4153" t="s">
        <v>54</v>
      </c>
      <c r="G4153">
        <v>-213.41079999999999</v>
      </c>
      <c r="H4153">
        <v>2.271719</v>
      </c>
      <c r="I4153">
        <v>98.375470000000007</v>
      </c>
      <c r="J4153">
        <v>-190.8347</v>
      </c>
      <c r="K4153">
        <v>1.1100840000000001</v>
      </c>
      <c r="L4153">
        <v>174.88579999999999</v>
      </c>
      <c r="M4153">
        <v>-4.0060510000000001E-2</v>
      </c>
      <c r="N4153">
        <v>-1.144127E-2</v>
      </c>
      <c r="O4153">
        <v>-0.99913160000000001</v>
      </c>
      <c r="P4153">
        <v>-5.1106680000000002E-2</v>
      </c>
      <c r="Q4153">
        <v>0.15420919999999999</v>
      </c>
      <c r="R4153">
        <v>-0.98671569999999997</v>
      </c>
      <c r="S4153">
        <v>-0.88052369999999902</v>
      </c>
      <c r="T4153">
        <v>4.5297740000000003E-2</v>
      </c>
      <c r="U4153">
        <v>-2.9881899999999999</v>
      </c>
      <c r="V4153">
        <v>1.1519049999999999E-2</v>
      </c>
      <c r="W4153">
        <v>0.1655036</v>
      </c>
      <c r="X4153">
        <v>0.98614190000000002</v>
      </c>
      <c r="Y4153">
        <v>0.2439046</v>
      </c>
      <c r="Z4153">
        <v>-2.5972869999999999E-2</v>
      </c>
      <c r="AA4153">
        <v>0.96945139999999996</v>
      </c>
      <c r="AB4153">
        <v>23</v>
      </c>
      <c r="AC4153">
        <v>-22.5761</v>
      </c>
      <c r="AD4153">
        <v>1.161635</v>
      </c>
      <c r="AE4153">
        <v>-76.510329999999996</v>
      </c>
      <c r="AF4153">
        <v>19.4885982553551</v>
      </c>
      <c r="AG4153">
        <v>1.161635</v>
      </c>
      <c r="AH4153">
        <v>77.336973643903804</v>
      </c>
      <c r="AI4153">
        <v>89.165540427787406</v>
      </c>
      <c r="AJ4153">
        <v>75.8561788035597</v>
      </c>
      <c r="AK4153">
        <v>79.763164118719203</v>
      </c>
      <c r="AL4153">
        <v>80.473509032186101</v>
      </c>
      <c r="AM4153">
        <v>89.330762708598101</v>
      </c>
      <c r="AN4153">
        <v>0.99999998853073602</v>
      </c>
    </row>
    <row r="4154" spans="1:40" x14ac:dyDescent="0.25">
      <c r="A4154" t="str">
        <f>"20190304155716810"</f>
        <v>20190304155716810</v>
      </c>
      <c r="B4154" t="str">
        <f>"1551686236799204"</f>
        <v>1551686236799204</v>
      </c>
      <c r="C4154" t="s">
        <v>40</v>
      </c>
      <c r="D4154">
        <v>4.5504889999999998</v>
      </c>
      <c r="E4154">
        <v>0.59212310000000001</v>
      </c>
      <c r="F4154" t="s">
        <v>54</v>
      </c>
      <c r="G4154">
        <v>-213.5264</v>
      </c>
      <c r="H4154">
        <v>2.3155670000000002</v>
      </c>
      <c r="I4154">
        <v>98.375470000000007</v>
      </c>
      <c r="J4154">
        <v>-190.84010000000001</v>
      </c>
      <c r="K4154">
        <v>1.110077</v>
      </c>
      <c r="L4154">
        <v>174.75120000000001</v>
      </c>
      <c r="M4154">
        <v>-4.0013970000000003E-2</v>
      </c>
      <c r="N4154">
        <v>-1.1386540000000001E-2</v>
      </c>
      <c r="O4154">
        <v>-0.99913450000000004</v>
      </c>
      <c r="P4154">
        <v>-5.1528839999999999E-2</v>
      </c>
      <c r="Q4154">
        <v>0.15485289999999999</v>
      </c>
      <c r="R4154">
        <v>-0.98659319999999895</v>
      </c>
      <c r="S4154">
        <v>-0.88594059999999897</v>
      </c>
      <c r="T4154">
        <v>4.7066089999999998E-2</v>
      </c>
      <c r="U4154">
        <v>-2.987152</v>
      </c>
      <c r="V4154">
        <v>1.1992289999999999E-2</v>
      </c>
      <c r="W4154">
        <v>0.1660924</v>
      </c>
      <c r="X4154">
        <v>0.98603730000000001</v>
      </c>
      <c r="Y4154">
        <v>0.24565439999999999</v>
      </c>
      <c r="Z4154">
        <v>-2.6485700000000001E-2</v>
      </c>
      <c r="AA4154">
        <v>0.96899559999999996</v>
      </c>
      <c r="AB4154">
        <v>23</v>
      </c>
      <c r="AC4154">
        <v>-22.6862999999999</v>
      </c>
      <c r="AD4154">
        <v>1.20548999999999</v>
      </c>
      <c r="AE4154">
        <v>-76.375730000000004</v>
      </c>
      <c r="AF4154">
        <v>19.6073465099809</v>
      </c>
      <c r="AG4154">
        <v>1.20548999999999</v>
      </c>
      <c r="AH4154">
        <v>77.204707686818907</v>
      </c>
      <c r="AI4154">
        <v>89.132964722698503</v>
      </c>
      <c r="AJ4154">
        <v>75.750105548916096</v>
      </c>
      <c r="AK4154">
        <v>79.664723261364102</v>
      </c>
      <c r="AL4154">
        <v>80.439300198995795</v>
      </c>
      <c r="AM4154">
        <v>89.303197020592904</v>
      </c>
      <c r="AN4154">
        <v>1.0000000286742401</v>
      </c>
    </row>
    <row r="4155" spans="1:40" x14ac:dyDescent="0.25">
      <c r="A4155" t="str">
        <f>"20190304155716827"</f>
        <v>20190304155716827</v>
      </c>
      <c r="B4155" t="str">
        <f>"1551686236818723"</f>
        <v>1551686236818723</v>
      </c>
      <c r="C4155" t="s">
        <v>40</v>
      </c>
      <c r="D4155">
        <v>4.4347640000000004</v>
      </c>
      <c r="E4155">
        <v>0.59269939999999999</v>
      </c>
      <c r="F4155" t="s">
        <v>54</v>
      </c>
      <c r="G4155">
        <v>-213.6336</v>
      </c>
      <c r="H4155">
        <v>2.3766340000000001</v>
      </c>
      <c r="I4155">
        <v>98.375470000000007</v>
      </c>
      <c r="J4155">
        <v>-190.84710000000001</v>
      </c>
      <c r="K4155">
        <v>1.1100669999999999</v>
      </c>
      <c r="L4155">
        <v>174.5744</v>
      </c>
      <c r="M4155">
        <v>-3.9958569999999999E-2</v>
      </c>
      <c r="N4155">
        <v>-1.131398E-2</v>
      </c>
      <c r="O4155">
        <v>-0.99913759999999996</v>
      </c>
      <c r="P4155">
        <v>-5.2266010000000002E-2</v>
      </c>
      <c r="Q4155">
        <v>0.15612139999999999</v>
      </c>
      <c r="R4155">
        <v>-0.98635450000000002</v>
      </c>
      <c r="S4155">
        <v>-0.89128109999999905</v>
      </c>
      <c r="T4155">
        <v>4.952633E-2</v>
      </c>
      <c r="U4155">
        <v>-2.9864649999999999</v>
      </c>
      <c r="V4155">
        <v>1.279482E-2</v>
      </c>
      <c r="W4155">
        <v>0.16728660000000001</v>
      </c>
      <c r="X4155">
        <v>0.98582530000000002</v>
      </c>
      <c r="Y4155">
        <v>0.2473561</v>
      </c>
      <c r="Z4155">
        <v>-2.720179E-2</v>
      </c>
      <c r="AA4155">
        <v>0.96854280000000004</v>
      </c>
      <c r="AB4155">
        <v>23</v>
      </c>
      <c r="AC4155">
        <v>-22.786499999999901</v>
      </c>
      <c r="AD4155">
        <v>1.266567</v>
      </c>
      <c r="AE4155">
        <v>-76.198930000000004</v>
      </c>
      <c r="AF4155">
        <v>19.718304050872401</v>
      </c>
      <c r="AG4155">
        <v>1.266567</v>
      </c>
      <c r="AH4155">
        <v>77.029103830383505</v>
      </c>
      <c r="AI4155">
        <v>89.087407874586802</v>
      </c>
      <c r="AJ4155">
        <v>75.641463817872506</v>
      </c>
      <c r="AK4155">
        <v>79.522943503872796</v>
      </c>
      <c r="AL4155">
        <v>80.369906619412703</v>
      </c>
      <c r="AM4155">
        <v>89.256411833744195</v>
      </c>
      <c r="AN4155">
        <v>1.0000000180392401</v>
      </c>
    </row>
    <row r="4156" spans="1:40" x14ac:dyDescent="0.25">
      <c r="A4156" t="str">
        <f>"20190304155716841"</f>
        <v>20190304155716841</v>
      </c>
      <c r="B4156" t="str">
        <f>"1551686236839219"</f>
        <v>1551686236839219</v>
      </c>
      <c r="C4156" t="s">
        <v>40</v>
      </c>
      <c r="D4156">
        <v>4.482075</v>
      </c>
      <c r="E4156">
        <v>0.59334209999999998</v>
      </c>
      <c r="F4156" t="s">
        <v>54</v>
      </c>
      <c r="G4156">
        <v>-213.77879999999999</v>
      </c>
      <c r="H4156">
        <v>2.5327600000000001</v>
      </c>
      <c r="I4156">
        <v>98.375470000000007</v>
      </c>
      <c r="J4156">
        <v>-190.8528</v>
      </c>
      <c r="K4156">
        <v>1.1100620000000001</v>
      </c>
      <c r="L4156">
        <v>174.43129999999999</v>
      </c>
      <c r="M4156">
        <v>-3.9919719999999999E-2</v>
      </c>
      <c r="N4156">
        <v>-1.12538E-2</v>
      </c>
      <c r="O4156">
        <v>-0.99913949999999996</v>
      </c>
      <c r="P4156">
        <v>-5.2571760000000002E-2</v>
      </c>
      <c r="Q4156">
        <v>0.15685560000000001</v>
      </c>
      <c r="R4156">
        <v>-0.98622129999999997</v>
      </c>
      <c r="S4156">
        <v>-0.89834590000000003</v>
      </c>
      <c r="T4156">
        <v>5.573475E-2</v>
      </c>
      <c r="U4156">
        <v>-2.985077</v>
      </c>
      <c r="V4156">
        <v>1.3146E-2</v>
      </c>
      <c r="W4156">
        <v>0.1679602</v>
      </c>
      <c r="X4156">
        <v>0.98570610000000003</v>
      </c>
      <c r="Y4156">
        <v>0.249607</v>
      </c>
      <c r="Z4156">
        <v>-2.9137380000000001E-2</v>
      </c>
      <c r="AA4156">
        <v>0.96790869999999996</v>
      </c>
      <c r="AB4156">
        <v>23</v>
      </c>
      <c r="AC4156">
        <v>-22.925999999999899</v>
      </c>
      <c r="AD4156">
        <v>1.42269799999999</v>
      </c>
      <c r="AE4156">
        <v>-76.05583</v>
      </c>
      <c r="AF4156">
        <v>19.865031340052401</v>
      </c>
      <c r="AG4156">
        <v>1.42269799999999</v>
      </c>
      <c r="AH4156">
        <v>76.8857925144913</v>
      </c>
      <c r="AI4156">
        <v>88.973614810558701</v>
      </c>
      <c r="AJ4156">
        <v>75.513262723411898</v>
      </c>
      <c r="AK4156">
        <v>79.423350661640299</v>
      </c>
      <c r="AL4156">
        <v>80.330757913173201</v>
      </c>
      <c r="AM4156">
        <v>89.235912544857499</v>
      </c>
      <c r="AN4156">
        <v>0.99999998083862496</v>
      </c>
    </row>
    <row r="4157" spans="1:40" x14ac:dyDescent="0.25">
      <c r="A4157" t="str">
        <f>"20190304155716862"</f>
        <v>20190304155716862</v>
      </c>
      <c r="B4157" t="str">
        <f>"1551686236858739"</f>
        <v>1551686236858739</v>
      </c>
      <c r="C4157" t="s">
        <v>40</v>
      </c>
      <c r="D4157">
        <v>4.496912</v>
      </c>
      <c r="E4157">
        <v>0.59393469999999904</v>
      </c>
      <c r="F4157" t="s">
        <v>54</v>
      </c>
      <c r="G4157">
        <v>-213.89750000000001</v>
      </c>
      <c r="H4157">
        <v>2.615993</v>
      </c>
      <c r="I4157">
        <v>98.375470000000007</v>
      </c>
      <c r="J4157">
        <v>-190.86160000000001</v>
      </c>
      <c r="K4157">
        <v>1.1100449999999999</v>
      </c>
      <c r="L4157">
        <v>174.20750000000001</v>
      </c>
      <c r="M4157">
        <v>-3.9870559999999999E-2</v>
      </c>
      <c r="N4157">
        <v>-1.115476E-2</v>
      </c>
      <c r="O4157">
        <v>-0.9991428</v>
      </c>
      <c r="P4157">
        <v>-5.3701579999999999E-2</v>
      </c>
      <c r="Q4157">
        <v>0.1577982</v>
      </c>
      <c r="R4157">
        <v>-0.98601019999999995</v>
      </c>
      <c r="S4157">
        <v>-0.90423580000000003</v>
      </c>
      <c r="T4157">
        <v>5.9091209999999998E-2</v>
      </c>
      <c r="U4157">
        <v>-2.984299</v>
      </c>
      <c r="V4157">
        <v>1.433621E-2</v>
      </c>
      <c r="W4157">
        <v>0.16880300000000001</v>
      </c>
      <c r="X4157">
        <v>0.98554560000000002</v>
      </c>
      <c r="Y4157">
        <v>0.25146760000000001</v>
      </c>
      <c r="Z4157">
        <v>-3.0113879999999999E-2</v>
      </c>
      <c r="AA4157">
        <v>0.96739710000000001</v>
      </c>
      <c r="AB4157">
        <v>23</v>
      </c>
      <c r="AC4157">
        <v>-23.035900000000002</v>
      </c>
      <c r="AD4157">
        <v>1.5059479999999901</v>
      </c>
      <c r="AE4157">
        <v>-75.832030000000003</v>
      </c>
      <c r="AF4157">
        <v>19.986711396911598</v>
      </c>
      <c r="AG4157">
        <v>1.5059479999999901</v>
      </c>
      <c r="AH4157">
        <v>76.662556224389903</v>
      </c>
      <c r="AI4157">
        <v>88.911025965307203</v>
      </c>
      <c r="AJ4157">
        <v>75.387674781523998</v>
      </c>
      <c r="AK4157">
        <v>79.239409631192203</v>
      </c>
      <c r="AL4157">
        <v>80.281770291247199</v>
      </c>
      <c r="AM4157">
        <v>89.166607411938898</v>
      </c>
      <c r="AN4157">
        <v>1.0000000547027601</v>
      </c>
    </row>
    <row r="4158" spans="1:40" x14ac:dyDescent="0.25">
      <c r="A4158" t="str">
        <f>"20190304155716883"</f>
        <v>20190304155716883</v>
      </c>
      <c r="B4158" t="str">
        <f>"1551686236879236"</f>
        <v>1551686236879236</v>
      </c>
      <c r="C4158" t="s">
        <v>40</v>
      </c>
      <c r="D4158">
        <v>4.5153040000000004</v>
      </c>
      <c r="E4158">
        <v>0.59456690000000001</v>
      </c>
      <c r="F4158" t="s">
        <v>54</v>
      </c>
      <c r="G4158">
        <v>-214.06039999999999</v>
      </c>
      <c r="H4158">
        <v>2.71055</v>
      </c>
      <c r="I4158">
        <v>98.375470000000007</v>
      </c>
      <c r="J4158">
        <v>-190.87020000000001</v>
      </c>
      <c r="K4158">
        <v>1.110026</v>
      </c>
      <c r="L4158">
        <v>173.99209999999999</v>
      </c>
      <c r="M4158">
        <v>-3.9839289999999999E-2</v>
      </c>
      <c r="N4158">
        <v>-1.105562E-2</v>
      </c>
      <c r="O4158">
        <v>-0.99914519999999996</v>
      </c>
      <c r="P4158">
        <v>-5.441203E-2</v>
      </c>
      <c r="Q4158">
        <v>0.157995</v>
      </c>
      <c r="R4158">
        <v>-0.98593989999999998</v>
      </c>
      <c r="S4158">
        <v>-0.91250609999999999</v>
      </c>
      <c r="T4158">
        <v>6.2955620000000004E-2</v>
      </c>
      <c r="U4158">
        <v>-2.9827880000000002</v>
      </c>
      <c r="V4158">
        <v>1.5085060000000001E-2</v>
      </c>
      <c r="W4158">
        <v>0.1689012</v>
      </c>
      <c r="X4158">
        <v>0.98551759999999999</v>
      </c>
      <c r="Y4158">
        <v>0.25407929999999901</v>
      </c>
      <c r="Z4158">
        <v>-3.1253160000000002E-2</v>
      </c>
      <c r="AA4158">
        <v>0.96667829999999999</v>
      </c>
      <c r="AB4158">
        <v>23</v>
      </c>
      <c r="AC4158">
        <v>-23.190199999999901</v>
      </c>
      <c r="AD4158">
        <v>1.6005240000000001</v>
      </c>
      <c r="AE4158">
        <v>-75.616630000000001</v>
      </c>
      <c r="AF4158">
        <v>20.150839168629499</v>
      </c>
      <c r="AG4158">
        <v>1.6005240000000001</v>
      </c>
      <c r="AH4158">
        <v>76.449222236274807</v>
      </c>
      <c r="AI4158">
        <v>88.840243705067394</v>
      </c>
      <c r="AJ4158">
        <v>75.233573546554197</v>
      </c>
      <c r="AK4158">
        <v>79.076555165269397</v>
      </c>
      <c r="AL4158">
        <v>80.276061905293503</v>
      </c>
      <c r="AM4158">
        <v>89.123056980777406</v>
      </c>
      <c r="AN4158">
        <v>1.0000000571532</v>
      </c>
    </row>
    <row r="4159" spans="1:40" x14ac:dyDescent="0.25">
      <c r="A4159" t="str">
        <f>"20190304155716895"</f>
        <v>20190304155716895</v>
      </c>
      <c r="B4159" t="str">
        <f>"1551686236888995"</f>
        <v>1551686236888995</v>
      </c>
      <c r="C4159" t="s">
        <v>40</v>
      </c>
      <c r="D4159">
        <v>4.4402429999999997</v>
      </c>
      <c r="E4159">
        <v>0.59502080000000002</v>
      </c>
      <c r="F4159" t="s">
        <v>54</v>
      </c>
      <c r="G4159">
        <v>-214.20660000000001</v>
      </c>
      <c r="H4159">
        <v>2.7663250000000001</v>
      </c>
      <c r="I4159">
        <v>98.375470000000007</v>
      </c>
      <c r="J4159">
        <v>-190.87530000000001</v>
      </c>
      <c r="K4159">
        <v>1.1100110000000001</v>
      </c>
      <c r="L4159">
        <v>173.864</v>
      </c>
      <c r="M4159">
        <v>-3.9827179999999997E-2</v>
      </c>
      <c r="N4159">
        <v>-1.099691E-2</v>
      </c>
      <c r="O4159">
        <v>-0.99914630000000004</v>
      </c>
      <c r="P4159">
        <v>-5.4585080000000001E-2</v>
      </c>
      <c r="Q4159">
        <v>0.1581688</v>
      </c>
      <c r="R4159">
        <v>-0.98590239999999996</v>
      </c>
      <c r="S4159">
        <v>-0.92015080000000005</v>
      </c>
      <c r="T4159">
        <v>6.5308690000000003E-2</v>
      </c>
      <c r="U4159">
        <v>-2.9815520000000002</v>
      </c>
      <c r="V4159">
        <v>1.527451E-2</v>
      </c>
      <c r="W4159">
        <v>0.16901640000000001</v>
      </c>
      <c r="X4159">
        <v>0.98549489999999995</v>
      </c>
      <c r="Y4159">
        <v>0.25646170000000001</v>
      </c>
      <c r="Z4159">
        <v>-3.194512E-2</v>
      </c>
      <c r="AA4159">
        <v>0.96602639999999995</v>
      </c>
      <c r="AB4159">
        <v>24</v>
      </c>
      <c r="AC4159">
        <v>-23.331299999999999</v>
      </c>
      <c r="AD4159">
        <v>1.6563139999999901</v>
      </c>
      <c r="AE4159">
        <v>-75.488529999999997</v>
      </c>
      <c r="AF4159">
        <v>20.2971905103356</v>
      </c>
      <c r="AG4159">
        <v>1.6563139999999901</v>
      </c>
      <c r="AH4159">
        <v>76.324364661934894</v>
      </c>
      <c r="AI4159">
        <v>88.798564710029694</v>
      </c>
      <c r="AJ4159">
        <v>75.107818921361897</v>
      </c>
      <c r="AK4159">
        <v>78.994480564957598</v>
      </c>
      <c r="AL4159">
        <v>80.269364847603697</v>
      </c>
      <c r="AM4159">
        <v>89.112024945874495</v>
      </c>
      <c r="AN4159">
        <v>1.0000000260253501</v>
      </c>
    </row>
    <row r="4160" spans="1:40" x14ac:dyDescent="0.25">
      <c r="A4160" t="str">
        <f>"20190304155716906"</f>
        <v>20190304155716906</v>
      </c>
      <c r="B4160" t="str">
        <f>"1551686236898756"</f>
        <v>1551686236898756</v>
      </c>
      <c r="C4160" t="s">
        <v>40</v>
      </c>
      <c r="D4160">
        <v>4.4149929999999999</v>
      </c>
      <c r="E4160">
        <v>0.59538019999999903</v>
      </c>
      <c r="F4160" t="s">
        <v>54</v>
      </c>
      <c r="G4160">
        <v>-214.2867</v>
      </c>
      <c r="H4160">
        <v>2.8313109999999999</v>
      </c>
      <c r="I4160">
        <v>98.375470000000007</v>
      </c>
      <c r="J4160">
        <v>-190.88030000000001</v>
      </c>
      <c r="K4160">
        <v>1.1099939999999999</v>
      </c>
      <c r="L4160">
        <v>173.7373</v>
      </c>
      <c r="M4160">
        <v>-3.9819359999999998E-2</v>
      </c>
      <c r="N4160">
        <v>-1.0939569999999999E-2</v>
      </c>
      <c r="O4160">
        <v>-0.99914729999999996</v>
      </c>
      <c r="P4160">
        <v>-5.4919490000000001E-2</v>
      </c>
      <c r="Q4160">
        <v>0.1583841</v>
      </c>
      <c r="R4160">
        <v>-0.98584930000000004</v>
      </c>
      <c r="S4160">
        <v>-0.92443850000000005</v>
      </c>
      <c r="T4160">
        <v>6.7969440000000006E-2</v>
      </c>
      <c r="U4160">
        <v>-2.9807890000000001</v>
      </c>
      <c r="V4160">
        <v>1.5621360000000001E-2</v>
      </c>
      <c r="W4160">
        <v>0.16917470000000001</v>
      </c>
      <c r="X4160">
        <v>0.98546219999999995</v>
      </c>
      <c r="Y4160">
        <v>0.25780049999999999</v>
      </c>
      <c r="Z4160">
        <v>-3.2740320000000003E-2</v>
      </c>
      <c r="AA4160">
        <v>0.96564329999999998</v>
      </c>
      <c r="AB4160">
        <v>24</v>
      </c>
      <c r="AC4160">
        <v>-23.406399999999898</v>
      </c>
      <c r="AD4160">
        <v>1.72131699999999</v>
      </c>
      <c r="AE4160">
        <v>-75.361829999999998</v>
      </c>
      <c r="AF4160">
        <v>20.377100083876201</v>
      </c>
      <c r="AG4160">
        <v>1.72131699999999</v>
      </c>
      <c r="AH4160">
        <v>76.197881442064499</v>
      </c>
      <c r="AI4160">
        <v>88.749820207094601</v>
      </c>
      <c r="AJ4160">
        <v>75.028108846434804</v>
      </c>
      <c r="AK4160">
        <v>78.8942727725005</v>
      </c>
      <c r="AL4160">
        <v>80.260161432025797</v>
      </c>
      <c r="AM4160">
        <v>89.091834226412701</v>
      </c>
      <c r="AN4160">
        <v>0.99999992681858696</v>
      </c>
    </row>
    <row r="4161" spans="1:40" x14ac:dyDescent="0.25">
      <c r="A4161" t="str">
        <f>"20190304155716919"</f>
        <v>20190304155716919</v>
      </c>
      <c r="B4161" t="str">
        <f>"1551686236908516"</f>
        <v>1551686236908516</v>
      </c>
      <c r="C4161" t="s">
        <v>40</v>
      </c>
      <c r="D4161">
        <v>4.468496</v>
      </c>
      <c r="E4161">
        <v>0.59571280000000004</v>
      </c>
      <c r="F4161" t="s">
        <v>54</v>
      </c>
      <c r="G4161">
        <v>-214.35830000000001</v>
      </c>
      <c r="H4161">
        <v>2.8821750000000002</v>
      </c>
      <c r="I4161">
        <v>98.375470000000007</v>
      </c>
      <c r="J4161">
        <v>-190.8852</v>
      </c>
      <c r="K4161">
        <v>1.109982</v>
      </c>
      <c r="L4161">
        <v>173.61449999999999</v>
      </c>
      <c r="M4161">
        <v>-3.981809E-2</v>
      </c>
      <c r="N4161">
        <v>-1.088629E-2</v>
      </c>
      <c r="O4161">
        <v>-0.99914780000000003</v>
      </c>
      <c r="P4161">
        <v>-5.5278180000000003E-2</v>
      </c>
      <c r="Q4161">
        <v>0.1583849</v>
      </c>
      <c r="R4161">
        <v>-0.98582890000000001</v>
      </c>
      <c r="S4161">
        <v>-0.92840579999999995</v>
      </c>
      <c r="T4161">
        <v>7.0079680000000005E-2</v>
      </c>
      <c r="U4161">
        <v>-2.9800870000000002</v>
      </c>
      <c r="V4161">
        <v>1.5984350000000001E-2</v>
      </c>
      <c r="W4161">
        <v>0.1691221</v>
      </c>
      <c r="X4161">
        <v>0.98546549999999999</v>
      </c>
      <c r="Y4161">
        <v>0.25903300000000001</v>
      </c>
      <c r="Z4161">
        <v>-3.3362500000000003E-2</v>
      </c>
      <c r="AA4161">
        <v>0.96529209999999999</v>
      </c>
      <c r="AB4161">
        <v>24</v>
      </c>
      <c r="AC4161">
        <v>-23.473099999999999</v>
      </c>
      <c r="AD4161">
        <v>1.7721929999999999</v>
      </c>
      <c r="AE4161">
        <v>-75.23903</v>
      </c>
      <c r="AF4161">
        <v>20.448092485315598</v>
      </c>
      <c r="AG4161">
        <v>1.7721929999999999</v>
      </c>
      <c r="AH4161">
        <v>76.075600536951498</v>
      </c>
      <c r="AI4161">
        <v>88.711252728670402</v>
      </c>
      <c r="AJ4161">
        <v>74.955250195712907</v>
      </c>
      <c r="AK4161">
        <v>78.795698812657903</v>
      </c>
      <c r="AL4161">
        <v>80.263220147310705</v>
      </c>
      <c r="AM4161">
        <v>89.070738154022393</v>
      </c>
      <c r="AN4161">
        <v>1.0000000179217901</v>
      </c>
    </row>
    <row r="4162" spans="1:40" x14ac:dyDescent="0.25">
      <c r="A4162" t="str">
        <f>"20190304155716932"</f>
        <v>20190304155716932</v>
      </c>
      <c r="B4162" t="str">
        <f>"1551686236929012"</f>
        <v>1551686236929012</v>
      </c>
      <c r="C4162" t="s">
        <v>40</v>
      </c>
      <c r="D4162">
        <v>4.5096040000000004</v>
      </c>
      <c r="E4162">
        <v>0.59623740000000003</v>
      </c>
      <c r="F4162" t="s">
        <v>54</v>
      </c>
      <c r="G4162">
        <v>-214.4324</v>
      </c>
      <c r="H4162">
        <v>2.9089019999999999</v>
      </c>
      <c r="I4162">
        <v>98.375470000000007</v>
      </c>
      <c r="J4162">
        <v>-190.89080000000001</v>
      </c>
      <c r="K4162">
        <v>1.1099669999999999</v>
      </c>
      <c r="L4162">
        <v>173.47540000000001</v>
      </c>
      <c r="M4162">
        <v>-3.98214E-2</v>
      </c>
      <c r="N4162">
        <v>-1.082691E-2</v>
      </c>
      <c r="O4162">
        <v>-0.99914820000000004</v>
      </c>
      <c r="P4162">
        <v>-5.5856299999999998E-2</v>
      </c>
      <c r="Q4162">
        <v>0.15866140000000001</v>
      </c>
      <c r="R4162">
        <v>-0.98575190000000001</v>
      </c>
      <c r="S4162">
        <v>-0.93244930000000004</v>
      </c>
      <c r="T4162">
        <v>7.1236729999999998E-2</v>
      </c>
      <c r="U4162">
        <v>-2.9794010000000002</v>
      </c>
      <c r="V4162">
        <v>1.6564700000000002E-2</v>
      </c>
      <c r="W4162">
        <v>0.16933970000000001</v>
      </c>
      <c r="X4162">
        <v>0.98541860000000003</v>
      </c>
      <c r="Y4162">
        <v>0.26028390000000001</v>
      </c>
      <c r="Z4162">
        <v>-3.3671710000000001E-2</v>
      </c>
      <c r="AA4162">
        <v>0.96494480000000005</v>
      </c>
      <c r="AB4162">
        <v>24</v>
      </c>
      <c r="AC4162">
        <v>-23.541599999999899</v>
      </c>
      <c r="AD4162">
        <v>1.798935</v>
      </c>
      <c r="AE4162">
        <v>-75.099930000000001</v>
      </c>
      <c r="AF4162">
        <v>20.521443977999201</v>
      </c>
      <c r="AG4162">
        <v>1.798935</v>
      </c>
      <c r="AH4162">
        <v>75.938195185532905</v>
      </c>
      <c r="AI4162">
        <v>88.689924240735706</v>
      </c>
      <c r="AJ4162">
        <v>74.877675017272196</v>
      </c>
      <c r="AK4162">
        <v>78.682751083782506</v>
      </c>
      <c r="AL4162">
        <v>80.2505706426562</v>
      </c>
      <c r="AM4162">
        <v>89.036959501681494</v>
      </c>
      <c r="AN4162">
        <v>1.0000000702540599</v>
      </c>
    </row>
    <row r="4163" spans="1:40" x14ac:dyDescent="0.25">
      <c r="A4163" t="str">
        <f>"20190304155716943"</f>
        <v>20190304155716943</v>
      </c>
      <c r="B4163" t="str">
        <f>"1551686236938772"</f>
        <v>1551686236938772</v>
      </c>
      <c r="C4163" t="s">
        <v>40</v>
      </c>
      <c r="D4163">
        <v>4.4871359999999996</v>
      </c>
      <c r="E4163">
        <v>0.59640709999999997</v>
      </c>
      <c r="F4163" t="s">
        <v>54</v>
      </c>
      <c r="G4163">
        <v>-214.55850000000001</v>
      </c>
      <c r="H4163">
        <v>2.969741</v>
      </c>
      <c r="I4163">
        <v>98.375470000000007</v>
      </c>
      <c r="J4163">
        <v>-190.89580000000001</v>
      </c>
      <c r="K4163">
        <v>1.109947</v>
      </c>
      <c r="L4163">
        <v>173.34809999999999</v>
      </c>
      <c r="M4163">
        <v>-3.9836280000000002E-2</v>
      </c>
      <c r="N4163">
        <v>-1.077374E-2</v>
      </c>
      <c r="O4163">
        <v>-0.99914820000000004</v>
      </c>
      <c r="P4163">
        <v>-5.6425110000000001E-2</v>
      </c>
      <c r="Q4163">
        <v>0.15883749999999999</v>
      </c>
      <c r="R4163">
        <v>-0.98569119999999999</v>
      </c>
      <c r="S4163">
        <v>-0.9386139</v>
      </c>
      <c r="T4163">
        <v>7.375574E-2</v>
      </c>
      <c r="U4163">
        <v>-2.9783019999999998</v>
      </c>
      <c r="V4163">
        <v>1.7123989999999999E-2</v>
      </c>
      <c r="W4163">
        <v>0.16946240000000001</v>
      </c>
      <c r="X4163">
        <v>0.98538789999999998</v>
      </c>
      <c r="Y4163">
        <v>0.26218200000000003</v>
      </c>
      <c r="Z4163">
        <v>-3.4422950000000001E-2</v>
      </c>
      <c r="AA4163">
        <v>0.96440429999999999</v>
      </c>
      <c r="AB4163">
        <v>24</v>
      </c>
      <c r="AC4163">
        <v>-23.662700000000001</v>
      </c>
      <c r="AD4163">
        <v>1.8597939999999999</v>
      </c>
      <c r="AE4163">
        <v>-74.972629999999995</v>
      </c>
      <c r="AF4163">
        <v>20.645557599503601</v>
      </c>
      <c r="AG4163">
        <v>1.8597939999999999</v>
      </c>
      <c r="AH4163">
        <v>75.813374194847398</v>
      </c>
      <c r="AI4163">
        <v>88.644104063676295</v>
      </c>
      <c r="AJ4163">
        <v>74.766561159599902</v>
      </c>
      <c r="AK4163">
        <v>78.5962186693788</v>
      </c>
      <c r="AL4163">
        <v>80.243436906799801</v>
      </c>
      <c r="AM4163">
        <v>89.004418860228597</v>
      </c>
      <c r="AN4163">
        <v>1.0000000247568399</v>
      </c>
    </row>
    <row r="4164" spans="1:40" x14ac:dyDescent="0.25">
      <c r="A4164" t="str">
        <f>"20190304155716961"</f>
        <v>20190304155716961</v>
      </c>
      <c r="B4164" t="str">
        <f>"1551686236959269"</f>
        <v>1551686236959269</v>
      </c>
      <c r="C4164" t="s">
        <v>40</v>
      </c>
      <c r="D4164">
        <v>4.5062059999999997</v>
      </c>
      <c r="E4164">
        <v>0.59686549999999905</v>
      </c>
      <c r="F4164" t="s">
        <v>54</v>
      </c>
      <c r="G4164">
        <v>-214.60130000000001</v>
      </c>
      <c r="H4164">
        <v>2.9888780000000001</v>
      </c>
      <c r="I4164">
        <v>98.375470000000007</v>
      </c>
      <c r="J4164">
        <v>-190.90309999999999</v>
      </c>
      <c r="K4164">
        <v>1.109923</v>
      </c>
      <c r="L4164">
        <v>173.166</v>
      </c>
      <c r="M4164">
        <v>-3.9873180000000001E-2</v>
      </c>
      <c r="N4164">
        <v>-1.069965E-2</v>
      </c>
      <c r="O4164">
        <v>-0.99914749999999997</v>
      </c>
      <c r="P4164">
        <v>-5.7596189999999998E-2</v>
      </c>
      <c r="Q4164">
        <v>0.1592625</v>
      </c>
      <c r="R4164">
        <v>-0.98555459999999995</v>
      </c>
      <c r="S4164">
        <v>-0.94149780000000005</v>
      </c>
      <c r="T4164">
        <v>7.4625490000000003E-2</v>
      </c>
      <c r="U4164">
        <v>-2.977646</v>
      </c>
      <c r="V4164">
        <v>1.8268650000000001E-2</v>
      </c>
      <c r="W4164">
        <v>0.16981289999999999</v>
      </c>
      <c r="X4164">
        <v>0.98530700000000004</v>
      </c>
      <c r="Y4164">
        <v>0.26305479999999998</v>
      </c>
      <c r="Z4164">
        <v>-3.4627209999999999E-2</v>
      </c>
      <c r="AA4164">
        <v>0.96415930000000005</v>
      </c>
      <c r="AB4164">
        <v>24</v>
      </c>
      <c r="AC4164">
        <v>-23.6982</v>
      </c>
      <c r="AD4164">
        <v>1.8789549999999999</v>
      </c>
      <c r="AE4164">
        <v>-74.790530000000004</v>
      </c>
      <c r="AF4164">
        <v>20.685180494344799</v>
      </c>
      <c r="AG4164">
        <v>1.8789549999999999</v>
      </c>
      <c r="AH4164">
        <v>75.632641731989295</v>
      </c>
      <c r="AI4164">
        <v>88.627277167313395</v>
      </c>
      <c r="AJ4164">
        <v>74.703925088337996</v>
      </c>
      <c r="AK4164">
        <v>78.432797089834196</v>
      </c>
      <c r="AL4164">
        <v>80.223059391690896</v>
      </c>
      <c r="AM4164">
        <v>88.937796419400499</v>
      </c>
      <c r="AN4164">
        <v>1.0000000244141101</v>
      </c>
    </row>
    <row r="4165" spans="1:40" x14ac:dyDescent="0.25">
      <c r="A4165" t="str">
        <f>"20190304155716973"</f>
        <v>20190304155716973</v>
      </c>
      <c r="B4165" t="str">
        <f>"1551686236969028"</f>
        <v>1551686236969028</v>
      </c>
      <c r="C4165" t="s">
        <v>40</v>
      </c>
      <c r="D4165">
        <v>4.492909</v>
      </c>
      <c r="E4165">
        <v>0.59706569999999903</v>
      </c>
      <c r="F4165" t="s">
        <v>54</v>
      </c>
      <c r="G4165">
        <v>-214.74719999999999</v>
      </c>
      <c r="H4165">
        <v>3.0416820000000002</v>
      </c>
      <c r="I4165">
        <v>98.375470000000007</v>
      </c>
      <c r="J4165">
        <v>-190.9083</v>
      </c>
      <c r="K4165">
        <v>1.1099079999999999</v>
      </c>
      <c r="L4165">
        <v>173.03819999999999</v>
      </c>
      <c r="M4165">
        <v>-3.9910389999999997E-2</v>
      </c>
      <c r="N4165">
        <v>-1.0649489999999999E-2</v>
      </c>
      <c r="O4165">
        <v>-0.9991468</v>
      </c>
      <c r="P4165">
        <v>-5.8148249999999999E-2</v>
      </c>
      <c r="Q4165">
        <v>0.15909579999999901</v>
      </c>
      <c r="R4165">
        <v>-0.98554969999999997</v>
      </c>
      <c r="S4165">
        <v>-0.94882200000000005</v>
      </c>
      <c r="T4165">
        <v>7.6871040000000002E-2</v>
      </c>
      <c r="U4165">
        <v>-2.9761199999999999</v>
      </c>
      <c r="V4165">
        <v>1.8788349999999999E-2</v>
      </c>
      <c r="W4165">
        <v>0.16959630000000001</v>
      </c>
      <c r="X4165">
        <v>0.9853345</v>
      </c>
      <c r="Y4165">
        <v>0.26530979999999998</v>
      </c>
      <c r="Z4165">
        <v>-3.5293489999999997E-2</v>
      </c>
      <c r="AA4165">
        <v>0.96351710000000002</v>
      </c>
      <c r="AB4165">
        <v>24</v>
      </c>
      <c r="AC4165">
        <v>-23.838899999999899</v>
      </c>
      <c r="AD4165">
        <v>1.9317740000000001</v>
      </c>
      <c r="AE4165">
        <v>-74.662729999999996</v>
      </c>
      <c r="AF4165">
        <v>20.827265195166799</v>
      </c>
      <c r="AG4165">
        <v>1.9317740000000001</v>
      </c>
      <c r="AH4165">
        <v>75.508838706283299</v>
      </c>
      <c r="AI4165">
        <v>88.5872318147985</v>
      </c>
      <c r="AJ4165">
        <v>74.579784361177403</v>
      </c>
      <c r="AK4165">
        <v>78.352354457721205</v>
      </c>
      <c r="AL4165">
        <v>80.235651998137996</v>
      </c>
      <c r="AM4165">
        <v>88.907616935472504</v>
      </c>
      <c r="AN4165">
        <v>0.99999999197983103</v>
      </c>
    </row>
    <row r="4166" spans="1:40" x14ac:dyDescent="0.25">
      <c r="A4166" t="str">
        <f>"20190304155716986"</f>
        <v>20190304155716986</v>
      </c>
      <c r="B4166" t="str">
        <f>"1551686236978788"</f>
        <v>1551686236978788</v>
      </c>
      <c r="C4166" t="s">
        <v>40</v>
      </c>
      <c r="D4166">
        <v>4.4784990000000002</v>
      </c>
      <c r="E4166">
        <v>0.59717600000000004</v>
      </c>
      <c r="F4166" t="s">
        <v>54</v>
      </c>
      <c r="G4166">
        <v>-214.79849999999999</v>
      </c>
      <c r="H4166">
        <v>3.038599</v>
      </c>
      <c r="I4166">
        <v>98.375470000000007</v>
      </c>
      <c r="J4166">
        <v>-190.91390000000001</v>
      </c>
      <c r="K4166">
        <v>1.1098870000000001</v>
      </c>
      <c r="L4166">
        <v>172.89709999999999</v>
      </c>
      <c r="M4166">
        <v>-3.9966559999999998E-2</v>
      </c>
      <c r="N4166">
        <v>-1.059717E-2</v>
      </c>
      <c r="O4166">
        <v>-0.9991449</v>
      </c>
      <c r="P4166">
        <v>-5.8950540000000003E-2</v>
      </c>
      <c r="Q4166">
        <v>0.1589207</v>
      </c>
      <c r="R4166">
        <v>-0.98553000000000002</v>
      </c>
      <c r="S4166">
        <v>-0.95205689999999998</v>
      </c>
      <c r="T4166">
        <v>7.6861860000000004E-2</v>
      </c>
      <c r="U4166">
        <v>-2.975403</v>
      </c>
      <c r="V4166">
        <v>1.9541639999999999E-2</v>
      </c>
      <c r="W4166">
        <v>0.16936880000000001</v>
      </c>
      <c r="X4166">
        <v>0.98535899999999998</v>
      </c>
      <c r="Y4166">
        <v>0.26627390000000001</v>
      </c>
      <c r="Z4166">
        <v>-3.523652E-2</v>
      </c>
      <c r="AA4166">
        <v>0.96325309999999997</v>
      </c>
      <c r="AB4166">
        <v>24</v>
      </c>
      <c r="AC4166">
        <v>-23.884599999999899</v>
      </c>
      <c r="AD4166">
        <v>1.928712</v>
      </c>
      <c r="AE4166">
        <v>-74.521630000000002</v>
      </c>
      <c r="AF4166">
        <v>20.874294398339501</v>
      </c>
      <c r="AG4166">
        <v>1.928712</v>
      </c>
      <c r="AH4166">
        <v>75.370937382029695</v>
      </c>
      <c r="AI4166">
        <v>88.587299837118394</v>
      </c>
      <c r="AJ4166">
        <v>74.519707942794597</v>
      </c>
      <c r="AK4166">
        <v>78.231926337355006</v>
      </c>
      <c r="AL4166">
        <v>80.248878330039005</v>
      </c>
      <c r="AM4166">
        <v>88.863859018137504</v>
      </c>
      <c r="AN4166">
        <v>1.0000000124941599</v>
      </c>
    </row>
    <row r="4167" spans="1:40" x14ac:dyDescent="0.25">
      <c r="A4167" t="str">
        <f>"20190304155717007"</f>
        <v>20190304155717007</v>
      </c>
      <c r="B4167" t="str">
        <f>"1551686236999287"</f>
        <v>1551686236999287</v>
      </c>
      <c r="C4167" t="s">
        <v>40</v>
      </c>
      <c r="D4167">
        <v>4.5506900000000003</v>
      </c>
      <c r="E4167">
        <v>0.59748009999999996</v>
      </c>
      <c r="F4167" t="s">
        <v>54</v>
      </c>
      <c r="G4167">
        <v>-214.85910000000001</v>
      </c>
      <c r="H4167">
        <v>3.0332050000000002</v>
      </c>
      <c r="I4167">
        <v>98.375470000000007</v>
      </c>
      <c r="J4167">
        <v>-190.92230000000001</v>
      </c>
      <c r="K4167">
        <v>1.109856</v>
      </c>
      <c r="L4167">
        <v>172.6892</v>
      </c>
      <c r="M4167">
        <v>-4.0080709999999999E-2</v>
      </c>
      <c r="N4167">
        <v>-1.0526840000000001E-2</v>
      </c>
      <c r="O4167">
        <v>-0.9991411</v>
      </c>
      <c r="P4167">
        <v>-6.0165999999999997E-2</v>
      </c>
      <c r="Q4167">
        <v>0.1590046</v>
      </c>
      <c r="R4167">
        <v>-0.98544279999999995</v>
      </c>
      <c r="S4167">
        <v>-0.95576479999999997</v>
      </c>
      <c r="T4167">
        <v>7.6769589999999999E-2</v>
      </c>
      <c r="U4167">
        <v>-2.9745029999999999</v>
      </c>
      <c r="V4167">
        <v>2.065852E-2</v>
      </c>
      <c r="W4167">
        <v>0.16938149999999999</v>
      </c>
      <c r="X4167">
        <v>0.98533400000000004</v>
      </c>
      <c r="Y4167">
        <v>0.26733810000000002</v>
      </c>
      <c r="Z4167">
        <v>-3.5135230000000003E-2</v>
      </c>
      <c r="AA4167">
        <v>0.96296199999999998</v>
      </c>
      <c r="AB4167">
        <v>24</v>
      </c>
      <c r="AC4167">
        <v>-23.936800000000002</v>
      </c>
      <c r="AD4167">
        <v>1.923349</v>
      </c>
      <c r="AE4167">
        <v>-74.313730000000007</v>
      </c>
      <c r="AF4167">
        <v>20.9261517820505</v>
      </c>
      <c r="AG4167">
        <v>1.923349</v>
      </c>
      <c r="AH4167">
        <v>75.167846977634596</v>
      </c>
      <c r="AI4167">
        <v>88.587945114153896</v>
      </c>
      <c r="AJ4167">
        <v>74.443205431119594</v>
      </c>
      <c r="AK4167">
        <v>78.050037277597198</v>
      </c>
      <c r="AL4167">
        <v>80.248139678957997</v>
      </c>
      <c r="AM4167">
        <v>88.7989122271361</v>
      </c>
      <c r="AN4167">
        <v>0.99999997927341999</v>
      </c>
    </row>
    <row r="4168" spans="1:40" x14ac:dyDescent="0.25">
      <c r="A4168" t="str">
        <f>"20190304155717019"</f>
        <v>20190304155717019</v>
      </c>
      <c r="B4168" t="str">
        <f>"1551686237008960"</f>
        <v>1551686237008960</v>
      </c>
      <c r="C4168" t="s">
        <v>40</v>
      </c>
      <c r="D4168">
        <v>4.4442789999999999</v>
      </c>
      <c r="E4168">
        <v>0.59752700000000003</v>
      </c>
      <c r="F4168" t="s">
        <v>54</v>
      </c>
      <c r="G4168">
        <v>-214.9665</v>
      </c>
      <c r="H4168">
        <v>3.050424</v>
      </c>
      <c r="I4168">
        <v>98.375470000000007</v>
      </c>
      <c r="J4168">
        <v>-190.928</v>
      </c>
      <c r="K4168">
        <v>1.1098300000000001</v>
      </c>
      <c r="L4168">
        <v>172.5504</v>
      </c>
      <c r="M4168">
        <v>-4.0183089999999998E-2</v>
      </c>
      <c r="N4168">
        <v>-1.048206E-2</v>
      </c>
      <c r="O4168">
        <v>-0.99913750000000001</v>
      </c>
      <c r="P4168">
        <v>-6.0789860000000001E-2</v>
      </c>
      <c r="Q4168">
        <v>0.1593454</v>
      </c>
      <c r="R4168">
        <v>-0.98534980000000005</v>
      </c>
      <c r="S4168">
        <v>-0.96192929999999999</v>
      </c>
      <c r="T4168">
        <v>7.7636960000000005E-2</v>
      </c>
      <c r="U4168">
        <v>-2.9730530000000002</v>
      </c>
      <c r="V4168">
        <v>2.1193969999999999E-2</v>
      </c>
      <c r="W4168">
        <v>0.1696762</v>
      </c>
      <c r="X4168">
        <v>0.98527189999999998</v>
      </c>
      <c r="Y4168">
        <v>0.26918219999999998</v>
      </c>
      <c r="Z4168">
        <v>-3.5365849999999997E-2</v>
      </c>
      <c r="AA4168">
        <v>0.96243970000000001</v>
      </c>
      <c r="AB4168">
        <v>24</v>
      </c>
      <c r="AC4168">
        <v>-24.038499999999999</v>
      </c>
      <c r="AD4168">
        <v>1.9405939999999999</v>
      </c>
      <c r="AE4168">
        <v>-74.174930000000003</v>
      </c>
      <c r="AF4168">
        <v>21.025318166394801</v>
      </c>
      <c r="AG4168">
        <v>1.9405939999999999</v>
      </c>
      <c r="AH4168">
        <v>75.034531389345403</v>
      </c>
      <c r="AI4168">
        <v>88.573430546245902</v>
      </c>
      <c r="AJ4168">
        <v>74.346673150933995</v>
      </c>
      <c r="AK4168">
        <v>77.948770419357004</v>
      </c>
      <c r="AL4168">
        <v>80.231006396031304</v>
      </c>
      <c r="AM4168">
        <v>88.767712964176297</v>
      </c>
      <c r="AN4168">
        <v>0.99999995707020395</v>
      </c>
    </row>
    <row r="4169" spans="1:40" x14ac:dyDescent="0.25">
      <c r="A4169" t="str">
        <f>"20190304155717041"</f>
        <v>20190304155717041</v>
      </c>
      <c r="B4169" t="str">
        <f>"1551686237028480"</f>
        <v>1551686237028480</v>
      </c>
      <c r="C4169" t="s">
        <v>40</v>
      </c>
      <c r="D4169">
        <v>4.5097610000000001</v>
      </c>
      <c r="E4169">
        <v>0.59771390000000002</v>
      </c>
      <c r="F4169" t="s">
        <v>54</v>
      </c>
      <c r="G4169">
        <v>-214.98759999999999</v>
      </c>
      <c r="H4169">
        <v>3.0821869999999998</v>
      </c>
      <c r="I4169">
        <v>98.375470000000007</v>
      </c>
      <c r="J4169">
        <v>-190.93719999999999</v>
      </c>
      <c r="K4169">
        <v>1.1097840000000001</v>
      </c>
      <c r="L4169">
        <v>172.3278</v>
      </c>
      <c r="M4169">
        <v>-4.0387369999999999E-2</v>
      </c>
      <c r="N4169">
        <v>-1.0412289999999999E-2</v>
      </c>
      <c r="O4169">
        <v>-0.99913010000000002</v>
      </c>
      <c r="P4169">
        <v>-6.2177980000000001E-2</v>
      </c>
      <c r="Q4169">
        <v>0.15980559999999999</v>
      </c>
      <c r="R4169">
        <v>-0.98518859999999997</v>
      </c>
      <c r="S4169">
        <v>-0.96412659999999994</v>
      </c>
      <c r="T4169">
        <v>7.9038140000000007E-2</v>
      </c>
      <c r="U4169">
        <v>-2.9723660000000001</v>
      </c>
      <c r="V4169">
        <v>2.240263E-2</v>
      </c>
      <c r="W4169">
        <v>0.17006379999999999</v>
      </c>
      <c r="X4169">
        <v>0.98517840000000001</v>
      </c>
      <c r="Y4169">
        <v>0.26969080000000001</v>
      </c>
      <c r="Z4169">
        <v>-3.5746609999999998E-2</v>
      </c>
      <c r="AA4169">
        <v>0.96228329999999995</v>
      </c>
      <c r="AB4169">
        <v>24</v>
      </c>
      <c r="AC4169">
        <v>-24.0504</v>
      </c>
      <c r="AD4169">
        <v>1.9724029999999999</v>
      </c>
      <c r="AE4169">
        <v>-73.952330000000003</v>
      </c>
      <c r="AF4169">
        <v>21.030344655972499</v>
      </c>
      <c r="AG4169">
        <v>1.9724029999999999</v>
      </c>
      <c r="AH4169">
        <v>74.815240498466395</v>
      </c>
      <c r="AI4169">
        <v>88.546144870545803</v>
      </c>
      <c r="AJ4169">
        <v>74.299482607926194</v>
      </c>
      <c r="AK4169">
        <v>77.739860951681493</v>
      </c>
      <c r="AL4169">
        <v>80.208471722716993</v>
      </c>
      <c r="AM4169">
        <v>88.697337482154694</v>
      </c>
      <c r="AN4169">
        <v>1.00000002686395</v>
      </c>
    </row>
    <row r="4170" spans="1:40" x14ac:dyDescent="0.25">
      <c r="A4170" t="str">
        <f>"20190304155717056"</f>
        <v>20190304155717056</v>
      </c>
      <c r="B4170" t="str">
        <f>"1551686237048976"</f>
        <v>1551686237048976</v>
      </c>
      <c r="C4170" t="s">
        <v>40</v>
      </c>
      <c r="D4170">
        <v>4.5288130000000004</v>
      </c>
      <c r="E4170">
        <v>0.59791349999999999</v>
      </c>
      <c r="F4170" t="s">
        <v>54</v>
      </c>
      <c r="G4170">
        <v>-215.08269999999999</v>
      </c>
      <c r="H4170">
        <v>3.1228509999999998</v>
      </c>
      <c r="I4170">
        <v>98.375470000000007</v>
      </c>
      <c r="J4170">
        <v>-190.94409999999999</v>
      </c>
      <c r="K4170">
        <v>1.1097490000000001</v>
      </c>
      <c r="L4170">
        <v>172.16130000000001</v>
      </c>
      <c r="M4170">
        <v>-4.0575649999999998E-2</v>
      </c>
      <c r="N4170">
        <v>-1.0362730000000001E-2</v>
      </c>
      <c r="O4170">
        <v>-0.99912279999999998</v>
      </c>
      <c r="P4170">
        <v>-6.2992709999999993E-2</v>
      </c>
      <c r="Q4170">
        <v>0.1599227</v>
      </c>
      <c r="R4170">
        <v>-0.98511789999999999</v>
      </c>
      <c r="S4170">
        <v>-0.96995540000000002</v>
      </c>
      <c r="T4170">
        <v>8.0868239999999994E-2</v>
      </c>
      <c r="U4170">
        <v>-2.9707490000000001</v>
      </c>
      <c r="V4170">
        <v>2.304689E-2</v>
      </c>
      <c r="W4170">
        <v>0.17013010000000001</v>
      </c>
      <c r="X4170">
        <v>0.98515209999999998</v>
      </c>
      <c r="Y4170">
        <v>0.27136470000000001</v>
      </c>
      <c r="Z4170">
        <v>-3.6283540000000003E-2</v>
      </c>
      <c r="AA4170">
        <v>0.96179250000000005</v>
      </c>
      <c r="AB4170">
        <v>24</v>
      </c>
      <c r="AC4170">
        <v>-24.1386</v>
      </c>
      <c r="AD4170">
        <v>2.0131019999999999</v>
      </c>
      <c r="AE4170">
        <v>-73.785830000000004</v>
      </c>
      <c r="AF4170">
        <v>21.110455707955001</v>
      </c>
      <c r="AG4170">
        <v>2.0131019999999999</v>
      </c>
      <c r="AH4170">
        <v>74.654352765189699</v>
      </c>
      <c r="AI4170">
        <v>88.513614191685406</v>
      </c>
      <c r="AJ4170">
        <v>74.210372742791407</v>
      </c>
      <c r="AK4170">
        <v>77.607836631678595</v>
      </c>
      <c r="AL4170">
        <v>80.2046169181328</v>
      </c>
      <c r="AM4170">
        <v>88.659852920422097</v>
      </c>
      <c r="AN4170">
        <v>1.0000000350995399</v>
      </c>
    </row>
    <row r="4171" spans="1:40" x14ac:dyDescent="0.25">
      <c r="A4171" t="str">
        <f>"20190304155717075"</f>
        <v>20190304155717075</v>
      </c>
      <c r="B4171" t="str">
        <f>"1551686237068496"</f>
        <v>1551686237068496</v>
      </c>
      <c r="C4171" t="s">
        <v>40</v>
      </c>
      <c r="D4171">
        <v>4.5532640000000004</v>
      </c>
      <c r="E4171">
        <v>0.59814609999999901</v>
      </c>
      <c r="F4171" t="s">
        <v>54</v>
      </c>
      <c r="G4171">
        <v>-215.54650000000001</v>
      </c>
      <c r="H4171">
        <v>3.163297</v>
      </c>
      <c r="I4171">
        <v>97.150019999999998</v>
      </c>
      <c r="J4171">
        <v>-190.95240000000001</v>
      </c>
      <c r="K4171">
        <v>1.109704</v>
      </c>
      <c r="L4171">
        <v>171.9633</v>
      </c>
      <c r="M4171">
        <v>-4.0839880000000002E-2</v>
      </c>
      <c r="N4171">
        <v>-1.030842E-2</v>
      </c>
      <c r="O4171">
        <v>-0.99911249999999996</v>
      </c>
      <c r="P4171">
        <v>-6.4722470000000004E-2</v>
      </c>
      <c r="Q4171">
        <v>0.16022449999999999</v>
      </c>
      <c r="R4171">
        <v>-0.98495659999999896</v>
      </c>
      <c r="S4171">
        <v>-0.97406009999999998</v>
      </c>
      <c r="T4171">
        <v>8.1305150000000007E-2</v>
      </c>
      <c r="U4171">
        <v>-2.969849</v>
      </c>
      <c r="V4171">
        <v>2.453659E-2</v>
      </c>
      <c r="W4171">
        <v>0.17037389999999999</v>
      </c>
      <c r="X4171">
        <v>0.98507389999999995</v>
      </c>
      <c r="Y4171">
        <v>0.27239609999999997</v>
      </c>
      <c r="Z4171">
        <v>-3.6366919999999997E-2</v>
      </c>
      <c r="AA4171">
        <v>0.96149770000000001</v>
      </c>
      <c r="AB4171">
        <v>24</v>
      </c>
      <c r="AC4171">
        <v>-24.594100000000001</v>
      </c>
      <c r="AD4171">
        <v>2.0535929999999998</v>
      </c>
      <c r="AE4171">
        <v>-74.813280000000006</v>
      </c>
      <c r="AF4171">
        <v>21.503429077440401</v>
      </c>
      <c r="AG4171">
        <v>2.0535929999999998</v>
      </c>
      <c r="AH4171">
        <v>75.7038523719404</v>
      </c>
      <c r="AI4171">
        <v>88.505240166262894</v>
      </c>
      <c r="AJ4171">
        <v>74.142977846399305</v>
      </c>
      <c r="AK4171">
        <v>78.725395967570194</v>
      </c>
      <c r="AL4171">
        <v>80.1904404002794</v>
      </c>
      <c r="AM4171">
        <v>88.573150280639695</v>
      </c>
      <c r="AN4171">
        <v>0.99999994925562197</v>
      </c>
    </row>
    <row r="4172" spans="1:40" x14ac:dyDescent="0.25">
      <c r="A4172" t="str">
        <f>"20190304155717088"</f>
        <v>20190304155717088</v>
      </c>
      <c r="B4172" t="str">
        <f>"1551686237079232"</f>
        <v>1551686237079232</v>
      </c>
      <c r="C4172" t="s">
        <v>40</v>
      </c>
      <c r="D4172">
        <v>4.5776399999999997</v>
      </c>
      <c r="E4172">
        <v>0.5982769</v>
      </c>
      <c r="F4172" t="s">
        <v>54</v>
      </c>
      <c r="G4172">
        <v>-215.69479999999999</v>
      </c>
      <c r="H4172">
        <v>3.190699</v>
      </c>
      <c r="I4172">
        <v>97.150019999999998</v>
      </c>
      <c r="J4172">
        <v>-190.95869999999999</v>
      </c>
      <c r="K4172">
        <v>1.109674</v>
      </c>
      <c r="L4172">
        <v>171.81479999999999</v>
      </c>
      <c r="M4172">
        <v>-4.106456E-2</v>
      </c>
      <c r="N4172">
        <v>-1.027133E-2</v>
      </c>
      <c r="O4172">
        <v>-0.99910370000000004</v>
      </c>
      <c r="P4172">
        <v>-6.5529499999999893E-2</v>
      </c>
      <c r="Q4172">
        <v>0.160461299999999</v>
      </c>
      <c r="R4172">
        <v>-0.98486450000000003</v>
      </c>
      <c r="S4172">
        <v>-0.98155210000000004</v>
      </c>
      <c r="T4172">
        <v>8.2555649999999994E-2</v>
      </c>
      <c r="U4172">
        <v>-2.9678960000000001</v>
      </c>
      <c r="V4172">
        <v>2.5136249999999999E-2</v>
      </c>
      <c r="W4172">
        <v>0.17057229999999901</v>
      </c>
      <c r="X4172">
        <v>0.98502449999999997</v>
      </c>
      <c r="Y4172">
        <v>0.27455239999999997</v>
      </c>
      <c r="Z4172">
        <v>-3.6728370000000003E-2</v>
      </c>
      <c r="AA4172">
        <v>0.96087040000000001</v>
      </c>
      <c r="AB4172">
        <v>24</v>
      </c>
      <c r="AC4172">
        <v>-24.7361</v>
      </c>
      <c r="AD4172">
        <v>2.0810249999999999</v>
      </c>
      <c r="AE4172">
        <v>-74.664779999999993</v>
      </c>
      <c r="AF4172">
        <v>21.6338510956646</v>
      </c>
      <c r="AG4172">
        <v>2.0810249999999999</v>
      </c>
      <c r="AH4172">
        <v>75.564728929477994</v>
      </c>
      <c r="AI4172">
        <v>88.483394200241506</v>
      </c>
      <c r="AJ4172">
        <v>74.023814516605796</v>
      </c>
      <c r="AK4172">
        <v>78.628127514684607</v>
      </c>
      <c r="AL4172">
        <v>80.178904585760705</v>
      </c>
      <c r="AM4172">
        <v>88.538220576626003</v>
      </c>
      <c r="AN4172">
        <v>1.0000000030958001</v>
      </c>
    </row>
    <row r="4173" spans="1:40" x14ac:dyDescent="0.25">
      <c r="A4173" t="str">
        <f>"20190304155717100"</f>
        <v>20190304155717100</v>
      </c>
      <c r="B4173" t="str">
        <f>"1551686237088992"</f>
        <v>1551686237088992</v>
      </c>
      <c r="C4173" t="s">
        <v>40</v>
      </c>
      <c r="D4173">
        <v>4.5532059999999897</v>
      </c>
      <c r="E4173">
        <v>0.59832810000000003</v>
      </c>
      <c r="F4173" t="s">
        <v>54</v>
      </c>
      <c r="G4173">
        <v>-215.74420000000001</v>
      </c>
      <c r="H4173">
        <v>3.201549</v>
      </c>
      <c r="I4173">
        <v>97.150019999999998</v>
      </c>
      <c r="J4173">
        <v>-190.96420000000001</v>
      </c>
      <c r="K4173">
        <v>1.10965</v>
      </c>
      <c r="L4173">
        <v>171.6876</v>
      </c>
      <c r="M4173">
        <v>-4.1282850000000003E-2</v>
      </c>
      <c r="N4173">
        <v>-1.0242920000000001E-2</v>
      </c>
      <c r="O4173">
        <v>-0.99909499999999996</v>
      </c>
      <c r="P4173">
        <v>-6.6717620000000005E-2</v>
      </c>
      <c r="Q4173">
        <v>0.16059619999999999</v>
      </c>
      <c r="R4173">
        <v>-0.98476249999999999</v>
      </c>
      <c r="S4173">
        <v>-0.98492429999999997</v>
      </c>
      <c r="T4173">
        <v>8.3127859999999998E-2</v>
      </c>
      <c r="U4173">
        <v>-2.9670260000000002</v>
      </c>
      <c r="V4173">
        <v>2.6120899999999999E-2</v>
      </c>
      <c r="W4173">
        <v>0.17067660000000001</v>
      </c>
      <c r="X4173">
        <v>0.98498079999999999</v>
      </c>
      <c r="Y4173">
        <v>0.27540879999999901</v>
      </c>
      <c r="Z4173">
        <v>-3.6882320000000003E-2</v>
      </c>
      <c r="AA4173">
        <v>0.96061940000000001</v>
      </c>
      <c r="AB4173">
        <v>24</v>
      </c>
      <c r="AC4173">
        <v>-24.78</v>
      </c>
      <c r="AD4173">
        <v>2.0918990000000002</v>
      </c>
      <c r="AE4173">
        <v>-74.537580000000005</v>
      </c>
      <c r="AF4173">
        <v>21.666220764490401</v>
      </c>
      <c r="AG4173">
        <v>2.0918990000000002</v>
      </c>
      <c r="AH4173">
        <v>75.443563871273099</v>
      </c>
      <c r="AI4173">
        <v>88.473385311370706</v>
      </c>
      <c r="AJ4173">
        <v>73.976755806964206</v>
      </c>
      <c r="AK4173">
        <v>78.520904816747404</v>
      </c>
      <c r="AL4173">
        <v>80.172839569230604</v>
      </c>
      <c r="AM4173">
        <v>88.480917969043702</v>
      </c>
      <c r="AN4173">
        <v>0.99999998978650495</v>
      </c>
    </row>
    <row r="4174" spans="1:40" x14ac:dyDescent="0.25">
      <c r="A4174" t="str">
        <f>"20190304155717117"</f>
        <v>20190304155717117</v>
      </c>
      <c r="B4174" t="str">
        <f>"1551686237108680"</f>
        <v>1551686237108680</v>
      </c>
      <c r="C4174" t="s">
        <v>40</v>
      </c>
      <c r="D4174">
        <v>4.8642310000000002</v>
      </c>
      <c r="E4174">
        <v>0.59791169999999905</v>
      </c>
      <c r="F4174" t="s">
        <v>54</v>
      </c>
      <c r="G4174">
        <v>-215.8253</v>
      </c>
      <c r="H4174">
        <v>3.2070599999999998</v>
      </c>
      <c r="I4174">
        <v>97.150019999999998</v>
      </c>
      <c r="J4174">
        <v>-190.9718</v>
      </c>
      <c r="K4174">
        <v>1.1096170000000001</v>
      </c>
      <c r="L4174">
        <v>171.50989999999999</v>
      </c>
      <c r="M4174">
        <v>-4.1610380000000002E-2</v>
      </c>
      <c r="N4174">
        <v>-1.020397E-2</v>
      </c>
      <c r="O4174">
        <v>-0.99908189999999997</v>
      </c>
      <c r="P4174">
        <v>-6.9090040000000005E-2</v>
      </c>
      <c r="Q4174">
        <v>0.1607914</v>
      </c>
      <c r="R4174">
        <v>-0.98456730000000003</v>
      </c>
      <c r="S4174">
        <v>-0.98921199999999998</v>
      </c>
      <c r="T4174">
        <v>8.3455799999999997E-2</v>
      </c>
      <c r="U4174">
        <v>-2.965805</v>
      </c>
      <c r="V4174">
        <v>2.8188089999999999E-2</v>
      </c>
      <c r="W4174">
        <v>0.17082919999999999</v>
      </c>
      <c r="X4174">
        <v>0.98489740000000003</v>
      </c>
      <c r="Y4174">
        <v>0.27646140000000002</v>
      </c>
      <c r="Z4174">
        <v>-3.6947889999999997E-2</v>
      </c>
      <c r="AA4174">
        <v>0.96031449999999996</v>
      </c>
      <c r="AB4174">
        <v>24</v>
      </c>
      <c r="AC4174">
        <v>-24.8535</v>
      </c>
      <c r="AD4174">
        <v>2.0974430000000002</v>
      </c>
      <c r="AE4174">
        <v>-74.359879999999904</v>
      </c>
      <c r="AF4174">
        <v>21.722122999109899</v>
      </c>
      <c r="AG4174">
        <v>2.0974430000000002</v>
      </c>
      <c r="AH4174">
        <v>75.275816104664997</v>
      </c>
      <c r="AI4174">
        <v>88.4664954943174</v>
      </c>
      <c r="AJ4174">
        <v>73.903600861190597</v>
      </c>
      <c r="AK4174">
        <v>78.375368483663607</v>
      </c>
      <c r="AL4174">
        <v>80.163966375272295</v>
      </c>
      <c r="AM4174">
        <v>88.360623321042993</v>
      </c>
      <c r="AN4174">
        <v>1.0000000362586201</v>
      </c>
    </row>
    <row r="4175" spans="1:40" x14ac:dyDescent="0.25">
      <c r="A4175" t="str">
        <f>"20190304155717128"</f>
        <v>20190304155717128</v>
      </c>
      <c r="B4175" t="str">
        <f>"1551686237119416"</f>
        <v>1551686237119416</v>
      </c>
      <c r="C4175" t="s">
        <v>40</v>
      </c>
      <c r="D4175">
        <v>4.8235510000000001</v>
      </c>
      <c r="E4175">
        <v>0.59743009999999996</v>
      </c>
      <c r="F4175" t="s">
        <v>54</v>
      </c>
      <c r="G4175">
        <v>-215.8777</v>
      </c>
      <c r="H4175">
        <v>3.0691229999999998</v>
      </c>
      <c r="I4175">
        <v>97.150019999999998</v>
      </c>
      <c r="J4175">
        <v>-190.977</v>
      </c>
      <c r="K4175">
        <v>1.10959599999999</v>
      </c>
      <c r="L4175">
        <v>171.39240000000001</v>
      </c>
      <c r="M4175">
        <v>-4.1842850000000001E-2</v>
      </c>
      <c r="N4175">
        <v>-1.0178339999999999E-2</v>
      </c>
      <c r="O4175">
        <v>-0.99907239999999997</v>
      </c>
      <c r="P4175">
        <v>-7.0275630000000006E-2</v>
      </c>
      <c r="Q4175">
        <v>0.16086199999999901</v>
      </c>
      <c r="R4175">
        <v>-0.98447189999999996</v>
      </c>
      <c r="S4175">
        <v>-0.99295040000000001</v>
      </c>
      <c r="T4175">
        <v>7.8122739999999996E-2</v>
      </c>
      <c r="U4175">
        <v>-2.9645839999999999</v>
      </c>
      <c r="V4175">
        <v>2.9154940000000001E-2</v>
      </c>
      <c r="W4175">
        <v>0.170872</v>
      </c>
      <c r="X4175">
        <v>0.98486180000000001</v>
      </c>
      <c r="Y4175">
        <v>0.27746320000000002</v>
      </c>
      <c r="Z4175">
        <v>-3.5210619999999998E-2</v>
      </c>
      <c r="AA4175">
        <v>0.96009080000000002</v>
      </c>
      <c r="AB4175">
        <v>24</v>
      </c>
      <c r="AC4175">
        <v>-24.900700000000001</v>
      </c>
      <c r="AD4175">
        <v>1.959527</v>
      </c>
      <c r="AE4175">
        <v>-74.242379999999997</v>
      </c>
      <c r="AF4175">
        <v>21.758591365408599</v>
      </c>
      <c r="AG4175">
        <v>1.959527</v>
      </c>
      <c r="AH4175">
        <v>75.172250633906103</v>
      </c>
      <c r="AI4175">
        <v>88.565651144023406</v>
      </c>
      <c r="AJ4175">
        <v>73.856924974978</v>
      </c>
      <c r="AK4175">
        <v>78.282458505321401</v>
      </c>
      <c r="AL4175">
        <v>80.161477241520799</v>
      </c>
      <c r="AM4175">
        <v>88.304363813307702</v>
      </c>
      <c r="AN4175">
        <v>1.0000000080048199</v>
      </c>
    </row>
    <row r="4176" spans="1:40" x14ac:dyDescent="0.25">
      <c r="A4176" t="str">
        <f>"20190304155717139"</f>
        <v>20190304155717139</v>
      </c>
      <c r="B4176" t="str">
        <f>"1551686237129176"</f>
        <v>1551686237129176</v>
      </c>
      <c r="C4176" t="s">
        <v>40</v>
      </c>
      <c r="D4176">
        <v>4.2548690000000002</v>
      </c>
      <c r="E4176">
        <v>0.59689300000000001</v>
      </c>
      <c r="F4176" t="s">
        <v>54</v>
      </c>
      <c r="G4176">
        <v>-215.84360000000001</v>
      </c>
      <c r="H4176">
        <v>2.970993</v>
      </c>
      <c r="I4176">
        <v>97.150019999999998</v>
      </c>
      <c r="J4176">
        <v>-190.98249999999999</v>
      </c>
      <c r="K4176">
        <v>1.1095740000000001</v>
      </c>
      <c r="L4176">
        <v>171.26730000000001</v>
      </c>
      <c r="M4176">
        <v>-4.2112839999999999E-2</v>
      </c>
      <c r="N4176">
        <v>-1.01513E-2</v>
      </c>
      <c r="O4176">
        <v>-0.99906139999999999</v>
      </c>
      <c r="P4176">
        <v>-7.1453610000000001E-2</v>
      </c>
      <c r="Q4176">
        <v>0.1609833</v>
      </c>
      <c r="R4176">
        <v>-0.9843674</v>
      </c>
      <c r="S4176">
        <v>-0.99285889999999999</v>
      </c>
      <c r="T4176">
        <v>7.4321509999999993E-2</v>
      </c>
      <c r="U4176">
        <v>-2.9642940000000002</v>
      </c>
      <c r="V4176">
        <v>3.0077719999999999E-2</v>
      </c>
      <c r="W4176">
        <v>0.17096410000000001</v>
      </c>
      <c r="X4176">
        <v>0.98481799999999997</v>
      </c>
      <c r="Y4176">
        <v>0.2772172</v>
      </c>
      <c r="Z4176">
        <v>-3.3965639999999998E-2</v>
      </c>
      <c r="AA4176">
        <v>0.96020669999999997</v>
      </c>
      <c r="AB4176">
        <v>24</v>
      </c>
      <c r="AC4176">
        <v>-24.8611</v>
      </c>
      <c r="AD4176">
        <v>1.8614189999999999</v>
      </c>
      <c r="AE4176">
        <v>-74.117279999999994</v>
      </c>
      <c r="AF4176">
        <v>21.7052870311635</v>
      </c>
      <c r="AG4176">
        <v>1.8614189999999999</v>
      </c>
      <c r="AH4176">
        <v>75.055993299009899</v>
      </c>
      <c r="AI4176">
        <v>88.635232066407298</v>
      </c>
      <c r="AJ4176">
        <v>73.870769235774205</v>
      </c>
      <c r="AK4176">
        <v>78.153608335762499</v>
      </c>
      <c r="AL4176">
        <v>80.156120844739206</v>
      </c>
      <c r="AM4176">
        <v>88.250650489128205</v>
      </c>
      <c r="AN4176">
        <v>0.99999994292660199</v>
      </c>
    </row>
    <row r="4177" spans="1:40" x14ac:dyDescent="0.25">
      <c r="A4177" t="str">
        <f>"20190304155717151"</f>
        <v>20190304155717151</v>
      </c>
      <c r="B4177" t="str">
        <f>"1551686237148696"</f>
        <v>1551686237148696</v>
      </c>
      <c r="C4177" t="s">
        <v>40</v>
      </c>
      <c r="D4177">
        <v>4.7466999999999997</v>
      </c>
      <c r="E4177">
        <v>0.50317089999999998</v>
      </c>
      <c r="F4177" t="s">
        <v>54</v>
      </c>
      <c r="G4177">
        <v>-215.7963</v>
      </c>
      <c r="H4177">
        <v>2.9122819999999998</v>
      </c>
      <c r="I4177">
        <v>97.150019999999998</v>
      </c>
      <c r="J4177">
        <v>-190.98820000000001</v>
      </c>
      <c r="K4177">
        <v>1.1095520000000001</v>
      </c>
      <c r="L4177">
        <v>171.1377</v>
      </c>
      <c r="M4177">
        <v>-4.2401040000000001E-2</v>
      </c>
      <c r="N4177">
        <v>-1.0123689999999999E-2</v>
      </c>
      <c r="O4177">
        <v>-0.99904950000000003</v>
      </c>
      <c r="P4177">
        <v>-7.2436559999999997E-2</v>
      </c>
      <c r="Q4177">
        <v>0.16131409999999999</v>
      </c>
      <c r="R4177">
        <v>-0.98424149999999999</v>
      </c>
      <c r="S4177">
        <v>-0.99226380000000003</v>
      </c>
      <c r="T4177">
        <v>7.2088239999999998E-2</v>
      </c>
      <c r="U4177">
        <v>-2.9638209999999998</v>
      </c>
      <c r="V4177">
        <v>3.0788969999999999E-2</v>
      </c>
      <c r="W4177">
        <v>0.17126479999999999</v>
      </c>
      <c r="X4177">
        <v>0.98474379999999995</v>
      </c>
      <c r="Y4177">
        <v>0.2768197</v>
      </c>
      <c r="Z4177">
        <v>-3.322576E-2</v>
      </c>
      <c r="AA4177">
        <v>0.96034730000000001</v>
      </c>
      <c r="AB4177">
        <v>24</v>
      </c>
      <c r="AC4177">
        <v>-24.8081</v>
      </c>
      <c r="AD4177">
        <v>1.8027299999999999</v>
      </c>
      <c r="AE4177">
        <v>-73.987679999999997</v>
      </c>
      <c r="AF4177">
        <v>21.636925172749098</v>
      </c>
      <c r="AG4177">
        <v>1.8027299999999999</v>
      </c>
      <c r="AH4177">
        <v>74.933087583901298</v>
      </c>
      <c r="AI4177">
        <v>88.675924780559995</v>
      </c>
      <c r="AJ4177">
        <v>73.893929543949795</v>
      </c>
      <c r="AK4177">
        <v>78.015216344253503</v>
      </c>
      <c r="AL4177">
        <v>80.138634383150801</v>
      </c>
      <c r="AM4177">
        <v>88.209175277612999</v>
      </c>
      <c r="AN4177">
        <v>0.99999997201557</v>
      </c>
    </row>
    <row r="4178" spans="1:40" x14ac:dyDescent="0.25">
      <c r="A4178" t="str">
        <f>"20190304155717165"</f>
        <v>20190304155717165</v>
      </c>
      <c r="B4178" t="str">
        <f>"1551686237158456"</f>
        <v>1551686237158456</v>
      </c>
      <c r="C4178" t="s">
        <v>40</v>
      </c>
      <c r="D4178">
        <v>4.7320190000000002</v>
      </c>
      <c r="E4178">
        <v>0.49849339999999998</v>
      </c>
      <c r="F4178" t="s">
        <v>78</v>
      </c>
      <c r="G4178">
        <v>-194.68799999999999</v>
      </c>
      <c r="H4178" s="1">
        <v>-4.6077010000000002E-6</v>
      </c>
      <c r="I4178">
        <v>126.5538</v>
      </c>
      <c r="J4178">
        <v>-190.99469999999999</v>
      </c>
      <c r="K4178">
        <v>1.1095280000000001</v>
      </c>
      <c r="L4178">
        <v>170.99449999999999</v>
      </c>
      <c r="M4178">
        <v>-4.2743400000000001E-2</v>
      </c>
      <c r="N4178">
        <v>-1.009529E-2</v>
      </c>
      <c r="O4178">
        <v>-0.99903520000000001</v>
      </c>
      <c r="P4178">
        <v>-7.3585620000000004E-2</v>
      </c>
      <c r="Q4178">
        <v>0.16121949999999999</v>
      </c>
      <c r="R4178">
        <v>-0.98417160000000004</v>
      </c>
      <c r="S4178">
        <v>-0.25242609999999999</v>
      </c>
      <c r="T4178">
        <v>-7.5703259999999994E-2</v>
      </c>
      <c r="U4178">
        <v>-3.0418850000000002</v>
      </c>
      <c r="V4178">
        <v>3.1610720000000002E-2</v>
      </c>
      <c r="W4178">
        <v>0.17113979999999901</v>
      </c>
      <c r="X4178">
        <v>0.98473949999999999</v>
      </c>
      <c r="Y4178">
        <v>4.0008460000000003E-2</v>
      </c>
      <c r="Z4178">
        <v>1.4717050000000001E-2</v>
      </c>
      <c r="AA4178">
        <v>0.99909099999999995</v>
      </c>
      <c r="AB4178">
        <v>24</v>
      </c>
      <c r="AC4178">
        <v>-3.69329999999999</v>
      </c>
      <c r="AD4178">
        <v>-1.1095326077009999</v>
      </c>
      <c r="AE4178">
        <v>-44.4406999999999</v>
      </c>
      <c r="AF4178">
        <v>1.7891735032712099</v>
      </c>
      <c r="AG4178">
        <v>-1.1095326077009999</v>
      </c>
      <c r="AH4178">
        <v>44.530386240637597</v>
      </c>
      <c r="AI4178">
        <v>91.426153498965405</v>
      </c>
      <c r="AJ4178">
        <v>87.699167022048499</v>
      </c>
      <c r="AK4178">
        <v>44.580124530699997</v>
      </c>
      <c r="AL4178">
        <v>80.145903718236497</v>
      </c>
      <c r="AM4178">
        <v>88.161402964551399</v>
      </c>
      <c r="AN4178">
        <v>0.99999997581160305</v>
      </c>
    </row>
    <row r="4179" spans="1:40" x14ac:dyDescent="0.25">
      <c r="A4179" t="str">
        <f>"20190304155717178"</f>
        <v>20190304155717178</v>
      </c>
      <c r="B4179" t="str">
        <f>"1551686237169192"</f>
        <v>1551686237169192</v>
      </c>
      <c r="C4179" t="s">
        <v>40</v>
      </c>
      <c r="D4179">
        <v>4.7242470000000001</v>
      </c>
      <c r="E4179">
        <v>0.49583300000000002</v>
      </c>
      <c r="F4179" t="s">
        <v>78</v>
      </c>
      <c r="G4179">
        <v>-193.988</v>
      </c>
      <c r="H4179" s="1">
        <v>-5.391118E-6</v>
      </c>
      <c r="I4179">
        <v>129.3073</v>
      </c>
      <c r="J4179">
        <v>-191.001</v>
      </c>
      <c r="K4179">
        <v>1.1095029999999999</v>
      </c>
      <c r="L4179">
        <v>170.85509999999999</v>
      </c>
      <c r="M4179">
        <v>-4.3092159999999997E-2</v>
      </c>
      <c r="N4179">
        <v>-1.006983E-2</v>
      </c>
      <c r="O4179">
        <v>-0.99902049999999998</v>
      </c>
      <c r="P4179">
        <v>-7.5031440000000005E-2</v>
      </c>
      <c r="Q4179">
        <v>0.16124340000000001</v>
      </c>
      <c r="R4179">
        <v>-0.98405860000000001</v>
      </c>
      <c r="S4179">
        <v>-0.2186584</v>
      </c>
      <c r="T4179">
        <v>-8.1049919999999998E-2</v>
      </c>
      <c r="U4179">
        <v>-3.0451969999999999</v>
      </c>
      <c r="V4179">
        <v>3.2724160000000002E-2</v>
      </c>
      <c r="W4179">
        <v>0.1711356</v>
      </c>
      <c r="X4179">
        <v>0.98470389999999997</v>
      </c>
      <c r="Y4179">
        <v>2.8554800000000002E-2</v>
      </c>
      <c r="Z4179">
        <v>1.6477579999999999E-2</v>
      </c>
      <c r="AA4179">
        <v>0.99945640000000002</v>
      </c>
      <c r="AB4179">
        <v>24</v>
      </c>
      <c r="AC4179">
        <v>-2.9870000000000201</v>
      </c>
      <c r="AD4179">
        <v>-1.1095083911179999</v>
      </c>
      <c r="AE4179">
        <v>-41.547800000000002</v>
      </c>
      <c r="AF4179">
        <v>1.1929038234242499</v>
      </c>
      <c r="AG4179">
        <v>-1.1095083911179999</v>
      </c>
      <c r="AH4179">
        <v>41.608405811040299</v>
      </c>
      <c r="AI4179">
        <v>91.526830814219394</v>
      </c>
      <c r="AJ4179">
        <v>88.357792472634301</v>
      </c>
      <c r="AK4179">
        <v>41.640286532853203</v>
      </c>
      <c r="AL4179">
        <v>80.146148378286</v>
      </c>
      <c r="AM4179">
        <v>88.096619216862905</v>
      </c>
      <c r="AN4179">
        <v>1.00000001745513</v>
      </c>
    </row>
    <row r="4180" spans="1:40" x14ac:dyDescent="0.25">
      <c r="A4180" t="str">
        <f>"20190304155717196"</f>
        <v>20190304155717196</v>
      </c>
      <c r="B4180" t="str">
        <f>"1551686237188714"</f>
        <v>1551686237188714</v>
      </c>
      <c r="C4180" t="s">
        <v>40</v>
      </c>
      <c r="D4180">
        <v>4.6907459999999999</v>
      </c>
      <c r="E4180">
        <v>0.4926237</v>
      </c>
      <c r="F4180" t="s">
        <v>78</v>
      </c>
      <c r="G4180">
        <v>-193.69759999999999</v>
      </c>
      <c r="H4180" s="1">
        <v>-5.6186059999999996E-6</v>
      </c>
      <c r="I4180">
        <v>130.2115</v>
      </c>
      <c r="J4180">
        <v>-191.00989999999999</v>
      </c>
      <c r="K4180">
        <v>1.10947</v>
      </c>
      <c r="L4180">
        <v>170.66159999999999</v>
      </c>
      <c r="M4180">
        <v>-4.3601580000000001E-2</v>
      </c>
      <c r="N4180">
        <v>-1.003764E-2</v>
      </c>
      <c r="O4180">
        <v>-0.99899890000000002</v>
      </c>
      <c r="P4180">
        <v>-7.7555349999999995E-2</v>
      </c>
      <c r="Q4180">
        <v>0.1612546</v>
      </c>
      <c r="R4180">
        <v>-0.98386110000000004</v>
      </c>
      <c r="S4180">
        <v>-0.20214840000000001</v>
      </c>
      <c r="T4180">
        <v>-8.3173750000000005E-2</v>
      </c>
      <c r="U4180">
        <v>-3.0468289999999998</v>
      </c>
      <c r="V4180">
        <v>3.476303E-2</v>
      </c>
      <c r="W4180">
        <v>0.1711097</v>
      </c>
      <c r="X4180">
        <v>0.98463849999999997</v>
      </c>
      <c r="Y4180">
        <v>2.2616509999999999E-2</v>
      </c>
      <c r="Z4180">
        <v>1.7195220000000001E-2</v>
      </c>
      <c r="AA4180">
        <v>0.99959629999999999</v>
      </c>
      <c r="AB4180">
        <v>24</v>
      </c>
      <c r="AC4180">
        <v>-2.6877</v>
      </c>
      <c r="AD4180">
        <v>-1.109475618606</v>
      </c>
      <c r="AE4180">
        <v>-40.4500999999999</v>
      </c>
      <c r="AF4180">
        <v>0.92067759828992501</v>
      </c>
      <c r="AG4180">
        <v>-1.109475618606</v>
      </c>
      <c r="AH4180">
        <v>40.498488427667802</v>
      </c>
      <c r="AI4180">
        <v>91.568847855397706</v>
      </c>
      <c r="AJ4180">
        <v>88.697683345826903</v>
      </c>
      <c r="AK4180">
        <v>40.524142783212703</v>
      </c>
      <c r="AL4180">
        <v>80.147654249286305</v>
      </c>
      <c r="AM4180">
        <v>87.977990949672801</v>
      </c>
      <c r="AN4180">
        <v>0.99999998668556001</v>
      </c>
    </row>
    <row r="4181" spans="1:40" x14ac:dyDescent="0.25">
      <c r="A4181" t="str">
        <f>"20190304155717207"</f>
        <v>20190304155717207</v>
      </c>
      <c r="B4181" t="str">
        <f>"1551686237198472"</f>
        <v>1551686237198472</v>
      </c>
      <c r="C4181" t="s">
        <v>40</v>
      </c>
      <c r="D4181">
        <v>4.7329619999999997</v>
      </c>
      <c r="E4181">
        <v>0.49166989999999999</v>
      </c>
      <c r="F4181" t="s">
        <v>78</v>
      </c>
      <c r="G4181">
        <v>-193.31059999999999</v>
      </c>
      <c r="H4181" s="1">
        <v>-6.260406E-6</v>
      </c>
      <c r="I4181">
        <v>132.4967</v>
      </c>
      <c r="J4181">
        <v>-191.01570000000001</v>
      </c>
      <c r="K4181">
        <v>1.1094440000000001</v>
      </c>
      <c r="L4181">
        <v>170.53649999999999</v>
      </c>
      <c r="M4181">
        <v>-4.3946640000000002E-2</v>
      </c>
      <c r="N4181">
        <v>-1.0018620000000001E-2</v>
      </c>
      <c r="O4181">
        <v>-0.99898370000000003</v>
      </c>
      <c r="P4181">
        <v>-7.8685809999999995E-2</v>
      </c>
      <c r="Q4181">
        <v>0.16137479999999901</v>
      </c>
      <c r="R4181">
        <v>-0.98375140000000005</v>
      </c>
      <c r="S4181">
        <v>-0.1838226</v>
      </c>
      <c r="T4181">
        <v>-8.8643669999999994E-2</v>
      </c>
      <c r="U4181">
        <v>-3.049255</v>
      </c>
      <c r="V4181">
        <v>3.5564390000000001E-2</v>
      </c>
      <c r="W4181">
        <v>0.17120839999999901</v>
      </c>
      <c r="X4181">
        <v>0.98459269999999999</v>
      </c>
      <c r="Y4181">
        <v>1.6233810000000001E-2</v>
      </c>
      <c r="Z4181">
        <v>1.8985439999999999E-2</v>
      </c>
      <c r="AA4181">
        <v>0.99968800000000002</v>
      </c>
      <c r="AB4181">
        <v>24</v>
      </c>
      <c r="AC4181">
        <v>-2.2948999999999802</v>
      </c>
      <c r="AD4181">
        <v>-1.1094502604059999</v>
      </c>
      <c r="AE4181">
        <v>-38.0397999999999</v>
      </c>
      <c r="AF4181">
        <v>0.62035164787668295</v>
      </c>
      <c r="AG4181">
        <v>-1.1094502604059999</v>
      </c>
      <c r="AH4181">
        <v>38.071636164710803</v>
      </c>
      <c r="AI4181">
        <v>91.668969592365997</v>
      </c>
      <c r="AJ4181">
        <v>89.066486506591104</v>
      </c>
      <c r="AK4181">
        <v>38.092849674255902</v>
      </c>
      <c r="AL4181">
        <v>80.141914224952501</v>
      </c>
      <c r="AM4181">
        <v>87.931323342172405</v>
      </c>
      <c r="AN4181">
        <v>0.99999996347996001</v>
      </c>
    </row>
    <row r="4182" spans="1:40" x14ac:dyDescent="0.25">
      <c r="A4182" t="str">
        <f>"20190304155717219"</f>
        <v>20190304155717219</v>
      </c>
      <c r="B4182" t="str">
        <f>"1551686237209208"</f>
        <v>1551686237209208</v>
      </c>
      <c r="C4182" t="s">
        <v>40</v>
      </c>
      <c r="D4182">
        <v>4.7052339999999999</v>
      </c>
      <c r="E4182">
        <v>0.49084460000000002</v>
      </c>
      <c r="F4182" t="s">
        <v>78</v>
      </c>
      <c r="G4182">
        <v>-193.22810000000001</v>
      </c>
      <c r="H4182" s="1">
        <v>-6.3869849999999998E-6</v>
      </c>
      <c r="I4182">
        <v>132.94810000000001</v>
      </c>
      <c r="J4182">
        <v>-191.02189999999999</v>
      </c>
      <c r="K4182">
        <v>1.109421</v>
      </c>
      <c r="L4182">
        <v>170.40479999999999</v>
      </c>
      <c r="M4182">
        <v>-4.4329929999999997E-2</v>
      </c>
      <c r="N4182">
        <v>-1.000055E-2</v>
      </c>
      <c r="O4182">
        <v>-0.99896700000000005</v>
      </c>
      <c r="P4182">
        <v>-7.9854439999999999E-2</v>
      </c>
      <c r="Q4182">
        <v>0.16150590000000001</v>
      </c>
      <c r="R4182">
        <v>-0.98363599999999995</v>
      </c>
      <c r="S4182">
        <v>-0.1795197</v>
      </c>
      <c r="T4182">
        <v>-9.0022329999999998E-2</v>
      </c>
      <c r="U4182">
        <v>-3.049973</v>
      </c>
      <c r="V4182">
        <v>3.6366799999999998E-2</v>
      </c>
      <c r="W4182">
        <v>0.17131879999999999</v>
      </c>
      <c r="X4182">
        <v>0.98454419999999998</v>
      </c>
      <c r="Y4182">
        <v>1.4430449999999999E-2</v>
      </c>
      <c r="Z4182">
        <v>1.9447820000000001E-2</v>
      </c>
      <c r="AA4182">
        <v>0.99970669999999995</v>
      </c>
      <c r="AB4182">
        <v>24</v>
      </c>
      <c r="AC4182">
        <v>-2.2062000000000199</v>
      </c>
      <c r="AD4182">
        <v>-1.109427386985</v>
      </c>
      <c r="AE4182">
        <v>-37.456699999999898</v>
      </c>
      <c r="AF4182">
        <v>0.54302049017705201</v>
      </c>
      <c r="AG4182">
        <v>-1.109427386985</v>
      </c>
      <c r="AH4182">
        <v>37.484908806270802</v>
      </c>
      <c r="AI4182">
        <v>91.695089985020303</v>
      </c>
      <c r="AJ4182">
        <v>89.170049837413401</v>
      </c>
      <c r="AK4182">
        <v>37.5052541465083</v>
      </c>
      <c r="AL4182">
        <v>80.135494062380801</v>
      </c>
      <c r="AM4182">
        <v>87.884587321461893</v>
      </c>
      <c r="AN4182">
        <v>0.99999997856465905</v>
      </c>
    </row>
    <row r="4183" spans="1:40" x14ac:dyDescent="0.25">
      <c r="A4183" t="str">
        <f>"20190304155717232"</f>
        <v>20190304155717232</v>
      </c>
      <c r="B4183" t="str">
        <f>"1551686237228727"</f>
        <v>1551686237228727</v>
      </c>
      <c r="C4183" t="s">
        <v>40</v>
      </c>
      <c r="D4183">
        <v>4.7156229999999999</v>
      </c>
      <c r="E4183">
        <v>0.48987720000000001</v>
      </c>
      <c r="F4183" t="s">
        <v>78</v>
      </c>
      <c r="G4183">
        <v>-193.18379999999999</v>
      </c>
      <c r="H4183" s="1">
        <v>-6.4007859999999998E-6</v>
      </c>
      <c r="I4183">
        <v>133.0111</v>
      </c>
      <c r="J4183">
        <v>-191.02809999999999</v>
      </c>
      <c r="K4183">
        <v>1.1093980000000001</v>
      </c>
      <c r="L4183">
        <v>170.27359999999999</v>
      </c>
      <c r="M4183">
        <v>-4.4721570000000002E-2</v>
      </c>
      <c r="N4183">
        <v>-9.9833119999999994E-3</v>
      </c>
      <c r="O4183">
        <v>-0.99894989999999995</v>
      </c>
      <c r="P4183">
        <v>-8.1051280000000003E-2</v>
      </c>
      <c r="Q4183">
        <v>0.16146549999999901</v>
      </c>
      <c r="R4183">
        <v>-0.9835448</v>
      </c>
      <c r="S4183">
        <v>-0.17636109999999999</v>
      </c>
      <c r="T4183">
        <v>-9.0503689999999998E-2</v>
      </c>
      <c r="U4183">
        <v>-3.0504609999999999</v>
      </c>
      <c r="V4183">
        <v>3.718805E-2</v>
      </c>
      <c r="W4183">
        <v>0.17125870000000001</v>
      </c>
      <c r="X4183">
        <v>0.98452399999999995</v>
      </c>
      <c r="Y4183">
        <v>1.299752E-2</v>
      </c>
      <c r="Z4183">
        <v>1.9617889999999999E-2</v>
      </c>
      <c r="AA4183">
        <v>0.99972309999999998</v>
      </c>
      <c r="AB4183">
        <v>24</v>
      </c>
      <c r="AC4183">
        <v>-2.1556999999999902</v>
      </c>
      <c r="AD4183">
        <v>-1.10940440078599</v>
      </c>
      <c r="AE4183">
        <v>-37.262499999999903</v>
      </c>
      <c r="AF4183">
        <v>0.48659304131454201</v>
      </c>
      <c r="AG4183">
        <v>-1.10940440078599</v>
      </c>
      <c r="AH4183">
        <v>37.288682973233399</v>
      </c>
      <c r="AI4183">
        <v>91.704003286733197</v>
      </c>
      <c r="AJ4183">
        <v>89.252369806547506</v>
      </c>
      <c r="AK4183">
        <v>37.308356018332503</v>
      </c>
      <c r="AL4183">
        <v>80.138989407114707</v>
      </c>
      <c r="AM4183">
        <v>87.836816744870703</v>
      </c>
      <c r="AN4183">
        <v>0.99999999998224598</v>
      </c>
    </row>
    <row r="4184" spans="1:40" x14ac:dyDescent="0.25">
      <c r="A4184" t="str">
        <f>"20190304155717246"</f>
        <v>20190304155717246</v>
      </c>
      <c r="B4184" t="str">
        <f>"1551686237238487"</f>
        <v>1551686237238487</v>
      </c>
      <c r="C4184" t="s">
        <v>40</v>
      </c>
      <c r="D4184">
        <v>4.7579500000000001</v>
      </c>
      <c r="E4184">
        <v>0.4890525</v>
      </c>
      <c r="F4184" t="s">
        <v>78</v>
      </c>
      <c r="G4184">
        <v>-193.0539</v>
      </c>
      <c r="H4184" s="1">
        <v>-6.82297699999999E-6</v>
      </c>
      <c r="I4184">
        <v>134.38929999999999</v>
      </c>
      <c r="J4184">
        <v>-191.03530000000001</v>
      </c>
      <c r="K4184">
        <v>1.1093759999999999</v>
      </c>
      <c r="L4184">
        <v>170.12389999999999</v>
      </c>
      <c r="M4184">
        <v>-4.5195289999999999E-2</v>
      </c>
      <c r="N4184">
        <v>-9.9654270000000007E-3</v>
      </c>
      <c r="O4184">
        <v>-0.9989285</v>
      </c>
      <c r="P4184">
        <v>-8.2184720000000003E-2</v>
      </c>
      <c r="Q4184">
        <v>0.16151160000000001</v>
      </c>
      <c r="R4184">
        <v>-0.98344290000000001</v>
      </c>
      <c r="S4184">
        <v>-0.1722717</v>
      </c>
      <c r="T4184">
        <v>-9.4339489999999998E-2</v>
      </c>
      <c r="U4184">
        <v>-3.0514679999999998</v>
      </c>
      <c r="V4184">
        <v>3.7867600000000001E-2</v>
      </c>
      <c r="W4184">
        <v>0.17128350000000001</v>
      </c>
      <c r="X4184">
        <v>0.98449379999999997</v>
      </c>
      <c r="Y4184">
        <v>1.1167760000000001E-2</v>
      </c>
      <c r="Z4184">
        <v>2.087901E-2</v>
      </c>
      <c r="AA4184">
        <v>0.99971960000000004</v>
      </c>
      <c r="AB4184">
        <v>24</v>
      </c>
      <c r="AC4184">
        <v>-2.01859999999999</v>
      </c>
      <c r="AD4184">
        <v>-1.109382822977</v>
      </c>
      <c r="AE4184">
        <v>-35.7346</v>
      </c>
      <c r="AF4184">
        <v>0.401036091162155</v>
      </c>
      <c r="AG4184">
        <v>-1.109382822977</v>
      </c>
      <c r="AH4184">
        <v>35.754966582815001</v>
      </c>
      <c r="AI4184">
        <v>91.777055893013696</v>
      </c>
      <c r="AJ4184">
        <v>89.357384045794106</v>
      </c>
      <c r="AK4184">
        <v>35.774420967117699</v>
      </c>
      <c r="AL4184">
        <v>80.137547334269499</v>
      </c>
      <c r="AM4184">
        <v>87.797259239732099</v>
      </c>
      <c r="AN4184">
        <v>1.0000000173702199</v>
      </c>
    </row>
    <row r="4185" spans="1:40" x14ac:dyDescent="0.25">
      <c r="A4185" t="str">
        <f>"20190304155717264"</f>
        <v>20190304155717264</v>
      </c>
      <c r="B4185" t="str">
        <f>"1551686237258983"</f>
        <v>1551686237258983</v>
      </c>
      <c r="C4185" t="s">
        <v>40</v>
      </c>
      <c r="D4185">
        <v>4.7431910000000004</v>
      </c>
      <c r="E4185">
        <v>0.48785869999999998</v>
      </c>
      <c r="F4185" t="s">
        <v>78</v>
      </c>
      <c r="G4185">
        <v>-192.9615</v>
      </c>
      <c r="H4185" s="1">
        <v>-7.1222570000000003E-6</v>
      </c>
      <c r="I4185">
        <v>135.3663</v>
      </c>
      <c r="J4185">
        <v>-191.04490000000001</v>
      </c>
      <c r="K4185">
        <v>1.1093390000000001</v>
      </c>
      <c r="L4185">
        <v>169.92750000000001</v>
      </c>
      <c r="M4185">
        <v>-4.5852150000000001E-2</v>
      </c>
      <c r="N4185">
        <v>-9.9442620000000006E-3</v>
      </c>
      <c r="O4185">
        <v>-0.99889870000000003</v>
      </c>
      <c r="P4185">
        <v>-8.3934640000000005E-2</v>
      </c>
      <c r="Q4185">
        <v>0.16145799999999999</v>
      </c>
      <c r="R4185">
        <v>-0.98330399999999996</v>
      </c>
      <c r="S4185">
        <v>-0.1691589</v>
      </c>
      <c r="T4185">
        <v>-9.7424750000000004E-2</v>
      </c>
      <c r="U4185">
        <v>-3.052368</v>
      </c>
      <c r="V4185">
        <v>3.8987630000000002E-2</v>
      </c>
      <c r="W4185">
        <v>0.17120369999999999</v>
      </c>
      <c r="X4185">
        <v>0.98446389999999995</v>
      </c>
      <c r="Y4185">
        <v>9.4763899999999995E-3</v>
      </c>
      <c r="Z4185">
        <v>2.1897940000000001E-2</v>
      </c>
      <c r="AA4185">
        <v>0.99971529999999997</v>
      </c>
      <c r="AB4185">
        <v>24</v>
      </c>
      <c r="AC4185">
        <v>-1.9165999999999801</v>
      </c>
      <c r="AD4185">
        <v>-1.10934612225699</v>
      </c>
      <c r="AE4185">
        <v>-34.561199999999999</v>
      </c>
      <c r="AF4185">
        <v>0.32946184374369802</v>
      </c>
      <c r="AG4185">
        <v>-1.10934612225699</v>
      </c>
      <c r="AH4185">
        <v>34.577215694105803</v>
      </c>
      <c r="AI4185">
        <v>91.837515616600101</v>
      </c>
      <c r="AJ4185">
        <v>89.454085543167807</v>
      </c>
      <c r="AK4185">
        <v>34.596575539815603</v>
      </c>
      <c r="AL4185">
        <v>80.142187479178503</v>
      </c>
      <c r="AM4185">
        <v>87.732105857014801</v>
      </c>
      <c r="AN4185">
        <v>0.99999995629495697</v>
      </c>
    </row>
    <row r="4186" spans="1:40" x14ac:dyDescent="0.25">
      <c r="A4186" t="str">
        <f>"20190304155717285"</f>
        <v>20190304155717285</v>
      </c>
      <c r="B4186" t="str">
        <f>"1551686237278504"</f>
        <v>1551686237278504</v>
      </c>
      <c r="C4186" t="s">
        <v>40</v>
      </c>
      <c r="D4186">
        <v>4.752364</v>
      </c>
      <c r="E4186">
        <v>0.48715910000000001</v>
      </c>
      <c r="F4186" t="s">
        <v>78</v>
      </c>
      <c r="G4186">
        <v>-192.8595</v>
      </c>
      <c r="H4186" s="1">
        <v>-7.4238059999999997E-6</v>
      </c>
      <c r="I4186">
        <v>136.35489999999999</v>
      </c>
      <c r="J4186">
        <v>-191.05619999999999</v>
      </c>
      <c r="K4186">
        <v>1.109294</v>
      </c>
      <c r="L4186">
        <v>169.69909999999999</v>
      </c>
      <c r="M4186">
        <v>-4.6670910000000003E-2</v>
      </c>
      <c r="N4186">
        <v>-9.922798E-3</v>
      </c>
      <c r="O4186">
        <v>-0.998861</v>
      </c>
      <c r="P4186">
        <v>-8.5691740000000002E-2</v>
      </c>
      <c r="Q4186">
        <v>0.16106679999999901</v>
      </c>
      <c r="R4186">
        <v>-0.9832166</v>
      </c>
      <c r="S4186">
        <v>-0.16503909999999999</v>
      </c>
      <c r="T4186">
        <v>-0.1008946</v>
      </c>
      <c r="U4186">
        <v>-3.0534210000000002</v>
      </c>
      <c r="V4186">
        <v>3.9956180000000001E-2</v>
      </c>
      <c r="W4186">
        <v>0.17078650000000001</v>
      </c>
      <c r="X4186">
        <v>0.98449759999999997</v>
      </c>
      <c r="Y4186">
        <v>7.2918610000000002E-3</v>
      </c>
      <c r="Z4186">
        <v>2.304018E-2</v>
      </c>
      <c r="AA4186">
        <v>0.99970789999999998</v>
      </c>
      <c r="AB4186">
        <v>24</v>
      </c>
      <c r="AC4186">
        <v>-1.8032999999999999</v>
      </c>
      <c r="AD4186">
        <v>-1.1093014238059999</v>
      </c>
      <c r="AE4186">
        <v>-33.344200000000001</v>
      </c>
      <c r="AF4186">
        <v>0.24478382677300001</v>
      </c>
      <c r="AG4186">
        <v>-1.1093014238059999</v>
      </c>
      <c r="AH4186">
        <v>33.355218692526101</v>
      </c>
      <c r="AI4186">
        <v>91.904744311649097</v>
      </c>
      <c r="AJ4186">
        <v>89.579531211467796</v>
      </c>
      <c r="AK4186">
        <v>33.374557417244603</v>
      </c>
      <c r="AL4186">
        <v>80.1664492792803</v>
      </c>
      <c r="AM4186">
        <v>87.675906215421307</v>
      </c>
      <c r="AN4186">
        <v>1.0000000246541001</v>
      </c>
    </row>
    <row r="4187" spans="1:40" x14ac:dyDescent="0.25">
      <c r="A4187" t="str">
        <f>"20190304155717298"</f>
        <v>20190304155717298</v>
      </c>
      <c r="B4187" t="str">
        <f>"1551686237289240"</f>
        <v>1551686237289240</v>
      </c>
      <c r="C4187" t="s">
        <v>40</v>
      </c>
      <c r="D4187">
        <v>4.7731649999999997</v>
      </c>
      <c r="E4187">
        <v>0.48684620000000001</v>
      </c>
      <c r="F4187" t="s">
        <v>78</v>
      </c>
      <c r="G4187">
        <v>-192.8211</v>
      </c>
      <c r="H4187" s="1">
        <v>-7.6315380000000003E-6</v>
      </c>
      <c r="I4187">
        <v>137.0215</v>
      </c>
      <c r="J4187">
        <v>-191.06290000000001</v>
      </c>
      <c r="K4187">
        <v>1.109264</v>
      </c>
      <c r="L4187">
        <v>169.56700000000001</v>
      </c>
      <c r="M4187">
        <v>-4.7177360000000002E-2</v>
      </c>
      <c r="N4187">
        <v>-9.9120059999999992E-3</v>
      </c>
      <c r="O4187">
        <v>-0.99883750000000004</v>
      </c>
      <c r="P4187">
        <v>-8.6579649999999994E-2</v>
      </c>
      <c r="Q4187">
        <v>0.16106309999999999</v>
      </c>
      <c r="R4187">
        <v>-0.98313930000000005</v>
      </c>
      <c r="S4187">
        <v>-0.164932299999999</v>
      </c>
      <c r="T4187">
        <v>-0.1036676</v>
      </c>
      <c r="U4187">
        <v>-3.0538180000000001</v>
      </c>
      <c r="V4187">
        <v>4.03583E-2</v>
      </c>
      <c r="W4187">
        <v>0.17076859999999999</v>
      </c>
      <c r="X4187">
        <v>0.98448429999999998</v>
      </c>
      <c r="Y4187">
        <v>6.7419289999999998E-3</v>
      </c>
      <c r="Z4187">
        <v>2.3950340000000001E-2</v>
      </c>
      <c r="AA4187">
        <v>0.99969039999999998</v>
      </c>
      <c r="AB4187">
        <v>24</v>
      </c>
      <c r="AC4187">
        <v>-1.75819999999998</v>
      </c>
      <c r="AD4187">
        <v>-1.109271631538</v>
      </c>
      <c r="AE4187">
        <v>-32.545499999999997</v>
      </c>
      <c r="AF4187">
        <v>0.22050072365548001</v>
      </c>
      <c r="AG4187">
        <v>-1.109271631538</v>
      </c>
      <c r="AH4187">
        <v>32.554500750281399</v>
      </c>
      <c r="AI4187">
        <v>91.951513452827399</v>
      </c>
      <c r="AJ4187">
        <v>89.611925621397901</v>
      </c>
      <c r="AK4187">
        <v>32.574140406490201</v>
      </c>
      <c r="AL4187">
        <v>80.167490138718705</v>
      </c>
      <c r="AM4187">
        <v>87.652510835332606</v>
      </c>
      <c r="AN4187">
        <v>1.00000002203566</v>
      </c>
    </row>
    <row r="4188" spans="1:40" x14ac:dyDescent="0.25">
      <c r="A4188" t="str">
        <f>"20190304155717309"</f>
        <v>20190304155717309</v>
      </c>
      <c r="B4188" t="str">
        <f>"1551686237299000"</f>
        <v>1551686237299000</v>
      </c>
      <c r="C4188" t="s">
        <v>40</v>
      </c>
      <c r="D4188">
        <v>4.7547699999999997</v>
      </c>
      <c r="E4188">
        <v>0.48616939999999997</v>
      </c>
      <c r="F4188" t="s">
        <v>78</v>
      </c>
      <c r="G4188">
        <v>-192.8245</v>
      </c>
      <c r="H4188" s="1">
        <v>-7.6263000000000001E-6</v>
      </c>
      <c r="I4188">
        <v>137.00360000000001</v>
      </c>
      <c r="J4188">
        <v>-191.06970000000001</v>
      </c>
      <c r="K4188">
        <v>1.109227</v>
      </c>
      <c r="L4188">
        <v>169.43350000000001</v>
      </c>
      <c r="M4188">
        <v>-4.770344E-2</v>
      </c>
      <c r="N4188">
        <v>-9.9017619999999997E-3</v>
      </c>
      <c r="O4188">
        <v>-0.9988127</v>
      </c>
      <c r="P4188">
        <v>-8.736911E-2</v>
      </c>
      <c r="Q4188">
        <v>0.16091029999999901</v>
      </c>
      <c r="R4188">
        <v>-0.98309460000000004</v>
      </c>
      <c r="S4188">
        <v>-0.16520689999999999</v>
      </c>
      <c r="T4188">
        <v>-0.1040325</v>
      </c>
      <c r="U4188">
        <v>-3.0539399999999999</v>
      </c>
      <c r="V4188">
        <v>4.064152E-2</v>
      </c>
      <c r="W4188">
        <v>0.17060229999999901</v>
      </c>
      <c r="X4188">
        <v>0.98450150000000003</v>
      </c>
      <c r="Y4188">
        <v>6.302673E-3</v>
      </c>
      <c r="Z4188">
        <v>2.4077100000000001E-2</v>
      </c>
      <c r="AA4188">
        <v>0.99969019999999997</v>
      </c>
      <c r="AB4188">
        <v>24</v>
      </c>
      <c r="AC4188">
        <v>-1.7547999999999799</v>
      </c>
      <c r="AD4188">
        <v>-1.1092346262999999</v>
      </c>
      <c r="AE4188">
        <v>-32.429900000000004</v>
      </c>
      <c r="AF4188">
        <v>0.205469092745375</v>
      </c>
      <c r="AG4188">
        <v>-1.1092346262999999</v>
      </c>
      <c r="AH4188">
        <v>32.438850406626898</v>
      </c>
      <c r="AI4188">
        <v>91.958405890658995</v>
      </c>
      <c r="AJ4188">
        <v>89.637090887846995</v>
      </c>
      <c r="AK4188">
        <v>32.458460140736499</v>
      </c>
      <c r="AL4188">
        <v>80.177160516450201</v>
      </c>
      <c r="AM4188">
        <v>87.636096879679201</v>
      </c>
      <c r="AN4188">
        <v>1.0000000407077201</v>
      </c>
    </row>
    <row r="4189" spans="1:40" x14ac:dyDescent="0.25">
      <c r="A4189" t="str">
        <f>"20190304155717321"</f>
        <v>20190304155717321</v>
      </c>
      <c r="B4189" t="str">
        <f>"1551686237319029"</f>
        <v>1551686237319029</v>
      </c>
      <c r="C4189" t="s">
        <v>40</v>
      </c>
      <c r="D4189">
        <v>4.7951670000000002</v>
      </c>
      <c r="E4189">
        <v>0.48513279999999998</v>
      </c>
      <c r="F4189" t="s">
        <v>78</v>
      </c>
      <c r="G4189">
        <v>-192.76849999999999</v>
      </c>
      <c r="H4189" s="1">
        <v>-7.7714880000000006E-6</v>
      </c>
      <c r="I4189">
        <v>137.48259999999999</v>
      </c>
      <c r="J4189">
        <v>-191.07640000000001</v>
      </c>
      <c r="K4189">
        <v>1.1091959999999901</v>
      </c>
      <c r="L4189">
        <v>169.3056</v>
      </c>
      <c r="M4189">
        <v>-4.8249060000000003E-2</v>
      </c>
      <c r="N4189">
        <v>-9.8934179999999993E-3</v>
      </c>
      <c r="O4189">
        <v>-0.99878630000000002</v>
      </c>
      <c r="P4189">
        <v>-8.8037299999999999E-2</v>
      </c>
      <c r="Q4189">
        <v>0.16085150000000001</v>
      </c>
      <c r="R4189">
        <v>-0.98304449999999999</v>
      </c>
      <c r="S4189">
        <v>-0.1623993</v>
      </c>
      <c r="T4189">
        <v>-0.10604329999999999</v>
      </c>
      <c r="U4189">
        <v>-3.0545200000000001</v>
      </c>
      <c r="V4189">
        <v>4.0785509999999997E-2</v>
      </c>
      <c r="W4189">
        <v>0.17053279999999901</v>
      </c>
      <c r="X4189">
        <v>0.98450760000000004</v>
      </c>
      <c r="Y4189">
        <v>4.8293579999999997E-3</v>
      </c>
      <c r="Z4189">
        <v>2.4734280000000001E-2</v>
      </c>
      <c r="AA4189">
        <v>0.99968239999999997</v>
      </c>
      <c r="AB4189">
        <v>24</v>
      </c>
      <c r="AC4189">
        <v>-1.69209999999998</v>
      </c>
      <c r="AD4189">
        <v>-1.1092037714880001</v>
      </c>
      <c r="AE4189">
        <v>-31.823</v>
      </c>
      <c r="AF4189">
        <v>0.15443693872420999</v>
      </c>
      <c r="AG4189">
        <v>-1.1092037714880001</v>
      </c>
      <c r="AH4189">
        <v>31.8290194471648</v>
      </c>
      <c r="AI4189">
        <v>91.995859137238099</v>
      </c>
      <c r="AJ4189">
        <v>89.721998493679806</v>
      </c>
      <c r="AK4189">
        <v>31.848715244774301</v>
      </c>
      <c r="AL4189">
        <v>80.181201926497195</v>
      </c>
      <c r="AM4189">
        <v>87.627745973108304</v>
      </c>
      <c r="AN4189">
        <v>1.00000005407977</v>
      </c>
    </row>
    <row r="4190" spans="1:40" x14ac:dyDescent="0.25">
      <c r="A4190" t="str">
        <f>"20190304155717333"</f>
        <v>20190304155717333</v>
      </c>
      <c r="B4190" t="str">
        <f>"1551686237328788"</f>
        <v>1551686237328788</v>
      </c>
      <c r="C4190" t="s">
        <v>40</v>
      </c>
      <c r="D4190">
        <v>4.804691</v>
      </c>
      <c r="E4190">
        <v>0.48462490000000003</v>
      </c>
      <c r="F4190" t="s">
        <v>78</v>
      </c>
      <c r="G4190">
        <v>-192.67699999999999</v>
      </c>
      <c r="H4190" s="1">
        <v>-7.9383169999999997E-6</v>
      </c>
      <c r="I4190">
        <v>138.04519999999999</v>
      </c>
      <c r="J4190">
        <v>-191.08340000000001</v>
      </c>
      <c r="K4190">
        <v>1.1091599999999999</v>
      </c>
      <c r="L4190">
        <v>169.17410000000001</v>
      </c>
      <c r="M4190">
        <v>-4.8825199999999902E-2</v>
      </c>
      <c r="N4190">
        <v>-9.8852899999999997E-3</v>
      </c>
      <c r="O4190">
        <v>-0.99875849999999999</v>
      </c>
      <c r="P4190">
        <v>-8.8880810000000005E-2</v>
      </c>
      <c r="Q4190">
        <v>0.1611195</v>
      </c>
      <c r="R4190">
        <v>-0.98292480000000004</v>
      </c>
      <c r="S4190">
        <v>-0.15644839999999999</v>
      </c>
      <c r="T4190">
        <v>-0.108418</v>
      </c>
      <c r="U4190">
        <v>-3.0555110000000001</v>
      </c>
      <c r="V4190">
        <v>4.1079409999999997E-2</v>
      </c>
      <c r="W4190">
        <v>0.17078789999999999</v>
      </c>
      <c r="X4190">
        <v>0.98445110000000002</v>
      </c>
      <c r="Y4190">
        <v>2.2931679999999999E-3</v>
      </c>
      <c r="Z4190">
        <v>2.5505400000000001E-2</v>
      </c>
      <c r="AA4190">
        <v>0.99967209999999995</v>
      </c>
      <c r="AB4190">
        <v>24</v>
      </c>
      <c r="AC4190">
        <v>-1.5935999999999999</v>
      </c>
      <c r="AD4190">
        <v>-1.1091679383169999</v>
      </c>
      <c r="AE4190">
        <v>-31.128900000000002</v>
      </c>
      <c r="AF4190">
        <v>7.16595361648069E-2</v>
      </c>
      <c r="AG4190">
        <v>-1.1091679383169999</v>
      </c>
      <c r="AH4190">
        <v>31.130162217932</v>
      </c>
      <c r="AI4190">
        <v>92.0405804838894</v>
      </c>
      <c r="AJ4190">
        <v>89.868109208575802</v>
      </c>
      <c r="AK4190">
        <v>31.149998207371901</v>
      </c>
      <c r="AL4190">
        <v>80.166367589517506</v>
      </c>
      <c r="AM4190">
        <v>87.6105343034843</v>
      </c>
      <c r="AN4190">
        <v>0.99999999650178395</v>
      </c>
    </row>
    <row r="4191" spans="1:40" x14ac:dyDescent="0.25">
      <c r="A4191" t="str">
        <f>"20190304155717346"</f>
        <v>20190304155717346</v>
      </c>
      <c r="B4191" t="str">
        <f>"1551686237338548"</f>
        <v>1551686237338548</v>
      </c>
      <c r="C4191" t="s">
        <v>40</v>
      </c>
      <c r="D4191">
        <v>4.7981290000000003</v>
      </c>
      <c r="E4191">
        <v>0.48417969999999999</v>
      </c>
      <c r="F4191" t="s">
        <v>78</v>
      </c>
      <c r="G4191">
        <v>-192.6651</v>
      </c>
      <c r="H4191" s="1">
        <v>-7.9231870000000001E-6</v>
      </c>
      <c r="I4191">
        <v>138.0033</v>
      </c>
      <c r="J4191">
        <v>-191.0907</v>
      </c>
      <c r="K4191">
        <v>1.1091200000000001</v>
      </c>
      <c r="L4191">
        <v>169.03649999999999</v>
      </c>
      <c r="M4191">
        <v>-4.9463859999999998E-2</v>
      </c>
      <c r="N4191">
        <v>-9.8778359999999992E-3</v>
      </c>
      <c r="O4191">
        <v>-0.99872709999999998</v>
      </c>
      <c r="P4191">
        <v>-8.9588280000000006E-2</v>
      </c>
      <c r="Q4191">
        <v>0.161407299999999</v>
      </c>
      <c r="R4191">
        <v>-0.9828131</v>
      </c>
      <c r="S4191">
        <v>-0.15507509999999999</v>
      </c>
      <c r="T4191">
        <v>-0.1087404</v>
      </c>
      <c r="U4191">
        <v>-3.0559229999999999</v>
      </c>
      <c r="V4191">
        <v>4.1177419999999999E-2</v>
      </c>
      <c r="W4191">
        <v>0.17106370000000001</v>
      </c>
      <c r="X4191">
        <v>0.98439909999999997</v>
      </c>
      <c r="Y4191">
        <v>1.198848E-3</v>
      </c>
      <c r="Z4191">
        <v>2.5611990000000001E-2</v>
      </c>
      <c r="AA4191">
        <v>0.99967119999999998</v>
      </c>
      <c r="AB4191">
        <v>24</v>
      </c>
      <c r="AC4191">
        <v>-1.57439999999999</v>
      </c>
      <c r="AD4191">
        <v>-1.1091279231869999</v>
      </c>
      <c r="AE4191">
        <v>-31.033199999999901</v>
      </c>
      <c r="AF4191">
        <v>3.7328349339291501E-2</v>
      </c>
      <c r="AG4191">
        <v>-1.1091279231869999</v>
      </c>
      <c r="AH4191">
        <v>31.033549727240199</v>
      </c>
      <c r="AI4191">
        <v>92.046857902769503</v>
      </c>
      <c r="AJ4191">
        <v>89.931082462023696</v>
      </c>
      <c r="AK4191">
        <v>31.053385754676501</v>
      </c>
      <c r="AL4191">
        <v>80.150329216972395</v>
      </c>
      <c r="AM4191">
        <v>87.604713613314104</v>
      </c>
      <c r="AN4191">
        <v>0.99999997872817703</v>
      </c>
    </row>
    <row r="4192" spans="1:40" x14ac:dyDescent="0.25">
      <c r="A4192" t="str">
        <f>"20190304155717359"</f>
        <v>20190304155717359</v>
      </c>
      <c r="B4192" t="str">
        <f>"1551686237349285"</f>
        <v>1551686237349285</v>
      </c>
      <c r="C4192" t="s">
        <v>40</v>
      </c>
      <c r="D4192">
        <v>4.7468849999999998</v>
      </c>
      <c r="E4192">
        <v>0.48417969999999999</v>
      </c>
      <c r="F4192" t="s">
        <v>78</v>
      </c>
      <c r="G4192">
        <v>-192.65989999999999</v>
      </c>
      <c r="H4192" s="1">
        <v>-7.9002189999999997E-6</v>
      </c>
      <c r="I4192">
        <v>137.93379999999999</v>
      </c>
      <c r="J4192">
        <v>-191.09790000000001</v>
      </c>
      <c r="K4192">
        <v>1.109081</v>
      </c>
      <c r="L4192">
        <v>168.905</v>
      </c>
      <c r="M4192">
        <v>-5.0108430000000002E-2</v>
      </c>
      <c r="N4192">
        <v>-9.8715939999999992E-3</v>
      </c>
      <c r="O4192">
        <v>-0.99869509999999995</v>
      </c>
      <c r="P4192">
        <v>-9.0205129999999994E-2</v>
      </c>
      <c r="Q4192">
        <v>0.16166759999999999</v>
      </c>
      <c r="R4192">
        <v>-0.98271410000000003</v>
      </c>
      <c r="S4192">
        <v>-0.1541901</v>
      </c>
      <c r="T4192">
        <v>-0.1089884</v>
      </c>
      <c r="U4192">
        <v>-3.056305</v>
      </c>
      <c r="V4192">
        <v>4.1178319999999997E-2</v>
      </c>
      <c r="W4192">
        <v>0.1713141</v>
      </c>
      <c r="X4192">
        <v>0.98435550000000005</v>
      </c>
      <c r="Y4192">
        <v>2.5851710000000003E-4</v>
      </c>
      <c r="Z4192">
        <v>2.5693250000000001E-2</v>
      </c>
      <c r="AA4192">
        <v>0.99966980000000005</v>
      </c>
      <c r="AB4192">
        <v>24</v>
      </c>
      <c r="AC4192">
        <v>-1.5619999999999801</v>
      </c>
      <c r="AD4192">
        <v>-1.1090889002190001</v>
      </c>
      <c r="AE4192">
        <v>-30.9712</v>
      </c>
      <c r="AF4192">
        <v>8.0336540420695695E-3</v>
      </c>
      <c r="AG4192">
        <v>-1.1090889002190001</v>
      </c>
      <c r="AH4192">
        <v>30.970947107915698</v>
      </c>
      <c r="AI4192">
        <v>92.050921069765806</v>
      </c>
      <c r="AJ4192">
        <v>89.985137862954204</v>
      </c>
      <c r="AK4192">
        <v>30.990800368649701</v>
      </c>
      <c r="AL4192">
        <v>80.135767234792596</v>
      </c>
      <c r="AM4192">
        <v>87.604555348376905</v>
      </c>
      <c r="AN4192">
        <v>0.99999996263853996</v>
      </c>
    </row>
    <row r="4193" spans="1:40" x14ac:dyDescent="0.25">
      <c r="A4193" t="str">
        <f>"20190304155717374"</f>
        <v>20190304155717374</v>
      </c>
      <c r="B4193" t="str">
        <f>"1551686237368804"</f>
        <v>1551686237368804</v>
      </c>
      <c r="C4193" t="s">
        <v>40</v>
      </c>
      <c r="D4193">
        <v>4.819293</v>
      </c>
      <c r="E4193">
        <v>0.47451749999999998</v>
      </c>
      <c r="F4193" t="s">
        <v>78</v>
      </c>
      <c r="G4193">
        <v>-192.69909999999999</v>
      </c>
      <c r="H4193" s="1">
        <v>-7.7897279999999992E-6</v>
      </c>
      <c r="I4193">
        <v>137.57079999999999</v>
      </c>
      <c r="J4193">
        <v>-191.10759999999999</v>
      </c>
      <c r="K4193">
        <v>1.1090260000000001</v>
      </c>
      <c r="L4193">
        <v>168.73050000000001</v>
      </c>
      <c r="M4193">
        <v>-5.1001369999999997E-2</v>
      </c>
      <c r="N4193">
        <v>-9.8642160000000003E-3</v>
      </c>
      <c r="O4193">
        <v>-0.99865000000000004</v>
      </c>
      <c r="P4193">
        <v>-9.0976899999999999E-2</v>
      </c>
      <c r="Q4193">
        <v>0.16195880000000001</v>
      </c>
      <c r="R4193">
        <v>-0.9825952</v>
      </c>
      <c r="S4193">
        <v>-0.1561737</v>
      </c>
      <c r="T4193">
        <v>-0.1081768</v>
      </c>
      <c r="U4193">
        <v>-3.0562290000000001</v>
      </c>
      <c r="V4193">
        <v>4.1095649999999997E-2</v>
      </c>
      <c r="W4193">
        <v>0.17159269999999999</v>
      </c>
      <c r="X4193">
        <v>0.98431040000000003</v>
      </c>
      <c r="Y4193" s="1">
        <v>1.3209909999999999E-5</v>
      </c>
      <c r="Z4193">
        <v>2.5434450000000001E-2</v>
      </c>
      <c r="AA4193">
        <v>0.99967649999999997</v>
      </c>
      <c r="AB4193">
        <v>24</v>
      </c>
      <c r="AC4193">
        <v>-1.5914999999999899</v>
      </c>
      <c r="AD4193">
        <v>-1.109033789728</v>
      </c>
      <c r="AE4193">
        <v>-31.159700000000001</v>
      </c>
      <c r="AF4193">
        <v>1.63887103264315E-4</v>
      </c>
      <c r="AG4193">
        <v>-1.109033789728</v>
      </c>
      <c r="AH4193">
        <v>31.160945407452999</v>
      </c>
      <c r="AI4193">
        <v>92.038325391398502</v>
      </c>
      <c r="AJ4193">
        <v>89.999698659998501</v>
      </c>
      <c r="AK4193">
        <v>31.1806746985995</v>
      </c>
      <c r="AL4193">
        <v>80.119564434275006</v>
      </c>
      <c r="AM4193">
        <v>87.609249471957398</v>
      </c>
      <c r="AN4193">
        <v>0.99999993534518405</v>
      </c>
    </row>
    <row r="4194" spans="1:40" x14ac:dyDescent="0.25">
      <c r="A4194" t="str">
        <f>"20190304155717386"</f>
        <v>20190304155717386</v>
      </c>
      <c r="B4194" t="str">
        <f>"1551686237378564"</f>
        <v>1551686237378564</v>
      </c>
      <c r="C4194" t="s">
        <v>40</v>
      </c>
      <c r="D4194">
        <v>4.7701129999999896</v>
      </c>
      <c r="E4194">
        <v>0.47508339999999999</v>
      </c>
      <c r="F4194" t="s">
        <v>78</v>
      </c>
      <c r="G4194">
        <v>-191.7731</v>
      </c>
      <c r="H4194" s="1">
        <v>-9.5434129999999997E-6</v>
      </c>
      <c r="I4194">
        <v>144.05680000000001</v>
      </c>
      <c r="J4194">
        <v>-191.1155</v>
      </c>
      <c r="K4194">
        <v>1.1089800000000001</v>
      </c>
      <c r="L4194">
        <v>168.5899</v>
      </c>
      <c r="M4194">
        <v>-5.17619E-2</v>
      </c>
      <c r="N4194">
        <v>-9.8591340000000003E-3</v>
      </c>
      <c r="O4194">
        <v>-0.99861120000000003</v>
      </c>
      <c r="P4194">
        <v>-9.1395829999999997E-2</v>
      </c>
      <c r="Q4194">
        <v>0.1619485</v>
      </c>
      <c r="R4194">
        <v>-0.98255809999999999</v>
      </c>
      <c r="S4194">
        <v>-8.2763669999999998E-2</v>
      </c>
      <c r="T4194">
        <v>-0.13790920000000001</v>
      </c>
      <c r="U4194">
        <v>-3.0681919999999998</v>
      </c>
      <c r="V4194">
        <v>4.0783079999999999E-2</v>
      </c>
      <c r="W4194">
        <v>0.1715739</v>
      </c>
      <c r="X4194">
        <v>0.9843267</v>
      </c>
      <c r="Y4194">
        <v>-2.4826580000000001E-2</v>
      </c>
      <c r="Z4194">
        <v>3.4952919999999998E-2</v>
      </c>
      <c r="AA4194">
        <v>0.99908050000000004</v>
      </c>
      <c r="AB4194">
        <v>24</v>
      </c>
      <c r="AC4194">
        <v>-0.65760000000000196</v>
      </c>
      <c r="AD4194">
        <v>-1.1089895434129999</v>
      </c>
      <c r="AE4194">
        <v>-24.533099999999902</v>
      </c>
      <c r="AF4194">
        <v>-0.61197309637185604</v>
      </c>
      <c r="AG4194">
        <v>-1.1089895434129999</v>
      </c>
      <c r="AH4194">
        <v>24.484254532839401</v>
      </c>
      <c r="AI4194">
        <v>92.592573273071594</v>
      </c>
      <c r="AJ4194">
        <v>91.431784519969497</v>
      </c>
      <c r="AK4194">
        <v>24.5169959192995</v>
      </c>
      <c r="AL4194">
        <v>80.120658031797902</v>
      </c>
      <c r="AM4194">
        <v>87.627451700673902</v>
      </c>
      <c r="AN4194">
        <v>0.99999995755419202</v>
      </c>
    </row>
    <row r="4195" spans="1:40" x14ac:dyDescent="0.25">
      <c r="A4195" t="str">
        <f>"20190304155717399"</f>
        <v>20190304155717399</v>
      </c>
      <c r="B4195" t="str">
        <f>"1551686237389300"</f>
        <v>1551686237389300</v>
      </c>
      <c r="C4195" t="s">
        <v>40</v>
      </c>
      <c r="D4195">
        <v>4.7659580000000004</v>
      </c>
      <c r="E4195">
        <v>0.47563559999999999</v>
      </c>
      <c r="F4195" t="s">
        <v>78</v>
      </c>
      <c r="G4195">
        <v>-191.8605</v>
      </c>
      <c r="H4195" s="1">
        <v>-9.2335450000000004E-6</v>
      </c>
      <c r="I4195">
        <v>142.82299999999901</v>
      </c>
      <c r="J4195">
        <v>-191.12289999999999</v>
      </c>
      <c r="K4195">
        <v>1.108938</v>
      </c>
      <c r="L4195">
        <v>168.4622</v>
      </c>
      <c r="M4195">
        <v>-5.2490710000000003E-2</v>
      </c>
      <c r="N4195">
        <v>-9.8552559999999997E-3</v>
      </c>
      <c r="O4195">
        <v>-0.99857289999999999</v>
      </c>
      <c r="P4195">
        <v>-9.2086210000000002E-2</v>
      </c>
      <c r="Q4195">
        <v>0.16194749999999999</v>
      </c>
      <c r="R4195">
        <v>-0.98249390000000003</v>
      </c>
      <c r="S4195">
        <v>-8.8668819999999995E-2</v>
      </c>
      <c r="T4195">
        <v>-0.13199040000000001</v>
      </c>
      <c r="U4195">
        <v>-3.0667420000000001</v>
      </c>
      <c r="V4195">
        <v>4.0772559999999999E-2</v>
      </c>
      <c r="W4195">
        <v>0.171565</v>
      </c>
      <c r="X4195">
        <v>0.98432869999999995</v>
      </c>
      <c r="Y4195">
        <v>-2.3619870000000001E-2</v>
      </c>
      <c r="Z4195">
        <v>3.3054939999999998E-2</v>
      </c>
      <c r="AA4195">
        <v>0.99917440000000002</v>
      </c>
      <c r="AB4195">
        <v>24</v>
      </c>
      <c r="AC4195">
        <v>-0.73760000000001402</v>
      </c>
      <c r="AD4195">
        <v>-1.1089472335449999</v>
      </c>
      <c r="AE4195">
        <v>-25.639199999999999</v>
      </c>
      <c r="AF4195">
        <v>-0.60816518224463001</v>
      </c>
      <c r="AG4195">
        <v>-1.1089472335449999</v>
      </c>
      <c r="AH4195">
        <v>25.5947282935375</v>
      </c>
      <c r="AI4195">
        <v>92.480213337577695</v>
      </c>
      <c r="AJ4195">
        <v>91.3611686792499</v>
      </c>
      <c r="AK4195">
        <v>25.625958426480199</v>
      </c>
      <c r="AL4195">
        <v>80.1211757660936</v>
      </c>
      <c r="AM4195">
        <v>87.628067814584995</v>
      </c>
      <c r="AN4195">
        <v>0.99999997025882104</v>
      </c>
    </row>
    <row r="4196" spans="1:40" x14ac:dyDescent="0.25">
      <c r="A4196" t="str">
        <f>"20190304155717411"</f>
        <v>20190304155717411</v>
      </c>
      <c r="B4196" t="str">
        <f>"1551686237408820"</f>
        <v>1551686237408820</v>
      </c>
      <c r="C4196" t="s">
        <v>40</v>
      </c>
      <c r="D4196">
        <v>4.7709489999999999</v>
      </c>
      <c r="E4196">
        <v>0.47583789999999998</v>
      </c>
      <c r="F4196" t="s">
        <v>78</v>
      </c>
      <c r="G4196">
        <v>-191.94409999999999</v>
      </c>
      <c r="H4196" s="1">
        <v>-9.034636E-6</v>
      </c>
      <c r="I4196">
        <v>142.01249999999999</v>
      </c>
      <c r="J4196">
        <v>-191.131</v>
      </c>
      <c r="K4196">
        <v>1.1089020000000001</v>
      </c>
      <c r="L4196">
        <v>168.32419999999999</v>
      </c>
      <c r="M4196">
        <v>-5.3299289999999999E-2</v>
      </c>
      <c r="N4196">
        <v>-9.8513679999999992E-3</v>
      </c>
      <c r="O4196">
        <v>-0.99853000000000003</v>
      </c>
      <c r="P4196">
        <v>-9.2336390000000004E-2</v>
      </c>
      <c r="Q4196">
        <v>0.1617932</v>
      </c>
      <c r="R4196">
        <v>-0.98249520000000001</v>
      </c>
      <c r="S4196">
        <v>-9.5184329999999998E-2</v>
      </c>
      <c r="T4196">
        <v>-0.1285366</v>
      </c>
      <c r="U4196">
        <v>-3.06575</v>
      </c>
      <c r="V4196">
        <v>4.0241199999999998E-2</v>
      </c>
      <c r="W4196">
        <v>0.17140429999999901</v>
      </c>
      <c r="X4196">
        <v>0.98437859999999999</v>
      </c>
      <c r="Y4196">
        <v>-2.22978E-2</v>
      </c>
      <c r="Z4196">
        <v>3.1948699999999997E-2</v>
      </c>
      <c r="AA4196">
        <v>0.99924080000000004</v>
      </c>
      <c r="AB4196">
        <v>24</v>
      </c>
      <c r="AC4196">
        <v>-0.81310000000001903</v>
      </c>
      <c r="AD4196">
        <v>-1.108911034636</v>
      </c>
      <c r="AE4196">
        <v>-26.311699999999998</v>
      </c>
      <c r="AF4196">
        <v>-0.58947280222274101</v>
      </c>
      <c r="AG4196">
        <v>-1.108911034636</v>
      </c>
      <c r="AH4196">
        <v>26.271017753271501</v>
      </c>
      <c r="AI4196">
        <v>92.416437339714193</v>
      </c>
      <c r="AJ4196">
        <v>91.285395092633493</v>
      </c>
      <c r="AK4196">
        <v>26.301017768520001</v>
      </c>
      <c r="AL4196">
        <v>80.130522018615807</v>
      </c>
      <c r="AM4196">
        <v>87.659063454016902</v>
      </c>
      <c r="AN4196">
        <v>1.00000000818694</v>
      </c>
    </row>
    <row r="4197" spans="1:40" x14ac:dyDescent="0.25">
      <c r="A4197" t="str">
        <f>"20190304155717422"</f>
        <v>20190304155717422</v>
      </c>
      <c r="B4197" t="str">
        <f>"1551686237418580"</f>
        <v>1551686237418580</v>
      </c>
      <c r="C4197" t="s">
        <v>40</v>
      </c>
      <c r="D4197">
        <v>4.7407599999999999</v>
      </c>
      <c r="E4197">
        <v>0.47596129999999998</v>
      </c>
      <c r="F4197" t="s">
        <v>78</v>
      </c>
      <c r="G4197">
        <v>-192.00450000000001</v>
      </c>
      <c r="H4197" s="1">
        <v>-8.7067870000000005E-6</v>
      </c>
      <c r="I4197">
        <v>140.8348</v>
      </c>
      <c r="J4197">
        <v>-191.1386</v>
      </c>
      <c r="K4197">
        <v>1.108859</v>
      </c>
      <c r="L4197">
        <v>168.1969</v>
      </c>
      <c r="M4197">
        <v>-5.4092340000000003E-2</v>
      </c>
      <c r="N4197">
        <v>-9.8484969999999995E-3</v>
      </c>
      <c r="O4197">
        <v>-0.99848749999999997</v>
      </c>
      <c r="P4197">
        <v>-9.2941949999999995E-2</v>
      </c>
      <c r="Q4197">
        <v>0.1616368</v>
      </c>
      <c r="R4197">
        <v>-0.98246420000000001</v>
      </c>
      <c r="S4197">
        <v>-9.7381590000000004E-2</v>
      </c>
      <c r="T4197">
        <v>-0.1236271</v>
      </c>
      <c r="U4197">
        <v>-3.064651</v>
      </c>
      <c r="V4197">
        <v>4.0080890000000001E-2</v>
      </c>
      <c r="W4197">
        <v>0.17124220000000001</v>
      </c>
      <c r="X4197">
        <v>0.98441330000000005</v>
      </c>
      <c r="Y4197">
        <v>-2.2363600000000001E-2</v>
      </c>
      <c r="Z4197">
        <v>3.036927E-2</v>
      </c>
      <c r="AA4197">
        <v>0.99928859999999997</v>
      </c>
      <c r="AB4197">
        <v>24</v>
      </c>
      <c r="AC4197">
        <v>-0.86590000000001</v>
      </c>
      <c r="AD4197">
        <v>-1.1088677067870001</v>
      </c>
      <c r="AE4197">
        <v>-27.362100000000002</v>
      </c>
      <c r="AF4197">
        <v>-0.61451123972510402</v>
      </c>
      <c r="AG4197">
        <v>-1.1088677067870001</v>
      </c>
      <c r="AH4197">
        <v>27.324046897724202</v>
      </c>
      <c r="AI4197">
        <v>92.323322076302503</v>
      </c>
      <c r="AJ4197">
        <v>91.288351112022099</v>
      </c>
      <c r="AK4197">
        <v>27.3534412921654</v>
      </c>
      <c r="AL4197">
        <v>80.139948534543905</v>
      </c>
      <c r="AM4197">
        <v>87.668460893451595</v>
      </c>
      <c r="AN4197">
        <v>0.99999995701045996</v>
      </c>
    </row>
    <row r="4198" spans="1:40" x14ac:dyDescent="0.25">
      <c r="A4198" t="str">
        <f>"20190304155717434"</f>
        <v>20190304155717434</v>
      </c>
      <c r="B4198" t="str">
        <f>"1551686237429317"</f>
        <v>1551686237429317</v>
      </c>
      <c r="C4198" t="s">
        <v>40</v>
      </c>
      <c r="D4198">
        <v>4.8022479999999996</v>
      </c>
      <c r="E4198">
        <v>0.47608450000000002</v>
      </c>
      <c r="F4198" t="s">
        <v>78</v>
      </c>
      <c r="G4198">
        <v>-192.03020000000001</v>
      </c>
      <c r="H4198" s="1">
        <v>-8.7619020000000004E-6</v>
      </c>
      <c r="I4198">
        <v>141.0077</v>
      </c>
      <c r="J4198">
        <v>-191.14590000000001</v>
      </c>
      <c r="K4198">
        <v>1.1088169999999999</v>
      </c>
      <c r="L4198">
        <v>168.07589999999999</v>
      </c>
      <c r="M4198">
        <v>-5.4865579999999997E-2</v>
      </c>
      <c r="N4198">
        <v>-9.8460149999999996E-3</v>
      </c>
      <c r="O4198">
        <v>-0.99844540000000004</v>
      </c>
      <c r="P4198">
        <v>-9.3374020000000002E-2</v>
      </c>
      <c r="Q4198">
        <v>0.16170319999999999</v>
      </c>
      <c r="R4198">
        <v>-0.98241259999999997</v>
      </c>
      <c r="S4198">
        <v>-0.1004944</v>
      </c>
      <c r="T4198">
        <v>-0.12498529999999999</v>
      </c>
      <c r="U4198">
        <v>-3.0646209999999998</v>
      </c>
      <c r="V4198">
        <v>3.9767650000000002E-2</v>
      </c>
      <c r="W4198">
        <v>0.17130329999999999</v>
      </c>
      <c r="X4198">
        <v>0.98441540000000005</v>
      </c>
      <c r="Y4198">
        <v>-2.2124020000000001E-2</v>
      </c>
      <c r="Z4198">
        <v>3.0810549999999999E-2</v>
      </c>
      <c r="AA4198">
        <v>0.99928030000000001</v>
      </c>
      <c r="AB4198">
        <v>24</v>
      </c>
      <c r="AC4198">
        <v>-0.88429999999999598</v>
      </c>
      <c r="AD4198">
        <v>-1.1088257619020001</v>
      </c>
      <c r="AE4198">
        <v>-27.068199999999901</v>
      </c>
      <c r="AF4198">
        <v>-0.60120850920913305</v>
      </c>
      <c r="AG4198">
        <v>-1.1088257619020001</v>
      </c>
      <c r="AH4198">
        <v>27.030633844423299</v>
      </c>
      <c r="AI4198">
        <v>92.348437534255496</v>
      </c>
      <c r="AJ4198">
        <v>91.274148133565205</v>
      </c>
      <c r="AK4198">
        <v>27.060046420379301</v>
      </c>
      <c r="AL4198">
        <v>80.136395518387502</v>
      </c>
      <c r="AM4198">
        <v>87.686667383398401</v>
      </c>
      <c r="AN4198">
        <v>0.999999983167286</v>
      </c>
    </row>
    <row r="4199" spans="1:40" x14ac:dyDescent="0.25">
      <c r="A4199" t="str">
        <f>"20190304155717445"</f>
        <v>20190304155717445</v>
      </c>
      <c r="B4199" t="str">
        <f>"1551686237439076"</f>
        <v>1551686237439076</v>
      </c>
      <c r="C4199" t="s">
        <v>40</v>
      </c>
      <c r="D4199">
        <v>4.7603030000000004</v>
      </c>
      <c r="E4199">
        <v>0.47611550000000002</v>
      </c>
      <c r="F4199" t="s">
        <v>78</v>
      </c>
      <c r="G4199">
        <v>-192.07220000000001</v>
      </c>
      <c r="H4199" s="1">
        <v>-8.6130379999999993E-6</v>
      </c>
      <c r="I4199">
        <v>140.48699999999999</v>
      </c>
      <c r="J4199">
        <v>-191.1541</v>
      </c>
      <c r="K4199">
        <v>1.108779</v>
      </c>
      <c r="L4199">
        <v>167.94390000000001</v>
      </c>
      <c r="M4199">
        <v>-5.574196E-2</v>
      </c>
      <c r="N4199">
        <v>-9.8437869999999997E-3</v>
      </c>
      <c r="O4199">
        <v>-0.99839670000000003</v>
      </c>
      <c r="P4199">
        <v>-9.4103140000000002E-2</v>
      </c>
      <c r="Q4199">
        <v>0.16164400000000001</v>
      </c>
      <c r="R4199">
        <v>-0.98235209999999995</v>
      </c>
      <c r="S4199">
        <v>-0.1028748</v>
      </c>
      <c r="T4199">
        <v>-0.1231549</v>
      </c>
      <c r="U4199">
        <v>-3.0642399999999999</v>
      </c>
      <c r="V4199">
        <v>3.9650579999999998E-2</v>
      </c>
      <c r="W4199">
        <v>0.171238</v>
      </c>
      <c r="X4199">
        <v>0.98443150000000001</v>
      </c>
      <c r="Y4199">
        <v>-2.2221540000000001E-2</v>
      </c>
      <c r="Z4199">
        <v>3.0220179999999999E-2</v>
      </c>
      <c r="AA4199">
        <v>0.99929619999999997</v>
      </c>
      <c r="AB4199">
        <v>24</v>
      </c>
      <c r="AC4199">
        <v>-0.91810000000000902</v>
      </c>
      <c r="AD4199">
        <v>-1.1087876130380001</v>
      </c>
      <c r="AE4199">
        <v>-27.456900000000001</v>
      </c>
      <c r="AF4199">
        <v>-0.61290475160271096</v>
      </c>
      <c r="AG4199">
        <v>-1.1087876130380001</v>
      </c>
      <c r="AH4199">
        <v>27.420718224961501</v>
      </c>
      <c r="AI4199">
        <v>92.314980271477694</v>
      </c>
      <c r="AJ4199">
        <v>91.280455485095899</v>
      </c>
      <c r="AK4199">
        <v>27.449969948582801</v>
      </c>
      <c r="AL4199">
        <v>80.140193209335294</v>
      </c>
      <c r="AM4199">
        <v>87.693507803457507</v>
      </c>
      <c r="AN4199">
        <v>0.99999999966529296</v>
      </c>
    </row>
    <row r="4200" spans="1:40" x14ac:dyDescent="0.25">
      <c r="A4200" t="str">
        <f>"20190304155717460"</f>
        <v>20190304155717460</v>
      </c>
      <c r="B4200" t="str">
        <f>"1551686237448837"</f>
        <v>1551686237448837</v>
      </c>
      <c r="C4200" t="s">
        <v>40</v>
      </c>
      <c r="D4200">
        <v>4.7840959999999999</v>
      </c>
      <c r="E4200">
        <v>0.47613139999999998</v>
      </c>
      <c r="F4200" t="s">
        <v>78</v>
      </c>
      <c r="G4200">
        <v>-192.1114</v>
      </c>
      <c r="H4200" s="1">
        <v>-8.5100169999999997E-6</v>
      </c>
      <c r="I4200">
        <v>140.12180000000001</v>
      </c>
      <c r="J4200">
        <v>-191.16370000000001</v>
      </c>
      <c r="K4200">
        <v>1.1087279999999999</v>
      </c>
      <c r="L4200">
        <v>167.7919</v>
      </c>
      <c r="M4200">
        <v>-5.6796430000000002E-2</v>
      </c>
      <c r="N4200">
        <v>-9.8419070000000004E-3</v>
      </c>
      <c r="O4200">
        <v>-0.99833740000000004</v>
      </c>
      <c r="P4200">
        <v>-9.4998089999999993E-2</v>
      </c>
      <c r="Q4200">
        <v>0.1615586</v>
      </c>
      <c r="R4200">
        <v>-0.98228020000000005</v>
      </c>
      <c r="S4200">
        <v>-0.105423</v>
      </c>
      <c r="T4200">
        <v>-0.1221049</v>
      </c>
      <c r="U4200">
        <v>-3.063904</v>
      </c>
      <c r="V4200">
        <v>3.9526319999999997E-2</v>
      </c>
      <c r="W4200">
        <v>0.1711473</v>
      </c>
      <c r="X4200">
        <v>0.9844522</v>
      </c>
      <c r="Y4200">
        <v>-2.2443279999999999E-2</v>
      </c>
      <c r="Z4200">
        <v>2.988157E-2</v>
      </c>
      <c r="AA4200">
        <v>0.99930140000000001</v>
      </c>
      <c r="AB4200">
        <v>24</v>
      </c>
      <c r="AC4200">
        <v>-0.94769999999999699</v>
      </c>
      <c r="AD4200">
        <v>-1.1087365100169999</v>
      </c>
      <c r="AE4200">
        <v>-27.670099999999898</v>
      </c>
      <c r="AF4200">
        <v>-0.62446729003067403</v>
      </c>
      <c r="AG4200">
        <v>-1.1087365100169999</v>
      </c>
      <c r="AH4200">
        <v>27.634940171720999</v>
      </c>
      <c r="AI4200">
        <v>92.296935796253194</v>
      </c>
      <c r="AJ4200">
        <v>91.294493559967506</v>
      </c>
      <c r="AK4200">
        <v>27.6642219182026</v>
      </c>
      <c r="AL4200">
        <v>80.145467120680706</v>
      </c>
      <c r="AM4200">
        <v>87.700776588693898</v>
      </c>
      <c r="AN4200">
        <v>0.99999993117743302</v>
      </c>
    </row>
    <row r="4201" spans="1:40" x14ac:dyDescent="0.25">
      <c r="A4201" t="str">
        <f>"20190304155717477"</f>
        <v>20190304155717477</v>
      </c>
      <c r="B4201" t="str">
        <f>"1551686237469332"</f>
        <v>1551686237469332</v>
      </c>
      <c r="C4201" t="s">
        <v>40</v>
      </c>
      <c r="D4201">
        <v>4.7702280000000004</v>
      </c>
      <c r="E4201">
        <v>0.4761879</v>
      </c>
      <c r="F4201" t="s">
        <v>78</v>
      </c>
      <c r="G4201">
        <v>-192.1592</v>
      </c>
      <c r="H4201" s="1">
        <v>-8.3910499999999999E-6</v>
      </c>
      <c r="I4201">
        <v>139.69880000000001</v>
      </c>
      <c r="J4201">
        <v>-191.17529999999999</v>
      </c>
      <c r="K4201">
        <v>1.108671</v>
      </c>
      <c r="L4201">
        <v>167.6113</v>
      </c>
      <c r="M4201">
        <v>-5.8097280000000001E-2</v>
      </c>
      <c r="N4201">
        <v>-9.8402850000000007E-3</v>
      </c>
      <c r="O4201">
        <v>-0.9982626</v>
      </c>
      <c r="P4201">
        <v>-9.6161979999999994E-2</v>
      </c>
      <c r="Q4201">
        <v>0.1611832</v>
      </c>
      <c r="R4201">
        <v>-0.98222849999999995</v>
      </c>
      <c r="S4201">
        <v>-0.1085663</v>
      </c>
      <c r="T4201">
        <v>-0.1209065</v>
      </c>
      <c r="U4201">
        <v>-3.0635219999999999</v>
      </c>
      <c r="V4201">
        <v>3.9428770000000002E-2</v>
      </c>
      <c r="W4201">
        <v>0.1707658</v>
      </c>
      <c r="X4201">
        <v>0.98452240000000002</v>
      </c>
      <c r="Y4201">
        <v>-2.271722E-2</v>
      </c>
      <c r="Z4201">
        <v>2.9494099999999999E-2</v>
      </c>
      <c r="AA4201">
        <v>0.99930680000000005</v>
      </c>
      <c r="AB4201">
        <v>25</v>
      </c>
      <c r="AC4201">
        <v>-0.98390000000000499</v>
      </c>
      <c r="AD4201">
        <v>-1.1086793910499999</v>
      </c>
      <c r="AE4201">
        <v>-27.912499999999898</v>
      </c>
      <c r="AF4201">
        <v>-0.63847455934647901</v>
      </c>
      <c r="AG4201">
        <v>-1.1086793910499999</v>
      </c>
      <c r="AH4201">
        <v>27.878585401003299</v>
      </c>
      <c r="AI4201">
        <v>92.276749973436296</v>
      </c>
      <c r="AJ4201">
        <v>91.3119569491909</v>
      </c>
      <c r="AK4201">
        <v>27.907926180855998</v>
      </c>
      <c r="AL4201">
        <v>80.167652453966198</v>
      </c>
      <c r="AM4201">
        <v>87.706608313110607</v>
      </c>
      <c r="AN4201">
        <v>0.99999997122755502</v>
      </c>
    </row>
    <row r="4202" spans="1:40" x14ac:dyDescent="0.25">
      <c r="A4202" t="str">
        <f>"20190304155717497"</f>
        <v>20190304155717497</v>
      </c>
      <c r="B4202" t="str">
        <f>"1551686237488852"</f>
        <v>1551686237488852</v>
      </c>
      <c r="C4202" t="s">
        <v>40</v>
      </c>
      <c r="D4202">
        <v>5.3934920000000002</v>
      </c>
      <c r="E4202">
        <v>0.47597149999999999</v>
      </c>
      <c r="F4202" t="s">
        <v>78</v>
      </c>
      <c r="G4202">
        <v>-192.2165</v>
      </c>
      <c r="H4202" s="1">
        <v>-8.2961800000000006E-6</v>
      </c>
      <c r="I4202">
        <v>139.3707</v>
      </c>
      <c r="J4202">
        <v>-191.19040000000001</v>
      </c>
      <c r="K4202">
        <v>1.1085989999999999</v>
      </c>
      <c r="L4202">
        <v>167.3836</v>
      </c>
      <c r="M4202">
        <v>-5.9820720000000001E-2</v>
      </c>
      <c r="N4202">
        <v>-9.8391759999999998E-3</v>
      </c>
      <c r="O4202">
        <v>-0.99816070000000001</v>
      </c>
      <c r="P4202">
        <v>-9.8325389999999999E-2</v>
      </c>
      <c r="Q4202">
        <v>0.16055939999999999</v>
      </c>
      <c r="R4202">
        <v>-0.98211630000000005</v>
      </c>
      <c r="S4202">
        <v>-0.1129303</v>
      </c>
      <c r="T4202">
        <v>-0.12024550000000001</v>
      </c>
      <c r="U4202">
        <v>-3.0629270000000002</v>
      </c>
      <c r="V4202">
        <v>3.991948E-2</v>
      </c>
      <c r="W4202">
        <v>0.17013339999999999</v>
      </c>
      <c r="X4202">
        <v>0.98461220000000005</v>
      </c>
      <c r="Y4202">
        <v>-2.301423E-2</v>
      </c>
      <c r="Z4202">
        <v>2.9281689999999999E-2</v>
      </c>
      <c r="AA4202">
        <v>0.99930620000000003</v>
      </c>
      <c r="AB4202">
        <v>25</v>
      </c>
      <c r="AC4202">
        <v>-1.02609999999998</v>
      </c>
      <c r="AD4202">
        <v>-1.10860729617999</v>
      </c>
      <c r="AE4202">
        <v>-28.012899999999998</v>
      </c>
      <c r="AF4202">
        <v>-0.65055314412328702</v>
      </c>
      <c r="AG4202">
        <v>-1.10860729617999</v>
      </c>
      <c r="AH4202">
        <v>27.980349582058899</v>
      </c>
      <c r="AI4202">
        <v>92.268312561713003</v>
      </c>
      <c r="AJ4202">
        <v>91.331907418417899</v>
      </c>
      <c r="AK4202">
        <v>28.009858840499302</v>
      </c>
      <c r="AL4202">
        <v>80.204425306301104</v>
      </c>
      <c r="AM4202">
        <v>87.678308532112894</v>
      </c>
      <c r="AN4202">
        <v>1.00000006153393</v>
      </c>
    </row>
    <row r="4203" spans="1:40" x14ac:dyDescent="0.25">
      <c r="A4203" t="str">
        <f>"20190304155717509"</f>
        <v>20190304155717509</v>
      </c>
      <c r="B4203" t="str">
        <f>"1551686237498612"</f>
        <v>1551686237498612</v>
      </c>
      <c r="C4203" t="s">
        <v>40</v>
      </c>
      <c r="D4203">
        <v>3.9297529999999998</v>
      </c>
      <c r="E4203">
        <v>0.53869259999999997</v>
      </c>
      <c r="F4203" t="s">
        <v>78</v>
      </c>
      <c r="G4203">
        <v>-192.2509</v>
      </c>
      <c r="H4203" s="1">
        <v>-8.4831789999999996E-6</v>
      </c>
      <c r="I4203">
        <v>139.96420000000001</v>
      </c>
      <c r="J4203">
        <v>-191.19980000000001</v>
      </c>
      <c r="K4203">
        <v>1.108554</v>
      </c>
      <c r="L4203">
        <v>167.24539999999999</v>
      </c>
      <c r="M4203">
        <v>-6.0899540000000002E-2</v>
      </c>
      <c r="N4203">
        <v>-9.8387939999999997E-3</v>
      </c>
      <c r="O4203">
        <v>-0.99809559999999997</v>
      </c>
      <c r="P4203">
        <v>-0.10000439999999999</v>
      </c>
      <c r="Q4203">
        <v>0.16011300000000001</v>
      </c>
      <c r="R4203">
        <v>-0.98202</v>
      </c>
      <c r="S4203">
        <v>-0.1184692</v>
      </c>
      <c r="T4203">
        <v>-0.1238418</v>
      </c>
      <c r="U4203">
        <v>-3.0630039999999998</v>
      </c>
      <c r="V4203">
        <v>4.0550799999999998E-2</v>
      </c>
      <c r="W4203">
        <v>0.16968129999999901</v>
      </c>
      <c r="X4203">
        <v>0.98466430000000005</v>
      </c>
      <c r="Y4203">
        <v>-2.2292579999999999E-2</v>
      </c>
      <c r="Z4203">
        <v>3.0444880000000001E-2</v>
      </c>
      <c r="AA4203">
        <v>0.99928779999999995</v>
      </c>
      <c r="AB4203">
        <v>25</v>
      </c>
      <c r="AC4203">
        <v>-1.0510999999999899</v>
      </c>
      <c r="AD4203">
        <v>-1.108562483179</v>
      </c>
      <c r="AE4203">
        <v>-27.281199999999899</v>
      </c>
      <c r="AF4203">
        <v>-0.61133584009981501</v>
      </c>
      <c r="AG4203">
        <v>-1.108562483179</v>
      </c>
      <c r="AH4203">
        <v>27.249645808142802</v>
      </c>
      <c r="AI4203">
        <v>92.329020911212098</v>
      </c>
      <c r="AJ4203">
        <v>91.285194274332696</v>
      </c>
      <c r="AK4203">
        <v>27.279036620777799</v>
      </c>
      <c r="AL4203">
        <v>80.230709791844006</v>
      </c>
      <c r="AM4203">
        <v>87.641757143598596</v>
      </c>
      <c r="AN4203">
        <v>0.99999994732240804</v>
      </c>
    </row>
    <row r="4204" spans="1:40" x14ac:dyDescent="0.25">
      <c r="A4204" t="str">
        <f>"20190304155717522"</f>
        <v>20190304155717522</v>
      </c>
      <c r="B4204" t="str">
        <f>"1551686237519109"</f>
        <v>1551686237519109</v>
      </c>
      <c r="C4204" t="s">
        <v>40</v>
      </c>
      <c r="D4204">
        <v>4.5227649999999997</v>
      </c>
      <c r="E4204">
        <v>0.59301150000000002</v>
      </c>
      <c r="F4204" t="s">
        <v>54</v>
      </c>
      <c r="G4204">
        <v>-211.3614</v>
      </c>
      <c r="H4204">
        <v>8.2915749999999999</v>
      </c>
      <c r="I4204">
        <v>70.041229999999999</v>
      </c>
      <c r="J4204">
        <v>-191.2089</v>
      </c>
      <c r="K4204">
        <v>1.108517</v>
      </c>
      <c r="L4204">
        <v>167.11420000000001</v>
      </c>
      <c r="M4204">
        <v>-6.1966640000000003E-2</v>
      </c>
      <c r="N4204">
        <v>-9.8388339999999994E-3</v>
      </c>
      <c r="O4204">
        <v>-0.99802979999999997</v>
      </c>
      <c r="P4204">
        <v>-0.1015411</v>
      </c>
      <c r="Q4204">
        <v>0.15993969999999999</v>
      </c>
      <c r="R4204">
        <v>-0.98189070000000001</v>
      </c>
      <c r="S4204">
        <v>-0.61329650000000002</v>
      </c>
      <c r="T4204">
        <v>0.21850040000000001</v>
      </c>
      <c r="U4204">
        <v>-2.9568479999999999</v>
      </c>
      <c r="V4204">
        <v>4.10523E-2</v>
      </c>
      <c r="W4204">
        <v>0.16950279999999901</v>
      </c>
      <c r="X4204">
        <v>0.9846743</v>
      </c>
      <c r="Y4204">
        <v>0.1413816</v>
      </c>
      <c r="Z4204">
        <v>-8.2095139999999997E-2</v>
      </c>
      <c r="AA4204">
        <v>0.98654529999999996</v>
      </c>
      <c r="AB4204">
        <v>25</v>
      </c>
      <c r="AC4204">
        <v>-20.1525</v>
      </c>
      <c r="AD4204">
        <v>7.1830579999999999</v>
      </c>
      <c r="AE4204">
        <v>-97.072969999999998</v>
      </c>
      <c r="AF4204">
        <v>14.024572681722001</v>
      </c>
      <c r="AG4204">
        <v>7.1830579999999999</v>
      </c>
      <c r="AH4204">
        <v>97.622796276840802</v>
      </c>
      <c r="AI4204">
        <v>85.834389521139599</v>
      </c>
      <c r="AJ4204">
        <v>81.824775381911493</v>
      </c>
      <c r="AK4204">
        <v>98.886274649446804</v>
      </c>
      <c r="AL4204">
        <v>80.241087775251202</v>
      </c>
      <c r="AM4204">
        <v>87.612650030895594</v>
      </c>
      <c r="AN4204">
        <v>0.99999998381180899</v>
      </c>
    </row>
    <row r="4205" spans="1:40" x14ac:dyDescent="0.25">
      <c r="A4205" t="str">
        <f>"20190304155717924"</f>
        <v>20190304155717924</v>
      </c>
      <c r="B4205" t="str">
        <f>"1551686237918293"</f>
        <v>1551686237918293</v>
      </c>
      <c r="C4205" t="s">
        <v>40</v>
      </c>
      <c r="D4205">
        <v>4.7634650000000001</v>
      </c>
      <c r="E4205">
        <v>0.59301150000000002</v>
      </c>
      <c r="F4205" t="s">
        <v>78</v>
      </c>
      <c r="G4205">
        <v>-197.04839999999999</v>
      </c>
      <c r="H4205" s="1">
        <v>-1.24077E-5</v>
      </c>
      <c r="I4205">
        <v>150.6942</v>
      </c>
      <c r="J4205">
        <v>-191.6405</v>
      </c>
      <c r="K4205">
        <v>1.1073959999999901</v>
      </c>
      <c r="L4205">
        <v>162.60409999999999</v>
      </c>
      <c r="M4205">
        <v>-0.11137619999999999</v>
      </c>
      <c r="N4205">
        <v>-9.9187900000000002E-3</v>
      </c>
      <c r="O4205">
        <v>-0.99372890000000003</v>
      </c>
      <c r="P4205">
        <v>-0.19981760000000001</v>
      </c>
      <c r="Q4205">
        <v>0.15388189999999999</v>
      </c>
      <c r="R4205">
        <v>-0.96767449999999999</v>
      </c>
      <c r="S4205">
        <v>-1.0592649999999999</v>
      </c>
      <c r="T4205">
        <v>-0.20108400000000001</v>
      </c>
      <c r="U4205">
        <v>-2.9785460000000001</v>
      </c>
      <c r="V4205">
        <v>9.1749239999999996E-2</v>
      </c>
      <c r="W4205">
        <v>0.16309960000000001</v>
      </c>
      <c r="X4205">
        <v>0.98233429999999999</v>
      </c>
      <c r="Y4205">
        <v>0.22747200000000001</v>
      </c>
      <c r="Z4205">
        <v>5.418829E-2</v>
      </c>
      <c r="AA4205">
        <v>0.97227569999999996</v>
      </c>
      <c r="AB4205">
        <v>25</v>
      </c>
      <c r="AC4205">
        <v>-5.4078999999999802</v>
      </c>
      <c r="AD4205">
        <v>-1.1074084076999999</v>
      </c>
      <c r="AE4205">
        <v>-11.909899999999899</v>
      </c>
      <c r="AF4205">
        <v>4.0188990726790896</v>
      </c>
      <c r="AG4205">
        <v>-1.1074084076999999</v>
      </c>
      <c r="AH4205">
        <v>12.3496139623376</v>
      </c>
      <c r="AI4205">
        <v>94.873818030783795</v>
      </c>
      <c r="AJ4205">
        <v>71.973707904117106</v>
      </c>
      <c r="AK4205">
        <v>13.034219123391701</v>
      </c>
      <c r="AL4205">
        <v>80.613146252166501</v>
      </c>
      <c r="AM4205">
        <v>84.664099719988698</v>
      </c>
      <c r="AN4205">
        <v>1.00000003975861</v>
      </c>
    </row>
    <row r="4206" spans="1:40" x14ac:dyDescent="0.25">
      <c r="A4206" t="str">
        <f>"20190304155717936"</f>
        <v>20190304155717936</v>
      </c>
      <c r="B4206" t="str">
        <f>"1551686237929029"</f>
        <v>1551686237929029</v>
      </c>
      <c r="C4206" t="s">
        <v>40</v>
      </c>
      <c r="D4206">
        <v>4.755503</v>
      </c>
      <c r="E4206">
        <v>0.65692189999999995</v>
      </c>
      <c r="F4206" t="s">
        <v>78</v>
      </c>
      <c r="G4206">
        <v>-198.78989999999999</v>
      </c>
      <c r="H4206" s="1">
        <v>-1.1698E-5</v>
      </c>
      <c r="I4206">
        <v>147.61410000000001</v>
      </c>
      <c r="J4206">
        <v>-191.6575</v>
      </c>
      <c r="K4206">
        <v>1.107337</v>
      </c>
      <c r="L4206">
        <v>162.4701</v>
      </c>
      <c r="M4206">
        <v>-0.1132864</v>
      </c>
      <c r="N4206">
        <v>-9.9239649999999999E-3</v>
      </c>
      <c r="O4206">
        <v>-0.99351299999999998</v>
      </c>
      <c r="P4206">
        <v>-0.2035257</v>
      </c>
      <c r="Q4206">
        <v>0.1540704</v>
      </c>
      <c r="R4206">
        <v>-0.96687149999999999</v>
      </c>
      <c r="S4206">
        <v>-1.360611</v>
      </c>
      <c r="T4206">
        <v>-0.21075199999999999</v>
      </c>
      <c r="U4206">
        <v>-2.8527680000000002</v>
      </c>
      <c r="V4206">
        <v>9.3656530000000002E-2</v>
      </c>
      <c r="W4206">
        <v>0.1632671</v>
      </c>
      <c r="X4206">
        <v>0.98212639999999995</v>
      </c>
      <c r="Y4206">
        <v>0.32462609999999997</v>
      </c>
      <c r="Z4206">
        <v>5.7710619999999997E-2</v>
      </c>
      <c r="AA4206">
        <v>0.94408020000000004</v>
      </c>
      <c r="AB4206">
        <v>25</v>
      </c>
      <c r="AC4206">
        <v>-7.1323999999999899</v>
      </c>
      <c r="AD4206">
        <v>-1.107348698</v>
      </c>
      <c r="AE4206">
        <v>-14.8559999999999</v>
      </c>
      <c r="AF4206">
        <v>5.3791262110358202</v>
      </c>
      <c r="AG4206">
        <v>-1.107348698</v>
      </c>
      <c r="AH4206">
        <v>15.4984171907929</v>
      </c>
      <c r="AI4206">
        <v>93.8615611611947</v>
      </c>
      <c r="AJ4206">
        <v>70.859347433402704</v>
      </c>
      <c r="AK4206">
        <v>16.442693068748799</v>
      </c>
      <c r="AL4206">
        <v>80.603418240436895</v>
      </c>
      <c r="AM4206">
        <v>84.552690905799693</v>
      </c>
      <c r="AN4206">
        <v>0.99999997856550504</v>
      </c>
    </row>
    <row r="4207" spans="1:40" x14ac:dyDescent="0.25">
      <c r="A4207" t="str">
        <f>"20190304155717948"</f>
        <v>20190304155717948</v>
      </c>
      <c r="B4207" t="str">
        <f>"1551686237938789"</f>
        <v>1551686237938789</v>
      </c>
      <c r="C4207" t="s">
        <v>40</v>
      </c>
      <c r="D4207">
        <v>4.7727690000000003</v>
      </c>
      <c r="E4207">
        <v>0.65693419999999902</v>
      </c>
      <c r="F4207" t="s">
        <v>75</v>
      </c>
      <c r="G4207">
        <v>-226.39699999999999</v>
      </c>
      <c r="H4207">
        <v>2.5901900000000002</v>
      </c>
      <c r="I4207">
        <v>111.9282</v>
      </c>
      <c r="J4207">
        <v>-191.6755</v>
      </c>
      <c r="K4207">
        <v>1.1072820000000001</v>
      </c>
      <c r="L4207">
        <v>162.33009999999999</v>
      </c>
      <c r="M4207">
        <v>-0.11531230000000001</v>
      </c>
      <c r="N4207">
        <v>-9.9295330000000008E-3</v>
      </c>
      <c r="O4207">
        <v>-0.99327989999999999</v>
      </c>
      <c r="P4207">
        <v>-0.20763180000000001</v>
      </c>
      <c r="Q4207">
        <v>0.15385309999999999</v>
      </c>
      <c r="R4207">
        <v>-0.96603240000000001</v>
      </c>
      <c r="S4207">
        <v>-1.8555299999999999</v>
      </c>
      <c r="T4207">
        <v>7.9203609999999994E-2</v>
      </c>
      <c r="U4207">
        <v>-2.6995849999999999</v>
      </c>
      <c r="V4207">
        <v>9.5848619999999995E-2</v>
      </c>
      <c r="W4207">
        <v>0.163025799999999</v>
      </c>
      <c r="X4207">
        <v>0.98195500000000002</v>
      </c>
      <c r="Y4207">
        <v>0.46732240000000003</v>
      </c>
      <c r="Z4207">
        <v>-3.4277040000000002E-2</v>
      </c>
      <c r="AA4207">
        <v>0.88342229999999999</v>
      </c>
      <c r="AB4207">
        <v>25</v>
      </c>
      <c r="AC4207">
        <v>-34.721499999999999</v>
      </c>
      <c r="AD4207">
        <v>1.4829079999999999</v>
      </c>
      <c r="AE4207">
        <v>-50.401899999999898</v>
      </c>
      <c r="AF4207">
        <v>28.660790849302401</v>
      </c>
      <c r="AG4207">
        <v>1.4829079999999999</v>
      </c>
      <c r="AH4207">
        <v>54.037940293715202</v>
      </c>
      <c r="AI4207">
        <v>88.6112419552869</v>
      </c>
      <c r="AJ4207">
        <v>62.059292690384602</v>
      </c>
      <c r="AK4207">
        <v>61.186100868016197</v>
      </c>
      <c r="AL4207">
        <v>80.617431625897098</v>
      </c>
      <c r="AM4207">
        <v>84.425020238294707</v>
      </c>
      <c r="AN4207">
        <v>0.99999999572327203</v>
      </c>
    </row>
    <row r="4208" spans="1:40" x14ac:dyDescent="0.25">
      <c r="A4208" t="str">
        <f>"20190304155717967"</f>
        <v>20190304155717967</v>
      </c>
      <c r="B4208" t="str">
        <f>"1551686237958312"</f>
        <v>1551686237958312</v>
      </c>
      <c r="C4208" t="s">
        <v>40</v>
      </c>
      <c r="D4208">
        <v>4.8078839999999996</v>
      </c>
      <c r="E4208">
        <v>0.65571789999999996</v>
      </c>
      <c r="F4208" t="s">
        <v>75</v>
      </c>
      <c r="G4208">
        <v>-226.39699999999999</v>
      </c>
      <c r="H4208">
        <v>2.6313529999999998</v>
      </c>
      <c r="I4208">
        <v>112.2791</v>
      </c>
      <c r="J4208">
        <v>-191.702</v>
      </c>
      <c r="K4208">
        <v>1.1071839999999999</v>
      </c>
      <c r="L4208">
        <v>162.13050000000001</v>
      </c>
      <c r="M4208">
        <v>-0.1183172</v>
      </c>
      <c r="N4208">
        <v>-9.9383030000000008E-3</v>
      </c>
      <c r="O4208">
        <v>-0.99292619999999998</v>
      </c>
      <c r="P4208">
        <v>-0.2145126</v>
      </c>
      <c r="Q4208">
        <v>0.15354479999999901</v>
      </c>
      <c r="R4208">
        <v>-0.96457709999999997</v>
      </c>
      <c r="S4208">
        <v>-1.8669279999999999</v>
      </c>
      <c r="T4208">
        <v>8.1947679999999995E-2</v>
      </c>
      <c r="U4208">
        <v>-2.6911770000000002</v>
      </c>
      <c r="V4208">
        <v>9.9913569999999993E-2</v>
      </c>
      <c r="W4208">
        <v>0.1626744</v>
      </c>
      <c r="X4208">
        <v>0.98160800000000004</v>
      </c>
      <c r="Y4208">
        <v>0.46845009999999998</v>
      </c>
      <c r="Z4208">
        <v>-3.5144090000000003E-2</v>
      </c>
      <c r="AA4208">
        <v>0.88279069999999904</v>
      </c>
      <c r="AB4208">
        <v>25</v>
      </c>
      <c r="AC4208">
        <v>-34.695</v>
      </c>
      <c r="AD4208">
        <v>1.5241690000000001</v>
      </c>
      <c r="AE4208">
        <v>-49.851399999999998</v>
      </c>
      <c r="AF4208">
        <v>28.534734376553399</v>
      </c>
      <c r="AG4208">
        <v>1.5241690000000001</v>
      </c>
      <c r="AH4208">
        <v>53.572681881365398</v>
      </c>
      <c r="AI4208">
        <v>88.561568548430103</v>
      </c>
      <c r="AJ4208">
        <v>61.958632166661197</v>
      </c>
      <c r="AK4208">
        <v>60.717266086698899</v>
      </c>
      <c r="AL4208">
        <v>80.637837560909901</v>
      </c>
      <c r="AM4208">
        <v>84.188129851623799</v>
      </c>
      <c r="AN4208">
        <v>0.99999997377475203</v>
      </c>
    </row>
    <row r="4209" spans="1:40" x14ac:dyDescent="0.25">
      <c r="A4209" t="str">
        <f>"20190304155717978"</f>
        <v>20190304155717978</v>
      </c>
      <c r="B4209" t="str">
        <f>"1551686237969045"</f>
        <v>1551686237969045</v>
      </c>
      <c r="C4209" t="s">
        <v>40</v>
      </c>
      <c r="D4209">
        <v>4.7327300000000001</v>
      </c>
      <c r="E4209">
        <v>0.65527419999999903</v>
      </c>
      <c r="F4209" t="s">
        <v>75</v>
      </c>
      <c r="G4209">
        <v>-226.39689999999999</v>
      </c>
      <c r="H4209">
        <v>2.4736940000000001</v>
      </c>
      <c r="I4209">
        <v>112.57170000000001</v>
      </c>
      <c r="J4209">
        <v>-191.72020000000001</v>
      </c>
      <c r="K4209">
        <v>1.107108</v>
      </c>
      <c r="L4209">
        <v>161.9958</v>
      </c>
      <c r="M4209">
        <v>-0.12041839999999999</v>
      </c>
      <c r="N4209">
        <v>-9.9447449999999996E-3</v>
      </c>
      <c r="O4209">
        <v>-0.99267349999999999</v>
      </c>
      <c r="P4209">
        <v>-0.21865380000000001</v>
      </c>
      <c r="Q4209">
        <v>0.1535176</v>
      </c>
      <c r="R4209">
        <v>-0.96365080000000003</v>
      </c>
      <c r="S4209">
        <v>-1.8769070000000001</v>
      </c>
      <c r="T4209">
        <v>7.3925019999999994E-2</v>
      </c>
      <c r="U4209">
        <v>-2.681</v>
      </c>
      <c r="V4209">
        <v>0.1020836</v>
      </c>
      <c r="W4209">
        <v>0.16261970000000001</v>
      </c>
      <c r="X4209">
        <v>0.98139379999999998</v>
      </c>
      <c r="Y4209">
        <v>0.47039930000000002</v>
      </c>
      <c r="Z4209">
        <v>-3.266757E-2</v>
      </c>
      <c r="AA4209">
        <v>0.88184879999999999</v>
      </c>
      <c r="AB4209">
        <v>25</v>
      </c>
      <c r="AC4209">
        <v>-34.676699999999897</v>
      </c>
      <c r="AD4209">
        <v>1.3665860000000001</v>
      </c>
      <c r="AE4209">
        <v>-49.424100000000003</v>
      </c>
      <c r="AF4209">
        <v>28.457895844963598</v>
      </c>
      <c r="AG4209">
        <v>1.3665860000000001</v>
      </c>
      <c r="AH4209">
        <v>53.213072657479501</v>
      </c>
      <c r="AI4209">
        <v>88.702682630071095</v>
      </c>
      <c r="AJ4209">
        <v>61.8625099640862</v>
      </c>
      <c r="AK4209">
        <v>60.360173085142698</v>
      </c>
      <c r="AL4209">
        <v>80.641014272605801</v>
      </c>
      <c r="AM4209">
        <v>84.061507028493594</v>
      </c>
      <c r="AN4209">
        <v>1.0000000094477399</v>
      </c>
    </row>
    <row r="4210" spans="1:40" x14ac:dyDescent="0.25">
      <c r="A4210" t="str">
        <f>"20190304155717991"</f>
        <v>20190304155717991</v>
      </c>
      <c r="B4210" t="str">
        <f>"1551686237988565"</f>
        <v>1551686237988565</v>
      </c>
      <c r="C4210" t="s">
        <v>40</v>
      </c>
      <c r="D4210">
        <v>4.8074399999999997</v>
      </c>
      <c r="E4210">
        <v>0.65342339999999999</v>
      </c>
      <c r="F4210" t="s">
        <v>75</v>
      </c>
      <c r="G4210">
        <v>-226.39680000000001</v>
      </c>
      <c r="H4210">
        <v>2.176774</v>
      </c>
      <c r="I4210">
        <v>112.7884</v>
      </c>
      <c r="J4210">
        <v>-191.74039999999999</v>
      </c>
      <c r="K4210">
        <v>1.1070260000000001</v>
      </c>
      <c r="L4210">
        <v>161.84880000000001</v>
      </c>
      <c r="M4210">
        <v>-0.12275220000000001</v>
      </c>
      <c r="N4210">
        <v>-9.9519080000000006E-3</v>
      </c>
      <c r="O4210">
        <v>-0.99238760000000004</v>
      </c>
      <c r="P4210">
        <v>-0.22321640000000001</v>
      </c>
      <c r="Q4210">
        <v>0.15346029999999999</v>
      </c>
      <c r="R4210">
        <v>-0.96261359999999996</v>
      </c>
      <c r="S4210">
        <v>-1.8858029999999999</v>
      </c>
      <c r="T4210">
        <v>5.8171510000000003E-2</v>
      </c>
      <c r="U4210">
        <v>-2.6760250000000001</v>
      </c>
      <c r="V4210">
        <v>0.10445939999999999</v>
      </c>
      <c r="W4210">
        <v>0.1625308</v>
      </c>
      <c r="X4210">
        <v>0.98115850000000004</v>
      </c>
      <c r="Y4210">
        <v>0.47113139999999998</v>
      </c>
      <c r="Z4210">
        <v>-2.7746409999999999E-2</v>
      </c>
      <c r="AA4210">
        <v>0.88162649999999998</v>
      </c>
      <c r="AB4210">
        <v>25</v>
      </c>
      <c r="AC4210">
        <v>-34.656399999999998</v>
      </c>
      <c r="AD4210">
        <v>1.0697479999999999</v>
      </c>
      <c r="AE4210">
        <v>-49.060400000000001</v>
      </c>
      <c r="AF4210">
        <v>28.362714538353401</v>
      </c>
      <c r="AG4210">
        <v>1.0697479999999999</v>
      </c>
      <c r="AH4210">
        <v>52.926909034946497</v>
      </c>
      <c r="AI4210">
        <v>88.979381807526394</v>
      </c>
      <c r="AJ4210">
        <v>61.813828958525903</v>
      </c>
      <c r="AK4210">
        <v>60.057019879121</v>
      </c>
      <c r="AL4210">
        <v>80.646176594661</v>
      </c>
      <c r="AM4210">
        <v>83.922875946119603</v>
      </c>
      <c r="AN4210">
        <v>1.00000001465962</v>
      </c>
    </row>
    <row r="4211" spans="1:40" x14ac:dyDescent="0.25">
      <c r="A4211" t="str">
        <f>"20190304155718017"</f>
        <v>20190304155718017</v>
      </c>
      <c r="B4211" t="str">
        <f>"1551686238009061"</f>
        <v>1551686238009061</v>
      </c>
      <c r="C4211" t="s">
        <v>40</v>
      </c>
      <c r="D4211">
        <v>4.9175940000000002</v>
      </c>
      <c r="E4211">
        <v>0.65468800000000005</v>
      </c>
      <c r="F4211" t="s">
        <v>75</v>
      </c>
      <c r="G4211">
        <v>-226.39680000000001</v>
      </c>
      <c r="H4211">
        <v>2.144638</v>
      </c>
      <c r="I4211">
        <v>112.7283</v>
      </c>
      <c r="J4211">
        <v>-191.7816</v>
      </c>
      <c r="K4211">
        <v>1.1068559999999901</v>
      </c>
      <c r="L4211">
        <v>161.56020000000001</v>
      </c>
      <c r="M4211">
        <v>-0.12757739999999901</v>
      </c>
      <c r="N4211">
        <v>-9.9681879999999994E-3</v>
      </c>
      <c r="O4211">
        <v>-0.99177879999999996</v>
      </c>
      <c r="P4211">
        <v>-0.2326589</v>
      </c>
      <c r="Q4211">
        <v>0.15346899999999999</v>
      </c>
      <c r="R4211">
        <v>-0.96037380000000006</v>
      </c>
      <c r="S4211">
        <v>-1.8842159999999999</v>
      </c>
      <c r="T4211">
        <v>5.6413770000000002E-2</v>
      </c>
      <c r="U4211">
        <v>-2.6706089999999998</v>
      </c>
      <c r="V4211">
        <v>0.1093976</v>
      </c>
      <c r="W4211">
        <v>0.16247200000000001</v>
      </c>
      <c r="X4211">
        <v>0.98062990000000005</v>
      </c>
      <c r="Y4211">
        <v>0.46733619999999998</v>
      </c>
      <c r="Z4211">
        <v>-2.7231970000000001E-2</v>
      </c>
      <c r="AA4211">
        <v>0.88366019999999901</v>
      </c>
      <c r="AB4211">
        <v>25</v>
      </c>
      <c r="AC4211">
        <v>-34.615200000000002</v>
      </c>
      <c r="AD4211">
        <v>1.037782</v>
      </c>
      <c r="AE4211">
        <v>-48.831899999999997</v>
      </c>
      <c r="AF4211">
        <v>28.093718160464</v>
      </c>
      <c r="AG4211">
        <v>1.037782</v>
      </c>
      <c r="AH4211">
        <v>52.833289850849198</v>
      </c>
      <c r="AI4211">
        <v>89.006411616159497</v>
      </c>
      <c r="AJ4211">
        <v>61.998512342609601</v>
      </c>
      <c r="AK4211">
        <v>59.847226402089497</v>
      </c>
      <c r="AL4211">
        <v>80.649590766993995</v>
      </c>
      <c r="AM4211">
        <v>83.634488647837898</v>
      </c>
      <c r="AN4211">
        <v>0.99999999322188404</v>
      </c>
    </row>
    <row r="4212" spans="1:40" x14ac:dyDescent="0.25">
      <c r="A4212" t="str">
        <f>"20190304155719411"</f>
        <v>20190304155719411</v>
      </c>
      <c r="B4212" t="str">
        <f>"1551686239408742"</f>
        <v>1551686239408742</v>
      </c>
      <c r="C4212" t="s">
        <v>40</v>
      </c>
      <c r="D4212">
        <v>5.1106439999999997</v>
      </c>
      <c r="E4212">
        <v>0.69883769999999901</v>
      </c>
      <c r="F4212" t="s">
        <v>75</v>
      </c>
      <c r="G4212">
        <v>-226.39680000000001</v>
      </c>
      <c r="H4212">
        <v>2.1604079999999999</v>
      </c>
      <c r="I4212">
        <v>113.79900000000001</v>
      </c>
      <c r="J4212">
        <v>-199.35749999999999</v>
      </c>
      <c r="K4212">
        <v>1.0981730000000001</v>
      </c>
      <c r="L4212">
        <v>146.98490000000001</v>
      </c>
      <c r="M4212">
        <v>-0.76160799999999995</v>
      </c>
      <c r="N4212">
        <v>-1.17863E-2</v>
      </c>
      <c r="O4212">
        <v>-0.64793080000000003</v>
      </c>
      <c r="P4212">
        <v>-0.87452070000000004</v>
      </c>
      <c r="Q4212">
        <v>0.15877849999999999</v>
      </c>
      <c r="R4212">
        <v>-0.45826109999999998</v>
      </c>
      <c r="S4212">
        <v>-1.9200740000000001</v>
      </c>
      <c r="T4212">
        <v>5.8439850000000002E-2</v>
      </c>
      <c r="U4212">
        <v>-2.6492610000000001</v>
      </c>
      <c r="V4212">
        <v>0.22228680000000001</v>
      </c>
      <c r="W4212">
        <v>0.16398499999999999</v>
      </c>
      <c r="X4212">
        <v>0.96109180000000005</v>
      </c>
      <c r="Y4212">
        <v>-0.23662739999999999</v>
      </c>
      <c r="Z4212">
        <v>-1.8652289999999998E-2</v>
      </c>
      <c r="AA4212">
        <v>0.97142139999999999</v>
      </c>
      <c r="AB4212">
        <v>28</v>
      </c>
      <c r="AC4212">
        <v>-27.039300000000001</v>
      </c>
      <c r="AD4212">
        <v>1.062235</v>
      </c>
      <c r="AE4212">
        <v>-33.185899999999997</v>
      </c>
      <c r="AF4212">
        <v>-7.75081774290559</v>
      </c>
      <c r="AG4212">
        <v>1.062235</v>
      </c>
      <c r="AH4212">
        <v>42.072531702947302</v>
      </c>
      <c r="AI4212">
        <v>88.577645245985593</v>
      </c>
      <c r="AJ4212">
        <v>100.43828477588301</v>
      </c>
      <c r="AK4212">
        <v>42.793707981132798</v>
      </c>
      <c r="AL4212">
        <v>80.561723621640994</v>
      </c>
      <c r="AM4212">
        <v>76.977290500524603</v>
      </c>
      <c r="AN4212">
        <v>0.99999997485323899</v>
      </c>
    </row>
    <row r="4213" spans="1:40" x14ac:dyDescent="0.25">
      <c r="A4213" t="str">
        <f>"20190304155719443"</f>
        <v>20190304155719443</v>
      </c>
      <c r="B4213" t="str">
        <f>"1551686239438999"</f>
        <v>1551686239438999</v>
      </c>
      <c r="C4213" t="s">
        <v>40</v>
      </c>
      <c r="D4213">
        <v>4.5817509999999997</v>
      </c>
      <c r="E4213">
        <v>0.73087139999999995</v>
      </c>
      <c r="F4213" t="s">
        <v>46</v>
      </c>
      <c r="G4213">
        <v>0</v>
      </c>
      <c r="H4213">
        <v>0</v>
      </c>
      <c r="I4213">
        <v>0</v>
      </c>
      <c r="J4213">
        <v>-199.68790000000001</v>
      </c>
      <c r="K4213">
        <v>1.0981730000000001</v>
      </c>
      <c r="L4213">
        <v>146.73650000000001</v>
      </c>
      <c r="M4213">
        <v>-0.77605159999999995</v>
      </c>
      <c r="N4213">
        <v>-1.179003E-2</v>
      </c>
      <c r="O4213">
        <v>-0.63055969999999995</v>
      </c>
      <c r="P4213">
        <v>-0.88306030000000002</v>
      </c>
      <c r="Q4213">
        <v>0.15926779999999999</v>
      </c>
      <c r="R4213">
        <v>-0.4414052</v>
      </c>
      <c r="S4213">
        <v>-3.4347080000000001</v>
      </c>
      <c r="T4213">
        <v>3.9024469999999999E-2</v>
      </c>
      <c r="U4213">
        <v>2.163696E-2</v>
      </c>
      <c r="V4213">
        <v>0.21895700000000001</v>
      </c>
      <c r="W4213">
        <v>0.16457859999999999</v>
      </c>
      <c r="X4213">
        <v>0.96175449999999996</v>
      </c>
      <c r="Y4213">
        <v>0.63531230000000005</v>
      </c>
      <c r="Z4213">
        <v>-1.447858E-2</v>
      </c>
      <c r="AA4213">
        <v>0.77211960000000002</v>
      </c>
      <c r="AB4213">
        <v>28</v>
      </c>
      <c r="AC4213">
        <v>-3.4347080000000001</v>
      </c>
      <c r="AD4213">
        <v>3.9024469999999999E-2</v>
      </c>
      <c r="AE4213">
        <v>2.163696E-2</v>
      </c>
      <c r="AF4213">
        <v>2.1824491483016102</v>
      </c>
      <c r="AG4213">
        <v>3.9024469999999999E-2</v>
      </c>
      <c r="AH4213">
        <v>2.6517084473064898</v>
      </c>
      <c r="AI4213">
        <v>89.348973639344095</v>
      </c>
      <c r="AJ4213">
        <v>50.544420367816699</v>
      </c>
      <c r="AK4213">
        <v>3.43455453933954</v>
      </c>
      <c r="AL4213">
        <v>80.527244640148297</v>
      </c>
      <c r="AM4213">
        <v>77.174411560725801</v>
      </c>
      <c r="AN4213">
        <v>1.0000000008486001</v>
      </c>
    </row>
    <row r="4214" spans="1:40" x14ac:dyDescent="0.25">
      <c r="A4214" t="str">
        <f>"20190304155719467"</f>
        <v>20190304155719467</v>
      </c>
      <c r="B4214" t="str">
        <f>"1551686239459495"</f>
        <v>1551686239459495</v>
      </c>
      <c r="C4214" t="s">
        <v>40</v>
      </c>
      <c r="D4214">
        <v>5.302327</v>
      </c>
      <c r="E4214">
        <v>0.73112869999999996</v>
      </c>
      <c r="F4214" t="s">
        <v>70</v>
      </c>
      <c r="G4214">
        <v>-345.32920000000001</v>
      </c>
      <c r="H4214">
        <v>6.5092650000000001</v>
      </c>
      <c r="I4214">
        <v>159.86779999999999</v>
      </c>
      <c r="J4214">
        <v>-199.923</v>
      </c>
      <c r="K4214">
        <v>1.0981879999999999</v>
      </c>
      <c r="L4214">
        <v>146.56620000000001</v>
      </c>
      <c r="M4214">
        <v>-0.78591560000000005</v>
      </c>
      <c r="N4214">
        <v>-1.1788699999999999E-2</v>
      </c>
      <c r="O4214">
        <v>-0.61822180000000004</v>
      </c>
      <c r="P4214">
        <v>-0.88886180000000004</v>
      </c>
      <c r="Q4214">
        <v>0.15924669999999999</v>
      </c>
      <c r="R4214">
        <v>-0.42961139999999998</v>
      </c>
      <c r="S4214">
        <v>-3.5328219999999999</v>
      </c>
      <c r="T4214">
        <v>0.13125819999999999</v>
      </c>
      <c r="U4214">
        <v>0.31852720000000001</v>
      </c>
      <c r="V4214">
        <v>0.21655779999999999</v>
      </c>
      <c r="W4214">
        <v>0.16463739999999999</v>
      </c>
      <c r="X4214">
        <v>0.96228749999999996</v>
      </c>
      <c r="Y4214">
        <v>0.68531319999999996</v>
      </c>
      <c r="Z4214">
        <v>-3.801028E-2</v>
      </c>
      <c r="AA4214">
        <v>0.72725589999999996</v>
      </c>
      <c r="AB4214">
        <v>28</v>
      </c>
      <c r="AC4214">
        <v>-145.40620000000001</v>
      </c>
      <c r="AD4214">
        <v>5.4110769999999997</v>
      </c>
      <c r="AE4214">
        <v>13.301599999999899</v>
      </c>
      <c r="AF4214">
        <v>100.216533454249</v>
      </c>
      <c r="AG4214">
        <v>5.4110769999999997</v>
      </c>
      <c r="AH4214">
        <v>105.91554601973</v>
      </c>
      <c r="AI4214">
        <v>87.874747186524701</v>
      </c>
      <c r="AJ4214">
        <v>46.583674938405103</v>
      </c>
      <c r="AK4214">
        <v>145.91345455626799</v>
      </c>
      <c r="AL4214">
        <v>80.523828985691594</v>
      </c>
      <c r="AM4214">
        <v>77.317173251485599</v>
      </c>
      <c r="AN4214">
        <v>0.99999999343792501</v>
      </c>
    </row>
    <row r="4215" spans="1:40" x14ac:dyDescent="0.25">
      <c r="A4215" t="str">
        <f>"20190304155719481"</f>
        <v>20190304155719481</v>
      </c>
      <c r="B4215" t="str">
        <f>"1551686239479015"</f>
        <v>1551686239479015</v>
      </c>
      <c r="C4215" t="s">
        <v>40</v>
      </c>
      <c r="D4215">
        <v>5.1380819999999998</v>
      </c>
      <c r="E4215">
        <v>0.7254005</v>
      </c>
      <c r="F4215" t="s">
        <v>70</v>
      </c>
      <c r="G4215">
        <v>-343.8116</v>
      </c>
      <c r="H4215">
        <v>6.0491000000000001</v>
      </c>
      <c r="I4215">
        <v>161.5446</v>
      </c>
      <c r="J4215">
        <v>-200.07300000000001</v>
      </c>
      <c r="K4215">
        <v>1.0982050000000001</v>
      </c>
      <c r="L4215">
        <v>146.46080000000001</v>
      </c>
      <c r="M4215">
        <v>-0.7920142</v>
      </c>
      <c r="N4215">
        <v>-1.1785439999999999E-2</v>
      </c>
      <c r="O4215">
        <v>-0.61038879999999995</v>
      </c>
      <c r="P4215">
        <v>-0.8925341</v>
      </c>
      <c r="Q4215">
        <v>0.1594662</v>
      </c>
      <c r="R4215">
        <v>-0.42184539999999998</v>
      </c>
      <c r="S4215">
        <v>-3.5309910000000002</v>
      </c>
      <c r="T4215">
        <v>0.12149550000000001</v>
      </c>
      <c r="U4215">
        <v>0.36756899999999998</v>
      </c>
      <c r="V4215">
        <v>0.21536659999999999</v>
      </c>
      <c r="W4215">
        <v>0.1648993</v>
      </c>
      <c r="X4215">
        <v>0.96250999999999998</v>
      </c>
      <c r="Y4215">
        <v>0.68826639999999994</v>
      </c>
      <c r="Z4215">
        <v>-3.5162110000000003E-2</v>
      </c>
      <c r="AA4215">
        <v>0.72460539999999996</v>
      </c>
      <c r="AB4215">
        <v>28</v>
      </c>
      <c r="AC4215">
        <v>-143.73859999999999</v>
      </c>
      <c r="AD4215">
        <v>4.950895</v>
      </c>
      <c r="AE4215">
        <v>15.083799999999901</v>
      </c>
      <c r="AF4215">
        <v>99.573101085515901</v>
      </c>
      <c r="AG4215">
        <v>4.950895</v>
      </c>
      <c r="AH4215">
        <v>104.52065405314499</v>
      </c>
      <c r="AI4215">
        <v>88.035763063708202</v>
      </c>
      <c r="AJ4215">
        <v>46.388667650208902</v>
      </c>
      <c r="AK4215">
        <v>144.44334856539601</v>
      </c>
      <c r="AL4215">
        <v>80.508615594641199</v>
      </c>
      <c r="AM4215">
        <v>77.387520676317195</v>
      </c>
      <c r="AN4215">
        <v>1.0000000258180199</v>
      </c>
    </row>
    <row r="4216" spans="1:40" x14ac:dyDescent="0.25">
      <c r="A4216" t="str">
        <f>"20190304155719500"</f>
        <v>20190304155719500</v>
      </c>
      <c r="B4216" t="str">
        <f>"1551686239488774"</f>
        <v>1551686239488774</v>
      </c>
      <c r="C4216" t="s">
        <v>40</v>
      </c>
      <c r="D4216">
        <v>5.0876460000000003</v>
      </c>
      <c r="E4216">
        <v>0.71869280000000002</v>
      </c>
      <c r="F4216" t="s">
        <v>70</v>
      </c>
      <c r="G4216">
        <v>-343.87689999999998</v>
      </c>
      <c r="H4216">
        <v>5.5452309999999896</v>
      </c>
      <c r="I4216">
        <v>161.07299999999901</v>
      </c>
      <c r="J4216">
        <v>-200.2706</v>
      </c>
      <c r="K4216">
        <v>1.098236</v>
      </c>
      <c r="L4216">
        <v>146.32480000000001</v>
      </c>
      <c r="M4216">
        <v>-0.79983649999999995</v>
      </c>
      <c r="N4216">
        <v>-1.177836E-2</v>
      </c>
      <c r="O4216">
        <v>-0.60010240000000004</v>
      </c>
      <c r="P4216">
        <v>-0.89700539999999995</v>
      </c>
      <c r="Q4216">
        <v>0.15959870000000001</v>
      </c>
      <c r="R4216">
        <v>-0.41220119999999999</v>
      </c>
      <c r="S4216">
        <v>-3.510437</v>
      </c>
      <c r="T4216">
        <v>0.108559</v>
      </c>
      <c r="U4216">
        <v>0.35670469999999999</v>
      </c>
      <c r="V4216">
        <v>0.2132723</v>
      </c>
      <c r="W4216">
        <v>0.16510720000000001</v>
      </c>
      <c r="X4216">
        <v>0.96294060000000004</v>
      </c>
      <c r="Y4216">
        <v>0.67720319999999901</v>
      </c>
      <c r="Z4216">
        <v>-3.1448789999999997E-2</v>
      </c>
      <c r="AA4216">
        <v>0.73512359999999999</v>
      </c>
      <c r="AB4216">
        <v>28</v>
      </c>
      <c r="AC4216">
        <v>-143.60629999999901</v>
      </c>
      <c r="AD4216">
        <v>4.4469949999999896</v>
      </c>
      <c r="AE4216">
        <v>14.748199999999899</v>
      </c>
      <c r="AF4216">
        <v>97.888539931546703</v>
      </c>
      <c r="AG4216">
        <v>4.4469949999999896</v>
      </c>
      <c r="AH4216">
        <v>105.91797415770201</v>
      </c>
      <c r="AI4216">
        <v>88.233913982163003</v>
      </c>
      <c r="AJ4216">
        <v>47.256134416880599</v>
      </c>
      <c r="AK4216">
        <v>144.293309838439</v>
      </c>
      <c r="AL4216">
        <v>80.496538301440395</v>
      </c>
      <c r="AM4216">
        <v>77.511711376248897</v>
      </c>
      <c r="AN4216">
        <v>1.00000003028374</v>
      </c>
    </row>
    <row r="4217" spans="1:40" x14ac:dyDescent="0.25">
      <c r="A4217" t="str">
        <f>"20190304155719523"</f>
        <v>20190304155719523</v>
      </c>
      <c r="B4217" t="str">
        <f>"1551686239519031"</f>
        <v>1551686239519031</v>
      </c>
      <c r="C4217" t="s">
        <v>40</v>
      </c>
      <c r="D4217">
        <v>5.080317</v>
      </c>
      <c r="E4217">
        <v>0.71339419999999898</v>
      </c>
      <c r="F4217" t="s">
        <v>70</v>
      </c>
      <c r="G4217">
        <v>-345.75049999999999</v>
      </c>
      <c r="H4217">
        <v>5.0869160000000004</v>
      </c>
      <c r="I4217">
        <v>160.75049999999999</v>
      </c>
      <c r="J4217">
        <v>-200.5138</v>
      </c>
      <c r="K4217">
        <v>1.0982959999999999</v>
      </c>
      <c r="L4217">
        <v>146.16239999999999</v>
      </c>
      <c r="M4217">
        <v>-0.80911979999999994</v>
      </c>
      <c r="N4217">
        <v>-1.176482E-2</v>
      </c>
      <c r="O4217">
        <v>-0.58752629999999995</v>
      </c>
      <c r="P4217">
        <v>-0.90200290000000005</v>
      </c>
      <c r="Q4217">
        <v>0.15881809999999999</v>
      </c>
      <c r="R4217">
        <v>-0.40145750000000002</v>
      </c>
      <c r="S4217">
        <v>-3.486313</v>
      </c>
      <c r="T4217">
        <v>9.5586900000000002E-2</v>
      </c>
      <c r="U4217">
        <v>0.34570309999999999</v>
      </c>
      <c r="V4217">
        <v>0.20974809999999999</v>
      </c>
      <c r="W4217">
        <v>0.1644525</v>
      </c>
      <c r="X4217">
        <v>0.96382630000000002</v>
      </c>
      <c r="Y4217">
        <v>0.66396499999999903</v>
      </c>
      <c r="Z4217">
        <v>-2.7707059999999999E-2</v>
      </c>
      <c r="AA4217">
        <v>0.74725010000000003</v>
      </c>
      <c r="AB4217">
        <v>28</v>
      </c>
      <c r="AC4217">
        <v>-145.23669999999899</v>
      </c>
      <c r="AD4217">
        <v>3.9886200000000001</v>
      </c>
      <c r="AE4217">
        <v>14.588099999999899</v>
      </c>
      <c r="AF4217">
        <v>97.068125700938793</v>
      </c>
      <c r="AG4217">
        <v>3.9886200000000001</v>
      </c>
      <c r="AH4217">
        <v>108.869224686419</v>
      </c>
      <c r="AI4217">
        <v>88.433591408558399</v>
      </c>
      <c r="AJ4217">
        <v>48.279708635842503</v>
      </c>
      <c r="AK4217">
        <v>145.913118671419</v>
      </c>
      <c r="AL4217">
        <v>80.534569561917905</v>
      </c>
      <c r="AM4217">
        <v>77.722702354037494</v>
      </c>
      <c r="AN4217">
        <v>1.00000001339077</v>
      </c>
    </row>
    <row r="4218" spans="1:40" x14ac:dyDescent="0.25">
      <c r="A4218" t="str">
        <f>"20190304155719544"</f>
        <v>20190304155719544</v>
      </c>
      <c r="B4218" t="str">
        <f>"1551686239539527"</f>
        <v>1551686239539527</v>
      </c>
      <c r="C4218" t="s">
        <v>40</v>
      </c>
      <c r="D4218">
        <v>5.0595460000000001</v>
      </c>
      <c r="E4218">
        <v>0.70864519999999998</v>
      </c>
      <c r="F4218" t="s">
        <v>70</v>
      </c>
      <c r="G4218">
        <v>-345.56310000000002</v>
      </c>
      <c r="H4218">
        <v>4.7578809999999896</v>
      </c>
      <c r="I4218">
        <v>160.74619999999999</v>
      </c>
      <c r="J4218">
        <v>-200.73840000000001</v>
      </c>
      <c r="K4218">
        <v>1.098368</v>
      </c>
      <c r="L4218">
        <v>146.017</v>
      </c>
      <c r="M4218">
        <v>-0.81736219999999904</v>
      </c>
      <c r="N4218">
        <v>-1.174827E-2</v>
      </c>
      <c r="O4218">
        <v>-0.57600450000000003</v>
      </c>
      <c r="P4218">
        <v>-0.90722829999999999</v>
      </c>
      <c r="Q4218">
        <v>0.158302</v>
      </c>
      <c r="R4218">
        <v>-0.38971470000000002</v>
      </c>
      <c r="S4218">
        <v>-3.4656220000000002</v>
      </c>
      <c r="T4218">
        <v>8.7438699999999994E-2</v>
      </c>
      <c r="U4218">
        <v>0.34844969999999997</v>
      </c>
      <c r="V4218">
        <v>0.20861099999999999</v>
      </c>
      <c r="W4218">
        <v>0.16399159999999999</v>
      </c>
      <c r="X4218">
        <v>0.9641516</v>
      </c>
      <c r="Y4218">
        <v>0.65443419999999997</v>
      </c>
      <c r="Z4218">
        <v>-2.5290679999999999E-2</v>
      </c>
      <c r="AA4218">
        <v>0.75569589999999998</v>
      </c>
      <c r="AB4218">
        <v>28</v>
      </c>
      <c r="AC4218">
        <v>-144.82470000000001</v>
      </c>
      <c r="AD4218">
        <v>3.659513</v>
      </c>
      <c r="AE4218">
        <v>14.729199999999899</v>
      </c>
      <c r="AF4218">
        <v>95.405057859651194</v>
      </c>
      <c r="AG4218">
        <v>3.659513</v>
      </c>
      <c r="AH4218">
        <v>109.828317364876</v>
      </c>
      <c r="AI4218">
        <v>88.5590413115887</v>
      </c>
      <c r="AJ4218">
        <v>49.019986622839802</v>
      </c>
      <c r="AK4218">
        <v>145.52586160473501</v>
      </c>
      <c r="AL4218">
        <v>80.561341005087897</v>
      </c>
      <c r="AM4218">
        <v>77.791254780288099</v>
      </c>
      <c r="AN4218">
        <v>1.0000000509870499</v>
      </c>
    </row>
    <row r="4219" spans="1:40" x14ac:dyDescent="0.25">
      <c r="A4219" t="str">
        <f>"20190304155719567"</f>
        <v>20190304155719567</v>
      </c>
      <c r="B4219" t="str">
        <f>"1551686239559047"</f>
        <v>1551686239559047</v>
      </c>
      <c r="C4219" t="s">
        <v>40</v>
      </c>
      <c r="D4219">
        <v>5.0823299999999998</v>
      </c>
      <c r="E4219">
        <v>0.70247360000000003</v>
      </c>
      <c r="F4219" t="s">
        <v>70</v>
      </c>
      <c r="G4219">
        <v>-344.7002</v>
      </c>
      <c r="H4219">
        <v>4.2115070000000001</v>
      </c>
      <c r="I4219">
        <v>160.9649</v>
      </c>
      <c r="J4219">
        <v>-200.9881</v>
      </c>
      <c r="K4219">
        <v>1.098465</v>
      </c>
      <c r="L4219">
        <v>145.86019999999999</v>
      </c>
      <c r="M4219">
        <v>-0.82615269999999996</v>
      </c>
      <c r="N4219">
        <v>-1.17255E-2</v>
      </c>
      <c r="O4219">
        <v>-0.56332450000000001</v>
      </c>
      <c r="P4219">
        <v>-0.91299359999999996</v>
      </c>
      <c r="Q4219">
        <v>0.15775739999999999</v>
      </c>
      <c r="R4219">
        <v>-0.37623879999999998</v>
      </c>
      <c r="S4219">
        <v>-3.4475560000000001</v>
      </c>
      <c r="T4219">
        <v>7.4553850000000005E-2</v>
      </c>
      <c r="U4219">
        <v>0.35797119999999999</v>
      </c>
      <c r="V4219">
        <v>0.208007</v>
      </c>
      <c r="W4219">
        <v>0.1634939</v>
      </c>
      <c r="X4219">
        <v>0.96436659999999996</v>
      </c>
      <c r="Y4219">
        <v>0.64530430000000005</v>
      </c>
      <c r="Z4219">
        <v>-2.1676310000000001E-2</v>
      </c>
      <c r="AA4219">
        <v>0.76361809999999997</v>
      </c>
      <c r="AB4219">
        <v>28</v>
      </c>
      <c r="AC4219">
        <v>-143.71209999999999</v>
      </c>
      <c r="AD4219">
        <v>3.1130419999999899</v>
      </c>
      <c r="AE4219">
        <v>15.104699999999999</v>
      </c>
      <c r="AF4219">
        <v>93.398400765700401</v>
      </c>
      <c r="AG4219">
        <v>3.1130419999999899</v>
      </c>
      <c r="AH4219">
        <v>110.175722400233</v>
      </c>
      <c r="AI4219">
        <v>88.765295824185401</v>
      </c>
      <c r="AJ4219">
        <v>49.711316967142601</v>
      </c>
      <c r="AK4219">
        <v>144.47021181716801</v>
      </c>
      <c r="AL4219">
        <v>80.590247280877193</v>
      </c>
      <c r="AM4219">
        <v>77.828180678696</v>
      </c>
      <c r="AN4219">
        <v>1.0000000532908799</v>
      </c>
    </row>
    <row r="4220" spans="1:40" x14ac:dyDescent="0.25">
      <c r="A4220" t="str">
        <f>"20190304155719589"</f>
        <v>20190304155719589</v>
      </c>
      <c r="B4220" t="str">
        <f>"1551686239579543"</f>
        <v>1551686239579543</v>
      </c>
      <c r="C4220" t="s">
        <v>40</v>
      </c>
      <c r="D4220">
        <v>5.01884</v>
      </c>
      <c r="E4220">
        <v>0.69828109999999999</v>
      </c>
      <c r="F4220" t="s">
        <v>70</v>
      </c>
      <c r="G4220">
        <v>-345.15800000000002</v>
      </c>
      <c r="H4220">
        <v>3.5813269999999902</v>
      </c>
      <c r="I4220">
        <v>161.11869999999999</v>
      </c>
      <c r="J4220">
        <v>-201.22810000000001</v>
      </c>
      <c r="K4220">
        <v>1.098579</v>
      </c>
      <c r="L4220">
        <v>145.71430000000001</v>
      </c>
      <c r="M4220">
        <v>-0.83422369999999901</v>
      </c>
      <c r="N4220">
        <v>-1.1698099999999999E-2</v>
      </c>
      <c r="O4220">
        <v>-0.55130210000000002</v>
      </c>
      <c r="P4220">
        <v>-0.91822579999999998</v>
      </c>
      <c r="Q4220">
        <v>0.1578889</v>
      </c>
      <c r="R4220">
        <v>-0.36322549999999998</v>
      </c>
      <c r="S4220">
        <v>-3.4250790000000002</v>
      </c>
      <c r="T4220">
        <v>5.898726E-2</v>
      </c>
      <c r="U4220">
        <v>0.36250310000000002</v>
      </c>
      <c r="V4220">
        <v>0.20769000000000001</v>
      </c>
      <c r="W4220">
        <v>0.16366700000000001</v>
      </c>
      <c r="X4220">
        <v>0.96440550000000003</v>
      </c>
      <c r="Y4220">
        <v>0.63582869999999903</v>
      </c>
      <c r="Z4220">
        <v>-1.7514539999999999E-2</v>
      </c>
      <c r="AA4220">
        <v>0.77163149999999903</v>
      </c>
      <c r="AB4220">
        <v>28</v>
      </c>
      <c r="AC4220">
        <v>-143.9299</v>
      </c>
      <c r="AD4220">
        <v>2.4827479999999902</v>
      </c>
      <c r="AE4220">
        <v>15.4043999999999</v>
      </c>
      <c r="AF4220">
        <v>92.178762005767197</v>
      </c>
      <c r="AG4220">
        <v>2.4827479999999902</v>
      </c>
      <c r="AH4220">
        <v>111.55207237480199</v>
      </c>
      <c r="AI4220">
        <v>89.017084586134402</v>
      </c>
      <c r="AJ4220">
        <v>50.432074942846597</v>
      </c>
      <c r="AK4220">
        <v>144.730622377092</v>
      </c>
      <c r="AL4220">
        <v>80.580193416423498</v>
      </c>
      <c r="AM4220">
        <v>77.846654170711005</v>
      </c>
      <c r="AN4220">
        <v>0.99999999570962494</v>
      </c>
    </row>
    <row r="4221" spans="1:40" x14ac:dyDescent="0.25">
      <c r="A4221" t="str">
        <f>"20190304155719612"</f>
        <v>20190304155719612</v>
      </c>
      <c r="B4221" t="str">
        <f>"1551686239608823"</f>
        <v>1551686239608823</v>
      </c>
      <c r="C4221" t="s">
        <v>40</v>
      </c>
      <c r="D4221">
        <v>4.947362</v>
      </c>
      <c r="E4221">
        <v>0.66076699999999999</v>
      </c>
      <c r="F4221" t="s">
        <v>70</v>
      </c>
      <c r="G4221">
        <v>-344.93560000000002</v>
      </c>
      <c r="H4221">
        <v>3.2078869999999999</v>
      </c>
      <c r="I4221">
        <v>161.70570000000001</v>
      </c>
      <c r="J4221">
        <v>-201.47640000000001</v>
      </c>
      <c r="K4221">
        <v>1.0987279999999999</v>
      </c>
      <c r="L4221">
        <v>145.56819999999999</v>
      </c>
      <c r="M4221">
        <v>-0.84217330000000001</v>
      </c>
      <c r="N4221">
        <v>-1.166238E-2</v>
      </c>
      <c r="O4221">
        <v>-0.53908069999999997</v>
      </c>
      <c r="P4221">
        <v>-0.92340789999999995</v>
      </c>
      <c r="Q4221">
        <v>0.15769330000000001</v>
      </c>
      <c r="R4221">
        <v>-0.34993000000000002</v>
      </c>
      <c r="S4221">
        <v>-3.4085999999999999</v>
      </c>
      <c r="T4221">
        <v>5.0032020000000003E-2</v>
      </c>
      <c r="U4221">
        <v>0.379303</v>
      </c>
      <c r="V4221">
        <v>0.20750460000000001</v>
      </c>
      <c r="W4221">
        <v>0.16351779999999999</v>
      </c>
      <c r="X4221">
        <v>0.96447070000000001</v>
      </c>
      <c r="Y4221">
        <v>0.62875909999999902</v>
      </c>
      <c r="Z4221">
        <v>-1.5021609999999999E-2</v>
      </c>
      <c r="AA4221">
        <v>0.77745500000000001</v>
      </c>
      <c r="AB4221">
        <v>28</v>
      </c>
      <c r="AC4221">
        <v>-143.45920000000001</v>
      </c>
      <c r="AD4221">
        <v>2.109159</v>
      </c>
      <c r="AE4221">
        <v>16.137499999999999</v>
      </c>
      <c r="AF4221">
        <v>90.913441530363201</v>
      </c>
      <c r="AG4221">
        <v>2.109159</v>
      </c>
      <c r="AH4221">
        <v>112.101796883329</v>
      </c>
      <c r="AI4221">
        <v>89.1627891205613</v>
      </c>
      <c r="AJ4221">
        <v>50.958291558459898</v>
      </c>
      <c r="AK4221">
        <v>144.348589418301</v>
      </c>
      <c r="AL4221">
        <v>80.588858541150302</v>
      </c>
      <c r="AM4221">
        <v>77.857977608758503</v>
      </c>
      <c r="AN4221">
        <v>0.99999998054824402</v>
      </c>
    </row>
    <row r="4222" spans="1:40" x14ac:dyDescent="0.25">
      <c r="A4222" t="str">
        <f>"20190304155719635"</f>
        <v>20190304155719635</v>
      </c>
      <c r="B4222" t="str">
        <f>"1551686239629319"</f>
        <v>1551686239629319</v>
      </c>
      <c r="C4222" t="s">
        <v>40</v>
      </c>
      <c r="D4222">
        <v>5.0172990000000004</v>
      </c>
      <c r="E4222">
        <v>0.65945859999999901</v>
      </c>
      <c r="F4222" t="s">
        <v>79</v>
      </c>
      <c r="G4222">
        <v>-511.92540000000002</v>
      </c>
      <c r="H4222">
        <v>0.75465689999999996</v>
      </c>
      <c r="I4222">
        <v>159.369</v>
      </c>
      <c r="J4222">
        <v>-201.73050000000001</v>
      </c>
      <c r="K4222">
        <v>1.098902</v>
      </c>
      <c r="L4222">
        <v>145.42339999999999</v>
      </c>
      <c r="M4222">
        <v>-0.84989780000000004</v>
      </c>
      <c r="N4222">
        <v>-1.1619529999999999E-2</v>
      </c>
      <c r="O4222">
        <v>-0.52681929999999999</v>
      </c>
      <c r="P4222">
        <v>-0.92840880000000003</v>
      </c>
      <c r="Q4222">
        <v>0.15720300000000001</v>
      </c>
      <c r="R4222">
        <v>-0.33666620000000003</v>
      </c>
      <c r="S4222">
        <v>-3.3051300000000001</v>
      </c>
      <c r="T4222">
        <v>-3.6625859999999998E-3</v>
      </c>
      <c r="U4222">
        <v>0.1469269</v>
      </c>
      <c r="V4222">
        <v>0.20730119999999999</v>
      </c>
      <c r="W4222">
        <v>0.1630808</v>
      </c>
      <c r="X4222">
        <v>0.96458849999999996</v>
      </c>
      <c r="Y4222">
        <v>0.56405000000000005</v>
      </c>
      <c r="Z4222">
        <v>-2.1963820000000002E-3</v>
      </c>
      <c r="AA4222">
        <v>0.82573779999999997</v>
      </c>
      <c r="AB4222">
        <v>28</v>
      </c>
      <c r="AC4222">
        <v>-310.19490000000002</v>
      </c>
      <c r="AD4222">
        <v>-0.34424510000000003</v>
      </c>
      <c r="AE4222">
        <v>13.945600000000001</v>
      </c>
      <c r="AF4222">
        <v>175.28062481796701</v>
      </c>
      <c r="AG4222">
        <v>-0.34424510000000003</v>
      </c>
      <c r="AH4222">
        <v>256.304157788851</v>
      </c>
      <c r="AI4222">
        <v>90.063521047531594</v>
      </c>
      <c r="AJ4222">
        <v>55.632657304159601</v>
      </c>
      <c r="AK4222">
        <v>310.50803088023002</v>
      </c>
      <c r="AL4222">
        <v>80.614238170892193</v>
      </c>
      <c r="AM4222">
        <v>77.870964367451705</v>
      </c>
      <c r="AN4222">
        <v>1.00000005459116</v>
      </c>
    </row>
    <row r="4223" spans="1:40" x14ac:dyDescent="0.25">
      <c r="A4223" t="str">
        <f>"20190304155719655"</f>
        <v>20190304155719655</v>
      </c>
      <c r="B4223" t="str">
        <f>"1551686239648839"</f>
        <v>1551686239648839</v>
      </c>
      <c r="C4223" t="s">
        <v>40</v>
      </c>
      <c r="D4223">
        <v>5.0167479999999998</v>
      </c>
      <c r="E4223">
        <v>0.65576519999999905</v>
      </c>
      <c r="F4223" t="s">
        <v>79</v>
      </c>
      <c r="G4223">
        <v>-511.92529999999999</v>
      </c>
      <c r="H4223">
        <v>0.26878659999999999</v>
      </c>
      <c r="I4223">
        <v>162.7064</v>
      </c>
      <c r="J4223">
        <v>-201.96610000000001</v>
      </c>
      <c r="K4223">
        <v>1.099065</v>
      </c>
      <c r="L4223">
        <v>145.29300000000001</v>
      </c>
      <c r="M4223">
        <v>-0.85673109999999997</v>
      </c>
      <c r="N4223">
        <v>-1.15789E-2</v>
      </c>
      <c r="O4223">
        <v>-0.51563379999999903</v>
      </c>
      <c r="P4223">
        <v>-0.93276979999999998</v>
      </c>
      <c r="Q4223">
        <v>0.156556</v>
      </c>
      <c r="R4223">
        <v>-0.32470169999999998</v>
      </c>
      <c r="S4223">
        <v>-3.299515</v>
      </c>
      <c r="T4223">
        <v>-8.8293550000000005E-3</v>
      </c>
      <c r="U4223">
        <v>0.1838379</v>
      </c>
      <c r="V4223">
        <v>0.20703170000000001</v>
      </c>
      <c r="W4223">
        <v>0.1624852</v>
      </c>
      <c r="X4223">
        <v>0.96474680000000002</v>
      </c>
      <c r="Y4223">
        <v>0.5625038</v>
      </c>
      <c r="Z4223">
        <v>-8.3320679999999904E-4</v>
      </c>
      <c r="AA4223">
        <v>0.82679429999999998</v>
      </c>
      <c r="AB4223">
        <v>28</v>
      </c>
      <c r="AC4223">
        <v>-309.95920000000001</v>
      </c>
      <c r="AD4223">
        <v>-0.83027839999999997</v>
      </c>
      <c r="AE4223">
        <v>17.4133999999999</v>
      </c>
      <c r="AF4223">
        <v>174.75446615947101</v>
      </c>
      <c r="AG4223">
        <v>-0.83027839999999997</v>
      </c>
      <c r="AH4223">
        <v>256.58805508415099</v>
      </c>
      <c r="AI4223">
        <v>90.153235588650205</v>
      </c>
      <c r="AJ4223">
        <v>55.742390869614198</v>
      </c>
      <c r="AK4223">
        <v>310.44684378613101</v>
      </c>
      <c r="AL4223">
        <v>80.648824120500805</v>
      </c>
      <c r="AM4223">
        <v>77.888195588709493</v>
      </c>
      <c r="AN4223">
        <v>0.99999997656708395</v>
      </c>
    </row>
    <row r="4224" spans="1:40" x14ac:dyDescent="0.25">
      <c r="A4224" t="str">
        <f>"20190304155719678"</f>
        <v>20190304155719678</v>
      </c>
      <c r="B4224" t="str">
        <f>"1551686239669336"</f>
        <v>1551686239669336</v>
      </c>
      <c r="C4224" t="s">
        <v>40</v>
      </c>
      <c r="D4224">
        <v>5.0556340000000004</v>
      </c>
      <c r="E4224">
        <v>0.65290109999999901</v>
      </c>
      <c r="F4224" t="s">
        <v>56</v>
      </c>
      <c r="G4224">
        <v>-450.83240000000001</v>
      </c>
      <c r="H4224">
        <v>0.1466471</v>
      </c>
      <c r="I4224">
        <v>160.2928</v>
      </c>
      <c r="J4224">
        <v>-202.21029999999999</v>
      </c>
      <c r="K4224">
        <v>1.0992360000000001</v>
      </c>
      <c r="L4224">
        <v>145.1618</v>
      </c>
      <c r="M4224">
        <v>-0.86347410000000002</v>
      </c>
      <c r="N4224">
        <v>-1.153737E-2</v>
      </c>
      <c r="O4224">
        <v>-0.50426130000000002</v>
      </c>
      <c r="P4224">
        <v>-0.93677820000000001</v>
      </c>
      <c r="Q4224">
        <v>0.15668070000000001</v>
      </c>
      <c r="R4224">
        <v>-0.31288640000000001</v>
      </c>
      <c r="S4224">
        <v>-3.2873230000000002</v>
      </c>
      <c r="T4224">
        <v>-1.258016E-2</v>
      </c>
      <c r="U4224">
        <v>0.19813539999999999</v>
      </c>
      <c r="V4224">
        <v>0.20639150000000001</v>
      </c>
      <c r="W4224">
        <v>0.16267290000000001</v>
      </c>
      <c r="X4224">
        <v>0.96485240000000005</v>
      </c>
      <c r="Y4224">
        <v>0.55530500000000005</v>
      </c>
      <c r="Z4224">
        <v>1.288874E-4</v>
      </c>
      <c r="AA4224">
        <v>0.83164680000000002</v>
      </c>
      <c r="AB4224">
        <v>28</v>
      </c>
      <c r="AC4224">
        <v>-248.62209999999999</v>
      </c>
      <c r="AD4224">
        <v>-0.95258889999999996</v>
      </c>
      <c r="AE4224">
        <v>15.130999999999901</v>
      </c>
      <c r="AF4224">
        <v>138.44291336960899</v>
      </c>
      <c r="AG4224">
        <v>-0.95258889999999996</v>
      </c>
      <c r="AH4224">
        <v>207.05951003451901</v>
      </c>
      <c r="AI4224">
        <v>90.219123952851803</v>
      </c>
      <c r="AJ4224">
        <v>56.2327533607167</v>
      </c>
      <c r="AK4224">
        <v>249.08028501592099</v>
      </c>
      <c r="AL4224">
        <v>80.637925278362204</v>
      </c>
      <c r="AM4224">
        <v>77.925830634314806</v>
      </c>
      <c r="AN4224">
        <v>1.0000000387262</v>
      </c>
    </row>
    <row r="4225" spans="1:40" x14ac:dyDescent="0.25">
      <c r="A4225" t="str">
        <f>"20190304155719703"</f>
        <v>20190304155719703</v>
      </c>
      <c r="B4225" t="str">
        <f>"1551686239698615"</f>
        <v>1551686239698615</v>
      </c>
      <c r="C4225" t="s">
        <v>40</v>
      </c>
      <c r="D4225">
        <v>5.2515289999999997</v>
      </c>
      <c r="E4225">
        <v>0.64649679999999998</v>
      </c>
      <c r="F4225" t="s">
        <v>44</v>
      </c>
      <c r="G4225">
        <v>-363.09210000000002</v>
      </c>
      <c r="H4225">
        <v>-0.05</v>
      </c>
      <c r="I4225">
        <v>155.83680000000001</v>
      </c>
      <c r="J4225">
        <v>-202.4932</v>
      </c>
      <c r="K4225">
        <v>1.0994539999999999</v>
      </c>
      <c r="L4225">
        <v>145.0145</v>
      </c>
      <c r="M4225">
        <v>-0.87086090000000005</v>
      </c>
      <c r="N4225">
        <v>-1.148622E-2</v>
      </c>
      <c r="O4225">
        <v>-0.49139549999999999</v>
      </c>
      <c r="P4225">
        <v>-0.94124509999999995</v>
      </c>
      <c r="Q4225">
        <v>0.1567412</v>
      </c>
      <c r="R4225">
        <v>-0.2991489</v>
      </c>
      <c r="S4225">
        <v>-3.2790530000000002</v>
      </c>
      <c r="T4225">
        <v>-2.3423429999999999E-2</v>
      </c>
      <c r="U4225">
        <v>0.21757509999999999</v>
      </c>
      <c r="V4225">
        <v>0.2061016</v>
      </c>
      <c r="W4225">
        <v>0.16279660000000001</v>
      </c>
      <c r="X4225">
        <v>0.96489349999999996</v>
      </c>
      <c r="Y4225">
        <v>0.54797309999999999</v>
      </c>
      <c r="Z4225">
        <v>2.6953049999999998E-3</v>
      </c>
      <c r="AA4225">
        <v>0.836491599999999</v>
      </c>
      <c r="AB4225">
        <v>28</v>
      </c>
      <c r="AC4225">
        <v>-160.59889999999999</v>
      </c>
      <c r="AD4225">
        <v>-1.149454</v>
      </c>
      <c r="AE4225">
        <v>10.8223</v>
      </c>
      <c r="AF4225">
        <v>88.343609935451795</v>
      </c>
      <c r="AG4225">
        <v>-1.149454</v>
      </c>
      <c r="AH4225">
        <v>134.543276142639</v>
      </c>
      <c r="AI4225">
        <v>90.409168871543898</v>
      </c>
      <c r="AJ4225">
        <v>56.710354964399201</v>
      </c>
      <c r="AK4225">
        <v>160.95902527078101</v>
      </c>
      <c r="AL4225">
        <v>80.630741996332702</v>
      </c>
      <c r="AM4225">
        <v>77.942792082188106</v>
      </c>
      <c r="AN4225">
        <v>1.0000000344181801</v>
      </c>
    </row>
    <row r="4226" spans="1:40" x14ac:dyDescent="0.25">
      <c r="A4226" t="str">
        <f>"20190304155719725"</f>
        <v>20190304155719725</v>
      </c>
      <c r="B4226" t="str">
        <f>"1551686239719111"</f>
        <v>1551686239719111</v>
      </c>
      <c r="C4226" t="s">
        <v>40</v>
      </c>
      <c r="D4226">
        <v>5.1868280000000002</v>
      </c>
      <c r="E4226">
        <v>0.56620839999999995</v>
      </c>
      <c r="F4226" t="s">
        <v>41</v>
      </c>
      <c r="G4226">
        <v>-272.15339999999998</v>
      </c>
      <c r="H4226">
        <v>1.0737419999999999E-2</v>
      </c>
      <c r="I4226">
        <v>149.61609999999999</v>
      </c>
      <c r="J4226">
        <v>-202.75069999999999</v>
      </c>
      <c r="K4226">
        <v>1.0996699999999999</v>
      </c>
      <c r="L4226">
        <v>144.8845</v>
      </c>
      <c r="M4226">
        <v>-0.87719669999999905</v>
      </c>
      <c r="N4226">
        <v>-1.1434120000000001E-2</v>
      </c>
      <c r="O4226">
        <v>-0.47999520000000001</v>
      </c>
      <c r="P4226">
        <v>-0.94489020000000001</v>
      </c>
      <c r="Q4226">
        <v>0.15650720000000001</v>
      </c>
      <c r="R4226">
        <v>-0.28755599999999998</v>
      </c>
      <c r="S4226">
        <v>-3.2642820000000001</v>
      </c>
      <c r="T4226">
        <v>-5.1017399999999997E-2</v>
      </c>
      <c r="U4226">
        <v>0.2156372</v>
      </c>
      <c r="V4226">
        <v>0.20530229999999999</v>
      </c>
      <c r="W4226">
        <v>0.16264000000000001</v>
      </c>
      <c r="X4226">
        <v>0.96509029999999996</v>
      </c>
      <c r="Y4226">
        <v>0.53669709999999904</v>
      </c>
      <c r="Z4226">
        <v>8.8991060000000004E-3</v>
      </c>
      <c r="AA4226">
        <v>0.84372809999999898</v>
      </c>
      <c r="AB4226">
        <v>28</v>
      </c>
      <c r="AC4226">
        <v>-69.402699999999896</v>
      </c>
      <c r="AD4226">
        <v>-1.08893258</v>
      </c>
      <c r="AE4226">
        <v>4.7315999999999798</v>
      </c>
      <c r="AF4226">
        <v>37.4567742096744</v>
      </c>
      <c r="AG4226">
        <v>-1.08893258</v>
      </c>
      <c r="AH4226">
        <v>58.5981415637577</v>
      </c>
      <c r="AI4226">
        <v>90.897038786748496</v>
      </c>
      <c r="AJ4226">
        <v>57.4127016472642</v>
      </c>
      <c r="AK4226">
        <v>69.555286665245703</v>
      </c>
      <c r="AL4226">
        <v>80.639835816286705</v>
      </c>
      <c r="AM4226">
        <v>77.990569830743596</v>
      </c>
      <c r="AN4226">
        <v>1.00000004556968</v>
      </c>
    </row>
    <row r="4227" spans="1:40" x14ac:dyDescent="0.25">
      <c r="A4227" t="str">
        <f>"20190304155719747"</f>
        <v>20190304155719747</v>
      </c>
      <c r="B4227" t="str">
        <f>"1551686239738631"</f>
        <v>1551686239738631</v>
      </c>
      <c r="C4227" t="s">
        <v>40</v>
      </c>
      <c r="D4227">
        <v>5.1903249999999996</v>
      </c>
      <c r="E4227">
        <v>0.55625959999999997</v>
      </c>
      <c r="F4227" t="s">
        <v>41</v>
      </c>
      <c r="G4227">
        <v>-215.4965</v>
      </c>
      <c r="H4227" s="1">
        <v>-3.1193610000000001E-6</v>
      </c>
      <c r="I4227">
        <v>143.41239999999999</v>
      </c>
      <c r="J4227">
        <v>-203.00729999999999</v>
      </c>
      <c r="K4227">
        <v>1.0999110000000001</v>
      </c>
      <c r="L4227">
        <v>144.7587</v>
      </c>
      <c r="M4227">
        <v>-0.88314809999999999</v>
      </c>
      <c r="N4227">
        <v>-1.137733E-2</v>
      </c>
      <c r="O4227">
        <v>-0.46895629999999999</v>
      </c>
      <c r="P4227">
        <v>-0.94800649999999997</v>
      </c>
      <c r="Q4227">
        <v>0.15602070000000001</v>
      </c>
      <c r="R4227">
        <v>-0.2773833</v>
      </c>
      <c r="S4227">
        <v>-3.1100919999999999</v>
      </c>
      <c r="T4227">
        <v>-0.26833050000000003</v>
      </c>
      <c r="U4227">
        <v>-0.3592072</v>
      </c>
      <c r="V4227">
        <v>0.2034976</v>
      </c>
      <c r="W4227">
        <v>0.16226499999999999</v>
      </c>
      <c r="X4227">
        <v>0.96553549999999999</v>
      </c>
      <c r="Y4227">
        <v>0.3619115</v>
      </c>
      <c r="Z4227">
        <v>5.0827020000000001E-2</v>
      </c>
      <c r="AA4227">
        <v>0.93082580000000004</v>
      </c>
      <c r="AB4227">
        <v>28</v>
      </c>
      <c r="AC4227">
        <v>-12.4892</v>
      </c>
      <c r="AD4227">
        <v>-1.099914119361</v>
      </c>
      <c r="AE4227">
        <v>-1.34630000000001</v>
      </c>
      <c r="AF4227">
        <v>4.6326895613121604</v>
      </c>
      <c r="AG4227">
        <v>-1.099914119361</v>
      </c>
      <c r="AH4227">
        <v>11.5731910489434</v>
      </c>
      <c r="AI4227">
        <v>95.042337231847995</v>
      </c>
      <c r="AJ4227">
        <v>68.184025138632606</v>
      </c>
      <c r="AK4227">
        <v>12.5144066857684</v>
      </c>
      <c r="AL4227">
        <v>80.6616105812423</v>
      </c>
      <c r="AM4227">
        <v>78.098445661567297</v>
      </c>
      <c r="AN4227">
        <v>1.0000000025955</v>
      </c>
    </row>
    <row r="4228" spans="1:40" x14ac:dyDescent="0.25">
      <c r="A4228" t="str">
        <f>"20190304155719768"</f>
        <v>20190304155719768</v>
      </c>
      <c r="B4228" t="str">
        <f>"1551686239759127"</f>
        <v>1551686239759127</v>
      </c>
      <c r="C4228" t="s">
        <v>40</v>
      </c>
      <c r="D4228">
        <v>4.7351429999999999</v>
      </c>
      <c r="E4228">
        <v>0.56044609999999995</v>
      </c>
      <c r="F4228" t="s">
        <v>41</v>
      </c>
      <c r="G4228">
        <v>-216.07749999999999</v>
      </c>
      <c r="H4228" s="1">
        <v>-2.750331E-6</v>
      </c>
      <c r="I4228">
        <v>143.05779999999999</v>
      </c>
      <c r="J4228">
        <v>-203.24760000000001</v>
      </c>
      <c r="K4228">
        <v>1.1001609999999999</v>
      </c>
      <c r="L4228">
        <v>144.64420000000001</v>
      </c>
      <c r="M4228">
        <v>-0.8883972</v>
      </c>
      <c r="N4228">
        <v>-1.132086E-2</v>
      </c>
      <c r="O4228">
        <v>-0.45893620000000002</v>
      </c>
      <c r="P4228">
        <v>-0.95041010000000004</v>
      </c>
      <c r="Q4228">
        <v>0.156187299999999</v>
      </c>
      <c r="R4228">
        <v>-0.26893620000000001</v>
      </c>
      <c r="S4228">
        <v>-3.089661</v>
      </c>
      <c r="T4228">
        <v>-0.26000760000000001</v>
      </c>
      <c r="U4228">
        <v>-0.40208440000000001</v>
      </c>
      <c r="V4228">
        <v>0.20105429999999999</v>
      </c>
      <c r="W4228">
        <v>0.1625595</v>
      </c>
      <c r="X4228">
        <v>0.96599769999999896</v>
      </c>
      <c r="Y4228">
        <v>0.33808369999999999</v>
      </c>
      <c r="Z4228">
        <v>4.7685730000000003E-2</v>
      </c>
      <c r="AA4228">
        <v>0.93990720000000005</v>
      </c>
      <c r="AB4228">
        <v>28</v>
      </c>
      <c r="AC4228">
        <v>-12.829899999999901</v>
      </c>
      <c r="AD4228">
        <v>-1.100163750331</v>
      </c>
      <c r="AE4228">
        <v>-1.58640000000002</v>
      </c>
      <c r="AF4228">
        <v>4.4468334109179501</v>
      </c>
      <c r="AG4228">
        <v>-1.100163750331</v>
      </c>
      <c r="AH4228">
        <v>12.0396842509656</v>
      </c>
      <c r="AI4228">
        <v>94.899316753908295</v>
      </c>
      <c r="AJ4228">
        <v>69.728391307610096</v>
      </c>
      <c r="AK4228">
        <v>12.881719005045399</v>
      </c>
      <c r="AL4228">
        <v>80.6445098049915</v>
      </c>
      <c r="AM4228">
        <v>78.242808902198703</v>
      </c>
      <c r="AN4228">
        <v>0.99999998949701396</v>
      </c>
    </row>
    <row r="4229" spans="1:40" x14ac:dyDescent="0.25">
      <c r="A4229" t="str">
        <f>"20190304155719791"</f>
        <v>20190304155719791</v>
      </c>
      <c r="B4229" t="str">
        <f>"1551686239789382"</f>
        <v>1551686239789382</v>
      </c>
      <c r="C4229" t="s">
        <v>40</v>
      </c>
      <c r="D4229">
        <v>5.1134769999999996</v>
      </c>
      <c r="E4229">
        <v>0.55523719999999999</v>
      </c>
      <c r="F4229" t="s">
        <v>41</v>
      </c>
      <c r="G4229">
        <v>-219.38730000000001</v>
      </c>
      <c r="H4229" s="1">
        <v>-1.133038E-6</v>
      </c>
      <c r="I4229">
        <v>142.8596</v>
      </c>
      <c r="J4229">
        <v>-203.5146</v>
      </c>
      <c r="K4229">
        <v>1.1004430000000001</v>
      </c>
      <c r="L4229">
        <v>144.52029999999999</v>
      </c>
      <c r="M4229">
        <v>-0.89388719999999999</v>
      </c>
      <c r="N4229">
        <v>-1.125722E-2</v>
      </c>
      <c r="O4229">
        <v>-0.44815100000000002</v>
      </c>
      <c r="P4229">
        <v>-0.95315000000000005</v>
      </c>
      <c r="Q4229">
        <v>0.1565192</v>
      </c>
      <c r="R4229">
        <v>-0.25885730000000001</v>
      </c>
      <c r="S4229">
        <v>-3.094376</v>
      </c>
      <c r="T4229">
        <v>-0.21092720000000001</v>
      </c>
      <c r="U4229">
        <v>-0.3421478</v>
      </c>
      <c r="V4229">
        <v>0.19945550000000001</v>
      </c>
      <c r="W4229">
        <v>0.163008399999999</v>
      </c>
      <c r="X4229">
        <v>0.96625349999999999</v>
      </c>
      <c r="Y4229">
        <v>0.34566370000000002</v>
      </c>
      <c r="Z4229">
        <v>3.7871729999999999E-2</v>
      </c>
      <c r="AA4229">
        <v>0.93759389999999998</v>
      </c>
      <c r="AB4229">
        <v>28</v>
      </c>
      <c r="AC4229">
        <v>-15.8727</v>
      </c>
      <c r="AD4229">
        <v>-1.1004441330379999</v>
      </c>
      <c r="AE4229">
        <v>-1.6606999999999901</v>
      </c>
      <c r="AF4229">
        <v>5.60260588773248</v>
      </c>
      <c r="AG4229">
        <v>-1.1004441330379999</v>
      </c>
      <c r="AH4229">
        <v>14.8629252316506</v>
      </c>
      <c r="AI4229">
        <v>93.963166039353396</v>
      </c>
      <c r="AJ4229">
        <v>69.345976888478006</v>
      </c>
      <c r="AK4229">
        <v>15.9218942486385</v>
      </c>
      <c r="AL4229">
        <v>80.618442419401802</v>
      </c>
      <c r="AM4229">
        <v>78.336734271425001</v>
      </c>
      <c r="AN4229">
        <v>1.00000003060652</v>
      </c>
    </row>
    <row r="4230" spans="1:40" x14ac:dyDescent="0.25">
      <c r="A4230" t="str">
        <f>"20190304155719812"</f>
        <v>20190304155719812</v>
      </c>
      <c r="B4230" t="str">
        <f>"1551686239808903"</f>
        <v>1551686239808903</v>
      </c>
      <c r="C4230" t="s">
        <v>40</v>
      </c>
      <c r="D4230">
        <v>4.7802579999999999</v>
      </c>
      <c r="E4230">
        <v>0.55660710000000002</v>
      </c>
      <c r="F4230" t="s">
        <v>41</v>
      </c>
      <c r="G4230">
        <v>-219.0504</v>
      </c>
      <c r="H4230" s="1">
        <v>-1.2649820000000001E-6</v>
      </c>
      <c r="I4230">
        <v>142.7569</v>
      </c>
      <c r="J4230">
        <v>-203.76949999999999</v>
      </c>
      <c r="K4230">
        <v>1.1007180000000001</v>
      </c>
      <c r="L4230">
        <v>144.40539999999999</v>
      </c>
      <c r="M4230">
        <v>-0.89880400000000005</v>
      </c>
      <c r="N4230">
        <v>-1.119769E-2</v>
      </c>
      <c r="O4230">
        <v>-0.43820759999999997</v>
      </c>
      <c r="P4230">
        <v>-0.95552619999999999</v>
      </c>
      <c r="Q4230">
        <v>0.15627099999999999</v>
      </c>
      <c r="R4230">
        <v>-0.25009759999999998</v>
      </c>
      <c r="S4230">
        <v>-3.0881810000000001</v>
      </c>
      <c r="T4230">
        <v>-0.21874450000000001</v>
      </c>
      <c r="U4230">
        <v>-0.35052489999999997</v>
      </c>
      <c r="V4230">
        <v>0.19750519999999999</v>
      </c>
      <c r="W4230">
        <v>0.16287989999999999</v>
      </c>
      <c r="X4230">
        <v>0.96667559999999997</v>
      </c>
      <c r="Y4230">
        <v>0.33242880000000002</v>
      </c>
      <c r="Z4230">
        <v>3.8433479999999999E-2</v>
      </c>
      <c r="AA4230">
        <v>0.94234490000000004</v>
      </c>
      <c r="AB4230">
        <v>28</v>
      </c>
      <c r="AC4230">
        <v>-15.280900000000001</v>
      </c>
      <c r="AD4230">
        <v>-1.1007192649819999</v>
      </c>
      <c r="AE4230">
        <v>-1.6484999999999801</v>
      </c>
      <c r="AF4230">
        <v>5.1882449322633599</v>
      </c>
      <c r="AG4230">
        <v>-1.1007192649819999</v>
      </c>
      <c r="AH4230">
        <v>14.3840509461188</v>
      </c>
      <c r="AI4230">
        <v>94.117285932758605</v>
      </c>
      <c r="AJ4230">
        <v>70.165915926414996</v>
      </c>
      <c r="AK4230">
        <v>15.330700897154101</v>
      </c>
      <c r="AL4230">
        <v>80.625903807473605</v>
      </c>
      <c r="AM4230">
        <v>78.452607614123593</v>
      </c>
      <c r="AN4230">
        <v>0.99999994074320298</v>
      </c>
    </row>
    <row r="4231" spans="1:40" x14ac:dyDescent="0.25">
      <c r="A4231" t="str">
        <f>"20190304155719835"</f>
        <v>20190304155719835</v>
      </c>
      <c r="B4231" t="str">
        <f>"1551686239828422"</f>
        <v>1551686239828422</v>
      </c>
      <c r="C4231" t="s">
        <v>40</v>
      </c>
      <c r="D4231">
        <v>4.8086949999999904</v>
      </c>
      <c r="E4231">
        <v>0.55690280000000003</v>
      </c>
      <c r="F4231" t="s">
        <v>41</v>
      </c>
      <c r="G4231">
        <v>-220.4957</v>
      </c>
      <c r="H4231" s="1">
        <v>-4.6568759999999996E-6</v>
      </c>
      <c r="I4231">
        <v>142.71440000000001</v>
      </c>
      <c r="J4231">
        <v>-204.03550000000001</v>
      </c>
      <c r="K4231">
        <v>1.100965</v>
      </c>
      <c r="L4231">
        <v>144.2886</v>
      </c>
      <c r="M4231">
        <v>-0.90365510000000004</v>
      </c>
      <c r="N4231">
        <v>-1.114102E-2</v>
      </c>
      <c r="O4231">
        <v>-0.4281161</v>
      </c>
      <c r="P4231">
        <v>-0.95782069999999997</v>
      </c>
      <c r="Q4231">
        <v>0.15563399999999999</v>
      </c>
      <c r="R4231">
        <v>-0.24157290000000001</v>
      </c>
      <c r="S4231">
        <v>-3.09111</v>
      </c>
      <c r="T4231">
        <v>-0.20342080000000001</v>
      </c>
      <c r="U4231">
        <v>-0.3125</v>
      </c>
      <c r="V4231">
        <v>0.1952236</v>
      </c>
      <c r="W4231">
        <v>0.16235720000000001</v>
      </c>
      <c r="X4231">
        <v>0.9672269</v>
      </c>
      <c r="Y4231">
        <v>0.33367249999999998</v>
      </c>
      <c r="Z4231">
        <v>3.5117660000000002E-2</v>
      </c>
      <c r="AA4231">
        <v>0.9420347</v>
      </c>
      <c r="AB4231">
        <v>28</v>
      </c>
      <c r="AC4231">
        <v>-16.460199999999901</v>
      </c>
      <c r="AD4231">
        <v>-1.1009696568759999</v>
      </c>
      <c r="AE4231">
        <v>-1.5741999999999901</v>
      </c>
      <c r="AF4231">
        <v>5.5998658565885204</v>
      </c>
      <c r="AG4231">
        <v>-1.1009696568759999</v>
      </c>
      <c r="AH4231">
        <v>15.4806185329518</v>
      </c>
      <c r="AI4231">
        <v>93.826138194894497</v>
      </c>
      <c r="AJ4231">
        <v>70.113220704179895</v>
      </c>
      <c r="AK4231">
        <v>16.499096398285499</v>
      </c>
      <c r="AL4231">
        <v>80.656256849485104</v>
      </c>
      <c r="AM4231">
        <v>78.588818128732598</v>
      </c>
      <c r="AN4231">
        <v>0.99999999523620497</v>
      </c>
    </row>
    <row r="4232" spans="1:40" x14ac:dyDescent="0.25">
      <c r="A4232" t="str">
        <f>"20190304155719856"</f>
        <v>20190304155719856</v>
      </c>
      <c r="B4232" t="str">
        <f>"1551686239848920"</f>
        <v>1551686239848920</v>
      </c>
      <c r="C4232" t="s">
        <v>40</v>
      </c>
      <c r="D4232">
        <v>4.7530460000000003</v>
      </c>
      <c r="E4232">
        <v>0.55835469999999998</v>
      </c>
      <c r="F4232" t="s">
        <v>41</v>
      </c>
      <c r="G4232">
        <v>-221.44110000000001</v>
      </c>
      <c r="H4232" s="1">
        <v>-4.332194E-6</v>
      </c>
      <c r="I4232">
        <v>142.69759999999999</v>
      </c>
      <c r="J4232">
        <v>-204.2955</v>
      </c>
      <c r="K4232">
        <v>1.101178</v>
      </c>
      <c r="L4232">
        <v>144.17760000000001</v>
      </c>
      <c r="M4232">
        <v>-0.90813650000000001</v>
      </c>
      <c r="N4232">
        <v>-1.109099E-2</v>
      </c>
      <c r="O4232">
        <v>-0.41852739999999999</v>
      </c>
      <c r="P4232">
        <v>-0.95993930000000005</v>
      </c>
      <c r="Q4232">
        <v>0.1552519</v>
      </c>
      <c r="R4232">
        <v>-0.2332679</v>
      </c>
      <c r="S4232">
        <v>-3.092606</v>
      </c>
      <c r="T4232">
        <v>-0.19562009999999999</v>
      </c>
      <c r="U4232">
        <v>-0.2826843</v>
      </c>
      <c r="V4232">
        <v>0.19329460000000001</v>
      </c>
      <c r="W4232">
        <v>0.1620683</v>
      </c>
      <c r="X4232">
        <v>0.96766269999999999</v>
      </c>
      <c r="Y4232">
        <v>0.33286339999999998</v>
      </c>
      <c r="Z4232">
        <v>3.3217330000000003E-2</v>
      </c>
      <c r="AA4232">
        <v>0.94238980000000006</v>
      </c>
      <c r="AB4232">
        <v>28</v>
      </c>
      <c r="AC4232">
        <v>-17.145600000000002</v>
      </c>
      <c r="AD4232">
        <v>-1.101182332194</v>
      </c>
      <c r="AE4232">
        <v>-1.48000000000001</v>
      </c>
      <c r="AF4232">
        <v>5.8084378020042804</v>
      </c>
      <c r="AG4232">
        <v>-1.101182332194</v>
      </c>
      <c r="AH4232">
        <v>16.124939017095599</v>
      </c>
      <c r="AI4232">
        <v>93.676166896540906</v>
      </c>
      <c r="AJ4232">
        <v>70.190241472642299</v>
      </c>
      <c r="AK4232">
        <v>17.1745221340665</v>
      </c>
      <c r="AL4232">
        <v>80.673031990593202</v>
      </c>
      <c r="AM4232">
        <v>78.703614842515904</v>
      </c>
      <c r="AN4232">
        <v>1.0000000186126601</v>
      </c>
    </row>
    <row r="4233" spans="1:40" x14ac:dyDescent="0.25">
      <c r="A4233" t="str">
        <f>"20190304155719879"</f>
        <v>20190304155719879</v>
      </c>
      <c r="B4233" t="str">
        <f>"1551686239868439"</f>
        <v>1551686239868439</v>
      </c>
      <c r="C4233" t="s">
        <v>40</v>
      </c>
      <c r="D4233">
        <v>4.8249969999999998</v>
      </c>
      <c r="E4233">
        <v>0.55910599999999999</v>
      </c>
      <c r="F4233" t="s">
        <v>41</v>
      </c>
      <c r="G4233">
        <v>-223.3612</v>
      </c>
      <c r="H4233" s="1">
        <v>-3.643633E-6</v>
      </c>
      <c r="I4233">
        <v>142.673</v>
      </c>
      <c r="J4233">
        <v>-204.55869999999999</v>
      </c>
      <c r="K4233">
        <v>1.1013759999999999</v>
      </c>
      <c r="L4233">
        <v>144.06809999999999</v>
      </c>
      <c r="M4233">
        <v>-0.91242529999999999</v>
      </c>
      <c r="N4233">
        <v>-1.104022E-2</v>
      </c>
      <c r="O4233">
        <v>-0.40909430000000002</v>
      </c>
      <c r="P4233">
        <v>-0.96203519999999998</v>
      </c>
      <c r="Q4233">
        <v>0.15544949999999999</v>
      </c>
      <c r="R4233">
        <v>-0.22432969999999999</v>
      </c>
      <c r="S4233">
        <v>-3.0947420000000001</v>
      </c>
      <c r="T4233">
        <v>-0.17874409999999999</v>
      </c>
      <c r="U4233">
        <v>-0.24421689999999999</v>
      </c>
      <c r="V4233">
        <v>0.19217790000000001</v>
      </c>
      <c r="W4233">
        <v>0.1623309</v>
      </c>
      <c r="X4233">
        <v>0.96784110000000001</v>
      </c>
      <c r="Y4233">
        <v>0.33500750000000001</v>
      </c>
      <c r="Z4233">
        <v>2.981582E-2</v>
      </c>
      <c r="AA4233">
        <v>0.94174360000000001</v>
      </c>
      <c r="AB4233">
        <v>28</v>
      </c>
      <c r="AC4233">
        <v>-18.802499999999998</v>
      </c>
      <c r="AD4233">
        <v>-1.1013796436329999</v>
      </c>
      <c r="AE4233">
        <v>-1.39509999999998</v>
      </c>
      <c r="AF4233">
        <v>6.3976311934880501</v>
      </c>
      <c r="AG4233">
        <v>-1.1013796436329999</v>
      </c>
      <c r="AH4233">
        <v>17.6673968919226</v>
      </c>
      <c r="AI4233">
        <v>93.354553551435899</v>
      </c>
      <c r="AJ4233">
        <v>70.093913542636599</v>
      </c>
      <c r="AK4233">
        <v>18.822317470067802</v>
      </c>
      <c r="AL4233">
        <v>80.657784320475102</v>
      </c>
      <c r="AM4233">
        <v>78.769230065534998</v>
      </c>
      <c r="AN4233">
        <v>1.00000003059621</v>
      </c>
    </row>
    <row r="4234" spans="1:40" x14ac:dyDescent="0.25">
      <c r="A4234" t="str">
        <f>"20190304155719901"</f>
        <v>20190304155719901</v>
      </c>
      <c r="B4234" t="str">
        <f>"1551686239898695"</f>
        <v>1551686239898695</v>
      </c>
      <c r="C4234" t="s">
        <v>40</v>
      </c>
      <c r="D4234">
        <v>4.840929</v>
      </c>
      <c r="E4234">
        <v>0.5593534</v>
      </c>
      <c r="F4234" t="s">
        <v>41</v>
      </c>
      <c r="G4234">
        <v>-224.9342</v>
      </c>
      <c r="H4234" s="1">
        <v>-2.9708669999999999E-6</v>
      </c>
      <c r="I4234">
        <v>142.6806</v>
      </c>
      <c r="J4234">
        <v>-204.8261</v>
      </c>
      <c r="K4234">
        <v>1.1015680000000001</v>
      </c>
      <c r="L4234">
        <v>143.9599</v>
      </c>
      <c r="M4234">
        <v>-0.91654950000000002</v>
      </c>
      <c r="N4234">
        <v>-1.098385E-2</v>
      </c>
      <c r="O4234">
        <v>-0.39977069999999998</v>
      </c>
      <c r="P4234">
        <v>-0.96392460000000002</v>
      </c>
      <c r="Q4234">
        <v>0.15541729999999901</v>
      </c>
      <c r="R4234">
        <v>-0.21609120000000001</v>
      </c>
      <c r="S4234">
        <v>-3.0962679999999998</v>
      </c>
      <c r="T4234">
        <v>-0.16736670000000001</v>
      </c>
      <c r="U4234">
        <v>-0.2108459</v>
      </c>
      <c r="V4234">
        <v>0.19051180000000001</v>
      </c>
      <c r="W4234">
        <v>0.16236900000000001</v>
      </c>
      <c r="X4234">
        <v>0.96816400000000002</v>
      </c>
      <c r="Y4234">
        <v>0.33567740000000001</v>
      </c>
      <c r="Z4234">
        <v>2.74352E-2</v>
      </c>
      <c r="AA4234">
        <v>0.94157740000000001</v>
      </c>
      <c r="AB4234">
        <v>28</v>
      </c>
      <c r="AC4234">
        <v>-20.1081</v>
      </c>
      <c r="AD4234">
        <v>-1.1015709708670001</v>
      </c>
      <c r="AE4234">
        <v>-1.2793000000000001</v>
      </c>
      <c r="AF4234">
        <v>6.8460378858512403</v>
      </c>
      <c r="AG4234">
        <v>-1.1015709708670001</v>
      </c>
      <c r="AH4234">
        <v>18.886184900708599</v>
      </c>
      <c r="AI4234">
        <v>93.138689582561</v>
      </c>
      <c r="AJ4234">
        <v>70.074966724217603</v>
      </c>
      <c r="AK4234">
        <v>20.118888474319899</v>
      </c>
      <c r="AL4234">
        <v>80.655571566420093</v>
      </c>
      <c r="AM4234">
        <v>78.867773510769695</v>
      </c>
      <c r="AN4234">
        <v>0.999999984498119</v>
      </c>
    </row>
    <row r="4235" spans="1:40" x14ac:dyDescent="0.25">
      <c r="A4235" t="str">
        <f>"20190304155719926"</f>
        <v>20190304155719926</v>
      </c>
      <c r="B4235" t="str">
        <f>"1551686239919191"</f>
        <v>1551686239919191</v>
      </c>
      <c r="C4235" t="s">
        <v>40</v>
      </c>
      <c r="D4235">
        <v>4.8377280000000003</v>
      </c>
      <c r="E4235">
        <v>0.55908429999999998</v>
      </c>
      <c r="F4235" t="s">
        <v>41</v>
      </c>
      <c r="G4235">
        <v>-226.5729</v>
      </c>
      <c r="H4235" s="1">
        <v>-2.2651979999999999E-6</v>
      </c>
      <c r="I4235">
        <v>142.6705</v>
      </c>
      <c r="J4235">
        <v>-205.11789999999999</v>
      </c>
      <c r="K4235">
        <v>1.1017749999999999</v>
      </c>
      <c r="L4235">
        <v>143.845</v>
      </c>
      <c r="M4235">
        <v>-0.92080720000000005</v>
      </c>
      <c r="N4235">
        <v>-1.092136E-2</v>
      </c>
      <c r="O4235">
        <v>-0.38986500000000002</v>
      </c>
      <c r="P4235">
        <v>-0.96599480000000004</v>
      </c>
      <c r="Q4235">
        <v>0.15438109999999999</v>
      </c>
      <c r="R4235">
        <v>-0.2074135</v>
      </c>
      <c r="S4235">
        <v>-3.0964049999999999</v>
      </c>
      <c r="T4235">
        <v>-0.15684719999999999</v>
      </c>
      <c r="U4235">
        <v>-0.18357850000000001</v>
      </c>
      <c r="V4235">
        <v>0.18873780000000001</v>
      </c>
      <c r="W4235">
        <v>0.1614062</v>
      </c>
      <c r="X4235">
        <v>0.96867230000000004</v>
      </c>
      <c r="Y4235">
        <v>0.3339086</v>
      </c>
      <c r="Z4235">
        <v>2.5174209999999999E-2</v>
      </c>
      <c r="AA4235">
        <v>0.94226929999999998</v>
      </c>
      <c r="AB4235">
        <v>28</v>
      </c>
      <c r="AC4235">
        <v>-21.454999999999998</v>
      </c>
      <c r="AD4235">
        <v>-1.101777265198</v>
      </c>
      <c r="AE4235">
        <v>-1.1744999999999901</v>
      </c>
      <c r="AF4235">
        <v>7.2644004034030996</v>
      </c>
      <c r="AG4235">
        <v>-1.101777265198</v>
      </c>
      <c r="AH4235">
        <v>20.162010745784599</v>
      </c>
      <c r="AI4235">
        <v>92.943041179147698</v>
      </c>
      <c r="AJ4235">
        <v>70.1858381900701</v>
      </c>
      <c r="AK4235">
        <v>21.459079749052702</v>
      </c>
      <c r="AL4235">
        <v>80.711473214772695</v>
      </c>
      <c r="AM4235">
        <v>78.974526516537196</v>
      </c>
      <c r="AN4235">
        <v>0.99999997166728405</v>
      </c>
    </row>
    <row r="4236" spans="1:40" x14ac:dyDescent="0.25">
      <c r="A4236" t="str">
        <f>"20190304155719948"</f>
        <v>20190304155719948</v>
      </c>
      <c r="B4236" t="str">
        <f>"1551686239938711"</f>
        <v>1551686239938711</v>
      </c>
      <c r="C4236" t="s">
        <v>40</v>
      </c>
      <c r="D4236">
        <v>4.8681799999999997</v>
      </c>
      <c r="E4236">
        <v>0.55846960000000001</v>
      </c>
      <c r="F4236" t="s">
        <v>41</v>
      </c>
      <c r="G4236">
        <v>-227.25190000000001</v>
      </c>
      <c r="H4236" s="1">
        <v>-1.985552E-6</v>
      </c>
      <c r="I4236">
        <v>142.71430000000001</v>
      </c>
      <c r="J4236">
        <v>-205.38220000000001</v>
      </c>
      <c r="K4236">
        <v>1.1019540000000001</v>
      </c>
      <c r="L4236">
        <v>143.74369999999999</v>
      </c>
      <c r="M4236">
        <v>-0.92446819999999996</v>
      </c>
      <c r="N4236">
        <v>-1.0864250000000001E-2</v>
      </c>
      <c r="O4236">
        <v>-0.38110440000000001</v>
      </c>
      <c r="P4236">
        <v>-0.9676361</v>
      </c>
      <c r="Q4236">
        <v>0.15301429999999999</v>
      </c>
      <c r="R4236">
        <v>-0.20066639999999999</v>
      </c>
      <c r="S4236">
        <v>-3.0963129999999999</v>
      </c>
      <c r="T4236">
        <v>-0.15412690000000001</v>
      </c>
      <c r="U4236">
        <v>-0.158157299999999</v>
      </c>
      <c r="V4236">
        <v>0.1862818</v>
      </c>
      <c r="W4236">
        <v>0.1601186</v>
      </c>
      <c r="X4236">
        <v>0.96936120000000003</v>
      </c>
      <c r="Y4236">
        <v>0.3327058</v>
      </c>
      <c r="Z4236">
        <v>2.4381860000000002E-2</v>
      </c>
      <c r="AA4236">
        <v>0.94271550000000004</v>
      </c>
      <c r="AB4236">
        <v>28</v>
      </c>
      <c r="AC4236">
        <v>-21.869699999999899</v>
      </c>
      <c r="AD4236">
        <v>-1.101955985552</v>
      </c>
      <c r="AE4236">
        <v>-1.0293999999999801</v>
      </c>
      <c r="AF4236">
        <v>7.3647699452192601</v>
      </c>
      <c r="AG4236">
        <v>-1.101955985552</v>
      </c>
      <c r="AH4236">
        <v>20.5592847528888</v>
      </c>
      <c r="AI4236">
        <v>92.888644497878701</v>
      </c>
      <c r="AJ4236">
        <v>70.291403593377495</v>
      </c>
      <c r="AK4236">
        <v>21.866374479791201</v>
      </c>
      <c r="AL4236">
        <v>80.786219797906398</v>
      </c>
      <c r="AM4236">
        <v>79.122100456298995</v>
      </c>
      <c r="AN4236">
        <v>1.0000000055713201</v>
      </c>
    </row>
    <row r="4237" spans="1:40" x14ac:dyDescent="0.25">
      <c r="A4237" t="str">
        <f>"20190304155719968"</f>
        <v>20190304155719968</v>
      </c>
      <c r="B4237" t="str">
        <f>"1551686239959210"</f>
        <v>1551686239959210</v>
      </c>
      <c r="C4237" t="s">
        <v>40</v>
      </c>
      <c r="D4237">
        <v>4.8458569999999996</v>
      </c>
      <c r="E4237">
        <v>0.55777659999999996</v>
      </c>
      <c r="F4237" t="s">
        <v>41</v>
      </c>
      <c r="G4237">
        <v>-227.2645</v>
      </c>
      <c r="H4237" s="1">
        <v>-1.9887519999999999E-6</v>
      </c>
      <c r="I4237">
        <v>142.7466</v>
      </c>
      <c r="J4237">
        <v>-205.63939999999999</v>
      </c>
      <c r="K4237">
        <v>1.1021080000000001</v>
      </c>
      <c r="L4237">
        <v>143.64779999999999</v>
      </c>
      <c r="M4237">
        <v>-0.92787229999999998</v>
      </c>
      <c r="N4237">
        <v>-1.080103E-2</v>
      </c>
      <c r="O4237">
        <v>-0.37274210000000002</v>
      </c>
      <c r="P4237">
        <v>-0.96904210000000002</v>
      </c>
      <c r="Q4237">
        <v>0.15185679999999999</v>
      </c>
      <c r="R4237">
        <v>-0.19467200000000001</v>
      </c>
      <c r="S4237">
        <v>-3.0957340000000002</v>
      </c>
      <c r="T4237">
        <v>-0.15589629999999999</v>
      </c>
      <c r="U4237">
        <v>-0.14105219999999999</v>
      </c>
      <c r="V4237">
        <v>0.1835098</v>
      </c>
      <c r="W4237">
        <v>0.15902749999999999</v>
      </c>
      <c r="X4237">
        <v>0.97006930000000002</v>
      </c>
      <c r="Y4237">
        <v>0.32936919999999997</v>
      </c>
      <c r="Z4237">
        <v>2.4317950000000001E-2</v>
      </c>
      <c r="AA4237">
        <v>0.94388799999999995</v>
      </c>
      <c r="AB4237">
        <v>28</v>
      </c>
      <c r="AC4237">
        <v>-21.6251</v>
      </c>
      <c r="AD4237">
        <v>-1.1021099887520001</v>
      </c>
      <c r="AE4237">
        <v>-0.90119999999998801</v>
      </c>
      <c r="AF4237">
        <v>7.2061223750474301</v>
      </c>
      <c r="AG4237">
        <v>-1.1021099887520001</v>
      </c>
      <c r="AH4237">
        <v>20.3496691520598</v>
      </c>
      <c r="AI4237">
        <v>92.922539458620193</v>
      </c>
      <c r="AJ4237">
        <v>70.500183676188996</v>
      </c>
      <c r="AK4237">
        <v>21.6160098239652</v>
      </c>
      <c r="AL4237">
        <v>80.849546818715893</v>
      </c>
      <c r="AM4237">
        <v>79.287836347126799</v>
      </c>
      <c r="AN4237">
        <v>1.0000000196273899</v>
      </c>
    </row>
    <row r="4238" spans="1:40" x14ac:dyDescent="0.25">
      <c r="A4238" t="str">
        <f>"20190304155719991"</f>
        <v>20190304155719991</v>
      </c>
      <c r="B4238" t="str">
        <f>"1551686239988487"</f>
        <v>1551686239988487</v>
      </c>
      <c r="C4238" t="s">
        <v>40</v>
      </c>
      <c r="D4238">
        <v>4.8853030000000004</v>
      </c>
      <c r="E4238">
        <v>0.55664329999999995</v>
      </c>
      <c r="F4238" t="s">
        <v>41</v>
      </c>
      <c r="G4238">
        <v>-227.51169999999999</v>
      </c>
      <c r="H4238" s="1">
        <v>-1.885079E-6</v>
      </c>
      <c r="I4238">
        <v>142.75569999999999</v>
      </c>
      <c r="J4238">
        <v>-205.9085</v>
      </c>
      <c r="K4238">
        <v>1.102241</v>
      </c>
      <c r="L4238">
        <v>143.55000000000001</v>
      </c>
      <c r="M4238">
        <v>-0.93128509999999998</v>
      </c>
      <c r="N4238">
        <v>-1.072098E-2</v>
      </c>
      <c r="O4238">
        <v>-0.3641334</v>
      </c>
      <c r="P4238">
        <v>-0.97028320000000001</v>
      </c>
      <c r="Q4238">
        <v>0.15197749999999999</v>
      </c>
      <c r="R4238">
        <v>-0.18829180000000001</v>
      </c>
      <c r="S4238">
        <v>-3.0949249999999999</v>
      </c>
      <c r="T4238">
        <v>-0.15594820000000001</v>
      </c>
      <c r="U4238">
        <v>-0.12622069999999999</v>
      </c>
      <c r="V4238">
        <v>0.1808478</v>
      </c>
      <c r="W4238">
        <v>0.1591804</v>
      </c>
      <c r="X4238">
        <v>0.97054399999999996</v>
      </c>
      <c r="Y4238">
        <v>0.32513750000000002</v>
      </c>
      <c r="Z4238">
        <v>2.392E-2</v>
      </c>
      <c r="AA4238">
        <v>0.94536419999999999</v>
      </c>
      <c r="AB4238">
        <v>29</v>
      </c>
      <c r="AC4238">
        <v>-21.603199999999902</v>
      </c>
      <c r="AD4238">
        <v>-1.102242885079</v>
      </c>
      <c r="AE4238">
        <v>-0.79430000000002099</v>
      </c>
      <c r="AF4238">
        <v>7.1086557492450702</v>
      </c>
      <c r="AG4238">
        <v>-1.102242885079</v>
      </c>
      <c r="AH4238">
        <v>20.356221169289</v>
      </c>
      <c r="AI4238">
        <v>92.926430423961904</v>
      </c>
      <c r="AJ4238">
        <v>70.750137779902602</v>
      </c>
      <c r="AK4238">
        <v>21.589897318699599</v>
      </c>
      <c r="AL4238">
        <v>80.840672998958993</v>
      </c>
      <c r="AM4238">
        <v>79.444756268622001</v>
      </c>
      <c r="AN4238">
        <v>0.99999999122249905</v>
      </c>
    </row>
    <row r="4239" spans="1:40" x14ac:dyDescent="0.25">
      <c r="A4239" t="str">
        <f>"20190304155720013"</f>
        <v>20190304155720013</v>
      </c>
      <c r="B4239" t="str">
        <f>"1551686240008984"</f>
        <v>1551686240008984</v>
      </c>
      <c r="C4239" t="s">
        <v>40</v>
      </c>
      <c r="D4239">
        <v>4.8402880000000001</v>
      </c>
      <c r="E4239">
        <v>0.55589679999999997</v>
      </c>
      <c r="F4239" t="s">
        <v>41</v>
      </c>
      <c r="G4239">
        <v>-227.86580000000001</v>
      </c>
      <c r="H4239" s="1">
        <v>-1.7259869999999999E-6</v>
      </c>
      <c r="I4239">
        <v>142.7285</v>
      </c>
      <c r="J4239">
        <v>-206.19040000000001</v>
      </c>
      <c r="K4239">
        <v>1.1023229999999999</v>
      </c>
      <c r="L4239">
        <v>143.45060000000001</v>
      </c>
      <c r="M4239">
        <v>-0.93472</v>
      </c>
      <c r="N4239">
        <v>-1.0618280000000001E-2</v>
      </c>
      <c r="O4239">
        <v>-0.35522599999999999</v>
      </c>
      <c r="P4239">
        <v>-0.97149850000000004</v>
      </c>
      <c r="Q4239">
        <v>0.15230439999999901</v>
      </c>
      <c r="R4239">
        <v>-0.1816429</v>
      </c>
      <c r="S4239">
        <v>-3.09375</v>
      </c>
      <c r="T4239">
        <v>-0.1553049</v>
      </c>
      <c r="U4239">
        <v>-0.1157379</v>
      </c>
      <c r="V4239">
        <v>0.178173</v>
      </c>
      <c r="W4239">
        <v>0.15949959999999999</v>
      </c>
      <c r="X4239">
        <v>0.97098620000000002</v>
      </c>
      <c r="Y4239">
        <v>0.31930819999999999</v>
      </c>
      <c r="Z4239">
        <v>2.3350139999999998E-2</v>
      </c>
      <c r="AA4239">
        <v>0.94736319999999996</v>
      </c>
      <c r="AB4239">
        <v>29</v>
      </c>
      <c r="AC4239">
        <v>-21.6754</v>
      </c>
      <c r="AD4239">
        <v>-1.1023247259869999</v>
      </c>
      <c r="AE4239">
        <v>-0.72210000000001096</v>
      </c>
      <c r="AF4239">
        <v>7.0069989356138196</v>
      </c>
      <c r="AG4239">
        <v>-1.1023247259869999</v>
      </c>
      <c r="AH4239">
        <v>20.4652267326213</v>
      </c>
      <c r="AI4239">
        <v>92.917220299602505</v>
      </c>
      <c r="AJ4239">
        <v>71.099534630798104</v>
      </c>
      <c r="AK4239">
        <v>21.659608932360999</v>
      </c>
      <c r="AL4239">
        <v>80.8221473075738</v>
      </c>
      <c r="AM4239">
        <v>79.602073099583393</v>
      </c>
      <c r="AN4239">
        <v>0.99999997045979905</v>
      </c>
    </row>
    <row r="4240" spans="1:40" x14ac:dyDescent="0.25">
      <c r="A4240" t="str">
        <f>"20190304155720036"</f>
        <v>20190304155720036</v>
      </c>
      <c r="B4240" t="str">
        <f>"1551686240028503"</f>
        <v>1551686240028503</v>
      </c>
      <c r="C4240" t="s">
        <v>40</v>
      </c>
      <c r="D4240">
        <v>4.8898919999999997</v>
      </c>
      <c r="E4240">
        <v>0.55503199999999997</v>
      </c>
      <c r="F4240" t="s">
        <v>41</v>
      </c>
      <c r="G4240">
        <v>-228.58779999999999</v>
      </c>
      <c r="H4240" s="1">
        <v>-1.4129569999999999E-6</v>
      </c>
      <c r="I4240">
        <v>142.71610000000001</v>
      </c>
      <c r="J4240">
        <v>-206.4684</v>
      </c>
      <c r="K4240">
        <v>1.1023700000000001</v>
      </c>
      <c r="L4240">
        <v>143.3553</v>
      </c>
      <c r="M4240">
        <v>-0.93798599999999999</v>
      </c>
      <c r="N4240">
        <v>-1.0510729999999999E-2</v>
      </c>
      <c r="O4240">
        <v>-0.34651419999999999</v>
      </c>
      <c r="P4240">
        <v>-0.9726281</v>
      </c>
      <c r="Q4240">
        <v>0.15299209999999999</v>
      </c>
      <c r="R4240">
        <v>-0.1748962</v>
      </c>
      <c r="S4240">
        <v>-3.0928960000000001</v>
      </c>
      <c r="T4240">
        <v>-0.15222249999999901</v>
      </c>
      <c r="U4240">
        <v>-0.1014099</v>
      </c>
      <c r="V4240">
        <v>0.17582539999999999</v>
      </c>
      <c r="W4240">
        <v>0.1601506</v>
      </c>
      <c r="X4240">
        <v>0.97130700000000003</v>
      </c>
      <c r="Y4240">
        <v>0.31490400000000002</v>
      </c>
      <c r="Z4240">
        <v>2.24391E-2</v>
      </c>
      <c r="AA4240">
        <v>0.94885819999999998</v>
      </c>
      <c r="AB4240">
        <v>29</v>
      </c>
      <c r="AC4240">
        <v>-22.119399999999899</v>
      </c>
      <c r="AD4240">
        <v>-1.1023714129569999</v>
      </c>
      <c r="AE4240">
        <v>-0.639199999999988</v>
      </c>
      <c r="AF4240">
        <v>7.0480237935029901</v>
      </c>
      <c r="AG4240">
        <v>-1.1023714129569999</v>
      </c>
      <c r="AH4240">
        <v>20.918421682769299</v>
      </c>
      <c r="AI4240">
        <v>92.858984257081602</v>
      </c>
      <c r="AJ4240">
        <v>71.379834541754704</v>
      </c>
      <c r="AK4240">
        <v>22.101362578448501</v>
      </c>
      <c r="AL4240">
        <v>80.784362656281601</v>
      </c>
      <c r="AM4240">
        <v>79.739462631501894</v>
      </c>
      <c r="AN4240">
        <v>1.0000000371072499</v>
      </c>
    </row>
    <row r="4241" spans="1:40" x14ac:dyDescent="0.25">
      <c r="A4241" t="str">
        <f>"20190304155720058"</f>
        <v>20190304155720058</v>
      </c>
      <c r="B4241" t="str">
        <f>"1551686240048999"</f>
        <v>1551686240048999</v>
      </c>
      <c r="C4241" t="s">
        <v>40</v>
      </c>
      <c r="D4241">
        <v>4.8444599999999998</v>
      </c>
      <c r="E4241">
        <v>0.55405519999999997</v>
      </c>
      <c r="F4241" t="s">
        <v>41</v>
      </c>
      <c r="G4241">
        <v>-229.42679999999999</v>
      </c>
      <c r="H4241" s="1">
        <v>-1.0516429999999999E-6</v>
      </c>
      <c r="I4241">
        <v>142.71109999999999</v>
      </c>
      <c r="J4241">
        <v>-206.7422</v>
      </c>
      <c r="K4241">
        <v>1.10239</v>
      </c>
      <c r="L4241">
        <v>143.26419999999999</v>
      </c>
      <c r="M4241">
        <v>-0.94110070000000001</v>
      </c>
      <c r="N4241">
        <v>-1.039784E-2</v>
      </c>
      <c r="O4241">
        <v>-0.33796670000000001</v>
      </c>
      <c r="P4241">
        <v>-0.97334430000000005</v>
      </c>
      <c r="Q4241">
        <v>0.15394260000000001</v>
      </c>
      <c r="R4241">
        <v>-0.17000860000000001</v>
      </c>
      <c r="S4241">
        <v>-3.0921479999999999</v>
      </c>
      <c r="T4241">
        <v>-0.1484722</v>
      </c>
      <c r="U4241">
        <v>-8.6761469999999993E-2</v>
      </c>
      <c r="V4241">
        <v>0.1718131</v>
      </c>
      <c r="W4241">
        <v>0.16107920000000001</v>
      </c>
      <c r="X4241">
        <v>0.97187129999999999</v>
      </c>
      <c r="Y4241">
        <v>0.31079639999999997</v>
      </c>
      <c r="Z4241">
        <v>2.145393E-2</v>
      </c>
      <c r="AA4241">
        <v>0.95023440000000003</v>
      </c>
      <c r="AB4241">
        <v>29</v>
      </c>
      <c r="AC4241">
        <v>-22.6845999999999</v>
      </c>
      <c r="AD4241">
        <v>-1.102391051643</v>
      </c>
      <c r="AE4241">
        <v>-0.55310000000000004</v>
      </c>
      <c r="AF4241">
        <v>7.1296749196689904</v>
      </c>
      <c r="AG4241">
        <v>-1.102391051643</v>
      </c>
      <c r="AH4241">
        <v>21.485873919975901</v>
      </c>
      <c r="AI4241">
        <v>92.787911693432704</v>
      </c>
      <c r="AJ4241">
        <v>71.642565555254393</v>
      </c>
      <c r="AK4241">
        <v>22.664737117293001</v>
      </c>
      <c r="AL4241">
        <v>80.730457956629905</v>
      </c>
      <c r="AM4241">
        <v>79.974503156635507</v>
      </c>
      <c r="AN4241">
        <v>1.0000000368839601</v>
      </c>
    </row>
    <row r="4242" spans="1:40" x14ac:dyDescent="0.25">
      <c r="A4242" t="str">
        <f>"20190304155720080"</f>
        <v>20190304155720080</v>
      </c>
      <c r="B4242" t="str">
        <f>"1551686240068519"</f>
        <v>1551686240068519</v>
      </c>
      <c r="C4242" t="s">
        <v>40</v>
      </c>
      <c r="D4242">
        <v>4.868131</v>
      </c>
      <c r="E4242">
        <v>0.55308480000000004</v>
      </c>
      <c r="F4242" t="s">
        <v>41</v>
      </c>
      <c r="G4242">
        <v>-230.28460000000001</v>
      </c>
      <c r="H4242" s="1">
        <v>-4.7200160000000001E-6</v>
      </c>
      <c r="I4242">
        <v>142.6653</v>
      </c>
      <c r="J4242">
        <v>-207.00899999999999</v>
      </c>
      <c r="K4242">
        <v>1.102392</v>
      </c>
      <c r="L4242">
        <v>143.17789999999999</v>
      </c>
      <c r="M4242">
        <v>-0.94404860000000002</v>
      </c>
      <c r="N4242">
        <v>-1.027547E-2</v>
      </c>
      <c r="O4242">
        <v>-0.32964670000000001</v>
      </c>
      <c r="P4242">
        <v>-0.97393839999999998</v>
      </c>
      <c r="Q4242">
        <v>0.15502469999999999</v>
      </c>
      <c r="R4242">
        <v>-0.16556499999999999</v>
      </c>
      <c r="S4242">
        <v>-3.0913089999999999</v>
      </c>
      <c r="T4242">
        <v>-0.1447533</v>
      </c>
      <c r="U4242">
        <v>-7.8628539999999997E-2</v>
      </c>
      <c r="V4242">
        <v>0.16761879999999901</v>
      </c>
      <c r="W4242">
        <v>0.16212379999999901</v>
      </c>
      <c r="X4242">
        <v>0.97242980000000001</v>
      </c>
      <c r="Y4242">
        <v>0.3049384</v>
      </c>
      <c r="Z4242">
        <v>2.045195E-2</v>
      </c>
      <c r="AA4242">
        <v>0.95215240000000001</v>
      </c>
      <c r="AB4242">
        <v>29</v>
      </c>
      <c r="AC4242">
        <v>-23.275600000000001</v>
      </c>
      <c r="AD4242">
        <v>-1.1023967200159901</v>
      </c>
      <c r="AE4242">
        <v>-0.51259999999999195</v>
      </c>
      <c r="AF4242">
        <v>7.1731007935463396</v>
      </c>
      <c r="AG4242">
        <v>-1.1023967200159901</v>
      </c>
      <c r="AH4242">
        <v>22.093902602012399</v>
      </c>
      <c r="AI4242">
        <v>92.717072977636406</v>
      </c>
      <c r="AJ4242">
        <v>72.013238255981506</v>
      </c>
      <c r="AK4242">
        <v>23.2553044639258</v>
      </c>
      <c r="AL4242">
        <v>80.669808832444005</v>
      </c>
      <c r="AM4242">
        <v>80.2199681776939</v>
      </c>
      <c r="AN4242">
        <v>0.99999995228395799</v>
      </c>
    </row>
    <row r="4243" spans="1:40" x14ac:dyDescent="0.25">
      <c r="A4243" t="str">
        <f>"20190304155720103"</f>
        <v>20190304155720103</v>
      </c>
      <c r="B4243" t="str">
        <f>"1551686240098775"</f>
        <v>1551686240098775</v>
      </c>
      <c r="C4243" t="s">
        <v>40</v>
      </c>
      <c r="D4243">
        <v>4.8293309999999998</v>
      </c>
      <c r="E4243">
        <v>0.55201269999999902</v>
      </c>
      <c r="F4243" t="s">
        <v>41</v>
      </c>
      <c r="G4243">
        <v>-231.0393</v>
      </c>
      <c r="H4243" s="1">
        <v>-4.4549119999999998E-6</v>
      </c>
      <c r="I4243">
        <v>142.61859999999999</v>
      </c>
      <c r="J4243">
        <v>-207.30799999999999</v>
      </c>
      <c r="K4243">
        <v>1.102368</v>
      </c>
      <c r="L4243">
        <v>143.08430000000001</v>
      </c>
      <c r="M4243">
        <v>-0.9472566</v>
      </c>
      <c r="N4243">
        <v>-1.012104E-2</v>
      </c>
      <c r="O4243">
        <v>-0.3203163</v>
      </c>
      <c r="P4243">
        <v>-0.9746553</v>
      </c>
      <c r="Q4243">
        <v>0.15626760000000001</v>
      </c>
      <c r="R4243">
        <v>-0.16008729999999999</v>
      </c>
      <c r="S4243">
        <v>-3.0906220000000002</v>
      </c>
      <c r="T4243">
        <v>-0.141783399999999</v>
      </c>
      <c r="U4243">
        <v>-7.1929930000000003E-2</v>
      </c>
      <c r="V4243">
        <v>0.1634409</v>
      </c>
      <c r="W4243">
        <v>0.16329250000000001</v>
      </c>
      <c r="X4243">
        <v>0.97294530000000001</v>
      </c>
      <c r="Y4243">
        <v>0.29763040000000002</v>
      </c>
      <c r="Z4243">
        <v>1.951518E-2</v>
      </c>
      <c r="AA4243">
        <v>0.95448169999999999</v>
      </c>
      <c r="AB4243">
        <v>29</v>
      </c>
      <c r="AC4243">
        <v>-23.731300000000001</v>
      </c>
      <c r="AD4243">
        <v>-1.102372454912</v>
      </c>
      <c r="AE4243">
        <v>-0.46570000000002598</v>
      </c>
      <c r="AF4243">
        <v>7.1453390928402003</v>
      </c>
      <c r="AG4243">
        <v>-1.102372454912</v>
      </c>
      <c r="AH4243">
        <v>22.581253208551999</v>
      </c>
      <c r="AI4243">
        <v>92.664822558324701</v>
      </c>
      <c r="AJ4243">
        <v>72.441174299635605</v>
      </c>
      <c r="AK4243">
        <v>23.710421595782702</v>
      </c>
      <c r="AL4243">
        <v>80.601942979665907</v>
      </c>
      <c r="AM4243">
        <v>80.464160927391703</v>
      </c>
      <c r="AN4243">
        <v>0.999999962570574</v>
      </c>
    </row>
    <row r="4244" spans="1:40" x14ac:dyDescent="0.25">
      <c r="A4244" t="str">
        <f>"20190304155720128"</f>
        <v>20190304155720128</v>
      </c>
      <c r="B4244" t="str">
        <f>"1551686240119270"</f>
        <v>1551686240119270</v>
      </c>
      <c r="C4244" t="s">
        <v>40</v>
      </c>
      <c r="D4244">
        <v>4.837008</v>
      </c>
      <c r="E4244">
        <v>0.5512823</v>
      </c>
      <c r="F4244" t="s">
        <v>41</v>
      </c>
      <c r="G4244">
        <v>-232.3023</v>
      </c>
      <c r="H4244" s="1">
        <v>-4.0172570000000004E-6</v>
      </c>
      <c r="I4244">
        <v>142.5744</v>
      </c>
      <c r="J4244">
        <v>-207.60679999999999</v>
      </c>
      <c r="K4244">
        <v>1.102341</v>
      </c>
      <c r="L4244">
        <v>142.99379999999999</v>
      </c>
      <c r="M4244">
        <v>-0.95036509999999996</v>
      </c>
      <c r="N4244">
        <v>-9.9563059999999998E-3</v>
      </c>
      <c r="O4244">
        <v>-0.31097780000000003</v>
      </c>
      <c r="P4244">
        <v>-0.97539710000000002</v>
      </c>
      <c r="Q4244">
        <v>0.15715190000000001</v>
      </c>
      <c r="R4244">
        <v>-0.15460940000000001</v>
      </c>
      <c r="S4244">
        <v>-3.0895229999999998</v>
      </c>
      <c r="T4244">
        <v>-0.136263</v>
      </c>
      <c r="U4244">
        <v>-6.30188E-2</v>
      </c>
      <c r="V4244">
        <v>0.15929699999999999</v>
      </c>
      <c r="W4244">
        <v>0.1640885</v>
      </c>
      <c r="X4244">
        <v>0.97349859999999999</v>
      </c>
      <c r="Y4244">
        <v>0.29102869999999997</v>
      </c>
      <c r="Z4244">
        <v>1.824974E-2</v>
      </c>
      <c r="AA4244">
        <v>0.95654019999999995</v>
      </c>
      <c r="AB4244">
        <v>29</v>
      </c>
      <c r="AC4244">
        <v>-24.695499999999999</v>
      </c>
      <c r="AD4244">
        <v>-1.102345017257</v>
      </c>
      <c r="AE4244">
        <v>-0.419399999999996</v>
      </c>
      <c r="AF4244">
        <v>7.2670540583262397</v>
      </c>
      <c r="AG4244">
        <v>-1.102345017257</v>
      </c>
      <c r="AH4244">
        <v>23.554414770511301</v>
      </c>
      <c r="AI4244">
        <v>92.560558458589497</v>
      </c>
      <c r="AJ4244">
        <v>72.853857113220798</v>
      </c>
      <c r="AK4244">
        <v>24.674596134587301</v>
      </c>
      <c r="AL4244">
        <v>80.555712766070897</v>
      </c>
      <c r="AM4244">
        <v>80.706850231029705</v>
      </c>
      <c r="AN4244">
        <v>1.0000000471216</v>
      </c>
    </row>
    <row r="4245" spans="1:40" x14ac:dyDescent="0.25">
      <c r="A4245" t="str">
        <f>"20190304155720149"</f>
        <v>20190304155720149</v>
      </c>
      <c r="B4245" t="str">
        <f>"1551686240138791"</f>
        <v>1551686240138791</v>
      </c>
      <c r="C4245" t="s">
        <v>40</v>
      </c>
      <c r="D4245">
        <v>4.8898729999999997</v>
      </c>
      <c r="E4245">
        <v>0.55065109999999995</v>
      </c>
      <c r="F4245" t="s">
        <v>41</v>
      </c>
      <c r="G4245">
        <v>-233.453</v>
      </c>
      <c r="H4245" s="1">
        <v>-3.5753310000000001E-6</v>
      </c>
      <c r="I4245">
        <v>142.5642</v>
      </c>
      <c r="J4245">
        <v>-207.87299999999999</v>
      </c>
      <c r="K4245">
        <v>1.102303</v>
      </c>
      <c r="L4245">
        <v>142.91589999999999</v>
      </c>
      <c r="M4245">
        <v>-0.9530516</v>
      </c>
      <c r="N4245">
        <v>-9.8044959999999994E-3</v>
      </c>
      <c r="O4245">
        <v>-0.30264940000000001</v>
      </c>
      <c r="P4245">
        <v>-0.97608110000000003</v>
      </c>
      <c r="Q4245">
        <v>0.15721479999999999</v>
      </c>
      <c r="R4245">
        <v>-0.15016499999999999</v>
      </c>
      <c r="S4245">
        <v>-3.0887449999999999</v>
      </c>
      <c r="T4245">
        <v>-0.13173560000000001</v>
      </c>
      <c r="U4245">
        <v>-5.1330569999999999E-2</v>
      </c>
      <c r="V4245">
        <v>0.1552065</v>
      </c>
      <c r="W4245">
        <v>0.16407529999999901</v>
      </c>
      <c r="X4245">
        <v>0.97416130000000001</v>
      </c>
      <c r="Y4245">
        <v>0.28631060000000003</v>
      </c>
      <c r="Z4245">
        <v>1.724148E-2</v>
      </c>
      <c r="AA4245">
        <v>0.95798170000000005</v>
      </c>
      <c r="AB4245">
        <v>29</v>
      </c>
      <c r="AC4245">
        <v>-25.58</v>
      </c>
      <c r="AD4245">
        <v>-1.102306575331</v>
      </c>
      <c r="AE4245">
        <v>-0.35169999999999302</v>
      </c>
      <c r="AF4245">
        <v>7.3932125608652504</v>
      </c>
      <c r="AG4245">
        <v>-1.102306575331</v>
      </c>
      <c r="AH4245">
        <v>24.441298910563901</v>
      </c>
      <c r="AI4245">
        <v>92.471834909740494</v>
      </c>
      <c r="AJ4245">
        <v>73.170036144902994</v>
      </c>
      <c r="AK4245">
        <v>25.558790350712801</v>
      </c>
      <c r="AL4245">
        <v>80.556479013114995</v>
      </c>
      <c r="AM4245">
        <v>80.947536667105197</v>
      </c>
      <c r="AN4245">
        <v>1.00000000006501</v>
      </c>
    </row>
    <row r="4246" spans="1:40" x14ac:dyDescent="0.25">
      <c r="A4246" t="str">
        <f>"20190304155720171"</f>
        <v>20190304155720171</v>
      </c>
      <c r="B4246" t="str">
        <f>"1551686240169047"</f>
        <v>1551686240169047</v>
      </c>
      <c r="C4246" t="s">
        <v>40</v>
      </c>
      <c r="D4246">
        <v>4.9048150000000001</v>
      </c>
      <c r="E4246">
        <v>0.53377640000000004</v>
      </c>
      <c r="F4246" t="s">
        <v>41</v>
      </c>
      <c r="G4246">
        <v>-234.06120000000001</v>
      </c>
      <c r="H4246" s="1">
        <v>-3.3134950000000002E-6</v>
      </c>
      <c r="I4246">
        <v>142.5608</v>
      </c>
      <c r="J4246">
        <v>-208.16139999999999</v>
      </c>
      <c r="K4246">
        <v>1.102263</v>
      </c>
      <c r="L4246">
        <v>142.83439999999999</v>
      </c>
      <c r="M4246">
        <v>-0.95587489999999997</v>
      </c>
      <c r="N4246">
        <v>-9.6332970000000007E-3</v>
      </c>
      <c r="O4246">
        <v>-0.29361579999999998</v>
      </c>
      <c r="P4246">
        <v>-0.97685809999999995</v>
      </c>
      <c r="Q4246">
        <v>0.15760370000000001</v>
      </c>
      <c r="R4246">
        <v>-0.14460039999999999</v>
      </c>
      <c r="S4246">
        <v>-3.088028</v>
      </c>
      <c r="T4246">
        <v>-0.12998029999999999</v>
      </c>
      <c r="U4246">
        <v>-4.1870119999999997E-2</v>
      </c>
      <c r="V4246">
        <v>0.1515251</v>
      </c>
      <c r="W4246">
        <v>0.1643589</v>
      </c>
      <c r="X4246">
        <v>0.97469289999999997</v>
      </c>
      <c r="Y4246">
        <v>0.28019060000000001</v>
      </c>
      <c r="Z4246">
        <v>1.659101E-2</v>
      </c>
      <c r="AA4246">
        <v>0.95980100000000002</v>
      </c>
      <c r="AB4246">
        <v>29</v>
      </c>
      <c r="AC4246">
        <v>-25.899799999999999</v>
      </c>
      <c r="AD4246">
        <v>-1.1022663134949999</v>
      </c>
      <c r="AE4246">
        <v>-0.27359999999998702</v>
      </c>
      <c r="AF4246">
        <v>7.3301290996221704</v>
      </c>
      <c r="AG4246">
        <v>-1.1022663134949999</v>
      </c>
      <c r="AH4246">
        <v>24.793553752453601</v>
      </c>
      <c r="AI4246">
        <v>92.441245330624994</v>
      </c>
      <c r="AJ4246">
        <v>73.529866885700599</v>
      </c>
      <c r="AK4246">
        <v>25.877907398373601</v>
      </c>
      <c r="AL4246">
        <v>80.540006076294901</v>
      </c>
      <c r="AM4246">
        <v>81.163568877758394</v>
      </c>
      <c r="AN4246">
        <v>0.99999997662481399</v>
      </c>
    </row>
    <row r="4247" spans="1:40" x14ac:dyDescent="0.25">
      <c r="A4247" t="str">
        <f>"20190304155720192"</f>
        <v>20190304155720192</v>
      </c>
      <c r="B4247" t="str">
        <f>"1551686240188568"</f>
        <v>1551686240188568</v>
      </c>
      <c r="C4247" t="s">
        <v>40</v>
      </c>
      <c r="D4247">
        <v>4.9094629999999997</v>
      </c>
      <c r="E4247">
        <v>0.53360490000000005</v>
      </c>
      <c r="F4247" t="s">
        <v>41</v>
      </c>
      <c r="G4247">
        <v>-237.178</v>
      </c>
      <c r="H4247" s="1">
        <v>-1.651592E-6</v>
      </c>
      <c r="I4247">
        <v>141.34010000000001</v>
      </c>
      <c r="J4247">
        <v>-208.42670000000001</v>
      </c>
      <c r="K4247">
        <v>1.1022160000000001</v>
      </c>
      <c r="L4247">
        <v>142.762</v>
      </c>
      <c r="M4247">
        <v>-0.95839099999999999</v>
      </c>
      <c r="N4247">
        <v>-9.4744210000000002E-3</v>
      </c>
      <c r="O4247">
        <v>-0.28530139999999998</v>
      </c>
      <c r="P4247">
        <v>-0.9775258</v>
      </c>
      <c r="Q4247">
        <v>0.1583512</v>
      </c>
      <c r="R4247">
        <v>-0.1391694</v>
      </c>
      <c r="S4247">
        <v>-3.0664669999999998</v>
      </c>
      <c r="T4247">
        <v>-0.1164868</v>
      </c>
      <c r="U4247">
        <v>-0.1579132</v>
      </c>
      <c r="V4247">
        <v>0.14845420000000001</v>
      </c>
      <c r="W4247">
        <v>0.16500090000000001</v>
      </c>
      <c r="X4247">
        <v>0.9750569</v>
      </c>
      <c r="Y4247">
        <v>0.2353249</v>
      </c>
      <c r="Z4247">
        <v>1.3538949999999999E-2</v>
      </c>
      <c r="AA4247">
        <v>0.97182239999999998</v>
      </c>
      <c r="AB4247">
        <v>29</v>
      </c>
      <c r="AC4247">
        <v>-28.751299999999901</v>
      </c>
      <c r="AD4247">
        <v>-1.1022176515919999</v>
      </c>
      <c r="AE4247">
        <v>-1.4218999999999899</v>
      </c>
      <c r="AF4247">
        <v>6.8303432688643699</v>
      </c>
      <c r="AG4247">
        <v>-1.1022176515919999</v>
      </c>
      <c r="AH4247">
        <v>27.920978270205801</v>
      </c>
      <c r="AI4247">
        <v>92.195965820766205</v>
      </c>
      <c r="AJ4247">
        <v>76.253633505262101</v>
      </c>
      <c r="AK4247">
        <v>28.765421959138799</v>
      </c>
      <c r="AL4247">
        <v>80.502712792102798</v>
      </c>
      <c r="AM4247">
        <v>81.343094836051804</v>
      </c>
      <c r="AN4247">
        <v>0.99999995236802797</v>
      </c>
    </row>
    <row r="4248" spans="1:40" x14ac:dyDescent="0.25">
      <c r="A4248" t="str">
        <f>"20190304155720216"</f>
        <v>20190304155720216</v>
      </c>
      <c r="B4248" t="str">
        <f>"1551686240209063"</f>
        <v>1551686240209063</v>
      </c>
      <c r="C4248" t="s">
        <v>40</v>
      </c>
      <c r="D4248">
        <v>4.8663369999999997</v>
      </c>
      <c r="E4248">
        <v>0.53348549999999995</v>
      </c>
      <c r="F4248" t="s">
        <v>41</v>
      </c>
      <c r="G4248">
        <v>-237.2945</v>
      </c>
      <c r="H4248" s="1">
        <v>-1.6222079999999999E-6</v>
      </c>
      <c r="I4248">
        <v>141.41739999999999</v>
      </c>
      <c r="J4248">
        <v>-208.74100000000001</v>
      </c>
      <c r="K4248">
        <v>1.1021590000000001</v>
      </c>
      <c r="L4248">
        <v>142.67939999999999</v>
      </c>
      <c r="M4248">
        <v>-0.96126840000000002</v>
      </c>
      <c r="N4248">
        <v>-9.2953020000000001E-3</v>
      </c>
      <c r="O4248">
        <v>-0.27545720000000001</v>
      </c>
      <c r="P4248">
        <v>-0.97843250000000004</v>
      </c>
      <c r="Q4248">
        <v>0.15860450000000001</v>
      </c>
      <c r="R4248">
        <v>-0.13234199999999999</v>
      </c>
      <c r="S4248">
        <v>-3.067596</v>
      </c>
      <c r="T4248">
        <v>-0.11712549999999999</v>
      </c>
      <c r="U4248">
        <v>-0.14286799999999999</v>
      </c>
      <c r="V4248">
        <v>0.14525739999999901</v>
      </c>
      <c r="W4248">
        <v>0.16512979999999899</v>
      </c>
      <c r="X4248">
        <v>0.97551650000000001</v>
      </c>
      <c r="Y4248">
        <v>0.230131</v>
      </c>
      <c r="Z4248">
        <v>1.3259689999999999E-2</v>
      </c>
      <c r="AA4248">
        <v>0.97306930000000003</v>
      </c>
      <c r="AB4248">
        <v>29</v>
      </c>
      <c r="AC4248">
        <v>-28.5535</v>
      </c>
      <c r="AD4248">
        <v>-1.102160622208</v>
      </c>
      <c r="AE4248">
        <v>-1.262</v>
      </c>
      <c r="AF4248">
        <v>6.6425560444576304</v>
      </c>
      <c r="AG4248">
        <v>-1.102160622208</v>
      </c>
      <c r="AH4248">
        <v>27.7551319189729</v>
      </c>
      <c r="AI4248">
        <v>92.2116375984277</v>
      </c>
      <c r="AJ4248">
        <v>76.540725244060596</v>
      </c>
      <c r="AK4248">
        <v>28.560211075559199</v>
      </c>
      <c r="AL4248">
        <v>80.495225128443295</v>
      </c>
      <c r="AM4248">
        <v>81.530710820002497</v>
      </c>
      <c r="AN4248">
        <v>1.00000000243752</v>
      </c>
    </row>
    <row r="4249" spans="1:40" x14ac:dyDescent="0.25">
      <c r="A4249" t="str">
        <f>"20190304155720237"</f>
        <v>20190304155720237</v>
      </c>
      <c r="B4249" t="str">
        <f>"1551686240228583"</f>
        <v>1551686240228583</v>
      </c>
      <c r="C4249" t="s">
        <v>40</v>
      </c>
      <c r="D4249">
        <v>4.8934170000000003</v>
      </c>
      <c r="E4249">
        <v>0.53313029999999995</v>
      </c>
      <c r="F4249" t="s">
        <v>41</v>
      </c>
      <c r="G4249">
        <v>-237.55420000000001</v>
      </c>
      <c r="H4249" s="1">
        <v>-1.5404169999999999E-6</v>
      </c>
      <c r="I4249">
        <v>141.52869999999999</v>
      </c>
      <c r="J4249">
        <v>-209.01130000000001</v>
      </c>
      <c r="K4249">
        <v>1.102115</v>
      </c>
      <c r="L4249">
        <v>142.61099999999999</v>
      </c>
      <c r="M4249">
        <v>-0.96365509999999999</v>
      </c>
      <c r="N4249">
        <v>-9.1499530000000006E-3</v>
      </c>
      <c r="O4249">
        <v>-0.26699309999999998</v>
      </c>
      <c r="P4249">
        <v>-0.97919509999999998</v>
      </c>
      <c r="Q4249">
        <v>0.1583463</v>
      </c>
      <c r="R4249">
        <v>-0.1268996</v>
      </c>
      <c r="S4249">
        <v>-3.0686040000000001</v>
      </c>
      <c r="T4249">
        <v>-0.11738</v>
      </c>
      <c r="U4249">
        <v>-0.12254329999999999</v>
      </c>
      <c r="V4249">
        <v>0.1421132</v>
      </c>
      <c r="W4249">
        <v>0.164779799999999</v>
      </c>
      <c r="X4249">
        <v>0.97603859999999998</v>
      </c>
      <c r="Y4249">
        <v>0.22802349999999999</v>
      </c>
      <c r="Z4249">
        <v>1.303203E-2</v>
      </c>
      <c r="AA4249">
        <v>0.9735684</v>
      </c>
      <c r="AB4249">
        <v>29</v>
      </c>
      <c r="AC4249">
        <v>-28.542899999999999</v>
      </c>
      <c r="AD4249">
        <v>-1.1021165404169999</v>
      </c>
      <c r="AE4249">
        <v>-1.0823</v>
      </c>
      <c r="AF4249">
        <v>6.5682893516340597</v>
      </c>
      <c r="AG4249">
        <v>-1.1021165404169999</v>
      </c>
      <c r="AH4249">
        <v>27.754318246884001</v>
      </c>
      <c r="AI4249">
        <v>92.212942518143507</v>
      </c>
      <c r="AJ4249">
        <v>76.685441874928401</v>
      </c>
      <c r="AK4249">
        <v>28.542236549099801</v>
      </c>
      <c r="AL4249">
        <v>80.515556641055497</v>
      </c>
      <c r="AM4249">
        <v>81.715832269957801</v>
      </c>
      <c r="AN4249">
        <v>0.999999946396118</v>
      </c>
    </row>
    <row r="4250" spans="1:40" x14ac:dyDescent="0.25">
      <c r="A4250" t="str">
        <f>"20190304155720259"</f>
        <v>20190304155720259</v>
      </c>
      <c r="B4250" t="str">
        <f>"1551686240249079"</f>
        <v>1551686240249079</v>
      </c>
      <c r="C4250" t="s">
        <v>40</v>
      </c>
      <c r="D4250">
        <v>5.1656550000000001</v>
      </c>
      <c r="E4250">
        <v>0.53296239999999995</v>
      </c>
      <c r="F4250" t="s">
        <v>41</v>
      </c>
      <c r="G4250">
        <v>-237.12260000000001</v>
      </c>
      <c r="H4250" s="1">
        <v>-1.749018E-6</v>
      </c>
      <c r="I4250">
        <v>141.61689999999999</v>
      </c>
      <c r="J4250">
        <v>-209.30330000000001</v>
      </c>
      <c r="K4250">
        <v>1.1020639999999999</v>
      </c>
      <c r="L4250">
        <v>142.53989999999999</v>
      </c>
      <c r="M4250">
        <v>-0.96614080000000002</v>
      </c>
      <c r="N4250">
        <v>-9.0050970000000001E-3</v>
      </c>
      <c r="O4250">
        <v>-0.25785839999999999</v>
      </c>
      <c r="P4250">
        <v>-0.97991930000000005</v>
      </c>
      <c r="Q4250">
        <v>0.159017299999999</v>
      </c>
      <c r="R4250">
        <v>-0.1202989</v>
      </c>
      <c r="S4250">
        <v>-3.0691380000000001</v>
      </c>
      <c r="T4250">
        <v>-0.120327</v>
      </c>
      <c r="U4250">
        <v>-0.1085358</v>
      </c>
      <c r="V4250">
        <v>0.1394405</v>
      </c>
      <c r="W4250">
        <v>0.16534789999999999</v>
      </c>
      <c r="X4250">
        <v>0.97632799999999997</v>
      </c>
      <c r="Y4250">
        <v>0.2232382</v>
      </c>
      <c r="Z4250">
        <v>1.3039729999999999E-2</v>
      </c>
      <c r="AA4250">
        <v>0.97467669999999995</v>
      </c>
      <c r="AB4250">
        <v>29</v>
      </c>
      <c r="AC4250">
        <v>-27.819299999999998</v>
      </c>
      <c r="AD4250">
        <v>-1.1020657490179999</v>
      </c>
      <c r="AE4250">
        <v>-0.92300000000000104</v>
      </c>
      <c r="AF4250">
        <v>6.2721142705977897</v>
      </c>
      <c r="AG4250">
        <v>-1.1020657490179999</v>
      </c>
      <c r="AH4250">
        <v>27.074020134196999</v>
      </c>
      <c r="AI4250">
        <v>92.270899007891103</v>
      </c>
      <c r="AJ4250">
        <v>76.956641119757904</v>
      </c>
      <c r="AK4250">
        <v>27.8128842906575</v>
      </c>
      <c r="AL4250">
        <v>80.482554457315402</v>
      </c>
      <c r="AM4250">
        <v>81.871906442431793</v>
      </c>
      <c r="AN4250">
        <v>0.99999997232932902</v>
      </c>
    </row>
    <row r="4251" spans="1:40" x14ac:dyDescent="0.25">
      <c r="A4251" t="str">
        <f>"20190304155720282"</f>
        <v>20190304155720282</v>
      </c>
      <c r="B4251" t="str">
        <f>"1551686240279335"</f>
        <v>1551686240279335</v>
      </c>
      <c r="C4251" t="s">
        <v>40</v>
      </c>
      <c r="D4251">
        <v>4.8920430000000001</v>
      </c>
      <c r="E4251">
        <v>0.53226180000000001</v>
      </c>
      <c r="F4251" t="s">
        <v>41</v>
      </c>
      <c r="G4251">
        <v>-237.62979999999999</v>
      </c>
      <c r="H4251" s="1">
        <v>-1.55709E-6</v>
      </c>
      <c r="I4251">
        <v>141.7132</v>
      </c>
      <c r="J4251">
        <v>-209.58879999999999</v>
      </c>
      <c r="K4251">
        <v>1.1020299999999901</v>
      </c>
      <c r="L4251">
        <v>142.47309999999999</v>
      </c>
      <c r="M4251">
        <v>-0.96847870000000003</v>
      </c>
      <c r="N4251">
        <v>-8.8748669999999998E-3</v>
      </c>
      <c r="O4251">
        <v>-0.2489381</v>
      </c>
      <c r="P4251">
        <v>-0.9805895</v>
      </c>
      <c r="Q4251">
        <v>0.1602122</v>
      </c>
      <c r="R4251">
        <v>-0.1130319</v>
      </c>
      <c r="S4251">
        <v>-3.0698699999999999</v>
      </c>
      <c r="T4251">
        <v>-0.119436</v>
      </c>
      <c r="U4251">
        <v>-8.9584349999999993E-2</v>
      </c>
      <c r="V4251">
        <v>0.1376559</v>
      </c>
      <c r="W4251">
        <v>0.166437</v>
      </c>
      <c r="X4251">
        <v>0.97639620000000005</v>
      </c>
      <c r="Y4251">
        <v>0.22027849999999999</v>
      </c>
      <c r="Z4251">
        <v>1.262604E-2</v>
      </c>
      <c r="AA4251">
        <v>0.97535530000000004</v>
      </c>
      <c r="AB4251">
        <v>29</v>
      </c>
      <c r="AC4251">
        <v>-28.041</v>
      </c>
      <c r="AD4251">
        <v>-1.1020315570899999</v>
      </c>
      <c r="AE4251">
        <v>-0.75989999999998703</v>
      </c>
      <c r="AF4251">
        <v>6.2351490285293503</v>
      </c>
      <c r="AG4251">
        <v>-1.1020315570899999</v>
      </c>
      <c r="AH4251">
        <v>27.305213975549101</v>
      </c>
      <c r="AI4251">
        <v>92.253250941136599</v>
      </c>
      <c r="AJ4251">
        <v>77.137049210623701</v>
      </c>
      <c r="AK4251">
        <v>28.0297389786511</v>
      </c>
      <c r="AL4251">
        <v>80.419276914202101</v>
      </c>
      <c r="AM4251">
        <v>81.975121502651504</v>
      </c>
      <c r="AN4251">
        <v>0.99999998057412398</v>
      </c>
    </row>
    <row r="4252" spans="1:40" x14ac:dyDescent="0.25">
      <c r="A4252" t="str">
        <f>"20190304155720305"</f>
        <v>20190304155720305</v>
      </c>
      <c r="B4252" t="str">
        <f>"1551686240298855"</f>
        <v>1551686240298855</v>
      </c>
      <c r="C4252" t="s">
        <v>40</v>
      </c>
      <c r="D4252">
        <v>4.8562659999999997</v>
      </c>
      <c r="E4252">
        <v>0.53243490000000004</v>
      </c>
      <c r="F4252" t="s">
        <v>41</v>
      </c>
      <c r="G4252">
        <v>-238.97309999999999</v>
      </c>
      <c r="H4252" s="1">
        <v>-9.9741410000000009E-7</v>
      </c>
      <c r="I4252">
        <v>141.7757</v>
      </c>
      <c r="J4252">
        <v>-209.89709999999999</v>
      </c>
      <c r="K4252">
        <v>1.1019890000000001</v>
      </c>
      <c r="L4252">
        <v>142.404</v>
      </c>
      <c r="M4252">
        <v>-0.97089979999999998</v>
      </c>
      <c r="N4252">
        <v>-8.7448079999999997E-3</v>
      </c>
      <c r="O4252">
        <v>-0.23932690000000001</v>
      </c>
      <c r="P4252">
        <v>-0.98131449999999998</v>
      </c>
      <c r="Q4252">
        <v>0.1615085</v>
      </c>
      <c r="R4252">
        <v>-0.1045799</v>
      </c>
      <c r="S4252">
        <v>-3.0697939999999999</v>
      </c>
      <c r="T4252">
        <v>-0.1151298</v>
      </c>
      <c r="U4252">
        <v>-7.2860720000000004E-2</v>
      </c>
      <c r="V4252">
        <v>0.1363721</v>
      </c>
      <c r="W4252">
        <v>0.1676185</v>
      </c>
      <c r="X4252">
        <v>0.97637430000000003</v>
      </c>
      <c r="Y4252">
        <v>0.21594759999999999</v>
      </c>
      <c r="Z4252">
        <v>1.178207E-2</v>
      </c>
      <c r="AA4252">
        <v>0.97633389999999998</v>
      </c>
      <c r="AB4252">
        <v>30</v>
      </c>
      <c r="AC4252">
        <v>-29.076000000000001</v>
      </c>
      <c r="AD4252">
        <v>-1.1019899974141001</v>
      </c>
      <c r="AE4252">
        <v>-0.62829999999999497</v>
      </c>
      <c r="AF4252">
        <v>6.3397920907144796</v>
      </c>
      <c r="AG4252">
        <v>-1.1019899974141001</v>
      </c>
      <c r="AH4252">
        <v>28.340642722636002</v>
      </c>
      <c r="AI4252">
        <v>92.173096611962293</v>
      </c>
      <c r="AJ4252">
        <v>77.390550296727298</v>
      </c>
      <c r="AK4252">
        <v>29.061991942053599</v>
      </c>
      <c r="AL4252">
        <v>80.350618032684594</v>
      </c>
      <c r="AM4252">
        <v>82.048825137251399</v>
      </c>
      <c r="AN4252">
        <v>1.0000000424505699</v>
      </c>
    </row>
    <row r="4253" spans="1:40" x14ac:dyDescent="0.25">
      <c r="A4253" t="str">
        <f>"20190304155720329"</f>
        <v>20190304155720329</v>
      </c>
      <c r="B4253" t="str">
        <f>"1551686240319351"</f>
        <v>1551686240319351</v>
      </c>
      <c r="C4253" t="s">
        <v>40</v>
      </c>
      <c r="D4253">
        <v>4.7811059999999896</v>
      </c>
      <c r="E4253">
        <v>0.54540469999999996</v>
      </c>
      <c r="F4253" t="s">
        <v>41</v>
      </c>
      <c r="G4253">
        <v>-240.66050000000001</v>
      </c>
      <c r="H4253" s="1">
        <v>-4.46543E-6</v>
      </c>
      <c r="I4253">
        <v>141.9511</v>
      </c>
      <c r="J4253">
        <v>-210.20150000000001</v>
      </c>
      <c r="K4253">
        <v>1.101952</v>
      </c>
      <c r="L4253">
        <v>142.33879999999999</v>
      </c>
      <c r="M4253">
        <v>-0.97318510000000003</v>
      </c>
      <c r="N4253">
        <v>-8.6286119999999904E-3</v>
      </c>
      <c r="O4253">
        <v>-0.22986180000000001</v>
      </c>
      <c r="P4253">
        <v>-0.98202299999999998</v>
      </c>
      <c r="Q4253">
        <v>0.16250719999999999</v>
      </c>
      <c r="R4253">
        <v>-9.6031969999999994E-2</v>
      </c>
      <c r="S4253">
        <v>-3.0704189999999998</v>
      </c>
      <c r="T4253">
        <v>-0.1099873</v>
      </c>
      <c r="U4253">
        <v>-4.5196529999999999E-2</v>
      </c>
      <c r="V4253">
        <v>0.13535420000000001</v>
      </c>
      <c r="W4253">
        <v>0.16851250000000001</v>
      </c>
      <c r="X4253">
        <v>0.97636199999999995</v>
      </c>
      <c r="Y4253">
        <v>0.2152676</v>
      </c>
      <c r="Z4253">
        <v>1.095779E-2</v>
      </c>
      <c r="AA4253">
        <v>0.97649359999999996</v>
      </c>
      <c r="AB4253">
        <v>30</v>
      </c>
      <c r="AC4253">
        <v>-30.459</v>
      </c>
      <c r="AD4253">
        <v>-1.10195646543</v>
      </c>
      <c r="AE4253">
        <v>-0.38769999999999499</v>
      </c>
      <c r="AF4253">
        <v>6.6156452084721202</v>
      </c>
      <c r="AG4253">
        <v>-1.10195646543</v>
      </c>
      <c r="AH4253">
        <v>29.693608297257001</v>
      </c>
      <c r="AI4253">
        <v>92.074504525596197</v>
      </c>
      <c r="AJ4253">
        <v>77.439816543333905</v>
      </c>
      <c r="AK4253">
        <v>30.441607107493699</v>
      </c>
      <c r="AL4253">
        <v>80.298655968742594</v>
      </c>
      <c r="AM4253">
        <v>82.107324927546003</v>
      </c>
      <c r="AN4253">
        <v>0.99999998857894401</v>
      </c>
    </row>
    <row r="4254" spans="1:40" x14ac:dyDescent="0.25">
      <c r="A4254" t="str">
        <f>"20190304155720351"</f>
        <v>20190304155720351</v>
      </c>
      <c r="B4254" t="str">
        <f>"1551686240338872"</f>
        <v>1551686240338872</v>
      </c>
      <c r="C4254" t="s">
        <v>40</v>
      </c>
      <c r="D4254">
        <v>4.7625199999999897</v>
      </c>
      <c r="E4254">
        <v>0.54626439999999998</v>
      </c>
      <c r="F4254" t="s">
        <v>78</v>
      </c>
      <c r="G4254">
        <v>-290</v>
      </c>
      <c r="H4254" s="1">
        <v>-1.025913E-5</v>
      </c>
      <c r="I4254">
        <v>144.49039999999999</v>
      </c>
      <c r="J4254">
        <v>-210.4915</v>
      </c>
      <c r="K4254">
        <v>1.101923</v>
      </c>
      <c r="L4254">
        <v>142.27959999999999</v>
      </c>
      <c r="M4254">
        <v>-0.97526429999999997</v>
      </c>
      <c r="N4254">
        <v>-8.5305959999999997E-3</v>
      </c>
      <c r="O4254">
        <v>-0.2208773</v>
      </c>
      <c r="P4254">
        <v>-0.98280080000000003</v>
      </c>
      <c r="Q4254">
        <v>0.1624794</v>
      </c>
      <c r="R4254">
        <v>-8.7766819999999995E-2</v>
      </c>
      <c r="S4254">
        <v>-3.0700379999999998</v>
      </c>
      <c r="T4254">
        <v>-4.239511E-2</v>
      </c>
      <c r="U4254">
        <v>8.2778930000000001E-2</v>
      </c>
      <c r="V4254">
        <v>0.13457049999999901</v>
      </c>
      <c r="W4254">
        <v>0.16839779999999999</v>
      </c>
      <c r="X4254">
        <v>0.97649010000000003</v>
      </c>
      <c r="Y4254">
        <v>0.2470523</v>
      </c>
      <c r="Z4254">
        <v>3.8978839999999999E-3</v>
      </c>
      <c r="AA4254">
        <v>0.96899429999999998</v>
      </c>
      <c r="AB4254">
        <v>30</v>
      </c>
      <c r="AC4254">
        <v>-79.508499999999998</v>
      </c>
      <c r="AD4254">
        <v>-1.10193325913</v>
      </c>
      <c r="AE4254">
        <v>2.2107999999999999</v>
      </c>
      <c r="AF4254">
        <v>19.714670646481</v>
      </c>
      <c r="AG4254">
        <v>-1.10193325913</v>
      </c>
      <c r="AH4254">
        <v>77.041502810898507</v>
      </c>
      <c r="AI4254">
        <v>90.793874937734401</v>
      </c>
      <c r="AJ4254">
        <v>75.646215208413395</v>
      </c>
      <c r="AK4254">
        <v>79.531601586844005</v>
      </c>
      <c r="AL4254">
        <v>80.305322958416298</v>
      </c>
      <c r="AM4254">
        <v>82.153469110542801</v>
      </c>
      <c r="AN4254">
        <v>0.99999997695654896</v>
      </c>
    </row>
    <row r="4255" spans="1:40" x14ac:dyDescent="0.25">
      <c r="A4255" t="str">
        <f>"20190304155720372"</f>
        <v>20190304155720372</v>
      </c>
      <c r="B4255" t="str">
        <f>"1551686240369127"</f>
        <v>1551686240369127</v>
      </c>
      <c r="C4255" t="s">
        <v>40</v>
      </c>
      <c r="D4255">
        <v>4.7906579999999996</v>
      </c>
      <c r="E4255">
        <v>0.5460448</v>
      </c>
      <c r="F4255" t="s">
        <v>78</v>
      </c>
      <c r="G4255">
        <v>-306.45679999999999</v>
      </c>
      <c r="H4255" s="1">
        <v>-1.084935E-5</v>
      </c>
      <c r="I4255">
        <v>145.88759999999999</v>
      </c>
      <c r="J4255">
        <v>-210.7799</v>
      </c>
      <c r="K4255">
        <v>1.101901</v>
      </c>
      <c r="L4255">
        <v>142.2235</v>
      </c>
      <c r="M4255">
        <v>-0.9772362</v>
      </c>
      <c r="N4255">
        <v>-8.4453600000000007E-3</v>
      </c>
      <c r="O4255">
        <v>-0.21198639999999999</v>
      </c>
      <c r="P4255">
        <v>-0.98353930000000001</v>
      </c>
      <c r="Q4255">
        <v>0.16196440000000001</v>
      </c>
      <c r="R4255">
        <v>-8.0112849999999999E-2</v>
      </c>
      <c r="S4255">
        <v>-3.0686339999999999</v>
      </c>
      <c r="T4255">
        <v>-3.5236000000000003E-2</v>
      </c>
      <c r="U4255">
        <v>0.11537169999999999</v>
      </c>
      <c r="V4255">
        <v>0.1332911</v>
      </c>
      <c r="W4255">
        <v>0.16781969999999999</v>
      </c>
      <c r="X4255">
        <v>0.97676510000000005</v>
      </c>
      <c r="Y4255">
        <v>0.2485318</v>
      </c>
      <c r="Z4255">
        <v>3.099741E-3</v>
      </c>
      <c r="AA4255">
        <v>0.9686188</v>
      </c>
      <c r="AB4255">
        <v>30</v>
      </c>
      <c r="AC4255">
        <v>-95.676900000000003</v>
      </c>
      <c r="AD4255">
        <v>-1.10191184935</v>
      </c>
      <c r="AE4255">
        <v>3.6640999999999901</v>
      </c>
      <c r="AF4255">
        <v>23.860581758988801</v>
      </c>
      <c r="AG4255">
        <v>-1.10191184935</v>
      </c>
      <c r="AH4255">
        <v>92.713211159285393</v>
      </c>
      <c r="AI4255">
        <v>90.659450935387895</v>
      </c>
      <c r="AJ4255">
        <v>75.567610063761094</v>
      </c>
      <c r="AK4255">
        <v>95.740697172453196</v>
      </c>
      <c r="AL4255">
        <v>80.338924211560297</v>
      </c>
      <c r="AM4255">
        <v>82.229313734201298</v>
      </c>
      <c r="AN4255">
        <v>1.00000001481265</v>
      </c>
    </row>
    <row r="4256" spans="1:40" x14ac:dyDescent="0.25">
      <c r="A4256" t="str">
        <f>"20190304155720394"</f>
        <v>20190304155720394</v>
      </c>
      <c r="B4256" t="str">
        <f>"1551686240388649"</f>
        <v>1551686240388649</v>
      </c>
      <c r="C4256" t="s">
        <v>40</v>
      </c>
      <c r="D4256">
        <v>4.7661009999999999</v>
      </c>
      <c r="E4256">
        <v>0.53972439999999999</v>
      </c>
      <c r="F4256" t="s">
        <v>78</v>
      </c>
      <c r="G4256">
        <v>-308.14510000000001</v>
      </c>
      <c r="H4256" s="1">
        <v>-1.1301410000000001E-5</v>
      </c>
      <c r="I4256">
        <v>146.59219999999999</v>
      </c>
      <c r="J4256">
        <v>-211.078</v>
      </c>
      <c r="K4256">
        <v>1.1018680000000001</v>
      </c>
      <c r="L4256">
        <v>142.16829999999999</v>
      </c>
      <c r="M4256">
        <v>-0.97917869999999996</v>
      </c>
      <c r="N4256">
        <v>-8.36865E-3</v>
      </c>
      <c r="O4256">
        <v>-0.20282749999999999</v>
      </c>
      <c r="P4256">
        <v>-0.98421049999999999</v>
      </c>
      <c r="Q4256">
        <v>0.16172429999999999</v>
      </c>
      <c r="R4256">
        <v>-7.1935449999999998E-2</v>
      </c>
      <c r="S4256">
        <v>-3.067123</v>
      </c>
      <c r="T4256">
        <v>-3.4711599999999898E-2</v>
      </c>
      <c r="U4256">
        <v>0.13761899999999999</v>
      </c>
      <c r="V4256">
        <v>0.1322711</v>
      </c>
      <c r="W4256">
        <v>0.1675198</v>
      </c>
      <c r="X4256">
        <v>0.97695520000000002</v>
      </c>
      <c r="Y4256">
        <v>0.24649489999999999</v>
      </c>
      <c r="Z4256">
        <v>3.007357E-3</v>
      </c>
      <c r="AA4256">
        <v>0.96913950000000004</v>
      </c>
      <c r="AB4256">
        <v>30</v>
      </c>
      <c r="AC4256">
        <v>-97.067099999999996</v>
      </c>
      <c r="AD4256">
        <v>-1.1018793014099999</v>
      </c>
      <c r="AE4256">
        <v>4.4238999999999997</v>
      </c>
      <c r="AF4256">
        <v>24.0174190432515</v>
      </c>
      <c r="AG4256">
        <v>-1.1018793014099999</v>
      </c>
      <c r="AH4256">
        <v>94.139941408764599</v>
      </c>
      <c r="AI4256">
        <v>90.649787345260094</v>
      </c>
      <c r="AJ4256">
        <v>75.687742803621106</v>
      </c>
      <c r="AK4256">
        <v>97.161613428038805</v>
      </c>
      <c r="AL4256">
        <v>80.356353772392097</v>
      </c>
      <c r="AM4256">
        <v>82.289542573089193</v>
      </c>
      <c r="AN4256">
        <v>0.99999999504714399</v>
      </c>
    </row>
    <row r="4257" spans="1:40" x14ac:dyDescent="0.25">
      <c r="A4257" t="str">
        <f>"20190304155720416"</f>
        <v>20190304155720416</v>
      </c>
      <c r="B4257" t="str">
        <f>"1551686240409143"</f>
        <v>1551686240409143</v>
      </c>
      <c r="C4257" t="s">
        <v>40</v>
      </c>
      <c r="D4257">
        <v>4.7438640000000003</v>
      </c>
      <c r="E4257">
        <v>0.53882799999999997</v>
      </c>
      <c r="F4257" t="s">
        <v>41</v>
      </c>
      <c r="G4257">
        <v>-267.84410000000003</v>
      </c>
      <c r="H4257" s="1">
        <v>-2.1459920000000001E-6</v>
      </c>
      <c r="I4257">
        <v>144.27199999999999</v>
      </c>
      <c r="J4257">
        <v>-211.381</v>
      </c>
      <c r="K4257">
        <v>1.101842</v>
      </c>
      <c r="L4257">
        <v>142.11510000000001</v>
      </c>
      <c r="M4257">
        <v>-0.98105359999999997</v>
      </c>
      <c r="N4257">
        <v>-8.3015650000000003E-3</v>
      </c>
      <c r="O4257">
        <v>-0.19355829999999999</v>
      </c>
      <c r="P4257">
        <v>-0.98486470000000004</v>
      </c>
      <c r="Q4257">
        <v>0.16078970000000001</v>
      </c>
      <c r="R4257">
        <v>-6.4718049999999999E-2</v>
      </c>
      <c r="S4257">
        <v>-3.0662229999999999</v>
      </c>
      <c r="T4257">
        <v>-5.951762E-2</v>
      </c>
      <c r="U4257">
        <v>0.1136322</v>
      </c>
      <c r="V4257">
        <v>0.13020889999999999</v>
      </c>
      <c r="W4257">
        <v>0.16655599999999901</v>
      </c>
      <c r="X4257">
        <v>0.97739690000000001</v>
      </c>
      <c r="Y4257">
        <v>0.22969249999999999</v>
      </c>
      <c r="Z4257">
        <v>5.310604E-3</v>
      </c>
      <c r="AA4257">
        <v>0.97324880000000003</v>
      </c>
      <c r="AB4257">
        <v>30</v>
      </c>
      <c r="AC4257">
        <v>-56.463099999999997</v>
      </c>
      <c r="AD4257">
        <v>-1.1018441459919901</v>
      </c>
      <c r="AE4257">
        <v>2.1568999999999998</v>
      </c>
      <c r="AF4257">
        <v>13.040427633922</v>
      </c>
      <c r="AG4257">
        <v>-1.1018441459919901</v>
      </c>
      <c r="AH4257">
        <v>54.956841153443101</v>
      </c>
      <c r="AI4257">
        <v>91.117561603854099</v>
      </c>
      <c r="AJ4257">
        <v>76.651449302281407</v>
      </c>
      <c r="AK4257">
        <v>56.493550100541498</v>
      </c>
      <c r="AL4257">
        <v>80.412362190191601</v>
      </c>
      <c r="AM4257">
        <v>82.411731928988104</v>
      </c>
      <c r="AN4257">
        <v>0.99999997945240904</v>
      </c>
    </row>
    <row r="4258" spans="1:40" x14ac:dyDescent="0.25">
      <c r="A4258" t="str">
        <f>"20190304155720438"</f>
        <v>20190304155720438</v>
      </c>
      <c r="B4258" t="str">
        <f>"1551686240428663"</f>
        <v>1551686240428663</v>
      </c>
      <c r="C4258" t="s">
        <v>40</v>
      </c>
      <c r="D4258">
        <v>4.7678560000000001</v>
      </c>
      <c r="E4258">
        <v>0.53287249999999997</v>
      </c>
      <c r="F4258" t="s">
        <v>41</v>
      </c>
      <c r="G4258">
        <v>-271.79340000000002</v>
      </c>
      <c r="H4258" s="1">
        <v>-4.559977E-6</v>
      </c>
      <c r="I4258">
        <v>144.6575</v>
      </c>
      <c r="J4258">
        <v>-211.67789999999999</v>
      </c>
      <c r="K4258">
        <v>1.1018190000000001</v>
      </c>
      <c r="L4258">
        <v>142.06569999999999</v>
      </c>
      <c r="M4258">
        <v>-0.98279450000000002</v>
      </c>
      <c r="N4258">
        <v>-8.2449350000000001E-3</v>
      </c>
      <c r="O4258">
        <v>-0.1845195</v>
      </c>
      <c r="P4258">
        <v>-0.98540340000000004</v>
      </c>
      <c r="Q4258">
        <v>0.1600712</v>
      </c>
      <c r="R4258">
        <v>-5.7945530000000002E-2</v>
      </c>
      <c r="S4258">
        <v>-3.0637210000000001</v>
      </c>
      <c r="T4258">
        <v>-5.5878520000000001E-2</v>
      </c>
      <c r="U4258">
        <v>0.12893679999999999</v>
      </c>
      <c r="V4258">
        <v>0.12794059999999999</v>
      </c>
      <c r="W4258">
        <v>0.16582339999999901</v>
      </c>
      <c r="X4258">
        <v>0.97782089999999999</v>
      </c>
      <c r="Y4258">
        <v>0.2256251</v>
      </c>
      <c r="Z4258">
        <v>4.8137520000000001E-3</v>
      </c>
      <c r="AA4258">
        <v>0.97420229999999997</v>
      </c>
      <c r="AB4258">
        <v>30</v>
      </c>
      <c r="AC4258">
        <v>-60.115499999999997</v>
      </c>
      <c r="AD4258">
        <v>-1.1018235599770001</v>
      </c>
      <c r="AE4258">
        <v>2.5918000000000001</v>
      </c>
      <c r="AF4258">
        <v>13.6355771938546</v>
      </c>
      <c r="AG4258">
        <v>-1.1018235599770001</v>
      </c>
      <c r="AH4258">
        <v>58.585279656490002</v>
      </c>
      <c r="AI4258">
        <v>91.049402269266295</v>
      </c>
      <c r="AJ4258">
        <v>76.8978146530049</v>
      </c>
      <c r="AK4258">
        <v>60.161266384576997</v>
      </c>
      <c r="AL4258">
        <v>80.454928785517197</v>
      </c>
      <c r="AM4258">
        <v>82.545619565347394</v>
      </c>
      <c r="AN4258">
        <v>0.99999995479636405</v>
      </c>
    </row>
    <row r="4259" spans="1:40" x14ac:dyDescent="0.25">
      <c r="A4259" t="str">
        <f>"20190304155720460"</f>
        <v>20190304155720460</v>
      </c>
      <c r="B4259" t="str">
        <f>"1551686240458919"</f>
        <v>1551686240458919</v>
      </c>
      <c r="C4259" t="s">
        <v>40</v>
      </c>
      <c r="D4259">
        <v>4.5479450000000003</v>
      </c>
      <c r="E4259">
        <v>0.54052650000000002</v>
      </c>
      <c r="F4259" t="s">
        <v>41</v>
      </c>
      <c r="G4259">
        <v>-244.3734</v>
      </c>
      <c r="H4259" s="1">
        <v>-3.3438920000000001E-6</v>
      </c>
      <c r="I4259">
        <v>143.17830000000001</v>
      </c>
      <c r="J4259">
        <v>-211.97739999999999</v>
      </c>
      <c r="K4259">
        <v>1.101801</v>
      </c>
      <c r="L4259">
        <v>142.01859999999999</v>
      </c>
      <c r="M4259">
        <v>-0.98445519999999997</v>
      </c>
      <c r="N4259">
        <v>-8.1955359999999998E-3</v>
      </c>
      <c r="O4259">
        <v>-0.17544509999999999</v>
      </c>
      <c r="P4259">
        <v>-0.98581680000000005</v>
      </c>
      <c r="Q4259">
        <v>0.15947800000000001</v>
      </c>
      <c r="R4259">
        <v>-5.2269650000000001E-2</v>
      </c>
      <c r="S4259">
        <v>-3.0673680000000001</v>
      </c>
      <c r="T4259">
        <v>-0.1033689</v>
      </c>
      <c r="U4259">
        <v>0.1043854</v>
      </c>
      <c r="V4259">
        <v>0.1245552</v>
      </c>
      <c r="W4259">
        <v>0.165245</v>
      </c>
      <c r="X4259">
        <v>0.9783558</v>
      </c>
      <c r="Y4259">
        <v>0.2086297</v>
      </c>
      <c r="Z4259">
        <v>8.8174610000000004E-3</v>
      </c>
      <c r="AA4259">
        <v>0.97795489999999996</v>
      </c>
      <c r="AB4259">
        <v>30</v>
      </c>
      <c r="AC4259">
        <v>-32.396000000000001</v>
      </c>
      <c r="AD4259">
        <v>-1.101804343892</v>
      </c>
      <c r="AE4259">
        <v>1.1597000000000099</v>
      </c>
      <c r="AF4259">
        <v>6.8177446444093199</v>
      </c>
      <c r="AG4259">
        <v>-1.101804343892</v>
      </c>
      <c r="AH4259">
        <v>31.653441096133601</v>
      </c>
      <c r="AI4259">
        <v>91.948908793566204</v>
      </c>
      <c r="AJ4259">
        <v>77.844919208694407</v>
      </c>
      <c r="AK4259">
        <v>32.398085561881501</v>
      </c>
      <c r="AL4259">
        <v>80.488532592689793</v>
      </c>
      <c r="AM4259">
        <v>82.744662196562103</v>
      </c>
      <c r="AN4259">
        <v>0.99999998963283998</v>
      </c>
    </row>
    <row r="4260" spans="1:40" x14ac:dyDescent="0.25">
      <c r="A4260" t="str">
        <f>"20190304155720552"</f>
        <v>20190304155720552</v>
      </c>
      <c r="B4260" t="str">
        <f>"1551686240548711"</f>
        <v>1551686240548711</v>
      </c>
      <c r="C4260" t="s">
        <v>40</v>
      </c>
      <c r="D4260">
        <v>4.9403829999999997</v>
      </c>
      <c r="E4260">
        <v>0.54342449999999998</v>
      </c>
      <c r="F4260" t="s">
        <v>41</v>
      </c>
      <c r="G4260">
        <v>-250.8141</v>
      </c>
      <c r="H4260" s="1">
        <v>-4.8356669999999999E-6</v>
      </c>
      <c r="I4260">
        <v>144.333</v>
      </c>
      <c r="J4260">
        <v>-213.22989999999999</v>
      </c>
      <c r="K4260">
        <v>1.101799</v>
      </c>
      <c r="L4260">
        <v>141.851</v>
      </c>
      <c r="M4260">
        <v>-0.99039310000000003</v>
      </c>
      <c r="N4260">
        <v>-8.054884E-3</v>
      </c>
      <c r="O4260">
        <v>-0.13804669999999999</v>
      </c>
      <c r="P4260">
        <v>-0.98624529999999999</v>
      </c>
      <c r="Q4260">
        <v>0.16044510000000001</v>
      </c>
      <c r="R4260">
        <v>-3.9722260000000002E-2</v>
      </c>
      <c r="S4260">
        <v>-3.0668950000000001</v>
      </c>
      <c r="T4260">
        <v>-8.7008710000000003E-2</v>
      </c>
      <c r="U4260">
        <v>0.18276980000000001</v>
      </c>
      <c r="V4260">
        <v>9.9882559999999995E-2</v>
      </c>
      <c r="W4260">
        <v>0.166548</v>
      </c>
      <c r="X4260">
        <v>0.98096139999999998</v>
      </c>
      <c r="Y4260">
        <v>0.1965964</v>
      </c>
      <c r="Z4260">
        <v>6.3728489999999999E-3</v>
      </c>
      <c r="AA4260">
        <v>0.9804638</v>
      </c>
      <c r="AB4260">
        <v>31</v>
      </c>
      <c r="AC4260">
        <v>-37.584200000000003</v>
      </c>
      <c r="AD4260">
        <v>-1.1018038356669999</v>
      </c>
      <c r="AE4260">
        <v>2.48199999999999</v>
      </c>
      <c r="AF4260">
        <v>7.6402399621022896</v>
      </c>
      <c r="AG4260">
        <v>-1.1018038356669999</v>
      </c>
      <c r="AH4260">
        <v>36.850160329576099</v>
      </c>
      <c r="AI4260">
        <v>91.676965332784405</v>
      </c>
      <c r="AJ4260">
        <v>78.286674118312206</v>
      </c>
      <c r="AK4260">
        <v>37.6499874460306</v>
      </c>
      <c r="AL4260">
        <v>80.412827395162395</v>
      </c>
      <c r="AM4260">
        <v>84.186117845808795</v>
      </c>
      <c r="AN4260">
        <v>1.0000000151930499</v>
      </c>
    </row>
    <row r="4261" spans="1:40" x14ac:dyDescent="0.25">
      <c r="A4261" t="str">
        <f>"20190304155720583"</f>
        <v>20190304155720583</v>
      </c>
      <c r="B4261" t="str">
        <f>"1551686240578967"</f>
        <v>1551686240578967</v>
      </c>
      <c r="C4261" t="s">
        <v>40</v>
      </c>
      <c r="D4261">
        <v>4.6427589999999999</v>
      </c>
      <c r="E4261">
        <v>0.54463799999999996</v>
      </c>
      <c r="F4261" t="s">
        <v>41</v>
      </c>
      <c r="G4261">
        <v>-237.42840000000001</v>
      </c>
      <c r="H4261" s="1">
        <v>-2.1963909999999998E-6</v>
      </c>
      <c r="I4261">
        <v>143.79130000000001</v>
      </c>
      <c r="J4261">
        <v>-213.66919999999999</v>
      </c>
      <c r="K4261">
        <v>1.101828</v>
      </c>
      <c r="L4261">
        <v>141.80340000000001</v>
      </c>
      <c r="M4261">
        <v>-0.99209700000000001</v>
      </c>
      <c r="N4261">
        <v>-8.0216709999999993E-3</v>
      </c>
      <c r="O4261">
        <v>-0.12521699999999999</v>
      </c>
      <c r="P4261">
        <v>-0.98570970000000002</v>
      </c>
      <c r="Q4261">
        <v>0.16400899999999999</v>
      </c>
      <c r="R4261">
        <v>-3.844202E-2</v>
      </c>
      <c r="S4261">
        <v>-3.0745390000000001</v>
      </c>
      <c r="T4261">
        <v>-0.13998949999999999</v>
      </c>
      <c r="U4261">
        <v>0.24653630000000001</v>
      </c>
      <c r="V4261">
        <v>8.8418819999999995E-2</v>
      </c>
      <c r="W4261">
        <v>0.17030020000000001</v>
      </c>
      <c r="X4261">
        <v>0.98141730000000005</v>
      </c>
      <c r="Y4261">
        <v>0.20378640000000001</v>
      </c>
      <c r="Z4261">
        <v>1.0130780000000001E-2</v>
      </c>
      <c r="AA4261">
        <v>0.97896300000000003</v>
      </c>
      <c r="AB4261">
        <v>31</v>
      </c>
      <c r="AC4261">
        <v>-23.7592</v>
      </c>
      <c r="AD4261">
        <v>-1.101830196391</v>
      </c>
      <c r="AE4261">
        <v>1.98789999999999</v>
      </c>
      <c r="AF4261">
        <v>4.93686074782772</v>
      </c>
      <c r="AG4261">
        <v>-1.101830196391</v>
      </c>
      <c r="AH4261">
        <v>23.273556532852702</v>
      </c>
      <c r="AI4261">
        <v>92.651593700412505</v>
      </c>
      <c r="AJ4261">
        <v>78.023759833462407</v>
      </c>
      <c r="AK4261">
        <v>23.8169069678036</v>
      </c>
      <c r="AL4261">
        <v>80.194726043062204</v>
      </c>
      <c r="AM4261">
        <v>84.851950302766497</v>
      </c>
      <c r="AN4261">
        <v>0.99999998129476098</v>
      </c>
    </row>
    <row r="4262" spans="1:40" x14ac:dyDescent="0.25">
      <c r="A4262" t="str">
        <f>"20190304155720606"</f>
        <v>20190304155720606</v>
      </c>
      <c r="B4262" t="str">
        <f>"1551686240599464"</f>
        <v>1551686240599464</v>
      </c>
      <c r="C4262" t="s">
        <v>40</v>
      </c>
      <c r="D4262">
        <v>4.7314629999999998</v>
      </c>
      <c r="E4262">
        <v>0.54217609999999905</v>
      </c>
      <c r="F4262" t="s">
        <v>41</v>
      </c>
      <c r="G4262">
        <v>-250.5172</v>
      </c>
      <c r="H4262" s="1">
        <v>-5.0385640000000002E-6</v>
      </c>
      <c r="I4262">
        <v>144.90729999999999</v>
      </c>
      <c r="J4262">
        <v>-213.9744</v>
      </c>
      <c r="K4262">
        <v>1.1018650000000001</v>
      </c>
      <c r="L4262">
        <v>141.77340000000001</v>
      </c>
      <c r="M4262">
        <v>-0.99317040000000001</v>
      </c>
      <c r="N4262">
        <v>-8.001892E-3</v>
      </c>
      <c r="O4262">
        <v>-0.116399</v>
      </c>
      <c r="P4262">
        <v>-0.98538729999999997</v>
      </c>
      <c r="Q4262">
        <v>0.1661234</v>
      </c>
      <c r="R4262">
        <v>-3.761747E-2</v>
      </c>
      <c r="S4262">
        <v>-3.068832</v>
      </c>
      <c r="T4262">
        <v>-9.1764570000000004E-2</v>
      </c>
      <c r="U4262">
        <v>0.25851439999999998</v>
      </c>
      <c r="V4262">
        <v>8.0494049999999998E-2</v>
      </c>
      <c r="W4262">
        <v>0.17254810000000001</v>
      </c>
      <c r="X4262">
        <v>0.98170659999999998</v>
      </c>
      <c r="Y4262">
        <v>0.1992227</v>
      </c>
      <c r="Z4262">
        <v>6.3132989999999996E-3</v>
      </c>
      <c r="AA4262">
        <v>0.97993390000000002</v>
      </c>
      <c r="AB4262">
        <v>31</v>
      </c>
      <c r="AC4262">
        <v>-36.5428</v>
      </c>
      <c r="AD4262">
        <v>-1.1018700385639999</v>
      </c>
      <c r="AE4262">
        <v>3.1338999999999801</v>
      </c>
      <c r="AF4262">
        <v>7.3596346995016599</v>
      </c>
      <c r="AG4262">
        <v>-1.1018700385639999</v>
      </c>
      <c r="AH4262">
        <v>35.897191902093198</v>
      </c>
      <c r="AI4262">
        <v>91.722348084864507</v>
      </c>
      <c r="AJ4262">
        <v>78.413785695806496</v>
      </c>
      <c r="AK4262">
        <v>36.6604245331079</v>
      </c>
      <c r="AL4262">
        <v>80.0639957919403</v>
      </c>
      <c r="AM4262">
        <v>85.312575686791703</v>
      </c>
      <c r="AN4262">
        <v>0.999999993691286</v>
      </c>
    </row>
    <row r="4263" spans="1:40" x14ac:dyDescent="0.25">
      <c r="A4263" t="str">
        <f>"20190304155720627"</f>
        <v>20190304155720627</v>
      </c>
      <c r="B4263" t="str">
        <f>"1551686240618983"</f>
        <v>1551686240618983</v>
      </c>
      <c r="C4263" t="s">
        <v>40</v>
      </c>
      <c r="D4263">
        <v>4.623907</v>
      </c>
      <c r="E4263">
        <v>0.54051110000000002</v>
      </c>
      <c r="F4263" t="s">
        <v>41</v>
      </c>
      <c r="G4263">
        <v>-251.56139999999999</v>
      </c>
      <c r="H4263" s="1">
        <v>-4.6521209999999998E-6</v>
      </c>
      <c r="I4263">
        <v>144.7319</v>
      </c>
      <c r="J4263">
        <v>-214.27940000000001</v>
      </c>
      <c r="K4263">
        <v>1.10192</v>
      </c>
      <c r="L4263">
        <v>141.74610000000001</v>
      </c>
      <c r="M4263">
        <v>-0.9941487</v>
      </c>
      <c r="N4263">
        <v>-7.9824649999999994E-3</v>
      </c>
      <c r="O4263">
        <v>-0.10772470000000001</v>
      </c>
      <c r="P4263">
        <v>-0.98526659999999999</v>
      </c>
      <c r="Q4263">
        <v>0.167075</v>
      </c>
      <c r="R4263">
        <v>-3.6545660000000001E-2</v>
      </c>
      <c r="S4263">
        <v>-3.0688629999999999</v>
      </c>
      <c r="T4263">
        <v>-8.9964390000000005E-2</v>
      </c>
      <c r="U4263">
        <v>0.2415619</v>
      </c>
      <c r="V4263">
        <v>7.2957229999999998E-2</v>
      </c>
      <c r="W4263">
        <v>0.1736306</v>
      </c>
      <c r="X4263">
        <v>0.98210469999999905</v>
      </c>
      <c r="Y4263">
        <v>0.18528520000000001</v>
      </c>
      <c r="Z4263">
        <v>5.7442969999999998E-3</v>
      </c>
      <c r="AA4263">
        <v>0.98266799999999999</v>
      </c>
      <c r="AB4263">
        <v>31</v>
      </c>
      <c r="AC4263">
        <v>-37.281999999999897</v>
      </c>
      <c r="AD4263">
        <v>-1.101924652121</v>
      </c>
      <c r="AE4263">
        <v>2.9857999999999798</v>
      </c>
      <c r="AF4263">
        <v>6.9786864747492903</v>
      </c>
      <c r="AG4263">
        <v>-1.101924652121</v>
      </c>
      <c r="AH4263">
        <v>36.711512405989197</v>
      </c>
      <c r="AI4263">
        <v>91.6890324609396</v>
      </c>
      <c r="AJ4263">
        <v>79.2367621954361</v>
      </c>
      <c r="AK4263">
        <v>37.385176821661602</v>
      </c>
      <c r="AL4263">
        <v>80.001022582409902</v>
      </c>
      <c r="AM4263">
        <v>85.751494363650707</v>
      </c>
      <c r="AN4263">
        <v>0.99999999221386104</v>
      </c>
    </row>
    <row r="4264" spans="1:40" x14ac:dyDescent="0.25">
      <c r="A4264" t="str">
        <f>"20190304155720652"</f>
        <v>20190304155720652</v>
      </c>
      <c r="B4264" t="str">
        <f>"1551686240649240"</f>
        <v>1551686240649240</v>
      </c>
      <c r="C4264" t="s">
        <v>40</v>
      </c>
      <c r="D4264">
        <v>4.7682960000000003</v>
      </c>
      <c r="E4264">
        <v>0.53668400000000005</v>
      </c>
      <c r="F4264" t="s">
        <v>41</v>
      </c>
      <c r="G4264">
        <v>-253.72290000000001</v>
      </c>
      <c r="H4264" s="1">
        <v>-3.9142389999999997E-6</v>
      </c>
      <c r="I4264">
        <v>144.71899999999999</v>
      </c>
      <c r="J4264">
        <v>-214.6063</v>
      </c>
      <c r="K4264">
        <v>1.1020160000000001</v>
      </c>
      <c r="L4264">
        <v>141.71950000000001</v>
      </c>
      <c r="M4264">
        <v>-0.99509110000000001</v>
      </c>
      <c r="N4264">
        <v>-7.9584189999999996E-3</v>
      </c>
      <c r="O4264">
        <v>-9.8642659999999993E-2</v>
      </c>
      <c r="P4264">
        <v>-0.98522449999999995</v>
      </c>
      <c r="Q4264">
        <v>0.16787639999999901</v>
      </c>
      <c r="R4264">
        <v>-3.3913510000000001E-2</v>
      </c>
      <c r="S4264">
        <v>-3.0680079999999998</v>
      </c>
      <c r="T4264">
        <v>-8.5710289999999995E-2</v>
      </c>
      <c r="U4264">
        <v>0.23124690000000001</v>
      </c>
      <c r="V4264">
        <v>6.6561629999999997E-2</v>
      </c>
      <c r="W4264">
        <v>0.17454149999999999</v>
      </c>
      <c r="X4264">
        <v>0.98239750000000003</v>
      </c>
      <c r="Y4264">
        <v>0.17305470000000001</v>
      </c>
      <c r="Z4264">
        <v>5.0696350000000003E-3</v>
      </c>
      <c r="AA4264">
        <v>0.98489919999999997</v>
      </c>
      <c r="AB4264">
        <v>31</v>
      </c>
      <c r="AC4264">
        <v>-39.116599999999998</v>
      </c>
      <c r="AD4264">
        <v>-1.1020199142389999</v>
      </c>
      <c r="AE4264">
        <v>2.9994999999999798</v>
      </c>
      <c r="AF4264">
        <v>6.8381622011483296</v>
      </c>
      <c r="AG4264">
        <v>-1.1020199142389999</v>
      </c>
      <c r="AH4264">
        <v>38.599467736440403</v>
      </c>
      <c r="AI4264">
        <v>91.610297337454099</v>
      </c>
      <c r="AJ4264">
        <v>79.953889292159303</v>
      </c>
      <c r="AK4264">
        <v>39.215989337476898</v>
      </c>
      <c r="AL4264">
        <v>79.948022818507894</v>
      </c>
      <c r="AM4264">
        <v>86.123890054226095</v>
      </c>
      <c r="AN4264">
        <v>1.00000001690837</v>
      </c>
    </row>
    <row r="4265" spans="1:40" x14ac:dyDescent="0.25">
      <c r="A4265" t="str">
        <f>"20190304155720672"</f>
        <v>20190304155720672</v>
      </c>
      <c r="B4265" t="str">
        <f>"1551686240668760"</f>
        <v>1551686240668760</v>
      </c>
      <c r="C4265" t="s">
        <v>40</v>
      </c>
      <c r="D4265">
        <v>4.6947580000000002</v>
      </c>
      <c r="E4265">
        <v>0.53469489999999997</v>
      </c>
      <c r="F4265" t="s">
        <v>41</v>
      </c>
      <c r="G4265">
        <v>-251.49019999999999</v>
      </c>
      <c r="H4265" s="1">
        <v>-4.5864809999999997E-6</v>
      </c>
      <c r="I4265">
        <v>144.2253</v>
      </c>
      <c r="J4265">
        <v>-214.90950000000001</v>
      </c>
      <c r="K4265">
        <v>1.1021510000000001</v>
      </c>
      <c r="L4265">
        <v>141.69749999999999</v>
      </c>
      <c r="M4265">
        <v>-0.99586799999999998</v>
      </c>
      <c r="N4265">
        <v>-7.9327979999999996E-3</v>
      </c>
      <c r="O4265">
        <v>-9.0466379999999999E-2</v>
      </c>
      <c r="P4265">
        <v>-0.98533249999999994</v>
      </c>
      <c r="Q4265">
        <v>0.16756379999999901</v>
      </c>
      <c r="R4265">
        <v>-3.228636E-2</v>
      </c>
      <c r="S4265">
        <v>-3.06778</v>
      </c>
      <c r="T4265">
        <v>-9.1659550000000006E-2</v>
      </c>
      <c r="U4265">
        <v>0.20841979999999999</v>
      </c>
      <c r="V4265">
        <v>6.0046410000000001E-2</v>
      </c>
      <c r="W4265">
        <v>0.17434249999999901</v>
      </c>
      <c r="X4265">
        <v>0.98285250000000002</v>
      </c>
      <c r="Y4265">
        <v>0.15765489999999999</v>
      </c>
      <c r="Z4265">
        <v>4.95986E-3</v>
      </c>
      <c r="AA4265">
        <v>0.98748179999999997</v>
      </c>
      <c r="AB4265">
        <v>31</v>
      </c>
      <c r="AC4265">
        <v>-36.580699999999901</v>
      </c>
      <c r="AD4265">
        <v>-1.102155586481</v>
      </c>
      <c r="AE4265">
        <v>2.5278000000000098</v>
      </c>
      <c r="AF4265">
        <v>5.8216018561215499</v>
      </c>
      <c r="AG4265">
        <v>-1.102155586481</v>
      </c>
      <c r="AH4265">
        <v>36.1693258408228</v>
      </c>
      <c r="AI4265">
        <v>91.723218371823606</v>
      </c>
      <c r="AJ4265">
        <v>80.856428762586503</v>
      </c>
      <c r="AK4265">
        <v>36.651410980856099</v>
      </c>
      <c r="AL4265">
        <v>79.959601619646307</v>
      </c>
      <c r="AM4265">
        <v>86.503915883749201</v>
      </c>
      <c r="AN4265">
        <v>0.99999995770819305</v>
      </c>
    </row>
    <row r="4266" spans="1:40" x14ac:dyDescent="0.25">
      <c r="A4266" t="str">
        <f>"20190304155720697"</f>
        <v>20190304155720697</v>
      </c>
      <c r="B4266" t="str">
        <f>"1551686240689255"</f>
        <v>1551686240689255</v>
      </c>
      <c r="C4266" t="s">
        <v>40</v>
      </c>
      <c r="D4266">
        <v>4.7856069999999997</v>
      </c>
      <c r="E4266">
        <v>0.53314810000000001</v>
      </c>
      <c r="F4266" t="s">
        <v>41</v>
      </c>
      <c r="G4266">
        <v>-248.90610000000001</v>
      </c>
      <c r="H4266" s="1">
        <v>-1.5882589999999901E-6</v>
      </c>
      <c r="I4266">
        <v>143.88820000000001</v>
      </c>
      <c r="J4266">
        <v>-215.24440000000001</v>
      </c>
      <c r="K4266">
        <v>1.102303</v>
      </c>
      <c r="L4266">
        <v>141.67580000000001</v>
      </c>
      <c r="M4266">
        <v>-0.99662689999999998</v>
      </c>
      <c r="N4266">
        <v>-7.9058169999999903E-3</v>
      </c>
      <c r="O4266">
        <v>-8.1684590000000001E-2</v>
      </c>
      <c r="P4266">
        <v>-0.98554589999999997</v>
      </c>
      <c r="Q4266">
        <v>0.1667187</v>
      </c>
      <c r="R4266">
        <v>-3.0070929999999999E-2</v>
      </c>
      <c r="S4266">
        <v>-3.0680689999999999</v>
      </c>
      <c r="T4266">
        <v>-9.9465369999999997E-2</v>
      </c>
      <c r="U4266">
        <v>0.1977081</v>
      </c>
      <c r="V4266">
        <v>5.3510380000000003E-2</v>
      </c>
      <c r="W4266">
        <v>0.1736095</v>
      </c>
      <c r="X4266">
        <v>0.98335980000000001</v>
      </c>
      <c r="Y4266">
        <v>0.14549110000000001</v>
      </c>
      <c r="Z4266">
        <v>4.9303759999999898E-3</v>
      </c>
      <c r="AA4266">
        <v>0.98934730000000004</v>
      </c>
      <c r="AB4266">
        <v>31</v>
      </c>
      <c r="AC4266">
        <v>-33.661700000000003</v>
      </c>
      <c r="AD4266">
        <v>-1.1023045882589999</v>
      </c>
      <c r="AE4266">
        <v>2.2124000000000001</v>
      </c>
      <c r="AF4266">
        <v>4.9494495827477198</v>
      </c>
      <c r="AG4266">
        <v>-1.1023045882589999</v>
      </c>
      <c r="AH4266">
        <v>33.332888342154597</v>
      </c>
      <c r="AI4266">
        <v>91.873530813076101</v>
      </c>
      <c r="AJ4266">
        <v>81.554119880035003</v>
      </c>
      <c r="AK4266">
        <v>33.7163694932892</v>
      </c>
      <c r="AL4266">
        <v>80.002250829065204</v>
      </c>
      <c r="AM4266">
        <v>86.885272157454907</v>
      </c>
      <c r="AN4266">
        <v>1.0000000577570101</v>
      </c>
    </row>
    <row r="4267" spans="1:40" x14ac:dyDescent="0.25">
      <c r="A4267" t="str">
        <f>"20190304155720718"</f>
        <v>20190304155720718</v>
      </c>
      <c r="B4267" t="str">
        <f>"1551686240708776"</f>
        <v>1551686240708776</v>
      </c>
      <c r="C4267" t="s">
        <v>40</v>
      </c>
      <c r="D4267">
        <v>4.7963589999999998</v>
      </c>
      <c r="E4267">
        <v>0.53217840000000005</v>
      </c>
      <c r="F4267" t="s">
        <v>41</v>
      </c>
      <c r="G4267">
        <v>-247.87049999999999</v>
      </c>
      <c r="H4267" s="1">
        <v>-1.9892060000000001E-6</v>
      </c>
      <c r="I4267">
        <v>143.72540000000001</v>
      </c>
      <c r="J4267">
        <v>-215.5538</v>
      </c>
      <c r="K4267">
        <v>1.102468</v>
      </c>
      <c r="L4267">
        <v>141.65799999999999</v>
      </c>
      <c r="M4267">
        <v>-0.99723819999999996</v>
      </c>
      <c r="N4267">
        <v>-7.8828800000000001E-3</v>
      </c>
      <c r="O4267">
        <v>-7.3851100000000003E-2</v>
      </c>
      <c r="P4267">
        <v>-0.98582910000000001</v>
      </c>
      <c r="Q4267">
        <v>0.16529630000000001</v>
      </c>
      <c r="R4267">
        <v>-2.860151E-2</v>
      </c>
      <c r="S4267">
        <v>-3.0673979999999998</v>
      </c>
      <c r="T4267">
        <v>-0.1036353</v>
      </c>
      <c r="U4267">
        <v>0.19270319999999999</v>
      </c>
      <c r="V4267">
        <v>4.7162219999999998E-2</v>
      </c>
      <c r="W4267">
        <v>0.172295899999999</v>
      </c>
      <c r="X4267">
        <v>0.9839156</v>
      </c>
      <c r="Y4267">
        <v>0.13611609999999999</v>
      </c>
      <c r="Z4267">
        <v>4.7438979999999999E-3</v>
      </c>
      <c r="AA4267">
        <v>0.99068149999999999</v>
      </c>
      <c r="AB4267">
        <v>31</v>
      </c>
      <c r="AC4267">
        <v>-32.316699999999997</v>
      </c>
      <c r="AD4267">
        <v>-1.1024699892059999</v>
      </c>
      <c r="AE4267">
        <v>2.0674000000000201</v>
      </c>
      <c r="AF4267">
        <v>4.4433019223650199</v>
      </c>
      <c r="AG4267">
        <v>-1.1024699892059999</v>
      </c>
      <c r="AH4267">
        <v>32.038627456607003</v>
      </c>
      <c r="AI4267">
        <v>91.952137991510298</v>
      </c>
      <c r="AJ4267">
        <v>82.104254863320804</v>
      </c>
      <c r="AK4267">
        <v>32.364054464075501</v>
      </c>
      <c r="AL4267">
        <v>80.078665857483102</v>
      </c>
      <c r="AM4267">
        <v>87.255730580384906</v>
      </c>
      <c r="AN4267">
        <v>1.0000000300377401</v>
      </c>
    </row>
    <row r="4268" spans="1:40" x14ac:dyDescent="0.25">
      <c r="A4268" t="str">
        <f>"20190304155720744"</f>
        <v>20190304155720744</v>
      </c>
      <c r="B4268" t="str">
        <f>"1551686240739539"</f>
        <v>1551686240739539</v>
      </c>
      <c r="C4268" t="s">
        <v>40</v>
      </c>
      <c r="D4268">
        <v>4.6672849999999997</v>
      </c>
      <c r="E4268">
        <v>0.53091160000000004</v>
      </c>
      <c r="F4268" t="s">
        <v>41</v>
      </c>
      <c r="G4268">
        <v>-246.62710000000001</v>
      </c>
      <c r="H4268" s="1">
        <v>-2.4874909999999999E-6</v>
      </c>
      <c r="I4268">
        <v>143.5933</v>
      </c>
      <c r="J4268">
        <v>-215.91589999999999</v>
      </c>
      <c r="K4268">
        <v>1.1027039999999999</v>
      </c>
      <c r="L4268">
        <v>141.63980000000001</v>
      </c>
      <c r="M4268">
        <v>-0.99784799999999996</v>
      </c>
      <c r="N4268">
        <v>-7.8541689999999994E-3</v>
      </c>
      <c r="O4268">
        <v>-6.5097829999999995E-2</v>
      </c>
      <c r="P4268">
        <v>-0.98614849999999998</v>
      </c>
      <c r="Q4268">
        <v>0.163911</v>
      </c>
      <c r="R4268">
        <v>-2.5383139999999998E-2</v>
      </c>
      <c r="S4268">
        <v>-3.06691</v>
      </c>
      <c r="T4268">
        <v>-0.1088129</v>
      </c>
      <c r="U4268">
        <v>0.19102479999999999</v>
      </c>
      <c r="V4268">
        <v>4.1624990000000001E-2</v>
      </c>
      <c r="W4268">
        <v>0.17100029999999999</v>
      </c>
      <c r="X4268">
        <v>0.98439129999999997</v>
      </c>
      <c r="Y4268">
        <v>0.12688540000000001</v>
      </c>
      <c r="Z4268">
        <v>4.5429559999999999E-3</v>
      </c>
      <c r="AA4268">
        <v>0.99190699999999998</v>
      </c>
      <c r="AB4268">
        <v>31</v>
      </c>
      <c r="AC4268">
        <v>-30.711200000000002</v>
      </c>
      <c r="AD4268">
        <v>-1.102706487491</v>
      </c>
      <c r="AE4268">
        <v>1.95349999999999</v>
      </c>
      <c r="AF4268">
        <v>3.9435865927217599</v>
      </c>
      <c r="AG4268">
        <v>-1.102706487491</v>
      </c>
      <c r="AH4268">
        <v>30.479744835556598</v>
      </c>
      <c r="AI4268">
        <v>92.054849347759998</v>
      </c>
      <c r="AJ4268">
        <v>82.627806955491096</v>
      </c>
      <c r="AK4268">
        <v>30.753579987580199</v>
      </c>
      <c r="AL4268">
        <v>80.154016175655201</v>
      </c>
      <c r="AM4268">
        <v>87.578690168102099</v>
      </c>
      <c r="AN4268">
        <v>0.99999998695413905</v>
      </c>
    </row>
    <row r="4269" spans="1:40" x14ac:dyDescent="0.25">
      <c r="A4269" t="str">
        <f>"20190304155720765"</f>
        <v>20190304155720765</v>
      </c>
      <c r="B4269" t="str">
        <f>"1551686240759060"</f>
        <v>1551686240759060</v>
      </c>
      <c r="C4269" t="s">
        <v>40</v>
      </c>
      <c r="D4269">
        <v>4.8081160000000001</v>
      </c>
      <c r="E4269">
        <v>0.53032550000000001</v>
      </c>
      <c r="F4269" t="s">
        <v>41</v>
      </c>
      <c r="G4269">
        <v>-244.86799999999999</v>
      </c>
      <c r="H4269" s="1">
        <v>-3.2028250000000001E-6</v>
      </c>
      <c r="I4269">
        <v>143.44560000000001</v>
      </c>
      <c r="J4269">
        <v>-216.21449999999999</v>
      </c>
      <c r="K4269">
        <v>1.1029370000000001</v>
      </c>
      <c r="L4269">
        <v>141.6268</v>
      </c>
      <c r="M4269">
        <v>-0.99826999999999999</v>
      </c>
      <c r="N4269">
        <v>-7.8273179999999998E-3</v>
      </c>
      <c r="O4269">
        <v>-5.8275019999999997E-2</v>
      </c>
      <c r="P4269">
        <v>-0.98650150000000003</v>
      </c>
      <c r="Q4269">
        <v>0.16219210000000001</v>
      </c>
      <c r="R4269">
        <v>-2.2556489999999998E-2</v>
      </c>
      <c r="S4269">
        <v>-3.0664829999999998</v>
      </c>
      <c r="T4269">
        <v>-0.1167941</v>
      </c>
      <c r="U4269">
        <v>0.19126889999999999</v>
      </c>
      <c r="V4269">
        <v>3.7601719999999998E-2</v>
      </c>
      <c r="W4269">
        <v>0.16934350000000001</v>
      </c>
      <c r="X4269">
        <v>0.98483960000000004</v>
      </c>
      <c r="Y4269">
        <v>0.1201797</v>
      </c>
      <c r="Z4269">
        <v>4.5177139999999999E-3</v>
      </c>
      <c r="AA4269">
        <v>0.99274189999999995</v>
      </c>
      <c r="AB4269">
        <v>31</v>
      </c>
      <c r="AC4269">
        <v>-28.653500000000001</v>
      </c>
      <c r="AD4269">
        <v>-1.1029402028249999</v>
      </c>
      <c r="AE4269">
        <v>1.81880000000001</v>
      </c>
      <c r="AF4269">
        <v>3.4804070370154698</v>
      </c>
      <c r="AG4269">
        <v>-1.1029402028249999</v>
      </c>
      <c r="AH4269">
        <v>28.456814356231799</v>
      </c>
      <c r="AI4269">
        <v>92.203180379179102</v>
      </c>
      <c r="AJ4269">
        <v>83.027077521080898</v>
      </c>
      <c r="AK4269">
        <v>28.6900678552588</v>
      </c>
      <c r="AL4269">
        <v>80.250349765343202</v>
      </c>
      <c r="AM4269">
        <v>87.813477543631805</v>
      </c>
      <c r="AN4269">
        <v>1.0000000740336801</v>
      </c>
    </row>
    <row r="4270" spans="1:40" x14ac:dyDescent="0.25">
      <c r="A4270" t="str">
        <f>"20190304155720786"</f>
        <v>20190304155720786</v>
      </c>
      <c r="B4270" t="str">
        <f>"1551686240779555"</f>
        <v>1551686240779555</v>
      </c>
      <c r="C4270" t="s">
        <v>40</v>
      </c>
      <c r="D4270">
        <v>4.8335160000000004</v>
      </c>
      <c r="E4270">
        <v>0.52980119999999997</v>
      </c>
      <c r="F4270" t="s">
        <v>41</v>
      </c>
      <c r="G4270">
        <v>-243.96469999999999</v>
      </c>
      <c r="H4270" s="1">
        <v>-3.5752329999999999E-6</v>
      </c>
      <c r="I4270">
        <v>143.38890000000001</v>
      </c>
      <c r="J4270">
        <v>-216.5206</v>
      </c>
      <c r="K4270">
        <v>1.1032230000000001</v>
      </c>
      <c r="L4270">
        <v>141.61529999999999</v>
      </c>
      <c r="M4270">
        <v>-0.99863270000000004</v>
      </c>
      <c r="N4270">
        <v>-7.7981200000000004E-3</v>
      </c>
      <c r="O4270">
        <v>-5.169149E-2</v>
      </c>
      <c r="P4270">
        <v>-0.98667990000000005</v>
      </c>
      <c r="Q4270">
        <v>0.1614081</v>
      </c>
      <c r="R4270">
        <v>-2.026186E-2</v>
      </c>
      <c r="S4270">
        <v>-3.0655209999999999</v>
      </c>
      <c r="T4270">
        <v>-0.1218402</v>
      </c>
      <c r="U4270">
        <v>0.19465640000000001</v>
      </c>
      <c r="V4270">
        <v>3.3269109999999998E-2</v>
      </c>
      <c r="W4270">
        <v>0.16862160000000001</v>
      </c>
      <c r="X4270">
        <v>0.98511919999999997</v>
      </c>
      <c r="Y4270">
        <v>0.1147411</v>
      </c>
      <c r="Z4270">
        <v>4.374312E-3</v>
      </c>
      <c r="AA4270">
        <v>0.99338579999999999</v>
      </c>
      <c r="AB4270">
        <v>31</v>
      </c>
      <c r="AC4270">
        <v>-27.444099999999899</v>
      </c>
      <c r="AD4270">
        <v>-1.1032265752329999</v>
      </c>
      <c r="AE4270">
        <v>1.7736000000000101</v>
      </c>
      <c r="AF4270">
        <v>3.1847731537297701</v>
      </c>
      <c r="AG4270">
        <v>-1.1032265752329999</v>
      </c>
      <c r="AH4270">
        <v>27.271837988352299</v>
      </c>
      <c r="AI4270">
        <v>92.300901885481593</v>
      </c>
      <c r="AJ4270">
        <v>83.3392352172323</v>
      </c>
      <c r="AK4270">
        <v>27.479320154981099</v>
      </c>
      <c r="AL4270">
        <v>80.292313949996895</v>
      </c>
      <c r="AM4270">
        <v>88.065761580065697</v>
      </c>
      <c r="AN4270">
        <v>0.99999995793769503</v>
      </c>
    </row>
    <row r="4271" spans="1:40" x14ac:dyDescent="0.25">
      <c r="A4271" t="str">
        <f>"20190304155720807"</f>
        <v>20190304155720807</v>
      </c>
      <c r="B4271" t="str">
        <f>"1551686240799076"</f>
        <v>1551686240799076</v>
      </c>
      <c r="C4271" t="s">
        <v>40</v>
      </c>
      <c r="D4271">
        <v>4.8179160000000003</v>
      </c>
      <c r="E4271">
        <v>0.52935330000000003</v>
      </c>
      <c r="F4271" t="s">
        <v>41</v>
      </c>
      <c r="G4271">
        <v>-244.012</v>
      </c>
      <c r="H4271" s="1">
        <v>-3.5549940000000001E-6</v>
      </c>
      <c r="I4271">
        <v>143.38900000000001</v>
      </c>
      <c r="J4271">
        <v>-216.821</v>
      </c>
      <c r="K4271">
        <v>1.103537</v>
      </c>
      <c r="L4271">
        <v>141.60550000000001</v>
      </c>
      <c r="M4271">
        <v>-0.99892689999999995</v>
      </c>
      <c r="N4271">
        <v>-7.7693329999999998E-3</v>
      </c>
      <c r="O4271">
        <v>-4.5660220000000001E-2</v>
      </c>
      <c r="P4271">
        <v>-0.98666860000000001</v>
      </c>
      <c r="Q4271">
        <v>0.1617035</v>
      </c>
      <c r="R4271">
        <v>-1.8369259999999998E-2</v>
      </c>
      <c r="S4271">
        <v>-3.064651</v>
      </c>
      <c r="T4271">
        <v>-0.1229842</v>
      </c>
      <c r="U4271">
        <v>0.19773859999999999</v>
      </c>
      <c r="V4271">
        <v>2.9075799999999999E-2</v>
      </c>
      <c r="W4271">
        <v>0.1689717</v>
      </c>
      <c r="X4271">
        <v>0.98519190000000001</v>
      </c>
      <c r="Y4271">
        <v>0.1097592</v>
      </c>
      <c r="Z4271">
        <v>4.1018410000000002E-3</v>
      </c>
      <c r="AA4271">
        <v>0.99394970000000005</v>
      </c>
      <c r="AB4271">
        <v>32</v>
      </c>
      <c r="AC4271">
        <v>-27.190999999999999</v>
      </c>
      <c r="AD4271">
        <v>-1.1035405549940001</v>
      </c>
      <c r="AE4271">
        <v>1.7835000000000001</v>
      </c>
      <c r="AF4271">
        <v>3.0182739837052299</v>
      </c>
      <c r="AG4271">
        <v>-1.1035405549940001</v>
      </c>
      <c r="AH4271">
        <v>27.036859112195199</v>
      </c>
      <c r="AI4271">
        <v>92.322882206980495</v>
      </c>
      <c r="AJ4271">
        <v>83.630129638812505</v>
      </c>
      <c r="AK4271">
        <v>27.227183663572699</v>
      </c>
      <c r="AL4271">
        <v>80.271962681404503</v>
      </c>
      <c r="AM4271">
        <v>88.309530151064394</v>
      </c>
      <c r="AN4271">
        <v>0.99999995868606895</v>
      </c>
    </row>
    <row r="4272" spans="1:40" x14ac:dyDescent="0.25">
      <c r="A4272" t="str">
        <f>"20190304155720831"</f>
        <v>20190304155720831</v>
      </c>
      <c r="B4272" t="str">
        <f>"1551686240819571"</f>
        <v>1551686240819571</v>
      </c>
      <c r="C4272" t="s">
        <v>40</v>
      </c>
      <c r="D4272">
        <v>4.7327120000000003</v>
      </c>
      <c r="E4272">
        <v>0.52898029999999996</v>
      </c>
      <c r="F4272" t="s">
        <v>41</v>
      </c>
      <c r="G4272">
        <v>-244.75620000000001</v>
      </c>
      <c r="H4272" s="1">
        <v>-3.2465070000000002E-6</v>
      </c>
      <c r="I4272">
        <v>143.42949999999999</v>
      </c>
      <c r="J4272">
        <v>-217.1591</v>
      </c>
      <c r="K4272">
        <v>1.1039139999999901</v>
      </c>
      <c r="L4272">
        <v>141.59610000000001</v>
      </c>
      <c r="M4272">
        <v>-0.99919449999999999</v>
      </c>
      <c r="N4272">
        <v>-7.7386379999999999E-3</v>
      </c>
      <c r="O4272">
        <v>-3.9379259999999999E-2</v>
      </c>
      <c r="P4272">
        <v>-0.98664130000000005</v>
      </c>
      <c r="Q4272">
        <v>0.1622391</v>
      </c>
      <c r="R4272">
        <v>-1.4752380000000001E-2</v>
      </c>
      <c r="S4272">
        <v>-3.064117</v>
      </c>
      <c r="T4272">
        <v>-0.12104379999999999</v>
      </c>
      <c r="U4272">
        <v>0.20007320000000001</v>
      </c>
      <c r="V4272">
        <v>2.6338839999999999E-2</v>
      </c>
      <c r="W4272">
        <v>0.16953750000000001</v>
      </c>
      <c r="X4272">
        <v>0.98517169999999998</v>
      </c>
      <c r="Y4272">
        <v>0.1042863</v>
      </c>
      <c r="Z4272">
        <v>3.7102680000000001E-3</v>
      </c>
      <c r="AA4272">
        <v>0.99454039999999999</v>
      </c>
      <c r="AB4272">
        <v>32</v>
      </c>
      <c r="AC4272">
        <v>-27.597100000000001</v>
      </c>
      <c r="AD4272">
        <v>-1.10391724650699</v>
      </c>
      <c r="AE4272">
        <v>1.8333999999999799</v>
      </c>
      <c r="AF4272">
        <v>2.9141212040504199</v>
      </c>
      <c r="AG4272">
        <v>-1.10391724650699</v>
      </c>
      <c r="AH4272">
        <v>27.4597473904041</v>
      </c>
      <c r="AI4272">
        <v>92.289283283178804</v>
      </c>
      <c r="AJ4272">
        <v>83.942251462125995</v>
      </c>
      <c r="AK4272">
        <v>27.6359993925285</v>
      </c>
      <c r="AL4272">
        <v>80.239070459451199</v>
      </c>
      <c r="AM4272">
        <v>88.468546176634703</v>
      </c>
      <c r="AN4272">
        <v>0.99999998843984195</v>
      </c>
    </row>
    <row r="4273" spans="1:40" x14ac:dyDescent="0.25">
      <c r="A4273" t="str">
        <f>"20190304155720852"</f>
        <v>20190304155720852</v>
      </c>
      <c r="B4273" t="str">
        <f>"1551686240849246"</f>
        <v>1551686240849246</v>
      </c>
      <c r="C4273" t="s">
        <v>40</v>
      </c>
      <c r="D4273">
        <v>4.8358780000000001</v>
      </c>
      <c r="E4273">
        <v>0.52843709999999999</v>
      </c>
      <c r="F4273" t="s">
        <v>41</v>
      </c>
      <c r="G4273">
        <v>-245.1456</v>
      </c>
      <c r="H4273" s="1">
        <v>-3.097178E-6</v>
      </c>
      <c r="I4273">
        <v>143.49610000000001</v>
      </c>
      <c r="J4273">
        <v>-217.46180000000001</v>
      </c>
      <c r="K4273">
        <v>1.1042529999999999</v>
      </c>
      <c r="L4273">
        <v>141.58920000000001</v>
      </c>
      <c r="M4273">
        <v>-0.99938400000000005</v>
      </c>
      <c r="N4273">
        <v>-7.7137300000000002E-3</v>
      </c>
      <c r="O4273">
        <v>-3.423665E-2</v>
      </c>
      <c r="P4273">
        <v>-0.98679919999999999</v>
      </c>
      <c r="Q4273">
        <v>0.1615029</v>
      </c>
      <c r="R4273">
        <v>-1.2018600000000001E-2</v>
      </c>
      <c r="S4273">
        <v>-3.0635829999999999</v>
      </c>
      <c r="T4273">
        <v>-0.1208422</v>
      </c>
      <c r="U4273">
        <v>0.2079926</v>
      </c>
      <c r="V4273">
        <v>2.385164E-2</v>
      </c>
      <c r="W4273">
        <v>0.16882829999999999</v>
      </c>
      <c r="X4273">
        <v>0.98535680000000003</v>
      </c>
      <c r="Y4273">
        <v>0.1017439</v>
      </c>
      <c r="Z4273">
        <v>3.4814999999999998E-3</v>
      </c>
      <c r="AA4273">
        <v>0.99480460000000004</v>
      </c>
      <c r="AB4273">
        <v>32</v>
      </c>
      <c r="AC4273">
        <v>-27.683799999999898</v>
      </c>
      <c r="AD4273">
        <v>-1.104256097178</v>
      </c>
      <c r="AE4273">
        <v>1.9069</v>
      </c>
      <c r="AF4273">
        <v>2.8490990792450601</v>
      </c>
      <c r="AG4273">
        <v>-1.104256097178</v>
      </c>
      <c r="AH4273">
        <v>27.5586411509694</v>
      </c>
      <c r="AI4273">
        <v>92.282423638380706</v>
      </c>
      <c r="AJ4273">
        <v>84.097550946863294</v>
      </c>
      <c r="AK4273">
        <v>27.727521511657201</v>
      </c>
      <c r="AL4273">
        <v>80.280298665499103</v>
      </c>
      <c r="AM4273">
        <v>88.6133637199639</v>
      </c>
      <c r="AN4273">
        <v>0.99999995945890896</v>
      </c>
    </row>
    <row r="4274" spans="1:40" x14ac:dyDescent="0.25">
      <c r="A4274" t="str">
        <f>"20190304155720875"</f>
        <v>20190304155720875</v>
      </c>
      <c r="B4274" t="str">
        <f>"1551686240868766"</f>
        <v>1551686240868766</v>
      </c>
      <c r="C4274" t="s">
        <v>40</v>
      </c>
      <c r="D4274">
        <v>4.7417020000000001</v>
      </c>
      <c r="E4274">
        <v>0.52795809999999999</v>
      </c>
      <c r="F4274" t="s">
        <v>41</v>
      </c>
      <c r="G4274">
        <v>-245.24369999999999</v>
      </c>
      <c r="H4274" s="1">
        <v>-3.0584849999999998E-6</v>
      </c>
      <c r="I4274">
        <v>143.50880000000001</v>
      </c>
      <c r="J4274">
        <v>-217.79179999999999</v>
      </c>
      <c r="K4274">
        <v>1.1045739999999999</v>
      </c>
      <c r="L4274">
        <v>141.583</v>
      </c>
      <c r="M4274">
        <v>-0.99954880000000002</v>
      </c>
      <c r="N4274">
        <v>-7.6902419999999999E-3</v>
      </c>
      <c r="O4274">
        <v>-2.9040839999999998E-2</v>
      </c>
      <c r="P4274">
        <v>-0.98705100000000001</v>
      </c>
      <c r="Q4274">
        <v>0.16010729999999901</v>
      </c>
      <c r="R4274">
        <v>-9.8195120000000007E-3</v>
      </c>
      <c r="S4274">
        <v>-3.0626370000000001</v>
      </c>
      <c r="T4274">
        <v>-0.1217319</v>
      </c>
      <c r="U4274">
        <v>0.21162410000000001</v>
      </c>
      <c r="V4274">
        <v>2.0779280000000001E-2</v>
      </c>
      <c r="W4274">
        <v>0.16746429999999901</v>
      </c>
      <c r="X4274">
        <v>0.98565910000000001</v>
      </c>
      <c r="Y4274">
        <v>9.7771179999999999E-2</v>
      </c>
      <c r="Z4274">
        <v>3.2462419999999999E-3</v>
      </c>
      <c r="AA4274">
        <v>0.99520359999999997</v>
      </c>
      <c r="AB4274">
        <v>32</v>
      </c>
      <c r="AC4274">
        <v>-27.451899999999899</v>
      </c>
      <c r="AD4274">
        <v>-1.1045770584850001</v>
      </c>
      <c r="AE4274">
        <v>1.9258</v>
      </c>
      <c r="AF4274">
        <v>2.7178587166128398</v>
      </c>
      <c r="AG4274">
        <v>-1.1045770584850001</v>
      </c>
      <c r="AH4274">
        <v>27.340345034626701</v>
      </c>
      <c r="AI4274">
        <v>92.302213121968606</v>
      </c>
      <c r="AJ4274">
        <v>84.322971972484794</v>
      </c>
      <c r="AK4274">
        <v>27.4972964688174</v>
      </c>
      <c r="AL4274">
        <v>80.359578968831102</v>
      </c>
      <c r="AM4274">
        <v>88.792291659075801</v>
      </c>
      <c r="AN4274">
        <v>0.99999996583230799</v>
      </c>
    </row>
    <row r="4275" spans="1:40" x14ac:dyDescent="0.25">
      <c r="A4275" t="str">
        <f>"20190304155720897"</f>
        <v>20190304155720897</v>
      </c>
      <c r="B4275" t="str">
        <f>"1551686240889262"</f>
        <v>1551686240889262</v>
      </c>
      <c r="C4275" t="s">
        <v>40</v>
      </c>
      <c r="D4275">
        <v>4.8765159999999996</v>
      </c>
      <c r="E4275">
        <v>0.52732849999999998</v>
      </c>
      <c r="F4275" t="s">
        <v>41</v>
      </c>
      <c r="G4275">
        <v>-244.28550000000001</v>
      </c>
      <c r="H4275" s="1">
        <v>-3.451971E-6</v>
      </c>
      <c r="I4275">
        <v>143.44290000000001</v>
      </c>
      <c r="J4275">
        <v>-218.1086</v>
      </c>
      <c r="K4275">
        <v>1.1048629999999999</v>
      </c>
      <c r="L4275">
        <v>141.57820000000001</v>
      </c>
      <c r="M4275">
        <v>-0.99967189999999995</v>
      </c>
      <c r="N4275">
        <v>-7.6707759999999998E-3</v>
      </c>
      <c r="O4275">
        <v>-2.4441109999999999E-2</v>
      </c>
      <c r="P4275">
        <v>-0.98719780000000001</v>
      </c>
      <c r="Q4275">
        <v>0.15924379999999999</v>
      </c>
      <c r="R4275">
        <v>-9.0692099999999994E-3</v>
      </c>
      <c r="S4275">
        <v>-3.0622099999999999</v>
      </c>
      <c r="T4275">
        <v>-0.1276697</v>
      </c>
      <c r="U4275">
        <v>0.21498110000000001</v>
      </c>
      <c r="V4275">
        <v>1.686607E-2</v>
      </c>
      <c r="W4275">
        <v>0.1666387</v>
      </c>
      <c r="X4275">
        <v>0.98587380000000002</v>
      </c>
      <c r="Y4275">
        <v>9.4282400000000002E-2</v>
      </c>
      <c r="Z4275">
        <v>3.1546769999999998E-3</v>
      </c>
      <c r="AA4275">
        <v>0.99554050000000005</v>
      </c>
      <c r="AB4275">
        <v>32</v>
      </c>
      <c r="AC4275">
        <v>-26.1769</v>
      </c>
      <c r="AD4275">
        <v>-1.1048664519710001</v>
      </c>
      <c r="AE4275">
        <v>1.86469999999999</v>
      </c>
      <c r="AF4275">
        <v>2.4995238143190699</v>
      </c>
      <c r="AG4275">
        <v>-1.1048664519710001</v>
      </c>
      <c r="AH4275">
        <v>26.077281233923198</v>
      </c>
      <c r="AI4275">
        <v>92.415054322914699</v>
      </c>
      <c r="AJ4275">
        <v>84.524889838721407</v>
      </c>
      <c r="AK4275">
        <v>26.220086684222899</v>
      </c>
      <c r="AL4275">
        <v>80.407557210812897</v>
      </c>
      <c r="AM4275">
        <v>89.019894464502997</v>
      </c>
      <c r="AN4275">
        <v>1.0000000350906799</v>
      </c>
    </row>
    <row r="4276" spans="1:40" x14ac:dyDescent="0.25">
      <c r="A4276" t="str">
        <f>"20190304155720918"</f>
        <v>20190304155720918</v>
      </c>
      <c r="B4276" t="str">
        <f>"1551686240908781"</f>
        <v>1551686240908781</v>
      </c>
      <c r="C4276" t="s">
        <v>40</v>
      </c>
      <c r="D4276">
        <v>4.898739</v>
      </c>
      <c r="E4276">
        <v>0.52682640000000003</v>
      </c>
      <c r="F4276" t="s">
        <v>41</v>
      </c>
      <c r="G4276">
        <v>-244.0147</v>
      </c>
      <c r="H4276" s="1">
        <v>-3.5522130000000002E-6</v>
      </c>
      <c r="I4276">
        <v>143.38290000000001</v>
      </c>
      <c r="J4276">
        <v>-218.42089999999999</v>
      </c>
      <c r="K4276">
        <v>1.1051390000000001</v>
      </c>
      <c r="L4276">
        <v>141.57470000000001</v>
      </c>
      <c r="M4276">
        <v>-0.99976489999999996</v>
      </c>
      <c r="N4276">
        <v>-7.6526390000000001E-3</v>
      </c>
      <c r="O4276">
        <v>-2.0286200000000001E-2</v>
      </c>
      <c r="P4276">
        <v>-0.98713379999999995</v>
      </c>
      <c r="Q4276">
        <v>0.15964389999999901</v>
      </c>
      <c r="R4276">
        <v>-8.9785230000000004E-3</v>
      </c>
      <c r="S4276">
        <v>-3.0619200000000002</v>
      </c>
      <c r="T4276">
        <v>-0.13058810000000001</v>
      </c>
      <c r="U4276">
        <v>0.21330260000000001</v>
      </c>
      <c r="V4276">
        <v>1.2744729999999999E-2</v>
      </c>
      <c r="W4276">
        <v>0.16707269999999999</v>
      </c>
      <c r="X4276">
        <v>0.98586220000000002</v>
      </c>
      <c r="Y4276">
        <v>8.9609969999999997E-2</v>
      </c>
      <c r="Z4276">
        <v>2.9600709999999999E-3</v>
      </c>
      <c r="AA4276">
        <v>0.99597250000000004</v>
      </c>
      <c r="AB4276">
        <v>32</v>
      </c>
      <c r="AC4276">
        <v>-25.593800000000002</v>
      </c>
      <c r="AD4276">
        <v>-1.1051425522129901</v>
      </c>
      <c r="AE4276">
        <v>1.8082</v>
      </c>
      <c r="AF4276">
        <v>2.3227347621982801</v>
      </c>
      <c r="AG4276">
        <v>-1.1051425522129901</v>
      </c>
      <c r="AH4276">
        <v>25.5045327288219</v>
      </c>
      <c r="AI4276">
        <v>92.470930968848805</v>
      </c>
      <c r="AJ4276">
        <v>84.796345020047596</v>
      </c>
      <c r="AK4276">
        <v>25.633915552482101</v>
      </c>
      <c r="AL4276">
        <v>80.382336916847393</v>
      </c>
      <c r="AM4276">
        <v>89.259350276343994</v>
      </c>
      <c r="AN4276">
        <v>0.99999999630845104</v>
      </c>
    </row>
    <row r="4277" spans="1:40" x14ac:dyDescent="0.25">
      <c r="A4277" t="str">
        <f>"20190304155720942"</f>
        <v>20190304155720942</v>
      </c>
      <c r="B4277" t="str">
        <f>"1551686240939037"</f>
        <v>1551686240939037</v>
      </c>
      <c r="C4277" t="s">
        <v>40</v>
      </c>
      <c r="D4277">
        <v>4.9278589999999998</v>
      </c>
      <c r="E4277">
        <v>0.52624009999999999</v>
      </c>
      <c r="F4277" t="s">
        <v>41</v>
      </c>
      <c r="G4277">
        <v>-244.6275</v>
      </c>
      <c r="H4277" s="1">
        <v>-3.2867619999999998E-6</v>
      </c>
      <c r="I4277">
        <v>143.3734</v>
      </c>
      <c r="J4277">
        <v>-218.76849999999999</v>
      </c>
      <c r="K4277">
        <v>1.1054710000000001</v>
      </c>
      <c r="L4277">
        <v>141.5719</v>
      </c>
      <c r="M4277">
        <v>-0.99984130000000004</v>
      </c>
      <c r="N4277">
        <v>-7.6326619999999897E-3</v>
      </c>
      <c r="O4277">
        <v>-1.6098049999999999E-2</v>
      </c>
      <c r="P4277">
        <v>-0.98706719999999903</v>
      </c>
      <c r="Q4277">
        <v>0.1600644</v>
      </c>
      <c r="R4277">
        <v>-8.8053009999999998E-3</v>
      </c>
      <c r="S4277">
        <v>-3.0619049999999999</v>
      </c>
      <c r="T4277">
        <v>-0.12912169999999901</v>
      </c>
      <c r="U4277">
        <v>0.21015929999999999</v>
      </c>
      <c r="V4277">
        <v>8.6533909999999999E-3</v>
      </c>
      <c r="W4277">
        <v>0.16752020000000001</v>
      </c>
      <c r="X4277">
        <v>0.98583069999999895</v>
      </c>
      <c r="Y4277">
        <v>8.4429699999999996E-2</v>
      </c>
      <c r="Z4277">
        <v>2.6552640000000001E-3</v>
      </c>
      <c r="AA4277">
        <v>0.99642589999999998</v>
      </c>
      <c r="AB4277">
        <v>32</v>
      </c>
      <c r="AC4277">
        <v>-25.859000000000002</v>
      </c>
      <c r="AD4277">
        <v>-1.10547428676199</v>
      </c>
      <c r="AE4277">
        <v>1.8015000000000001</v>
      </c>
      <c r="AF4277">
        <v>2.2135322948519001</v>
      </c>
      <c r="AG4277">
        <v>-1.10547428676199</v>
      </c>
      <c r="AH4277">
        <v>25.779760724425099</v>
      </c>
      <c r="AI4277">
        <v>92.446432927680306</v>
      </c>
      <c r="AJ4277">
        <v>85.092438728034296</v>
      </c>
      <c r="AK4277">
        <v>25.898221205860001</v>
      </c>
      <c r="AL4277">
        <v>80.356330903086601</v>
      </c>
      <c r="AM4277">
        <v>89.497083982438596</v>
      </c>
      <c r="AN4277">
        <v>1.0000000338231601</v>
      </c>
    </row>
    <row r="4278" spans="1:40" x14ac:dyDescent="0.25">
      <c r="A4278" t="str">
        <f>"20190304155720965"</f>
        <v>20190304155720965</v>
      </c>
      <c r="B4278" t="str">
        <f>"1551686240959533"</f>
        <v>1551686240959533</v>
      </c>
      <c r="C4278" t="s">
        <v>40</v>
      </c>
      <c r="D4278">
        <v>5.0051259999999997</v>
      </c>
      <c r="E4278">
        <v>0.5261806</v>
      </c>
      <c r="F4278" t="s">
        <v>41</v>
      </c>
      <c r="G4278">
        <v>-245.5985</v>
      </c>
      <c r="H4278" s="1">
        <v>-2.8714990000000001E-6</v>
      </c>
      <c r="I4278">
        <v>143.37819999999999</v>
      </c>
      <c r="J4278">
        <v>-219.08189999999999</v>
      </c>
      <c r="K4278">
        <v>1.105783</v>
      </c>
      <c r="L4278">
        <v>141.5702</v>
      </c>
      <c r="M4278">
        <v>-0.99989030000000001</v>
      </c>
      <c r="N4278">
        <v>-7.6157179999999996E-3</v>
      </c>
      <c r="O4278">
        <v>-1.2714319999999999E-2</v>
      </c>
      <c r="P4278">
        <v>-0.98701850000000002</v>
      </c>
      <c r="Q4278">
        <v>0.16034219999999999</v>
      </c>
      <c r="R4278">
        <v>-9.2222999999999992E-3</v>
      </c>
      <c r="S4278">
        <v>-3.0615999999999999</v>
      </c>
      <c r="T4278">
        <v>-0.12614700000000001</v>
      </c>
      <c r="U4278">
        <v>0.20613100000000001</v>
      </c>
      <c r="V4278">
        <v>4.7696090000000002E-3</v>
      </c>
      <c r="W4278">
        <v>0.1678201</v>
      </c>
      <c r="X4278">
        <v>0.98580610000000002</v>
      </c>
      <c r="Y4278">
        <v>7.9769279999999998E-2</v>
      </c>
      <c r="Z4278">
        <v>2.371485E-3</v>
      </c>
      <c r="AA4278">
        <v>0.99681059999999999</v>
      </c>
      <c r="AB4278">
        <v>32</v>
      </c>
      <c r="AC4278">
        <v>-26.5166</v>
      </c>
      <c r="AD4278">
        <v>-1.1057858714990001</v>
      </c>
      <c r="AE4278">
        <v>1.8079999999999901</v>
      </c>
      <c r="AF4278">
        <v>2.1412975777235501</v>
      </c>
      <c r="AG4278">
        <v>-1.1057858714990001</v>
      </c>
      <c r="AH4278">
        <v>26.445691417782498</v>
      </c>
      <c r="AI4278">
        <v>92.386538752141604</v>
      </c>
      <c r="AJ4278">
        <v>85.370881184750701</v>
      </c>
      <c r="AK4278">
        <v>26.5552727772574</v>
      </c>
      <c r="AL4278">
        <v>80.338900828477705</v>
      </c>
      <c r="AM4278">
        <v>89.722788960965801</v>
      </c>
      <c r="AN4278">
        <v>1.00000000096561</v>
      </c>
    </row>
    <row r="4279" spans="1:40" x14ac:dyDescent="0.25">
      <c r="A4279" t="str">
        <f>"20190304155720985"</f>
        <v>20190304155720985</v>
      </c>
      <c r="B4279" t="str">
        <f>"1551686240979053"</f>
        <v>1551686240979053</v>
      </c>
      <c r="C4279" t="s">
        <v>40</v>
      </c>
      <c r="D4279">
        <v>4.7690429999999999</v>
      </c>
      <c r="E4279">
        <v>0.52600459999999905</v>
      </c>
      <c r="F4279" t="s">
        <v>41</v>
      </c>
      <c r="G4279">
        <v>-246.5393</v>
      </c>
      <c r="H4279" s="1">
        <v>-2.4739449999999999E-6</v>
      </c>
      <c r="I4279">
        <v>143.40090000000001</v>
      </c>
      <c r="J4279">
        <v>-219.39609999999999</v>
      </c>
      <c r="K4279">
        <v>1.106114</v>
      </c>
      <c r="L4279">
        <v>141.5692</v>
      </c>
      <c r="M4279">
        <v>-0.99992420000000004</v>
      </c>
      <c r="N4279">
        <v>-7.6006880000000004E-3</v>
      </c>
      <c r="O4279">
        <v>-9.6906590000000008E-3</v>
      </c>
      <c r="P4279">
        <v>-0.98709570000000002</v>
      </c>
      <c r="Q4279">
        <v>0.15980369999999999</v>
      </c>
      <c r="R4279">
        <v>-1.0256629999999999E-2</v>
      </c>
      <c r="S4279">
        <v>-3.0613709999999998</v>
      </c>
      <c r="T4279">
        <v>-0.12328989999999999</v>
      </c>
      <c r="U4279">
        <v>0.20411679999999999</v>
      </c>
      <c r="V4279">
        <v>6.1223750000000002E-4</v>
      </c>
      <c r="W4279">
        <v>0.1673026</v>
      </c>
      <c r="X4279">
        <v>0.98590540000000004</v>
      </c>
      <c r="Y4279">
        <v>7.61154E-2</v>
      </c>
      <c r="Z4279">
        <v>2.136261E-3</v>
      </c>
      <c r="AA4279">
        <v>0.99709669999999895</v>
      </c>
      <c r="AB4279">
        <v>32</v>
      </c>
      <c r="AC4279">
        <v>-27.1432</v>
      </c>
      <c r="AD4279">
        <v>-1.106116473945</v>
      </c>
      <c r="AE4279">
        <v>1.8317000000000101</v>
      </c>
      <c r="AF4279">
        <v>2.0912000484680799</v>
      </c>
      <c r="AG4279">
        <v>-1.106116473945</v>
      </c>
      <c r="AH4279">
        <v>27.079408793507302</v>
      </c>
      <c r="AI4279">
        <v>92.332132570456807</v>
      </c>
      <c r="AJ4279">
        <v>85.584113227714994</v>
      </c>
      <c r="AK4279">
        <v>27.182549400351</v>
      </c>
      <c r="AL4279">
        <v>80.368976571118495</v>
      </c>
      <c r="AM4279">
        <v>89.9644198923136</v>
      </c>
      <c r="AN4279">
        <v>0.99999999627533798</v>
      </c>
    </row>
    <row r="4280" spans="1:40" x14ac:dyDescent="0.25">
      <c r="A4280" t="str">
        <f>"20190304155721008"</f>
        <v>20190304155721008</v>
      </c>
      <c r="B4280" t="str">
        <f>"1551686240999549"</f>
        <v>1551686240999549</v>
      </c>
      <c r="C4280" t="s">
        <v>40</v>
      </c>
      <c r="D4280">
        <v>4.7696389999999997</v>
      </c>
      <c r="E4280">
        <v>0.5258642</v>
      </c>
      <c r="F4280" t="s">
        <v>41</v>
      </c>
      <c r="G4280">
        <v>-246.89189999999999</v>
      </c>
      <c r="H4280" s="1">
        <v>-2.312635E-6</v>
      </c>
      <c r="I4280">
        <v>143.36320000000001</v>
      </c>
      <c r="J4280">
        <v>-219.72049999999999</v>
      </c>
      <c r="K4280">
        <v>1.1064560000000001</v>
      </c>
      <c r="L4280">
        <v>141.56880000000001</v>
      </c>
      <c r="M4280">
        <v>-0.99994720000000004</v>
      </c>
      <c r="N4280">
        <v>-7.58749199999999E-3</v>
      </c>
      <c r="O4280">
        <v>-6.9487960000000001E-3</v>
      </c>
      <c r="P4280">
        <v>-0.98724990000000001</v>
      </c>
      <c r="Q4280">
        <v>0.15877529999999901</v>
      </c>
      <c r="R4280">
        <v>-1.1318460000000001E-2</v>
      </c>
      <c r="S4280">
        <v>-3.0612339999999998</v>
      </c>
      <c r="T4280">
        <v>-0.1231492</v>
      </c>
      <c r="U4280">
        <v>0.19973750000000001</v>
      </c>
      <c r="V4280">
        <v>-3.302494E-3</v>
      </c>
      <c r="W4280">
        <v>0.16628889999999999</v>
      </c>
      <c r="X4280">
        <v>0.98607149999999999</v>
      </c>
      <c r="Y4280">
        <v>7.1969000000000005E-2</v>
      </c>
      <c r="Z4280">
        <v>1.945439E-3</v>
      </c>
      <c r="AA4280">
        <v>0.99740499999999999</v>
      </c>
      <c r="AB4280">
        <v>32</v>
      </c>
      <c r="AC4280">
        <v>-27.171399999999998</v>
      </c>
      <c r="AD4280">
        <v>-1.1064583126349901</v>
      </c>
      <c r="AE4280">
        <v>1.79439999999999</v>
      </c>
      <c r="AF4280">
        <v>1.97990171551921</v>
      </c>
      <c r="AG4280">
        <v>-1.1064583126349901</v>
      </c>
      <c r="AH4280">
        <v>27.113509345654101</v>
      </c>
      <c r="AI4280">
        <v>92.330652390807202</v>
      </c>
      <c r="AJ4280">
        <v>85.823520270513598</v>
      </c>
      <c r="AK4280">
        <v>27.208209236140299</v>
      </c>
      <c r="AL4280">
        <v>80.427882081958501</v>
      </c>
      <c r="AM4280">
        <v>90.191891014594503</v>
      </c>
      <c r="AN4280">
        <v>0.99999995392103802</v>
      </c>
    </row>
    <row r="4281" spans="1:40" x14ac:dyDescent="0.25">
      <c r="A4281" t="str">
        <f>"20190304155721031"</f>
        <v>20190304155721031</v>
      </c>
      <c r="B4281" t="str">
        <f>"1551686241019069"</f>
        <v>1551686241019069</v>
      </c>
      <c r="C4281" t="s">
        <v>40</v>
      </c>
      <c r="D4281">
        <v>4.8787500000000001</v>
      </c>
      <c r="E4281">
        <v>0.52566179999999996</v>
      </c>
      <c r="F4281" t="s">
        <v>41</v>
      </c>
      <c r="G4281">
        <v>-246.91419999999999</v>
      </c>
      <c r="H4281" s="1">
        <v>-2.2879869999999998E-6</v>
      </c>
      <c r="I4281">
        <v>143.3065</v>
      </c>
      <c r="J4281">
        <v>-220.05289999999999</v>
      </c>
      <c r="K4281">
        <v>1.1067940000000001</v>
      </c>
      <c r="L4281">
        <v>141.56899999999999</v>
      </c>
      <c r="M4281">
        <v>-0.99996110000000005</v>
      </c>
      <c r="N4281">
        <v>-7.57639199999999E-3</v>
      </c>
      <c r="O4281">
        <v>-4.530933E-3</v>
      </c>
      <c r="P4281">
        <v>-0.98727229999999999</v>
      </c>
      <c r="Q4281">
        <v>0.158540299999999</v>
      </c>
      <c r="R4281">
        <v>-1.259207E-2</v>
      </c>
      <c r="S4281">
        <v>-3.0610200000000001</v>
      </c>
      <c r="T4281">
        <v>-0.1245468</v>
      </c>
      <c r="U4281">
        <v>0.19560240000000001</v>
      </c>
      <c r="V4281">
        <v>-7.1009740000000003E-3</v>
      </c>
      <c r="W4281">
        <v>0.16606270000000001</v>
      </c>
      <c r="X4281">
        <v>0.98608960000000001</v>
      </c>
      <c r="Y4281">
        <v>6.8222969999999994E-2</v>
      </c>
      <c r="Z4281">
        <v>1.7945939999999901E-3</v>
      </c>
      <c r="AA4281">
        <v>0.99766849999999996</v>
      </c>
      <c r="AB4281">
        <v>32</v>
      </c>
      <c r="AC4281">
        <v>-26.8613</v>
      </c>
      <c r="AD4281">
        <v>-1.1067962879869999</v>
      </c>
      <c r="AE4281">
        <v>1.73750000000001</v>
      </c>
      <c r="AF4281">
        <v>1.8560543580701001</v>
      </c>
      <c r="AG4281">
        <v>-1.1067962879869999</v>
      </c>
      <c r="AH4281">
        <v>26.807827391829601</v>
      </c>
      <c r="AI4281">
        <v>92.358548893326898</v>
      </c>
      <c r="AJ4281">
        <v>86.039416229867498</v>
      </c>
      <c r="AK4281">
        <v>26.894786581665599</v>
      </c>
      <c r="AL4281">
        <v>80.441025298446405</v>
      </c>
      <c r="AM4281">
        <v>90.412588073280602</v>
      </c>
      <c r="AN4281">
        <v>0.99999997169559895</v>
      </c>
    </row>
    <row r="4282" spans="1:40" x14ac:dyDescent="0.25">
      <c r="A4282" t="str">
        <f>"20190304155721053"</f>
        <v>20190304155721053</v>
      </c>
      <c r="B4282" t="str">
        <f>"1551686241048856"</f>
        <v>1551686241048856</v>
      </c>
      <c r="C4282" t="s">
        <v>40</v>
      </c>
      <c r="D4282">
        <v>4.7717839999999896</v>
      </c>
      <c r="E4282">
        <v>0.52558859999999996</v>
      </c>
      <c r="F4282" t="s">
        <v>41</v>
      </c>
      <c r="G4282">
        <v>-247.49860000000001</v>
      </c>
      <c r="H4282" s="1">
        <v>-2.0297210000000002E-6</v>
      </c>
      <c r="I4282">
        <v>143.27799999999999</v>
      </c>
      <c r="J4282">
        <v>-220.39330000000001</v>
      </c>
      <c r="K4282">
        <v>1.107113</v>
      </c>
      <c r="L4282">
        <v>141.56960000000001</v>
      </c>
      <c r="M4282">
        <v>-0.99996839999999998</v>
      </c>
      <c r="N4282">
        <v>-7.567074E-3</v>
      </c>
      <c r="O4282">
        <v>-2.4593039999999998E-3</v>
      </c>
      <c r="P4282">
        <v>-0.987317</v>
      </c>
      <c r="Q4282">
        <v>0.1581437</v>
      </c>
      <c r="R4282">
        <v>-1.3999320000000001E-2</v>
      </c>
      <c r="S4282">
        <v>-3.0609280000000001</v>
      </c>
      <c r="T4282">
        <v>-0.1234374</v>
      </c>
      <c r="U4282">
        <v>0.1906128</v>
      </c>
      <c r="V4282">
        <v>-1.0684590000000001E-2</v>
      </c>
      <c r="W4282">
        <v>0.16567009999999999</v>
      </c>
      <c r="X4282">
        <v>0.98612330000000004</v>
      </c>
      <c r="Y4282">
        <v>6.4543509999999998E-2</v>
      </c>
      <c r="Z4282">
        <v>1.624646E-3</v>
      </c>
      <c r="AA4282">
        <v>0.99791359999999996</v>
      </c>
      <c r="AB4282">
        <v>33</v>
      </c>
      <c r="AC4282">
        <v>-27.1053</v>
      </c>
      <c r="AD4282">
        <v>-1.107115029721</v>
      </c>
      <c r="AE4282">
        <v>1.7083999999999799</v>
      </c>
      <c r="AF4282">
        <v>1.7721121746000399</v>
      </c>
      <c r="AG4282">
        <v>-1.107115029721</v>
      </c>
      <c r="AH4282">
        <v>27.0560571128633</v>
      </c>
      <c r="AI4282">
        <v>92.338191772752893</v>
      </c>
      <c r="AJ4282">
        <v>86.252605193609099</v>
      </c>
      <c r="AK4282">
        <v>27.136623071836301</v>
      </c>
      <c r="AL4282">
        <v>80.463835401759795</v>
      </c>
      <c r="AM4282">
        <v>90.620772228597801</v>
      </c>
      <c r="AN4282">
        <v>0.99999995265018304</v>
      </c>
    </row>
    <row r="4283" spans="1:40" x14ac:dyDescent="0.25">
      <c r="A4283" t="str">
        <f>"20190304155721076"</f>
        <v>20190304155721076</v>
      </c>
      <c r="B4283" t="str">
        <f>"1551686241069352"</f>
        <v>1551686241069352</v>
      </c>
      <c r="C4283" t="s">
        <v>40</v>
      </c>
      <c r="D4283">
        <v>4.7336839999999896</v>
      </c>
      <c r="E4283">
        <v>0.52557519999999902</v>
      </c>
      <c r="F4283" t="s">
        <v>41</v>
      </c>
      <c r="G4283">
        <v>-248.16</v>
      </c>
      <c r="H4283" s="1">
        <v>-1.738662E-6</v>
      </c>
      <c r="I4283">
        <v>143.25049999999999</v>
      </c>
      <c r="J4283">
        <v>-220.71420000000001</v>
      </c>
      <c r="K4283">
        <v>1.1073770000000001</v>
      </c>
      <c r="L4283">
        <v>141.57060000000001</v>
      </c>
      <c r="M4283">
        <v>-0.99997100000000005</v>
      </c>
      <c r="N4283">
        <v>-7.5600789999999999E-3</v>
      </c>
      <c r="O4283">
        <v>-7.791273E-4</v>
      </c>
      <c r="P4283">
        <v>-0.98736440000000003</v>
      </c>
      <c r="Q4283">
        <v>0.15791620000000001</v>
      </c>
      <c r="R4283">
        <v>-1.3185280000000001E-2</v>
      </c>
      <c r="S4283">
        <v>-3.06073</v>
      </c>
      <c r="T4283">
        <v>-0.1220379</v>
      </c>
      <c r="U4283">
        <v>0.18528749999999999</v>
      </c>
      <c r="V4283">
        <v>-1.1634429999999999E-2</v>
      </c>
      <c r="W4283">
        <v>0.1654331</v>
      </c>
      <c r="X4283">
        <v>0.98615240000000004</v>
      </c>
      <c r="Y4283">
        <v>6.114609E-2</v>
      </c>
      <c r="Z4283">
        <v>1.4740160000000001E-3</v>
      </c>
      <c r="AA4283">
        <v>0.99812780000000001</v>
      </c>
      <c r="AB4283">
        <v>33</v>
      </c>
      <c r="AC4283">
        <v>-27.445799999999899</v>
      </c>
      <c r="AD4283">
        <v>-1.107378738662</v>
      </c>
      <c r="AE4283">
        <v>1.67989999999997</v>
      </c>
      <c r="AF4283">
        <v>1.6985290790846199</v>
      </c>
      <c r="AG4283">
        <v>-1.107378738662</v>
      </c>
      <c r="AH4283">
        <v>27.4000434131754</v>
      </c>
      <c r="AI4283">
        <v>92.309932717421404</v>
      </c>
      <c r="AJ4283">
        <v>86.452772886433607</v>
      </c>
      <c r="AK4283">
        <v>27.4749643811823</v>
      </c>
      <c r="AL4283">
        <v>80.477605082937501</v>
      </c>
      <c r="AM4283">
        <v>90.675932858704897</v>
      </c>
      <c r="AN4283">
        <v>1.00000001328139</v>
      </c>
    </row>
    <row r="4284" spans="1:40" x14ac:dyDescent="0.25">
      <c r="A4284" t="str">
        <f>"20190304155721096"</f>
        <v>20190304155721096</v>
      </c>
      <c r="B4284" t="str">
        <f>"1551686241088872"</f>
        <v>1551686241088872</v>
      </c>
      <c r="C4284" t="s">
        <v>40</v>
      </c>
      <c r="D4284">
        <v>4.7456579999999997</v>
      </c>
      <c r="E4284">
        <v>0.52542549999999999</v>
      </c>
      <c r="F4284" t="s">
        <v>41</v>
      </c>
      <c r="G4284">
        <v>-248.65309999999999</v>
      </c>
      <c r="H4284" s="1">
        <v>-1.53425E-6</v>
      </c>
      <c r="I4284">
        <v>143.2773</v>
      </c>
      <c r="J4284">
        <v>-221.0266</v>
      </c>
      <c r="K4284">
        <v>1.1076029999999999</v>
      </c>
      <c r="L4284">
        <v>141.5718</v>
      </c>
      <c r="M4284">
        <v>-0.99997130000000001</v>
      </c>
      <c r="N4284">
        <v>-7.5546240000000002E-3</v>
      </c>
      <c r="O4284">
        <v>6.0838339999999904E-4</v>
      </c>
      <c r="P4284">
        <v>-0.98739239999999995</v>
      </c>
      <c r="Q4284">
        <v>0.15762309999999999</v>
      </c>
      <c r="R4284">
        <v>-1.4530680000000001E-2</v>
      </c>
      <c r="S4284">
        <v>-3.0602870000000002</v>
      </c>
      <c r="T4284">
        <v>-0.1212968</v>
      </c>
      <c r="U4284">
        <v>0.1869507</v>
      </c>
      <c r="V4284">
        <v>-1.444193E-2</v>
      </c>
      <c r="W4284">
        <v>0.1651396</v>
      </c>
      <c r="X4284">
        <v>0.9861645</v>
      </c>
      <c r="Y4284">
        <v>6.0312409999999997E-2</v>
      </c>
      <c r="Z4284">
        <v>1.4023320000000001E-3</v>
      </c>
      <c r="AA4284">
        <v>0.99817849999999997</v>
      </c>
      <c r="AB4284">
        <v>33</v>
      </c>
      <c r="AC4284">
        <v>-27.6265</v>
      </c>
      <c r="AD4284">
        <v>-1.1076045342500001</v>
      </c>
      <c r="AE4284">
        <v>1.7055</v>
      </c>
      <c r="AF4284">
        <v>1.6859919655803099</v>
      </c>
      <c r="AG4284">
        <v>-1.1076045342500001</v>
      </c>
      <c r="AH4284">
        <v>27.5833639844261</v>
      </c>
      <c r="AI4284">
        <v>92.295186438776099</v>
      </c>
      <c r="AJ4284">
        <v>86.502232622004499</v>
      </c>
      <c r="AK4284">
        <v>27.6570303071321</v>
      </c>
      <c r="AL4284">
        <v>80.494656163934096</v>
      </c>
      <c r="AM4284">
        <v>90.839010622891706</v>
      </c>
      <c r="AN4284">
        <v>1.0000000389452599</v>
      </c>
    </row>
    <row r="4285" spans="1:40" x14ac:dyDescent="0.25">
      <c r="A4285" t="str">
        <f>"20190304155721119"</f>
        <v>20190304155721119</v>
      </c>
      <c r="B4285" t="str">
        <f>"1551686241109381"</f>
        <v>1551686241109381</v>
      </c>
      <c r="C4285" t="s">
        <v>40</v>
      </c>
      <c r="D4285">
        <v>4.8535919999999999</v>
      </c>
      <c r="E4285">
        <v>0.52514550000000004</v>
      </c>
      <c r="F4285" t="s">
        <v>41</v>
      </c>
      <c r="G4285">
        <v>-249.10380000000001</v>
      </c>
      <c r="H4285" s="1">
        <v>-1.3304729999999999E-6</v>
      </c>
      <c r="I4285">
        <v>143.2381</v>
      </c>
      <c r="J4285">
        <v>-221.35980000000001</v>
      </c>
      <c r="K4285">
        <v>1.1078429999999999</v>
      </c>
      <c r="L4285">
        <v>141.57329999999999</v>
      </c>
      <c r="M4285">
        <v>-0.99996989999999997</v>
      </c>
      <c r="N4285">
        <v>-7.5482169999999899E-3</v>
      </c>
      <c r="O4285">
        <v>1.81689E-3</v>
      </c>
      <c r="P4285">
        <v>-0.98743809999999999</v>
      </c>
      <c r="Q4285">
        <v>0.1571526</v>
      </c>
      <c r="R4285">
        <v>-1.640521E-2</v>
      </c>
      <c r="S4285">
        <v>-3.0602420000000001</v>
      </c>
      <c r="T4285">
        <v>-0.1207222</v>
      </c>
      <c r="U4285">
        <v>0.18162539999999999</v>
      </c>
      <c r="V4285">
        <v>-1.7606090000000001E-2</v>
      </c>
      <c r="W4285">
        <v>0.1646656</v>
      </c>
      <c r="X4285">
        <v>0.98619230000000002</v>
      </c>
      <c r="Y4285">
        <v>5.7379819999999998E-2</v>
      </c>
      <c r="Z4285">
        <v>1.2893099999999999E-3</v>
      </c>
      <c r="AA4285">
        <v>0.99835160000000001</v>
      </c>
      <c r="AB4285">
        <v>33</v>
      </c>
      <c r="AC4285">
        <v>-27.744</v>
      </c>
      <c r="AD4285">
        <v>-1.1078443304729999</v>
      </c>
      <c r="AE4285">
        <v>1.66480000000001</v>
      </c>
      <c r="AF4285">
        <v>1.61182721467567</v>
      </c>
      <c r="AG4285">
        <v>-1.1078443304729999</v>
      </c>
      <c r="AH4285">
        <v>27.702965677504999</v>
      </c>
      <c r="AI4285">
        <v>92.286181433865394</v>
      </c>
      <c r="AJ4285">
        <v>86.670143545230005</v>
      </c>
      <c r="AK4285">
        <v>27.771921311993299</v>
      </c>
      <c r="AL4285">
        <v>80.522190887290904</v>
      </c>
      <c r="AM4285">
        <v>91.022769598560799</v>
      </c>
      <c r="AN4285">
        <v>0.99999999340386903</v>
      </c>
    </row>
    <row r="4286" spans="1:40" x14ac:dyDescent="0.25">
      <c r="A4286" t="str">
        <f>"20190304155721143"</f>
        <v>20190304155721143</v>
      </c>
      <c r="B4286" t="str">
        <f>"1551686241139623"</f>
        <v>1551686241139623</v>
      </c>
      <c r="C4286" t="s">
        <v>40</v>
      </c>
      <c r="D4286">
        <v>4.8406459999999996</v>
      </c>
      <c r="E4286">
        <v>0.5248834</v>
      </c>
      <c r="F4286" t="s">
        <v>41</v>
      </c>
      <c r="G4286">
        <v>-249.36699999999999</v>
      </c>
      <c r="H4286" s="1">
        <v>-1.1981279999999999E-6</v>
      </c>
      <c r="I4286">
        <v>143.1651</v>
      </c>
      <c r="J4286">
        <v>-221.70060000000001</v>
      </c>
      <c r="K4286">
        <v>1.1080890000000001</v>
      </c>
      <c r="L4286">
        <v>141.57499999999999</v>
      </c>
      <c r="M4286">
        <v>-0.99996770000000001</v>
      </c>
      <c r="N4286">
        <v>-7.5385909999999999E-3</v>
      </c>
      <c r="O4286">
        <v>2.7690459999999998E-3</v>
      </c>
      <c r="P4286">
        <v>-0.98734189999999999</v>
      </c>
      <c r="Q4286">
        <v>0.15759229999999999</v>
      </c>
      <c r="R4286">
        <v>-1.7909680000000001E-2</v>
      </c>
      <c r="S4286">
        <v>-3.0603180000000001</v>
      </c>
      <c r="T4286">
        <v>-0.1210532</v>
      </c>
      <c r="U4286">
        <v>0.1739349</v>
      </c>
      <c r="V4286">
        <v>-2.014912E-2</v>
      </c>
      <c r="W4286">
        <v>0.16509170000000001</v>
      </c>
      <c r="X4286">
        <v>0.98607239999999996</v>
      </c>
      <c r="Y4286">
        <v>5.3930470000000001E-2</v>
      </c>
      <c r="Z4286">
        <v>1.180349E-3</v>
      </c>
      <c r="AA4286">
        <v>0.99854399999999999</v>
      </c>
      <c r="AB4286">
        <v>33</v>
      </c>
      <c r="AC4286">
        <v>-27.666399999999999</v>
      </c>
      <c r="AD4286">
        <v>-1.10809019812799</v>
      </c>
      <c r="AE4286">
        <v>1.5901000000000001</v>
      </c>
      <c r="AF4286">
        <v>1.51106619255159</v>
      </c>
      <c r="AG4286">
        <v>-1.10809019812799</v>
      </c>
      <c r="AH4286">
        <v>27.626525934414101</v>
      </c>
      <c r="AI4286">
        <v>92.293457870060195</v>
      </c>
      <c r="AJ4286">
        <v>86.869257727737605</v>
      </c>
      <c r="AK4286">
        <v>27.690000363494299</v>
      </c>
      <c r="AL4286">
        <v>80.497438617757794</v>
      </c>
      <c r="AM4286">
        <v>91.170602585337406</v>
      </c>
      <c r="AN4286">
        <v>1.00000001724371</v>
      </c>
    </row>
    <row r="4287" spans="1:40" x14ac:dyDescent="0.25">
      <c r="A4287" t="str">
        <f>"20190304155721165"</f>
        <v>20190304155721165</v>
      </c>
      <c r="B4287" t="str">
        <f>"1551686241159144"</f>
        <v>1551686241159144</v>
      </c>
      <c r="C4287" t="s">
        <v>40</v>
      </c>
      <c r="D4287">
        <v>4.5497389999999998</v>
      </c>
      <c r="E4287">
        <v>0.52497640000000001</v>
      </c>
      <c r="F4287" t="s">
        <v>41</v>
      </c>
      <c r="G4287">
        <v>-250.44280000000001</v>
      </c>
      <c r="H4287" s="1">
        <v>-4.7516369999999999E-6</v>
      </c>
      <c r="I4287">
        <v>143.14689999999999</v>
      </c>
      <c r="J4287">
        <v>-222.04179999999999</v>
      </c>
      <c r="K4287">
        <v>1.108352</v>
      </c>
      <c r="L4287">
        <v>141.57679999999999</v>
      </c>
      <c r="M4287">
        <v>-0.99996580000000002</v>
      </c>
      <c r="N4287">
        <v>-7.5285380000000004E-3</v>
      </c>
      <c r="O4287">
        <v>3.4383030000000002E-3</v>
      </c>
      <c r="P4287">
        <v>-0.98714440000000003</v>
      </c>
      <c r="Q4287">
        <v>0.1586707</v>
      </c>
      <c r="R4287">
        <v>-1.9236969999999999E-2</v>
      </c>
      <c r="S4287">
        <v>-3.060333</v>
      </c>
      <c r="T4287">
        <v>-0.1179849</v>
      </c>
      <c r="U4287">
        <v>0.16737369999999999</v>
      </c>
      <c r="V4287">
        <v>-2.2238839999999999E-2</v>
      </c>
      <c r="W4287">
        <v>0.1661502</v>
      </c>
      <c r="X4287">
        <v>0.98584970000000005</v>
      </c>
      <c r="Y4287">
        <v>5.1132480000000001E-2</v>
      </c>
      <c r="Z4287">
        <v>1.0707150000000001E-3</v>
      </c>
      <c r="AA4287">
        <v>0.99869129999999995</v>
      </c>
      <c r="AB4287">
        <v>33</v>
      </c>
      <c r="AC4287">
        <v>-28.401</v>
      </c>
      <c r="AD4287">
        <v>-1.1083567516370001</v>
      </c>
      <c r="AE4287">
        <v>1.5700999999999901</v>
      </c>
      <c r="AF4287">
        <v>1.4702044549226101</v>
      </c>
      <c r="AG4287">
        <v>-1.1083567516370001</v>
      </c>
      <c r="AH4287">
        <v>28.363166057241699</v>
      </c>
      <c r="AI4287">
        <v>92.234830085077107</v>
      </c>
      <c r="AJ4287">
        <v>87.032729441038597</v>
      </c>
      <c r="AK4287">
        <v>28.422863061606598</v>
      </c>
      <c r="AL4287">
        <v>80.435941977809804</v>
      </c>
      <c r="AM4287">
        <v>91.292261496438698</v>
      </c>
      <c r="AN4287">
        <v>1.0000000429773299</v>
      </c>
    </row>
    <row r="4288" spans="1:40" x14ac:dyDescent="0.25">
      <c r="A4288" t="str">
        <f>"20190304155721186"</f>
        <v>20190304155721186</v>
      </c>
      <c r="B4288" t="str">
        <f>"1551686241179641"</f>
        <v>1551686241179641</v>
      </c>
      <c r="C4288" t="s">
        <v>40</v>
      </c>
      <c r="D4288">
        <v>4.8444149999999997</v>
      </c>
      <c r="E4288">
        <v>0.52469149999999998</v>
      </c>
      <c r="F4288" t="s">
        <v>41</v>
      </c>
      <c r="G4288">
        <v>-251.5292</v>
      </c>
      <c r="H4288" s="1">
        <v>-4.3834640000000003E-6</v>
      </c>
      <c r="I4288">
        <v>143.1557</v>
      </c>
      <c r="J4288">
        <v>-222.3503</v>
      </c>
      <c r="K4288">
        <v>1.108589</v>
      </c>
      <c r="L4288">
        <v>141.57839999999999</v>
      </c>
      <c r="M4288">
        <v>-0.99996459999999998</v>
      </c>
      <c r="N4288">
        <v>-7.5208999999999996E-3</v>
      </c>
      <c r="O4288">
        <v>3.8094689999999998E-3</v>
      </c>
      <c r="P4288">
        <v>-0.98695180000000005</v>
      </c>
      <c r="Q4288">
        <v>0.1597365</v>
      </c>
      <c r="R4288">
        <v>-2.027207E-2</v>
      </c>
      <c r="S4288">
        <v>-3.0607449999999998</v>
      </c>
      <c r="T4288">
        <v>-0.1150457</v>
      </c>
      <c r="U4288">
        <v>0.1638947</v>
      </c>
      <c r="V4288">
        <v>-2.3732739999999999E-2</v>
      </c>
      <c r="W4288">
        <v>0.16719679999999901</v>
      </c>
      <c r="X4288">
        <v>0.98563780000000001</v>
      </c>
      <c r="Y4288">
        <v>4.962594E-2</v>
      </c>
      <c r="Z4288">
        <v>1.0040839999999999E-3</v>
      </c>
      <c r="AA4288">
        <v>0.99876739999999997</v>
      </c>
      <c r="AB4288">
        <v>33</v>
      </c>
      <c r="AC4288">
        <v>-29.178899999999999</v>
      </c>
      <c r="AD4288">
        <v>-1.1085933834639901</v>
      </c>
      <c r="AE4288">
        <v>1.5772999999999999</v>
      </c>
      <c r="AF4288">
        <v>1.4640222009478201</v>
      </c>
      <c r="AG4288">
        <v>-1.1085933834639901</v>
      </c>
      <c r="AH4288">
        <v>29.142753082305699</v>
      </c>
      <c r="AI4288">
        <v>92.175746002788898</v>
      </c>
      <c r="AJ4288">
        <v>87.124093401745199</v>
      </c>
      <c r="AK4288">
        <v>29.200554746630502</v>
      </c>
      <c r="AL4288">
        <v>80.375124549591703</v>
      </c>
      <c r="AM4288">
        <v>91.379333400931401</v>
      </c>
      <c r="AN4288">
        <v>0.99999994283349203</v>
      </c>
    </row>
    <row r="4289" spans="1:40" x14ac:dyDescent="0.25">
      <c r="A4289" t="str">
        <f>"20190304155721209"</f>
        <v>20190304155721209</v>
      </c>
      <c r="B4289" t="str">
        <f>"1551686241199163"</f>
        <v>1551686241199163</v>
      </c>
      <c r="C4289" t="s">
        <v>40</v>
      </c>
      <c r="D4289">
        <v>4.7583129999999896</v>
      </c>
      <c r="E4289">
        <v>0.50208809999999904</v>
      </c>
      <c r="F4289" t="s">
        <v>41</v>
      </c>
      <c r="G4289">
        <v>-252.84180000000001</v>
      </c>
      <c r="H4289" s="1">
        <v>-3.9365600000000003E-6</v>
      </c>
      <c r="I4289">
        <v>143.15440000000001</v>
      </c>
      <c r="J4289">
        <v>-222.69040000000001</v>
      </c>
      <c r="K4289">
        <v>1.108835</v>
      </c>
      <c r="L4289">
        <v>141.57990000000001</v>
      </c>
      <c r="M4289">
        <v>-0.99996390000000002</v>
      </c>
      <c r="N4289">
        <v>-7.5141390000000004E-3</v>
      </c>
      <c r="O4289">
        <v>3.9848899999999996E-3</v>
      </c>
      <c r="P4289">
        <v>-0.98679660000000002</v>
      </c>
      <c r="Q4289">
        <v>0.1605067</v>
      </c>
      <c r="R4289">
        <v>-2.1682300000000002E-2</v>
      </c>
      <c r="S4289">
        <v>-3.060959</v>
      </c>
      <c r="T4289">
        <v>-0.11128879999999999</v>
      </c>
      <c r="U4289">
        <v>0.15821840000000001</v>
      </c>
      <c r="V4289">
        <v>-2.541479E-2</v>
      </c>
      <c r="W4289">
        <v>0.1679466</v>
      </c>
      <c r="X4289">
        <v>0.98546840000000002</v>
      </c>
      <c r="Y4289">
        <v>4.7603930000000003E-2</v>
      </c>
      <c r="Z4289">
        <v>9.2874600000000004E-4</v>
      </c>
      <c r="AA4289">
        <v>0.99886580000000003</v>
      </c>
      <c r="AB4289">
        <v>33</v>
      </c>
      <c r="AC4289">
        <v>-30.151399999999899</v>
      </c>
      <c r="AD4289">
        <v>-1.10883893656</v>
      </c>
      <c r="AE4289">
        <v>1.5745</v>
      </c>
      <c r="AF4289">
        <v>1.4523751759551999</v>
      </c>
      <c r="AG4289">
        <v>-1.10883893656</v>
      </c>
      <c r="AH4289">
        <v>30.116814192447102</v>
      </c>
      <c r="AI4289">
        <v>92.106114540079204</v>
      </c>
      <c r="AJ4289">
        <v>87.239065584248195</v>
      </c>
      <c r="AK4289">
        <v>30.172196051022599</v>
      </c>
      <c r="AL4289">
        <v>80.331548255474502</v>
      </c>
      <c r="AM4289">
        <v>91.477305108660403</v>
      </c>
      <c r="AN4289">
        <v>0.99999996970043104</v>
      </c>
    </row>
    <row r="4290" spans="1:40" x14ac:dyDescent="0.25">
      <c r="A4290" t="str">
        <f>"20190304155721231"</f>
        <v>20190304155721231</v>
      </c>
      <c r="B4290" t="str">
        <f>"1551686241218687"</f>
        <v>1551686241218687</v>
      </c>
      <c r="C4290" t="s">
        <v>40</v>
      </c>
      <c r="D4290">
        <v>4.766572</v>
      </c>
      <c r="E4290">
        <v>0.50009040000000005</v>
      </c>
      <c r="F4290" t="s">
        <v>41</v>
      </c>
      <c r="G4290">
        <v>-254.9384</v>
      </c>
      <c r="H4290" s="1">
        <v>-2.6020199999999999E-6</v>
      </c>
      <c r="I4290">
        <v>141.30099999999999</v>
      </c>
      <c r="J4290">
        <v>-223.006</v>
      </c>
      <c r="K4290">
        <v>1.109046</v>
      </c>
      <c r="L4290">
        <v>141.5812</v>
      </c>
      <c r="M4290">
        <v>-0.99996419999999997</v>
      </c>
      <c r="N4290">
        <v>-7.5093039999999996E-3</v>
      </c>
      <c r="O4290">
        <v>3.9137199999999999E-3</v>
      </c>
      <c r="P4290">
        <v>-0.986626</v>
      </c>
      <c r="Q4290">
        <v>0.16128000000000001</v>
      </c>
      <c r="R4290">
        <v>-2.362583E-2</v>
      </c>
      <c r="S4290">
        <v>-3.0566559999999998</v>
      </c>
      <c r="T4290">
        <v>-0.1051023</v>
      </c>
      <c r="U4290">
        <v>-2.6428219999999999E-2</v>
      </c>
      <c r="V4290">
        <v>-2.7373020000000001E-2</v>
      </c>
      <c r="W4290">
        <v>0.1687024</v>
      </c>
      <c r="X4290">
        <v>0.98528689999999997</v>
      </c>
      <c r="Y4290">
        <v>-1.254897E-2</v>
      </c>
      <c r="Z4290">
        <v>-3.6796220000000001E-4</v>
      </c>
      <c r="AA4290">
        <v>0.99992119999999995</v>
      </c>
      <c r="AB4290">
        <v>33</v>
      </c>
      <c r="AC4290">
        <v>-31.932400000000001</v>
      </c>
      <c r="AD4290">
        <v>-1.1090486020200001</v>
      </c>
      <c r="AE4290">
        <v>-0.28019999999997902</v>
      </c>
      <c r="AF4290">
        <v>-0.40468772570033901</v>
      </c>
      <c r="AG4290">
        <v>-1.1090486020200001</v>
      </c>
      <c r="AH4290">
        <v>31.892591233405099</v>
      </c>
      <c r="AI4290">
        <v>91.991468790229305</v>
      </c>
      <c r="AJ4290">
        <v>90.726991864388395</v>
      </c>
      <c r="AK4290">
        <v>31.914434610972599</v>
      </c>
      <c r="AL4290">
        <v>80.2876178578571</v>
      </c>
      <c r="AM4290">
        <v>91.591369178620198</v>
      </c>
      <c r="AN4290">
        <v>1.0000000286506401</v>
      </c>
    </row>
    <row r="4291" spans="1:40" x14ac:dyDescent="0.25">
      <c r="A4291" t="str">
        <f>"20190304155721253"</f>
        <v>20190304155721253</v>
      </c>
      <c r="B4291" t="str">
        <f>"1551686241248936"</f>
        <v>1551686241248936</v>
      </c>
      <c r="C4291" t="s">
        <v>40</v>
      </c>
      <c r="D4291">
        <v>4.7440530000000001</v>
      </c>
      <c r="E4291">
        <v>0.49967780000000001</v>
      </c>
      <c r="F4291" t="s">
        <v>41</v>
      </c>
      <c r="G4291">
        <v>-262.36680000000001</v>
      </c>
      <c r="H4291" s="1">
        <v>-3.612887E-6</v>
      </c>
      <c r="I4291">
        <v>140.9539</v>
      </c>
      <c r="J4291">
        <v>-223.35509999999999</v>
      </c>
      <c r="K4291">
        <v>1.109259</v>
      </c>
      <c r="L4291">
        <v>141.58240000000001</v>
      </c>
      <c r="M4291">
        <v>-0.9999654</v>
      </c>
      <c r="N4291">
        <v>-7.5007419999999899E-3</v>
      </c>
      <c r="O4291">
        <v>3.5979440000000001E-3</v>
      </c>
      <c r="P4291">
        <v>-0.98648460000000004</v>
      </c>
      <c r="Q4291">
        <v>0.16186889999999901</v>
      </c>
      <c r="R4291">
        <v>-2.5427559999999998E-2</v>
      </c>
      <c r="S4291">
        <v>-3.0535890000000001</v>
      </c>
      <c r="T4291">
        <v>-8.6039539999999998E-2</v>
      </c>
      <c r="U4291">
        <v>-4.866028E-2</v>
      </c>
      <c r="V4291">
        <v>-2.8948740000000001E-2</v>
      </c>
      <c r="W4291">
        <v>0.1692678</v>
      </c>
      <c r="X4291">
        <v>0.98514489999999999</v>
      </c>
      <c r="Y4291">
        <v>-1.9520329999999999E-2</v>
      </c>
      <c r="Z4291">
        <v>-4.2253789999999999E-4</v>
      </c>
      <c r="AA4291">
        <v>0.99980939999999996</v>
      </c>
      <c r="AB4291">
        <v>33</v>
      </c>
      <c r="AC4291">
        <v>-39.011699999999998</v>
      </c>
      <c r="AD4291">
        <v>-1.109262612887</v>
      </c>
      <c r="AE4291">
        <v>-0.62850000000000195</v>
      </c>
      <c r="AF4291">
        <v>-0.76824083169477297</v>
      </c>
      <c r="AG4291">
        <v>-1.109262612887</v>
      </c>
      <c r="AH4291">
        <v>38.977680902938999</v>
      </c>
      <c r="AI4291">
        <v>91.629819510512107</v>
      </c>
      <c r="AJ4291">
        <v>91.129140004973806</v>
      </c>
      <c r="AK4291">
        <v>39.001029038874897</v>
      </c>
      <c r="AL4291">
        <v>80.254750310050397</v>
      </c>
      <c r="AM4291">
        <v>91.683167078174506</v>
      </c>
      <c r="AN4291">
        <v>1.0000000458302101</v>
      </c>
    </row>
    <row r="4292" spans="1:40" x14ac:dyDescent="0.25">
      <c r="A4292" t="str">
        <f>"20190304155721276"</f>
        <v>20190304155721276</v>
      </c>
      <c r="B4292" t="str">
        <f>"1551686241269433"</f>
        <v>1551686241269433</v>
      </c>
      <c r="C4292" t="s">
        <v>40</v>
      </c>
      <c r="D4292">
        <v>4.7596280000000002</v>
      </c>
      <c r="E4292">
        <v>0.49928840000000002</v>
      </c>
      <c r="F4292" t="s">
        <v>41</v>
      </c>
      <c r="G4292">
        <v>-265.1771</v>
      </c>
      <c r="H4292" s="1">
        <v>-2.366703E-6</v>
      </c>
      <c r="I4292">
        <v>140.8014</v>
      </c>
      <c r="J4292">
        <v>-223.69380000000001</v>
      </c>
      <c r="K4292">
        <v>1.1094299999999999</v>
      </c>
      <c r="L4292">
        <v>141.58330000000001</v>
      </c>
      <c r="M4292">
        <v>-0.99996719999999895</v>
      </c>
      <c r="N4292">
        <v>-7.4905609999999997E-3</v>
      </c>
      <c r="O4292">
        <v>3.1221220000000002E-3</v>
      </c>
      <c r="P4292">
        <v>-0.98630260000000003</v>
      </c>
      <c r="Q4292">
        <v>0.16261310000000001</v>
      </c>
      <c r="R4292">
        <v>-2.7647689999999999E-2</v>
      </c>
      <c r="S4292">
        <v>-3.0529169999999999</v>
      </c>
      <c r="T4292">
        <v>-8.0973980000000001E-2</v>
      </c>
      <c r="U4292">
        <v>-5.7006840000000003E-2</v>
      </c>
      <c r="V4292">
        <v>-3.0770289999999999E-2</v>
      </c>
      <c r="W4292">
        <v>0.16998769999999999</v>
      </c>
      <c r="X4292">
        <v>0.98496570000000006</v>
      </c>
      <c r="Y4292">
        <v>-2.1780839999999999E-2</v>
      </c>
      <c r="Z4292">
        <v>-4.2978459999999999E-4</v>
      </c>
      <c r="AA4292">
        <v>0.9997627</v>
      </c>
      <c r="AB4292">
        <v>33</v>
      </c>
      <c r="AC4292">
        <v>-41.4832999999999</v>
      </c>
      <c r="AD4292">
        <v>-1.1094323667029999</v>
      </c>
      <c r="AE4292">
        <v>-0.78190000000000703</v>
      </c>
      <c r="AF4292">
        <v>-0.91076454066919998</v>
      </c>
      <c r="AG4292">
        <v>-1.1094323667029999</v>
      </c>
      <c r="AH4292">
        <v>41.451019429015098</v>
      </c>
      <c r="AI4292">
        <v>91.532779981073702</v>
      </c>
      <c r="AJ4292">
        <v>91.258704127783801</v>
      </c>
      <c r="AK4292">
        <v>41.475864595321198</v>
      </c>
      <c r="AL4292">
        <v>80.212896382178698</v>
      </c>
      <c r="AM4292">
        <v>91.789335973740904</v>
      </c>
      <c r="AN4292">
        <v>1.00000002953723</v>
      </c>
    </row>
    <row r="4293" spans="1:40" x14ac:dyDescent="0.25">
      <c r="A4293" t="str">
        <f>"20190304155721298"</f>
        <v>20190304155721298</v>
      </c>
      <c r="B4293" t="str">
        <f>"1551686241288952"</f>
        <v>1551686241288952</v>
      </c>
      <c r="C4293" t="s">
        <v>40</v>
      </c>
      <c r="D4293">
        <v>4.7487680000000001</v>
      </c>
      <c r="E4293">
        <v>0.49913069999999998</v>
      </c>
      <c r="F4293" t="s">
        <v>41</v>
      </c>
      <c r="G4293">
        <v>-265.32029999999997</v>
      </c>
      <c r="H4293" s="1">
        <v>-2.2716770000000002E-6</v>
      </c>
      <c r="I4293">
        <v>140.67529999999999</v>
      </c>
      <c r="J4293">
        <v>-224.01929999999999</v>
      </c>
      <c r="K4293">
        <v>1.1095699999999999</v>
      </c>
      <c r="L4293">
        <v>141.5838</v>
      </c>
      <c r="M4293">
        <v>-0.99996890000000005</v>
      </c>
      <c r="N4293">
        <v>-7.4812530000000002E-3</v>
      </c>
      <c r="O4293">
        <v>2.5305810000000001E-3</v>
      </c>
      <c r="P4293">
        <v>-0.98612869999999997</v>
      </c>
      <c r="Q4293">
        <v>0.16330549999999999</v>
      </c>
      <c r="R4293">
        <v>-2.9696219999999999E-2</v>
      </c>
      <c r="S4293">
        <v>-3.053207</v>
      </c>
      <c r="T4293">
        <v>-8.1374290000000002E-2</v>
      </c>
      <c r="U4293">
        <v>-6.658936E-2</v>
      </c>
      <c r="V4293">
        <v>-3.2295219999999999E-2</v>
      </c>
      <c r="W4293">
        <v>0.17065820000000001</v>
      </c>
      <c r="X4293">
        <v>0.98480089999999998</v>
      </c>
      <c r="Y4293">
        <v>-2.432291E-2</v>
      </c>
      <c r="Z4293">
        <v>-4.635458E-4</v>
      </c>
      <c r="AA4293">
        <v>0.99970409999999998</v>
      </c>
      <c r="AB4293">
        <v>34</v>
      </c>
      <c r="AC4293">
        <v>-41.300999999999902</v>
      </c>
      <c r="AD4293">
        <v>-1.109572271677</v>
      </c>
      <c r="AE4293">
        <v>-0.90850000000000297</v>
      </c>
      <c r="AF4293">
        <v>-1.0122852635997199</v>
      </c>
      <c r="AG4293">
        <v>-1.109572271677</v>
      </c>
      <c r="AH4293">
        <v>41.268797080385298</v>
      </c>
      <c r="AI4293">
        <v>91.539647327034501</v>
      </c>
      <c r="AJ4293">
        <v>91.405130491877998</v>
      </c>
      <c r="AK4293">
        <v>41.296119485285701</v>
      </c>
      <c r="AL4293">
        <v>80.173909685288294</v>
      </c>
      <c r="AM4293">
        <v>91.878264853330506</v>
      </c>
      <c r="AN4293">
        <v>1.0000000075514399</v>
      </c>
    </row>
    <row r="4294" spans="1:40" x14ac:dyDescent="0.25">
      <c r="A4294" t="str">
        <f>"20190304155721321"</f>
        <v>20190304155721321</v>
      </c>
      <c r="B4294" t="str">
        <f>"1551686241309452"</f>
        <v>1551686241309452</v>
      </c>
      <c r="C4294" t="s">
        <v>40</v>
      </c>
      <c r="D4294">
        <v>4.7580210000000003</v>
      </c>
      <c r="E4294">
        <v>0.49842170000000002</v>
      </c>
      <c r="F4294" t="s">
        <v>41</v>
      </c>
      <c r="G4294">
        <v>-265.71449999999999</v>
      </c>
      <c r="H4294" s="1">
        <v>-2.0738439999999999E-6</v>
      </c>
      <c r="I4294">
        <v>140.56739999999999</v>
      </c>
      <c r="J4294">
        <v>-224.3587</v>
      </c>
      <c r="K4294">
        <v>1.1096969999999999</v>
      </c>
      <c r="L4294">
        <v>141.58410000000001</v>
      </c>
      <c r="M4294">
        <v>-0.99997049999999998</v>
      </c>
      <c r="N4294">
        <v>-7.4731679999999997E-3</v>
      </c>
      <c r="O4294">
        <v>1.7977449999999999E-3</v>
      </c>
      <c r="P4294">
        <v>-0.98593649999999999</v>
      </c>
      <c r="Q4294">
        <v>0.1640537</v>
      </c>
      <c r="R4294">
        <v>-3.1872780000000003E-2</v>
      </c>
      <c r="S4294">
        <v>-3.053436</v>
      </c>
      <c r="T4294">
        <v>-8.1256510000000004E-2</v>
      </c>
      <c r="U4294">
        <v>-7.4432369999999998E-2</v>
      </c>
      <c r="V4294">
        <v>-3.3802459999999999E-2</v>
      </c>
      <c r="W4294">
        <v>0.17138599999999901</v>
      </c>
      <c r="X4294">
        <v>0.9846239</v>
      </c>
      <c r="Y4294">
        <v>-2.6154400000000001E-2</v>
      </c>
      <c r="Z4294">
        <v>-4.8005090000000002E-4</v>
      </c>
      <c r="AA4294">
        <v>0.99965780000000004</v>
      </c>
      <c r="AB4294">
        <v>34</v>
      </c>
      <c r="AC4294">
        <v>-41.355799999999903</v>
      </c>
      <c r="AD4294">
        <v>-1.109699073844</v>
      </c>
      <c r="AE4294">
        <v>-1.0167000000000099</v>
      </c>
      <c r="AF4294">
        <v>-1.0902630883192901</v>
      </c>
      <c r="AG4294">
        <v>-1.109699073844</v>
      </c>
      <c r="AH4294">
        <v>41.3241695697428</v>
      </c>
      <c r="AI4294">
        <v>91.537688396189495</v>
      </c>
      <c r="AJ4294">
        <v>91.511294389238302</v>
      </c>
      <c r="AK4294">
        <v>41.353441165942897</v>
      </c>
      <c r="AL4294">
        <v>80.131586157202094</v>
      </c>
      <c r="AM4294">
        <v>91.966210622494501</v>
      </c>
      <c r="AN4294">
        <v>0.99999999587462995</v>
      </c>
    </row>
    <row r="4295" spans="1:40" x14ac:dyDescent="0.25">
      <c r="A4295" t="str">
        <f>"20190304155721344"</f>
        <v>20190304155721344</v>
      </c>
      <c r="B4295" t="str">
        <f>"1551686241338729"</f>
        <v>1551686241338729</v>
      </c>
      <c r="C4295" t="s">
        <v>40</v>
      </c>
      <c r="D4295">
        <v>4.730613</v>
      </c>
      <c r="E4295">
        <v>0.49807079999999998</v>
      </c>
      <c r="F4295" t="s">
        <v>41</v>
      </c>
      <c r="G4295">
        <v>-265.56880000000001</v>
      </c>
      <c r="H4295" s="1">
        <v>-2.095119E-6</v>
      </c>
      <c r="I4295">
        <v>140.41229999999999</v>
      </c>
      <c r="J4295">
        <v>-224.71010000000001</v>
      </c>
      <c r="K4295">
        <v>1.10981</v>
      </c>
      <c r="L4295">
        <v>141.584</v>
      </c>
      <c r="M4295">
        <v>-0.99997170000000002</v>
      </c>
      <c r="N4295">
        <v>-7.4666400000000001E-3</v>
      </c>
      <c r="O4295">
        <v>9.5023739999999996E-4</v>
      </c>
      <c r="P4295">
        <v>-0.98560570000000003</v>
      </c>
      <c r="Q4295">
        <v>0.16548689999999999</v>
      </c>
      <c r="R4295">
        <v>-3.4578879999999999E-2</v>
      </c>
      <c r="S4295">
        <v>-3.0536650000000001</v>
      </c>
      <c r="T4295">
        <v>-8.2228659999999995E-2</v>
      </c>
      <c r="U4295">
        <v>-8.6822510000000006E-2</v>
      </c>
      <c r="V4295">
        <v>-3.5721219999999998E-2</v>
      </c>
      <c r="W4295">
        <v>0.17279890000000001</v>
      </c>
      <c r="X4295">
        <v>0.9843092</v>
      </c>
      <c r="Y4295">
        <v>-2.935685E-2</v>
      </c>
      <c r="Z4295">
        <v>-5.2324000000000001E-4</v>
      </c>
      <c r="AA4295">
        <v>0.99956889999999998</v>
      </c>
      <c r="AB4295">
        <v>34</v>
      </c>
      <c r="AC4295">
        <v>-40.858699999999999</v>
      </c>
      <c r="AD4295">
        <v>-1.109812095119</v>
      </c>
      <c r="AE4295">
        <v>-1.17170000000001</v>
      </c>
      <c r="AF4295">
        <v>-1.2096343003729999</v>
      </c>
      <c r="AG4295">
        <v>-1.109812095119</v>
      </c>
      <c r="AH4295">
        <v>40.827470983431503</v>
      </c>
      <c r="AI4295">
        <v>91.556403629189205</v>
      </c>
      <c r="AJ4295">
        <v>91.697060082415504</v>
      </c>
      <c r="AK4295">
        <v>40.860461144363597</v>
      </c>
      <c r="AL4295">
        <v>80.049407270013603</v>
      </c>
      <c r="AM4295">
        <v>92.078388941545498</v>
      </c>
      <c r="AN4295">
        <v>1.00000003330206</v>
      </c>
    </row>
    <row r="4296" spans="1:40" x14ac:dyDescent="0.25">
      <c r="A4296" t="str">
        <f>"20190304155721367"</f>
        <v>20190304155721367</v>
      </c>
      <c r="B4296" t="str">
        <f>"1551686241359224"</f>
        <v>1551686241359224</v>
      </c>
      <c r="C4296" t="s">
        <v>40</v>
      </c>
      <c r="D4296">
        <v>4.7431660000000004</v>
      </c>
      <c r="E4296">
        <v>0.49807050000000003</v>
      </c>
      <c r="F4296" t="s">
        <v>41</v>
      </c>
      <c r="G4296">
        <v>-267.19130000000001</v>
      </c>
      <c r="H4296" s="1">
        <v>-1.348874E-6</v>
      </c>
      <c r="I4296">
        <v>140.22370000000001</v>
      </c>
      <c r="J4296">
        <v>-225.054</v>
      </c>
      <c r="K4296">
        <v>1.109899</v>
      </c>
      <c r="L4296">
        <v>141.58359999999999</v>
      </c>
      <c r="M4296">
        <v>-0.99997230000000004</v>
      </c>
      <c r="N4296">
        <v>-7.4619309999999998E-3</v>
      </c>
      <c r="O4296" s="1">
        <v>6.5340449999999999E-5</v>
      </c>
      <c r="P4296">
        <v>-0.98539299999999996</v>
      </c>
      <c r="Q4296">
        <v>0.16607529999999901</v>
      </c>
      <c r="R4296">
        <v>-3.7679839999999999E-2</v>
      </c>
      <c r="S4296">
        <v>-3.0537719999999999</v>
      </c>
      <c r="T4296">
        <v>-7.9779030000000001E-2</v>
      </c>
      <c r="U4296">
        <v>-9.7778320000000002E-2</v>
      </c>
      <c r="V4296">
        <v>-3.7988000000000001E-2</v>
      </c>
      <c r="W4296">
        <v>0.17337049999999901</v>
      </c>
      <c r="X4296">
        <v>0.98412379999999999</v>
      </c>
      <c r="Y4296">
        <v>-3.2053720000000001E-2</v>
      </c>
      <c r="Z4296">
        <v>-5.3938779999999995E-4</v>
      </c>
      <c r="AA4296">
        <v>0.99948599999999999</v>
      </c>
      <c r="AB4296">
        <v>34</v>
      </c>
      <c r="AC4296">
        <v>-42.137300000000003</v>
      </c>
      <c r="AD4296">
        <v>-1.109900348874</v>
      </c>
      <c r="AE4296">
        <v>-1.3598999999999799</v>
      </c>
      <c r="AF4296">
        <v>-1.36170957179642</v>
      </c>
      <c r="AG4296">
        <v>-1.109900348874</v>
      </c>
      <c r="AH4296">
        <v>42.1080268805676</v>
      </c>
      <c r="AI4296">
        <v>91.509087137607693</v>
      </c>
      <c r="AJ4296">
        <v>91.852212914317406</v>
      </c>
      <c r="AK4296">
        <v>42.144656357798901</v>
      </c>
      <c r="AL4296">
        <v>80.016155154495294</v>
      </c>
      <c r="AM4296">
        <v>92.2105674092968</v>
      </c>
      <c r="AN4296">
        <v>1.00000003607034</v>
      </c>
    </row>
    <row r="4297" spans="1:40" x14ac:dyDescent="0.25">
      <c r="A4297" t="str">
        <f>"20190304155721386"</f>
        <v>20190304155721386</v>
      </c>
      <c r="B4297" t="str">
        <f>"1551686241379721"</f>
        <v>1551686241379721</v>
      </c>
      <c r="C4297" t="s">
        <v>40</v>
      </c>
      <c r="D4297">
        <v>4.7839879999999999</v>
      </c>
      <c r="E4297">
        <v>0.49774940000000001</v>
      </c>
      <c r="F4297" t="s">
        <v>41</v>
      </c>
      <c r="G4297">
        <v>-268.06479999999999</v>
      </c>
      <c r="H4297" s="1">
        <v>-9.3567380000000003E-7</v>
      </c>
      <c r="I4297">
        <v>140.07900000000001</v>
      </c>
      <c r="J4297">
        <v>-225.36429999999999</v>
      </c>
      <c r="K4297">
        <v>1.10996299999999</v>
      </c>
      <c r="L4297">
        <v>141.5829</v>
      </c>
      <c r="M4297">
        <v>-0.99997190000000002</v>
      </c>
      <c r="N4297">
        <v>-7.4591750000000002E-3</v>
      </c>
      <c r="O4297">
        <v>-7.6272579999999996E-4</v>
      </c>
      <c r="P4297">
        <v>-0.98513139999999999</v>
      </c>
      <c r="Q4297">
        <v>0.16683909999999999</v>
      </c>
      <c r="R4297">
        <v>-4.100003E-2</v>
      </c>
      <c r="S4297">
        <v>-3.0536500000000002</v>
      </c>
      <c r="T4297">
        <v>-7.8799960000000002E-2</v>
      </c>
      <c r="U4297">
        <v>-0.1068115</v>
      </c>
      <c r="V4297">
        <v>-4.0518810000000002E-2</v>
      </c>
      <c r="W4297">
        <v>0.17412040000000001</v>
      </c>
      <c r="X4297">
        <v>0.98389040000000005</v>
      </c>
      <c r="Y4297">
        <v>-3.4180120000000001E-2</v>
      </c>
      <c r="Z4297">
        <v>-5.5436359999999998E-4</v>
      </c>
      <c r="AA4297">
        <v>0.99941550000000001</v>
      </c>
      <c r="AB4297">
        <v>34</v>
      </c>
      <c r="AC4297">
        <v>-42.700499999999998</v>
      </c>
      <c r="AD4297">
        <v>-1.10996393567379</v>
      </c>
      <c r="AE4297">
        <v>-1.50389999999998</v>
      </c>
      <c r="AF4297">
        <v>-1.4703376123010601</v>
      </c>
      <c r="AG4297">
        <v>-1.10996393567379</v>
      </c>
      <c r="AH4297">
        <v>42.672836500141599</v>
      </c>
      <c r="AI4297">
        <v>91.489102322696596</v>
      </c>
      <c r="AJ4297">
        <v>91.973405836366993</v>
      </c>
      <c r="AK4297">
        <v>42.7125846513702</v>
      </c>
      <c r="AL4297">
        <v>79.972525137771299</v>
      </c>
      <c r="AM4297">
        <v>92.358235939965496</v>
      </c>
      <c r="AN4297">
        <v>1.0000000034360601</v>
      </c>
    </row>
    <row r="4298" spans="1:40" x14ac:dyDescent="0.25">
      <c r="A4298" t="str">
        <f>"20190304155721409"</f>
        <v>20190304155721409</v>
      </c>
      <c r="B4298" t="str">
        <f>"1551686241399244"</f>
        <v>1551686241399244</v>
      </c>
      <c r="C4298" t="s">
        <v>40</v>
      </c>
      <c r="D4298">
        <v>4.7892960000000002</v>
      </c>
      <c r="E4298">
        <v>0.49752960000000002</v>
      </c>
      <c r="F4298" t="s">
        <v>41</v>
      </c>
      <c r="G4298">
        <v>-268.24869999999999</v>
      </c>
      <c r="H4298" s="1">
        <v>-8.1270840000000005E-7</v>
      </c>
      <c r="I4298">
        <v>139.91329999999999</v>
      </c>
      <c r="J4298">
        <v>-225.7107</v>
      </c>
      <c r="K4298">
        <v>1.1100139999999901</v>
      </c>
      <c r="L4298">
        <v>141.58179999999999</v>
      </c>
      <c r="M4298">
        <v>-0.9999709</v>
      </c>
      <c r="N4298">
        <v>-7.4576640000000001E-3</v>
      </c>
      <c r="O4298">
        <v>-1.704192E-3</v>
      </c>
      <c r="P4298">
        <v>-0.98488390000000003</v>
      </c>
      <c r="Q4298">
        <v>0.16754050000000001</v>
      </c>
      <c r="R4298">
        <v>-4.3978870000000003E-2</v>
      </c>
      <c r="S4298">
        <v>-3.0537109999999998</v>
      </c>
      <c r="T4298">
        <v>-7.9038499999999998E-2</v>
      </c>
      <c r="U4298">
        <v>-0.11888120000000001</v>
      </c>
      <c r="V4298">
        <v>-4.259367E-2</v>
      </c>
      <c r="W4298">
        <v>0.1748101</v>
      </c>
      <c r="X4298">
        <v>0.98368040000000001</v>
      </c>
      <c r="Y4298">
        <v>-3.718188E-2</v>
      </c>
      <c r="Z4298">
        <v>-5.8827010000000004E-4</v>
      </c>
      <c r="AA4298">
        <v>0.99930830000000004</v>
      </c>
      <c r="AB4298">
        <v>34</v>
      </c>
      <c r="AC4298">
        <v>-42.537999999999897</v>
      </c>
      <c r="AD4298">
        <v>-1.11001481270839</v>
      </c>
      <c r="AE4298">
        <v>-1.6684999999999901</v>
      </c>
      <c r="AF4298">
        <v>-1.5949182915687701</v>
      </c>
      <c r="AG4298">
        <v>-1.11001481270839</v>
      </c>
      <c r="AH4298">
        <v>42.511878539719497</v>
      </c>
      <c r="AI4298">
        <v>91.494641913388193</v>
      </c>
      <c r="AJ4298">
        <v>92.148558282462105</v>
      </c>
      <c r="AK4298">
        <v>42.556265275715603</v>
      </c>
      <c r="AL4298">
        <v>79.932392304523702</v>
      </c>
      <c r="AM4298">
        <v>92.479376464533203</v>
      </c>
      <c r="AN4298">
        <v>0.99999996056511797</v>
      </c>
    </row>
    <row r="4299" spans="1:40" x14ac:dyDescent="0.25">
      <c r="A4299" t="str">
        <f>"20190304155721433"</f>
        <v>20190304155721433</v>
      </c>
      <c r="B4299" t="str">
        <f>"1551686241429497"</f>
        <v>1551686241429497</v>
      </c>
      <c r="C4299" t="s">
        <v>40</v>
      </c>
      <c r="D4299">
        <v>4.8491030000000004</v>
      </c>
      <c r="E4299">
        <v>0.49738450000000001</v>
      </c>
      <c r="F4299" t="s">
        <v>41</v>
      </c>
      <c r="G4299">
        <v>-268.5616</v>
      </c>
      <c r="H4299" s="1">
        <v>-6.4052699999999995E-7</v>
      </c>
      <c r="I4299">
        <v>139.77080000000001</v>
      </c>
      <c r="J4299">
        <v>-226.0455</v>
      </c>
      <c r="K4299">
        <v>1.1100490000000001</v>
      </c>
      <c r="L4299">
        <v>141.5804</v>
      </c>
      <c r="M4299">
        <v>-0.99996879999999999</v>
      </c>
      <c r="N4299">
        <v>-7.4579779999999997E-3</v>
      </c>
      <c r="O4299">
        <v>-2.623214E-3</v>
      </c>
      <c r="P4299">
        <v>-0.98474379999999995</v>
      </c>
      <c r="Q4299">
        <v>0.16763910000000001</v>
      </c>
      <c r="R4299">
        <v>-4.6659510000000001E-2</v>
      </c>
      <c r="S4299">
        <v>-3.0537260000000002</v>
      </c>
      <c r="T4299">
        <v>-7.9104190000000005E-2</v>
      </c>
      <c r="U4299">
        <v>-0.1290588</v>
      </c>
      <c r="V4299">
        <v>-4.4384649999999998E-2</v>
      </c>
      <c r="W4299">
        <v>0.17490159999999999</v>
      </c>
      <c r="X4299">
        <v>0.98358500000000004</v>
      </c>
      <c r="Y4299">
        <v>-3.9587329999999997E-2</v>
      </c>
      <c r="Z4299">
        <v>-6.1178779999999998E-4</v>
      </c>
      <c r="AA4299">
        <v>0.99921590000000005</v>
      </c>
      <c r="AB4299">
        <v>34</v>
      </c>
      <c r="AC4299">
        <v>-42.516100000000002</v>
      </c>
      <c r="AD4299">
        <v>-1.1100496405269999</v>
      </c>
      <c r="AE4299">
        <v>-1.8095999999999799</v>
      </c>
      <c r="AF4299">
        <v>-1.69690719964086</v>
      </c>
      <c r="AG4299">
        <v>-1.1100496405269999</v>
      </c>
      <c r="AH4299">
        <v>42.491787559293897</v>
      </c>
      <c r="AI4299">
        <v>91.495255441754693</v>
      </c>
      <c r="AJ4299">
        <v>92.286888611000293</v>
      </c>
      <c r="AK4299">
        <v>42.5401423861368</v>
      </c>
      <c r="AL4299">
        <v>79.927068208395994</v>
      </c>
      <c r="AM4299">
        <v>92.583741197966702</v>
      </c>
      <c r="AN4299">
        <v>1.00000000953159</v>
      </c>
    </row>
    <row r="4300" spans="1:40" x14ac:dyDescent="0.25">
      <c r="A4300" t="str">
        <f>"20190304155721454"</f>
        <v>20190304155721454</v>
      </c>
      <c r="B4300" t="str">
        <f>"1551686241449017"</f>
        <v>1551686241449017</v>
      </c>
      <c r="C4300" t="s">
        <v>40</v>
      </c>
      <c r="D4300">
        <v>4.7846650000000004</v>
      </c>
      <c r="E4300">
        <v>0.49731560000000002</v>
      </c>
      <c r="F4300" t="s">
        <v>41</v>
      </c>
      <c r="G4300">
        <v>-267.67140000000001</v>
      </c>
      <c r="H4300" s="1">
        <v>-1.0020539999999999E-6</v>
      </c>
      <c r="I4300">
        <v>139.6943</v>
      </c>
      <c r="J4300">
        <v>-226.40010000000001</v>
      </c>
      <c r="K4300">
        <v>1.1100749999999999</v>
      </c>
      <c r="L4300">
        <v>141.57859999999999</v>
      </c>
      <c r="M4300">
        <v>-0.99996580000000002</v>
      </c>
      <c r="N4300">
        <v>-7.4599019999999896E-3</v>
      </c>
      <c r="O4300">
        <v>-3.5984350000000001E-3</v>
      </c>
      <c r="P4300">
        <v>-0.98460579999999998</v>
      </c>
      <c r="Q4300">
        <v>0.16768350000000001</v>
      </c>
      <c r="R4300">
        <v>-4.9333479999999999E-2</v>
      </c>
      <c r="S4300">
        <v>-3.0537869999999998</v>
      </c>
      <c r="T4300">
        <v>-8.143628E-2</v>
      </c>
      <c r="U4300">
        <v>-0.13836670000000001</v>
      </c>
      <c r="V4300">
        <v>-4.6111619999999999E-2</v>
      </c>
      <c r="W4300">
        <v>0.1749406</v>
      </c>
      <c r="X4300">
        <v>0.9834986</v>
      </c>
      <c r="Y4300">
        <v>-4.1650039999999999E-2</v>
      </c>
      <c r="Z4300">
        <v>-6.4136900000000003E-4</v>
      </c>
      <c r="AA4300">
        <v>0.99913200000000002</v>
      </c>
      <c r="AB4300">
        <v>34</v>
      </c>
      <c r="AC4300">
        <v>-41.271299999999997</v>
      </c>
      <c r="AD4300">
        <v>-1.1100760020539999</v>
      </c>
      <c r="AE4300">
        <v>-1.8842999999999901</v>
      </c>
      <c r="AF4300">
        <v>-1.73451936203297</v>
      </c>
      <c r="AG4300">
        <v>-1.1100760020539999</v>
      </c>
      <c r="AH4300">
        <v>41.248034639606303</v>
      </c>
      <c r="AI4300">
        <v>91.540223753306407</v>
      </c>
      <c r="AJ4300">
        <v>92.407923775449902</v>
      </c>
      <c r="AK4300">
        <v>41.2994090487717</v>
      </c>
      <c r="AL4300">
        <v>79.924798540817804</v>
      </c>
      <c r="AM4300">
        <v>92.684363610141205</v>
      </c>
      <c r="AN4300">
        <v>0.99999999561467201</v>
      </c>
    </row>
    <row r="4301" spans="1:40" x14ac:dyDescent="0.25">
      <c r="A4301" t="str">
        <f>"20190304155721476"</f>
        <v>20190304155721476</v>
      </c>
      <c r="B4301" t="str">
        <f>"1551686241469512"</f>
        <v>1551686241469512</v>
      </c>
      <c r="C4301" t="s">
        <v>40</v>
      </c>
      <c r="D4301">
        <v>4.8044000000000002</v>
      </c>
      <c r="E4301">
        <v>0.4973687</v>
      </c>
      <c r="F4301" t="s">
        <v>41</v>
      </c>
      <c r="G4301">
        <v>-267.42849999999999</v>
      </c>
      <c r="H4301" s="1">
        <v>-1.087746E-6</v>
      </c>
      <c r="I4301">
        <v>139.60339999999999</v>
      </c>
      <c r="J4301">
        <v>-226.72489999999999</v>
      </c>
      <c r="K4301">
        <v>1.110096</v>
      </c>
      <c r="L4301">
        <v>141.57660000000001</v>
      </c>
      <c r="M4301">
        <v>-0.99996220000000002</v>
      </c>
      <c r="N4301">
        <v>-7.4629450000000003E-3</v>
      </c>
      <c r="O4301">
        <v>-4.4901330000000003E-3</v>
      </c>
      <c r="P4301">
        <v>-0.98462400000000005</v>
      </c>
      <c r="Q4301">
        <v>0.16683339999999999</v>
      </c>
      <c r="R4301">
        <v>-5.1793520000000003E-2</v>
      </c>
      <c r="S4301">
        <v>-3.053604</v>
      </c>
      <c r="T4301">
        <v>-8.2619189999999995E-2</v>
      </c>
      <c r="U4301">
        <v>-0.1470032</v>
      </c>
      <c r="V4301">
        <v>-4.770071E-2</v>
      </c>
      <c r="W4301">
        <v>0.17408889999999999</v>
      </c>
      <c r="X4301">
        <v>0.9835739</v>
      </c>
      <c r="Y4301">
        <v>-4.3580199999999999E-2</v>
      </c>
      <c r="Z4301">
        <v>-6.6396000000000001E-4</v>
      </c>
      <c r="AA4301">
        <v>0.99904970000000004</v>
      </c>
      <c r="AB4301">
        <v>34</v>
      </c>
      <c r="AC4301">
        <v>-40.703600000000002</v>
      </c>
      <c r="AD4301">
        <v>-1.1100970877459999</v>
      </c>
      <c r="AE4301">
        <v>-1.97320000000002</v>
      </c>
      <c r="AF4301">
        <v>-1.7890828636442899</v>
      </c>
      <c r="AG4301">
        <v>-1.1100970877459999</v>
      </c>
      <c r="AH4301">
        <v>40.681861600096497</v>
      </c>
      <c r="AI4301">
        <v>91.561549189745506</v>
      </c>
      <c r="AJ4301">
        <v>92.518097418055703</v>
      </c>
      <c r="AK4301">
        <v>40.736310538469397</v>
      </c>
      <c r="AL4301">
        <v>79.974357505024997</v>
      </c>
      <c r="AM4301">
        <v>92.7765170250875</v>
      </c>
      <c r="AN4301">
        <v>0.99999995979946099</v>
      </c>
    </row>
    <row r="4302" spans="1:40" x14ac:dyDescent="0.25">
      <c r="A4302" t="str">
        <f>"20190304155721499"</f>
        <v>20190304155721499</v>
      </c>
      <c r="B4302" t="str">
        <f>"1551686241489032"</f>
        <v>1551686241489032</v>
      </c>
      <c r="C4302" t="s">
        <v>40</v>
      </c>
      <c r="D4302">
        <v>4.770124</v>
      </c>
      <c r="E4302">
        <v>0.4974613</v>
      </c>
      <c r="F4302" t="s">
        <v>41</v>
      </c>
      <c r="G4302">
        <v>-266.0378</v>
      </c>
      <c r="H4302" s="1">
        <v>-1.6855629999999901E-6</v>
      </c>
      <c r="I4302">
        <v>139.5966</v>
      </c>
      <c r="J4302">
        <v>-227.07830000000001</v>
      </c>
      <c r="K4302">
        <v>1.1101160000000001</v>
      </c>
      <c r="L4302">
        <v>141.57419999999999</v>
      </c>
      <c r="M4302">
        <v>-0.99995730000000005</v>
      </c>
      <c r="N4302">
        <v>-7.4675289999999997E-3</v>
      </c>
      <c r="O4302">
        <v>-5.4569129999999999E-3</v>
      </c>
      <c r="P4302">
        <v>-0.98461750000000003</v>
      </c>
      <c r="Q4302">
        <v>0.16623650000000001</v>
      </c>
      <c r="R4302">
        <v>-5.3792840000000001E-2</v>
      </c>
      <c r="S4302">
        <v>-3.053391</v>
      </c>
      <c r="T4302">
        <v>-8.6220260000000007E-2</v>
      </c>
      <c r="U4302">
        <v>-0.1537781</v>
      </c>
      <c r="V4302">
        <v>-4.8755519999999997E-2</v>
      </c>
      <c r="W4302">
        <v>0.1734926</v>
      </c>
      <c r="X4302">
        <v>0.98362760000000005</v>
      </c>
      <c r="Y4302">
        <v>-4.4827029999999997E-2</v>
      </c>
      <c r="Z4302">
        <v>-6.8666429999999904E-4</v>
      </c>
      <c r="AA4302">
        <v>0.99899450000000001</v>
      </c>
      <c r="AB4302">
        <v>34</v>
      </c>
      <c r="AC4302">
        <v>-38.959499999999899</v>
      </c>
      <c r="AD4302">
        <v>-1.1101176855629999</v>
      </c>
      <c r="AE4302">
        <v>-1.97759999999999</v>
      </c>
      <c r="AF4302">
        <v>-1.76353787367089</v>
      </c>
      <c r="AG4302">
        <v>-1.1101176855629999</v>
      </c>
      <c r="AH4302">
        <v>38.938178493676098</v>
      </c>
      <c r="AI4302">
        <v>91.631374509191005</v>
      </c>
      <c r="AJ4302">
        <v>92.593194589167098</v>
      </c>
      <c r="AK4302">
        <v>38.993899157599699</v>
      </c>
      <c r="AL4302">
        <v>80.009051523757606</v>
      </c>
      <c r="AM4302">
        <v>92.837660437642</v>
      </c>
      <c r="AN4302">
        <v>1.0000000192334899</v>
      </c>
    </row>
    <row r="4303" spans="1:40" x14ac:dyDescent="0.25">
      <c r="A4303" t="str">
        <f>"20190304155721521"</f>
        <v>20190304155721521</v>
      </c>
      <c r="B4303" t="str">
        <f>"1551686241509528"</f>
        <v>1551686241509528</v>
      </c>
      <c r="C4303" t="s">
        <v>40</v>
      </c>
      <c r="D4303">
        <v>4.7953190000000001</v>
      </c>
      <c r="E4303">
        <v>0.49776209999999999</v>
      </c>
      <c r="F4303" t="s">
        <v>41</v>
      </c>
      <c r="G4303">
        <v>-265.40559999999999</v>
      </c>
      <c r="H4303" s="1">
        <v>-1.960103E-6</v>
      </c>
      <c r="I4303">
        <v>139.57769999999999</v>
      </c>
      <c r="J4303">
        <v>-227.41919999999999</v>
      </c>
      <c r="K4303">
        <v>1.1101319999999999</v>
      </c>
      <c r="L4303">
        <v>141.57149999999999</v>
      </c>
      <c r="M4303">
        <v>-0.99995179999999995</v>
      </c>
      <c r="N4303">
        <v>-7.4730279999999996E-3</v>
      </c>
      <c r="O4303">
        <v>-6.3865809999999997E-3</v>
      </c>
      <c r="P4303">
        <v>-0.98442379999999996</v>
      </c>
      <c r="Q4303">
        <v>0.16669139999999999</v>
      </c>
      <c r="R4303">
        <v>-5.589152E-2</v>
      </c>
      <c r="S4303">
        <v>-3.0531009999999998</v>
      </c>
      <c r="T4303">
        <v>-8.8430640000000005E-2</v>
      </c>
      <c r="U4303">
        <v>-0.1590271</v>
      </c>
      <c r="V4303">
        <v>-4.9947440000000003E-2</v>
      </c>
      <c r="W4303">
        <v>0.17394760000000001</v>
      </c>
      <c r="X4303">
        <v>0.98348740000000001</v>
      </c>
      <c r="Y4303">
        <v>-4.561486E-2</v>
      </c>
      <c r="Z4303">
        <v>-6.9349739999999998E-4</v>
      </c>
      <c r="AA4303">
        <v>0.99895889999999998</v>
      </c>
      <c r="AB4303">
        <v>34</v>
      </c>
      <c r="AC4303">
        <v>-37.986400000000003</v>
      </c>
      <c r="AD4303">
        <v>-1.11013396010299</v>
      </c>
      <c r="AE4303">
        <v>-1.99379999999999</v>
      </c>
      <c r="AF4303">
        <v>-1.7496591395780801</v>
      </c>
      <c r="AG4303">
        <v>-1.11013396010299</v>
      </c>
      <c r="AH4303">
        <v>37.966022531963397</v>
      </c>
      <c r="AI4303">
        <v>91.673087920554195</v>
      </c>
      <c r="AJ4303">
        <v>92.638601529426296</v>
      </c>
      <c r="AK4303">
        <v>38.022527157089797</v>
      </c>
      <c r="AL4303">
        <v>79.982579143578704</v>
      </c>
      <c r="AM4303">
        <v>92.907328474877403</v>
      </c>
      <c r="AN4303">
        <v>0.99999999013353602</v>
      </c>
    </row>
    <row r="4304" spans="1:40" x14ac:dyDescent="0.25">
      <c r="A4304" t="str">
        <f>"20190304155721544"</f>
        <v>20190304155721544</v>
      </c>
      <c r="B4304" t="str">
        <f>"1551686241538809"</f>
        <v>1551686241538809</v>
      </c>
      <c r="C4304" t="s">
        <v>40</v>
      </c>
      <c r="D4304">
        <v>4.7581709999999999</v>
      </c>
      <c r="E4304">
        <v>0.50887349999999998</v>
      </c>
      <c r="F4304" t="s">
        <v>41</v>
      </c>
      <c r="G4304">
        <v>-265.85480000000001</v>
      </c>
      <c r="H4304" s="1">
        <v>-1.777081E-6</v>
      </c>
      <c r="I4304">
        <v>139.5232</v>
      </c>
      <c r="J4304">
        <v>-227.7704</v>
      </c>
      <c r="K4304">
        <v>1.110147</v>
      </c>
      <c r="L4304">
        <v>141.56829999999999</v>
      </c>
      <c r="M4304">
        <v>-0.99994499999999997</v>
      </c>
      <c r="N4304">
        <v>-7.4796480000000002E-3</v>
      </c>
      <c r="O4304">
        <v>-7.3426890000000003E-3</v>
      </c>
      <c r="P4304">
        <v>-0.98424199999999995</v>
      </c>
      <c r="Q4304">
        <v>0.167232399999999</v>
      </c>
      <c r="R4304">
        <v>-5.745248E-2</v>
      </c>
      <c r="S4304">
        <v>-3.0531619999999999</v>
      </c>
      <c r="T4304">
        <v>-8.8184360000000003E-2</v>
      </c>
      <c r="U4304">
        <v>-0.1627045</v>
      </c>
      <c r="V4304">
        <v>-5.0574180000000003E-2</v>
      </c>
      <c r="W4304">
        <v>0.1744918</v>
      </c>
      <c r="X4304">
        <v>0.98335899999999998</v>
      </c>
      <c r="Y4304">
        <v>-4.5858709999999997E-2</v>
      </c>
      <c r="Z4304">
        <v>-6.7633769999999997E-4</v>
      </c>
      <c r="AA4304">
        <v>0.99894769999999999</v>
      </c>
      <c r="AB4304">
        <v>34</v>
      </c>
      <c r="AC4304">
        <v>-38.084400000000002</v>
      </c>
      <c r="AD4304">
        <v>-1.1101487770809999</v>
      </c>
      <c r="AE4304">
        <v>-2.0450999999999899</v>
      </c>
      <c r="AF4304">
        <v>-1.7639006330400899</v>
      </c>
      <c r="AG4304">
        <v>-1.1101487770809999</v>
      </c>
      <c r="AH4304">
        <v>38.066138237945701</v>
      </c>
      <c r="AI4304">
        <v>91.668692921608297</v>
      </c>
      <c r="AJ4304">
        <v>92.653061877966906</v>
      </c>
      <c r="AK4304">
        <v>38.123151182724698</v>
      </c>
      <c r="AL4304">
        <v>79.950914925367996</v>
      </c>
      <c r="AM4304">
        <v>92.944129532692102</v>
      </c>
      <c r="AN4304">
        <v>1.0000000294154501</v>
      </c>
    </row>
    <row r="4305" spans="1:40" x14ac:dyDescent="0.25">
      <c r="A4305" t="str">
        <f>"20190304155721568"</f>
        <v>20190304155721568</v>
      </c>
      <c r="B4305" t="str">
        <f>"1551686241559306"</f>
        <v>1551686241559306</v>
      </c>
      <c r="C4305" t="s">
        <v>40</v>
      </c>
      <c r="D4305">
        <v>4.7529349999999999</v>
      </c>
      <c r="E4305">
        <v>0.5082158</v>
      </c>
      <c r="F4305" t="s">
        <v>78</v>
      </c>
      <c r="G4305">
        <v>-288.86579999999998</v>
      </c>
      <c r="H4305" s="1">
        <v>-8.3641629999999906E-6</v>
      </c>
      <c r="I4305">
        <v>139.97219999999999</v>
      </c>
      <c r="J4305">
        <v>-228.1343</v>
      </c>
      <c r="K4305">
        <v>1.1101570000000001</v>
      </c>
      <c r="L4305">
        <v>141.56479999999999</v>
      </c>
      <c r="M4305">
        <v>-0.99993739999999998</v>
      </c>
      <c r="N4305">
        <v>-7.4873709999999996E-3</v>
      </c>
      <c r="O4305">
        <v>-8.3323949999999994E-3</v>
      </c>
      <c r="P4305">
        <v>-0.98412250000000001</v>
      </c>
      <c r="Q4305">
        <v>0.16751759999999999</v>
      </c>
      <c r="R4305">
        <v>-5.866035E-2</v>
      </c>
      <c r="S4305">
        <v>-3.0527950000000001</v>
      </c>
      <c r="T4305">
        <v>-5.5471899999999998E-2</v>
      </c>
      <c r="U4305">
        <v>-7.9757690000000006E-2</v>
      </c>
      <c r="V4305">
        <v>-5.0813469999999999E-2</v>
      </c>
      <c r="W4305">
        <v>0.17478150000000001</v>
      </c>
      <c r="X4305">
        <v>0.98329520000000004</v>
      </c>
      <c r="Y4305">
        <v>-1.7782849999999999E-2</v>
      </c>
      <c r="Z4305">
        <v>-1.391315E-4</v>
      </c>
      <c r="AA4305">
        <v>0.99984189999999995</v>
      </c>
      <c r="AB4305">
        <v>35</v>
      </c>
      <c r="AC4305">
        <v>-60.731499999999897</v>
      </c>
      <c r="AD4305">
        <v>-1.110165364163</v>
      </c>
      <c r="AE4305">
        <v>-1.5926</v>
      </c>
      <c r="AF4305">
        <v>-1.0861290665429699</v>
      </c>
      <c r="AG4305">
        <v>-1.110165364163</v>
      </c>
      <c r="AH4305">
        <v>60.722385415051598</v>
      </c>
      <c r="AI4305">
        <v>91.047233807155607</v>
      </c>
      <c r="AJ4305">
        <v>91.024728783811199</v>
      </c>
      <c r="AK4305">
        <v>60.742244229029303</v>
      </c>
      <c r="AL4305">
        <v>79.934057148880996</v>
      </c>
      <c r="AM4305">
        <v>92.958226487146206</v>
      </c>
      <c r="AN4305">
        <v>1.0000000159093601</v>
      </c>
    </row>
    <row r="4306" spans="1:40" x14ac:dyDescent="0.25">
      <c r="A4306" t="str">
        <f>"20190304155721588"</f>
        <v>20190304155721588</v>
      </c>
      <c r="B4306" t="str">
        <f>"1551686241578824"</f>
        <v>1551686241578824</v>
      </c>
      <c r="C4306" t="s">
        <v>40</v>
      </c>
      <c r="D4306">
        <v>4.7550980000000003</v>
      </c>
      <c r="E4306">
        <v>0.50877139999999998</v>
      </c>
      <c r="F4306" t="s">
        <v>78</v>
      </c>
      <c r="G4306">
        <v>-291.46480000000003</v>
      </c>
      <c r="H4306" s="1">
        <v>-8.8268409999999903E-6</v>
      </c>
      <c r="I4306">
        <v>139.73169999999999</v>
      </c>
      <c r="J4306">
        <v>-228.46379999999999</v>
      </c>
      <c r="K4306">
        <v>1.110161</v>
      </c>
      <c r="L4306">
        <v>141.56120000000001</v>
      </c>
      <c r="M4306">
        <v>-0.99992939999999997</v>
      </c>
      <c r="N4306">
        <v>-7.4950609999999999E-3</v>
      </c>
      <c r="O4306">
        <v>-9.2282519999999993E-3</v>
      </c>
      <c r="P4306">
        <v>-0.98396459999999997</v>
      </c>
      <c r="Q4306">
        <v>0.16793449999999999</v>
      </c>
      <c r="R4306">
        <v>-6.0097200000000003E-2</v>
      </c>
      <c r="S4306">
        <v>-3.0522610000000001</v>
      </c>
      <c r="T4306">
        <v>-5.3505299999999999E-2</v>
      </c>
      <c r="U4306">
        <v>-8.8348389999999999E-2</v>
      </c>
      <c r="V4306">
        <v>-5.1374080000000003E-2</v>
      </c>
      <c r="W4306">
        <v>0.175203</v>
      </c>
      <c r="X4306">
        <v>0.98319100000000004</v>
      </c>
      <c r="Y4306">
        <v>-1.970338E-2</v>
      </c>
      <c r="Z4306">
        <v>-1.5394900000000001E-4</v>
      </c>
      <c r="AA4306">
        <v>0.99980590000000003</v>
      </c>
      <c r="AB4306">
        <v>35</v>
      </c>
      <c r="AC4306">
        <v>-63.000999999999998</v>
      </c>
      <c r="AD4306">
        <v>-1.1101698268410001</v>
      </c>
      <c r="AE4306">
        <v>-1.8295000000000201</v>
      </c>
      <c r="AF4306">
        <v>-1.24762961694536</v>
      </c>
      <c r="AG4306">
        <v>-1.1101698268410001</v>
      </c>
      <c r="AH4306">
        <v>62.995656073810302</v>
      </c>
      <c r="AI4306">
        <v>91.009418723477907</v>
      </c>
      <c r="AJ4306">
        <v>91.134595174560999</v>
      </c>
      <c r="AK4306">
        <v>63.017789082728797</v>
      </c>
      <c r="AL4306">
        <v>79.909527976092406</v>
      </c>
      <c r="AM4306">
        <v>92.991121188670405</v>
      </c>
      <c r="AN4306">
        <v>0.99999996489292198</v>
      </c>
    </row>
    <row r="4307" spans="1:40" x14ac:dyDescent="0.25">
      <c r="A4307" t="str">
        <f>"20190304155721621"</f>
        <v>20190304155721621</v>
      </c>
      <c r="B4307" t="str">
        <f>"1551686241609084"</f>
        <v>1551686241609084</v>
      </c>
      <c r="C4307" t="s">
        <v>40</v>
      </c>
      <c r="D4307">
        <v>4.8181969999999996</v>
      </c>
      <c r="E4307">
        <v>0.50705619999999996</v>
      </c>
      <c r="F4307" t="s">
        <v>78</v>
      </c>
      <c r="G4307">
        <v>-287.85660000000001</v>
      </c>
      <c r="H4307" s="1">
        <v>-7.6985269999999998E-6</v>
      </c>
      <c r="I4307">
        <v>139.85659999999999</v>
      </c>
      <c r="J4307">
        <v>-228.97229999999999</v>
      </c>
      <c r="K4307">
        <v>1.1101589999999999</v>
      </c>
      <c r="L4307">
        <v>141.55510000000001</v>
      </c>
      <c r="M4307">
        <v>-0.99991560000000002</v>
      </c>
      <c r="N4307">
        <v>-7.5079409999999997E-3</v>
      </c>
      <c r="O4307">
        <v>-1.0610639999999999E-2</v>
      </c>
      <c r="P4307">
        <v>-0.98408669999999998</v>
      </c>
      <c r="Q4307">
        <v>0.16694320000000001</v>
      </c>
      <c r="R4307">
        <v>-6.0858019999999999E-2</v>
      </c>
      <c r="S4307">
        <v>-3.053299</v>
      </c>
      <c r="T4307">
        <v>-5.7072159999999997E-2</v>
      </c>
      <c r="U4307">
        <v>-8.7631230000000004E-2</v>
      </c>
      <c r="V4307">
        <v>-5.0774479999999997E-2</v>
      </c>
      <c r="W4307">
        <v>0.17422599999999999</v>
      </c>
      <c r="X4307">
        <v>0.98339580000000004</v>
      </c>
      <c r="Y4307">
        <v>-1.8076749999999999E-2</v>
      </c>
      <c r="Z4307">
        <v>-1.181617E-4</v>
      </c>
      <c r="AA4307">
        <v>0.99983659999999996</v>
      </c>
      <c r="AB4307">
        <v>35</v>
      </c>
      <c r="AC4307">
        <v>-58.884300000000003</v>
      </c>
      <c r="AD4307">
        <v>-1.110166698527</v>
      </c>
      <c r="AE4307">
        <v>-1.6985000000000201</v>
      </c>
      <c r="AF4307">
        <v>-1.0732055569505199</v>
      </c>
      <c r="AG4307">
        <v>-1.110166698527</v>
      </c>
      <c r="AH4307">
        <v>58.878096868889699</v>
      </c>
      <c r="AI4307">
        <v>91.080024202937196</v>
      </c>
      <c r="AJ4307">
        <v>91.044248093281794</v>
      </c>
      <c r="AK4307">
        <v>58.898340648683302</v>
      </c>
      <c r="AL4307">
        <v>79.966380987396406</v>
      </c>
      <c r="AM4307">
        <v>92.955658764763001</v>
      </c>
      <c r="AN4307">
        <v>1.0000000231764501</v>
      </c>
    </row>
    <row r="4308" spans="1:40" x14ac:dyDescent="0.25">
      <c r="A4308" t="str">
        <f>"20190304155721644"</f>
        <v>20190304155721644</v>
      </c>
      <c r="B4308" t="str">
        <f>"1551686241639337"</f>
        <v>1551686241639337</v>
      </c>
      <c r="C4308" t="s">
        <v>40</v>
      </c>
      <c r="D4308">
        <v>4.8555630000000001</v>
      </c>
      <c r="E4308">
        <v>0.50597259999999999</v>
      </c>
      <c r="F4308" t="s">
        <v>78</v>
      </c>
      <c r="G4308">
        <v>-280.63099999999997</v>
      </c>
      <c r="H4308" s="1">
        <v>-3.958021E-6</v>
      </c>
      <c r="I4308">
        <v>139.80369999999999</v>
      </c>
      <c r="J4308">
        <v>-229.32320000000001</v>
      </c>
      <c r="K4308">
        <v>1.110158</v>
      </c>
      <c r="L4308">
        <v>141.5505</v>
      </c>
      <c r="M4308">
        <v>-0.99990489999999999</v>
      </c>
      <c r="N4308">
        <v>-7.517312E-3</v>
      </c>
      <c r="O4308">
        <v>-1.1564420000000001E-2</v>
      </c>
      <c r="P4308">
        <v>-0.98417710000000003</v>
      </c>
      <c r="Q4308">
        <v>0.1660085</v>
      </c>
      <c r="R4308">
        <v>-6.1942909999999997E-2</v>
      </c>
      <c r="S4308">
        <v>-3.0532379999999999</v>
      </c>
      <c r="T4308">
        <v>-6.5615060000000003E-2</v>
      </c>
      <c r="U4308">
        <v>-0.1035156</v>
      </c>
      <c r="V4308">
        <v>-5.0918909999999998E-2</v>
      </c>
      <c r="W4308">
        <v>0.17330100000000001</v>
      </c>
      <c r="X4308">
        <v>0.98355170000000003</v>
      </c>
      <c r="Y4308">
        <v>-2.2317900000000002E-2</v>
      </c>
      <c r="Z4308">
        <v>-1.621386E-4</v>
      </c>
      <c r="AA4308">
        <v>0.9997509</v>
      </c>
      <c r="AB4308">
        <v>35</v>
      </c>
      <c r="AC4308">
        <v>-51.307799999999901</v>
      </c>
      <c r="AD4308">
        <v>-1.110161958021</v>
      </c>
      <c r="AE4308">
        <v>-1.7467999999999999</v>
      </c>
      <c r="AF4308">
        <v>-1.152782410593</v>
      </c>
      <c r="AG4308">
        <v>-1.110161958021</v>
      </c>
      <c r="AH4308">
        <v>51.3005804311926</v>
      </c>
      <c r="AI4308">
        <v>91.239393823394906</v>
      </c>
      <c r="AJ4308">
        <v>91.287284711949695</v>
      </c>
      <c r="AK4308">
        <v>51.325538666793101</v>
      </c>
      <c r="AL4308">
        <v>80.020197640547593</v>
      </c>
      <c r="AM4308">
        <v>92.9635822951482</v>
      </c>
      <c r="AN4308">
        <v>0.99999995928473795</v>
      </c>
    </row>
    <row r="4309" spans="1:40" x14ac:dyDescent="0.25">
      <c r="A4309" t="str">
        <f>"20190304155721665"</f>
        <v>20190304155721665</v>
      </c>
      <c r="B4309" t="str">
        <f>"1551686241658857"</f>
        <v>1551686241658857</v>
      </c>
      <c r="C4309" t="s">
        <v>40</v>
      </c>
      <c r="D4309">
        <v>4.7915830000000001</v>
      </c>
      <c r="E4309">
        <v>0.50536570000000003</v>
      </c>
      <c r="F4309" t="s">
        <v>41</v>
      </c>
      <c r="G4309">
        <v>-278.19200000000001</v>
      </c>
      <c r="H4309" s="1">
        <v>-7.8151809999999996E-7</v>
      </c>
      <c r="I4309">
        <v>139.7047</v>
      </c>
      <c r="J4309">
        <v>-229.65979999999999</v>
      </c>
      <c r="K4309">
        <v>1.110158</v>
      </c>
      <c r="L4309">
        <v>141.54580000000001</v>
      </c>
      <c r="M4309">
        <v>-0.99989399999999995</v>
      </c>
      <c r="N4309">
        <v>-7.5269100000000004E-3</v>
      </c>
      <c r="O4309">
        <v>-1.2478970000000001E-2</v>
      </c>
      <c r="P4309">
        <v>-0.9841318</v>
      </c>
      <c r="Q4309">
        <v>0.16579739999999901</v>
      </c>
      <c r="R4309">
        <v>-6.3215510000000003E-2</v>
      </c>
      <c r="S4309">
        <v>-3.052673</v>
      </c>
      <c r="T4309">
        <v>-6.9348099999999996E-2</v>
      </c>
      <c r="U4309">
        <v>-0.11529540000000001</v>
      </c>
      <c r="V4309">
        <v>-5.1293610000000003E-2</v>
      </c>
      <c r="W4309">
        <v>0.1730981</v>
      </c>
      <c r="X4309">
        <v>0.983568</v>
      </c>
      <c r="Y4309">
        <v>-2.5261169999999999E-2</v>
      </c>
      <c r="Z4309">
        <v>-1.9248090000000001E-4</v>
      </c>
      <c r="AA4309">
        <v>0.99968089999999998</v>
      </c>
      <c r="AB4309">
        <v>35</v>
      </c>
      <c r="AC4309">
        <v>-48.532200000000003</v>
      </c>
      <c r="AD4309">
        <v>-1.1101587815181</v>
      </c>
      <c r="AE4309">
        <v>-1.84110000000001</v>
      </c>
      <c r="AF4309">
        <v>-1.2346626174561</v>
      </c>
      <c r="AG4309">
        <v>-1.1101587815181</v>
      </c>
      <c r="AH4309">
        <v>48.526041665814297</v>
      </c>
      <c r="AI4309">
        <v>91.310136769742797</v>
      </c>
      <c r="AJ4309">
        <v>91.457479234051704</v>
      </c>
      <c r="AK4309">
        <v>48.554439179661699</v>
      </c>
      <c r="AL4309">
        <v>80.032001743326902</v>
      </c>
      <c r="AM4309">
        <v>92.985301893384403</v>
      </c>
      <c r="AN4309">
        <v>0.999999998637221</v>
      </c>
    </row>
    <row r="4310" spans="1:40" x14ac:dyDescent="0.25">
      <c r="A4310" t="str">
        <f>"20190304155721690"</f>
        <v>20190304155721690</v>
      </c>
      <c r="B4310" t="str">
        <f>"1551686241679353"</f>
        <v>1551686241679353</v>
      </c>
      <c r="C4310" t="s">
        <v>40</v>
      </c>
      <c r="D4310">
        <v>4.7717640000000001</v>
      </c>
      <c r="E4310">
        <v>0.50584129999999905</v>
      </c>
      <c r="F4310" t="s">
        <v>41</v>
      </c>
      <c r="G4310">
        <v>-276.86439999999999</v>
      </c>
      <c r="H4310" s="1">
        <v>-1.3327799999999901E-6</v>
      </c>
      <c r="I4310">
        <v>139.6361</v>
      </c>
      <c r="J4310">
        <v>-230.0419</v>
      </c>
      <c r="K4310">
        <v>1.1101650000000001</v>
      </c>
      <c r="L4310">
        <v>141.5401</v>
      </c>
      <c r="M4310">
        <v>-0.99988030000000006</v>
      </c>
      <c r="N4310">
        <v>-7.5382299999999999E-3</v>
      </c>
      <c r="O4310">
        <v>-1.351667E-2</v>
      </c>
      <c r="P4310">
        <v>-0.98415980000000003</v>
      </c>
      <c r="Q4310">
        <v>0.16536039999999999</v>
      </c>
      <c r="R4310">
        <v>-6.3920270000000001E-2</v>
      </c>
      <c r="S4310">
        <v>-3.052521</v>
      </c>
      <c r="T4310">
        <v>-7.178938E-2</v>
      </c>
      <c r="U4310">
        <v>-0.1234894</v>
      </c>
      <c r="V4310">
        <v>-5.0977139999999997E-2</v>
      </c>
      <c r="W4310">
        <v>0.17267299999999999</v>
      </c>
      <c r="X4310">
        <v>0.98365910000000001</v>
      </c>
      <c r="Y4310">
        <v>-2.6904049999999999E-2</v>
      </c>
      <c r="Z4310">
        <v>-2.0182659999999999E-4</v>
      </c>
      <c r="AA4310">
        <v>0.99963800000000003</v>
      </c>
      <c r="AB4310">
        <v>35</v>
      </c>
      <c r="AC4310">
        <v>-46.822499999999899</v>
      </c>
      <c r="AD4310">
        <v>-1.11016633278</v>
      </c>
      <c r="AE4310">
        <v>-1.9039999999999899</v>
      </c>
      <c r="AF4310">
        <v>-1.2702109375762201</v>
      </c>
      <c r="AG4310">
        <v>-1.11016633278</v>
      </c>
      <c r="AH4310">
        <v>46.8176827858465</v>
      </c>
      <c r="AI4310">
        <v>91.357874615247098</v>
      </c>
      <c r="AJ4310">
        <v>91.554111018381107</v>
      </c>
      <c r="AK4310">
        <v>46.8480664120573</v>
      </c>
      <c r="AL4310">
        <v>80.056729852024205</v>
      </c>
      <c r="AM4310">
        <v>92.966641978636801</v>
      </c>
      <c r="AN4310">
        <v>0.99999992937219195</v>
      </c>
    </row>
    <row r="4311" spans="1:40" x14ac:dyDescent="0.25">
      <c r="A4311" t="str">
        <f>"20190304155721712"</f>
        <v>20190304155721712</v>
      </c>
      <c r="B4311" t="str">
        <f>"1551686241709609"</f>
        <v>1551686241709609</v>
      </c>
      <c r="C4311" t="s">
        <v>40</v>
      </c>
      <c r="D4311">
        <v>4.7645299999999997</v>
      </c>
      <c r="E4311">
        <v>0.50604550000000004</v>
      </c>
      <c r="F4311" t="s">
        <v>41</v>
      </c>
      <c r="G4311">
        <v>-277.84359999999998</v>
      </c>
      <c r="H4311" s="1">
        <v>-9.0909980000000002E-7</v>
      </c>
      <c r="I4311">
        <v>139.6225</v>
      </c>
      <c r="J4311">
        <v>-230.39080000000001</v>
      </c>
      <c r="K4311">
        <v>1.1101639999999999</v>
      </c>
      <c r="L4311">
        <v>141.53450000000001</v>
      </c>
      <c r="M4311">
        <v>-0.99986710000000001</v>
      </c>
      <c r="N4311">
        <v>-7.5490459999999898E-3</v>
      </c>
      <c r="O4311">
        <v>-1.4463999999999999E-2</v>
      </c>
      <c r="P4311">
        <v>-0.98427330000000002</v>
      </c>
      <c r="Q4311">
        <v>0.16442660000000001</v>
      </c>
      <c r="R4311">
        <v>-6.4578090000000005E-2</v>
      </c>
      <c r="S4311">
        <v>-3.0522459999999998</v>
      </c>
      <c r="T4311">
        <v>-7.0886610000000003E-2</v>
      </c>
      <c r="U4311">
        <v>-0.1224365</v>
      </c>
      <c r="V4311">
        <v>-5.0699790000000002E-2</v>
      </c>
      <c r="W4311">
        <v>0.17175099999999999</v>
      </c>
      <c r="X4311">
        <v>0.98383489999999996</v>
      </c>
      <c r="Y4311">
        <v>-2.5617009999999999E-2</v>
      </c>
      <c r="Z4311">
        <v>-1.6750329999999999E-4</v>
      </c>
      <c r="AA4311">
        <v>0.9996718</v>
      </c>
      <c r="AB4311">
        <v>35</v>
      </c>
      <c r="AC4311">
        <v>-47.452799999999897</v>
      </c>
      <c r="AD4311">
        <v>-1.1101649090998</v>
      </c>
      <c r="AE4311">
        <v>-1.9119999999999999</v>
      </c>
      <c r="AF4311">
        <v>-1.2247539994486201</v>
      </c>
      <c r="AG4311">
        <v>-1.1101649090998</v>
      </c>
      <c r="AH4311">
        <v>47.449563076865303</v>
      </c>
      <c r="AI4311">
        <v>91.339843617360998</v>
      </c>
      <c r="AJ4311">
        <v>91.478573302311503</v>
      </c>
      <c r="AK4311">
        <v>47.478347956410403</v>
      </c>
      <c r="AL4311">
        <v>80.110358404035495</v>
      </c>
      <c r="AM4311">
        <v>92.9500037501669</v>
      </c>
      <c r="AN4311">
        <v>0.99999999258252603</v>
      </c>
    </row>
    <row r="4312" spans="1:40" x14ac:dyDescent="0.25">
      <c r="A4312" t="str">
        <f>"20190304155721734"</f>
        <v>20190304155721734</v>
      </c>
      <c r="B4312" t="str">
        <f>"1551686241729129"</f>
        <v>1551686241729129</v>
      </c>
      <c r="C4312" t="s">
        <v>40</v>
      </c>
      <c r="D4312">
        <v>4.7932940000000004</v>
      </c>
      <c r="E4312">
        <v>0.50582729999999998</v>
      </c>
      <c r="F4312" t="s">
        <v>41</v>
      </c>
      <c r="G4312">
        <v>-276.52370000000002</v>
      </c>
      <c r="H4312" s="1">
        <v>-1.4892300000000001E-6</v>
      </c>
      <c r="I4312">
        <v>139.6748</v>
      </c>
      <c r="J4312">
        <v>-230.7508</v>
      </c>
      <c r="K4312">
        <v>1.1101650000000001</v>
      </c>
      <c r="L4312">
        <v>141.5284</v>
      </c>
      <c r="M4312">
        <v>-0.99985230000000003</v>
      </c>
      <c r="N4312">
        <v>-7.5603600000000003E-3</v>
      </c>
      <c r="O4312">
        <v>-1.5440769999999999E-2</v>
      </c>
      <c r="P4312">
        <v>-0.98436500000000005</v>
      </c>
      <c r="Q4312">
        <v>0.16355549999999999</v>
      </c>
      <c r="R4312">
        <v>-6.5385650000000003E-2</v>
      </c>
      <c r="S4312">
        <v>-3.0521240000000001</v>
      </c>
      <c r="T4312">
        <v>-7.3447940000000003E-2</v>
      </c>
      <c r="U4312">
        <v>-0.1230316</v>
      </c>
      <c r="V4312">
        <v>-5.054372E-2</v>
      </c>
      <c r="W4312">
        <v>0.17089219999999999</v>
      </c>
      <c r="X4312">
        <v>0.98399250000000005</v>
      </c>
      <c r="Y4312">
        <v>-2.4836629999999998E-2</v>
      </c>
      <c r="Z4312">
        <v>-1.3798329999999999E-4</v>
      </c>
      <c r="AA4312">
        <v>0.99969149999999996</v>
      </c>
      <c r="AB4312">
        <v>35</v>
      </c>
      <c r="AC4312">
        <v>-45.7729</v>
      </c>
      <c r="AD4312">
        <v>-1.1101664892299901</v>
      </c>
      <c r="AE4312">
        <v>-1.8535999999999999</v>
      </c>
      <c r="AF4312">
        <v>-1.14591707982999</v>
      </c>
      <c r="AG4312">
        <v>-1.1101664892299901</v>
      </c>
      <c r="AH4312">
        <v>45.769185178201397</v>
      </c>
      <c r="AI4312">
        <v>91.3890452518975</v>
      </c>
      <c r="AJ4312">
        <v>91.434207283708503</v>
      </c>
      <c r="AK4312">
        <v>45.796985790160299</v>
      </c>
      <c r="AL4312">
        <v>80.160302766774606</v>
      </c>
      <c r="AM4312">
        <v>92.940468466213005</v>
      </c>
      <c r="AN4312">
        <v>1.0000000258542601</v>
      </c>
    </row>
    <row r="4313" spans="1:40" x14ac:dyDescent="0.25">
      <c r="A4313" t="str">
        <f>"20190304155721758"</f>
        <v>20190304155721758</v>
      </c>
      <c r="B4313" t="str">
        <f>"1551686241749625"</f>
        <v>1551686241749625</v>
      </c>
      <c r="C4313" t="s">
        <v>40</v>
      </c>
      <c r="D4313">
        <v>4.8064970000000002</v>
      </c>
      <c r="E4313">
        <v>0.50564770000000003</v>
      </c>
      <c r="F4313" t="s">
        <v>41</v>
      </c>
      <c r="G4313">
        <v>-274.99259999999998</v>
      </c>
      <c r="H4313" s="1">
        <v>-2.1451769999999998E-6</v>
      </c>
      <c r="I4313">
        <v>139.6713</v>
      </c>
      <c r="J4313">
        <v>-231.11580000000001</v>
      </c>
      <c r="K4313">
        <v>1.110171</v>
      </c>
      <c r="L4313">
        <v>141.52189999999999</v>
      </c>
      <c r="M4313">
        <v>-0.99983650000000002</v>
      </c>
      <c r="N4313">
        <v>-7.5720329999999997E-3</v>
      </c>
      <c r="O4313">
        <v>-1.642911E-2</v>
      </c>
      <c r="P4313">
        <v>-0.98442580000000002</v>
      </c>
      <c r="Q4313">
        <v>0.1630569</v>
      </c>
      <c r="R4313">
        <v>-6.5714060000000005E-2</v>
      </c>
      <c r="S4313">
        <v>-3.0518649999999998</v>
      </c>
      <c r="T4313">
        <v>-7.6581120000000003E-2</v>
      </c>
      <c r="U4313">
        <v>-0.1280975</v>
      </c>
      <c r="V4313">
        <v>-4.9898119999999997E-2</v>
      </c>
      <c r="W4313">
        <v>0.1704069</v>
      </c>
      <c r="X4313">
        <v>0.98410960000000003</v>
      </c>
      <c r="Y4313">
        <v>-2.55079E-2</v>
      </c>
      <c r="Z4313">
        <v>-1.2887E-4</v>
      </c>
      <c r="AA4313">
        <v>0.99967459999999997</v>
      </c>
      <c r="AB4313">
        <v>35</v>
      </c>
      <c r="AC4313">
        <v>-43.876799999999903</v>
      </c>
      <c r="AD4313">
        <v>-1.1101731451770001</v>
      </c>
      <c r="AE4313">
        <v>-1.85059999999998</v>
      </c>
      <c r="AF4313">
        <v>-1.1287515395526599</v>
      </c>
      <c r="AG4313">
        <v>-1.1101731451770001</v>
      </c>
      <c r="AH4313">
        <v>43.873244815141703</v>
      </c>
      <c r="AI4313">
        <v>91.449029760278904</v>
      </c>
      <c r="AJ4313">
        <v>91.4737555008832</v>
      </c>
      <c r="AK4313">
        <v>43.901801501301399</v>
      </c>
      <c r="AL4313">
        <v>80.188522274669097</v>
      </c>
      <c r="AM4313">
        <v>92.902629390871496</v>
      </c>
      <c r="AN4313">
        <v>1.0000000193796501</v>
      </c>
    </row>
    <row r="4314" spans="1:40" x14ac:dyDescent="0.25">
      <c r="A4314" t="str">
        <f>"20190304155721780"</f>
        <v>20190304155721780</v>
      </c>
      <c r="B4314" t="str">
        <f>"1551686241769145"</f>
        <v>1551686241769145</v>
      </c>
      <c r="C4314" t="s">
        <v>40</v>
      </c>
      <c r="D4314">
        <v>4.7945209999999996</v>
      </c>
      <c r="E4314">
        <v>0.50549999999999995</v>
      </c>
      <c r="F4314" t="s">
        <v>41</v>
      </c>
      <c r="G4314">
        <v>-274.26209999999998</v>
      </c>
      <c r="H4314" s="1">
        <v>-2.4581970000000002E-6</v>
      </c>
      <c r="I4314">
        <v>139.66999999999999</v>
      </c>
      <c r="J4314">
        <v>-231.4804</v>
      </c>
      <c r="K4314">
        <v>1.110171</v>
      </c>
      <c r="L4314">
        <v>141.51499999999999</v>
      </c>
      <c r="M4314">
        <v>-0.99981980000000004</v>
      </c>
      <c r="N4314">
        <v>-7.5837780000000002E-3</v>
      </c>
      <c r="O4314">
        <v>-1.7405589999999999E-2</v>
      </c>
      <c r="P4314">
        <v>-0.98437660000000005</v>
      </c>
      <c r="Q4314">
        <v>0.16327259999999999</v>
      </c>
      <c r="R4314">
        <v>-6.5915539999999995E-2</v>
      </c>
      <c r="S4314">
        <v>-3.0517430000000001</v>
      </c>
      <c r="T4314">
        <v>-7.8522800000000004E-2</v>
      </c>
      <c r="U4314">
        <v>-0.1309814</v>
      </c>
      <c r="V4314">
        <v>-4.9138269999999998E-2</v>
      </c>
      <c r="W4314">
        <v>0.1706357</v>
      </c>
      <c r="X4314">
        <v>0.98410819999999999</v>
      </c>
      <c r="Y4314">
        <v>-2.547613E-2</v>
      </c>
      <c r="Z4314">
        <v>-1.086485E-4</v>
      </c>
      <c r="AA4314">
        <v>0.99967550000000005</v>
      </c>
      <c r="AB4314">
        <v>35</v>
      </c>
      <c r="AC4314">
        <v>-42.781699999999901</v>
      </c>
      <c r="AD4314">
        <v>-1.110173458197</v>
      </c>
      <c r="AE4314">
        <v>-1.84499999999999</v>
      </c>
      <c r="AF4314">
        <v>-1.0993194858417701</v>
      </c>
      <c r="AG4314">
        <v>-1.110173458197</v>
      </c>
      <c r="AH4314">
        <v>42.778579795493698</v>
      </c>
      <c r="AI4314">
        <v>91.486094247109605</v>
      </c>
      <c r="AJ4314">
        <v>91.472056988558506</v>
      </c>
      <c r="AK4314">
        <v>42.807100786652903</v>
      </c>
      <c r="AL4314">
        <v>80.175218258520999</v>
      </c>
      <c r="AM4314">
        <v>92.858506001845697</v>
      </c>
      <c r="AN4314">
        <v>1.00000003050016</v>
      </c>
    </row>
    <row r="4315" spans="1:40" x14ac:dyDescent="0.25">
      <c r="A4315" t="str">
        <f>"20190304155721800"</f>
        <v>20190304155721800</v>
      </c>
      <c r="B4315" t="str">
        <f>"1551686241788665"</f>
        <v>1551686241788665</v>
      </c>
      <c r="C4315" t="s">
        <v>40</v>
      </c>
      <c r="D4315">
        <v>4.8763860000000001</v>
      </c>
      <c r="E4315">
        <v>0.50582159999999998</v>
      </c>
      <c r="F4315" t="s">
        <v>41</v>
      </c>
      <c r="G4315">
        <v>-275.42750000000001</v>
      </c>
      <c r="H4315" s="1">
        <v>-1.947155E-6</v>
      </c>
      <c r="I4315">
        <v>139.59780000000001</v>
      </c>
      <c r="J4315">
        <v>-231.7901</v>
      </c>
      <c r="K4315">
        <v>1.1101669999999999</v>
      </c>
      <c r="L4315">
        <v>141.50890000000001</v>
      </c>
      <c r="M4315">
        <v>-0.99980539999999996</v>
      </c>
      <c r="N4315">
        <v>-7.5937169999999998E-3</v>
      </c>
      <c r="O4315">
        <v>-1.8214959999999999E-2</v>
      </c>
      <c r="P4315">
        <v>-0.98433729999999997</v>
      </c>
      <c r="Q4315">
        <v>0.16338339999999901</v>
      </c>
      <c r="R4315">
        <v>-6.6228549999999997E-2</v>
      </c>
      <c r="S4315">
        <v>-3.0514830000000002</v>
      </c>
      <c r="T4315">
        <v>-7.7085379999999995E-2</v>
      </c>
      <c r="U4315">
        <v>-0.13311770000000001</v>
      </c>
      <c r="V4315">
        <v>-4.8651069999999998E-2</v>
      </c>
      <c r="W4315">
        <v>0.170758299999999</v>
      </c>
      <c r="X4315">
        <v>0.98411110000000002</v>
      </c>
      <c r="Y4315">
        <v>-2.5369409999999998E-2</v>
      </c>
      <c r="Z4315" s="1">
        <v>-9.5100829999999998E-5</v>
      </c>
      <c r="AA4315">
        <v>0.99967810000000001</v>
      </c>
      <c r="AB4315">
        <v>35</v>
      </c>
      <c r="AC4315">
        <v>-43.6374</v>
      </c>
      <c r="AD4315">
        <v>-1.11016894715499</v>
      </c>
      <c r="AE4315">
        <v>-1.9111</v>
      </c>
      <c r="AF4315">
        <v>-1.1151862155897601</v>
      </c>
      <c r="AG4315">
        <v>-1.11016894715499</v>
      </c>
      <c r="AH4315">
        <v>43.636782396845703</v>
      </c>
      <c r="AI4315">
        <v>91.456879392775505</v>
      </c>
      <c r="AJ4315">
        <v>91.463938336244098</v>
      </c>
      <c r="AK4315">
        <v>43.665145062581999</v>
      </c>
      <c r="AL4315">
        <v>80.168088768231598</v>
      </c>
      <c r="AM4315">
        <v>92.830202244677196</v>
      </c>
      <c r="AN4315">
        <v>0.99999999038712195</v>
      </c>
    </row>
    <row r="4316" spans="1:40" x14ac:dyDescent="0.25">
      <c r="A4316" t="str">
        <f>"20190304155721824"</f>
        <v>20190304155721824</v>
      </c>
      <c r="B4316" t="str">
        <f>"1551686241818921"</f>
        <v>1551686241818921</v>
      </c>
      <c r="C4316" t="s">
        <v>40</v>
      </c>
      <c r="D4316">
        <v>4.8613689999999998</v>
      </c>
      <c r="E4316">
        <v>0.52016879999999999</v>
      </c>
      <c r="F4316" t="s">
        <v>41</v>
      </c>
      <c r="G4316">
        <v>-276.02769999999998</v>
      </c>
      <c r="H4316" s="1">
        <v>-1.689736E-6</v>
      </c>
      <c r="I4316">
        <v>139.59739999999999</v>
      </c>
      <c r="J4316">
        <v>-232.18090000000001</v>
      </c>
      <c r="K4316">
        <v>1.110144</v>
      </c>
      <c r="L4316">
        <v>141.5009</v>
      </c>
      <c r="M4316">
        <v>-0.99978690000000003</v>
      </c>
      <c r="N4316">
        <v>-7.6062990000000004E-3</v>
      </c>
      <c r="O4316">
        <v>-1.9193669999999999E-2</v>
      </c>
      <c r="P4316">
        <v>-0.98422980000000004</v>
      </c>
      <c r="Q4316">
        <v>0.1637132</v>
      </c>
      <c r="R4316">
        <v>-6.7006389999999999E-2</v>
      </c>
      <c r="S4316">
        <v>-3.0515750000000001</v>
      </c>
      <c r="T4316">
        <v>-7.6581120000000003E-2</v>
      </c>
      <c r="U4316">
        <v>-0.1318512</v>
      </c>
      <c r="V4316">
        <v>-4.845667E-2</v>
      </c>
      <c r="W4316">
        <v>0.17110310000000001</v>
      </c>
      <c r="X4316">
        <v>0.98406079999999996</v>
      </c>
      <c r="Y4316">
        <v>-2.397614E-2</v>
      </c>
      <c r="Z4316" s="1">
        <v>-5.6535849999999998E-5</v>
      </c>
      <c r="AA4316">
        <v>0.9997125</v>
      </c>
      <c r="AB4316">
        <v>36</v>
      </c>
      <c r="AC4316">
        <v>-43.846799999999902</v>
      </c>
      <c r="AD4316">
        <v>-1.110145689736</v>
      </c>
      <c r="AE4316">
        <v>-1.9035</v>
      </c>
      <c r="AF4316">
        <v>-1.0608652347065</v>
      </c>
      <c r="AG4316">
        <v>-1.110145689736</v>
      </c>
      <c r="AH4316">
        <v>43.847203607035397</v>
      </c>
      <c r="AI4316">
        <v>91.449909562695296</v>
      </c>
      <c r="AJ4316">
        <v>91.385977653664796</v>
      </c>
      <c r="AK4316">
        <v>43.8740825847728</v>
      </c>
      <c r="AL4316">
        <v>80.148038083691006</v>
      </c>
      <c r="AM4316">
        <v>92.819055451880203</v>
      </c>
      <c r="AN4316">
        <v>0.99999998889686903</v>
      </c>
    </row>
    <row r="4317" spans="1:40" x14ac:dyDescent="0.25">
      <c r="A4317" t="str">
        <f>"20190304155721846"</f>
        <v>20190304155721846</v>
      </c>
      <c r="B4317" t="str">
        <f>"1551686241839417"</f>
        <v>1551686241839417</v>
      </c>
      <c r="C4317" t="s">
        <v>40</v>
      </c>
      <c r="D4317">
        <v>4.8690170000000004</v>
      </c>
      <c r="E4317">
        <v>0.52145240000000004</v>
      </c>
      <c r="F4317" t="s">
        <v>78</v>
      </c>
      <c r="G4317">
        <v>-290.6472</v>
      </c>
      <c r="H4317" s="1">
        <v>-9.2705689999999992E-6</v>
      </c>
      <c r="I4317">
        <v>141.1112</v>
      </c>
      <c r="J4317">
        <v>-232.5147</v>
      </c>
      <c r="K4317">
        <v>1.110106</v>
      </c>
      <c r="L4317">
        <v>141.49369999999999</v>
      </c>
      <c r="M4317">
        <v>-0.99977159999999998</v>
      </c>
      <c r="N4317">
        <v>-7.6169580000000001E-3</v>
      </c>
      <c r="O4317">
        <v>-1.9974599999999999E-2</v>
      </c>
      <c r="P4317">
        <v>-0.98409630000000003</v>
      </c>
      <c r="Q4317">
        <v>0.1640547</v>
      </c>
      <c r="R4317">
        <v>-6.8122249999999995E-2</v>
      </c>
      <c r="S4317">
        <v>-3.0563349999999998</v>
      </c>
      <c r="T4317">
        <v>-5.8033349999999997E-2</v>
      </c>
      <c r="U4317">
        <v>-2.037048E-2</v>
      </c>
      <c r="V4317">
        <v>-4.8791929999999997E-2</v>
      </c>
      <c r="W4317">
        <v>0.17145779999999999</v>
      </c>
      <c r="X4317">
        <v>0.98398249999999998</v>
      </c>
      <c r="Y4317">
        <v>1.330656E-2</v>
      </c>
      <c r="Z4317">
        <v>4.0406820000000001E-4</v>
      </c>
      <c r="AA4317">
        <v>0.99991140000000001</v>
      </c>
      <c r="AB4317">
        <v>36</v>
      </c>
      <c r="AC4317">
        <v>-58.132499999999901</v>
      </c>
      <c r="AD4317">
        <v>-1.1101152705690001</v>
      </c>
      <c r="AE4317">
        <v>-0.38249999999999301</v>
      </c>
      <c r="AF4317">
        <v>0.77849940847033805</v>
      </c>
      <c r="AG4317">
        <v>-1.1101152705690001</v>
      </c>
      <c r="AH4317">
        <v>58.107352691663799</v>
      </c>
      <c r="AI4317">
        <v>91.094379191348395</v>
      </c>
      <c r="AJ4317">
        <v>89.232419652725397</v>
      </c>
      <c r="AK4317">
        <v>58.123169683667001</v>
      </c>
      <c r="AL4317">
        <v>80.127410501980194</v>
      </c>
      <c r="AM4317">
        <v>92.838753532078897</v>
      </c>
      <c r="AN4317">
        <v>0.99999999496010705</v>
      </c>
    </row>
    <row r="4318" spans="1:40" x14ac:dyDescent="0.25">
      <c r="A4318" t="str">
        <f>"20190304155721867"</f>
        <v>20190304155721867</v>
      </c>
      <c r="B4318" t="str">
        <f>"1551686241859913"</f>
        <v>1551686241859913</v>
      </c>
      <c r="C4318" t="s">
        <v>40</v>
      </c>
      <c r="D4318">
        <v>4.8562310000000002</v>
      </c>
      <c r="E4318">
        <v>0.52127979999999996</v>
      </c>
      <c r="F4318" t="s">
        <v>78</v>
      </c>
      <c r="G4318">
        <v>-292.04919999999998</v>
      </c>
      <c r="H4318" s="1">
        <v>-9.1714649999999994E-6</v>
      </c>
      <c r="I4318">
        <v>141.23310000000001</v>
      </c>
      <c r="J4318">
        <v>-232.8674</v>
      </c>
      <c r="K4318">
        <v>1.110052</v>
      </c>
      <c r="L4318">
        <v>141.48599999999999</v>
      </c>
      <c r="M4318">
        <v>-0.99975619999999998</v>
      </c>
      <c r="N4318">
        <v>-7.6281750000000001E-3</v>
      </c>
      <c r="O4318">
        <v>-2.0728159999999999E-2</v>
      </c>
      <c r="P4318">
        <v>-0.98402610000000001</v>
      </c>
      <c r="Q4318">
        <v>0.16413129999999901</v>
      </c>
      <c r="R4318">
        <v>-6.8948430000000005E-2</v>
      </c>
      <c r="S4318">
        <v>-3.0570369999999998</v>
      </c>
      <c r="T4318">
        <v>-5.700326E-2</v>
      </c>
      <c r="U4318">
        <v>-1.338196E-2</v>
      </c>
      <c r="V4318">
        <v>-4.8855389999999999E-2</v>
      </c>
      <c r="W4318">
        <v>0.17155179999999901</v>
      </c>
      <c r="X4318">
        <v>0.98396300000000003</v>
      </c>
      <c r="Y4318">
        <v>1.6346860000000001E-2</v>
      </c>
      <c r="Z4318">
        <v>4.4307649999999999E-4</v>
      </c>
      <c r="AA4318">
        <v>0.99986629999999999</v>
      </c>
      <c r="AB4318">
        <v>36</v>
      </c>
      <c r="AC4318">
        <v>-59.181799999999903</v>
      </c>
      <c r="AD4318">
        <v>-1.1100611714649999</v>
      </c>
      <c r="AE4318">
        <v>-0.25289999999998197</v>
      </c>
      <c r="AF4318">
        <v>0.97357714881202395</v>
      </c>
      <c r="AG4318">
        <v>-1.1100611714649999</v>
      </c>
      <c r="AH4318">
        <v>59.153515411253998</v>
      </c>
      <c r="AI4318">
        <v>91.074927599465198</v>
      </c>
      <c r="AJ4318">
        <v>89.057083499997702</v>
      </c>
      <c r="AK4318">
        <v>59.171939919006803</v>
      </c>
      <c r="AL4318">
        <v>80.121944021184206</v>
      </c>
      <c r="AM4318">
        <v>92.842495873183395</v>
      </c>
      <c r="AN4318">
        <v>1.0000000272921401</v>
      </c>
    </row>
    <row r="4319" spans="1:40" x14ac:dyDescent="0.25">
      <c r="A4319" t="str">
        <f>"20190304155721891"</f>
        <v>20190304155721891</v>
      </c>
      <c r="B4319" t="str">
        <f>"1551686241879433"</f>
        <v>1551686241879433</v>
      </c>
      <c r="C4319" t="s">
        <v>40</v>
      </c>
      <c r="D4319">
        <v>4.9064969999999999</v>
      </c>
      <c r="E4319">
        <v>0.52114300000000002</v>
      </c>
      <c r="F4319" t="s">
        <v>78</v>
      </c>
      <c r="G4319">
        <v>-290.60000000000002</v>
      </c>
      <c r="H4319" s="1">
        <v>-9.2889959999999994E-6</v>
      </c>
      <c r="I4319">
        <v>141.16159999999999</v>
      </c>
      <c r="J4319">
        <v>-233.22829999999999</v>
      </c>
      <c r="K4319">
        <v>1.10998</v>
      </c>
      <c r="L4319">
        <v>141.47790000000001</v>
      </c>
      <c r="M4319">
        <v>-0.99974180000000001</v>
      </c>
      <c r="N4319">
        <v>-7.6398519999999999E-3</v>
      </c>
      <c r="O4319">
        <v>-2.1402859999999999E-2</v>
      </c>
      <c r="P4319">
        <v>-0.98390900000000003</v>
      </c>
      <c r="Q4319">
        <v>0.1641976</v>
      </c>
      <c r="R4319">
        <v>-7.0444699999999999E-2</v>
      </c>
      <c r="S4319">
        <v>-3.0572970000000002</v>
      </c>
      <c r="T4319">
        <v>-5.8784599999999999E-2</v>
      </c>
      <c r="U4319">
        <v>-1.7181399999999999E-2</v>
      </c>
      <c r="V4319">
        <v>-4.9660240000000001E-2</v>
      </c>
      <c r="W4319">
        <v>0.17163589999999901</v>
      </c>
      <c r="X4319">
        <v>0.983908</v>
      </c>
      <c r="Y4319">
        <v>1.577922E-2</v>
      </c>
      <c r="Z4319">
        <v>4.5990499999999998E-4</v>
      </c>
      <c r="AA4319">
        <v>0.99987539999999997</v>
      </c>
      <c r="AB4319">
        <v>36</v>
      </c>
      <c r="AC4319">
        <v>-57.371699999999997</v>
      </c>
      <c r="AD4319">
        <v>-1.1099892889959999</v>
      </c>
      <c r="AE4319">
        <v>-0.31630000000001202</v>
      </c>
      <c r="AF4319">
        <v>0.91138554779902303</v>
      </c>
      <c r="AG4319">
        <v>-1.1099892889959999</v>
      </c>
      <c r="AH4319">
        <v>57.343862909269902</v>
      </c>
      <c r="AI4319">
        <v>91.108780073936799</v>
      </c>
      <c r="AJ4319">
        <v>89.089455320171993</v>
      </c>
      <c r="AK4319">
        <v>57.361845447959197</v>
      </c>
      <c r="AL4319">
        <v>80.117052498212203</v>
      </c>
      <c r="AM4319">
        <v>92.889406048152097</v>
      </c>
      <c r="AN4319">
        <v>0.99999998703483295</v>
      </c>
    </row>
    <row r="4320" spans="1:40" x14ac:dyDescent="0.25">
      <c r="A4320" t="str">
        <f>"20190304155721911"</f>
        <v>20190304155721911</v>
      </c>
      <c r="B4320" t="str">
        <f>"1551686241908713"</f>
        <v>1551686241908713</v>
      </c>
      <c r="C4320" t="s">
        <v>40</v>
      </c>
      <c r="D4320">
        <v>4.9119950000000001</v>
      </c>
      <c r="E4320">
        <v>0.52131499999999997</v>
      </c>
      <c r="F4320" t="s">
        <v>78</v>
      </c>
      <c r="G4320">
        <v>-290.70650000000001</v>
      </c>
      <c r="H4320" s="1">
        <v>-9.2483820000000002E-6</v>
      </c>
      <c r="I4320">
        <v>141.0514</v>
      </c>
      <c r="J4320">
        <v>-233.57329999999999</v>
      </c>
      <c r="K4320">
        <v>1.109896</v>
      </c>
      <c r="L4320">
        <v>141.4701</v>
      </c>
      <c r="M4320">
        <v>-0.99973020000000001</v>
      </c>
      <c r="N4320">
        <v>-7.6509719999999998E-3</v>
      </c>
      <c r="O4320">
        <v>-2.1936069999999998E-2</v>
      </c>
      <c r="P4320">
        <v>-0.9838633</v>
      </c>
      <c r="Q4320">
        <v>0.16404549999999901</v>
      </c>
      <c r="R4320">
        <v>-7.1431079999999994E-2</v>
      </c>
      <c r="S4320">
        <v>-3.0572970000000002</v>
      </c>
      <c r="T4320">
        <v>-5.90409E-2</v>
      </c>
      <c r="U4320">
        <v>-2.2689819999999999E-2</v>
      </c>
      <c r="V4320">
        <v>-5.008928E-2</v>
      </c>
      <c r="W4320">
        <v>0.1715034</v>
      </c>
      <c r="X4320">
        <v>0.98390940000000005</v>
      </c>
      <c r="Y4320">
        <v>1.45113E-2</v>
      </c>
      <c r="Z4320">
        <v>4.5132590000000002E-4</v>
      </c>
      <c r="AA4320">
        <v>0.99989459999999997</v>
      </c>
      <c r="AB4320">
        <v>36</v>
      </c>
      <c r="AC4320">
        <v>-57.133200000000002</v>
      </c>
      <c r="AD4320">
        <v>-1.109905248382</v>
      </c>
      <c r="AE4320">
        <v>-0.41870000000000102</v>
      </c>
      <c r="AF4320">
        <v>0.834400306573573</v>
      </c>
      <c r="AG4320">
        <v>-1.109905248382</v>
      </c>
      <c r="AH4320">
        <v>57.1070857484752</v>
      </c>
      <c r="AI4320">
        <v>91.113313624099405</v>
      </c>
      <c r="AJ4320">
        <v>89.162902226256193</v>
      </c>
      <c r="AK4320">
        <v>57.123964815265602</v>
      </c>
      <c r="AL4320">
        <v>80.124758879562805</v>
      </c>
      <c r="AM4320">
        <v>92.9143221025261</v>
      </c>
      <c r="AN4320">
        <v>1.0000000297954099</v>
      </c>
    </row>
    <row r="4321" spans="1:40" x14ac:dyDescent="0.25">
      <c r="A4321" t="str">
        <f>"20190304155721935"</f>
        <v>20190304155721935</v>
      </c>
      <c r="B4321" t="str">
        <f>"1551686241929209"</f>
        <v>1551686241929209</v>
      </c>
      <c r="C4321" t="s">
        <v>40</v>
      </c>
      <c r="D4321">
        <v>4.9033360000000004</v>
      </c>
      <c r="E4321">
        <v>0.52128050000000004</v>
      </c>
      <c r="F4321" t="s">
        <v>78</v>
      </c>
      <c r="G4321">
        <v>-286.0215</v>
      </c>
      <c r="H4321" s="1">
        <v>-6.9458189999999999E-6</v>
      </c>
      <c r="I4321">
        <v>141.06110000000001</v>
      </c>
      <c r="J4321">
        <v>-233.9425</v>
      </c>
      <c r="K4321">
        <v>1.10981</v>
      </c>
      <c r="L4321">
        <v>141.4615</v>
      </c>
      <c r="M4321">
        <v>-0.99971969999999999</v>
      </c>
      <c r="N4321">
        <v>-7.6631009999999899E-3</v>
      </c>
      <c r="O4321">
        <v>-2.2401520000000001E-2</v>
      </c>
      <c r="P4321">
        <v>-0.98370029999999997</v>
      </c>
      <c r="Q4321">
        <v>0.16453589999999901</v>
      </c>
      <c r="R4321">
        <v>-7.2536500000000004E-2</v>
      </c>
      <c r="S4321">
        <v>-3.0582889999999998</v>
      </c>
      <c r="T4321">
        <v>-6.4719200000000005E-2</v>
      </c>
      <c r="U4321">
        <v>-2.3849490000000001E-2</v>
      </c>
      <c r="V4321">
        <v>-5.0703989999999997E-2</v>
      </c>
      <c r="W4321">
        <v>0.17201449999999999</v>
      </c>
      <c r="X4321">
        <v>0.98378869999999896</v>
      </c>
      <c r="Y4321">
        <v>1.459889E-2</v>
      </c>
      <c r="Z4321">
        <v>5.1268829999999996E-4</v>
      </c>
      <c r="AA4321">
        <v>0.99989329999999998</v>
      </c>
      <c r="AB4321">
        <v>36</v>
      </c>
      <c r="AC4321">
        <v>-52.079000000000001</v>
      </c>
      <c r="AD4321">
        <v>-1.1098169458189999</v>
      </c>
      <c r="AE4321">
        <v>-0.40039999999998999</v>
      </c>
      <c r="AF4321">
        <v>0.76603562634604605</v>
      </c>
      <c r="AG4321">
        <v>-1.1098169458189999</v>
      </c>
      <c r="AH4321">
        <v>52.051263579231303</v>
      </c>
      <c r="AI4321">
        <v>91.221321201854593</v>
      </c>
      <c r="AJ4321">
        <v>89.156841986023693</v>
      </c>
      <c r="AK4321">
        <v>52.068729045643799</v>
      </c>
      <c r="AL4321">
        <v>80.095033402310307</v>
      </c>
      <c r="AM4321">
        <v>92.950386001168795</v>
      </c>
      <c r="AN4321">
        <v>1.00000004452992</v>
      </c>
    </row>
    <row r="4322" spans="1:40" x14ac:dyDescent="0.25">
      <c r="A4322" t="str">
        <f>"20190304155721958"</f>
        <v>20190304155721958</v>
      </c>
      <c r="B4322" t="str">
        <f>"1551686241949705"</f>
        <v>1551686241949705</v>
      </c>
      <c r="C4322" t="s">
        <v>40</v>
      </c>
      <c r="D4322">
        <v>4.8974019999999996</v>
      </c>
      <c r="E4322">
        <v>0.52131039999999995</v>
      </c>
      <c r="F4322" t="s">
        <v>78</v>
      </c>
      <c r="G4322">
        <v>-287.87259999999998</v>
      </c>
      <c r="H4322" s="1">
        <v>-8.0691369999999999E-6</v>
      </c>
      <c r="I4322">
        <v>140.97130000000001</v>
      </c>
      <c r="J4322">
        <v>-234.31819999999999</v>
      </c>
      <c r="K4322">
        <v>1.109718</v>
      </c>
      <c r="L4322">
        <v>141.4528</v>
      </c>
      <c r="M4322">
        <v>-0.99971160000000003</v>
      </c>
      <c r="N4322">
        <v>-7.6755699999999996E-3</v>
      </c>
      <c r="O4322">
        <v>-2.2755600000000001E-2</v>
      </c>
      <c r="P4322">
        <v>-0.98361889999999996</v>
      </c>
      <c r="Q4322">
        <v>0.1647277</v>
      </c>
      <c r="R4322">
        <v>-7.3203270000000001E-2</v>
      </c>
      <c r="S4322">
        <v>-3.058182</v>
      </c>
      <c r="T4322">
        <v>-6.2933799999999998E-2</v>
      </c>
      <c r="U4322">
        <v>-2.7801510000000001E-2</v>
      </c>
      <c r="V4322">
        <v>-5.0985849999999999E-2</v>
      </c>
      <c r="W4322">
        <v>0.1722292</v>
      </c>
      <c r="X4322">
        <v>0.98373650000000001</v>
      </c>
      <c r="Y4322">
        <v>1.3661329999999999E-2</v>
      </c>
      <c r="Z4322">
        <v>4.8650469999999998E-4</v>
      </c>
      <c r="AA4322">
        <v>0.99990650000000003</v>
      </c>
      <c r="AB4322">
        <v>36</v>
      </c>
      <c r="AC4322">
        <v>-53.554400000000001</v>
      </c>
      <c r="AD4322">
        <v>-1.1097260691369999</v>
      </c>
      <c r="AE4322">
        <v>-0.481499999999982</v>
      </c>
      <c r="AF4322">
        <v>0.73700665360137096</v>
      </c>
      <c r="AG4322">
        <v>-1.1097260691369999</v>
      </c>
      <c r="AH4322">
        <v>53.528506650211597</v>
      </c>
      <c r="AI4322">
        <v>91.187544619976805</v>
      </c>
      <c r="AJ4322">
        <v>89.211173535288097</v>
      </c>
      <c r="AK4322">
        <v>53.545080959484302</v>
      </c>
      <c r="AL4322">
        <v>80.082544959113093</v>
      </c>
      <c r="AM4322">
        <v>92.966914919150398</v>
      </c>
      <c r="AN4322">
        <v>0.99999997783255601</v>
      </c>
    </row>
    <row r="4323" spans="1:40" x14ac:dyDescent="0.25">
      <c r="A4323" t="str">
        <f>"20190304155721979"</f>
        <v>20190304155721979</v>
      </c>
      <c r="B4323" t="str">
        <f>"1551686241969225"</f>
        <v>1551686241969225</v>
      </c>
      <c r="C4323" t="s">
        <v>40</v>
      </c>
      <c r="D4323">
        <v>4.8926410000000002</v>
      </c>
      <c r="E4323">
        <v>0.52119150000000003</v>
      </c>
      <c r="F4323" t="s">
        <v>78</v>
      </c>
      <c r="G4323">
        <v>-289.35399999999998</v>
      </c>
      <c r="H4323" s="1">
        <v>-8.9704029999999996E-6</v>
      </c>
      <c r="I4323">
        <v>140.92140000000001</v>
      </c>
      <c r="J4323">
        <v>-234.67150000000001</v>
      </c>
      <c r="K4323">
        <v>1.109634</v>
      </c>
      <c r="L4323">
        <v>141.44450000000001</v>
      </c>
      <c r="M4323">
        <v>-0.9997066</v>
      </c>
      <c r="N4323">
        <v>-7.687386E-3</v>
      </c>
      <c r="O4323">
        <v>-2.2981000000000001E-2</v>
      </c>
      <c r="P4323">
        <v>-0.98363290000000003</v>
      </c>
      <c r="Q4323">
        <v>0.16452120000000001</v>
      </c>
      <c r="R4323">
        <v>-7.3479139999999998E-2</v>
      </c>
      <c r="S4323">
        <v>-3.0581049999999999</v>
      </c>
      <c r="T4323">
        <v>-6.1662790000000002E-2</v>
      </c>
      <c r="U4323">
        <v>-2.9525760000000002E-2</v>
      </c>
      <c r="V4323">
        <v>-5.1003470000000002E-2</v>
      </c>
      <c r="W4323">
        <v>0.172045</v>
      </c>
      <c r="X4323">
        <v>0.98376779999999997</v>
      </c>
      <c r="Y4323">
        <v>1.3323160000000001E-2</v>
      </c>
      <c r="Z4323">
        <v>4.721382E-4</v>
      </c>
      <c r="AA4323">
        <v>0.99991110000000005</v>
      </c>
      <c r="AB4323">
        <v>36</v>
      </c>
      <c r="AC4323">
        <v>-54.682499999999997</v>
      </c>
      <c r="AD4323">
        <v>-1.109642970403</v>
      </c>
      <c r="AE4323">
        <v>-0.52309999999999901</v>
      </c>
      <c r="AF4323">
        <v>0.73343151621539104</v>
      </c>
      <c r="AG4323">
        <v>-1.109642970403</v>
      </c>
      <c r="AH4323">
        <v>54.6575742523682</v>
      </c>
      <c r="AI4323">
        <v>91.162938649397404</v>
      </c>
      <c r="AJ4323">
        <v>89.231213439507698</v>
      </c>
      <c r="AK4323">
        <v>54.673756524166897</v>
      </c>
      <c r="AL4323">
        <v>80.093258589973999</v>
      </c>
      <c r="AM4323">
        <v>92.967844150349706</v>
      </c>
      <c r="AN4323">
        <v>0.99999996014693904</v>
      </c>
    </row>
    <row r="4324" spans="1:40" x14ac:dyDescent="0.25">
      <c r="A4324" t="str">
        <f>"20190304155722001"</f>
        <v>20190304155722001</v>
      </c>
      <c r="B4324" t="str">
        <f>"1551686241999481"</f>
        <v>1551686241999481</v>
      </c>
      <c r="C4324" t="s">
        <v>40</v>
      </c>
      <c r="D4324">
        <v>4.9116999999999997</v>
      </c>
      <c r="E4324">
        <v>0.52119729999999997</v>
      </c>
      <c r="F4324" t="s">
        <v>78</v>
      </c>
      <c r="G4324">
        <v>-288.69110000000001</v>
      </c>
      <c r="H4324" s="1">
        <v>-8.5534580000000005E-6</v>
      </c>
      <c r="I4324">
        <v>140.89330000000001</v>
      </c>
      <c r="J4324">
        <v>-235.02719999999999</v>
      </c>
      <c r="K4324">
        <v>1.1095469999999901</v>
      </c>
      <c r="L4324">
        <v>141.43620000000001</v>
      </c>
      <c r="M4324">
        <v>-0.99970320000000001</v>
      </c>
      <c r="N4324">
        <v>-7.6993399999999998E-3</v>
      </c>
      <c r="O4324">
        <v>-2.3113459999999999E-2</v>
      </c>
      <c r="P4324">
        <v>-0.98370190000000002</v>
      </c>
      <c r="Q4324">
        <v>0.16415629999999901</v>
      </c>
      <c r="R4324">
        <v>-7.3370779999999997E-2</v>
      </c>
      <c r="S4324">
        <v>-3.0581209999999999</v>
      </c>
      <c r="T4324">
        <v>-6.2818410000000005E-2</v>
      </c>
      <c r="U4324">
        <v>-3.1204220000000001E-2</v>
      </c>
      <c r="V4324">
        <v>-5.0727889999999998E-2</v>
      </c>
      <c r="W4324">
        <v>0.1717031</v>
      </c>
      <c r="X4324">
        <v>0.98384179999999999</v>
      </c>
      <c r="Y4324">
        <v>1.2906829999999999E-2</v>
      </c>
      <c r="Z4324">
        <v>4.7895719999999998E-4</v>
      </c>
      <c r="AA4324">
        <v>0.99991660000000004</v>
      </c>
      <c r="AB4324">
        <v>36</v>
      </c>
      <c r="AC4324">
        <v>-53.663899999999998</v>
      </c>
      <c r="AD4324">
        <v>-1.1095555534579999</v>
      </c>
      <c r="AE4324">
        <v>-0.54290000000000205</v>
      </c>
      <c r="AF4324">
        <v>0.69734213558019498</v>
      </c>
      <c r="AG4324">
        <v>-1.1095555534579999</v>
      </c>
      <c r="AH4324">
        <v>53.639183143917499</v>
      </c>
      <c r="AI4324">
        <v>91.184925125400497</v>
      </c>
      <c r="AJ4324">
        <v>89.255161839991203</v>
      </c>
      <c r="AK4324">
        <v>53.655189571252002</v>
      </c>
      <c r="AL4324">
        <v>80.11314413529</v>
      </c>
      <c r="AM4324">
        <v>92.9516152142876</v>
      </c>
      <c r="AN4324">
        <v>0.99999998040034999</v>
      </c>
    </row>
    <row r="4325" spans="1:40" x14ac:dyDescent="0.25">
      <c r="A4325" t="str">
        <f>"20190304155722024"</f>
        <v>20190304155722024</v>
      </c>
      <c r="B4325" t="str">
        <f>"1551686242019001"</f>
        <v>1551686242019001</v>
      </c>
      <c r="C4325" t="s">
        <v>40</v>
      </c>
      <c r="D4325">
        <v>4.9219499999999998</v>
      </c>
      <c r="E4325">
        <v>0.52119420000000005</v>
      </c>
      <c r="F4325" t="s">
        <v>78</v>
      </c>
      <c r="G4325">
        <v>-288.25450000000001</v>
      </c>
      <c r="H4325" s="1">
        <v>-8.2831289999999997E-6</v>
      </c>
      <c r="I4325">
        <v>140.89789999999999</v>
      </c>
      <c r="J4325">
        <v>-235.40209999999999</v>
      </c>
      <c r="K4325">
        <v>1.1094569999999999</v>
      </c>
      <c r="L4325">
        <v>141.42750000000001</v>
      </c>
      <c r="M4325">
        <v>-0.99970230000000004</v>
      </c>
      <c r="N4325">
        <v>-7.7119780000000004E-3</v>
      </c>
      <c r="O4325">
        <v>-2.3151250000000002E-2</v>
      </c>
      <c r="P4325">
        <v>-0.98371889999999995</v>
      </c>
      <c r="Q4325">
        <v>0.1643705</v>
      </c>
      <c r="R4325">
        <v>-7.266003E-2</v>
      </c>
      <c r="S4325">
        <v>-3.058014</v>
      </c>
      <c r="T4325">
        <v>-6.3746209999999998E-2</v>
      </c>
      <c r="U4325">
        <v>-3.092957E-2</v>
      </c>
      <c r="V4325">
        <v>-4.9942800000000002E-2</v>
      </c>
      <c r="W4325">
        <v>0.17194079999999901</v>
      </c>
      <c r="X4325">
        <v>0.98384050000000001</v>
      </c>
      <c r="Y4325">
        <v>1.303384E-2</v>
      </c>
      <c r="Z4325">
        <v>4.9004500000000004E-4</v>
      </c>
      <c r="AA4325">
        <v>0.99991490000000005</v>
      </c>
      <c r="AB4325">
        <v>36</v>
      </c>
      <c r="AC4325">
        <v>-52.852400000000003</v>
      </c>
      <c r="AD4325">
        <v>-1.1094652831289999</v>
      </c>
      <c r="AE4325">
        <v>-0.52960000000001595</v>
      </c>
      <c r="AF4325">
        <v>0.69387165401650097</v>
      </c>
      <c r="AG4325">
        <v>-1.1094652831289999</v>
      </c>
      <c r="AH4325">
        <v>52.8272183984893</v>
      </c>
      <c r="AI4325">
        <v>91.203032382694502</v>
      </c>
      <c r="AJ4325">
        <v>89.247478241467903</v>
      </c>
      <c r="AK4325">
        <v>52.843423193510098</v>
      </c>
      <c r="AL4325">
        <v>80.099319779010997</v>
      </c>
      <c r="AM4325">
        <v>92.906017300529001</v>
      </c>
      <c r="AN4325">
        <v>1.0000000257083601</v>
      </c>
    </row>
    <row r="4326" spans="1:40" x14ac:dyDescent="0.25">
      <c r="A4326" t="str">
        <f>"20190304155722047"</f>
        <v>20190304155722047</v>
      </c>
      <c r="B4326" t="str">
        <f>"1551686242039496"</f>
        <v>1551686242039496</v>
      </c>
      <c r="C4326" t="s">
        <v>40</v>
      </c>
      <c r="D4326">
        <v>4.9273210000000001</v>
      </c>
      <c r="E4326">
        <v>0.52131070000000002</v>
      </c>
      <c r="F4326" t="s">
        <v>78</v>
      </c>
      <c r="G4326">
        <v>-289.17660000000001</v>
      </c>
      <c r="H4326" s="1">
        <v>-8.8619640000000007E-6</v>
      </c>
      <c r="I4326">
        <v>140.9126</v>
      </c>
      <c r="J4326">
        <v>-235.75989999999999</v>
      </c>
      <c r="K4326">
        <v>1.1093660000000001</v>
      </c>
      <c r="L4326">
        <v>141.41929999999999</v>
      </c>
      <c r="M4326">
        <v>-0.99970369999999997</v>
      </c>
      <c r="N4326">
        <v>-7.7241200000000001E-3</v>
      </c>
      <c r="O4326">
        <v>-2.30875E-2</v>
      </c>
      <c r="P4326">
        <v>-0.98378770000000004</v>
      </c>
      <c r="Q4326">
        <v>0.16418759999999999</v>
      </c>
      <c r="R4326">
        <v>-7.2141469999999999E-2</v>
      </c>
      <c r="S4326">
        <v>-3.0580289999999999</v>
      </c>
      <c r="T4326">
        <v>-6.3092709999999996E-2</v>
      </c>
      <c r="U4326">
        <v>-2.9281620000000001E-2</v>
      </c>
      <c r="V4326">
        <v>-4.9448779999999998E-2</v>
      </c>
      <c r="W4326">
        <v>0.17178099999999999</v>
      </c>
      <c r="X4326">
        <v>0.98389329999999997</v>
      </c>
      <c r="Y4326">
        <v>1.3508920000000001E-2</v>
      </c>
      <c r="Z4326">
        <v>4.8941719999999998E-4</v>
      </c>
      <c r="AA4326">
        <v>0.99990860000000004</v>
      </c>
      <c r="AB4326">
        <v>36</v>
      </c>
      <c r="AC4326">
        <v>-53.416699999999999</v>
      </c>
      <c r="AD4326">
        <v>-1.109374861964</v>
      </c>
      <c r="AE4326">
        <v>-0.50669999999999504</v>
      </c>
      <c r="AF4326">
        <v>0.72641651766207405</v>
      </c>
      <c r="AG4326">
        <v>-1.109374861964</v>
      </c>
      <c r="AH4326">
        <v>53.391132869600199</v>
      </c>
      <c r="AI4326">
        <v>91.190225217505002</v>
      </c>
      <c r="AJ4326">
        <v>89.220506654759504</v>
      </c>
      <c r="AK4326">
        <v>53.407597424343997</v>
      </c>
      <c r="AL4326">
        <v>80.108613271378104</v>
      </c>
      <c r="AM4326">
        <v>92.877166197740394</v>
      </c>
      <c r="AN4326">
        <v>0.99999995979468803</v>
      </c>
    </row>
    <row r="4327" spans="1:40" x14ac:dyDescent="0.25">
      <c r="A4327" t="str">
        <f>"20190304155722069"</f>
        <v>20190304155722069</v>
      </c>
      <c r="B4327" t="str">
        <f>"1551686242059020"</f>
        <v>1551686242059020</v>
      </c>
      <c r="C4327" t="s">
        <v>40</v>
      </c>
      <c r="D4327">
        <v>4.9195710000000004</v>
      </c>
      <c r="E4327">
        <v>0.521374</v>
      </c>
      <c r="F4327" t="s">
        <v>78</v>
      </c>
      <c r="G4327">
        <v>-288.1585</v>
      </c>
      <c r="H4327" s="1">
        <v>-8.2418759999999907E-6</v>
      </c>
      <c r="I4327">
        <v>140.95500000000001</v>
      </c>
      <c r="J4327">
        <v>-236.12379999999999</v>
      </c>
      <c r="K4327">
        <v>1.1092770000000001</v>
      </c>
      <c r="L4327">
        <v>141.4109</v>
      </c>
      <c r="M4327">
        <v>-0.99970720000000002</v>
      </c>
      <c r="N4327">
        <v>-7.7366099999999997E-3</v>
      </c>
      <c r="O4327">
        <v>-2.2926450000000001E-2</v>
      </c>
      <c r="P4327">
        <v>-0.98383120000000002</v>
      </c>
      <c r="Q4327">
        <v>0.1641609</v>
      </c>
      <c r="R4327">
        <v>-7.1606699999999995E-2</v>
      </c>
      <c r="S4327">
        <v>-3.0582579999999999</v>
      </c>
      <c r="T4327">
        <v>-6.4748879999999995E-2</v>
      </c>
      <c r="U4327">
        <v>-2.709961E-2</v>
      </c>
      <c r="V4327">
        <v>-4.9033140000000003E-2</v>
      </c>
      <c r="W4327">
        <v>0.17177779999999901</v>
      </c>
      <c r="X4327">
        <v>0.98391470000000003</v>
      </c>
      <c r="Y4327">
        <v>1.406142E-2</v>
      </c>
      <c r="Z4327">
        <v>5.1114819999999997E-4</v>
      </c>
      <c r="AA4327">
        <v>0.99990100000000004</v>
      </c>
      <c r="AB4327">
        <v>36</v>
      </c>
      <c r="AC4327">
        <v>-52.034700000000001</v>
      </c>
      <c r="AD4327">
        <v>-1.109285241876</v>
      </c>
      <c r="AE4327">
        <v>-0.45589999999998498</v>
      </c>
      <c r="AF4327">
        <v>0.73689164701550303</v>
      </c>
      <c r="AG4327">
        <v>-1.109285241876</v>
      </c>
      <c r="AH4327">
        <v>52.007840645773797</v>
      </c>
      <c r="AI4327">
        <v>91.2217648419131</v>
      </c>
      <c r="AJ4327">
        <v>89.188238623580204</v>
      </c>
      <c r="AK4327">
        <v>52.024888387035404</v>
      </c>
      <c r="AL4327">
        <v>80.108799777388697</v>
      </c>
      <c r="AM4327">
        <v>92.852960452251097</v>
      </c>
      <c r="AN4327">
        <v>0.99999999913359405</v>
      </c>
    </row>
    <row r="4328" spans="1:40" x14ac:dyDescent="0.25">
      <c r="A4328" t="str">
        <f>"20190304155722090"</f>
        <v>20190304155722090</v>
      </c>
      <c r="B4328" t="str">
        <f>"1551686242078537"</f>
        <v>1551686242078537</v>
      </c>
      <c r="C4328" t="s">
        <v>40</v>
      </c>
      <c r="D4328">
        <v>4.9115190000000002</v>
      </c>
      <c r="E4328">
        <v>0.52132400000000001</v>
      </c>
      <c r="F4328" t="s">
        <v>78</v>
      </c>
      <c r="G4328">
        <v>-288.55180000000001</v>
      </c>
      <c r="H4328" s="1">
        <v>-8.4953949999999997E-6</v>
      </c>
      <c r="I4328">
        <v>140.98169999999999</v>
      </c>
      <c r="J4328">
        <v>-236.46979999999999</v>
      </c>
      <c r="K4328">
        <v>1.109183</v>
      </c>
      <c r="L4328">
        <v>141.4032</v>
      </c>
      <c r="M4328">
        <v>-0.99971259999999995</v>
      </c>
      <c r="N4328">
        <v>-7.7485790000000002E-3</v>
      </c>
      <c r="O4328">
        <v>-2.26844E-2</v>
      </c>
      <c r="P4328">
        <v>-0.98376719999999895</v>
      </c>
      <c r="Q4328">
        <v>0.16480239999999999</v>
      </c>
      <c r="R4328">
        <v>-7.1010160000000003E-2</v>
      </c>
      <c r="S4328">
        <v>-3.0582729999999998</v>
      </c>
      <c r="T4328">
        <v>-6.4707639999999997E-2</v>
      </c>
      <c r="U4328">
        <v>-2.503967E-2</v>
      </c>
      <c r="V4328">
        <v>-4.8639880000000003E-2</v>
      </c>
      <c r="W4328">
        <v>0.1724405</v>
      </c>
      <c r="X4328">
        <v>0.98381830000000003</v>
      </c>
      <c r="Y4328">
        <v>1.4492710000000001E-2</v>
      </c>
      <c r="Z4328">
        <v>5.1354310000000002E-4</v>
      </c>
      <c r="AA4328">
        <v>0.99989490000000003</v>
      </c>
      <c r="AB4328">
        <v>36</v>
      </c>
      <c r="AC4328">
        <v>-52.082000000000001</v>
      </c>
      <c r="AD4328">
        <v>-1.1091914953949999</v>
      </c>
      <c r="AE4328">
        <v>-0.42150000000000798</v>
      </c>
      <c r="AF4328">
        <v>0.75974834321078499</v>
      </c>
      <c r="AG4328">
        <v>-1.1091914953949999</v>
      </c>
      <c r="AH4328">
        <v>52.0545505225125</v>
      </c>
      <c r="AI4328">
        <v>91.220558243727695</v>
      </c>
      <c r="AJ4328">
        <v>89.1638140651105</v>
      </c>
      <c r="AK4328">
        <v>52.071909446641897</v>
      </c>
      <c r="AL4328">
        <v>80.070254755042299</v>
      </c>
      <c r="AM4328">
        <v>92.8303930921019</v>
      </c>
      <c r="AN4328">
        <v>1.0000000056907701</v>
      </c>
    </row>
    <row r="4329" spans="1:40" x14ac:dyDescent="0.25">
      <c r="A4329" t="str">
        <f>"20190304155722112"</f>
        <v>20190304155722112</v>
      </c>
      <c r="B4329" t="str">
        <f>"1551686242108794"</f>
        <v>1551686242108794</v>
      </c>
      <c r="C4329" t="s">
        <v>40</v>
      </c>
      <c r="D4329">
        <v>4.9259769999999996</v>
      </c>
      <c r="E4329">
        <v>0.52138600000000002</v>
      </c>
      <c r="F4329" t="s">
        <v>78</v>
      </c>
      <c r="G4329">
        <v>-289.94819999999999</v>
      </c>
      <c r="H4329" s="1">
        <v>-9.2979699999999993E-6</v>
      </c>
      <c r="I4329">
        <v>140.983</v>
      </c>
      <c r="J4329">
        <v>-236.83680000000001</v>
      </c>
      <c r="K4329">
        <v>1.109097</v>
      </c>
      <c r="L4329">
        <v>141.39510000000001</v>
      </c>
      <c r="M4329">
        <v>-0.99972050000000001</v>
      </c>
      <c r="N4329">
        <v>-7.7612740000000003E-3</v>
      </c>
      <c r="O4329">
        <v>-2.2339830000000001E-2</v>
      </c>
      <c r="P4329">
        <v>-0.98384590000000005</v>
      </c>
      <c r="Q4329">
        <v>0.1645547</v>
      </c>
      <c r="R4329">
        <v>-7.0490189999999994E-2</v>
      </c>
      <c r="S4329">
        <v>-3.058395</v>
      </c>
      <c r="T4329">
        <v>-6.3434000000000004E-2</v>
      </c>
      <c r="U4329">
        <v>-2.403259E-2</v>
      </c>
      <c r="V4329">
        <v>-4.8419909999999997E-2</v>
      </c>
      <c r="W4329">
        <v>0.17221649999999999</v>
      </c>
      <c r="X4329">
        <v>0.98386839999999998</v>
      </c>
      <c r="Y4329">
        <v>1.447794E-2</v>
      </c>
      <c r="Z4329">
        <v>4.9618290000000005E-4</v>
      </c>
      <c r="AA4329">
        <v>0.99989499999999998</v>
      </c>
      <c r="AB4329">
        <v>37</v>
      </c>
      <c r="AC4329">
        <v>-53.111399999999897</v>
      </c>
      <c r="AD4329">
        <v>-1.1091062979699999</v>
      </c>
      <c r="AE4329">
        <v>-0.41210000000000901</v>
      </c>
      <c r="AF4329">
        <v>0.77420041228441605</v>
      </c>
      <c r="AG4329">
        <v>-1.1091062979699999</v>
      </c>
      <c r="AH4329">
        <v>53.084203156914199</v>
      </c>
      <c r="AI4329">
        <v>91.196798810732304</v>
      </c>
      <c r="AJ4329">
        <v>89.164435579513494</v>
      </c>
      <c r="AK4329">
        <v>53.101432446433201</v>
      </c>
      <c r="AL4329">
        <v>80.083284070841898</v>
      </c>
      <c r="AM4329">
        <v>92.817470291672606</v>
      </c>
      <c r="AN4329">
        <v>1.0000000195376</v>
      </c>
    </row>
    <row r="4330" spans="1:40" x14ac:dyDescent="0.25">
      <c r="A4330" t="str">
        <f>"20190304155722136"</f>
        <v>20190304155722136</v>
      </c>
      <c r="B4330" t="str">
        <f>"1551686242129289"</f>
        <v>1551686242129289</v>
      </c>
      <c r="C4330" t="s">
        <v>40</v>
      </c>
      <c r="D4330">
        <v>4.916982</v>
      </c>
      <c r="E4330">
        <v>0.52134619999999998</v>
      </c>
      <c r="F4330" t="s">
        <v>78</v>
      </c>
      <c r="G4330">
        <v>-288.75029999999998</v>
      </c>
      <c r="H4330" s="1">
        <v>-8.6295419999999992E-6</v>
      </c>
      <c r="I4330">
        <v>141.01439999999999</v>
      </c>
      <c r="J4330">
        <v>-237.21799999999999</v>
      </c>
      <c r="K4330">
        <v>1.1090100000000001</v>
      </c>
      <c r="L4330">
        <v>141.387</v>
      </c>
      <c r="M4330">
        <v>-0.9997298</v>
      </c>
      <c r="N4330">
        <v>-7.7745469999999997E-3</v>
      </c>
      <c r="O4330">
        <v>-2.190928E-2</v>
      </c>
      <c r="P4330">
        <v>-0.98407670000000003</v>
      </c>
      <c r="Q4330">
        <v>0.163668799999999</v>
      </c>
      <c r="R4330">
        <v>-6.9324300000000005E-2</v>
      </c>
      <c r="S4330">
        <v>-3.0585939999999998</v>
      </c>
      <c r="T4330">
        <v>-6.534529E-2</v>
      </c>
      <c r="U4330">
        <v>-2.243042E-2</v>
      </c>
      <c r="V4330">
        <v>-4.7639000000000001E-2</v>
      </c>
      <c r="W4330">
        <v>0.17135449999999999</v>
      </c>
      <c r="X4330">
        <v>0.98405699999999996</v>
      </c>
      <c r="Y4330">
        <v>1.457118E-2</v>
      </c>
      <c r="Z4330">
        <v>5.0993260000000004E-4</v>
      </c>
      <c r="AA4330">
        <v>0.9998937</v>
      </c>
      <c r="AB4330">
        <v>37</v>
      </c>
      <c r="AC4330">
        <v>-51.5322999999999</v>
      </c>
      <c r="AD4330">
        <v>-1.1090186295419999</v>
      </c>
      <c r="AE4330">
        <v>-0.37260000000000498</v>
      </c>
      <c r="AF4330">
        <v>0.75620886343812499</v>
      </c>
      <c r="AG4330">
        <v>-1.1090186295419999</v>
      </c>
      <c r="AH4330">
        <v>51.504240459628299</v>
      </c>
      <c r="AI4330">
        <v>91.233401829190498</v>
      </c>
      <c r="AJ4330">
        <v>89.158817548224704</v>
      </c>
      <c r="AK4330">
        <v>51.521729003295498</v>
      </c>
      <c r="AL4330">
        <v>80.1334182063638</v>
      </c>
      <c r="AM4330">
        <v>92.771571495625807</v>
      </c>
      <c r="AN4330">
        <v>1.00000000912012</v>
      </c>
    </row>
    <row r="4331" spans="1:40" x14ac:dyDescent="0.25">
      <c r="A4331" t="str">
        <f>"20190304155722160"</f>
        <v>20190304155722160</v>
      </c>
      <c r="B4331" t="str">
        <f>"1551686242148708"</f>
        <v>1551686242148708</v>
      </c>
      <c r="C4331" t="s">
        <v>40</v>
      </c>
      <c r="D4331">
        <v>4.9580399999999996</v>
      </c>
      <c r="E4331">
        <v>0.52123889999999995</v>
      </c>
      <c r="F4331" t="s">
        <v>78</v>
      </c>
      <c r="G4331">
        <v>-286.66770000000002</v>
      </c>
      <c r="H4331" s="1">
        <v>-7.353146E-6</v>
      </c>
      <c r="I4331">
        <v>141.07660000000001</v>
      </c>
      <c r="J4331">
        <v>-237.62020000000001</v>
      </c>
      <c r="K4331">
        <v>1.10893</v>
      </c>
      <c r="L4331">
        <v>141.37860000000001</v>
      </c>
      <c r="M4331">
        <v>-0.99974099999999999</v>
      </c>
      <c r="N4331">
        <v>-7.7884629999999998E-3</v>
      </c>
      <c r="O4331">
        <v>-2.1386550000000001E-2</v>
      </c>
      <c r="P4331">
        <v>-0.98430530000000005</v>
      </c>
      <c r="Q4331">
        <v>0.16270499999999999</v>
      </c>
      <c r="R4331">
        <v>-6.8338759999999998E-2</v>
      </c>
      <c r="S4331">
        <v>-3.0585939999999998</v>
      </c>
      <c r="T4331">
        <v>-6.8595649999999994E-2</v>
      </c>
      <c r="U4331">
        <v>-1.919556E-2</v>
      </c>
      <c r="V4331">
        <v>-4.713345E-2</v>
      </c>
      <c r="W4331">
        <v>0.17041439999999999</v>
      </c>
      <c r="X4331">
        <v>0.98424460000000003</v>
      </c>
      <c r="Y4331">
        <v>1.510498E-2</v>
      </c>
      <c r="Z4331">
        <v>5.4116359999999998E-4</v>
      </c>
      <c r="AA4331">
        <v>0.99988569999999999</v>
      </c>
      <c r="AB4331">
        <v>37</v>
      </c>
      <c r="AC4331">
        <v>-49.047499999999999</v>
      </c>
      <c r="AD4331">
        <v>-1.1089373531460001</v>
      </c>
      <c r="AE4331">
        <v>-0.301999999999992</v>
      </c>
      <c r="AF4331">
        <v>0.74667596904581701</v>
      </c>
      <c r="AG4331">
        <v>-1.1089373531460001</v>
      </c>
      <c r="AH4331">
        <v>49.017683907661102</v>
      </c>
      <c r="AI4331">
        <v>91.295843095043494</v>
      </c>
      <c r="AJ4331">
        <v>89.127293054784204</v>
      </c>
      <c r="AK4331">
        <v>49.035911358180499</v>
      </c>
      <c r="AL4331">
        <v>80.188086295048905</v>
      </c>
      <c r="AM4331">
        <v>92.7416825516122</v>
      </c>
      <c r="AN4331">
        <v>1.00000003123271</v>
      </c>
    </row>
    <row r="4332" spans="1:40" x14ac:dyDescent="0.25">
      <c r="A4332" t="str">
        <f>"20190304155722181"</f>
        <v>20190304155722181</v>
      </c>
      <c r="B4332" t="str">
        <f>"1551686242169205"</f>
        <v>1551686242169205</v>
      </c>
      <c r="C4332" t="s">
        <v>40</v>
      </c>
      <c r="D4332">
        <v>4.9547140000000001</v>
      </c>
      <c r="E4332">
        <v>0.52108180000000004</v>
      </c>
      <c r="F4332" t="s">
        <v>78</v>
      </c>
      <c r="G4332">
        <v>-284.63720000000001</v>
      </c>
      <c r="H4332" s="1">
        <v>-6.1590669999999998E-6</v>
      </c>
      <c r="I4332">
        <v>141.11539999999999</v>
      </c>
      <c r="J4332">
        <v>-237.97139999999999</v>
      </c>
      <c r="K4332">
        <v>1.108868</v>
      </c>
      <c r="L4332">
        <v>141.3715</v>
      </c>
      <c r="M4332">
        <v>-0.99975170000000002</v>
      </c>
      <c r="N4332">
        <v>-7.8005369999999997E-3</v>
      </c>
      <c r="O4332">
        <v>-2.088019E-2</v>
      </c>
      <c r="P4332">
        <v>-0.98444430000000005</v>
      </c>
      <c r="Q4332">
        <v>0.162081</v>
      </c>
      <c r="R4332">
        <v>-6.7818539999999997E-2</v>
      </c>
      <c r="S4332">
        <v>-3.0585629999999999</v>
      </c>
      <c r="T4332">
        <v>-7.2138789999999994E-2</v>
      </c>
      <c r="U4332">
        <v>-1.7120360000000001E-2</v>
      </c>
      <c r="V4332">
        <v>-4.7085879999999997E-2</v>
      </c>
      <c r="W4332">
        <v>0.16981009999999999</v>
      </c>
      <c r="X4332">
        <v>0.98435130000000004</v>
      </c>
      <c r="Y4332">
        <v>1.5276029999999999E-2</v>
      </c>
      <c r="Z4332">
        <v>5.6921199999999895E-4</v>
      </c>
      <c r="AA4332">
        <v>0.99988319999999997</v>
      </c>
      <c r="AB4332">
        <v>37</v>
      </c>
      <c r="AC4332">
        <v>-46.665799999999997</v>
      </c>
      <c r="AD4332">
        <v>-1.1088741590669999</v>
      </c>
      <c r="AE4332">
        <v>-0.25610000000000299</v>
      </c>
      <c r="AF4332">
        <v>0.71797073291569702</v>
      </c>
      <c r="AG4332">
        <v>-1.1088741590669999</v>
      </c>
      <c r="AH4332">
        <v>46.634642405311297</v>
      </c>
      <c r="AI4332">
        <v>91.361955669591197</v>
      </c>
      <c r="AJ4332">
        <v>89.117963792711507</v>
      </c>
      <c r="AK4332">
        <v>46.653348820264</v>
      </c>
      <c r="AL4332">
        <v>80.223222100952597</v>
      </c>
      <c r="AM4332">
        <v>92.738623254593193</v>
      </c>
      <c r="AN4332">
        <v>1.0000000159845299</v>
      </c>
    </row>
    <row r="4333" spans="1:40" x14ac:dyDescent="0.25">
      <c r="A4333" t="str">
        <f>"20190304155722203"</f>
        <v>20190304155722203</v>
      </c>
      <c r="B4333" t="str">
        <f>"1551686242199461"</f>
        <v>1551686242199461</v>
      </c>
      <c r="C4333" t="s">
        <v>40</v>
      </c>
      <c r="D4333">
        <v>4.9656520000000004</v>
      </c>
      <c r="E4333">
        <v>0.52100279999999999</v>
      </c>
      <c r="F4333" t="s">
        <v>78</v>
      </c>
      <c r="G4333">
        <v>-283.2276</v>
      </c>
      <c r="H4333" s="1">
        <v>-5.5363010000000001E-6</v>
      </c>
      <c r="I4333">
        <v>141.12270000000001</v>
      </c>
      <c r="J4333">
        <v>-238.32830000000001</v>
      </c>
      <c r="K4333">
        <v>1.108808</v>
      </c>
      <c r="L4333">
        <v>141.36449999999999</v>
      </c>
      <c r="M4333">
        <v>-0.99976290000000001</v>
      </c>
      <c r="N4333">
        <v>-7.8128569999999994E-3</v>
      </c>
      <c r="O4333">
        <v>-2.0324760000000001E-2</v>
      </c>
      <c r="P4333">
        <v>-0.98460110000000001</v>
      </c>
      <c r="Q4333">
        <v>0.1614719</v>
      </c>
      <c r="R4333">
        <v>-6.6988909999999999E-2</v>
      </c>
      <c r="S4333">
        <v>-3.0585629999999999</v>
      </c>
      <c r="T4333">
        <v>-7.4941279999999999E-2</v>
      </c>
      <c r="U4333">
        <v>-1.6815190000000001E-2</v>
      </c>
      <c r="V4333">
        <v>-4.6779969999999997E-2</v>
      </c>
      <c r="W4333">
        <v>0.16921939999999999</v>
      </c>
      <c r="X4333">
        <v>0.9844676</v>
      </c>
      <c r="Y4333">
        <v>1.4819860000000001E-2</v>
      </c>
      <c r="Z4333">
        <v>5.785346E-4</v>
      </c>
      <c r="AA4333">
        <v>0.99988999999999995</v>
      </c>
      <c r="AB4333">
        <v>37</v>
      </c>
      <c r="AC4333">
        <v>-44.899299999999897</v>
      </c>
      <c r="AD4333">
        <v>-1.1088135363009901</v>
      </c>
      <c r="AE4333">
        <v>-0.241799999999983</v>
      </c>
      <c r="AF4333">
        <v>0.67043643681182596</v>
      </c>
      <c r="AG4333">
        <v>-1.1088135363009901</v>
      </c>
      <c r="AH4333">
        <v>44.867576660144302</v>
      </c>
      <c r="AI4333">
        <v>91.415505917134695</v>
      </c>
      <c r="AJ4333">
        <v>89.143918113316403</v>
      </c>
      <c r="AK4333">
        <v>44.8862828470794</v>
      </c>
      <c r="AL4333">
        <v>80.2575636943576</v>
      </c>
      <c r="AM4333">
        <v>92.720536703213398</v>
      </c>
      <c r="AN4333">
        <v>1.00000001318966</v>
      </c>
    </row>
    <row r="4334" spans="1:40" x14ac:dyDescent="0.25">
      <c r="A4334" t="str">
        <f>"20190304155722224"</f>
        <v>20190304155722224</v>
      </c>
      <c r="B4334" t="str">
        <f>"1551686242218980"</f>
        <v>1551686242218980</v>
      </c>
      <c r="C4334" t="s">
        <v>40</v>
      </c>
      <c r="D4334">
        <v>5.0052379999999896</v>
      </c>
      <c r="E4334">
        <v>0.50585550000000001</v>
      </c>
      <c r="F4334" t="s">
        <v>78</v>
      </c>
      <c r="G4334">
        <v>-281.78210000000001</v>
      </c>
      <c r="H4334" s="1">
        <v>-4.9036599999999999E-6</v>
      </c>
      <c r="I4334">
        <v>141.14859999999999</v>
      </c>
      <c r="J4334">
        <v>-238.69929999999999</v>
      </c>
      <c r="K4334">
        <v>1.1087480000000001</v>
      </c>
      <c r="L4334">
        <v>141.35749999999999</v>
      </c>
      <c r="M4334">
        <v>-0.99977510000000003</v>
      </c>
      <c r="N4334">
        <v>-7.8256850000000006E-3</v>
      </c>
      <c r="O4334">
        <v>-1.971622E-2</v>
      </c>
      <c r="P4334">
        <v>-0.98479220000000001</v>
      </c>
      <c r="Q4334">
        <v>0.160526799999999</v>
      </c>
      <c r="R4334">
        <v>-6.6450700000000001E-2</v>
      </c>
      <c r="S4334">
        <v>-3.0586850000000001</v>
      </c>
      <c r="T4334">
        <v>-7.8048709999999993E-2</v>
      </c>
      <c r="U4334">
        <v>-1.5197749999999999E-2</v>
      </c>
      <c r="V4334">
        <v>-4.6819409999999999E-2</v>
      </c>
      <c r="W4334">
        <v>0.168294</v>
      </c>
      <c r="X4334">
        <v>0.98462430000000001</v>
      </c>
      <c r="Y4334">
        <v>1.4739530000000001E-2</v>
      </c>
      <c r="Z4334">
        <v>5.9440839999999997E-4</v>
      </c>
      <c r="AA4334">
        <v>0.99989119999999998</v>
      </c>
      <c r="AB4334">
        <v>37</v>
      </c>
      <c r="AC4334">
        <v>-43.082799999999999</v>
      </c>
      <c r="AD4334">
        <v>-1.1087529036599999</v>
      </c>
      <c r="AE4334">
        <v>-0.208899999999999</v>
      </c>
      <c r="AF4334">
        <v>0.64017250648978796</v>
      </c>
      <c r="AG4334">
        <v>-1.1087529036599999</v>
      </c>
      <c r="AH4334">
        <v>43.050031923303202</v>
      </c>
      <c r="AI4334">
        <v>91.475162745253996</v>
      </c>
      <c r="AJ4334">
        <v>89.1480498879246</v>
      </c>
      <c r="AK4334">
        <v>43.069065492959801</v>
      </c>
      <c r="AL4334">
        <v>80.311356300088804</v>
      </c>
      <c r="AM4334">
        <v>92.722394248439102</v>
      </c>
      <c r="AN4334">
        <v>0.99999996986961803</v>
      </c>
    </row>
    <row r="4335" spans="1:40" x14ac:dyDescent="0.25">
      <c r="A4335" t="str">
        <f>"20190304155722246"</f>
        <v>20190304155722246</v>
      </c>
      <c r="B4335" t="str">
        <f>"1551686242239476"</f>
        <v>1551686242239476</v>
      </c>
      <c r="C4335" t="s">
        <v>40</v>
      </c>
      <c r="D4335">
        <v>4.9173830000000001</v>
      </c>
      <c r="E4335">
        <v>0.49279919999999999</v>
      </c>
      <c r="F4335" t="s">
        <v>41</v>
      </c>
      <c r="G4335">
        <v>-266.87389999999999</v>
      </c>
      <c r="H4335" s="1">
        <v>-1.4607079999999899E-6</v>
      </c>
      <c r="I4335">
        <v>140.13220000000001</v>
      </c>
      <c r="J4335">
        <v>-239.05420000000001</v>
      </c>
      <c r="K4335">
        <v>1.108703</v>
      </c>
      <c r="L4335">
        <v>141.351</v>
      </c>
      <c r="M4335">
        <v>-0.99978670000000003</v>
      </c>
      <c r="N4335">
        <v>-7.8378509999999998E-3</v>
      </c>
      <c r="O4335">
        <v>-1.911299E-2</v>
      </c>
      <c r="P4335">
        <v>-0.98498629999999998</v>
      </c>
      <c r="Q4335">
        <v>0.15961439999999999</v>
      </c>
      <c r="R4335">
        <v>-6.5768339999999995E-2</v>
      </c>
      <c r="S4335">
        <v>-3.057007</v>
      </c>
      <c r="T4335">
        <v>-0.12030200000000001</v>
      </c>
      <c r="U4335">
        <v>-0.13293460000000001</v>
      </c>
      <c r="V4335">
        <v>-4.6712539999999997E-2</v>
      </c>
      <c r="W4335">
        <v>0.16739889999999999</v>
      </c>
      <c r="X4335">
        <v>0.98478200000000005</v>
      </c>
      <c r="Y4335">
        <v>-2.432761E-2</v>
      </c>
      <c r="Z4335" s="1">
        <v>2.798214E-5</v>
      </c>
      <c r="AA4335">
        <v>0.99970409999999998</v>
      </c>
      <c r="AB4335">
        <v>37</v>
      </c>
      <c r="AC4335">
        <v>-27.819699999999902</v>
      </c>
      <c r="AD4335">
        <v>-1.1087044607080001</v>
      </c>
      <c r="AE4335">
        <v>-1.2187999999999799</v>
      </c>
      <c r="AF4335">
        <v>-0.68575633068117003</v>
      </c>
      <c r="AG4335">
        <v>-1.1087044607080001</v>
      </c>
      <c r="AH4335">
        <v>27.793853675388501</v>
      </c>
      <c r="AI4335">
        <v>92.283639020991899</v>
      </c>
      <c r="AJ4335">
        <v>91.413369086814797</v>
      </c>
      <c r="AK4335">
        <v>27.8244099569994</v>
      </c>
      <c r="AL4335">
        <v>80.363380296236997</v>
      </c>
      <c r="AM4335">
        <v>92.7157551161269</v>
      </c>
      <c r="AN4335">
        <v>1.0000000203192301</v>
      </c>
    </row>
    <row r="4336" spans="1:40" x14ac:dyDescent="0.25">
      <c r="A4336" t="str">
        <f>"20190304155722269"</f>
        <v>20190304155722269</v>
      </c>
      <c r="B4336" t="str">
        <f>"1551686242259000"</f>
        <v>1551686242259000</v>
      </c>
      <c r="C4336" t="s">
        <v>40</v>
      </c>
      <c r="D4336">
        <v>4.9351520000000004</v>
      </c>
      <c r="E4336">
        <v>0.48766120000000002</v>
      </c>
      <c r="F4336" t="s">
        <v>41</v>
      </c>
      <c r="G4336">
        <v>-263.56830000000002</v>
      </c>
      <c r="H4336" s="1">
        <v>-2.768375E-6</v>
      </c>
      <c r="I4336">
        <v>139.46469999999999</v>
      </c>
      <c r="J4336">
        <v>-239.43209999999999</v>
      </c>
      <c r="K4336">
        <v>1.108665</v>
      </c>
      <c r="L4336">
        <v>141.3443</v>
      </c>
      <c r="M4336">
        <v>-0.99979890000000005</v>
      </c>
      <c r="N4336">
        <v>-7.8508250000000005E-3</v>
      </c>
      <c r="O4336">
        <v>-1.8457000000000001E-2</v>
      </c>
      <c r="P4336">
        <v>-0.98510710000000001</v>
      </c>
      <c r="Q4336">
        <v>0.1591426</v>
      </c>
      <c r="R4336">
        <v>-6.5099799999999999E-2</v>
      </c>
      <c r="S4336">
        <v>-3.0524140000000002</v>
      </c>
      <c r="T4336">
        <v>-0.13805309999999901</v>
      </c>
      <c r="U4336">
        <v>-0.2348633</v>
      </c>
      <c r="V4336">
        <v>-4.6675340000000003E-2</v>
      </c>
      <c r="W4336">
        <v>0.16694429999999999</v>
      </c>
      <c r="X4336">
        <v>0.98486090000000004</v>
      </c>
      <c r="Y4336">
        <v>-5.824377E-2</v>
      </c>
      <c r="Z4336">
        <v>-8.5534269999999995E-4</v>
      </c>
      <c r="AA4336">
        <v>0.99830200000000002</v>
      </c>
      <c r="AB4336">
        <v>37</v>
      </c>
      <c r="AC4336">
        <v>-24.136199999999999</v>
      </c>
      <c r="AD4336">
        <v>-1.1086677683749999</v>
      </c>
      <c r="AE4336">
        <v>-1.8796000000000099</v>
      </c>
      <c r="AF4336">
        <v>-1.43078362246402</v>
      </c>
      <c r="AG4336">
        <v>-1.1086677683749999</v>
      </c>
      <c r="AH4336">
        <v>24.116204678381902</v>
      </c>
      <c r="AI4336">
        <v>92.627528901773701</v>
      </c>
      <c r="AJ4336">
        <v>93.395305444117298</v>
      </c>
      <c r="AK4336">
        <v>24.1840363480656</v>
      </c>
      <c r="AL4336">
        <v>80.389798423378494</v>
      </c>
      <c r="AM4336">
        <v>92.713378562285001</v>
      </c>
      <c r="AN4336">
        <v>0.99999998950770697</v>
      </c>
    </row>
    <row r="4337" spans="1:40" x14ac:dyDescent="0.25">
      <c r="A4337" t="str">
        <f>"20190304155722292"</f>
        <v>20190304155722292</v>
      </c>
      <c r="B4337" t="str">
        <f>"1551686242289254"</f>
        <v>1551686242289254</v>
      </c>
      <c r="C4337" t="s">
        <v>40</v>
      </c>
      <c r="D4337">
        <v>4.9012250000000002</v>
      </c>
      <c r="E4337">
        <v>0.48330919999999999</v>
      </c>
      <c r="F4337" t="s">
        <v>41</v>
      </c>
      <c r="G4337">
        <v>-263.44229999999999</v>
      </c>
      <c r="H4337" s="1">
        <v>-2.8723060000000002E-6</v>
      </c>
      <c r="I4337">
        <v>139.18340000000001</v>
      </c>
      <c r="J4337">
        <v>-239.8048</v>
      </c>
      <c r="K4337">
        <v>1.108638</v>
      </c>
      <c r="L4337">
        <v>141.33799999999999</v>
      </c>
      <c r="M4337">
        <v>-0.9998108</v>
      </c>
      <c r="N4337">
        <v>-7.8638189999999993E-3</v>
      </c>
      <c r="O4337">
        <v>-1.779975E-2</v>
      </c>
      <c r="P4337">
        <v>-0.9851626</v>
      </c>
      <c r="Q4337">
        <v>0.15896679999999999</v>
      </c>
      <c r="R4337">
        <v>-6.4689330000000003E-2</v>
      </c>
      <c r="S4337">
        <v>-3.0499879999999999</v>
      </c>
      <c r="T4337">
        <v>-0.14083309999999999</v>
      </c>
      <c r="U4337">
        <v>-0.27449040000000002</v>
      </c>
      <c r="V4337">
        <v>-4.6901569999999997E-2</v>
      </c>
      <c r="W4337">
        <v>0.1667845</v>
      </c>
      <c r="X4337">
        <v>0.98487720000000001</v>
      </c>
      <c r="Y4337">
        <v>-7.1816140000000001E-2</v>
      </c>
      <c r="Z4337">
        <v>-1.2570089999999999E-3</v>
      </c>
      <c r="AA4337">
        <v>0.99741709999999995</v>
      </c>
      <c r="AB4337">
        <v>37</v>
      </c>
      <c r="AC4337">
        <v>-23.6374999999999</v>
      </c>
      <c r="AD4337">
        <v>-1.1086408723059999</v>
      </c>
      <c r="AE4337">
        <v>-2.1545999999999799</v>
      </c>
      <c r="AF4337">
        <v>-1.72973042640545</v>
      </c>
      <c r="AG4337">
        <v>-1.1086408723059999</v>
      </c>
      <c r="AH4337">
        <v>23.620575603859699</v>
      </c>
      <c r="AI4337">
        <v>92.680061577366402</v>
      </c>
      <c r="AJ4337">
        <v>94.188283414078001</v>
      </c>
      <c r="AK4337">
        <v>23.709758408499901</v>
      </c>
      <c r="AL4337">
        <v>80.399084223007506</v>
      </c>
      <c r="AM4337">
        <v>92.726465142001601</v>
      </c>
      <c r="AN4337">
        <v>0.99999996289427595</v>
      </c>
    </row>
    <row r="4338" spans="1:40" x14ac:dyDescent="0.25">
      <c r="A4338" t="str">
        <f>"20190304155722314"</f>
        <v>20190304155722314</v>
      </c>
      <c r="B4338" t="str">
        <f>"1551686242308772"</f>
        <v>1551686242308772</v>
      </c>
      <c r="C4338" t="s">
        <v>40</v>
      </c>
      <c r="D4338">
        <v>4.9142960000000002</v>
      </c>
      <c r="E4338">
        <v>0.48188530000000002</v>
      </c>
      <c r="F4338" t="s">
        <v>41</v>
      </c>
      <c r="G4338">
        <v>-262.53250000000003</v>
      </c>
      <c r="H4338" s="1">
        <v>-3.2882920000000001E-6</v>
      </c>
      <c r="I4338">
        <v>139.03870000000001</v>
      </c>
      <c r="J4338">
        <v>-240.19479999999999</v>
      </c>
      <c r="K4338">
        <v>1.1086119999999999</v>
      </c>
      <c r="L4338">
        <v>141.33160000000001</v>
      </c>
      <c r="M4338">
        <v>-0.99982269999999895</v>
      </c>
      <c r="N4338">
        <v>-7.877406E-3</v>
      </c>
      <c r="O4338">
        <v>-1.7105599999999999E-2</v>
      </c>
      <c r="P4338">
        <v>-0.98524250000000002</v>
      </c>
      <c r="Q4338">
        <v>0.1587124</v>
      </c>
      <c r="R4338">
        <v>-6.4090880000000003E-2</v>
      </c>
      <c r="S4338">
        <v>-3.04895</v>
      </c>
      <c r="T4338">
        <v>-0.14872650000000001</v>
      </c>
      <c r="U4338">
        <v>-0.30844120000000003</v>
      </c>
      <c r="V4338">
        <v>-4.6978159999999998E-2</v>
      </c>
      <c r="W4338">
        <v>0.16654659999999999</v>
      </c>
      <c r="X4338">
        <v>0.98491379999999995</v>
      </c>
      <c r="Y4338">
        <v>-8.3515240000000004E-2</v>
      </c>
      <c r="Z4338">
        <v>-1.6633399999999999E-3</v>
      </c>
      <c r="AA4338">
        <v>0.99650510000000003</v>
      </c>
      <c r="AB4338">
        <v>37</v>
      </c>
      <c r="AC4338">
        <v>-22.337700000000002</v>
      </c>
      <c r="AD4338">
        <v>-1.108615288292</v>
      </c>
      <c r="AE4338">
        <v>-2.2928999999999999</v>
      </c>
      <c r="AF4338">
        <v>-1.9058076210650401</v>
      </c>
      <c r="AG4338">
        <v>-1.108615288292</v>
      </c>
      <c r="AH4338">
        <v>22.319252478539401</v>
      </c>
      <c r="AI4338">
        <v>92.833297186789906</v>
      </c>
      <c r="AJ4338">
        <v>94.880562266479302</v>
      </c>
      <c r="AK4338">
        <v>22.4278880358079</v>
      </c>
      <c r="AL4338">
        <v>80.4129081673575</v>
      </c>
      <c r="AM4338">
        <v>92.730809380937799</v>
      </c>
      <c r="AN4338">
        <v>0.99999995545949105</v>
      </c>
    </row>
    <row r="4339" spans="1:40" x14ac:dyDescent="0.25">
      <c r="A4339" t="str">
        <f>"20190304155722336"</f>
        <v>20190304155722336</v>
      </c>
      <c r="B4339" t="str">
        <f>"1551686242329268"</f>
        <v>1551686242329268</v>
      </c>
      <c r="C4339" t="s">
        <v>40</v>
      </c>
      <c r="D4339">
        <v>4.9279890000000002</v>
      </c>
      <c r="E4339">
        <v>0.48101500000000003</v>
      </c>
      <c r="F4339" t="s">
        <v>41</v>
      </c>
      <c r="G4339">
        <v>-262.38670000000002</v>
      </c>
      <c r="H4339" s="1">
        <v>-3.3554960000000002E-6</v>
      </c>
      <c r="I4339">
        <v>139.01240000000001</v>
      </c>
      <c r="J4339">
        <v>-240.54669999999999</v>
      </c>
      <c r="K4339">
        <v>1.1086</v>
      </c>
      <c r="L4339">
        <v>141.3261</v>
      </c>
      <c r="M4339">
        <v>-0.99983299999999997</v>
      </c>
      <c r="N4339">
        <v>-7.8897140000000008E-3</v>
      </c>
      <c r="O4339">
        <v>-1.6476569999999999E-2</v>
      </c>
      <c r="P4339">
        <v>-0.98524160000000005</v>
      </c>
      <c r="Q4339">
        <v>0.158937299999999</v>
      </c>
      <c r="R4339">
        <v>-6.3543189999999999E-2</v>
      </c>
      <c r="S4339">
        <v>-3.0487519999999999</v>
      </c>
      <c r="T4339">
        <v>-0.15230350000000001</v>
      </c>
      <c r="U4339">
        <v>-0.31860349999999998</v>
      </c>
      <c r="V4339">
        <v>-4.704386E-2</v>
      </c>
      <c r="W4339">
        <v>0.16678589999999999</v>
      </c>
      <c r="X4339">
        <v>0.98487020000000003</v>
      </c>
      <c r="Y4339">
        <v>-8.7424390000000005E-2</v>
      </c>
      <c r="Z4339">
        <v>-1.831928E-3</v>
      </c>
      <c r="AA4339">
        <v>0.99616939999999998</v>
      </c>
      <c r="AB4339">
        <v>37</v>
      </c>
      <c r="AC4339">
        <v>-21.84</v>
      </c>
      <c r="AD4339">
        <v>-1.108603355496</v>
      </c>
      <c r="AE4339">
        <v>-2.3136999999999799</v>
      </c>
      <c r="AF4339">
        <v>-1.94856142376329</v>
      </c>
      <c r="AG4339">
        <v>-1.108603355496</v>
      </c>
      <c r="AH4339">
        <v>21.819561772778702</v>
      </c>
      <c r="AI4339">
        <v>92.897060485108099</v>
      </c>
      <c r="AJ4339">
        <v>95.103171519710699</v>
      </c>
      <c r="AK4339">
        <v>21.934428850054498</v>
      </c>
      <c r="AL4339">
        <v>80.399003093596903</v>
      </c>
      <c r="AM4339">
        <v>92.734743562701695</v>
      </c>
      <c r="AN4339">
        <v>0.99999998602527396</v>
      </c>
    </row>
    <row r="4340" spans="1:40" x14ac:dyDescent="0.25">
      <c r="A4340" t="str">
        <f>"20190304155722349"</f>
        <v>20190304155722349</v>
      </c>
      <c r="B4340" t="str">
        <f>"1551686242339028"</f>
        <v>1551686242339028</v>
      </c>
      <c r="C4340" t="s">
        <v>40</v>
      </c>
      <c r="D4340">
        <v>4.9511940000000001</v>
      </c>
      <c r="E4340">
        <v>0.48063889999999998</v>
      </c>
      <c r="F4340" t="s">
        <v>41</v>
      </c>
      <c r="G4340">
        <v>-262.55</v>
      </c>
      <c r="H4340" s="1">
        <v>-3.289399E-6</v>
      </c>
      <c r="I4340">
        <v>138.99019999999999</v>
      </c>
      <c r="J4340">
        <v>-240.77629999999999</v>
      </c>
      <c r="K4340">
        <v>1.1085910000000001</v>
      </c>
      <c r="L4340">
        <v>141.32259999999999</v>
      </c>
      <c r="M4340">
        <v>-0.9998397</v>
      </c>
      <c r="N4340">
        <v>-7.8976979999999999E-3</v>
      </c>
      <c r="O4340">
        <v>-1.6065380000000001E-2</v>
      </c>
      <c r="P4340">
        <v>-0.98525870000000004</v>
      </c>
      <c r="Q4340">
        <v>0.15898570000000001</v>
      </c>
      <c r="R4340">
        <v>-6.3159220000000002E-2</v>
      </c>
      <c r="S4340">
        <v>-3.0488590000000002</v>
      </c>
      <c r="T4340">
        <v>-0.15361250000000001</v>
      </c>
      <c r="U4340">
        <v>-0.3236694</v>
      </c>
      <c r="V4340">
        <v>-4.7061239999999997E-2</v>
      </c>
      <c r="W4340">
        <v>0.16684280000000001</v>
      </c>
      <c r="X4340">
        <v>0.98485979999999995</v>
      </c>
      <c r="Y4340">
        <v>-8.9462310000000003E-2</v>
      </c>
      <c r="Z4340">
        <v>-1.920546E-3</v>
      </c>
      <c r="AA4340">
        <v>0.9959884</v>
      </c>
      <c r="AB4340">
        <v>38</v>
      </c>
      <c r="AC4340">
        <v>-21.773700000000002</v>
      </c>
      <c r="AD4340">
        <v>-1.108594289399</v>
      </c>
      <c r="AE4340">
        <v>-2.3323999999999998</v>
      </c>
      <c r="AF4340">
        <v>-1.9772179340303</v>
      </c>
      <c r="AG4340">
        <v>-1.108594289399</v>
      </c>
      <c r="AH4340">
        <v>21.752612832688001</v>
      </c>
      <c r="AI4340">
        <v>92.905525117829697</v>
      </c>
      <c r="AJ4340">
        <v>95.193665246090205</v>
      </c>
      <c r="AK4340">
        <v>21.870403222299402</v>
      </c>
      <c r="AL4340">
        <v>80.395697283408296</v>
      </c>
      <c r="AM4340">
        <v>92.735781203825596</v>
      </c>
      <c r="AN4340">
        <v>1.0000000529391</v>
      </c>
    </row>
    <row r="4341" spans="1:40" x14ac:dyDescent="0.25">
      <c r="A4341" t="str">
        <f>"20190304155722371"</f>
        <v>20190304155722371</v>
      </c>
      <c r="B4341" t="str">
        <f>"1551686242359524"</f>
        <v>1551686242359524</v>
      </c>
      <c r="C4341" t="s">
        <v>40</v>
      </c>
      <c r="D4341">
        <v>4.9308300000000003</v>
      </c>
      <c r="E4341">
        <v>0.47989530000000002</v>
      </c>
      <c r="F4341" t="s">
        <v>41</v>
      </c>
      <c r="G4341">
        <v>-262.68380000000002</v>
      </c>
      <c r="H4341" s="1">
        <v>-3.2333410000000001E-6</v>
      </c>
      <c r="I4341">
        <v>138.98240000000001</v>
      </c>
      <c r="J4341">
        <v>-241.13679999999999</v>
      </c>
      <c r="K4341">
        <v>1.1085780000000001</v>
      </c>
      <c r="L4341">
        <v>141.31739999999999</v>
      </c>
      <c r="M4341">
        <v>-0.99985000000000002</v>
      </c>
      <c r="N4341">
        <v>-7.9102689999999993E-3</v>
      </c>
      <c r="O4341">
        <v>-1.5420410000000001E-2</v>
      </c>
      <c r="P4341">
        <v>-0.98532299999999995</v>
      </c>
      <c r="Q4341">
        <v>0.15908239999999901</v>
      </c>
      <c r="R4341">
        <v>-6.1899929999999999E-2</v>
      </c>
      <c r="S4341">
        <v>-3.048889</v>
      </c>
      <c r="T4341">
        <v>-0.15428449999999999</v>
      </c>
      <c r="U4341">
        <v>-0.32568360000000002</v>
      </c>
      <c r="V4341">
        <v>-4.6432010000000003E-2</v>
      </c>
      <c r="W4341">
        <v>0.16695279999999901</v>
      </c>
      <c r="X4341">
        <v>0.98487100000000005</v>
      </c>
      <c r="Y4341">
        <v>-9.0750839999999999E-2</v>
      </c>
      <c r="Z4341">
        <v>-1.9925709999999998E-3</v>
      </c>
      <c r="AA4341">
        <v>0.99587170000000003</v>
      </c>
      <c r="AB4341">
        <v>38</v>
      </c>
      <c r="AC4341">
        <v>-21.547000000000001</v>
      </c>
      <c r="AD4341">
        <v>-1.1085812333409999</v>
      </c>
      <c r="AE4341">
        <v>-2.3349999999999702</v>
      </c>
      <c r="AF4341">
        <v>-1.99722306534537</v>
      </c>
      <c r="AG4341">
        <v>-1.1085812333409999</v>
      </c>
      <c r="AH4341">
        <v>21.524131615142501</v>
      </c>
      <c r="AI4341">
        <v>92.935773756654896</v>
      </c>
      <c r="AJ4341">
        <v>95.301292545120901</v>
      </c>
      <c r="AK4341">
        <v>21.645001596434199</v>
      </c>
      <c r="AL4341">
        <v>80.389304848621407</v>
      </c>
      <c r="AM4341">
        <v>92.699226389165005</v>
      </c>
      <c r="AN4341">
        <v>1.0000000278107299</v>
      </c>
    </row>
    <row r="4342" spans="1:40" x14ac:dyDescent="0.25">
      <c r="A4342" t="str">
        <f>"20190304155722392"</f>
        <v>20190304155722392</v>
      </c>
      <c r="B4342" t="str">
        <f>"1551686242388805"</f>
        <v>1551686242388805</v>
      </c>
      <c r="C4342" t="s">
        <v>40</v>
      </c>
      <c r="D4342">
        <v>4.9503719999999998</v>
      </c>
      <c r="E4342">
        <v>0.47897269999999997</v>
      </c>
      <c r="F4342" t="s">
        <v>41</v>
      </c>
      <c r="G4342">
        <v>-262.9579</v>
      </c>
      <c r="H4342" s="1">
        <v>-3.1184099999999999E-6</v>
      </c>
      <c r="I4342">
        <v>138.9674</v>
      </c>
      <c r="J4342">
        <v>-241.5059</v>
      </c>
      <c r="K4342">
        <v>1.1085659999999999</v>
      </c>
      <c r="L4342">
        <v>141.31229999999999</v>
      </c>
      <c r="M4342">
        <v>-0.99985970000000002</v>
      </c>
      <c r="N4342">
        <v>-7.9229509999999993E-3</v>
      </c>
      <c r="O4342">
        <v>-1.475924E-2</v>
      </c>
      <c r="P4342">
        <v>-0.98553029999999997</v>
      </c>
      <c r="Q4342">
        <v>0.158387</v>
      </c>
      <c r="R4342">
        <v>-6.0362970000000002E-2</v>
      </c>
      <c r="S4342">
        <v>-3.0490719999999998</v>
      </c>
      <c r="T4342">
        <v>-0.1549025</v>
      </c>
      <c r="U4342">
        <v>-0.32835389999999998</v>
      </c>
      <c r="V4342">
        <v>-4.5541270000000002E-2</v>
      </c>
      <c r="W4342">
        <v>0.16627059999999999</v>
      </c>
      <c r="X4342">
        <v>0.98502800000000001</v>
      </c>
      <c r="Y4342">
        <v>-9.2261460000000003E-2</v>
      </c>
      <c r="Z4342">
        <v>-2.071715E-3</v>
      </c>
      <c r="AA4342">
        <v>0.99573270000000003</v>
      </c>
      <c r="AB4342">
        <v>38</v>
      </c>
      <c r="AC4342">
        <v>-21.452000000000002</v>
      </c>
      <c r="AD4342">
        <v>-1.1085691184099999</v>
      </c>
      <c r="AE4342">
        <v>-2.3448999999999902</v>
      </c>
      <c r="AF4342">
        <v>-2.0226816584776901</v>
      </c>
      <c r="AG4342">
        <v>-1.1085691184099999</v>
      </c>
      <c r="AH4342">
        <v>21.427726502012</v>
      </c>
      <c r="AI4342">
        <v>92.948488131188995</v>
      </c>
      <c r="AJ4342">
        <v>95.392486897059399</v>
      </c>
      <c r="AK4342">
        <v>21.551511075255501</v>
      </c>
      <c r="AL4342">
        <v>80.428946231536699</v>
      </c>
      <c r="AM4342">
        <v>92.647098126311107</v>
      </c>
      <c r="AN4342">
        <v>1.00000004024078</v>
      </c>
    </row>
    <row r="4343" spans="1:40" x14ac:dyDescent="0.25">
      <c r="A4343" t="str">
        <f>"20190304155722415"</f>
        <v>20190304155722415</v>
      </c>
      <c r="B4343" t="str">
        <f>"1551686242409301"</f>
        <v>1551686242409301</v>
      </c>
      <c r="C4343" t="s">
        <v>40</v>
      </c>
      <c r="D4343">
        <v>4.8973100000000001</v>
      </c>
      <c r="E4343">
        <v>0.47879660000000002</v>
      </c>
      <c r="F4343" t="s">
        <v>41</v>
      </c>
      <c r="G4343">
        <v>-262.82490000000001</v>
      </c>
      <c r="H4343" s="1">
        <v>-3.1707200000000001E-6</v>
      </c>
      <c r="I4343">
        <v>138.99430000000001</v>
      </c>
      <c r="J4343">
        <v>-241.87710000000001</v>
      </c>
      <c r="K4343">
        <v>1.1085560000000001</v>
      </c>
      <c r="L4343">
        <v>141.3073</v>
      </c>
      <c r="M4343">
        <v>-0.99986929999999996</v>
      </c>
      <c r="N4343">
        <v>-7.9357590000000006E-3</v>
      </c>
      <c r="O4343">
        <v>-1.4095460000000001E-2</v>
      </c>
      <c r="P4343">
        <v>-0.98567800000000005</v>
      </c>
      <c r="Q4343">
        <v>0.1579827</v>
      </c>
      <c r="R4343">
        <v>-5.8997719999999997E-2</v>
      </c>
      <c r="S4343">
        <v>-3.04921</v>
      </c>
      <c r="T4343">
        <v>-0.15855649999999999</v>
      </c>
      <c r="U4343">
        <v>-0.33152769999999998</v>
      </c>
      <c r="V4343">
        <v>-4.4825610000000002E-2</v>
      </c>
      <c r="W4343">
        <v>0.16587979999999899</v>
      </c>
      <c r="X4343">
        <v>0.98512670000000002</v>
      </c>
      <c r="Y4343">
        <v>-9.3933530000000001E-2</v>
      </c>
      <c r="Z4343">
        <v>-2.1888739999999999E-3</v>
      </c>
      <c r="AA4343">
        <v>0.99557609999999996</v>
      </c>
      <c r="AB4343">
        <v>38</v>
      </c>
      <c r="AC4343">
        <v>-20.947800000000001</v>
      </c>
      <c r="AD4343">
        <v>-1.10855917071999</v>
      </c>
      <c r="AE4343">
        <v>-2.3129999999999802</v>
      </c>
      <c r="AF4343">
        <v>-2.0119254655099099</v>
      </c>
      <c r="AG4343">
        <v>-1.10855917071999</v>
      </c>
      <c r="AH4343">
        <v>20.920439904245999</v>
      </c>
      <c r="AI4343">
        <v>93.019321244224201</v>
      </c>
      <c r="AJ4343">
        <v>95.493259968154703</v>
      </c>
      <c r="AK4343">
        <v>21.046176690813098</v>
      </c>
      <c r="AL4343">
        <v>80.451652638341599</v>
      </c>
      <c r="AM4343">
        <v>92.605297295001193</v>
      </c>
      <c r="AN4343">
        <v>1.0000000292064</v>
      </c>
    </row>
    <row r="4344" spans="1:40" x14ac:dyDescent="0.25">
      <c r="A4344" t="str">
        <f>"20190304155722436"</f>
        <v>20190304155722436</v>
      </c>
      <c r="B4344" t="str">
        <f>"1551686242428821"</f>
        <v>1551686242428821</v>
      </c>
      <c r="C4344" t="s">
        <v>40</v>
      </c>
      <c r="D4344">
        <v>4.904655</v>
      </c>
      <c r="E4344">
        <v>0.47851890000000002</v>
      </c>
      <c r="F4344" t="s">
        <v>41</v>
      </c>
      <c r="G4344">
        <v>-263.49529999999999</v>
      </c>
      <c r="H4344" s="1">
        <v>-2.8866090000000001E-6</v>
      </c>
      <c r="I4344">
        <v>138.97460000000001</v>
      </c>
      <c r="J4344">
        <v>-242.25559999999999</v>
      </c>
      <c r="K4344">
        <v>1.1085419999999999</v>
      </c>
      <c r="L4344">
        <v>141.30260000000001</v>
      </c>
      <c r="M4344">
        <v>-0.99987839999999995</v>
      </c>
      <c r="N4344">
        <v>-7.9489150000000008E-3</v>
      </c>
      <c r="O4344">
        <v>-1.3418579999999999E-2</v>
      </c>
      <c r="P4344">
        <v>-0.9858169</v>
      </c>
      <c r="Q4344">
        <v>0.15755810000000001</v>
      </c>
      <c r="R4344">
        <v>-5.7798679999999998E-2</v>
      </c>
      <c r="S4344">
        <v>-3.04895</v>
      </c>
      <c r="T4344">
        <v>-0.15634700000000001</v>
      </c>
      <c r="U4344">
        <v>-0.32899479999999998</v>
      </c>
      <c r="V4344">
        <v>-4.4289910000000002E-2</v>
      </c>
      <c r="W4344">
        <v>0.16546839999999999</v>
      </c>
      <c r="X4344">
        <v>0.98522010000000004</v>
      </c>
      <c r="Y4344">
        <v>-9.3801860000000001E-2</v>
      </c>
      <c r="Z4344">
        <v>-2.1914920000000002E-3</v>
      </c>
      <c r="AA4344">
        <v>0.99558849999999999</v>
      </c>
      <c r="AB4344">
        <v>38</v>
      </c>
      <c r="AC4344">
        <v>-21.239699999999999</v>
      </c>
      <c r="AD4344">
        <v>-1.108544886609</v>
      </c>
      <c r="AE4344">
        <v>-2.3279999999999998</v>
      </c>
      <c r="AF4344">
        <v>-2.0372910430676199</v>
      </c>
      <c r="AG4344">
        <v>-1.108544886609</v>
      </c>
      <c r="AH4344">
        <v>21.2119312996508</v>
      </c>
      <c r="AI4344">
        <v>92.977902644104105</v>
      </c>
      <c r="AJ4344">
        <v>95.486121382459004</v>
      </c>
      <c r="AK4344">
        <v>21.338356450788201</v>
      </c>
      <c r="AL4344">
        <v>80.475554308661202</v>
      </c>
      <c r="AM4344">
        <v>92.573960443902905</v>
      </c>
      <c r="AN4344">
        <v>1.0000000164851801</v>
      </c>
    </row>
    <row r="4345" spans="1:40" x14ac:dyDescent="0.25">
      <c r="A4345" t="str">
        <f>"20190304155722459"</f>
        <v>20190304155722459</v>
      </c>
      <c r="B4345" t="str">
        <f>"1551686242449316"</f>
        <v>1551686242449316</v>
      </c>
      <c r="C4345" t="s">
        <v>40</v>
      </c>
      <c r="D4345">
        <v>4.9068529999999999</v>
      </c>
      <c r="E4345">
        <v>0.4782226</v>
      </c>
      <c r="F4345" t="s">
        <v>41</v>
      </c>
      <c r="G4345">
        <v>-264.0702</v>
      </c>
      <c r="H4345" s="1">
        <v>-2.6430329999999998E-6</v>
      </c>
      <c r="I4345">
        <v>138.95740000000001</v>
      </c>
      <c r="J4345">
        <v>-242.6293</v>
      </c>
      <c r="K4345">
        <v>1.108533</v>
      </c>
      <c r="L4345">
        <v>141.29810000000001</v>
      </c>
      <c r="M4345">
        <v>-0.99988699999999997</v>
      </c>
      <c r="N4345">
        <v>-7.9618659999999997E-3</v>
      </c>
      <c r="O4345">
        <v>-1.275053E-2</v>
      </c>
      <c r="P4345">
        <v>-0.98597480000000004</v>
      </c>
      <c r="Q4345">
        <v>0.15685009999999999</v>
      </c>
      <c r="R4345">
        <v>-5.7023940000000002E-2</v>
      </c>
      <c r="S4345">
        <v>-3.0487060000000001</v>
      </c>
      <c r="T4345">
        <v>-0.15492549999999999</v>
      </c>
      <c r="U4345">
        <v>-0.32774350000000002</v>
      </c>
      <c r="V4345">
        <v>-4.4171080000000001E-2</v>
      </c>
      <c r="W4345">
        <v>0.16477510000000001</v>
      </c>
      <c r="X4345">
        <v>0.98534160000000004</v>
      </c>
      <c r="Y4345">
        <v>-9.4072669999999997E-2</v>
      </c>
      <c r="Z4345">
        <v>-2.2133500000000002E-3</v>
      </c>
      <c r="AA4345">
        <v>0.99556290000000003</v>
      </c>
      <c r="AB4345">
        <v>38</v>
      </c>
      <c r="AC4345">
        <v>-21.440899999999999</v>
      </c>
      <c r="AD4345">
        <v>-1.108535643033</v>
      </c>
      <c r="AE4345">
        <v>-2.3406999999999898</v>
      </c>
      <c r="AF4345">
        <v>-2.0616720782679701</v>
      </c>
      <c r="AG4345">
        <v>-1.108535643033</v>
      </c>
      <c r="AH4345">
        <v>21.412439824351299</v>
      </c>
      <c r="AI4345">
        <v>92.949975023258901</v>
      </c>
      <c r="AJ4345">
        <v>95.499704726351993</v>
      </c>
      <c r="AK4345">
        <v>21.540007480538399</v>
      </c>
      <c r="AL4345">
        <v>80.515830112087997</v>
      </c>
      <c r="AM4345">
        <v>92.566747633798499</v>
      </c>
      <c r="AN4345">
        <v>0.99999999328946798</v>
      </c>
    </row>
    <row r="4346" spans="1:40" x14ac:dyDescent="0.25">
      <c r="A4346" t="str">
        <f>"20190304155722481"</f>
        <v>20190304155722481</v>
      </c>
      <c r="B4346" t="str">
        <f>"1551686242468837"</f>
        <v>1551686242468837</v>
      </c>
      <c r="C4346" t="s">
        <v>40</v>
      </c>
      <c r="D4346">
        <v>4.8881959999999998</v>
      </c>
      <c r="E4346">
        <v>0.47776610000000003</v>
      </c>
      <c r="F4346" t="s">
        <v>41</v>
      </c>
      <c r="G4346">
        <v>-264.50630000000001</v>
      </c>
      <c r="H4346" s="1">
        <v>-2.4587280000000002E-6</v>
      </c>
      <c r="I4346">
        <v>138.94159999999999</v>
      </c>
      <c r="J4346">
        <v>-243.0076</v>
      </c>
      <c r="K4346">
        <v>1.108527</v>
      </c>
      <c r="L4346">
        <v>141.29390000000001</v>
      </c>
      <c r="M4346">
        <v>-0.99989550000000005</v>
      </c>
      <c r="N4346">
        <v>-7.974999E-3</v>
      </c>
      <c r="O4346">
        <v>-1.207474E-2</v>
      </c>
      <c r="P4346">
        <v>-0.98612860000000002</v>
      </c>
      <c r="Q4346">
        <v>0.15615809999999999</v>
      </c>
      <c r="R4346">
        <v>-5.6259730000000001E-2</v>
      </c>
      <c r="S4346">
        <v>-3.0482480000000001</v>
      </c>
      <c r="T4346">
        <v>-0.1544585</v>
      </c>
      <c r="U4346">
        <v>-0.32833859999999998</v>
      </c>
      <c r="V4346">
        <v>-4.4070409999999997E-2</v>
      </c>
      <c r="W4346">
        <v>0.1640974</v>
      </c>
      <c r="X4346">
        <v>0.98545919999999998</v>
      </c>
      <c r="Y4346">
        <v>-9.4952229999999999E-2</v>
      </c>
      <c r="Z4346">
        <v>-2.2636150000000001E-3</v>
      </c>
      <c r="AA4346">
        <v>0.99547929999999996</v>
      </c>
      <c r="AB4346">
        <v>38</v>
      </c>
      <c r="AC4346">
        <v>-21.498699999999999</v>
      </c>
      <c r="AD4346">
        <v>-1.1085294587279999</v>
      </c>
      <c r="AE4346">
        <v>-2.3523000000000098</v>
      </c>
      <c r="AF4346">
        <v>-2.0870458915716399</v>
      </c>
      <c r="AG4346">
        <v>-1.1085294587279999</v>
      </c>
      <c r="AH4346">
        <v>21.4691320943313</v>
      </c>
      <c r="AI4346">
        <v>92.941921390792999</v>
      </c>
      <c r="AJ4346">
        <v>95.552360746790896</v>
      </c>
      <c r="AK4346">
        <v>21.598801610233799</v>
      </c>
      <c r="AL4346">
        <v>80.555195342032206</v>
      </c>
      <c r="AM4346">
        <v>92.5606003745267</v>
      </c>
      <c r="AN4346">
        <v>0.99999999629448399</v>
      </c>
    </row>
    <row r="4347" spans="1:40" x14ac:dyDescent="0.25">
      <c r="A4347" t="str">
        <f>"20190304155722503"</f>
        <v>20190304155722503</v>
      </c>
      <c r="B4347" t="str">
        <f>"1551686242499093"</f>
        <v>1551686242499093</v>
      </c>
      <c r="C4347" t="s">
        <v>40</v>
      </c>
      <c r="D4347">
        <v>4.9311540000000003</v>
      </c>
      <c r="E4347">
        <v>0.47713030000000001</v>
      </c>
      <c r="F4347" t="s">
        <v>41</v>
      </c>
      <c r="G4347">
        <v>-264.666</v>
      </c>
      <c r="H4347" s="1">
        <v>-2.389057E-6</v>
      </c>
      <c r="I4347">
        <v>138.94829999999999</v>
      </c>
      <c r="J4347">
        <v>-243.39850000000001</v>
      </c>
      <c r="K4347">
        <v>1.1085179999999999</v>
      </c>
      <c r="L4347">
        <v>141.28980000000001</v>
      </c>
      <c r="M4347">
        <v>-0.9999034</v>
      </c>
      <c r="N4347">
        <v>-7.9885310000000001E-3</v>
      </c>
      <c r="O4347">
        <v>-1.1375720000000001E-2</v>
      </c>
      <c r="P4347">
        <v>-0.98618570000000005</v>
      </c>
      <c r="Q4347">
        <v>0.15597949999999999</v>
      </c>
      <c r="R4347">
        <v>-5.5753879999999999E-2</v>
      </c>
      <c r="S4347">
        <v>-3.0480499999999999</v>
      </c>
      <c r="T4347">
        <v>-0.1560067</v>
      </c>
      <c r="U4347">
        <v>-0.33009339999999998</v>
      </c>
      <c r="V4347">
        <v>-4.4252560000000003E-2</v>
      </c>
      <c r="W4347">
        <v>0.16393269999999999</v>
      </c>
      <c r="X4347">
        <v>0.98547850000000004</v>
      </c>
      <c r="Y4347">
        <v>-9.6216540000000003E-2</v>
      </c>
      <c r="Z4347">
        <v>-2.349772E-3</v>
      </c>
      <c r="AA4347">
        <v>0.99535759999999995</v>
      </c>
      <c r="AB4347">
        <v>38</v>
      </c>
      <c r="AC4347">
        <v>-21.267499999999899</v>
      </c>
      <c r="AD4347">
        <v>-1.1085203890569999</v>
      </c>
      <c r="AE4347">
        <v>-2.3415000000000199</v>
      </c>
      <c r="AF4347">
        <v>-2.09378740658078</v>
      </c>
      <c r="AG4347">
        <v>-1.1085203890569999</v>
      </c>
      <c r="AH4347">
        <v>21.2357589439994</v>
      </c>
      <c r="AI4347">
        <v>92.9737710563072</v>
      </c>
      <c r="AJ4347">
        <v>95.631006167366806</v>
      </c>
      <c r="AK4347">
        <v>21.367503857132299</v>
      </c>
      <c r="AL4347">
        <v>80.564761982269999</v>
      </c>
      <c r="AM4347">
        <v>92.571119281473301</v>
      </c>
      <c r="AN4347">
        <v>1.00000004657904</v>
      </c>
    </row>
    <row r="4348" spans="1:40" x14ac:dyDescent="0.25">
      <c r="A4348" t="str">
        <f>"20190304155722525"</f>
        <v>20190304155722525</v>
      </c>
      <c r="B4348" t="str">
        <f>"1551686242518613"</f>
        <v>1551686242518613</v>
      </c>
      <c r="C4348" t="s">
        <v>40</v>
      </c>
      <c r="D4348">
        <v>4.904922</v>
      </c>
      <c r="E4348">
        <v>0.47662130000000003</v>
      </c>
      <c r="F4348" t="s">
        <v>41</v>
      </c>
      <c r="G4348">
        <v>-265.04329999999999</v>
      </c>
      <c r="H4348" s="1">
        <v>-2.2324489999999999E-6</v>
      </c>
      <c r="I4348">
        <v>138.9186</v>
      </c>
      <c r="J4348">
        <v>-243.76830000000001</v>
      </c>
      <c r="K4348">
        <v>1.1085020000000001</v>
      </c>
      <c r="L4348">
        <v>141.2861</v>
      </c>
      <c r="M4348">
        <v>-0.99991059999999998</v>
      </c>
      <c r="N4348">
        <v>-8.0013219999999999E-3</v>
      </c>
      <c r="O4348">
        <v>-1.0714599999999999E-2</v>
      </c>
      <c r="P4348">
        <v>-0.98624140000000005</v>
      </c>
      <c r="Q4348">
        <v>0.15592929999999999</v>
      </c>
      <c r="R4348">
        <v>-5.4899259999999998E-2</v>
      </c>
      <c r="S4348">
        <v>-3.0478209999999999</v>
      </c>
      <c r="T4348">
        <v>-0.15609200000000001</v>
      </c>
      <c r="U4348">
        <v>-0.3338776</v>
      </c>
      <c r="V4348">
        <v>-4.4047940000000001E-2</v>
      </c>
      <c r="W4348">
        <v>0.1638956</v>
      </c>
      <c r="X4348">
        <v>0.98549379999999998</v>
      </c>
      <c r="Y4348">
        <v>-9.8100209999999993E-2</v>
      </c>
      <c r="Z4348">
        <v>-2.4356690000000001E-3</v>
      </c>
      <c r="AA4348">
        <v>0.99517359999999999</v>
      </c>
      <c r="AB4348">
        <v>38</v>
      </c>
      <c r="AC4348">
        <v>-21.274999999999899</v>
      </c>
      <c r="AD4348">
        <v>-1.108504232449</v>
      </c>
      <c r="AE4348">
        <v>-2.3675000000000002</v>
      </c>
      <c r="AF4348">
        <v>-2.1336820448068301</v>
      </c>
      <c r="AG4348">
        <v>-1.108504232449</v>
      </c>
      <c r="AH4348">
        <v>21.242183713380101</v>
      </c>
      <c r="AI4348">
        <v>92.972289547110293</v>
      </c>
      <c r="AJ4348">
        <v>95.735865314853299</v>
      </c>
      <c r="AK4348">
        <v>21.377833136561801</v>
      </c>
      <c r="AL4348">
        <v>80.566916445270707</v>
      </c>
      <c r="AM4348">
        <v>92.559206812379799</v>
      </c>
      <c r="AN4348">
        <v>1.0000000092780199</v>
      </c>
    </row>
    <row r="4349" spans="1:40" x14ac:dyDescent="0.25">
      <c r="A4349" t="str">
        <f>"20190304155722547"</f>
        <v>20190304155722547</v>
      </c>
      <c r="B4349" t="str">
        <f>"1551686242539049"</f>
        <v>1551686242539049</v>
      </c>
      <c r="C4349" t="s">
        <v>40</v>
      </c>
      <c r="D4349">
        <v>4.9311150000000001</v>
      </c>
      <c r="E4349">
        <v>0.5116271</v>
      </c>
      <c r="F4349" t="s">
        <v>41</v>
      </c>
      <c r="G4349">
        <v>-265.33</v>
      </c>
      <c r="H4349" s="1">
        <v>-2.1103579999999998E-6</v>
      </c>
      <c r="I4349">
        <v>138.91370000000001</v>
      </c>
      <c r="J4349">
        <v>-244.14930000000001</v>
      </c>
      <c r="K4349">
        <v>1.108492</v>
      </c>
      <c r="L4349">
        <v>141.2826</v>
      </c>
      <c r="M4349">
        <v>-0.99991750000000001</v>
      </c>
      <c r="N4349">
        <v>-8.0144250000000004E-3</v>
      </c>
      <c r="O4349">
        <v>-1.003358E-2</v>
      </c>
      <c r="P4349">
        <v>-0.98630139999999999</v>
      </c>
      <c r="Q4349">
        <v>0.15581529999999999</v>
      </c>
      <c r="R4349">
        <v>-5.4139039999999999E-2</v>
      </c>
      <c r="S4349">
        <v>-3.047974</v>
      </c>
      <c r="T4349">
        <v>-0.15669920000000001</v>
      </c>
      <c r="U4349">
        <v>-0.33535769999999998</v>
      </c>
      <c r="V4349">
        <v>-4.3958009999999999E-2</v>
      </c>
      <c r="W4349">
        <v>0.16379449999999901</v>
      </c>
      <c r="X4349">
        <v>0.98551460000000002</v>
      </c>
      <c r="Y4349">
        <v>-9.9246669999999995E-2</v>
      </c>
      <c r="Z4349">
        <v>-2.5073199999999999E-3</v>
      </c>
      <c r="AA4349">
        <v>0.99505969999999999</v>
      </c>
      <c r="AB4349">
        <v>38</v>
      </c>
      <c r="AC4349">
        <v>-21.180699999999899</v>
      </c>
      <c r="AD4349">
        <v>-1.1084941103579999</v>
      </c>
      <c r="AE4349">
        <v>-2.3688999999999898</v>
      </c>
      <c r="AF4349">
        <v>-2.1504384591084098</v>
      </c>
      <c r="AG4349">
        <v>-1.1084941103579999</v>
      </c>
      <c r="AH4349">
        <v>21.1461999362879</v>
      </c>
      <c r="AI4349">
        <v>92.985357164663498</v>
      </c>
      <c r="AJ4349">
        <v>95.806666427901007</v>
      </c>
      <c r="AK4349">
        <v>21.2841470701688</v>
      </c>
      <c r="AL4349">
        <v>80.572788178695504</v>
      </c>
      <c r="AM4349">
        <v>92.553934928659302</v>
      </c>
      <c r="AN4349">
        <v>0.99999998584328498</v>
      </c>
    </row>
    <row r="4350" spans="1:40" x14ac:dyDescent="0.25">
      <c r="A4350" t="str">
        <f>"20190304155722572"</f>
        <v>20190304155722572</v>
      </c>
      <c r="B4350" t="str">
        <f>"1551686242569302"</f>
        <v>1551686242569302</v>
      </c>
      <c r="C4350" t="s">
        <v>40</v>
      </c>
      <c r="D4350">
        <v>4.9576669999999998</v>
      </c>
      <c r="E4350">
        <v>0.5141886</v>
      </c>
      <c r="F4350" t="s">
        <v>41</v>
      </c>
      <c r="G4350">
        <v>-277.10950000000003</v>
      </c>
      <c r="H4350" s="1">
        <v>-1.507081E-6</v>
      </c>
      <c r="I4350">
        <v>140.68639999999999</v>
      </c>
      <c r="J4350">
        <v>-244.55510000000001</v>
      </c>
      <c r="K4350">
        <v>1.108484</v>
      </c>
      <c r="L4350">
        <v>141.2791</v>
      </c>
      <c r="M4350">
        <v>-0.99992440000000005</v>
      </c>
      <c r="N4350">
        <v>-8.0284169999999995E-3</v>
      </c>
      <c r="O4350">
        <v>-9.3088149999999998E-3</v>
      </c>
      <c r="P4350">
        <v>-0.98634790000000006</v>
      </c>
      <c r="Q4350">
        <v>0.15567120000000001</v>
      </c>
      <c r="R4350">
        <v>-5.3706419999999998E-2</v>
      </c>
      <c r="S4350">
        <v>-3.0548709999999999</v>
      </c>
      <c r="T4350">
        <v>-0.1027392</v>
      </c>
      <c r="U4350">
        <v>-5.5252080000000002E-2</v>
      </c>
      <c r="V4350">
        <v>-4.423904E-2</v>
      </c>
      <c r="W4350">
        <v>0.16366559999999999</v>
      </c>
      <c r="X4350">
        <v>0.9855235</v>
      </c>
      <c r="Y4350">
        <v>-8.7721239999999992E-3</v>
      </c>
      <c r="Z4350" s="1">
        <v>5.5542889999999999E-5</v>
      </c>
      <c r="AA4350">
        <v>0.99996149999999995</v>
      </c>
      <c r="AB4350">
        <v>38</v>
      </c>
      <c r="AC4350">
        <v>-32.554400000000001</v>
      </c>
      <c r="AD4350">
        <v>-1.108485507081</v>
      </c>
      <c r="AE4350">
        <v>-0.592700000000007</v>
      </c>
      <c r="AF4350">
        <v>-0.28928635798149399</v>
      </c>
      <c r="AG4350">
        <v>-1.108485507081</v>
      </c>
      <c r="AH4350">
        <v>32.520814130049999</v>
      </c>
      <c r="AI4350">
        <v>91.952117561639895</v>
      </c>
      <c r="AJ4350">
        <v>90.509656681883001</v>
      </c>
      <c r="AK4350">
        <v>32.540986131301899</v>
      </c>
      <c r="AL4350">
        <v>80.580275197052003</v>
      </c>
      <c r="AM4350">
        <v>92.570217602505593</v>
      </c>
      <c r="AN4350">
        <v>1.0000000451678599</v>
      </c>
    </row>
    <row r="4351" spans="1:40" x14ac:dyDescent="0.25">
      <c r="A4351" t="str">
        <f>"20190304155722594"</f>
        <v>20190304155722594</v>
      </c>
      <c r="B4351" t="str">
        <f>"1551686242588822"</f>
        <v>1551686242588822</v>
      </c>
      <c r="C4351" t="s">
        <v>40</v>
      </c>
      <c r="D4351">
        <v>5.0884199999999904</v>
      </c>
      <c r="E4351">
        <v>0.51472810000000002</v>
      </c>
      <c r="F4351" t="s">
        <v>41</v>
      </c>
      <c r="G4351">
        <v>-272.93599999999998</v>
      </c>
      <c r="H4351" s="1">
        <v>-3.3739629999999998E-6</v>
      </c>
      <c r="I4351">
        <v>140.97370000000001</v>
      </c>
      <c r="J4351">
        <v>-244.9426</v>
      </c>
      <c r="K4351">
        <v>1.1084830000000001</v>
      </c>
      <c r="L4351">
        <v>141.27610000000001</v>
      </c>
      <c r="M4351">
        <v>-0.99993050000000006</v>
      </c>
      <c r="N4351">
        <v>-8.0416009999999902E-3</v>
      </c>
      <c r="O4351">
        <v>-8.61958E-3</v>
      </c>
      <c r="P4351">
        <v>-0.98641230000000002</v>
      </c>
      <c r="Q4351">
        <v>0.15531600000000001</v>
      </c>
      <c r="R4351">
        <v>-5.3550050000000002E-2</v>
      </c>
      <c r="S4351">
        <v>-3.0585779999999998</v>
      </c>
      <c r="T4351">
        <v>-0.1194607</v>
      </c>
      <c r="U4351">
        <v>-3.2913209999999998E-2</v>
      </c>
      <c r="V4351">
        <v>-4.4761809999999999E-2</v>
      </c>
      <c r="W4351">
        <v>0.163325</v>
      </c>
      <c r="X4351">
        <v>0.9855564</v>
      </c>
      <c r="Y4351">
        <v>-2.1427389999999998E-3</v>
      </c>
      <c r="Z4351">
        <v>2.1677240000000001E-4</v>
      </c>
      <c r="AA4351">
        <v>0.99999769999999999</v>
      </c>
      <c r="AB4351">
        <v>38</v>
      </c>
      <c r="AC4351">
        <v>-27.993399999999902</v>
      </c>
      <c r="AD4351">
        <v>-1.108486373963</v>
      </c>
      <c r="AE4351">
        <v>-0.302400000000005</v>
      </c>
      <c r="AF4351">
        <v>-6.09939805060489E-2</v>
      </c>
      <c r="AG4351">
        <v>-1.108486373963</v>
      </c>
      <c r="AH4351">
        <v>27.951144024652599</v>
      </c>
      <c r="AI4351">
        <v>92.271040324266394</v>
      </c>
      <c r="AJ4351">
        <v>90.125028589476301</v>
      </c>
      <c r="AK4351">
        <v>27.97318206057</v>
      </c>
      <c r="AL4351">
        <v>80.600056323068998</v>
      </c>
      <c r="AM4351">
        <v>92.600461559680198</v>
      </c>
      <c r="AN4351">
        <v>1.0000000464202099</v>
      </c>
    </row>
    <row r="4352" spans="1:40" x14ac:dyDescent="0.25">
      <c r="A4352" t="str">
        <f>"20190304155722615"</f>
        <v>20190304155722615</v>
      </c>
      <c r="B4352" t="str">
        <f>"1551686242609318"</f>
        <v>1551686242609318</v>
      </c>
      <c r="C4352" t="s">
        <v>40</v>
      </c>
      <c r="D4352">
        <v>4.9261920000000003</v>
      </c>
      <c r="E4352">
        <v>0.51521510000000004</v>
      </c>
      <c r="F4352" t="s">
        <v>41</v>
      </c>
      <c r="G4352">
        <v>-273.97969999999998</v>
      </c>
      <c r="H4352" s="1">
        <v>-2.9349160000000001E-6</v>
      </c>
      <c r="I4352">
        <v>141.00640000000001</v>
      </c>
      <c r="J4352">
        <v>-245.30709999999999</v>
      </c>
      <c r="K4352">
        <v>1.1084909999999999</v>
      </c>
      <c r="L4352">
        <v>141.27350000000001</v>
      </c>
      <c r="M4352">
        <v>-0.99993589999999999</v>
      </c>
      <c r="N4352">
        <v>-8.0539059999999996E-3</v>
      </c>
      <c r="O4352">
        <v>-7.9746999999999995E-3</v>
      </c>
      <c r="P4352">
        <v>-0.98634580000000005</v>
      </c>
      <c r="Q4352">
        <v>0.1556361</v>
      </c>
      <c r="R4352">
        <v>-5.3849170000000002E-2</v>
      </c>
      <c r="S4352">
        <v>-3.0581670000000001</v>
      </c>
      <c r="T4352">
        <v>-0.116745</v>
      </c>
      <c r="U4352">
        <v>-2.8396609999999999E-2</v>
      </c>
      <c r="V4352">
        <v>-4.5696779999999999E-2</v>
      </c>
      <c r="W4352">
        <v>0.163658</v>
      </c>
      <c r="X4352">
        <v>0.98545819999999995</v>
      </c>
      <c r="Y4352">
        <v>-1.3126489999999999E-3</v>
      </c>
      <c r="Z4352">
        <v>2.0976649999999999E-4</v>
      </c>
      <c r="AA4352">
        <v>0.99999910000000003</v>
      </c>
      <c r="AB4352">
        <v>38</v>
      </c>
      <c r="AC4352">
        <v>-28.6725999999999</v>
      </c>
      <c r="AD4352">
        <v>-1.1084939349159999</v>
      </c>
      <c r="AE4352">
        <v>-0.267099999999999</v>
      </c>
      <c r="AF4352">
        <v>-3.8371391042545999E-2</v>
      </c>
      <c r="AG4352">
        <v>-1.1084939349159999</v>
      </c>
      <c r="AH4352">
        <v>28.631029345230601</v>
      </c>
      <c r="AI4352">
        <v>92.217184044933404</v>
      </c>
      <c r="AJ4352">
        <v>90.076787928858195</v>
      </c>
      <c r="AK4352">
        <v>28.652505519323299</v>
      </c>
      <c r="AL4352">
        <v>80.580716170156606</v>
      </c>
      <c r="AM4352">
        <v>92.654966395729204</v>
      </c>
      <c r="AN4352">
        <v>1.0000000003067999</v>
      </c>
    </row>
    <row r="4353" spans="1:40" x14ac:dyDescent="0.25">
      <c r="A4353" t="str">
        <f>"20190304155722649"</f>
        <v>20190304155722649</v>
      </c>
      <c r="B4353" t="str">
        <f>"1551686242639488"</f>
        <v>1551686242639488</v>
      </c>
      <c r="C4353" t="s">
        <v>40</v>
      </c>
      <c r="D4353">
        <v>4.9275820000000001</v>
      </c>
      <c r="E4353">
        <v>0.51569589999999998</v>
      </c>
      <c r="F4353" t="s">
        <v>41</v>
      </c>
      <c r="G4353">
        <v>-274.72329999999999</v>
      </c>
      <c r="H4353" s="1">
        <v>-2.621623E-6</v>
      </c>
      <c r="I4353">
        <v>141.02789999999999</v>
      </c>
      <c r="J4353">
        <v>-245.89150000000001</v>
      </c>
      <c r="K4353">
        <v>1.1084940000000001</v>
      </c>
      <c r="L4353">
        <v>141.2698</v>
      </c>
      <c r="M4353">
        <v>-0.99994329999999998</v>
      </c>
      <c r="N4353">
        <v>-8.0736039999999999E-3</v>
      </c>
      <c r="O4353">
        <v>-6.9596329999999998E-3</v>
      </c>
      <c r="P4353">
        <v>-0.98636140000000005</v>
      </c>
      <c r="Q4353">
        <v>0.1555301</v>
      </c>
      <c r="R4353">
        <v>-5.386871E-2</v>
      </c>
      <c r="S4353">
        <v>-3.058319</v>
      </c>
      <c r="T4353">
        <v>-0.11524710000000001</v>
      </c>
      <c r="U4353">
        <v>-2.5527950000000001E-2</v>
      </c>
      <c r="V4353">
        <v>-4.6720419999999999E-2</v>
      </c>
      <c r="W4353">
        <v>0.16357240000000001</v>
      </c>
      <c r="X4353">
        <v>0.98542439999999998</v>
      </c>
      <c r="Y4353">
        <v>-1.388797E-3</v>
      </c>
      <c r="Z4353">
        <v>1.742193E-4</v>
      </c>
      <c r="AA4353">
        <v>0.99999899999999997</v>
      </c>
      <c r="AB4353">
        <v>38</v>
      </c>
      <c r="AC4353">
        <v>-28.831799999999902</v>
      </c>
      <c r="AD4353">
        <v>-1.1084966216229999</v>
      </c>
      <c r="AE4353">
        <v>-0.24190000000001499</v>
      </c>
      <c r="AF4353">
        <v>-4.1168027503298198E-2</v>
      </c>
      <c r="AG4353">
        <v>-1.1084966216229999</v>
      </c>
      <c r="AH4353">
        <v>28.790231336373299</v>
      </c>
      <c r="AI4353">
        <v>92.204940832402698</v>
      </c>
      <c r="AJ4353">
        <v>90.081928922057301</v>
      </c>
      <c r="AK4353">
        <v>28.811592805128399</v>
      </c>
      <c r="AL4353">
        <v>80.585687565978702</v>
      </c>
      <c r="AM4353">
        <v>92.714444499610806</v>
      </c>
      <c r="AN4353">
        <v>0.99999998790104805</v>
      </c>
    </row>
    <row r="4354" spans="1:40" x14ac:dyDescent="0.25">
      <c r="A4354" t="str">
        <f>"20190304155722670"</f>
        <v>20190304155722670</v>
      </c>
      <c r="B4354" t="str">
        <f>"1551686242659012"</f>
        <v>1551686242659012</v>
      </c>
      <c r="C4354" t="s">
        <v>40</v>
      </c>
      <c r="D4354">
        <v>4.9121389999999998</v>
      </c>
      <c r="E4354">
        <v>0.5160304</v>
      </c>
      <c r="F4354" t="s">
        <v>41</v>
      </c>
      <c r="G4354">
        <v>-276.04079999999999</v>
      </c>
      <c r="H4354" s="1">
        <v>-2.062248E-6</v>
      </c>
      <c r="I4354">
        <v>141.0498</v>
      </c>
      <c r="J4354">
        <v>-246.25700000000001</v>
      </c>
      <c r="K4354">
        <v>1.1085039999999999</v>
      </c>
      <c r="L4354">
        <v>141.26769999999999</v>
      </c>
      <c r="M4354">
        <v>-0.99994720000000004</v>
      </c>
      <c r="N4354">
        <v>-8.0858200000000005E-3</v>
      </c>
      <c r="O4354">
        <v>-6.3486979999999998E-3</v>
      </c>
      <c r="P4354">
        <v>-0.98643250000000005</v>
      </c>
      <c r="Q4354">
        <v>0.15526719999999999</v>
      </c>
      <c r="R4354">
        <v>-5.3320899999999997E-2</v>
      </c>
      <c r="S4354">
        <v>-3.0579990000000001</v>
      </c>
      <c r="T4354">
        <v>-0.1124334</v>
      </c>
      <c r="U4354">
        <v>-2.2308350000000001E-2</v>
      </c>
      <c r="V4354">
        <v>-4.6779710000000002E-2</v>
      </c>
      <c r="W4354">
        <v>0.16332070000000001</v>
      </c>
      <c r="X4354">
        <v>0.98546330000000004</v>
      </c>
      <c r="Y4354">
        <v>-9.4783279999999996E-4</v>
      </c>
      <c r="Z4354">
        <v>1.6076440000000001E-4</v>
      </c>
      <c r="AA4354">
        <v>0.99999950000000004</v>
      </c>
      <c r="AB4354">
        <v>39</v>
      </c>
      <c r="AC4354">
        <v>-29.7837999999999</v>
      </c>
      <c r="AD4354">
        <v>-1.1085060622480001</v>
      </c>
      <c r="AE4354">
        <v>-0.21789999999998599</v>
      </c>
      <c r="AF4354">
        <v>-2.8761245371151899E-2</v>
      </c>
      <c r="AG4354">
        <v>-1.1085060622480001</v>
      </c>
      <c r="AH4354">
        <v>29.743384490602701</v>
      </c>
      <c r="AI4354">
        <v>92.134367319817699</v>
      </c>
      <c r="AJ4354">
        <v>90.055403831403396</v>
      </c>
      <c r="AK4354">
        <v>29.764047672571301</v>
      </c>
      <c r="AL4354">
        <v>80.6003051712716</v>
      </c>
      <c r="AM4354">
        <v>92.717776947185001</v>
      </c>
      <c r="AN4354">
        <v>0.99999995398153096</v>
      </c>
    </row>
    <row r="4355" spans="1:40" x14ac:dyDescent="0.25">
      <c r="A4355" t="str">
        <f>"20190304155722694"</f>
        <v>20190304155722694</v>
      </c>
      <c r="B4355" t="str">
        <f>"1551686242689264"</f>
        <v>1551686242689264</v>
      </c>
      <c r="C4355" t="s">
        <v>40</v>
      </c>
      <c r="D4355">
        <v>4.9186069999999997</v>
      </c>
      <c r="E4355">
        <v>0.51662829999999904</v>
      </c>
      <c r="F4355" t="s">
        <v>41</v>
      </c>
      <c r="G4355">
        <v>-276.62639999999999</v>
      </c>
      <c r="H4355" s="1">
        <v>-1.8195459999999999E-6</v>
      </c>
      <c r="I4355">
        <v>141.08170000000001</v>
      </c>
      <c r="J4355">
        <v>-246.67519999999999</v>
      </c>
      <c r="K4355">
        <v>1.108525</v>
      </c>
      <c r="L4355">
        <v>141.26570000000001</v>
      </c>
      <c r="M4355">
        <v>-0.99995109999999998</v>
      </c>
      <c r="N4355">
        <v>-8.0996039999999998E-3</v>
      </c>
      <c r="O4355">
        <v>-5.6871919999999998E-3</v>
      </c>
      <c r="P4355">
        <v>-0.98645640000000001</v>
      </c>
      <c r="Q4355">
        <v>0.15543940000000001</v>
      </c>
      <c r="R4355">
        <v>-5.236768E-2</v>
      </c>
      <c r="S4355">
        <v>-3.0577999999999999</v>
      </c>
      <c r="T4355">
        <v>-0.1116123</v>
      </c>
      <c r="U4355">
        <v>-1.8722530000000001E-2</v>
      </c>
      <c r="V4355">
        <v>-4.6487420000000002E-2</v>
      </c>
      <c r="W4355">
        <v>0.163502799999999</v>
      </c>
      <c r="X4355">
        <v>0.98544699999999996</v>
      </c>
      <c r="Y4355">
        <v>-4.3732820000000003E-4</v>
      </c>
      <c r="Z4355">
        <v>1.517112E-4</v>
      </c>
      <c r="AA4355">
        <v>0.99999990000000005</v>
      </c>
      <c r="AB4355">
        <v>39</v>
      </c>
      <c r="AC4355">
        <v>-29.9512</v>
      </c>
      <c r="AD4355">
        <v>-1.1085268195460001</v>
      </c>
      <c r="AE4355">
        <v>-0.183999999999997</v>
      </c>
      <c r="AF4355">
        <v>-1.36345480110934E-2</v>
      </c>
      <c r="AG4355">
        <v>-1.1085268195460001</v>
      </c>
      <c r="AH4355">
        <v>29.9107911724602</v>
      </c>
      <c r="AI4355">
        <v>92.122472986629504</v>
      </c>
      <c r="AJ4355">
        <v>90.026117731155594</v>
      </c>
      <c r="AK4355">
        <v>29.931328840749401</v>
      </c>
      <c r="AL4355">
        <v>80.589730056173707</v>
      </c>
      <c r="AM4355">
        <v>92.700865504340499</v>
      </c>
      <c r="AN4355">
        <v>1.0000000178175401</v>
      </c>
    </row>
    <row r="4356" spans="1:40" x14ac:dyDescent="0.25">
      <c r="A4356" t="str">
        <f>"20190304155722716"</f>
        <v>20190304155722716</v>
      </c>
      <c r="B4356" t="str">
        <f>"1551686242708784"</f>
        <v>1551686242708784</v>
      </c>
      <c r="C4356" t="s">
        <v>40</v>
      </c>
      <c r="D4356">
        <v>5.0959539999999999</v>
      </c>
      <c r="E4356">
        <v>0.5172194</v>
      </c>
      <c r="F4356" t="s">
        <v>41</v>
      </c>
      <c r="G4356">
        <v>-277.4119</v>
      </c>
      <c r="H4356" s="1">
        <v>-1.5002160000000001E-6</v>
      </c>
      <c r="I4356">
        <v>141.1481</v>
      </c>
      <c r="J4356">
        <v>-247.05350000000001</v>
      </c>
      <c r="K4356">
        <v>1.1085389999999999</v>
      </c>
      <c r="L4356">
        <v>141.26400000000001</v>
      </c>
      <c r="M4356">
        <v>-0.99995400000000001</v>
      </c>
      <c r="N4356">
        <v>-8.1121490000000008E-3</v>
      </c>
      <c r="O4356">
        <v>-5.1184359999999996E-3</v>
      </c>
      <c r="P4356">
        <v>-0.98656630000000001</v>
      </c>
      <c r="Q4356">
        <v>0.15521509999999999</v>
      </c>
      <c r="R4356">
        <v>-5.0943269999999999E-2</v>
      </c>
      <c r="S4356">
        <v>-3.0579679999999998</v>
      </c>
      <c r="T4356">
        <v>-0.1102866</v>
      </c>
      <c r="U4356">
        <v>-1.1688230000000001E-2</v>
      </c>
      <c r="V4356">
        <v>-4.5633359999999998E-2</v>
      </c>
      <c r="W4356">
        <v>0.163288299999999</v>
      </c>
      <c r="X4356">
        <v>0.98552240000000002</v>
      </c>
      <c r="Y4356">
        <v>1.2933949999999999E-3</v>
      </c>
      <c r="Z4356">
        <v>1.71588499999999E-4</v>
      </c>
      <c r="AA4356">
        <v>0.99999919999999998</v>
      </c>
      <c r="AB4356">
        <v>39</v>
      </c>
      <c r="AC4356">
        <v>-30.3583999999999</v>
      </c>
      <c r="AD4356">
        <v>-1.108540500216</v>
      </c>
      <c r="AE4356">
        <v>-0.11590000000001</v>
      </c>
      <c r="AF4356">
        <v>3.9441569435465201E-2</v>
      </c>
      <c r="AG4356">
        <v>-1.108540500216</v>
      </c>
      <c r="AH4356">
        <v>30.318171290150801</v>
      </c>
      <c r="AI4356">
        <v>92.094003504872006</v>
      </c>
      <c r="AJ4356">
        <v>89.9254627144377</v>
      </c>
      <c r="AK4356">
        <v>30.338456256984198</v>
      </c>
      <c r="AL4356">
        <v>80.602186650275698</v>
      </c>
      <c r="AM4356">
        <v>92.651114511265803</v>
      </c>
      <c r="AN4356">
        <v>0.99999993668176701</v>
      </c>
    </row>
    <row r="4357" spans="1:40" x14ac:dyDescent="0.25">
      <c r="A4357" t="str">
        <f>"20190304155722739"</f>
        <v>20190304155722739</v>
      </c>
      <c r="B4357" t="str">
        <f>"1551686242729280"</f>
        <v>1551686242729280</v>
      </c>
      <c r="C4357" t="s">
        <v>40</v>
      </c>
      <c r="D4357">
        <v>4.9169130000000001</v>
      </c>
      <c r="E4357">
        <v>0.51715959999999905</v>
      </c>
      <c r="F4357" t="s">
        <v>41</v>
      </c>
      <c r="G4357">
        <v>-277.56630000000001</v>
      </c>
      <c r="H4357" s="1">
        <v>-1.45799E-6</v>
      </c>
      <c r="I4357">
        <v>141.23840000000001</v>
      </c>
      <c r="J4357">
        <v>-247.4537</v>
      </c>
      <c r="K4357">
        <v>1.1085659999999999</v>
      </c>
      <c r="L4357">
        <v>141.26240000000001</v>
      </c>
      <c r="M4357">
        <v>-0.99995670000000003</v>
      </c>
      <c r="N4357">
        <v>-8.1269340000000006E-3</v>
      </c>
      <c r="O4357">
        <v>-4.5504300000000003E-3</v>
      </c>
      <c r="P4357">
        <v>-0.98667139999999998</v>
      </c>
      <c r="Q4357">
        <v>0.15495129999999999</v>
      </c>
      <c r="R4357">
        <v>-4.9699640000000003E-2</v>
      </c>
      <c r="S4357">
        <v>-3.058182</v>
      </c>
      <c r="T4357">
        <v>-0.1111048</v>
      </c>
      <c r="U4357">
        <v>-2.5634770000000002E-3</v>
      </c>
      <c r="V4357">
        <v>-4.4960439999999997E-2</v>
      </c>
      <c r="W4357">
        <v>0.16303519999999999</v>
      </c>
      <c r="X4357">
        <v>0.98559529999999995</v>
      </c>
      <c r="Y4357">
        <v>3.7075490000000001E-3</v>
      </c>
      <c r="Z4357">
        <v>2.1068930000000001E-4</v>
      </c>
      <c r="AA4357">
        <v>0.99999309999999997</v>
      </c>
      <c r="AB4357">
        <v>39</v>
      </c>
      <c r="AC4357">
        <v>-30.1126</v>
      </c>
      <c r="AD4357">
        <v>-1.10856745799</v>
      </c>
      <c r="AE4357">
        <v>-2.4000000000000899E-2</v>
      </c>
      <c r="AF4357">
        <v>0.112877062077165</v>
      </c>
      <c r="AG4357">
        <v>-1.10856745799</v>
      </c>
      <c r="AH4357">
        <v>30.071642081515201</v>
      </c>
      <c r="AI4357">
        <v>92.111193025042695</v>
      </c>
      <c r="AJ4357">
        <v>89.784935293209799</v>
      </c>
      <c r="AK4357">
        <v>30.092280081755401</v>
      </c>
      <c r="AL4357">
        <v>80.616885844172899</v>
      </c>
      <c r="AM4357">
        <v>92.611882182424196</v>
      </c>
      <c r="AN4357">
        <v>1.0000000064930601</v>
      </c>
    </row>
    <row r="4358" spans="1:40" x14ac:dyDescent="0.25">
      <c r="A4358" t="str">
        <f>"20190304155722759"</f>
        <v>20190304155722759</v>
      </c>
      <c r="B4358" t="str">
        <f>"1551686242749087"</f>
        <v>1551686242749087</v>
      </c>
      <c r="C4358" t="s">
        <v>40</v>
      </c>
      <c r="D4358">
        <v>4.7536569999999996</v>
      </c>
      <c r="E4358">
        <v>0.5175592</v>
      </c>
      <c r="F4358" t="s">
        <v>41</v>
      </c>
      <c r="G4358">
        <v>-277.53899999999999</v>
      </c>
      <c r="H4358" s="1">
        <v>-1.478351E-6</v>
      </c>
      <c r="I4358">
        <v>141.27090000000001</v>
      </c>
      <c r="J4358">
        <v>-247.8116</v>
      </c>
      <c r="K4358">
        <v>1.1085879999999999</v>
      </c>
      <c r="L4358">
        <v>141.2612</v>
      </c>
      <c r="M4358">
        <v>-0.99995849999999997</v>
      </c>
      <c r="N4358">
        <v>-8.1436210000000002E-3</v>
      </c>
      <c r="O4358">
        <v>-4.0740910000000002E-3</v>
      </c>
      <c r="P4358">
        <v>-0.98682789999999998</v>
      </c>
      <c r="Q4358">
        <v>0.154424799999999</v>
      </c>
      <c r="R4358">
        <v>-4.8206159999999998E-2</v>
      </c>
      <c r="S4358">
        <v>-3.0582579999999999</v>
      </c>
      <c r="T4358">
        <v>-0.112689</v>
      </c>
      <c r="U4358">
        <v>8.6975099999999999E-4</v>
      </c>
      <c r="V4358">
        <v>-4.3946689999999997E-2</v>
      </c>
      <c r="W4358">
        <v>0.16252239999999901</v>
      </c>
      <c r="X4358">
        <v>0.98572570000000004</v>
      </c>
      <c r="Y4358">
        <v>4.353333E-3</v>
      </c>
      <c r="Z4358">
        <v>2.1481000000000001E-4</v>
      </c>
      <c r="AA4358">
        <v>0.9999905</v>
      </c>
      <c r="AB4358">
        <v>39</v>
      </c>
      <c r="AC4358">
        <v>-29.7273999999999</v>
      </c>
      <c r="AD4358">
        <v>-1.108589478351</v>
      </c>
      <c r="AE4358">
        <v>9.7000000000093695E-3</v>
      </c>
      <c r="AF4358">
        <v>0.13063440259648401</v>
      </c>
      <c r="AG4358">
        <v>-1.108589478351</v>
      </c>
      <c r="AH4358">
        <v>29.6858302236665</v>
      </c>
      <c r="AI4358">
        <v>92.138642633938204</v>
      </c>
      <c r="AJ4358">
        <v>89.747867869691902</v>
      </c>
      <c r="AK4358">
        <v>29.706809859811699</v>
      </c>
      <c r="AL4358">
        <v>80.646664215329693</v>
      </c>
      <c r="AM4358">
        <v>92.552732034869294</v>
      </c>
      <c r="AN4358">
        <v>0.999999998852103</v>
      </c>
    </row>
    <row r="4359" spans="1:40" x14ac:dyDescent="0.25">
      <c r="A4359" t="str">
        <f>"20190304155722850"</f>
        <v>20190304155722850</v>
      </c>
      <c r="B4359" t="str">
        <f>"1551686242838575"</f>
        <v>1551686242838575</v>
      </c>
      <c r="C4359" t="s">
        <v>40</v>
      </c>
      <c r="D4359">
        <v>4.1243420000000004</v>
      </c>
      <c r="E4359">
        <v>0.51960299999999904</v>
      </c>
      <c r="F4359" t="s">
        <v>41</v>
      </c>
      <c r="G4359">
        <v>-277.86750000000001</v>
      </c>
      <c r="H4359" s="1">
        <v>-1.3578839999999999E-6</v>
      </c>
      <c r="I4359">
        <v>141.3477</v>
      </c>
      <c r="J4359">
        <v>-249.38650000000001</v>
      </c>
      <c r="K4359">
        <v>1.1087089999999999</v>
      </c>
      <c r="L4359">
        <v>141.25729999999999</v>
      </c>
      <c r="M4359">
        <v>-0.99996350000000001</v>
      </c>
      <c r="N4359">
        <v>-8.2281400000000001E-3</v>
      </c>
      <c r="O4359">
        <v>-2.3352659999999999E-3</v>
      </c>
      <c r="P4359">
        <v>-0.98680369999999995</v>
      </c>
      <c r="Q4359">
        <v>0.15546189999999999</v>
      </c>
      <c r="R4359">
        <v>-4.527925E-2</v>
      </c>
      <c r="S4359">
        <v>-3.0581209999999999</v>
      </c>
      <c r="T4359">
        <v>-0.1127968</v>
      </c>
      <c r="U4359">
        <v>8.8043210000000004E-3</v>
      </c>
      <c r="V4359">
        <v>-4.2780119999999998E-2</v>
      </c>
      <c r="W4359">
        <v>0.16362789999999999</v>
      </c>
      <c r="X4359">
        <v>0.98559410000000003</v>
      </c>
      <c r="Y4359">
        <v>5.2090219999999998E-3</v>
      </c>
      <c r="Z4359">
        <v>1.8436759999999999E-4</v>
      </c>
      <c r="AA4359">
        <v>0.99998640000000005</v>
      </c>
      <c r="AB4359">
        <v>39</v>
      </c>
      <c r="AC4359">
        <v>-28.480999999999899</v>
      </c>
      <c r="AD4359">
        <v>-1.1087103578840001</v>
      </c>
      <c r="AE4359">
        <v>9.0400000000016606E-2</v>
      </c>
      <c r="AF4359">
        <v>0.15667528828816801</v>
      </c>
      <c r="AG4359">
        <v>-1.1087103578840001</v>
      </c>
      <c r="AH4359">
        <v>28.437617440944599</v>
      </c>
      <c r="AI4359">
        <v>92.232652045238495</v>
      </c>
      <c r="AJ4359">
        <v>89.684335652735697</v>
      </c>
      <c r="AK4359">
        <v>28.459653397769198</v>
      </c>
      <c r="AL4359">
        <v>80.582464137927602</v>
      </c>
      <c r="AM4359">
        <v>92.485386968895298</v>
      </c>
      <c r="AN4359">
        <v>0.99999997914021699</v>
      </c>
    </row>
    <row r="4360" spans="1:40" x14ac:dyDescent="0.25">
      <c r="A4360" t="str">
        <f>"20190304155722872"</f>
        <v>20190304155722872</v>
      </c>
      <c r="B4360" t="str">
        <f>"1551686242868831"</f>
        <v>1551686242868831</v>
      </c>
      <c r="C4360" t="s">
        <v>40</v>
      </c>
      <c r="D4360">
        <v>4.8560179999999997</v>
      </c>
      <c r="E4360">
        <v>0.52168479999999995</v>
      </c>
      <c r="F4360" t="s">
        <v>41</v>
      </c>
      <c r="G4360">
        <v>-274.86259999999999</v>
      </c>
      <c r="H4360" s="1">
        <v>-2.6969259999999998E-6</v>
      </c>
      <c r="I4360">
        <v>141.53550000000001</v>
      </c>
      <c r="J4360">
        <v>-249.7842</v>
      </c>
      <c r="K4360">
        <v>1.108733</v>
      </c>
      <c r="L4360">
        <v>141.2567</v>
      </c>
      <c r="M4360">
        <v>-0.99996410000000002</v>
      </c>
      <c r="N4360">
        <v>-8.24894199999999E-3</v>
      </c>
      <c r="O4360">
        <v>-1.965999E-3</v>
      </c>
      <c r="P4360">
        <v>-0.98677210000000004</v>
      </c>
      <c r="Q4360">
        <v>0.15560399999999999</v>
      </c>
      <c r="R4360">
        <v>-4.5480769999999997E-2</v>
      </c>
      <c r="S4360">
        <v>-3.0626679999999999</v>
      </c>
      <c r="T4360">
        <v>-0.1332865</v>
      </c>
      <c r="U4360">
        <v>3.3447270000000001E-2</v>
      </c>
      <c r="V4360">
        <v>-4.3355110000000002E-2</v>
      </c>
      <c r="W4360">
        <v>0.163788299999999</v>
      </c>
      <c r="X4360">
        <v>0.98554240000000004</v>
      </c>
      <c r="Y4360">
        <v>1.287052E-2</v>
      </c>
      <c r="Z4360">
        <v>4.0234240000000001E-4</v>
      </c>
      <c r="AA4360">
        <v>0.9999171</v>
      </c>
      <c r="AB4360">
        <v>39</v>
      </c>
      <c r="AC4360">
        <v>-25.078399999999899</v>
      </c>
      <c r="AD4360">
        <v>-1.108735696926</v>
      </c>
      <c r="AE4360">
        <v>0.27880000000001798</v>
      </c>
      <c r="AF4360">
        <v>0.32746526294940898</v>
      </c>
      <c r="AG4360">
        <v>-1.108735696926</v>
      </c>
      <c r="AH4360">
        <v>25.028888139480902</v>
      </c>
      <c r="AI4360">
        <v>92.536227169575199</v>
      </c>
      <c r="AJ4360">
        <v>89.250413884059597</v>
      </c>
      <c r="AK4360">
        <v>25.055573628291299</v>
      </c>
      <c r="AL4360">
        <v>80.573148862069303</v>
      </c>
      <c r="AM4360">
        <v>92.5188812564556</v>
      </c>
      <c r="AN4360">
        <v>1.0000000474888799</v>
      </c>
    </row>
    <row r="4361" spans="1:40" x14ac:dyDescent="0.25">
      <c r="A4361" t="str">
        <f>"20190304155722895"</f>
        <v>20190304155722895</v>
      </c>
      <c r="B4361" t="str">
        <f>"1551686242889327"</f>
        <v>1551686242889327</v>
      </c>
      <c r="C4361" t="s">
        <v>40</v>
      </c>
      <c r="D4361">
        <v>4.7168739999999998</v>
      </c>
      <c r="E4361">
        <v>0.52249749999999995</v>
      </c>
      <c r="F4361" t="s">
        <v>41</v>
      </c>
      <c r="G4361">
        <v>-275.4316</v>
      </c>
      <c r="H4361" s="1">
        <v>-2.4878769999999999E-6</v>
      </c>
      <c r="I4361">
        <v>141.66720000000001</v>
      </c>
      <c r="J4361">
        <v>-250.19149999999999</v>
      </c>
      <c r="K4361">
        <v>1.108754</v>
      </c>
      <c r="L4361">
        <v>141.25620000000001</v>
      </c>
      <c r="M4361">
        <v>-0.99996470000000004</v>
      </c>
      <c r="N4361">
        <v>-8.2738269999999992E-3</v>
      </c>
      <c r="O4361">
        <v>-1.6027929999999999E-3</v>
      </c>
      <c r="P4361">
        <v>-0.98690500000000003</v>
      </c>
      <c r="Q4361">
        <v>0.15468599999999999</v>
      </c>
      <c r="R4361">
        <v>-4.572644E-2</v>
      </c>
      <c r="S4361">
        <v>-3.063339</v>
      </c>
      <c r="T4361">
        <v>-0.1324284</v>
      </c>
      <c r="U4361">
        <v>4.9041750000000002E-2</v>
      </c>
      <c r="V4361">
        <v>-4.3968399999999998E-2</v>
      </c>
      <c r="W4361">
        <v>0.1628945</v>
      </c>
      <c r="X4361">
        <v>0.98566330000000002</v>
      </c>
      <c r="Y4361">
        <v>1.7589270000000001E-2</v>
      </c>
      <c r="Z4361">
        <v>5.0879929999999999E-4</v>
      </c>
      <c r="AA4361">
        <v>0.99984510000000004</v>
      </c>
      <c r="AB4361">
        <v>39</v>
      </c>
      <c r="AC4361">
        <v>-25.240100000000002</v>
      </c>
      <c r="AD4361">
        <v>-1.108756487877</v>
      </c>
      <c r="AE4361">
        <v>0.41100000000000098</v>
      </c>
      <c r="AF4361">
        <v>0.45058623718687402</v>
      </c>
      <c r="AG4361">
        <v>-1.108756487877</v>
      </c>
      <c r="AH4361">
        <v>25.190810939598201</v>
      </c>
      <c r="AI4361">
        <v>92.519805804901594</v>
      </c>
      <c r="AJ4361">
        <v>88.975263757691906</v>
      </c>
      <c r="AK4361">
        <v>25.219225299384799</v>
      </c>
      <c r="AL4361">
        <v>80.625056428475204</v>
      </c>
      <c r="AM4361">
        <v>92.554152907567797</v>
      </c>
      <c r="AN4361">
        <v>0.99999998964784997</v>
      </c>
    </row>
    <row r="4362" spans="1:40" x14ac:dyDescent="0.25">
      <c r="A4362" t="str">
        <f>"20190304155722916"</f>
        <v>20190304155722916</v>
      </c>
      <c r="B4362" t="str">
        <f>"1551686242908847"</f>
        <v>1551686242908847</v>
      </c>
      <c r="C4362" t="s">
        <v>40</v>
      </c>
      <c r="D4362">
        <v>4.7510830000000004</v>
      </c>
      <c r="E4362">
        <v>0.52258519999999997</v>
      </c>
      <c r="F4362" t="s">
        <v>41</v>
      </c>
      <c r="G4362">
        <v>-276.45269999999999</v>
      </c>
      <c r="H4362" s="1">
        <v>-2.0652710000000002E-6</v>
      </c>
      <c r="I4362">
        <v>141.7252</v>
      </c>
      <c r="J4362">
        <v>-250.5771</v>
      </c>
      <c r="K4362">
        <v>1.108771</v>
      </c>
      <c r="L4362">
        <v>141.2559</v>
      </c>
      <c r="M4362">
        <v>-0.99996479999999999</v>
      </c>
      <c r="N4362">
        <v>-8.2997850000000005E-3</v>
      </c>
      <c r="O4362">
        <v>-1.2683950000000001E-3</v>
      </c>
      <c r="P4362">
        <v>-0.98695390000000005</v>
      </c>
      <c r="Q4362">
        <v>0.15428819999999999</v>
      </c>
      <c r="R4362">
        <v>-4.6014100000000002E-2</v>
      </c>
      <c r="S4362">
        <v>-3.0626069999999999</v>
      </c>
      <c r="T4362">
        <v>-0.12930449999999999</v>
      </c>
      <c r="U4362">
        <v>5.4702760000000003E-2</v>
      </c>
      <c r="V4362">
        <v>-4.4591569999999997E-2</v>
      </c>
      <c r="W4362">
        <v>0.1625219</v>
      </c>
      <c r="X4362">
        <v>0.98569680000000004</v>
      </c>
      <c r="Y4362">
        <v>1.9105779999999999E-2</v>
      </c>
      <c r="Z4362">
        <v>5.2545350000000001E-4</v>
      </c>
      <c r="AA4362">
        <v>0.99981730000000002</v>
      </c>
      <c r="AB4362">
        <v>39</v>
      </c>
      <c r="AC4362">
        <v>-25.875599999999899</v>
      </c>
      <c r="AD4362">
        <v>-1.1087730652709999</v>
      </c>
      <c r="AE4362">
        <v>0.46930000000000399</v>
      </c>
      <c r="AF4362">
        <v>0.50120126275977706</v>
      </c>
      <c r="AG4362">
        <v>-1.1087730652709999</v>
      </c>
      <c r="AH4362">
        <v>25.827576597022698</v>
      </c>
      <c r="AI4362">
        <v>92.457725636967893</v>
      </c>
      <c r="AJ4362">
        <v>88.888276914502498</v>
      </c>
      <c r="AK4362">
        <v>25.856223492442599</v>
      </c>
      <c r="AL4362">
        <v>80.646693060108305</v>
      </c>
      <c r="AM4362">
        <v>92.590216380794701</v>
      </c>
      <c r="AN4362">
        <v>0.99999997881245695</v>
      </c>
    </row>
    <row r="4363" spans="1:40" x14ac:dyDescent="0.25">
      <c r="A4363" t="str">
        <f>"20190304155722939"</f>
        <v>20190304155722939</v>
      </c>
      <c r="B4363" t="str">
        <f>"1551686242929347"</f>
        <v>1551686242929347</v>
      </c>
      <c r="C4363" t="s">
        <v>40</v>
      </c>
      <c r="D4363">
        <v>4.9236870000000001</v>
      </c>
      <c r="E4363">
        <v>0.52204600000000001</v>
      </c>
      <c r="F4363" t="s">
        <v>41</v>
      </c>
      <c r="G4363">
        <v>-276.96570000000003</v>
      </c>
      <c r="H4363" s="1">
        <v>-1.8461439999999999E-6</v>
      </c>
      <c r="I4363">
        <v>141.7287</v>
      </c>
      <c r="J4363">
        <v>-250.96469999999999</v>
      </c>
      <c r="K4363">
        <v>1.1087849999999999</v>
      </c>
      <c r="L4363">
        <v>141.25569999999999</v>
      </c>
      <c r="M4363">
        <v>-0.99996499999999999</v>
      </c>
      <c r="N4363">
        <v>-8.3261759999999994E-3</v>
      </c>
      <c r="O4363">
        <v>-9.376702E-4</v>
      </c>
      <c r="P4363">
        <v>-0.98695600000000006</v>
      </c>
      <c r="Q4363">
        <v>0.15407370000000001</v>
      </c>
      <c r="R4363">
        <v>-4.6683660000000002E-2</v>
      </c>
      <c r="S4363">
        <v>-3.0623170000000002</v>
      </c>
      <c r="T4363">
        <v>-0.12867029999999999</v>
      </c>
      <c r="U4363">
        <v>5.4885860000000002E-2</v>
      </c>
      <c r="V4363">
        <v>-4.5592250000000001E-2</v>
      </c>
      <c r="W4363">
        <v>0.16233320000000001</v>
      </c>
      <c r="X4363">
        <v>0.98568210000000001</v>
      </c>
      <c r="Y4363">
        <v>1.883721E-2</v>
      </c>
      <c r="Z4363">
        <v>5.0558229999999997E-4</v>
      </c>
      <c r="AA4363">
        <v>0.9998224</v>
      </c>
      <c r="AB4363">
        <v>39</v>
      </c>
      <c r="AC4363">
        <v>-26.001000000000001</v>
      </c>
      <c r="AD4363">
        <v>-1.108786846144</v>
      </c>
      <c r="AE4363">
        <v>0.47300000000001302</v>
      </c>
      <c r="AF4363">
        <v>0.49647844451779599</v>
      </c>
      <c r="AG4363">
        <v>-1.108786846144</v>
      </c>
      <c r="AH4363">
        <v>25.953364160717801</v>
      </c>
      <c r="AI4363">
        <v>92.445871685789996</v>
      </c>
      <c r="AJ4363">
        <v>88.904086183614396</v>
      </c>
      <c r="AK4363">
        <v>25.981782278644499</v>
      </c>
      <c r="AL4363">
        <v>80.657650119093802</v>
      </c>
      <c r="AM4363">
        <v>92.648301053027794</v>
      </c>
      <c r="AN4363">
        <v>0.99999996167135496</v>
      </c>
    </row>
    <row r="4364" spans="1:40" x14ac:dyDescent="0.25">
      <c r="A4364" t="str">
        <f>"20190304155722961"</f>
        <v>20190304155722961</v>
      </c>
      <c r="B4364" t="str">
        <f>"1551686242959131"</f>
        <v>1551686242959131</v>
      </c>
      <c r="C4364" t="s">
        <v>40</v>
      </c>
      <c r="D4364">
        <v>4.9116799999999996</v>
      </c>
      <c r="E4364">
        <v>0.52083009999999996</v>
      </c>
      <c r="F4364" t="s">
        <v>41</v>
      </c>
      <c r="G4364">
        <v>-277.52510000000001</v>
      </c>
      <c r="H4364" s="1">
        <v>-1.592339E-6</v>
      </c>
      <c r="I4364">
        <v>141.67679999999999</v>
      </c>
      <c r="J4364">
        <v>-251.36199999999999</v>
      </c>
      <c r="K4364">
        <v>1.108792</v>
      </c>
      <c r="L4364">
        <v>141.25559999999999</v>
      </c>
      <c r="M4364">
        <v>-0.99996499999999999</v>
      </c>
      <c r="N4364">
        <v>-8.3541029999999999E-3</v>
      </c>
      <c r="O4364">
        <v>-6.0204680000000002E-4</v>
      </c>
      <c r="P4364">
        <v>-0.98685599999999996</v>
      </c>
      <c r="Q4364">
        <v>0.1544401</v>
      </c>
      <c r="R4364">
        <v>-4.7577370000000001E-2</v>
      </c>
      <c r="S4364">
        <v>-3.06189</v>
      </c>
      <c r="T4364">
        <v>-0.12782180000000001</v>
      </c>
      <c r="U4364">
        <v>4.8553470000000001E-2</v>
      </c>
      <c r="V4364">
        <v>-4.6820559999999997E-2</v>
      </c>
      <c r="W4364">
        <v>0.16272609999999901</v>
      </c>
      <c r="X4364">
        <v>0.98555979999999999</v>
      </c>
      <c r="Y4364">
        <v>1.6439829999999999E-2</v>
      </c>
      <c r="Z4364">
        <v>4.3178249999999997E-4</v>
      </c>
      <c r="AA4364">
        <v>0.9998648</v>
      </c>
      <c r="AB4364">
        <v>40</v>
      </c>
      <c r="AC4364">
        <v>-26.1631</v>
      </c>
      <c r="AD4364">
        <v>-1.108793592339</v>
      </c>
      <c r="AE4364">
        <v>0.42119999999999802</v>
      </c>
      <c r="AF4364">
        <v>0.43616869667501501</v>
      </c>
      <c r="AG4364">
        <v>-1.108793592339</v>
      </c>
      <c r="AH4364">
        <v>26.115947777315601</v>
      </c>
      <c r="AI4364">
        <v>92.430783706354902</v>
      </c>
      <c r="AJ4364">
        <v>89.043178424143093</v>
      </c>
      <c r="AK4364">
        <v>26.1431137141284</v>
      </c>
      <c r="AL4364">
        <v>80.634835934741403</v>
      </c>
      <c r="AM4364">
        <v>92.719880720569407</v>
      </c>
      <c r="AN4364">
        <v>1.00000003391798</v>
      </c>
    </row>
    <row r="4365" spans="1:40" x14ac:dyDescent="0.25">
      <c r="A4365" t="str">
        <f>"20190304155722985"</f>
        <v>20190304155722985</v>
      </c>
      <c r="B4365" t="str">
        <f>"1551686242979627"</f>
        <v>1551686242979627</v>
      </c>
      <c r="C4365" t="s">
        <v>40</v>
      </c>
      <c r="D4365">
        <v>4.8600989999999999</v>
      </c>
      <c r="E4365">
        <v>0.5201578</v>
      </c>
      <c r="F4365" t="s">
        <v>41</v>
      </c>
      <c r="G4365">
        <v>-278.10390000000001</v>
      </c>
      <c r="H4365" s="1">
        <v>-1.316223E-6</v>
      </c>
      <c r="I4365">
        <v>141.57230000000001</v>
      </c>
      <c r="J4365">
        <v>-251.78710000000001</v>
      </c>
      <c r="K4365">
        <v>1.1087990000000001</v>
      </c>
      <c r="L4365">
        <v>141.25559999999999</v>
      </c>
      <c r="M4365">
        <v>-0.99996490000000005</v>
      </c>
      <c r="N4365">
        <v>-8.3868889999999998E-3</v>
      </c>
      <c r="O4365">
        <v>-2.4426040000000002E-4</v>
      </c>
      <c r="P4365">
        <v>-0.98687970000000003</v>
      </c>
      <c r="Q4365">
        <v>0.15400700000000001</v>
      </c>
      <c r="R4365">
        <v>-4.8484529999999998E-2</v>
      </c>
      <c r="S4365">
        <v>-3.061569</v>
      </c>
      <c r="T4365">
        <v>-0.12694159999999999</v>
      </c>
      <c r="U4365">
        <v>3.6270139999999999E-2</v>
      </c>
      <c r="V4365">
        <v>-4.8084139999999997E-2</v>
      </c>
      <c r="W4365">
        <v>0.16232569999999999</v>
      </c>
      <c r="X4365">
        <v>0.98556489999999997</v>
      </c>
      <c r="Y4365">
        <v>1.207772E-2</v>
      </c>
      <c r="Z4365">
        <v>3.0902380000000001E-4</v>
      </c>
      <c r="AA4365">
        <v>0.99992700000000001</v>
      </c>
      <c r="AB4365">
        <v>40</v>
      </c>
      <c r="AC4365">
        <v>-26.316800000000001</v>
      </c>
      <c r="AD4365">
        <v>-1.10880031622299</v>
      </c>
      <c r="AE4365">
        <v>0.31670000000002502</v>
      </c>
      <c r="AF4365">
        <v>0.32255585876315201</v>
      </c>
      <c r="AG4365">
        <v>-1.10880031622299</v>
      </c>
      <c r="AH4365">
        <v>26.270094662047399</v>
      </c>
      <c r="AI4365">
        <v>92.416706675509403</v>
      </c>
      <c r="AJ4365">
        <v>89.296532389823994</v>
      </c>
      <c r="AK4365">
        <v>26.2954626119453</v>
      </c>
      <c r="AL4365">
        <v>80.658085454150694</v>
      </c>
      <c r="AM4365">
        <v>92.793154939847099</v>
      </c>
      <c r="AN4365">
        <v>0.99999994475601806</v>
      </c>
    </row>
    <row r="4366" spans="1:40" x14ac:dyDescent="0.25">
      <c r="A4366" t="str">
        <f>"20190304155723006"</f>
        <v>20190304155723006</v>
      </c>
      <c r="B4366" t="str">
        <f>"1551686242999147"</f>
        <v>1551686242999147</v>
      </c>
      <c r="C4366" t="s">
        <v>40</v>
      </c>
      <c r="D4366">
        <v>4.7476240000000001</v>
      </c>
      <c r="E4366">
        <v>0.51958439999999995</v>
      </c>
      <c r="F4366" t="s">
        <v>41</v>
      </c>
      <c r="G4366">
        <v>-278.01760000000002</v>
      </c>
      <c r="H4366" s="1">
        <v>-1.3330490000000001E-6</v>
      </c>
      <c r="I4366">
        <v>141.49639999999999</v>
      </c>
      <c r="J4366">
        <v>-252.1687</v>
      </c>
      <c r="K4366">
        <v>1.1088020000000001</v>
      </c>
      <c r="L4366">
        <v>141.25579999999999</v>
      </c>
      <c r="M4366">
        <v>-0.99996470000000004</v>
      </c>
      <c r="N4366">
        <v>-8.4201969999999904E-3</v>
      </c>
      <c r="O4366" s="1">
        <v>7.7004869999999895E-5</v>
      </c>
      <c r="P4366">
        <v>-0.98686249999999998</v>
      </c>
      <c r="Q4366">
        <v>0.153963299999999</v>
      </c>
      <c r="R4366">
        <v>-4.8966740000000002E-2</v>
      </c>
      <c r="S4366">
        <v>-3.0614469999999998</v>
      </c>
      <c r="T4366">
        <v>-0.12941220000000001</v>
      </c>
      <c r="U4366">
        <v>2.810669E-2</v>
      </c>
      <c r="V4366">
        <v>-4.8885949999999997E-2</v>
      </c>
      <c r="W4366">
        <v>0.16231489999999901</v>
      </c>
      <c r="X4366">
        <v>0.98552729999999999</v>
      </c>
      <c r="Y4366">
        <v>9.0937650000000002E-3</v>
      </c>
      <c r="Z4366">
        <v>2.278162E-4</v>
      </c>
      <c r="AA4366">
        <v>0.99995860000000003</v>
      </c>
      <c r="AB4366">
        <v>40</v>
      </c>
      <c r="AC4366">
        <v>-25.8489</v>
      </c>
      <c r="AD4366">
        <v>-1.1088033330489999</v>
      </c>
      <c r="AE4366">
        <v>0.24060000000000001</v>
      </c>
      <c r="AF4366">
        <v>0.23817123358273201</v>
      </c>
      <c r="AG4366">
        <v>-1.1088033330489999</v>
      </c>
      <c r="AH4366">
        <v>25.801447126468901</v>
      </c>
      <c r="AI4366">
        <v>92.460636557688204</v>
      </c>
      <c r="AJ4366">
        <v>89.471121955254404</v>
      </c>
      <c r="AK4366">
        <v>25.826359483826899</v>
      </c>
      <c r="AL4366">
        <v>80.658713189219895</v>
      </c>
      <c r="AM4366">
        <v>92.839763754787199</v>
      </c>
      <c r="AN4366">
        <v>1.0000000109573499</v>
      </c>
    </row>
    <row r="4367" spans="1:40" x14ac:dyDescent="0.25">
      <c r="A4367" t="str">
        <f>"20190304155723029"</f>
        <v>20190304155723029</v>
      </c>
      <c r="B4367" t="str">
        <f>"1551686243019643"</f>
        <v>1551686243019643</v>
      </c>
      <c r="C4367" t="s">
        <v>40</v>
      </c>
      <c r="D4367">
        <v>4.9339719999999998</v>
      </c>
      <c r="E4367">
        <v>0.51898440000000001</v>
      </c>
      <c r="F4367" t="s">
        <v>41</v>
      </c>
      <c r="G4367">
        <v>-277.92840000000001</v>
      </c>
      <c r="H4367" s="1">
        <v>-1.356391E-6</v>
      </c>
      <c r="I4367">
        <v>141.44040000000001</v>
      </c>
      <c r="J4367">
        <v>-252.5667</v>
      </c>
      <c r="K4367">
        <v>1.1088100000000001</v>
      </c>
      <c r="L4367">
        <v>141.2561</v>
      </c>
      <c r="M4367">
        <v>-0.99996419999999997</v>
      </c>
      <c r="N4367">
        <v>-8.4578629999999995E-3</v>
      </c>
      <c r="O4367">
        <v>4.1226739999999999E-4</v>
      </c>
      <c r="P4367">
        <v>-0.98682590000000003</v>
      </c>
      <c r="Q4367">
        <v>0.15411169999999999</v>
      </c>
      <c r="R4367">
        <v>-4.9238369999999997E-2</v>
      </c>
      <c r="S4367">
        <v>-3.0615839999999999</v>
      </c>
      <c r="T4367">
        <v>-0.13178319999999999</v>
      </c>
      <c r="U4367">
        <v>2.1942139999999999E-2</v>
      </c>
      <c r="V4367">
        <v>-4.9490640000000002E-2</v>
      </c>
      <c r="W4367">
        <v>0.162499799999999</v>
      </c>
      <c r="X4367">
        <v>0.98546670000000003</v>
      </c>
      <c r="Y4367">
        <v>6.747238E-3</v>
      </c>
      <c r="Z4367">
        <v>1.5944409999999999E-4</v>
      </c>
      <c r="AA4367">
        <v>0.99997720000000001</v>
      </c>
      <c r="AB4367">
        <v>40</v>
      </c>
      <c r="AC4367">
        <v>-25.361699999999999</v>
      </c>
      <c r="AD4367">
        <v>-1.108811356391</v>
      </c>
      <c r="AE4367">
        <v>0.18430000000000701</v>
      </c>
      <c r="AF4367">
        <v>0.173512169761142</v>
      </c>
      <c r="AG4367">
        <v>-1.108811356391</v>
      </c>
      <c r="AH4367">
        <v>25.3133915835514</v>
      </c>
      <c r="AI4367">
        <v>92.508084916805402</v>
      </c>
      <c r="AJ4367">
        <v>89.607268773433105</v>
      </c>
      <c r="AK4367">
        <v>25.3382588699249</v>
      </c>
      <c r="AL4367">
        <v>80.647977146911501</v>
      </c>
      <c r="AM4367">
        <v>92.875007857485897</v>
      </c>
      <c r="AN4367">
        <v>1.0000000626282599</v>
      </c>
    </row>
    <row r="4368" spans="1:40" x14ac:dyDescent="0.25">
      <c r="A4368" t="str">
        <f>"20190304155723051"</f>
        <v>20190304155723051</v>
      </c>
      <c r="B4368" t="str">
        <f>"1551686243048923"</f>
        <v>1551686243048923</v>
      </c>
      <c r="C4368" t="s">
        <v>40</v>
      </c>
      <c r="D4368">
        <v>4.9157989999999998</v>
      </c>
      <c r="E4368">
        <v>0.51830520000000002</v>
      </c>
      <c r="F4368" t="s">
        <v>41</v>
      </c>
      <c r="G4368">
        <v>-278.54719999999998</v>
      </c>
      <c r="H4368" s="1">
        <v>-1.0790050000000001E-6</v>
      </c>
      <c r="I4368">
        <v>141.3955</v>
      </c>
      <c r="J4368">
        <v>-252.9641</v>
      </c>
      <c r="K4368">
        <v>1.108819</v>
      </c>
      <c r="L4368">
        <v>141.25659999999999</v>
      </c>
      <c r="M4368">
        <v>-0.99996350000000001</v>
      </c>
      <c r="N4368">
        <v>-8.4961529999999993E-3</v>
      </c>
      <c r="O4368">
        <v>7.4694119999999995E-4</v>
      </c>
      <c r="P4368">
        <v>-0.98676149999999996</v>
      </c>
      <c r="Q4368">
        <v>0.15442259999999999</v>
      </c>
      <c r="R4368">
        <v>-4.9551400000000002E-2</v>
      </c>
      <c r="S4368">
        <v>-3.0612789999999999</v>
      </c>
      <c r="T4368">
        <v>-0.1306514</v>
      </c>
      <c r="U4368">
        <v>1.6433719999999999E-2</v>
      </c>
      <c r="V4368">
        <v>-5.0134770000000002E-2</v>
      </c>
      <c r="W4368">
        <v>0.16284799999999999</v>
      </c>
      <c r="X4368">
        <v>0.98537660000000005</v>
      </c>
      <c r="Y4368">
        <v>4.616612E-3</v>
      </c>
      <c r="Z4368" s="1">
        <v>9.2572999999999996E-5</v>
      </c>
      <c r="AA4368">
        <v>0.99998929999999997</v>
      </c>
      <c r="AB4368">
        <v>40</v>
      </c>
      <c r="AC4368">
        <v>-25.583099999999899</v>
      </c>
      <c r="AD4368">
        <v>-1.108820079005</v>
      </c>
      <c r="AE4368">
        <v>0.13890000000000599</v>
      </c>
      <c r="AF4368">
        <v>0.11956559791254</v>
      </c>
      <c r="AG4368">
        <v>-1.108820079005</v>
      </c>
      <c r="AH4368">
        <v>25.5352295908007</v>
      </c>
      <c r="AI4368">
        <v>92.486373972123602</v>
      </c>
      <c r="AJ4368">
        <v>89.731721461680394</v>
      </c>
      <c r="AK4368">
        <v>25.5595721434204</v>
      </c>
      <c r="AL4368">
        <v>80.6277568842264</v>
      </c>
      <c r="AM4368">
        <v>92.912628458623701</v>
      </c>
      <c r="AN4368">
        <v>1.00000000504725</v>
      </c>
    </row>
    <row r="4369" spans="1:40" x14ac:dyDescent="0.25">
      <c r="A4369" t="str">
        <f>"20190304155723073"</f>
        <v>20190304155723073</v>
      </c>
      <c r="B4369" t="str">
        <f>"1551686243069419"</f>
        <v>1551686243069419</v>
      </c>
      <c r="C4369" t="s">
        <v>40</v>
      </c>
      <c r="D4369">
        <v>4.9098560000000004</v>
      </c>
      <c r="E4369">
        <v>0.5178528</v>
      </c>
      <c r="F4369" t="s">
        <v>41</v>
      </c>
      <c r="G4369">
        <v>-279.37849999999997</v>
      </c>
      <c r="H4369" s="1">
        <v>-7.0931809999999899E-7</v>
      </c>
      <c r="I4369">
        <v>141.34639999999999</v>
      </c>
      <c r="J4369">
        <v>-253.35669999999999</v>
      </c>
      <c r="K4369">
        <v>1.108827</v>
      </c>
      <c r="L4369">
        <v>141.25720000000001</v>
      </c>
      <c r="M4369">
        <v>-0.99996309999999999</v>
      </c>
      <c r="N4369">
        <v>-8.5360899999999997E-3</v>
      </c>
      <c r="O4369">
        <v>1.076549E-3</v>
      </c>
      <c r="P4369">
        <v>-0.98672899999999997</v>
      </c>
      <c r="Q4369">
        <v>0.15485009999999999</v>
      </c>
      <c r="R4369">
        <v>-4.886799E-2</v>
      </c>
      <c r="S4369">
        <v>-3.0608520000000001</v>
      </c>
      <c r="T4369">
        <v>-0.12848780000000001</v>
      </c>
      <c r="U4369">
        <v>1.042175E-2</v>
      </c>
      <c r="V4369">
        <v>-4.9777090000000003E-2</v>
      </c>
      <c r="W4369">
        <v>0.16331319999999999</v>
      </c>
      <c r="X4369">
        <v>0.98531769999999996</v>
      </c>
      <c r="Y4369">
        <v>2.3263860000000002E-3</v>
      </c>
      <c r="Z4369" s="1">
        <v>2.2756559999999999E-5</v>
      </c>
      <c r="AA4369">
        <v>0.99999729999999998</v>
      </c>
      <c r="AB4369">
        <v>40</v>
      </c>
      <c r="AC4369">
        <v>-26.021799999999899</v>
      </c>
      <c r="AD4369">
        <v>-1.1088277093181</v>
      </c>
      <c r="AE4369">
        <v>8.9199999999976798E-2</v>
      </c>
      <c r="AF4369">
        <v>6.1074294340658399E-2</v>
      </c>
      <c r="AG4369">
        <v>-1.1088277093181</v>
      </c>
      <c r="AH4369">
        <v>25.974718191443401</v>
      </c>
      <c r="AI4369">
        <v>92.444393151977806</v>
      </c>
      <c r="AJ4369">
        <v>89.865280815447207</v>
      </c>
      <c r="AK4369">
        <v>25.9984463782604</v>
      </c>
      <c r="AL4369">
        <v>80.600740841812296</v>
      </c>
      <c r="AM4369">
        <v>92.892056665675199</v>
      </c>
      <c r="AN4369">
        <v>0.99999996495819798</v>
      </c>
    </row>
    <row r="4370" spans="1:40" x14ac:dyDescent="0.25">
      <c r="A4370" t="str">
        <f>"20190304155723095"</f>
        <v>20190304155723095</v>
      </c>
      <c r="B4370" t="str">
        <f>"1551686243088939"</f>
        <v>1551686243088939</v>
      </c>
      <c r="C4370" t="s">
        <v>40</v>
      </c>
      <c r="D4370">
        <v>4.9249210000000003</v>
      </c>
      <c r="E4370">
        <v>0.51741300000000001</v>
      </c>
      <c r="F4370" t="s">
        <v>78</v>
      </c>
      <c r="G4370">
        <v>-280.11849999999998</v>
      </c>
      <c r="H4370" s="1">
        <v>-4.2265589999999998E-6</v>
      </c>
      <c r="I4370">
        <v>141.33600000000001</v>
      </c>
      <c r="J4370">
        <v>-253.7629</v>
      </c>
      <c r="K4370">
        <v>1.108833</v>
      </c>
      <c r="L4370">
        <v>141.25790000000001</v>
      </c>
      <c r="M4370">
        <v>-0.99996229999999997</v>
      </c>
      <c r="N4370">
        <v>-8.5785989999999993E-3</v>
      </c>
      <c r="O4370">
        <v>1.416041E-3</v>
      </c>
      <c r="P4370">
        <v>-0.98657859999999997</v>
      </c>
      <c r="Q4370">
        <v>0.15586839999999999</v>
      </c>
      <c r="R4370">
        <v>-4.8661980000000001E-2</v>
      </c>
      <c r="S4370">
        <v>-3.0606990000000001</v>
      </c>
      <c r="T4370">
        <v>-0.12681519999999999</v>
      </c>
      <c r="U4370">
        <v>9.017944E-3</v>
      </c>
      <c r="V4370">
        <v>-4.9906319999999997E-2</v>
      </c>
      <c r="W4370">
        <v>0.16437209999999999</v>
      </c>
      <c r="X4370">
        <v>0.98513510000000004</v>
      </c>
      <c r="Y4370">
        <v>1.5294449999999999E-3</v>
      </c>
      <c r="Z4370" s="1">
        <v>-8.2671609999999994E-6</v>
      </c>
      <c r="AA4370">
        <v>0.99999879999999997</v>
      </c>
      <c r="AB4370">
        <v>40</v>
      </c>
      <c r="AC4370">
        <v>-26.3555999999999</v>
      </c>
      <c r="AD4370">
        <v>-1.1088372265590001</v>
      </c>
      <c r="AE4370">
        <v>7.8100000000006206E-2</v>
      </c>
      <c r="AF4370">
        <v>4.07058903609024E-2</v>
      </c>
      <c r="AG4370">
        <v>-1.1088372265590001</v>
      </c>
      <c r="AH4370">
        <v>26.309115674569</v>
      </c>
      <c r="AI4370">
        <v>92.413385552934699</v>
      </c>
      <c r="AJ4370">
        <v>89.911351111652905</v>
      </c>
      <c r="AK4370">
        <v>26.332503575284399</v>
      </c>
      <c r="AL4370">
        <v>80.539239535177899</v>
      </c>
      <c r="AM4370">
        <v>92.900088682443297</v>
      </c>
      <c r="AN4370">
        <v>0.99999999664318096</v>
      </c>
    </row>
    <row r="4371" spans="1:40" x14ac:dyDescent="0.25">
      <c r="A4371" t="str">
        <f>"20190304155723118"</f>
        <v>20190304155723118</v>
      </c>
      <c r="B4371" t="str">
        <f>"1551686243109435"</f>
        <v>1551686243109435</v>
      </c>
      <c r="C4371" t="s">
        <v>40</v>
      </c>
      <c r="D4371">
        <v>4.9552509999999996</v>
      </c>
      <c r="E4371">
        <v>0.51710920000000005</v>
      </c>
      <c r="F4371" t="s">
        <v>78</v>
      </c>
      <c r="G4371">
        <v>-281.26830000000001</v>
      </c>
      <c r="H4371" s="1">
        <v>-4.7300889999999997E-6</v>
      </c>
      <c r="I4371">
        <v>141.31630000000001</v>
      </c>
      <c r="J4371">
        <v>-254.15819999999999</v>
      </c>
      <c r="K4371">
        <v>1.108843</v>
      </c>
      <c r="L4371">
        <v>141.2587</v>
      </c>
      <c r="M4371">
        <v>-0.99996149999999995</v>
      </c>
      <c r="N4371">
        <v>-8.6202699999999993E-3</v>
      </c>
      <c r="O4371">
        <v>1.7395469999999999E-3</v>
      </c>
      <c r="P4371">
        <v>-0.9865005</v>
      </c>
      <c r="Q4371">
        <v>0.1564171</v>
      </c>
      <c r="R4371">
        <v>-4.8486590000000003E-2</v>
      </c>
      <c r="S4371">
        <v>-3.060638</v>
      </c>
      <c r="T4371">
        <v>-0.12338499999999999</v>
      </c>
      <c r="U4371">
        <v>6.5002439999999996E-3</v>
      </c>
      <c r="V4371">
        <v>-5.0050709999999998E-2</v>
      </c>
      <c r="W4371">
        <v>0.16496040000000001</v>
      </c>
      <c r="X4371">
        <v>0.9850295</v>
      </c>
      <c r="Y4371">
        <v>3.846985E-4</v>
      </c>
      <c r="Z4371" s="1">
        <v>-4.5697639999999997E-5</v>
      </c>
      <c r="AA4371">
        <v>0.99999990000000005</v>
      </c>
      <c r="AB4371">
        <v>40</v>
      </c>
      <c r="AC4371">
        <v>-27.110099999999999</v>
      </c>
      <c r="AD4371">
        <v>-1.1088477300890001</v>
      </c>
      <c r="AE4371">
        <v>5.7600000000007798E-2</v>
      </c>
      <c r="AF4371">
        <v>1.04214409615885E-2</v>
      </c>
      <c r="AG4371">
        <v>-1.1088477300890001</v>
      </c>
      <c r="AH4371">
        <v>27.064881335350002</v>
      </c>
      <c r="AI4371">
        <v>92.346094858857299</v>
      </c>
      <c r="AJ4371">
        <v>89.9779380317011</v>
      </c>
      <c r="AK4371">
        <v>27.087588552536999</v>
      </c>
      <c r="AL4371">
        <v>80.505066556895599</v>
      </c>
      <c r="AM4371">
        <v>92.908776159605296</v>
      </c>
      <c r="AN4371">
        <v>1.00000006150495</v>
      </c>
    </row>
    <row r="4372" spans="1:40" x14ac:dyDescent="0.25">
      <c r="A4372" t="str">
        <f>"20190304155723140"</f>
        <v>20190304155723140</v>
      </c>
      <c r="B4372" t="str">
        <f>"1551686243128955"</f>
        <v>1551686243128955</v>
      </c>
      <c r="C4372" t="s">
        <v>40</v>
      </c>
      <c r="D4372">
        <v>4.8538399999999999</v>
      </c>
      <c r="E4372">
        <v>0.51681179999999904</v>
      </c>
      <c r="F4372" t="s">
        <v>78</v>
      </c>
      <c r="G4372">
        <v>-282.02330000000001</v>
      </c>
      <c r="H4372" s="1">
        <v>-5.058235E-6</v>
      </c>
      <c r="I4372">
        <v>141.29580000000001</v>
      </c>
      <c r="J4372">
        <v>-254.54509999999999</v>
      </c>
      <c r="K4372">
        <v>1.108859</v>
      </c>
      <c r="L4372">
        <v>141.25960000000001</v>
      </c>
      <c r="M4372">
        <v>-0.99996050000000003</v>
      </c>
      <c r="N4372">
        <v>-8.6624340000000001E-3</v>
      </c>
      <c r="O4372">
        <v>2.044541E-3</v>
      </c>
      <c r="P4372">
        <v>-0.98648639999999999</v>
      </c>
      <c r="Q4372">
        <v>0.15674769999999999</v>
      </c>
      <c r="R4372">
        <v>-4.7695210000000002E-2</v>
      </c>
      <c r="S4372">
        <v>-3.060562</v>
      </c>
      <c r="T4372">
        <v>-0.1217906</v>
      </c>
      <c r="U4372">
        <v>4.0740969999999996E-3</v>
      </c>
      <c r="V4372">
        <v>-4.9562849999999999E-2</v>
      </c>
      <c r="W4372">
        <v>0.16533149999999999</v>
      </c>
      <c r="X4372">
        <v>0.98499190000000003</v>
      </c>
      <c r="Y4372">
        <v>-7.1178339999999896E-4</v>
      </c>
      <c r="Z4372" s="1">
        <v>-8.0862709999999995E-5</v>
      </c>
      <c r="AA4372">
        <v>0.99999979999999999</v>
      </c>
      <c r="AB4372">
        <v>40</v>
      </c>
      <c r="AC4372">
        <v>-27.478200000000001</v>
      </c>
      <c r="AD4372">
        <v>-1.108864058235</v>
      </c>
      <c r="AE4372">
        <v>3.6200000000007997E-2</v>
      </c>
      <c r="AF4372">
        <v>-1.9949996012445698E-2</v>
      </c>
      <c r="AG4372">
        <v>-1.108864058235</v>
      </c>
      <c r="AH4372">
        <v>27.4335419269098</v>
      </c>
      <c r="AI4372">
        <v>92.314635425106204</v>
      </c>
      <c r="AJ4372">
        <v>90.041666160875806</v>
      </c>
      <c r="AK4372">
        <v>27.455950177648202</v>
      </c>
      <c r="AL4372">
        <v>80.483507602639193</v>
      </c>
      <c r="AM4372">
        <v>92.880581158582402</v>
      </c>
      <c r="AN4372">
        <v>1.00000001202899</v>
      </c>
    </row>
    <row r="4373" spans="1:40" x14ac:dyDescent="0.25">
      <c r="A4373" t="str">
        <f>"20190304155723162"</f>
        <v>20190304155723162</v>
      </c>
      <c r="B4373" t="str">
        <f>"1551686243159605"</f>
        <v>1551686243159605</v>
      </c>
      <c r="C4373" t="s">
        <v>40</v>
      </c>
      <c r="D4373">
        <v>4.9639949999999997</v>
      </c>
      <c r="E4373">
        <v>0.51625959999999904</v>
      </c>
      <c r="F4373" t="s">
        <v>78</v>
      </c>
      <c r="G4373">
        <v>-282.29469999999998</v>
      </c>
      <c r="H4373" s="1">
        <v>-5.1772399999999996E-6</v>
      </c>
      <c r="I4373">
        <v>141.29159999999999</v>
      </c>
      <c r="J4373">
        <v>-254.96090000000001</v>
      </c>
      <c r="K4373">
        <v>1.108873</v>
      </c>
      <c r="L4373">
        <v>141.26070000000001</v>
      </c>
      <c r="M4373">
        <v>-0.99995940000000005</v>
      </c>
      <c r="N4373">
        <v>-8.7098669999999996E-3</v>
      </c>
      <c r="O4373">
        <v>2.3517159999999998E-3</v>
      </c>
      <c r="P4373">
        <v>-0.9864271</v>
      </c>
      <c r="Q4373">
        <v>0.15721459999999901</v>
      </c>
      <c r="R4373">
        <v>-4.7387180000000001E-2</v>
      </c>
      <c r="S4373">
        <v>-3.0606990000000001</v>
      </c>
      <c r="T4373">
        <v>-0.1223047</v>
      </c>
      <c r="U4373">
        <v>3.5247799999999999E-3</v>
      </c>
      <c r="V4373">
        <v>-4.9563240000000001E-2</v>
      </c>
      <c r="W4373">
        <v>0.1658422</v>
      </c>
      <c r="X4373">
        <v>0.98490599999999995</v>
      </c>
      <c r="Y4373">
        <v>-1.19787E-3</v>
      </c>
      <c r="Z4373">
        <v>-1.02602099999999E-4</v>
      </c>
      <c r="AA4373">
        <v>0.99999930000000004</v>
      </c>
      <c r="AB4373">
        <v>40</v>
      </c>
      <c r="AC4373">
        <v>-27.333799999999901</v>
      </c>
      <c r="AD4373">
        <v>-1.10887817723999</v>
      </c>
      <c r="AE4373">
        <v>3.0899999999974101E-2</v>
      </c>
      <c r="AF4373">
        <v>-3.33290007948066E-2</v>
      </c>
      <c r="AG4373">
        <v>-1.10887817723999</v>
      </c>
      <c r="AH4373">
        <v>27.2888860610047</v>
      </c>
      <c r="AI4373">
        <v>92.326920119049902</v>
      </c>
      <c r="AJ4373">
        <v>90.069977577214303</v>
      </c>
      <c r="AK4373">
        <v>27.311426621191899</v>
      </c>
      <c r="AL4373">
        <v>80.453836834798693</v>
      </c>
      <c r="AM4373">
        <v>92.880854599931794</v>
      </c>
      <c r="AN4373">
        <v>0.99999998944806801</v>
      </c>
    </row>
    <row r="4374" spans="1:40" x14ac:dyDescent="0.25">
      <c r="A4374" t="str">
        <f>"20190304155723186"</f>
        <v>20190304155723186</v>
      </c>
      <c r="B4374" t="str">
        <f>"1551686243179125"</f>
        <v>1551686243179125</v>
      </c>
      <c r="C4374" t="s">
        <v>40</v>
      </c>
      <c r="D4374">
        <v>4.9486239999999997</v>
      </c>
      <c r="E4374">
        <v>0.51609090000000002</v>
      </c>
      <c r="F4374" t="s">
        <v>78</v>
      </c>
      <c r="G4374">
        <v>-283.11860000000001</v>
      </c>
      <c r="H4374" s="1">
        <v>-5.533293E-6</v>
      </c>
      <c r="I4374">
        <v>141.2628</v>
      </c>
      <c r="J4374">
        <v>-255.38210000000001</v>
      </c>
      <c r="K4374">
        <v>1.1088990000000001</v>
      </c>
      <c r="L4374">
        <v>141.262</v>
      </c>
      <c r="M4374">
        <v>-0.99995829999999997</v>
      </c>
      <c r="N4374">
        <v>-8.7601099999999998E-3</v>
      </c>
      <c r="O4374">
        <v>2.6319830000000001E-3</v>
      </c>
      <c r="P4374">
        <v>-0.98644920000000003</v>
      </c>
      <c r="Q4374">
        <v>0.1571466</v>
      </c>
      <c r="R4374">
        <v>-4.7151789999999999E-2</v>
      </c>
      <c r="S4374">
        <v>-3.060486</v>
      </c>
      <c r="T4374">
        <v>-0.1205251</v>
      </c>
      <c r="U4374">
        <v>2.2888180000000001E-4</v>
      </c>
      <c r="V4374">
        <v>-4.9612730000000001E-2</v>
      </c>
      <c r="W4374">
        <v>0.16582149999999901</v>
      </c>
      <c r="X4374">
        <v>0.98490699999999998</v>
      </c>
      <c r="Y4374">
        <v>-2.5536449999999998E-3</v>
      </c>
      <c r="Z4374">
        <v>-1.420138E-4</v>
      </c>
      <c r="AA4374">
        <v>0.99999669999999896</v>
      </c>
      <c r="AB4374">
        <v>40</v>
      </c>
      <c r="AC4374">
        <v>-27.736499999999999</v>
      </c>
      <c r="AD4374">
        <v>-1.1089045332930001</v>
      </c>
      <c r="AE4374">
        <v>7.9999999999813499E-4</v>
      </c>
      <c r="AF4374">
        <v>-7.2089562843023994E-2</v>
      </c>
      <c r="AG4374">
        <v>-1.1089045332930001</v>
      </c>
      <c r="AH4374">
        <v>27.692142954620699</v>
      </c>
      <c r="AI4374">
        <v>92.293120008855595</v>
      </c>
      <c r="AJ4374">
        <v>90.149154883901303</v>
      </c>
      <c r="AK4374">
        <v>27.714430313253299</v>
      </c>
      <c r="AL4374">
        <v>80.455039570293806</v>
      </c>
      <c r="AM4374">
        <v>92.883723421446604</v>
      </c>
      <c r="AN4374">
        <v>0.99999999574465104</v>
      </c>
    </row>
    <row r="4375" spans="1:40" x14ac:dyDescent="0.25">
      <c r="A4375" t="str">
        <f>"20190304155723209"</f>
        <v>20190304155723209</v>
      </c>
      <c r="B4375" t="str">
        <f>"1551686243199621"</f>
        <v>1551686243199621</v>
      </c>
      <c r="C4375" t="s">
        <v>40</v>
      </c>
      <c r="D4375">
        <v>4.7997290000000001</v>
      </c>
      <c r="E4375">
        <v>0.51660660000000003</v>
      </c>
      <c r="F4375" t="s">
        <v>78</v>
      </c>
      <c r="G4375">
        <v>-283.63150000000002</v>
      </c>
      <c r="H4375" s="1">
        <v>-5.7593769999999999E-6</v>
      </c>
      <c r="I4375">
        <v>141.2586</v>
      </c>
      <c r="J4375">
        <v>-255.7912</v>
      </c>
      <c r="K4375">
        <v>1.1089279999999999</v>
      </c>
      <c r="L4375">
        <v>141.26320000000001</v>
      </c>
      <c r="M4375">
        <v>-0.99995710000000004</v>
      </c>
      <c r="N4375">
        <v>-8.8083150000000006E-3</v>
      </c>
      <c r="O4375">
        <v>2.864676E-3</v>
      </c>
      <c r="P4375">
        <v>-0.9864811</v>
      </c>
      <c r="Q4375">
        <v>0.15717039999999999</v>
      </c>
      <c r="R4375">
        <v>-4.6393610000000002E-2</v>
      </c>
      <c r="S4375">
        <v>-3.060333</v>
      </c>
      <c r="T4375">
        <v>-0.12013070000000001</v>
      </c>
      <c r="U4375">
        <v>-3.6621089999999999E-4</v>
      </c>
      <c r="V4375">
        <v>-4.9096010000000002E-2</v>
      </c>
      <c r="W4375">
        <v>0.16588919999999999</v>
      </c>
      <c r="X4375">
        <v>0.98492150000000001</v>
      </c>
      <c r="Y4375">
        <v>-2.9803130000000001E-3</v>
      </c>
      <c r="Z4375">
        <v>-1.5878539999999999E-4</v>
      </c>
      <c r="AA4375">
        <v>0.99999550000000004</v>
      </c>
      <c r="AB4375">
        <v>40</v>
      </c>
      <c r="AC4375">
        <v>-27.840299999999999</v>
      </c>
      <c r="AD4375">
        <v>-1.1089337593769999</v>
      </c>
      <c r="AE4375">
        <v>-4.6000000000105904E-3</v>
      </c>
      <c r="AF4375">
        <v>-8.4222887872306806E-2</v>
      </c>
      <c r="AG4375">
        <v>-1.1089337593769999</v>
      </c>
      <c r="AH4375">
        <v>27.796071745220999</v>
      </c>
      <c r="AI4375">
        <v>92.284612598495698</v>
      </c>
      <c r="AJ4375">
        <v>90.173607310043295</v>
      </c>
      <c r="AK4375">
        <v>27.818311092569999</v>
      </c>
      <c r="AL4375">
        <v>80.451106238857903</v>
      </c>
      <c r="AM4375">
        <v>92.853697207616506</v>
      </c>
      <c r="AN4375">
        <v>1.0000000030184</v>
      </c>
    </row>
    <row r="4376" spans="1:40" x14ac:dyDescent="0.25">
      <c r="A4376" t="str">
        <f>"20190304155723229"</f>
        <v>20190304155723229</v>
      </c>
      <c r="B4376" t="str">
        <f>"1551686243219141"</f>
        <v>1551686243219141</v>
      </c>
      <c r="C4376" t="s">
        <v>40</v>
      </c>
      <c r="D4376">
        <v>4.8778930000000003</v>
      </c>
      <c r="E4376">
        <v>0.58519529999999997</v>
      </c>
      <c r="F4376" t="s">
        <v>78</v>
      </c>
      <c r="G4376">
        <v>-284.31180000000001</v>
      </c>
      <c r="H4376" s="1">
        <v>-6.0807029999999999E-6</v>
      </c>
      <c r="I4376">
        <v>141.3192</v>
      </c>
      <c r="J4376">
        <v>-256.16930000000002</v>
      </c>
      <c r="K4376">
        <v>1.108967</v>
      </c>
      <c r="L4376">
        <v>141.26439999999999</v>
      </c>
      <c r="M4376">
        <v>-0.99995639999999997</v>
      </c>
      <c r="N4376">
        <v>-8.8536640000000007E-3</v>
      </c>
      <c r="O4376">
        <v>3.0365269999999998E-3</v>
      </c>
      <c r="P4376">
        <v>-0.98659640000000004</v>
      </c>
      <c r="Q4376">
        <v>0.15659319999999999</v>
      </c>
      <c r="R4376">
        <v>-4.5897060000000003E-2</v>
      </c>
      <c r="S4376">
        <v>-3.0603790000000002</v>
      </c>
      <c r="T4376">
        <v>-0.118993</v>
      </c>
      <c r="U4376">
        <v>6.0119630000000004E-3</v>
      </c>
      <c r="V4376">
        <v>-4.8783470000000002E-2</v>
      </c>
      <c r="W4376">
        <v>0.16535269999999999</v>
      </c>
      <c r="X4376">
        <v>0.98502730000000005</v>
      </c>
      <c r="Y4376">
        <v>-1.069841E-3</v>
      </c>
      <c r="Z4376">
        <v>-1.1667270000000001E-4</v>
      </c>
      <c r="AA4376">
        <v>0.99999939999999998</v>
      </c>
      <c r="AB4376">
        <v>40</v>
      </c>
      <c r="AC4376">
        <v>-28.142499999999899</v>
      </c>
      <c r="AD4376">
        <v>-1.108973080703</v>
      </c>
      <c r="AE4376">
        <v>5.4800000000000099E-2</v>
      </c>
      <c r="AF4376">
        <v>-3.0611512259860901E-2</v>
      </c>
      <c r="AG4376">
        <v>-1.108973080703</v>
      </c>
      <c r="AH4376">
        <v>28.098904725849</v>
      </c>
      <c r="AI4376">
        <v>92.260105176281002</v>
      </c>
      <c r="AJ4376">
        <v>90.062419150505903</v>
      </c>
      <c r="AK4376">
        <v>28.120796666359698</v>
      </c>
      <c r="AL4376">
        <v>80.482276460874402</v>
      </c>
      <c r="AM4376">
        <v>92.835256550720302</v>
      </c>
      <c r="AN4376">
        <v>1.0000000620439</v>
      </c>
    </row>
    <row r="4377" spans="1:40" x14ac:dyDescent="0.25">
      <c r="A4377" t="str">
        <f>"20190304155723252"</f>
        <v>20190304155723252</v>
      </c>
      <c r="B4377" t="str">
        <f>"1551686243249398"</f>
        <v>1551686243249398</v>
      </c>
      <c r="C4377" t="s">
        <v>40</v>
      </c>
      <c r="D4377">
        <v>4.8458779999999999</v>
      </c>
      <c r="E4377">
        <v>0.58490940000000002</v>
      </c>
      <c r="F4377" t="s">
        <v>80</v>
      </c>
      <c r="G4377">
        <v>-443.71069999999997</v>
      </c>
      <c r="H4377">
        <v>2.1857139999999999</v>
      </c>
      <c r="I4377">
        <v>174.9932</v>
      </c>
      <c r="J4377">
        <v>-256.57639999999998</v>
      </c>
      <c r="K4377">
        <v>1.1090169999999999</v>
      </c>
      <c r="L4377">
        <v>141.26580000000001</v>
      </c>
      <c r="M4377">
        <v>-0.99995540000000005</v>
      </c>
      <c r="N4377">
        <v>-8.9028969999999999E-3</v>
      </c>
      <c r="O4377">
        <v>3.170371E-3</v>
      </c>
      <c r="P4377">
        <v>-0.98662380000000005</v>
      </c>
      <c r="Q4377">
        <v>0.15639710000000001</v>
      </c>
      <c r="R4377">
        <v>-4.5971680000000001E-2</v>
      </c>
      <c r="S4377">
        <v>-3.063599</v>
      </c>
      <c r="T4377">
        <v>1.7589569999999999E-2</v>
      </c>
      <c r="U4377">
        <v>0.55097959999999901</v>
      </c>
      <c r="V4377">
        <v>-4.9006889999999997E-2</v>
      </c>
      <c r="W4377">
        <v>0.1652013</v>
      </c>
      <c r="X4377">
        <v>0.98504159999999996</v>
      </c>
      <c r="Y4377">
        <v>0.17388789999999901</v>
      </c>
      <c r="Z4377">
        <v>3.3107409999999997E-4</v>
      </c>
      <c r="AA4377">
        <v>0.98476540000000001</v>
      </c>
      <c r="AB4377">
        <v>40</v>
      </c>
      <c r="AC4377">
        <v>-187.1343</v>
      </c>
      <c r="AD4377">
        <v>1.076697</v>
      </c>
      <c r="AE4377">
        <v>33.727399999999903</v>
      </c>
      <c r="AF4377">
        <v>33.132859525439699</v>
      </c>
      <c r="AG4377">
        <v>1.076697</v>
      </c>
      <c r="AH4377">
        <v>187.23428886173801</v>
      </c>
      <c r="AI4377">
        <v>89.675562891541603</v>
      </c>
      <c r="AJ4377">
        <v>79.964863807379501</v>
      </c>
      <c r="AK4377">
        <v>190.14632413571201</v>
      </c>
      <c r="AL4377">
        <v>80.491071882131294</v>
      </c>
      <c r="AM4377">
        <v>92.848178930931894</v>
      </c>
      <c r="AN4377">
        <v>1.00000004925986</v>
      </c>
    </row>
    <row r="4378" spans="1:40" x14ac:dyDescent="0.25">
      <c r="A4378" t="str">
        <f>"20190304155723274"</f>
        <v>20190304155723274</v>
      </c>
      <c r="B4378" t="str">
        <f>"1551686243268918"</f>
        <v>1551686243268918</v>
      </c>
      <c r="C4378" t="s">
        <v>40</v>
      </c>
      <c r="D4378">
        <v>4.8336439999999996</v>
      </c>
      <c r="E4378">
        <v>0.58550000000000002</v>
      </c>
      <c r="F4378" t="s">
        <v>80</v>
      </c>
      <c r="G4378">
        <v>-443.8177</v>
      </c>
      <c r="H4378">
        <v>2.1131039999999999</v>
      </c>
      <c r="I4378">
        <v>174.79939999999999</v>
      </c>
      <c r="J4378">
        <v>-256.98570000000001</v>
      </c>
      <c r="K4378">
        <v>1.109065</v>
      </c>
      <c r="L4378">
        <v>141.2672</v>
      </c>
      <c r="M4378">
        <v>-0.99995480000000003</v>
      </c>
      <c r="N4378">
        <v>-8.9505560000000001E-3</v>
      </c>
      <c r="O4378">
        <v>3.2616670000000002E-3</v>
      </c>
      <c r="P4378">
        <v>-0.98667099999999996</v>
      </c>
      <c r="Q4378">
        <v>0.15614029999999901</v>
      </c>
      <c r="R4378">
        <v>-4.5836469999999997E-2</v>
      </c>
      <c r="S4378">
        <v>-3.0636290000000002</v>
      </c>
      <c r="T4378">
        <v>1.642907E-2</v>
      </c>
      <c r="U4378">
        <v>0.54867549999999998</v>
      </c>
      <c r="V4378">
        <v>-4.8978140000000003E-2</v>
      </c>
      <c r="W4378">
        <v>0.16498679999999999</v>
      </c>
      <c r="X4378">
        <v>0.98507889999999998</v>
      </c>
      <c r="Y4378">
        <v>0.17307879999999901</v>
      </c>
      <c r="Z4378">
        <v>3.6660650000000001E-4</v>
      </c>
      <c r="AA4378">
        <v>0.98490789999999995</v>
      </c>
      <c r="AB4378">
        <v>40</v>
      </c>
      <c r="AC4378">
        <v>-186.83199999999999</v>
      </c>
      <c r="AD4378">
        <v>1.0040389999999999</v>
      </c>
      <c r="AE4378">
        <v>33.532199999999897</v>
      </c>
      <c r="AF4378">
        <v>32.921692436579399</v>
      </c>
      <c r="AG4378">
        <v>1.0040389999999999</v>
      </c>
      <c r="AH4378">
        <v>186.935151119143</v>
      </c>
      <c r="AI4378">
        <v>89.696928191845501</v>
      </c>
      <c r="AJ4378">
        <v>80.011896237679693</v>
      </c>
      <c r="AK4378">
        <v>189.81463761032501</v>
      </c>
      <c r="AL4378">
        <v>80.503532065329694</v>
      </c>
      <c r="AM4378">
        <v>92.846403183489997</v>
      </c>
      <c r="AN4378">
        <v>0.99999997079865399</v>
      </c>
    </row>
    <row r="4379" spans="1:40" x14ac:dyDescent="0.25">
      <c r="A4379" t="str">
        <f>"20190304155723288"</f>
        <v>20190304155723288</v>
      </c>
      <c r="B4379" t="str">
        <f>"1551686243279653"</f>
        <v>1551686243279653</v>
      </c>
      <c r="C4379" t="s">
        <v>40</v>
      </c>
      <c r="D4379">
        <v>4.8239580000000002</v>
      </c>
      <c r="E4379">
        <v>0.58548990000000001</v>
      </c>
      <c r="F4379" t="s">
        <v>80</v>
      </c>
      <c r="G4379">
        <v>-443.69389999999999</v>
      </c>
      <c r="H4379">
        <v>2.0037479999999999</v>
      </c>
      <c r="I4379">
        <v>175.02369999999999</v>
      </c>
      <c r="J4379">
        <v>-257.24720000000002</v>
      </c>
      <c r="K4379">
        <v>1.1090899999999999</v>
      </c>
      <c r="L4379">
        <v>141.268</v>
      </c>
      <c r="M4379">
        <v>-0.99995420000000002</v>
      </c>
      <c r="N4379">
        <v>-8.9796500000000005E-3</v>
      </c>
      <c r="O4379">
        <v>3.304216E-3</v>
      </c>
      <c r="P4379">
        <v>-0.98667570000000004</v>
      </c>
      <c r="Q4379">
        <v>0.15614700000000001</v>
      </c>
      <c r="R4379">
        <v>-4.5706910000000003E-2</v>
      </c>
      <c r="S4379">
        <v>-3.0639340000000002</v>
      </c>
      <c r="T4379">
        <v>1.4682290000000001E-2</v>
      </c>
      <c r="U4379">
        <v>0.55395509999999903</v>
      </c>
      <c r="V4379">
        <v>-4.8900369999999999E-2</v>
      </c>
      <c r="W4379">
        <v>0.1650192</v>
      </c>
      <c r="X4379">
        <v>0.98507739999999999</v>
      </c>
      <c r="Y4379">
        <v>0.1746636</v>
      </c>
      <c r="Z4379">
        <v>4.2054259999999997E-4</v>
      </c>
      <c r="AA4379">
        <v>0.98462810000000001</v>
      </c>
      <c r="AB4379">
        <v>41</v>
      </c>
      <c r="AC4379">
        <v>-186.44669999999999</v>
      </c>
      <c r="AD4379">
        <v>0.89465799999999995</v>
      </c>
      <c r="AE4379">
        <v>33.755699999999898</v>
      </c>
      <c r="AF4379">
        <v>33.138691881821899</v>
      </c>
      <c r="AG4379">
        <v>0.89465799999999995</v>
      </c>
      <c r="AH4379">
        <v>186.553063634453</v>
      </c>
      <c r="AI4379">
        <v>89.729462228092899</v>
      </c>
      <c r="AJ4379">
        <v>79.927231386393601</v>
      </c>
      <c r="AK4379">
        <v>189.47564187508499</v>
      </c>
      <c r="AL4379">
        <v>80.501650481965001</v>
      </c>
      <c r="AM4379">
        <v>92.841895254071204</v>
      </c>
      <c r="AN4379">
        <v>1.0000000332727601</v>
      </c>
    </row>
    <row r="4380" spans="1:40" x14ac:dyDescent="0.25">
      <c r="A4380" t="str">
        <f>"20190304155723307"</f>
        <v>20190304155723307</v>
      </c>
      <c r="B4380" t="str">
        <f>"1551686243299173"</f>
        <v>1551686243299173</v>
      </c>
      <c r="C4380" t="s">
        <v>40</v>
      </c>
      <c r="D4380">
        <v>4.8068089999999897</v>
      </c>
      <c r="E4380">
        <v>0.58565059999999902</v>
      </c>
      <c r="F4380" t="s">
        <v>80</v>
      </c>
      <c r="G4380">
        <v>-443.70429999999999</v>
      </c>
      <c r="H4380">
        <v>1.9301740000000001</v>
      </c>
      <c r="I4380">
        <v>175.00479999999999</v>
      </c>
      <c r="J4380">
        <v>-257.58539999999999</v>
      </c>
      <c r="K4380">
        <v>1.109111</v>
      </c>
      <c r="L4380">
        <v>141.26920000000001</v>
      </c>
      <c r="M4380">
        <v>-0.99995369999999995</v>
      </c>
      <c r="N4380">
        <v>-9.0176820000000008E-3</v>
      </c>
      <c r="O4380">
        <v>3.3394969999999999E-3</v>
      </c>
      <c r="P4380">
        <v>-0.98670060000000004</v>
      </c>
      <c r="Q4380">
        <v>0.15595400000000001</v>
      </c>
      <c r="R4380">
        <v>-4.5824330000000003E-2</v>
      </c>
      <c r="S4380">
        <v>-3.0640559999999999</v>
      </c>
      <c r="T4380">
        <v>1.349318E-2</v>
      </c>
      <c r="U4380">
        <v>0.55439759999999905</v>
      </c>
      <c r="V4380">
        <v>-4.9062799999999997E-2</v>
      </c>
      <c r="W4380">
        <v>0.16486120000000001</v>
      </c>
      <c r="X4380">
        <v>0.98509570000000002</v>
      </c>
      <c r="Y4380">
        <v>0.17475969999999999</v>
      </c>
      <c r="Z4380">
        <v>4.5708860000000001E-4</v>
      </c>
      <c r="AA4380">
        <v>0.98461100000000001</v>
      </c>
      <c r="AB4380">
        <v>41</v>
      </c>
      <c r="AC4380">
        <v>-186.1189</v>
      </c>
      <c r="AD4380">
        <v>0.82106299999999999</v>
      </c>
      <c r="AE4380">
        <v>33.735599999999899</v>
      </c>
      <c r="AF4380">
        <v>33.1132191220088</v>
      </c>
      <c r="AG4380">
        <v>0.82106299999999999</v>
      </c>
      <c r="AH4380">
        <v>186.227017677763</v>
      </c>
      <c r="AI4380">
        <v>89.751289281356605</v>
      </c>
      <c r="AJ4380">
        <v>79.917554794210005</v>
      </c>
      <c r="AK4380">
        <v>189.14983885329099</v>
      </c>
      <c r="AL4380">
        <v>80.510828185618806</v>
      </c>
      <c r="AM4380">
        <v>92.8512666072954</v>
      </c>
      <c r="AN4380">
        <v>0.99999995588388402</v>
      </c>
    </row>
    <row r="4381" spans="1:40" x14ac:dyDescent="0.25">
      <c r="A4381" t="str">
        <f>"20190304155723329"</f>
        <v>20190304155723329</v>
      </c>
      <c r="B4381" t="str">
        <f>"1551686243319685"</f>
        <v>1551686243319685</v>
      </c>
      <c r="C4381" t="s">
        <v>40</v>
      </c>
      <c r="D4381">
        <v>4.7906060000000004</v>
      </c>
      <c r="E4381">
        <v>0.58627439999999997</v>
      </c>
      <c r="F4381" t="s">
        <v>80</v>
      </c>
      <c r="G4381">
        <v>-443.70549999999997</v>
      </c>
      <c r="H4381">
        <v>1.825294</v>
      </c>
      <c r="I4381">
        <v>175.0027</v>
      </c>
      <c r="J4381">
        <v>-257.9753</v>
      </c>
      <c r="K4381">
        <v>1.1091359999999999</v>
      </c>
      <c r="L4381">
        <v>141.2705</v>
      </c>
      <c r="M4381">
        <v>-0.99995339999999999</v>
      </c>
      <c r="N4381">
        <v>-9.0618000000000001E-3</v>
      </c>
      <c r="O4381">
        <v>3.3634400000000001E-3</v>
      </c>
      <c r="P4381">
        <v>-0.98665009999999997</v>
      </c>
      <c r="Q4381">
        <v>0.15636079999999999</v>
      </c>
      <c r="R4381">
        <v>-4.5532780000000002E-2</v>
      </c>
      <c r="S4381">
        <v>-3.064362</v>
      </c>
      <c r="T4381">
        <v>1.179183E-2</v>
      </c>
      <c r="U4381">
        <v>0.55540469999999997</v>
      </c>
      <c r="V4381">
        <v>-4.880309E-2</v>
      </c>
      <c r="W4381">
        <v>0.16530799999999901</v>
      </c>
      <c r="X4381">
        <v>0.98503379999999996</v>
      </c>
      <c r="Y4381">
        <v>0.1750322</v>
      </c>
      <c r="Z4381">
        <v>5.0850190000000005E-4</v>
      </c>
      <c r="AA4381">
        <v>0.98456259999999995</v>
      </c>
      <c r="AB4381">
        <v>41</v>
      </c>
      <c r="AC4381">
        <v>-185.7302</v>
      </c>
      <c r="AD4381">
        <v>0.71615799999999896</v>
      </c>
      <c r="AE4381">
        <v>33.732199999999999</v>
      </c>
      <c r="AF4381">
        <v>33.106814706142004</v>
      </c>
      <c r="AG4381">
        <v>0.71615799999999896</v>
      </c>
      <c r="AH4381">
        <v>185.83993539193</v>
      </c>
      <c r="AI4381">
        <v>89.782626804954404</v>
      </c>
      <c r="AJ4381">
        <v>79.898900222727406</v>
      </c>
      <c r="AK4381">
        <v>188.76719961037901</v>
      </c>
      <c r="AL4381">
        <v>80.484873028937102</v>
      </c>
      <c r="AM4381">
        <v>92.836376301698806</v>
      </c>
      <c r="AN4381">
        <v>1.00000003179999</v>
      </c>
    </row>
    <row r="4382" spans="1:40" x14ac:dyDescent="0.25">
      <c r="A4382" t="str">
        <f>"20190304155723352"</f>
        <v>20190304155723352</v>
      </c>
      <c r="B4382" t="str">
        <f>"1551686243348949"</f>
        <v>1551686243348949</v>
      </c>
      <c r="C4382" t="s">
        <v>40</v>
      </c>
      <c r="D4382">
        <v>4.7981109999999996</v>
      </c>
      <c r="E4382">
        <v>0.58715899999999999</v>
      </c>
      <c r="F4382" t="s">
        <v>80</v>
      </c>
      <c r="G4382">
        <v>-443.56830000000002</v>
      </c>
      <c r="H4382">
        <v>1.943678</v>
      </c>
      <c r="I4382">
        <v>175.25110000000001</v>
      </c>
      <c r="J4382">
        <v>-258.38990000000001</v>
      </c>
      <c r="K4382">
        <v>1.1091660000000001</v>
      </c>
      <c r="L4382">
        <v>141.27189999999999</v>
      </c>
      <c r="M4382">
        <v>-0.99995299999999998</v>
      </c>
      <c r="N4382">
        <v>-9.1108839999999996E-3</v>
      </c>
      <c r="O4382">
        <v>3.3738150000000001E-3</v>
      </c>
      <c r="P4382">
        <v>-0.98656259999999996</v>
      </c>
      <c r="Q4382">
        <v>0.15690490000000001</v>
      </c>
      <c r="R4382">
        <v>-4.5556050000000001E-2</v>
      </c>
      <c r="S4382">
        <v>-3.0643009999999999</v>
      </c>
      <c r="T4382">
        <v>1.377928E-2</v>
      </c>
      <c r="U4382">
        <v>0.56105039999999995</v>
      </c>
      <c r="V4382">
        <v>-4.8843739999999997E-2</v>
      </c>
      <c r="W4382">
        <v>0.16589770000000001</v>
      </c>
      <c r="X4382">
        <v>0.98493260000000005</v>
      </c>
      <c r="Y4382">
        <v>0.17678099999999999</v>
      </c>
      <c r="Z4382">
        <v>4.6331029999999997E-4</v>
      </c>
      <c r="AA4382">
        <v>0.98425010000000002</v>
      </c>
      <c r="AB4382">
        <v>41</v>
      </c>
      <c r="AC4382">
        <v>-185.17840000000001</v>
      </c>
      <c r="AD4382">
        <v>0.83451199999999903</v>
      </c>
      <c r="AE4382">
        <v>33.979199999999999</v>
      </c>
      <c r="AF4382">
        <v>33.353567817737797</v>
      </c>
      <c r="AG4382">
        <v>0.83451199999999903</v>
      </c>
      <c r="AH4382">
        <v>185.28834985912599</v>
      </c>
      <c r="AI4382">
        <v>89.746031658867594</v>
      </c>
      <c r="AJ4382">
        <v>79.795527624446606</v>
      </c>
      <c r="AK4382">
        <v>188.268238133702</v>
      </c>
      <c r="AL4382">
        <v>80.450612277151606</v>
      </c>
      <c r="AM4382">
        <v>92.839026165160604</v>
      </c>
      <c r="AN4382">
        <v>0.99999999217261804</v>
      </c>
    </row>
    <row r="4383" spans="1:40" x14ac:dyDescent="0.25">
      <c r="A4383" t="str">
        <f>"20190304155723374"</f>
        <v>20190304155723374</v>
      </c>
      <c r="B4383" t="str">
        <f>"1551686243369445"</f>
        <v>1551686243369445</v>
      </c>
      <c r="C4383" t="s">
        <v>40</v>
      </c>
      <c r="D4383">
        <v>4.8178130000000001</v>
      </c>
      <c r="E4383">
        <v>0.58754969999999995</v>
      </c>
      <c r="F4383" t="s">
        <v>80</v>
      </c>
      <c r="G4383">
        <v>-443.3879</v>
      </c>
      <c r="H4383">
        <v>2.126636</v>
      </c>
      <c r="I4383">
        <v>175.578</v>
      </c>
      <c r="J4383">
        <v>-258.79640000000001</v>
      </c>
      <c r="K4383">
        <v>1.1091839999999999</v>
      </c>
      <c r="L4383">
        <v>141.27330000000001</v>
      </c>
      <c r="M4383">
        <v>-0.99995239999999996</v>
      </c>
      <c r="N4383">
        <v>-9.1595170000000007E-3</v>
      </c>
      <c r="O4383">
        <v>3.3769590000000001E-3</v>
      </c>
      <c r="P4383">
        <v>-0.98639790000000005</v>
      </c>
      <c r="Q4383">
        <v>0.15794029999999901</v>
      </c>
      <c r="R4383">
        <v>-4.5543939999999998E-2</v>
      </c>
      <c r="S4383">
        <v>-3.0644230000000001</v>
      </c>
      <c r="T4383">
        <v>1.6854290000000001E-2</v>
      </c>
      <c r="U4383">
        <v>0.56826779999999999</v>
      </c>
      <c r="V4383">
        <v>-4.883941E-2</v>
      </c>
      <c r="W4383">
        <v>0.16697719999999999</v>
      </c>
      <c r="X4383">
        <v>0.98475040000000003</v>
      </c>
      <c r="Y4383">
        <v>0.17901249999999999</v>
      </c>
      <c r="Z4383">
        <v>3.8774509999999997E-4</v>
      </c>
      <c r="AA4383">
        <v>0.98384669999999996</v>
      </c>
      <c r="AB4383">
        <v>41</v>
      </c>
      <c r="AC4383">
        <v>-184.5915</v>
      </c>
      <c r="AD4383">
        <v>1.017452</v>
      </c>
      <c r="AE4383">
        <v>34.304699999999997</v>
      </c>
      <c r="AF4383">
        <v>33.680131252652998</v>
      </c>
      <c r="AG4383">
        <v>1.017452</v>
      </c>
      <c r="AH4383">
        <v>184.70087370447999</v>
      </c>
      <c r="AI4383">
        <v>89.689500886704195</v>
      </c>
      <c r="AJ4383">
        <v>79.665682363788804</v>
      </c>
      <c r="AK4383">
        <v>187.74929879221</v>
      </c>
      <c r="AL4383">
        <v>80.3878867726294</v>
      </c>
      <c r="AM4383">
        <v>92.839299272067606</v>
      </c>
      <c r="AN4383">
        <v>1.00000001179457</v>
      </c>
    </row>
    <row r="4384" spans="1:40" x14ac:dyDescent="0.25">
      <c r="A4384" t="str">
        <f>"20190304155723398"</f>
        <v>20190304155723398</v>
      </c>
      <c r="B4384" t="str">
        <f>"1551686243388965"</f>
        <v>1551686243388965</v>
      </c>
      <c r="C4384" t="s">
        <v>40</v>
      </c>
      <c r="D4384">
        <v>4.8384419999999997</v>
      </c>
      <c r="E4384">
        <v>0.58772049999999998</v>
      </c>
      <c r="F4384" t="s">
        <v>80</v>
      </c>
      <c r="G4384">
        <v>-443.32510000000002</v>
      </c>
      <c r="H4384">
        <v>2.3234880000000002</v>
      </c>
      <c r="I4384">
        <v>175.69159999999999</v>
      </c>
      <c r="J4384">
        <v>-259.22640000000001</v>
      </c>
      <c r="K4384">
        <v>1.109199</v>
      </c>
      <c r="L4384">
        <v>141.2747</v>
      </c>
      <c r="M4384">
        <v>-0.99995199999999995</v>
      </c>
      <c r="N4384">
        <v>-9.2085020000000004E-3</v>
      </c>
      <c r="O4384">
        <v>3.3769540000000002E-3</v>
      </c>
      <c r="P4384">
        <v>-0.98633099999999996</v>
      </c>
      <c r="Q4384">
        <v>0.15842120000000001</v>
      </c>
      <c r="R4384">
        <v>-4.5324759999999999E-2</v>
      </c>
      <c r="S4384">
        <v>-3.064514</v>
      </c>
      <c r="T4384">
        <v>2.016652E-2</v>
      </c>
      <c r="U4384">
        <v>0.57159419999999905</v>
      </c>
      <c r="V4384">
        <v>-4.8625109999999999E-2</v>
      </c>
      <c r="W4384">
        <v>0.16750470000000001</v>
      </c>
      <c r="X4384">
        <v>0.98467139999999997</v>
      </c>
      <c r="Y4384">
        <v>0.18003920000000001</v>
      </c>
      <c r="Z4384">
        <v>3.015928E-4</v>
      </c>
      <c r="AA4384">
        <v>0.98365939999999996</v>
      </c>
      <c r="AB4384">
        <v>41</v>
      </c>
      <c r="AC4384">
        <v>-184.09870000000001</v>
      </c>
      <c r="AD4384">
        <v>1.214289</v>
      </c>
      <c r="AE4384">
        <v>34.416899999999998</v>
      </c>
      <c r="AF4384">
        <v>33.793564048944603</v>
      </c>
      <c r="AG4384">
        <v>1.214289</v>
      </c>
      <c r="AH4384">
        <v>184.20613607194301</v>
      </c>
      <c r="AI4384">
        <v>89.628510499669005</v>
      </c>
      <c r="AJ4384">
        <v>79.604389795344403</v>
      </c>
      <c r="AK4384">
        <v>187.284222601533</v>
      </c>
      <c r="AL4384">
        <v>80.357231347095905</v>
      </c>
      <c r="AM4384">
        <v>92.827087536109701</v>
      </c>
      <c r="AN4384">
        <v>0.99999999591128097</v>
      </c>
    </row>
    <row r="4385" spans="1:40" x14ac:dyDescent="0.25">
      <c r="A4385" t="str">
        <f>"20190304155723420"</f>
        <v>20190304155723420</v>
      </c>
      <c r="B4385" t="str">
        <f>"1551686243409461"</f>
        <v>1551686243409461</v>
      </c>
      <c r="C4385" t="s">
        <v>40</v>
      </c>
      <c r="D4385">
        <v>4.9262249999999996</v>
      </c>
      <c r="E4385">
        <v>0.58775129999999998</v>
      </c>
      <c r="F4385" t="s">
        <v>80</v>
      </c>
      <c r="G4385">
        <v>-443.29930000000002</v>
      </c>
      <c r="H4385">
        <v>2.369011</v>
      </c>
      <c r="I4385">
        <v>175.73840000000001</v>
      </c>
      <c r="J4385">
        <v>-259.62520000000001</v>
      </c>
      <c r="K4385">
        <v>1.1092200000000001</v>
      </c>
      <c r="L4385">
        <v>141.27610000000001</v>
      </c>
      <c r="M4385">
        <v>-0.99995149999999999</v>
      </c>
      <c r="N4385">
        <v>-9.2524909999999998E-3</v>
      </c>
      <c r="O4385">
        <v>3.3771109999999999E-3</v>
      </c>
      <c r="P4385">
        <v>-0.98629529999999999</v>
      </c>
      <c r="Q4385">
        <v>0.1586543</v>
      </c>
      <c r="R4385">
        <v>-4.5281040000000002E-2</v>
      </c>
      <c r="S4385">
        <v>-3.064575</v>
      </c>
      <c r="T4385">
        <v>2.097452E-2</v>
      </c>
      <c r="U4385">
        <v>0.57377619999999996</v>
      </c>
      <c r="V4385">
        <v>-4.858618E-2</v>
      </c>
      <c r="W4385">
        <v>0.16777919999999999</v>
      </c>
      <c r="X4385">
        <v>0.98462660000000002</v>
      </c>
      <c r="Y4385">
        <v>0.18071219999999999</v>
      </c>
      <c r="Z4385">
        <v>2.8404649999999999E-4</v>
      </c>
      <c r="AA4385">
        <v>0.98353599999999997</v>
      </c>
      <c r="AB4385">
        <v>41</v>
      </c>
      <c r="AC4385">
        <v>-183.67410000000001</v>
      </c>
      <c r="AD4385">
        <v>1.2597910000000001</v>
      </c>
      <c r="AE4385">
        <v>34.462299999999999</v>
      </c>
      <c r="AF4385">
        <v>33.840251260550097</v>
      </c>
      <c r="AG4385">
        <v>1.2597910000000001</v>
      </c>
      <c r="AH4385">
        <v>183.781088788674</v>
      </c>
      <c r="AI4385">
        <v>89.613745646209907</v>
      </c>
      <c r="AJ4385">
        <v>79.566794308582601</v>
      </c>
      <c r="AK4385">
        <v>186.87492682297199</v>
      </c>
      <c r="AL4385">
        <v>80.341278010153999</v>
      </c>
      <c r="AM4385">
        <v>92.824956114514293</v>
      </c>
      <c r="AN4385">
        <v>1.0000000091335901</v>
      </c>
    </row>
    <row r="4386" spans="1:40" x14ac:dyDescent="0.25">
      <c r="A4386" t="str">
        <f>"20190304155723441"</f>
        <v>20190304155723441</v>
      </c>
      <c r="B4386" t="str">
        <f>"1551686243439717"</f>
        <v>1551686243439717</v>
      </c>
      <c r="C4386" t="s">
        <v>40</v>
      </c>
      <c r="D4386">
        <v>4.784503</v>
      </c>
      <c r="E4386">
        <v>0.58805399999999997</v>
      </c>
      <c r="F4386" t="s">
        <v>80</v>
      </c>
      <c r="G4386">
        <v>-443.32150000000001</v>
      </c>
      <c r="H4386">
        <v>2.4015339999999998</v>
      </c>
      <c r="I4386">
        <v>175.69820000000001</v>
      </c>
      <c r="J4386">
        <v>-260.02699999999999</v>
      </c>
      <c r="K4386">
        <v>1.109229</v>
      </c>
      <c r="L4386">
        <v>141.2775</v>
      </c>
      <c r="M4386">
        <v>-0.99995109999999998</v>
      </c>
      <c r="N4386">
        <v>-9.2973650000000001E-3</v>
      </c>
      <c r="O4386">
        <v>3.378168E-3</v>
      </c>
      <c r="P4386">
        <v>-0.98620790000000003</v>
      </c>
      <c r="Q4386">
        <v>0.15931409999999999</v>
      </c>
      <c r="R4386">
        <v>-4.4870479999999997E-2</v>
      </c>
      <c r="S4386">
        <v>-3.0646059999999999</v>
      </c>
      <c r="T4386">
        <v>2.1559950000000001E-2</v>
      </c>
      <c r="U4386">
        <v>0.57426449999999996</v>
      </c>
      <c r="V4386">
        <v>-4.8180309999999997E-2</v>
      </c>
      <c r="W4386">
        <v>0.16848099999999999</v>
      </c>
      <c r="X4386">
        <v>0.98452669999999998</v>
      </c>
      <c r="Y4386">
        <v>0.18086079999999999</v>
      </c>
      <c r="Z4386">
        <v>2.7203619999999998E-4</v>
      </c>
      <c r="AA4386">
        <v>0.98350859999999996</v>
      </c>
      <c r="AB4386">
        <v>41</v>
      </c>
      <c r="AC4386">
        <v>-183.2945</v>
      </c>
      <c r="AD4386">
        <v>1.29230499999999</v>
      </c>
      <c r="AE4386">
        <v>34.420699999999997</v>
      </c>
      <c r="AF4386">
        <v>33.7996543154755</v>
      </c>
      <c r="AG4386">
        <v>1.29230499999999</v>
      </c>
      <c r="AH4386">
        <v>183.400931903349</v>
      </c>
      <c r="AI4386">
        <v>89.602967173375006</v>
      </c>
      <c r="AJ4386">
        <v>79.557910182972705</v>
      </c>
      <c r="AK4386">
        <v>186.493936917734</v>
      </c>
      <c r="AL4386">
        <v>80.300487138790103</v>
      </c>
      <c r="AM4386">
        <v>92.801679087232998</v>
      </c>
      <c r="AN4386">
        <v>1.0000000063227901</v>
      </c>
    </row>
    <row r="4387" spans="1:40" x14ac:dyDescent="0.25">
      <c r="A4387" t="str">
        <f>"20190304155723455"</f>
        <v>20190304155723455</v>
      </c>
      <c r="B4387" t="str">
        <f>"1551686243449478"</f>
        <v>1551686243449478</v>
      </c>
      <c r="C4387" t="s">
        <v>40</v>
      </c>
      <c r="D4387">
        <v>4.790673</v>
      </c>
      <c r="E4387">
        <v>0.58810099999999998</v>
      </c>
      <c r="F4387" t="s">
        <v>80</v>
      </c>
      <c r="G4387">
        <v>-443.26060000000001</v>
      </c>
      <c r="H4387">
        <v>2.4692280000000002</v>
      </c>
      <c r="I4387">
        <v>175.80850000000001</v>
      </c>
      <c r="J4387">
        <v>-260.28460000000001</v>
      </c>
      <c r="K4387">
        <v>1.1092390000000001</v>
      </c>
      <c r="L4387">
        <v>141.2783</v>
      </c>
      <c r="M4387">
        <v>-0.99995089999999998</v>
      </c>
      <c r="N4387">
        <v>-9.3258879999999992E-3</v>
      </c>
      <c r="O4387">
        <v>3.3791070000000001E-3</v>
      </c>
      <c r="P4387">
        <v>-0.98616970000000004</v>
      </c>
      <c r="Q4387">
        <v>0.1596292</v>
      </c>
      <c r="R4387">
        <v>-4.4589629999999998E-2</v>
      </c>
      <c r="S4387">
        <v>-3.064575</v>
      </c>
      <c r="T4387">
        <v>2.2746209999999999E-2</v>
      </c>
      <c r="U4387">
        <v>0.57752990000000004</v>
      </c>
      <c r="V4387">
        <v>-4.7902350000000003E-2</v>
      </c>
      <c r="W4387">
        <v>0.16882359999999999</v>
      </c>
      <c r="X4387">
        <v>0.98448159999999896</v>
      </c>
      <c r="Y4387">
        <v>0.1818736</v>
      </c>
      <c r="Z4387">
        <v>2.425177E-4</v>
      </c>
      <c r="AA4387">
        <v>0.98332189999999997</v>
      </c>
      <c r="AB4387">
        <v>41</v>
      </c>
      <c r="AC4387">
        <v>-182.976</v>
      </c>
      <c r="AD4387">
        <v>1.3599889999999999</v>
      </c>
      <c r="AE4387">
        <v>34.530200000000001</v>
      </c>
      <c r="AF4387">
        <v>33.909871645597903</v>
      </c>
      <c r="AG4387">
        <v>1.3599889999999999</v>
      </c>
      <c r="AH4387">
        <v>183.081875260299</v>
      </c>
      <c r="AI4387">
        <v>89.581514348691201</v>
      </c>
      <c r="AJ4387">
        <v>79.506761806318295</v>
      </c>
      <c r="AK4387">
        <v>186.20070358064899</v>
      </c>
      <c r="AL4387">
        <v>80.280572588265002</v>
      </c>
      <c r="AM4387">
        <v>92.785668685434203</v>
      </c>
      <c r="AN4387">
        <v>1.00000003189552</v>
      </c>
    </row>
    <row r="4388" spans="1:40" x14ac:dyDescent="0.25">
      <c r="A4388" t="str">
        <f>"20190304155723474"</f>
        <v>20190304155723474</v>
      </c>
      <c r="B4388" t="str">
        <f>"1551686243468997"</f>
        <v>1551686243468997</v>
      </c>
      <c r="C4388" t="s">
        <v>40</v>
      </c>
      <c r="D4388">
        <v>4.7455319999999999</v>
      </c>
      <c r="E4388">
        <v>0.58855269999999904</v>
      </c>
      <c r="F4388" t="s">
        <v>80</v>
      </c>
      <c r="G4388">
        <v>-443.2527</v>
      </c>
      <c r="H4388">
        <v>2.4801340000000001</v>
      </c>
      <c r="I4388">
        <v>175.8228</v>
      </c>
      <c r="J4388">
        <v>-260.63749999999999</v>
      </c>
      <c r="K4388">
        <v>1.1092569999999999</v>
      </c>
      <c r="L4388">
        <v>141.27959999999999</v>
      </c>
      <c r="M4388">
        <v>-0.99995060000000002</v>
      </c>
      <c r="N4388">
        <v>-9.3635869999999996E-3</v>
      </c>
      <c r="O4388">
        <v>3.3810620000000002E-3</v>
      </c>
      <c r="P4388">
        <v>-0.9860835</v>
      </c>
      <c r="Q4388">
        <v>0.16036710000000001</v>
      </c>
      <c r="R4388">
        <v>-4.3841320000000003E-2</v>
      </c>
      <c r="S4388">
        <v>-3.064514</v>
      </c>
      <c r="T4388">
        <v>2.2961260000000001E-2</v>
      </c>
      <c r="U4388">
        <v>0.57858279999999995</v>
      </c>
      <c r="V4388">
        <v>-4.7158499999999999E-2</v>
      </c>
      <c r="W4388">
        <v>0.16959679999999999</v>
      </c>
      <c r="X4388">
        <v>0.98438460000000005</v>
      </c>
      <c r="Y4388">
        <v>0.18220140000000001</v>
      </c>
      <c r="Z4388">
        <v>2.4040929999999999E-4</v>
      </c>
      <c r="AA4388">
        <v>0.98326119999999995</v>
      </c>
      <c r="AB4388">
        <v>41</v>
      </c>
      <c r="AC4388">
        <v>-182.61519999999999</v>
      </c>
      <c r="AD4388">
        <v>1.3708769999999999</v>
      </c>
      <c r="AE4388">
        <v>34.543199999999999</v>
      </c>
      <c r="AF4388">
        <v>33.9236965655681</v>
      </c>
      <c r="AG4388">
        <v>1.3708769999999999</v>
      </c>
      <c r="AH4388">
        <v>182.721012606183</v>
      </c>
      <c r="AI4388">
        <v>89.577364473539802</v>
      </c>
      <c r="AJ4388">
        <v>79.482309244364302</v>
      </c>
      <c r="AK4388">
        <v>185.848499967717</v>
      </c>
      <c r="AL4388">
        <v>80.235623202511107</v>
      </c>
      <c r="AM4388">
        <v>92.742747912202702</v>
      </c>
      <c r="AN4388">
        <v>1.00000001970482</v>
      </c>
    </row>
    <row r="4389" spans="1:40" x14ac:dyDescent="0.25">
      <c r="A4389" t="str">
        <f>"20190304155723489"</f>
        <v>20190304155723489</v>
      </c>
      <c r="B4389" t="str">
        <f>"1551686243479735"</f>
        <v>1551686243479735</v>
      </c>
      <c r="C4389" t="s">
        <v>40</v>
      </c>
      <c r="D4389">
        <v>4.6973940000000001</v>
      </c>
      <c r="E4389">
        <v>0.58880350000000004</v>
      </c>
      <c r="F4389" t="s">
        <v>80</v>
      </c>
      <c r="G4389">
        <v>-443.11529999999999</v>
      </c>
      <c r="H4389">
        <v>2.6513909999999998</v>
      </c>
      <c r="I4389">
        <v>176.07159999999999</v>
      </c>
      <c r="J4389">
        <v>-260.89949999999999</v>
      </c>
      <c r="K4389">
        <v>1.1092649999999999</v>
      </c>
      <c r="L4389">
        <v>141.28039999999999</v>
      </c>
      <c r="M4389">
        <v>-0.99995020000000001</v>
      </c>
      <c r="N4389">
        <v>-9.3902949999999999E-3</v>
      </c>
      <c r="O4389">
        <v>3.3827380000000002E-3</v>
      </c>
      <c r="P4389">
        <v>-0.98606450000000001</v>
      </c>
      <c r="Q4389">
        <v>0.160583</v>
      </c>
      <c r="R4389">
        <v>-4.3474079999999998E-2</v>
      </c>
      <c r="S4389">
        <v>-3.0640869999999998</v>
      </c>
      <c r="T4389">
        <v>2.5895120000000001E-2</v>
      </c>
      <c r="U4389">
        <v>0.58421330000000005</v>
      </c>
      <c r="V4389">
        <v>-4.6794620000000002E-2</v>
      </c>
      <c r="W4389">
        <v>0.169838299999999</v>
      </c>
      <c r="X4389">
        <v>0.98436029999999997</v>
      </c>
      <c r="Y4389">
        <v>0.1839681</v>
      </c>
      <c r="Z4389">
        <v>1.6087879999999999E-4</v>
      </c>
      <c r="AA4389">
        <v>0.98293220000000003</v>
      </c>
      <c r="AB4389">
        <v>41</v>
      </c>
      <c r="AC4389">
        <v>-182.2158</v>
      </c>
      <c r="AD4389">
        <v>1.5421260000000001</v>
      </c>
      <c r="AE4389">
        <v>34.791200000000003</v>
      </c>
      <c r="AF4389">
        <v>34.172223932361099</v>
      </c>
      <c r="AG4389">
        <v>1.5421260000000001</v>
      </c>
      <c r="AH4389">
        <v>182.319852639218</v>
      </c>
      <c r="AI4389">
        <v>89.523677528616602</v>
      </c>
      <c r="AJ4389">
        <v>79.384215029115595</v>
      </c>
      <c r="AK4389">
        <v>185.50107198469101</v>
      </c>
      <c r="AL4389">
        <v>80.221582311644397</v>
      </c>
      <c r="AM4389">
        <v>92.721683606531997</v>
      </c>
      <c r="AN4389">
        <v>0.99999999241196202</v>
      </c>
    </row>
    <row r="4390" spans="1:40" x14ac:dyDescent="0.25">
      <c r="A4390" t="str">
        <f>"20190304155723509"</f>
        <v>20190304155723509</v>
      </c>
      <c r="B4390" t="str">
        <f>"1551686243499253"</f>
        <v>1551686243499253</v>
      </c>
      <c r="C4390" t="s">
        <v>40</v>
      </c>
      <c r="D4390">
        <v>4.7797729999999996</v>
      </c>
      <c r="E4390">
        <v>0.58876909999999905</v>
      </c>
      <c r="F4390" t="s">
        <v>80</v>
      </c>
      <c r="G4390">
        <v>-443.04520000000002</v>
      </c>
      <c r="H4390">
        <v>2.7184140000000001</v>
      </c>
      <c r="I4390">
        <v>176.1985</v>
      </c>
      <c r="J4390">
        <v>-261.25110000000001</v>
      </c>
      <c r="K4390">
        <v>1.109273</v>
      </c>
      <c r="L4390">
        <v>141.2816</v>
      </c>
      <c r="M4390">
        <v>-0.99995009999999995</v>
      </c>
      <c r="N4390">
        <v>-9.4236600000000004E-3</v>
      </c>
      <c r="O4390">
        <v>3.3843760000000001E-3</v>
      </c>
      <c r="P4390">
        <v>-0.98603169999999996</v>
      </c>
      <c r="Q4390">
        <v>0.16102420000000001</v>
      </c>
      <c r="R4390">
        <v>-4.258311E-2</v>
      </c>
      <c r="S4390">
        <v>-3.0638730000000001</v>
      </c>
      <c r="T4390">
        <v>2.706778E-2</v>
      </c>
      <c r="U4390">
        <v>0.58735660000000001</v>
      </c>
      <c r="V4390">
        <v>-4.5906959999999997E-2</v>
      </c>
      <c r="W4390">
        <v>0.17031099999999999</v>
      </c>
      <c r="X4390">
        <v>0.98432039999999998</v>
      </c>
      <c r="Y4390">
        <v>0.18495159999999999</v>
      </c>
      <c r="Z4390">
        <v>1.3098459999999999E-4</v>
      </c>
      <c r="AA4390">
        <v>0.98274760000000005</v>
      </c>
      <c r="AB4390">
        <v>41</v>
      </c>
      <c r="AC4390">
        <v>-181.79409999999999</v>
      </c>
      <c r="AD4390">
        <v>1.6091409999999999</v>
      </c>
      <c r="AE4390">
        <v>34.916899999999998</v>
      </c>
      <c r="AF4390">
        <v>34.2988216026327</v>
      </c>
      <c r="AG4390">
        <v>1.6091409999999999</v>
      </c>
      <c r="AH4390">
        <v>181.89749161126801</v>
      </c>
      <c r="AI4390">
        <v>89.501927659930402</v>
      </c>
      <c r="AJ4390">
        <v>79.321614990882296</v>
      </c>
      <c r="AK4390">
        <v>185.10995638419499</v>
      </c>
      <c r="AL4390">
        <v>80.194097940963005</v>
      </c>
      <c r="AM4390">
        <v>92.670238760466702</v>
      </c>
      <c r="AN4390">
        <v>0.9999999677768</v>
      </c>
    </row>
    <row r="4391" spans="1:40" x14ac:dyDescent="0.25">
      <c r="A4391" t="str">
        <f>"20190304155723522"</f>
        <v>20190304155723522</v>
      </c>
      <c r="B4391" t="str">
        <f>"1551686243519750"</f>
        <v>1551686243519750</v>
      </c>
      <c r="C4391" t="s">
        <v>40</v>
      </c>
      <c r="D4391">
        <v>4.9218580000000003</v>
      </c>
      <c r="E4391">
        <v>0.55858240000000003</v>
      </c>
      <c r="F4391" t="s">
        <v>80</v>
      </c>
      <c r="G4391">
        <v>-443.00560000000002</v>
      </c>
      <c r="H4391">
        <v>2.7979440000000002</v>
      </c>
      <c r="I4391">
        <v>176.27029999999999</v>
      </c>
      <c r="J4391">
        <v>-261.5145</v>
      </c>
      <c r="K4391">
        <v>1.1092799999999901</v>
      </c>
      <c r="L4391">
        <v>141.2825</v>
      </c>
      <c r="M4391">
        <v>-0.9999498</v>
      </c>
      <c r="N4391">
        <v>-9.4487029999999993E-3</v>
      </c>
      <c r="O4391">
        <v>3.3854190000000002E-3</v>
      </c>
      <c r="P4391">
        <v>-0.9860449</v>
      </c>
      <c r="Q4391">
        <v>0.16110339999999901</v>
      </c>
      <c r="R4391">
        <v>-4.1973249999999997E-2</v>
      </c>
      <c r="S4391">
        <v>-3.0633240000000002</v>
      </c>
      <c r="T4391">
        <v>2.8461460000000001E-2</v>
      </c>
      <c r="U4391">
        <v>0.58970639999999996</v>
      </c>
      <c r="V4391">
        <v>-4.5299239999999998E-2</v>
      </c>
      <c r="W4391">
        <v>0.17041529999999999</v>
      </c>
      <c r="X4391">
        <v>0.9843305</v>
      </c>
      <c r="Y4391">
        <v>0.18570980000000001</v>
      </c>
      <c r="Z4391" s="1">
        <v>9.3369740000000004E-5</v>
      </c>
      <c r="AA4391">
        <v>0.98260460000000005</v>
      </c>
      <c r="AB4391">
        <v>41</v>
      </c>
      <c r="AC4391">
        <v>-181.49109999999999</v>
      </c>
      <c r="AD4391">
        <v>1.6886639999999999</v>
      </c>
      <c r="AE4391">
        <v>34.987799999999901</v>
      </c>
      <c r="AF4391">
        <v>34.3702798666625</v>
      </c>
      <c r="AG4391">
        <v>1.6886639999999999</v>
      </c>
      <c r="AH4391">
        <v>181.59335596797101</v>
      </c>
      <c r="AI4391">
        <v>89.476506867695804</v>
      </c>
      <c r="AJ4391">
        <v>79.282374821769594</v>
      </c>
      <c r="AK4391">
        <v>184.825092062544</v>
      </c>
      <c r="AL4391">
        <v>80.188033301357805</v>
      </c>
      <c r="AM4391">
        <v>92.634913080791605</v>
      </c>
      <c r="AN4391">
        <v>0.99999996442445804</v>
      </c>
    </row>
    <row r="4392" spans="1:40" x14ac:dyDescent="0.25">
      <c r="A4392" t="str">
        <f>"20190304155723542"</f>
        <v>20190304155723542</v>
      </c>
      <c r="B4392" t="str">
        <f>"1551686243539269"</f>
        <v>1551686243539269</v>
      </c>
      <c r="C4392" t="s">
        <v>40</v>
      </c>
      <c r="D4392">
        <v>4.7698330000000002</v>
      </c>
      <c r="E4392">
        <v>0.549382699999999</v>
      </c>
      <c r="F4392" t="s">
        <v>81</v>
      </c>
      <c r="G4392">
        <v>-459.875</v>
      </c>
      <c r="H4392">
        <v>37.166240000000002</v>
      </c>
      <c r="I4392">
        <v>163.98349999999999</v>
      </c>
      <c r="J4392">
        <v>-261.86219999999997</v>
      </c>
      <c r="K4392">
        <v>1.1092820000000001</v>
      </c>
      <c r="L4392">
        <v>141.28370000000001</v>
      </c>
      <c r="M4392">
        <v>-0.99994930000000004</v>
      </c>
      <c r="N4392">
        <v>-9.4821920000000004E-3</v>
      </c>
      <c r="O4392">
        <v>3.3865980000000002E-3</v>
      </c>
      <c r="P4392">
        <v>-0.98601970000000005</v>
      </c>
      <c r="Q4392">
        <v>0.16135050000000001</v>
      </c>
      <c r="R4392">
        <v>-4.1608880000000001E-2</v>
      </c>
      <c r="S4392">
        <v>-2.96875</v>
      </c>
      <c r="T4392">
        <v>0.53964409999999996</v>
      </c>
      <c r="U4392">
        <v>0.3397522</v>
      </c>
      <c r="V4392">
        <v>-4.4937030000000003E-2</v>
      </c>
      <c r="W4392">
        <v>0.1706944</v>
      </c>
      <c r="X4392">
        <v>0.98429880000000003</v>
      </c>
      <c r="Y4392">
        <v>0.1087313</v>
      </c>
      <c r="Z4392">
        <v>-8.6093969999999995E-3</v>
      </c>
      <c r="AA4392">
        <v>0.99403390000000003</v>
      </c>
      <c r="AB4392">
        <v>41</v>
      </c>
      <c r="AC4392">
        <v>-198.0128</v>
      </c>
      <c r="AD4392">
        <v>36.056958000000002</v>
      </c>
      <c r="AE4392">
        <v>22.6997999999999</v>
      </c>
      <c r="AF4392">
        <v>21.330928230013999</v>
      </c>
      <c r="AG4392">
        <v>36.056958000000002</v>
      </c>
      <c r="AH4392">
        <v>191.81092739862899</v>
      </c>
      <c r="AI4392">
        <v>79.417431656877</v>
      </c>
      <c r="AJ4392">
        <v>83.654319194274194</v>
      </c>
      <c r="AK4392">
        <v>196.33273947278801</v>
      </c>
      <c r="AL4392">
        <v>80.1718048279984</v>
      </c>
      <c r="AM4392">
        <v>92.613957876988707</v>
      </c>
      <c r="AN4392">
        <v>1.0000000212690101</v>
      </c>
    </row>
    <row r="4393" spans="1:40" x14ac:dyDescent="0.25">
      <c r="A4393" t="str">
        <f>"20190304155723565"</f>
        <v>20190304155723565</v>
      </c>
      <c r="B4393" t="str">
        <f>"1551686243559767"</f>
        <v>1551686243559767</v>
      </c>
      <c r="C4393" t="s">
        <v>40</v>
      </c>
      <c r="D4393">
        <v>4.9239990000000002</v>
      </c>
      <c r="E4393">
        <v>0.51336219999999999</v>
      </c>
      <c r="F4393" t="s">
        <v>79</v>
      </c>
      <c r="G4393">
        <v>-511.94049999999999</v>
      </c>
      <c r="H4393">
        <v>46.045200000000001</v>
      </c>
      <c r="I4393">
        <v>163.84889999999999</v>
      </c>
      <c r="J4393">
        <v>-262.28789999999998</v>
      </c>
      <c r="K4393">
        <v>1.109289</v>
      </c>
      <c r="L4393">
        <v>141.2852</v>
      </c>
      <c r="M4393">
        <v>-0.99994890000000003</v>
      </c>
      <c r="N4393">
        <v>-9.5228729999999994E-3</v>
      </c>
      <c r="O4393">
        <v>3.3875070000000001E-3</v>
      </c>
      <c r="P4393">
        <v>-0.98603030000000003</v>
      </c>
      <c r="Q4393">
        <v>0.1613395</v>
      </c>
      <c r="R4393">
        <v>-4.1395300000000003E-2</v>
      </c>
      <c r="S4393">
        <v>-2.9666139999999999</v>
      </c>
      <c r="T4393">
        <v>0.53306330000000002</v>
      </c>
      <c r="U4393">
        <v>0.2676849</v>
      </c>
      <c r="V4393">
        <v>-4.472607E-2</v>
      </c>
      <c r="W4393">
        <v>0.17072309999999999</v>
      </c>
      <c r="X4393">
        <v>0.98430340000000005</v>
      </c>
      <c r="Y4393">
        <v>8.5271319999999998E-2</v>
      </c>
      <c r="Z4393">
        <v>-6.5407490000000002E-3</v>
      </c>
      <c r="AA4393">
        <v>0.99633629999999995</v>
      </c>
      <c r="AB4393">
        <v>41</v>
      </c>
      <c r="AC4393">
        <v>-249.65260000000001</v>
      </c>
      <c r="AD4393">
        <v>44.935910999999997</v>
      </c>
      <c r="AE4393">
        <v>22.563699999999901</v>
      </c>
      <c r="AF4393">
        <v>21.041653350353901</v>
      </c>
      <c r="AG4393">
        <v>44.935910999999997</v>
      </c>
      <c r="AH4393">
        <v>241.95240359802301</v>
      </c>
      <c r="AI4393">
        <v>79.517466021985996</v>
      </c>
      <c r="AJ4393">
        <v>85.029715437452396</v>
      </c>
      <c r="AK4393">
        <v>246.987758563005</v>
      </c>
      <c r="AL4393">
        <v>80.170135639319994</v>
      </c>
      <c r="AM4393">
        <v>92.601691229796799</v>
      </c>
      <c r="AN4393">
        <v>0.999999990731407</v>
      </c>
    </row>
    <row r="4394" spans="1:40" x14ac:dyDescent="0.25">
      <c r="A4394" t="str">
        <f>"20190304155723586"</f>
        <v>20190304155723586</v>
      </c>
      <c r="B4394" t="str">
        <f>"1551686243579285"</f>
        <v>1551686243579285</v>
      </c>
      <c r="C4394" t="s">
        <v>40</v>
      </c>
      <c r="D4394">
        <v>4.9067610000000004</v>
      </c>
      <c r="E4394">
        <v>0.51273829999999998</v>
      </c>
      <c r="F4394" t="s">
        <v>78</v>
      </c>
      <c r="G4394">
        <v>-301.60379999999998</v>
      </c>
      <c r="H4394" s="1">
        <v>-8.7641300000000001E-6</v>
      </c>
      <c r="I4394">
        <v>141.221</v>
      </c>
      <c r="J4394">
        <v>-262.68680000000001</v>
      </c>
      <c r="K4394">
        <v>1.1092979999999999</v>
      </c>
      <c r="L4394">
        <v>141.28649999999999</v>
      </c>
      <c r="M4394">
        <v>-0.99994870000000002</v>
      </c>
      <c r="N4394">
        <v>-9.5617250000000001E-3</v>
      </c>
      <c r="O4394">
        <v>3.38748E-3</v>
      </c>
      <c r="P4394">
        <v>-0.98597809999999997</v>
      </c>
      <c r="Q4394">
        <v>0.16170870000000001</v>
      </c>
      <c r="R4394">
        <v>-4.1202229999999999E-2</v>
      </c>
      <c r="S4394">
        <v>-3.0563959999999999</v>
      </c>
      <c r="T4394">
        <v>-8.6236240000000006E-2</v>
      </c>
      <c r="U4394">
        <v>-4.9896239999999998E-3</v>
      </c>
      <c r="V4394">
        <v>-4.4533259999999998E-2</v>
      </c>
      <c r="W4394">
        <v>0.1711299</v>
      </c>
      <c r="X4394">
        <v>0.98424149999999999</v>
      </c>
      <c r="Y4394">
        <v>-5.0168740000000002E-3</v>
      </c>
      <c r="Z4394">
        <v>-1.579253E-4</v>
      </c>
      <c r="AA4394">
        <v>0.99998739999999997</v>
      </c>
      <c r="AB4394">
        <v>41</v>
      </c>
      <c r="AC4394">
        <v>-38.916999999999902</v>
      </c>
      <c r="AD4394">
        <v>-1.1093067641299901</v>
      </c>
      <c r="AE4394">
        <v>-6.5499999999985903E-2</v>
      </c>
      <c r="AF4394">
        <v>-0.19717598459072999</v>
      </c>
      <c r="AG4394">
        <v>-1.1093067641299901</v>
      </c>
      <c r="AH4394">
        <v>38.884960770647503</v>
      </c>
      <c r="AI4394">
        <v>91.634064796916405</v>
      </c>
      <c r="AJ4394">
        <v>90.2905301866884</v>
      </c>
      <c r="AK4394">
        <v>38.901280364541201</v>
      </c>
      <c r="AL4394">
        <v>80.146479602043698</v>
      </c>
      <c r="AM4394">
        <v>92.590653584763402</v>
      </c>
      <c r="AN4394">
        <v>0.99999999212124302</v>
      </c>
    </row>
    <row r="4395" spans="1:40" x14ac:dyDescent="0.25">
      <c r="A4395" t="str">
        <f>"20190304155723602"</f>
        <v>20190304155723602</v>
      </c>
      <c r="B4395" t="str">
        <f>"1551686243599781"</f>
        <v>1551686243599781</v>
      </c>
      <c r="C4395" t="s">
        <v>40</v>
      </c>
      <c r="D4395">
        <v>4.7412580000000002</v>
      </c>
      <c r="E4395">
        <v>0.513351</v>
      </c>
      <c r="F4395" t="s">
        <v>78</v>
      </c>
      <c r="G4395">
        <v>-298.03960000000001</v>
      </c>
      <c r="H4395" s="1">
        <v>-8.6308579999999906E-6</v>
      </c>
      <c r="I4395">
        <v>141.17859999999999</v>
      </c>
      <c r="J4395">
        <v>-262.9796</v>
      </c>
      <c r="K4395">
        <v>1.1093029999999999</v>
      </c>
      <c r="L4395">
        <v>141.28749999999999</v>
      </c>
      <c r="M4395">
        <v>-0.99994839999999996</v>
      </c>
      <c r="N4395">
        <v>-9.5909029999999996E-3</v>
      </c>
      <c r="O4395">
        <v>3.3875070000000001E-3</v>
      </c>
      <c r="P4395">
        <v>-0.98593439999999999</v>
      </c>
      <c r="Q4395">
        <v>0.1620086</v>
      </c>
      <c r="R4395">
        <v>-4.10709E-2</v>
      </c>
      <c r="S4395">
        <v>-3.0580440000000002</v>
      </c>
      <c r="T4395">
        <v>-9.5955849999999995E-2</v>
      </c>
      <c r="U4395">
        <v>-9.3383790000000008E-3</v>
      </c>
      <c r="V4395">
        <v>-4.4402099999999903E-2</v>
      </c>
      <c r="W4395">
        <v>0.17145779999999999</v>
      </c>
      <c r="X4395">
        <v>0.98419029999999996</v>
      </c>
      <c r="Y4395">
        <v>-6.4363839999999999E-3</v>
      </c>
      <c r="Z4395">
        <v>-2.05615E-4</v>
      </c>
      <c r="AA4395">
        <v>0.99997930000000002</v>
      </c>
      <c r="AB4395">
        <v>41</v>
      </c>
      <c r="AC4395">
        <v>-35.06</v>
      </c>
      <c r="AD4395">
        <v>-1.109311630858</v>
      </c>
      <c r="AE4395">
        <v>-0.10890000000000501</v>
      </c>
      <c r="AF4395">
        <v>-0.22744312346583001</v>
      </c>
      <c r="AG4395">
        <v>-1.109311630858</v>
      </c>
      <c r="AH4395">
        <v>35.024366876672502</v>
      </c>
      <c r="AI4395">
        <v>91.814059788731896</v>
      </c>
      <c r="AJ4395">
        <v>90.372065194608396</v>
      </c>
      <c r="AK4395">
        <v>35.042667960366899</v>
      </c>
      <c r="AL4395">
        <v>80.127409905482395</v>
      </c>
      <c r="AM4395">
        <v>92.583168097552203</v>
      </c>
      <c r="AN4395">
        <v>0.99999993513966701</v>
      </c>
    </row>
    <row r="4396" spans="1:40" x14ac:dyDescent="0.25">
      <c r="A4396" t="str">
        <f>"20190304155723622"</f>
        <v>20190304155723622</v>
      </c>
      <c r="B4396" t="str">
        <f>"1551686243619301"</f>
        <v>1551686243619301</v>
      </c>
      <c r="C4396" t="s">
        <v>40</v>
      </c>
      <c r="D4396">
        <v>4.7650690000000004</v>
      </c>
      <c r="E4396">
        <v>0.5141116</v>
      </c>
      <c r="F4396" t="s">
        <v>78</v>
      </c>
      <c r="G4396">
        <v>-300.26900000000001</v>
      </c>
      <c r="H4396" s="1">
        <v>-8.5321280000000008E-6</v>
      </c>
      <c r="I4396">
        <v>141.2337</v>
      </c>
      <c r="J4396">
        <v>-263.33710000000002</v>
      </c>
      <c r="K4396">
        <v>1.109308</v>
      </c>
      <c r="L4396">
        <v>141.28870000000001</v>
      </c>
      <c r="M4396">
        <v>-0.99994799999999995</v>
      </c>
      <c r="N4396">
        <v>-9.6260289999999995E-3</v>
      </c>
      <c r="O4396">
        <v>3.3875049999999999E-3</v>
      </c>
      <c r="P4396">
        <v>-0.98596320000000004</v>
      </c>
      <c r="Q4396">
        <v>0.16185160000000001</v>
      </c>
      <c r="R4396">
        <v>-4.1000139999999997E-2</v>
      </c>
      <c r="S4396">
        <v>-3.0575559999999999</v>
      </c>
      <c r="T4396">
        <v>-9.0958239999999996E-2</v>
      </c>
      <c r="U4396">
        <v>-4.4097900000000002E-3</v>
      </c>
      <c r="V4396">
        <v>-4.4331710000000003E-2</v>
      </c>
      <c r="W4396">
        <v>0.17133570000000001</v>
      </c>
      <c r="X4396">
        <v>0.98421479999999995</v>
      </c>
      <c r="Y4396">
        <v>-4.8263969999999996E-3</v>
      </c>
      <c r="Z4396">
        <v>-1.631577E-4</v>
      </c>
      <c r="AA4396">
        <v>0.99998830000000005</v>
      </c>
      <c r="AB4396">
        <v>41</v>
      </c>
      <c r="AC4396">
        <v>-36.931899999999899</v>
      </c>
      <c r="AD4396">
        <v>-1.1093165321280001</v>
      </c>
      <c r="AE4396">
        <v>-5.50000000000068E-2</v>
      </c>
      <c r="AF4396">
        <v>-0.179950115848657</v>
      </c>
      <c r="AG4396">
        <v>-1.1093165321280001</v>
      </c>
      <c r="AH4396">
        <v>36.898211893707199</v>
      </c>
      <c r="AI4396">
        <v>91.722014642407402</v>
      </c>
      <c r="AJ4396">
        <v>90.279425475942602</v>
      </c>
      <c r="AK4396">
        <v>36.915322105672601</v>
      </c>
      <c r="AL4396">
        <v>80.134511421122298</v>
      </c>
      <c r="AM4396">
        <v>92.579014458531901</v>
      </c>
      <c r="AN4396">
        <v>0.999999997572527</v>
      </c>
    </row>
    <row r="4397" spans="1:40" x14ac:dyDescent="0.25">
      <c r="A4397" t="str">
        <f>"20190304155723642"</f>
        <v>20190304155723642</v>
      </c>
      <c r="B4397" t="str">
        <f>"1551686243638822"</f>
        <v>1551686243638822</v>
      </c>
      <c r="C4397" t="s">
        <v>40</v>
      </c>
      <c r="D4397">
        <v>4.7598830000000003</v>
      </c>
      <c r="E4397">
        <v>0.51543459999999997</v>
      </c>
      <c r="F4397" t="s">
        <v>78</v>
      </c>
      <c r="G4397">
        <v>-304.25170000000003</v>
      </c>
      <c r="H4397" s="1">
        <v>-9.1709239999999995E-6</v>
      </c>
      <c r="I4397">
        <v>141.31020000000001</v>
      </c>
      <c r="J4397">
        <v>-263.72559999999999</v>
      </c>
      <c r="K4397">
        <v>1.1093109999999999</v>
      </c>
      <c r="L4397">
        <v>141.2901</v>
      </c>
      <c r="M4397">
        <v>-0.99994760000000005</v>
      </c>
      <c r="N4397">
        <v>-9.6622909999999999E-3</v>
      </c>
      <c r="O4397">
        <v>3.3873200000000001E-3</v>
      </c>
      <c r="P4397">
        <v>-0.9859308</v>
      </c>
      <c r="Q4397">
        <v>0.16195010000000001</v>
      </c>
      <c r="R4397">
        <v>-4.138418E-2</v>
      </c>
      <c r="S4397">
        <v>-3.0563959999999999</v>
      </c>
      <c r="T4397">
        <v>-8.28681E-2</v>
      </c>
      <c r="U4397">
        <v>1.6021729999999999E-3</v>
      </c>
      <c r="V4397">
        <v>-4.4715959999999999E-2</v>
      </c>
      <c r="W4397">
        <v>0.1714696</v>
      </c>
      <c r="X4397">
        <v>0.98417410000000005</v>
      </c>
      <c r="Y4397">
        <v>-2.861335E-3</v>
      </c>
      <c r="Z4397">
        <v>-1.117071E-4</v>
      </c>
      <c r="AA4397">
        <v>0.99999590000000005</v>
      </c>
      <c r="AB4397">
        <v>41</v>
      </c>
      <c r="AC4397">
        <v>-40.5261</v>
      </c>
      <c r="AD4397">
        <v>-1.1093201709239999</v>
      </c>
      <c r="AE4397">
        <v>2.0100000000013499E-2</v>
      </c>
      <c r="AF4397">
        <v>-0.117093654374548</v>
      </c>
      <c r="AG4397">
        <v>-1.1093201709239999</v>
      </c>
      <c r="AH4397">
        <v>40.495593034598599</v>
      </c>
      <c r="AI4397">
        <v>91.569138819682095</v>
      </c>
      <c r="AJ4397">
        <v>90.165671200324994</v>
      </c>
      <c r="AK4397">
        <v>40.510953548260801</v>
      </c>
      <c r="AL4397">
        <v>80.126724298496001</v>
      </c>
      <c r="AM4397">
        <v>92.601445205875706</v>
      </c>
      <c r="AN4397">
        <v>0.99999999995684496</v>
      </c>
    </row>
    <row r="4398" spans="1:40" x14ac:dyDescent="0.25">
      <c r="A4398" t="str">
        <f>"20190304155723665"</f>
        <v>20190304155723665</v>
      </c>
      <c r="B4398" t="str">
        <f>"1551686243659317"</f>
        <v>1551686243659317</v>
      </c>
      <c r="C4398" t="s">
        <v>40</v>
      </c>
      <c r="D4398">
        <v>4.7533250000000002</v>
      </c>
      <c r="E4398">
        <v>0.51551480000000005</v>
      </c>
      <c r="F4398" t="s">
        <v>78</v>
      </c>
      <c r="G4398">
        <v>-309.78359999999998</v>
      </c>
      <c r="H4398" s="1">
        <v>-1.0010269999999999E-5</v>
      </c>
      <c r="I4398">
        <v>141.46119999999999</v>
      </c>
      <c r="J4398">
        <v>-264.1345</v>
      </c>
      <c r="K4398">
        <v>1.1093150000000001</v>
      </c>
      <c r="L4398">
        <v>141.29140000000001</v>
      </c>
      <c r="M4398">
        <v>-0.99994729999999998</v>
      </c>
      <c r="N4398">
        <v>-9.6978299999999993E-3</v>
      </c>
      <c r="O4398">
        <v>3.3871389999999999E-3</v>
      </c>
      <c r="P4398">
        <v>-0.98591700000000004</v>
      </c>
      <c r="Q4398">
        <v>0.1618993</v>
      </c>
      <c r="R4398">
        <v>-4.1912020000000001E-2</v>
      </c>
      <c r="S4398">
        <v>-3.0553279999999998</v>
      </c>
      <c r="T4398">
        <v>-7.358837E-2</v>
      </c>
      <c r="U4398">
        <v>1.135254E-2</v>
      </c>
      <c r="V4398">
        <v>-4.5244039999999999E-2</v>
      </c>
      <c r="W4398">
        <v>0.17145360000000001</v>
      </c>
      <c r="X4398">
        <v>0.98415269999999999</v>
      </c>
      <c r="Y4398">
        <v>3.2854789999999998E-4</v>
      </c>
      <c r="Z4398" s="1">
        <v>-4.317249E-5</v>
      </c>
      <c r="AA4398">
        <v>0.99999990000000005</v>
      </c>
      <c r="AB4398">
        <v>41</v>
      </c>
      <c r="AC4398">
        <v>-45.649099999999898</v>
      </c>
      <c r="AD4398">
        <v>-1.1093250102700001</v>
      </c>
      <c r="AE4398">
        <v>0.16979999999997999</v>
      </c>
      <c r="AF4398">
        <v>1.51629628476991E-2</v>
      </c>
      <c r="AG4398">
        <v>-1.1093250102700001</v>
      </c>
      <c r="AH4398">
        <v>45.622471517999003</v>
      </c>
      <c r="AI4398">
        <v>91.392890691619499</v>
      </c>
      <c r="AJ4398">
        <v>89.9809573283693</v>
      </c>
      <c r="AK4398">
        <v>45.6359588406388</v>
      </c>
      <c r="AL4398">
        <v>80.127654298153203</v>
      </c>
      <c r="AM4398">
        <v>92.632181572222294</v>
      </c>
      <c r="AN4398">
        <v>0.99999994851288398</v>
      </c>
    </row>
    <row r="4399" spans="1:40" x14ac:dyDescent="0.25">
      <c r="A4399" t="str">
        <f>"20190304155723688"</f>
        <v>20190304155723688</v>
      </c>
      <c r="B4399" t="str">
        <f>"1551686243678841"</f>
        <v>1551686243678841</v>
      </c>
      <c r="C4399" t="s">
        <v>40</v>
      </c>
      <c r="D4399">
        <v>4.765682</v>
      </c>
      <c r="E4399">
        <v>0.51533260000000003</v>
      </c>
      <c r="F4399" t="s">
        <v>78</v>
      </c>
      <c r="G4399">
        <v>-311.9502</v>
      </c>
      <c r="H4399" s="1">
        <v>-9.2220639999999992E-6</v>
      </c>
      <c r="I4399">
        <v>141.45599999999999</v>
      </c>
      <c r="J4399">
        <v>-264.56549999999999</v>
      </c>
      <c r="K4399">
        <v>1.1093090000000001</v>
      </c>
      <c r="L4399">
        <v>141.2929</v>
      </c>
      <c r="M4399">
        <v>-0.99994709999999998</v>
      </c>
      <c r="N4399">
        <v>-9.7323080000000003E-3</v>
      </c>
      <c r="O4399">
        <v>3.3867849999999998E-3</v>
      </c>
      <c r="P4399">
        <v>-0.98596530000000004</v>
      </c>
      <c r="Q4399">
        <v>0.1614168</v>
      </c>
      <c r="R4399">
        <v>-4.2631969999999998E-2</v>
      </c>
      <c r="S4399">
        <v>-3.054932</v>
      </c>
      <c r="T4399">
        <v>-7.0874450000000006E-2</v>
      </c>
      <c r="U4399">
        <v>1.051331E-2</v>
      </c>
      <c r="V4399">
        <v>-4.5964240000000003E-2</v>
      </c>
      <c r="W4399">
        <v>0.171005399999999</v>
      </c>
      <c r="X4399">
        <v>0.9841974</v>
      </c>
      <c r="Y4399" s="1">
        <v>5.4741979999999997E-5</v>
      </c>
      <c r="Z4399" s="1">
        <v>-4.470162E-5</v>
      </c>
      <c r="AA4399">
        <v>1</v>
      </c>
      <c r="AB4399">
        <v>41</v>
      </c>
      <c r="AC4399">
        <v>-47.384700000000002</v>
      </c>
      <c r="AD4399">
        <v>-1.1093182220640001</v>
      </c>
      <c r="AE4399">
        <v>0.16310000000001401</v>
      </c>
      <c r="AF4399">
        <v>2.6082744060490701E-3</v>
      </c>
      <c r="AG4399">
        <v>-1.1093182220640001</v>
      </c>
      <c r="AH4399">
        <v>47.359024872806202</v>
      </c>
      <c r="AI4399">
        <v>91.341827284820695</v>
      </c>
      <c r="AJ4399">
        <v>89.996844463847594</v>
      </c>
      <c r="AK4399">
        <v>47.372015268763597</v>
      </c>
      <c r="AL4399">
        <v>80.153720128027601</v>
      </c>
      <c r="AM4399">
        <v>92.673899339592197</v>
      </c>
      <c r="AN4399">
        <v>1.0000000401773399</v>
      </c>
    </row>
    <row r="4400" spans="1:40" x14ac:dyDescent="0.25">
      <c r="A4400" t="str">
        <f>"20190304155723710"</f>
        <v>20190304155723710</v>
      </c>
      <c r="B4400" t="str">
        <f>"1551686243699333"</f>
        <v>1551686243699333</v>
      </c>
      <c r="C4400" t="s">
        <v>40</v>
      </c>
      <c r="D4400">
        <v>4.7664269999999904</v>
      </c>
      <c r="E4400">
        <v>0.51549940000000005</v>
      </c>
      <c r="F4400" t="s">
        <v>78</v>
      </c>
      <c r="G4400">
        <v>-312.91160000000002</v>
      </c>
      <c r="H4400" s="1">
        <v>-8.8445830000000002E-6</v>
      </c>
      <c r="I4400">
        <v>141.39699999999999</v>
      </c>
      <c r="J4400">
        <v>-264.96960000000001</v>
      </c>
      <c r="K4400">
        <v>1.109302</v>
      </c>
      <c r="L4400">
        <v>141.29429999999999</v>
      </c>
      <c r="M4400">
        <v>-0.99994660000000002</v>
      </c>
      <c r="N4400">
        <v>-9.7618849999999997E-3</v>
      </c>
      <c r="O4400">
        <v>3.3868140000000001E-3</v>
      </c>
      <c r="P4400">
        <v>-0.98594150000000003</v>
      </c>
      <c r="Q4400">
        <v>0.1613503</v>
      </c>
      <c r="R4400">
        <v>-4.3422019999999999E-2</v>
      </c>
      <c r="S4400">
        <v>-3.0545040000000001</v>
      </c>
      <c r="T4400">
        <v>-7.0086720000000005E-2</v>
      </c>
      <c r="U4400">
        <v>6.5765379999999998E-3</v>
      </c>
      <c r="V4400">
        <v>-4.6753910000000003E-2</v>
      </c>
      <c r="W4400">
        <v>0.170967799999999</v>
      </c>
      <c r="X4400">
        <v>0.98416669999999995</v>
      </c>
      <c r="Y4400">
        <v>-1.2331659999999999E-3</v>
      </c>
      <c r="Z4400" s="1">
        <v>-6.480732E-5</v>
      </c>
      <c r="AA4400">
        <v>0.99999919999999998</v>
      </c>
      <c r="AB4400">
        <v>41</v>
      </c>
      <c r="AC4400">
        <v>-47.942</v>
      </c>
      <c r="AD4400">
        <v>-1.109310844583</v>
      </c>
      <c r="AE4400">
        <v>0.10270000000002701</v>
      </c>
      <c r="AF4400">
        <v>-5.9647030964313799E-2</v>
      </c>
      <c r="AG4400">
        <v>-1.109310844583</v>
      </c>
      <c r="AH4400">
        <v>47.916418767749697</v>
      </c>
      <c r="AI4400">
        <v>91.326214072138498</v>
      </c>
      <c r="AJ4400">
        <v>90.0713225540933</v>
      </c>
      <c r="AK4400">
        <v>47.929294965027097</v>
      </c>
      <c r="AL4400">
        <v>80.1559063002627</v>
      </c>
      <c r="AM4400">
        <v>92.719853500945703</v>
      </c>
      <c r="AN4400">
        <v>1.000000005063</v>
      </c>
    </row>
    <row r="4401" spans="1:40" x14ac:dyDescent="0.25">
      <c r="A4401" t="str">
        <f>"20190304155723733"</f>
        <v>20190304155723733</v>
      </c>
      <c r="B4401" t="str">
        <f>"1551686243729590"</f>
        <v>1551686243729590</v>
      </c>
      <c r="C4401" t="s">
        <v>40</v>
      </c>
      <c r="D4401">
        <v>4.7650379999999997</v>
      </c>
      <c r="E4401">
        <v>0.51559270000000001</v>
      </c>
      <c r="F4401" t="s">
        <v>78</v>
      </c>
      <c r="G4401">
        <v>-314.75</v>
      </c>
      <c r="H4401" s="1">
        <v>-8.1489939999999997E-6</v>
      </c>
      <c r="I4401">
        <v>141.3835</v>
      </c>
      <c r="J4401">
        <v>-265.38799999999998</v>
      </c>
      <c r="K4401">
        <v>1.109302</v>
      </c>
      <c r="L4401">
        <v>141.29570000000001</v>
      </c>
      <c r="M4401">
        <v>-0.99994649999999996</v>
      </c>
      <c r="N4401">
        <v>-9.7935799999999996E-3</v>
      </c>
      <c r="O4401">
        <v>3.3862979999999998E-3</v>
      </c>
      <c r="P4401">
        <v>-0.98591989999999996</v>
      </c>
      <c r="Q4401">
        <v>0.1612517</v>
      </c>
      <c r="R4401">
        <v>-4.4275799999999997E-2</v>
      </c>
      <c r="S4401">
        <v>-3.054138</v>
      </c>
      <c r="T4401">
        <v>-6.8058729999999998E-2</v>
      </c>
      <c r="U4401">
        <v>5.4779049999999999E-3</v>
      </c>
      <c r="V4401">
        <v>-4.7607160000000003E-2</v>
      </c>
      <c r="W4401">
        <v>0.1709002</v>
      </c>
      <c r="X4401">
        <v>0.9841375</v>
      </c>
      <c r="Y4401">
        <v>-1.5920330000000001E-3</v>
      </c>
      <c r="Z4401" s="1">
        <v>-6.7822250000000006E-5</v>
      </c>
      <c r="AA4401">
        <v>0.99999870000000002</v>
      </c>
      <c r="AB4401">
        <v>41</v>
      </c>
      <c r="AC4401">
        <v>-49.362000000000002</v>
      </c>
      <c r="AD4401">
        <v>-1.109310148994</v>
      </c>
      <c r="AE4401">
        <v>8.7799999999987194E-2</v>
      </c>
      <c r="AF4401">
        <v>-7.9322869435374005E-2</v>
      </c>
      <c r="AG4401">
        <v>-1.109310148994</v>
      </c>
      <c r="AH4401">
        <v>49.337097461093698</v>
      </c>
      <c r="AI4401">
        <v>91.288036863463503</v>
      </c>
      <c r="AJ4401">
        <v>90.092118546800194</v>
      </c>
      <c r="AK4401">
        <v>49.349630667409599</v>
      </c>
      <c r="AL4401">
        <v>80.159836996562404</v>
      </c>
      <c r="AM4401">
        <v>92.769495770045694</v>
      </c>
      <c r="AN4401">
        <v>0.99999996947477698</v>
      </c>
    </row>
    <row r="4402" spans="1:40" x14ac:dyDescent="0.25">
      <c r="A4402" t="str">
        <f>"20190304155723754"</f>
        <v>20190304155723754</v>
      </c>
      <c r="B4402" t="str">
        <f>"1551686243749110"</f>
        <v>1551686243749110</v>
      </c>
      <c r="C4402" t="s">
        <v>40</v>
      </c>
      <c r="D4402">
        <v>4.7444889999999997</v>
      </c>
      <c r="E4402">
        <v>0.51560399999999995</v>
      </c>
      <c r="F4402" t="s">
        <v>78</v>
      </c>
      <c r="G4402">
        <v>-315.91829999999999</v>
      </c>
      <c r="H4402" s="1">
        <v>-7.6367560000000008E-6</v>
      </c>
      <c r="I4402">
        <v>141.35299999999901</v>
      </c>
      <c r="J4402">
        <v>-265.80130000000003</v>
      </c>
      <c r="K4402">
        <v>1.1093059999999999</v>
      </c>
      <c r="L4402">
        <v>141.2971</v>
      </c>
      <c r="M4402">
        <v>-0.999946</v>
      </c>
      <c r="N4402">
        <v>-9.8258830000000005E-3</v>
      </c>
      <c r="O4402">
        <v>3.3861360000000001E-3</v>
      </c>
      <c r="P4402">
        <v>-0.98581319999999995</v>
      </c>
      <c r="Q4402">
        <v>0.16173199999999999</v>
      </c>
      <c r="R4402">
        <v>-4.4891550000000002E-2</v>
      </c>
      <c r="S4402">
        <v>-3.0539550000000002</v>
      </c>
      <c r="T4402">
        <v>-6.7044619999999999E-2</v>
      </c>
      <c r="U4402">
        <v>3.4637449999999998E-3</v>
      </c>
      <c r="V4402">
        <v>-4.8223179999999997E-2</v>
      </c>
      <c r="W4402">
        <v>0.17141129999999999</v>
      </c>
      <c r="X4402">
        <v>0.98401859999999997</v>
      </c>
      <c r="Y4402">
        <v>-2.2510870000000001E-3</v>
      </c>
      <c r="Z4402" s="1">
        <v>-7.6825749999999995E-5</v>
      </c>
      <c r="AA4402">
        <v>0.99999740000000004</v>
      </c>
      <c r="AB4402">
        <v>42</v>
      </c>
      <c r="AC4402">
        <v>-50.116999999999898</v>
      </c>
      <c r="AD4402">
        <v>-1.1093136367559999</v>
      </c>
      <c r="AE4402">
        <v>5.5899999999979799E-2</v>
      </c>
      <c r="AF4402">
        <v>-0.113755756951593</v>
      </c>
      <c r="AG4402">
        <v>-1.1093136367559999</v>
      </c>
      <c r="AH4402">
        <v>50.092359971093401</v>
      </c>
      <c r="AI4402">
        <v>91.268625368934195</v>
      </c>
      <c r="AJ4402">
        <v>90.130113924923805</v>
      </c>
      <c r="AK4402">
        <v>50.104770676957799</v>
      </c>
      <c r="AL4402">
        <v>80.130114412966293</v>
      </c>
      <c r="AM4402">
        <v>92.805613620261099</v>
      </c>
      <c r="AN4402">
        <v>0.99999995700148003</v>
      </c>
    </row>
    <row r="4403" spans="1:40" x14ac:dyDescent="0.25">
      <c r="A4403" t="str">
        <f>"20190304155723776"</f>
        <v>20190304155723776</v>
      </c>
      <c r="B4403" t="str">
        <f>"1551686243769606"</f>
        <v>1551686243769606</v>
      </c>
      <c r="C4403" t="s">
        <v>40</v>
      </c>
      <c r="D4403">
        <v>4.7334610000000001</v>
      </c>
      <c r="E4403">
        <v>0.51563199999999998</v>
      </c>
      <c r="F4403" t="s">
        <v>78</v>
      </c>
      <c r="G4403">
        <v>-317.35860000000002</v>
      </c>
      <c r="H4403" s="1">
        <v>-6.9920400000000004E-6</v>
      </c>
      <c r="I4403">
        <v>141.33029999999999</v>
      </c>
      <c r="J4403">
        <v>-266.2</v>
      </c>
      <c r="K4403">
        <v>1.1093189999999999</v>
      </c>
      <c r="L4403">
        <v>141.29839999999999</v>
      </c>
      <c r="M4403">
        <v>-0.99994559999999999</v>
      </c>
      <c r="N4403">
        <v>-9.8571860000000004E-3</v>
      </c>
      <c r="O4403">
        <v>3.3858009999999999E-3</v>
      </c>
      <c r="P4403">
        <v>-0.98577369999999997</v>
      </c>
      <c r="Q4403">
        <v>0.16196479999999999</v>
      </c>
      <c r="R4403">
        <v>-4.4916499999999998E-2</v>
      </c>
      <c r="S4403">
        <v>-3.0540470000000002</v>
      </c>
      <c r="T4403">
        <v>-6.5711259999999994E-2</v>
      </c>
      <c r="U4403">
        <v>1.9683840000000001E-3</v>
      </c>
      <c r="V4403">
        <v>-4.8247680000000001E-2</v>
      </c>
      <c r="W4403">
        <v>0.1716744</v>
      </c>
      <c r="X4403">
        <v>0.98397159999999995</v>
      </c>
      <c r="Y4403">
        <v>-2.740298E-3</v>
      </c>
      <c r="Z4403" s="1">
        <v>-8.2452839999999994E-5</v>
      </c>
      <c r="AA4403">
        <v>0.9999962</v>
      </c>
      <c r="AB4403">
        <v>42</v>
      </c>
      <c r="AC4403">
        <v>-51.1586</v>
      </c>
      <c r="AD4403">
        <v>-1.10932599204</v>
      </c>
      <c r="AE4403">
        <v>3.1900000000007298E-2</v>
      </c>
      <c r="AF4403">
        <v>-0.14125503435974199</v>
      </c>
      <c r="AG4403">
        <v>-1.10932599204</v>
      </c>
      <c r="AH4403">
        <v>51.134371464483202</v>
      </c>
      <c r="AI4403">
        <v>91.242793931277603</v>
      </c>
      <c r="AJ4403">
        <v>90.158275079664804</v>
      </c>
      <c r="AK4403">
        <v>51.146598148939503</v>
      </c>
      <c r="AL4403">
        <v>80.114813743910304</v>
      </c>
      <c r="AM4403">
        <v>92.807170610845205</v>
      </c>
      <c r="AN4403">
        <v>1.0000000239236499</v>
      </c>
    </row>
    <row r="4404" spans="1:40" x14ac:dyDescent="0.25">
      <c r="A4404" t="str">
        <f>"20190304155723800"</f>
        <v>20190304155723800</v>
      </c>
      <c r="B4404" t="str">
        <f>"1551686243789125"</f>
        <v>1551686243789125</v>
      </c>
      <c r="C4404" t="s">
        <v>40</v>
      </c>
      <c r="D4404">
        <v>4.7313239999999999</v>
      </c>
      <c r="E4404">
        <v>0.51567609999999997</v>
      </c>
      <c r="F4404" t="s">
        <v>78</v>
      </c>
      <c r="G4404">
        <v>-318.58530000000002</v>
      </c>
      <c r="H4404" s="1">
        <v>-6.449674E-6</v>
      </c>
      <c r="I4404">
        <v>141.3364</v>
      </c>
      <c r="J4404">
        <v>-266.64060000000001</v>
      </c>
      <c r="K4404">
        <v>1.109321</v>
      </c>
      <c r="L4404">
        <v>141.29990000000001</v>
      </c>
      <c r="M4404">
        <v>-0.99994530000000004</v>
      </c>
      <c r="N4404">
        <v>-9.8936990000000006E-3</v>
      </c>
      <c r="O4404">
        <v>3.387658E-3</v>
      </c>
      <c r="P4404">
        <v>-0.98576149999999996</v>
      </c>
      <c r="Q4404">
        <v>0.16219890000000001</v>
      </c>
      <c r="R4404">
        <v>-4.4334690000000003E-2</v>
      </c>
      <c r="S4404">
        <v>-3.0540159999999998</v>
      </c>
      <c r="T4404">
        <v>-6.4672709999999994E-2</v>
      </c>
      <c r="U4404">
        <v>2.212524E-3</v>
      </c>
      <c r="V4404">
        <v>-4.7667349999999997E-2</v>
      </c>
      <c r="W4404">
        <v>0.17194409999999999</v>
      </c>
      <c r="X4404">
        <v>0.98395279999999996</v>
      </c>
      <c r="Y4404">
        <v>-2.6622719999999998E-3</v>
      </c>
      <c r="Z4404" s="1">
        <v>-7.9572190000000003E-5</v>
      </c>
      <c r="AA4404">
        <v>0.99999640000000001</v>
      </c>
      <c r="AB4404">
        <v>42</v>
      </c>
      <c r="AC4404">
        <v>-51.944699999999997</v>
      </c>
      <c r="AD4404">
        <v>-1.109327449674</v>
      </c>
      <c r="AE4404">
        <v>3.6499999999989499E-2</v>
      </c>
      <c r="AF4404">
        <v>-0.139416119922741</v>
      </c>
      <c r="AG4404">
        <v>-1.109327449674</v>
      </c>
      <c r="AH4404">
        <v>51.920845731083197</v>
      </c>
      <c r="AI4404">
        <v>91.223976268357205</v>
      </c>
      <c r="AJ4404">
        <v>90.153848342746201</v>
      </c>
      <c r="AK4404">
        <v>51.9328823162746</v>
      </c>
      <c r="AL4404">
        <v>80.099127899424701</v>
      </c>
      <c r="AM4404">
        <v>92.773511509173403</v>
      </c>
      <c r="AN4404">
        <v>1.00000003120433</v>
      </c>
    </row>
    <row r="4405" spans="1:40" x14ac:dyDescent="0.25">
      <c r="A4405" t="str">
        <f>"20190304155723824"</f>
        <v>20190304155723824</v>
      </c>
      <c r="B4405" t="str">
        <f>"1551686243819382"</f>
        <v>1551686243819382</v>
      </c>
      <c r="C4405" t="s">
        <v>40</v>
      </c>
      <c r="D4405">
        <v>4.7218489999999997</v>
      </c>
      <c r="E4405">
        <v>0.51574279999999995</v>
      </c>
      <c r="F4405" t="s">
        <v>41</v>
      </c>
      <c r="G4405">
        <v>-320.08100000000002</v>
      </c>
      <c r="H4405" s="1">
        <v>-4.5597830000000001E-6</v>
      </c>
      <c r="I4405">
        <v>141.37139999999999</v>
      </c>
      <c r="J4405">
        <v>-267.09179999999998</v>
      </c>
      <c r="K4405">
        <v>1.1093200000000001</v>
      </c>
      <c r="L4405">
        <v>141.3015</v>
      </c>
      <c r="M4405">
        <v>-0.99994490000000003</v>
      </c>
      <c r="N4405">
        <v>-9.9337660000000001E-3</v>
      </c>
      <c r="O4405">
        <v>3.401177E-3</v>
      </c>
      <c r="P4405">
        <v>-0.98575449999999998</v>
      </c>
      <c r="Q4405">
        <v>0.16229469999999999</v>
      </c>
      <c r="R4405">
        <v>-4.4142679999999997E-2</v>
      </c>
      <c r="S4405">
        <v>-3.053925</v>
      </c>
      <c r="T4405">
        <v>-6.3394069999999997E-2</v>
      </c>
      <c r="U4405">
        <v>4.0893550000000002E-3</v>
      </c>
      <c r="V4405">
        <v>-4.7485560000000003E-2</v>
      </c>
      <c r="W4405">
        <v>0.17208029999999999</v>
      </c>
      <c r="X4405">
        <v>0.98393770000000003</v>
      </c>
      <c r="Y4405">
        <v>-2.0614449999999999E-3</v>
      </c>
      <c r="Z4405" s="1">
        <v>-6.8443669999999906E-5</v>
      </c>
      <c r="AA4405">
        <v>0.9999979</v>
      </c>
      <c r="AB4405">
        <v>42</v>
      </c>
      <c r="AC4405">
        <v>-52.989199999999897</v>
      </c>
      <c r="AD4405">
        <v>-1.1093245597829999</v>
      </c>
      <c r="AE4405">
        <v>6.9899999999989804E-2</v>
      </c>
      <c r="AF4405">
        <v>-0.110286605708629</v>
      </c>
      <c r="AG4405">
        <v>-1.1093245597829999</v>
      </c>
      <c r="AH4405">
        <v>52.965917858735601</v>
      </c>
      <c r="AI4405">
        <v>91.199831685533894</v>
      </c>
      <c r="AJ4405">
        <v>90.119302150650498</v>
      </c>
      <c r="AK4405">
        <v>52.977648293715902</v>
      </c>
      <c r="AL4405">
        <v>80.091205354189896</v>
      </c>
      <c r="AM4405">
        <v>92.762992866059193</v>
      </c>
      <c r="AN4405">
        <v>0.99999995276894504</v>
      </c>
    </row>
    <row r="4406" spans="1:40" x14ac:dyDescent="0.25">
      <c r="A4406" t="str">
        <f>"20190304155723843"</f>
        <v>20190304155723843</v>
      </c>
      <c r="B4406" t="str">
        <f>"1551686243838903"</f>
        <v>1551686243838903</v>
      </c>
      <c r="C4406" t="s">
        <v>40</v>
      </c>
      <c r="D4406">
        <v>4.6989340000000004</v>
      </c>
      <c r="E4406">
        <v>0.51580599999999999</v>
      </c>
      <c r="F4406" t="s">
        <v>41</v>
      </c>
      <c r="G4406">
        <v>-320.55360000000002</v>
      </c>
      <c r="H4406" s="1">
        <v>-4.4034180000000001E-6</v>
      </c>
      <c r="I4406">
        <v>141.39670000000001</v>
      </c>
      <c r="J4406">
        <v>-267.46190000000001</v>
      </c>
      <c r="K4406">
        <v>1.109326</v>
      </c>
      <c r="L4406">
        <v>141.30269999999999</v>
      </c>
      <c r="M4406">
        <v>-0.99994439999999996</v>
      </c>
      <c r="N4406">
        <v>-9.9729989999999998E-3</v>
      </c>
      <c r="O4406">
        <v>3.429063E-3</v>
      </c>
      <c r="P4406">
        <v>-0.98573549999999999</v>
      </c>
      <c r="Q4406">
        <v>0.16249169999999999</v>
      </c>
      <c r="R4406">
        <v>-4.3842550000000001E-2</v>
      </c>
      <c r="S4406">
        <v>-3.0540159999999998</v>
      </c>
      <c r="T4406">
        <v>-6.3370350000000006E-2</v>
      </c>
      <c r="U4406">
        <v>5.4473880000000001E-3</v>
      </c>
      <c r="V4406">
        <v>-4.7208640000000003E-2</v>
      </c>
      <c r="W4406">
        <v>0.172317</v>
      </c>
      <c r="X4406">
        <v>0.9839097</v>
      </c>
      <c r="Y4406">
        <v>-1.6448379999999901E-3</v>
      </c>
      <c r="Z4406" s="1">
        <v>-6.2214339999999994E-5</v>
      </c>
      <c r="AA4406">
        <v>0.99999859999999896</v>
      </c>
      <c r="AB4406">
        <v>42</v>
      </c>
      <c r="AC4406">
        <v>-53.091700000000003</v>
      </c>
      <c r="AD4406">
        <v>-1.109330403418</v>
      </c>
      <c r="AE4406">
        <v>9.4000000000022496E-2</v>
      </c>
      <c r="AF4406">
        <v>-8.8025958407305593E-2</v>
      </c>
      <c r="AG4406">
        <v>-1.109330403418</v>
      </c>
      <c r="AH4406">
        <v>53.068541333749003</v>
      </c>
      <c r="AI4406">
        <v>91.197519392612904</v>
      </c>
      <c r="AJ4406">
        <v>90.095037684324396</v>
      </c>
      <c r="AK4406">
        <v>53.080207627750802</v>
      </c>
      <c r="AL4406">
        <v>80.077438770144795</v>
      </c>
      <c r="AM4406">
        <v>92.746982812555501</v>
      </c>
      <c r="AN4406">
        <v>1.0000000509668601</v>
      </c>
    </row>
    <row r="4407" spans="1:40" x14ac:dyDescent="0.25">
      <c r="A4407" t="str">
        <f>"20190304155723865"</f>
        <v>20190304155723865</v>
      </c>
      <c r="B4407" t="str">
        <f>"1551686243859397"</f>
        <v>1551686243859397</v>
      </c>
      <c r="C4407" t="s">
        <v>40</v>
      </c>
      <c r="D4407">
        <v>4.7061570000000001</v>
      </c>
      <c r="E4407">
        <v>0.51606660000000004</v>
      </c>
      <c r="F4407" t="s">
        <v>41</v>
      </c>
      <c r="G4407">
        <v>-321.51139999999998</v>
      </c>
      <c r="H4407" s="1">
        <v>-4.0814660000000001E-6</v>
      </c>
      <c r="I4407">
        <v>141.41909999999999</v>
      </c>
      <c r="J4407">
        <v>-267.86200000000002</v>
      </c>
      <c r="K4407">
        <v>1.109313</v>
      </c>
      <c r="L4407">
        <v>141.30410000000001</v>
      </c>
      <c r="M4407">
        <v>-0.9999439</v>
      </c>
      <c r="N4407">
        <v>-1.0024480000000001E-2</v>
      </c>
      <c r="O4407">
        <v>3.4811740000000001E-3</v>
      </c>
      <c r="P4407">
        <v>-0.98573520000000003</v>
      </c>
      <c r="Q4407">
        <v>0.16263549999999999</v>
      </c>
      <c r="R4407">
        <v>-4.3316E-2</v>
      </c>
      <c r="S4407">
        <v>-3.0540470000000002</v>
      </c>
      <c r="T4407">
        <v>-6.2682390000000004E-2</v>
      </c>
      <c r="U4407">
        <v>6.5765379999999998E-3</v>
      </c>
      <c r="V4407">
        <v>-4.6726110000000001E-2</v>
      </c>
      <c r="W4407">
        <v>0.17251279999999999</v>
      </c>
      <c r="X4407">
        <v>0.9838983</v>
      </c>
      <c r="Y4407">
        <v>-1.327366E-3</v>
      </c>
      <c r="Z4407" s="1">
        <v>-5.6819669999999999E-5</v>
      </c>
      <c r="AA4407">
        <v>0.99999910000000003</v>
      </c>
      <c r="AB4407">
        <v>42</v>
      </c>
      <c r="AC4407">
        <v>-53.649399999999901</v>
      </c>
      <c r="AD4407">
        <v>-1.1093170814659901</v>
      </c>
      <c r="AE4407">
        <v>0.11499999999997999</v>
      </c>
      <c r="AF4407">
        <v>-7.17422665472284E-2</v>
      </c>
      <c r="AG4407">
        <v>-1.1093170814659901</v>
      </c>
      <c r="AH4407">
        <v>53.626547596467198</v>
      </c>
      <c r="AI4407">
        <v>91.1850486256605</v>
      </c>
      <c r="AJ4407">
        <v>90.076650965199704</v>
      </c>
      <c r="AK4407">
        <v>53.638067997050499</v>
      </c>
      <c r="AL4407">
        <v>80.066048486557804</v>
      </c>
      <c r="AM4407">
        <v>92.7189790973881</v>
      </c>
      <c r="AN4407">
        <v>0.99999993013122801</v>
      </c>
    </row>
    <row r="4408" spans="1:40" x14ac:dyDescent="0.25">
      <c r="A4408" t="str">
        <f>"20190304155723888"</f>
        <v>20190304155723888</v>
      </c>
      <c r="B4408" t="str">
        <f>"1551686243878921"</f>
        <v>1551686243878921</v>
      </c>
      <c r="C4408" t="s">
        <v>40</v>
      </c>
      <c r="D4408">
        <v>4.7440119999999997</v>
      </c>
      <c r="E4408">
        <v>0.51613679999999995</v>
      </c>
      <c r="F4408" t="s">
        <v>41</v>
      </c>
      <c r="G4408">
        <v>-323.2627</v>
      </c>
      <c r="H4408" s="1">
        <v>-3.3697309999999999E-6</v>
      </c>
      <c r="I4408">
        <v>141.48480000000001</v>
      </c>
      <c r="J4408">
        <v>-268.2978</v>
      </c>
      <c r="K4408">
        <v>1.1093</v>
      </c>
      <c r="L4408">
        <v>141.3057</v>
      </c>
      <c r="M4408">
        <v>-0.99994269999999996</v>
      </c>
      <c r="N4408">
        <v>-1.009558E-2</v>
      </c>
      <c r="O4408">
        <v>3.5684470000000002E-3</v>
      </c>
      <c r="P4408">
        <v>-0.98573920000000004</v>
      </c>
      <c r="Q4408">
        <v>0.16267970000000001</v>
      </c>
      <c r="R4408">
        <v>-4.3054820000000001E-2</v>
      </c>
      <c r="S4408">
        <v>-3.0539550000000002</v>
      </c>
      <c r="T4408">
        <v>-6.1150910000000003E-2</v>
      </c>
      <c r="U4408">
        <v>9.9639889999999995E-3</v>
      </c>
      <c r="V4408">
        <v>-4.6539820000000003E-2</v>
      </c>
      <c r="W4408">
        <v>0.172629799999999</v>
      </c>
      <c r="X4408">
        <v>0.9838867</v>
      </c>
      <c r="Y4408">
        <v>-3.0572949999999998E-4</v>
      </c>
      <c r="Z4408" s="1">
        <v>-4.0024709999999997E-5</v>
      </c>
      <c r="AA4408">
        <v>0.99999990000000005</v>
      </c>
      <c r="AB4408">
        <v>42</v>
      </c>
      <c r="AC4408">
        <v>-54.9649</v>
      </c>
      <c r="AD4408">
        <v>-1.109303369731</v>
      </c>
      <c r="AE4408">
        <v>0.17910000000000501</v>
      </c>
      <c r="AF4408">
        <v>-1.70435213690271E-2</v>
      </c>
      <c r="AG4408">
        <v>-1.109303369731</v>
      </c>
      <c r="AH4408">
        <v>54.942810387175598</v>
      </c>
      <c r="AI4408">
        <v>91.156652954852404</v>
      </c>
      <c r="AJ4408">
        <v>90.017773423024394</v>
      </c>
      <c r="AK4408">
        <v>54.954010387676497</v>
      </c>
      <c r="AL4408">
        <v>80.059243682069706</v>
      </c>
      <c r="AM4408">
        <v>92.708186986952299</v>
      </c>
      <c r="AN4408">
        <v>1.0000000205652799</v>
      </c>
    </row>
    <row r="4409" spans="1:40" x14ac:dyDescent="0.25">
      <c r="A4409" t="str">
        <f>"20190304155723910"</f>
        <v>20190304155723910</v>
      </c>
      <c r="B4409" t="str">
        <f>"1551686243899414"</f>
        <v>1551686243899414</v>
      </c>
      <c r="C4409" t="s">
        <v>40</v>
      </c>
      <c r="D4409">
        <v>4.7275219999999996</v>
      </c>
      <c r="E4409">
        <v>0.51614099999999996</v>
      </c>
      <c r="F4409" t="s">
        <v>41</v>
      </c>
      <c r="G4409">
        <v>-322.09050000000002</v>
      </c>
      <c r="H4409" s="1">
        <v>-3.8776199999999996E-6</v>
      </c>
      <c r="I4409">
        <v>141.50370000000001</v>
      </c>
      <c r="J4409">
        <v>-268.69749999999999</v>
      </c>
      <c r="K4409">
        <v>1.1092799999999901</v>
      </c>
      <c r="L4409">
        <v>141.3073</v>
      </c>
      <c r="M4409">
        <v>-0.99994159999999999</v>
      </c>
      <c r="N4409">
        <v>-1.017823E-2</v>
      </c>
      <c r="O4409">
        <v>3.679458E-3</v>
      </c>
      <c r="P4409">
        <v>-0.98585650000000002</v>
      </c>
      <c r="Q4409">
        <v>0.16215560000000001</v>
      </c>
      <c r="R4409">
        <v>-4.2341499999999997E-2</v>
      </c>
      <c r="S4409">
        <v>-3.0542910000000001</v>
      </c>
      <c r="T4409">
        <v>-6.2985059999999995E-2</v>
      </c>
      <c r="U4409">
        <v>1.1245730000000001E-2</v>
      </c>
      <c r="V4409">
        <v>-4.5925510000000003E-2</v>
      </c>
      <c r="W4409">
        <v>0.1721916</v>
      </c>
      <c r="X4409">
        <v>0.98399230000000004</v>
      </c>
      <c r="Y4409" s="1">
        <v>2.4709840000000001E-6</v>
      </c>
      <c r="Z4409" s="1">
        <v>-3.8381199999999998E-5</v>
      </c>
      <c r="AA4409">
        <v>1</v>
      </c>
      <c r="AB4409">
        <v>42</v>
      </c>
      <c r="AC4409">
        <v>-53.393000000000001</v>
      </c>
      <c r="AD4409">
        <v>-1.10928387761999</v>
      </c>
      <c r="AE4409">
        <v>0.19640000000001101</v>
      </c>
      <c r="AF4409" s="1">
        <v>-6.8744632640171903E-5</v>
      </c>
      <c r="AG4409">
        <v>-1.10928387761999</v>
      </c>
      <c r="AH4409">
        <v>53.370325022148599</v>
      </c>
      <c r="AI4409">
        <v>91.190701659103496</v>
      </c>
      <c r="AJ4409">
        <v>90.000073800886696</v>
      </c>
      <c r="AK4409">
        <v>53.381851819655502</v>
      </c>
      <c r="AL4409">
        <v>80.084731905549503</v>
      </c>
      <c r="AM4409">
        <v>92.672205609321395</v>
      </c>
      <c r="AN4409">
        <v>0.99999997301930399</v>
      </c>
    </row>
    <row r="4410" spans="1:40" x14ac:dyDescent="0.25">
      <c r="A4410" t="str">
        <f>"20190304155723932"</f>
        <v>20190304155723932</v>
      </c>
      <c r="B4410" t="str">
        <f>"1551686243929669"</f>
        <v>1551686243929669</v>
      </c>
      <c r="C4410" t="s">
        <v>40</v>
      </c>
      <c r="D4410">
        <v>4.7568999999999999</v>
      </c>
      <c r="E4410">
        <v>0.51649690000000004</v>
      </c>
      <c r="F4410" t="s">
        <v>41</v>
      </c>
      <c r="G4410">
        <v>-321.19909999999999</v>
      </c>
      <c r="H4410" s="1">
        <v>-4.2095819999999901E-6</v>
      </c>
      <c r="I4410">
        <v>141.54220000000001</v>
      </c>
      <c r="J4410">
        <v>-269.11399999999998</v>
      </c>
      <c r="K4410">
        <v>1.1092709999999999</v>
      </c>
      <c r="L4410">
        <v>141.30889999999999</v>
      </c>
      <c r="M4410">
        <v>-0.99993980000000005</v>
      </c>
      <c r="N4410">
        <v>-1.028109E-2</v>
      </c>
      <c r="O4410">
        <v>3.825658E-3</v>
      </c>
      <c r="P4410">
        <v>-0.98591039999999996</v>
      </c>
      <c r="Q4410">
        <v>0.1618773</v>
      </c>
      <c r="R4410">
        <v>-4.2148520000000002E-2</v>
      </c>
      <c r="S4410">
        <v>-3.05423</v>
      </c>
      <c r="T4410">
        <v>-6.4531679999999994E-2</v>
      </c>
      <c r="U4410">
        <v>1.3671880000000001E-2</v>
      </c>
      <c r="V4410">
        <v>-4.5865929999999999E-2</v>
      </c>
      <c r="W4410">
        <v>0.1720178</v>
      </c>
      <c r="X4410">
        <v>0.9840255</v>
      </c>
      <c r="Y4410">
        <v>6.5048340000000001E-4</v>
      </c>
      <c r="Z4410" s="1">
        <v>-3.1274869999999999E-5</v>
      </c>
      <c r="AA4410">
        <v>0.99999979999999999</v>
      </c>
      <c r="AB4410">
        <v>42</v>
      </c>
      <c r="AC4410">
        <v>-52.085099999999898</v>
      </c>
      <c r="AD4410">
        <v>-1.109275209582</v>
      </c>
      <c r="AE4410">
        <v>0.233300000000014</v>
      </c>
      <c r="AF4410">
        <v>3.4012548282417197E-2</v>
      </c>
      <c r="AG4410">
        <v>-1.109275209582</v>
      </c>
      <c r="AH4410">
        <v>52.061997698800901</v>
      </c>
      <c r="AI4410">
        <v>91.220605467634698</v>
      </c>
      <c r="AJ4410">
        <v>89.962568182629298</v>
      </c>
      <c r="AK4410">
        <v>52.0738250249968</v>
      </c>
      <c r="AL4410">
        <v>80.094840978222805</v>
      </c>
      <c r="AM4410">
        <v>92.668654013044403</v>
      </c>
      <c r="AN4410">
        <v>0.99999999585092703</v>
      </c>
    </row>
    <row r="4411" spans="1:40" x14ac:dyDescent="0.25">
      <c r="A4411" t="str">
        <f>"20190304155723954"</f>
        <v>20190304155723954</v>
      </c>
      <c r="B4411" t="str">
        <f>"1551686243949442"</f>
        <v>1551686243949442</v>
      </c>
      <c r="C4411" t="s">
        <v>40</v>
      </c>
      <c r="D4411">
        <v>4.7287350000000004</v>
      </c>
      <c r="E4411">
        <v>0.51684839999999999</v>
      </c>
      <c r="F4411" t="s">
        <v>41</v>
      </c>
      <c r="G4411">
        <v>-321.80450000000002</v>
      </c>
      <c r="H4411" s="1">
        <v>-4.0139279999999997E-6</v>
      </c>
      <c r="I4411">
        <v>141.60079999999999</v>
      </c>
      <c r="J4411">
        <v>-269.52370000000002</v>
      </c>
      <c r="K4411">
        <v>1.109267</v>
      </c>
      <c r="L4411">
        <v>141.31059999999999</v>
      </c>
      <c r="M4411">
        <v>-0.99993810000000005</v>
      </c>
      <c r="N4411">
        <v>-1.038822E-2</v>
      </c>
      <c r="O4411">
        <v>3.9911010000000004E-3</v>
      </c>
      <c r="P4411">
        <v>-0.9859407</v>
      </c>
      <c r="Q4411">
        <v>0.1617943</v>
      </c>
      <c r="R4411">
        <v>-4.1755569999999999E-2</v>
      </c>
      <c r="S4411">
        <v>-3.0541990000000001</v>
      </c>
      <c r="T4411">
        <v>-6.429899E-2</v>
      </c>
      <c r="U4411">
        <v>1.6922E-2</v>
      </c>
      <c r="V4411">
        <v>-4.5625970000000002E-2</v>
      </c>
      <c r="W4411">
        <v>0.17204269999999999</v>
      </c>
      <c r="X4411">
        <v>0.98403229999999997</v>
      </c>
      <c r="Y4411">
        <v>1.548897E-3</v>
      </c>
      <c r="Z4411" s="1">
        <v>-1.8204790000000002E-5</v>
      </c>
      <c r="AA4411">
        <v>0.99999879999999997</v>
      </c>
      <c r="AB4411">
        <v>42</v>
      </c>
      <c r="AC4411">
        <v>-52.280799999999999</v>
      </c>
      <c r="AD4411">
        <v>-1.109271013928</v>
      </c>
      <c r="AE4411">
        <v>0.29019999999999802</v>
      </c>
      <c r="AF4411">
        <v>8.1491795463766795E-2</v>
      </c>
      <c r="AG4411">
        <v>-1.109271013928</v>
      </c>
      <c r="AH4411">
        <v>52.258016803049699</v>
      </c>
      <c r="AI4411">
        <v>91.216022553914897</v>
      </c>
      <c r="AJ4411">
        <v>89.910652327701797</v>
      </c>
      <c r="AK4411">
        <v>52.269852145217499</v>
      </c>
      <c r="AL4411">
        <v>80.093392699725797</v>
      </c>
      <c r="AM4411">
        <v>92.654693935954498</v>
      </c>
      <c r="AN4411">
        <v>0.99999999360251002</v>
      </c>
    </row>
    <row r="4412" spans="1:40" x14ac:dyDescent="0.25">
      <c r="A4412" t="str">
        <f>"20190304155723976"</f>
        <v>20190304155723976</v>
      </c>
      <c r="B4412" t="str">
        <f>"1551686243968961"</f>
        <v>1551686243968961</v>
      </c>
      <c r="C4412" t="s">
        <v>40</v>
      </c>
      <c r="D4412">
        <v>4.9191770000000004</v>
      </c>
      <c r="E4412">
        <v>0.51659480000000002</v>
      </c>
      <c r="F4412" t="s">
        <v>41</v>
      </c>
      <c r="G4412">
        <v>-323.1309</v>
      </c>
      <c r="H4412" s="1">
        <v>-3.4761259999999999E-6</v>
      </c>
      <c r="I4412">
        <v>141.6721</v>
      </c>
      <c r="J4412">
        <v>-269.94510000000002</v>
      </c>
      <c r="K4412">
        <v>1.109262</v>
      </c>
      <c r="L4412">
        <v>141.3125</v>
      </c>
      <c r="M4412">
        <v>-0.99993620000000005</v>
      </c>
      <c r="N4412">
        <v>-1.050015E-2</v>
      </c>
      <c r="O4412">
        <v>4.178345E-3</v>
      </c>
      <c r="P4412">
        <v>-0.98599879999999995</v>
      </c>
      <c r="Q4412">
        <v>0.161456399999999</v>
      </c>
      <c r="R4412">
        <v>-4.1692460000000001E-2</v>
      </c>
      <c r="S4412">
        <v>-3.0540470000000002</v>
      </c>
      <c r="T4412">
        <v>-6.3196180000000005E-2</v>
      </c>
      <c r="U4412">
        <v>2.0599369999999999E-2</v>
      </c>
      <c r="V4412">
        <v>-4.5739929999999998E-2</v>
      </c>
      <c r="W4412">
        <v>0.17181769999999999</v>
      </c>
      <c r="X4412">
        <v>0.98406629999999995</v>
      </c>
      <c r="Y4412">
        <v>2.5656379999999999E-3</v>
      </c>
      <c r="Z4412" s="1">
        <v>-2.5639799999999998E-6</v>
      </c>
      <c r="AA4412">
        <v>0.99999669999999896</v>
      </c>
      <c r="AB4412">
        <v>42</v>
      </c>
      <c r="AC4412">
        <v>-53.185799999999901</v>
      </c>
      <c r="AD4412">
        <v>-1.1092654761259999</v>
      </c>
      <c r="AE4412">
        <v>0.35959999999999998</v>
      </c>
      <c r="AF4412">
        <v>0.13729628041700501</v>
      </c>
      <c r="AG4412">
        <v>-1.1092654761259999</v>
      </c>
      <c r="AH4412">
        <v>53.163713644380799</v>
      </c>
      <c r="AI4412">
        <v>91.195303962780599</v>
      </c>
      <c r="AJ4412">
        <v>89.852032911486305</v>
      </c>
      <c r="AK4412">
        <v>53.175462091333699</v>
      </c>
      <c r="AL4412">
        <v>80.106478912580002</v>
      </c>
      <c r="AM4412">
        <v>92.661223227215899</v>
      </c>
      <c r="AN4412">
        <v>0.99999997301269195</v>
      </c>
    </row>
    <row r="4413" spans="1:40" x14ac:dyDescent="0.25">
      <c r="A4413" t="str">
        <f>"20190304155724000"</f>
        <v>20190304155724000</v>
      </c>
      <c r="B4413" t="str">
        <f>"1551686243989457"</f>
        <v>1551686243989457</v>
      </c>
      <c r="C4413" t="s">
        <v>40</v>
      </c>
      <c r="D4413">
        <v>4.7174189999999996</v>
      </c>
      <c r="E4413">
        <v>0.51688780000000001</v>
      </c>
      <c r="F4413" t="s">
        <v>41</v>
      </c>
      <c r="G4413">
        <v>-321.18299999999999</v>
      </c>
      <c r="H4413" s="1">
        <v>-4.2295470000000001E-6</v>
      </c>
      <c r="I4413">
        <v>141.624</v>
      </c>
      <c r="J4413">
        <v>-270.36939999999998</v>
      </c>
      <c r="K4413">
        <v>1.1092610000000001</v>
      </c>
      <c r="L4413">
        <v>141.31440000000001</v>
      </c>
      <c r="M4413">
        <v>-0.9999342</v>
      </c>
      <c r="N4413">
        <v>-1.061378E-2</v>
      </c>
      <c r="O4413">
        <v>4.3789989999999997E-3</v>
      </c>
      <c r="P4413">
        <v>-0.98597880000000004</v>
      </c>
      <c r="Q4413">
        <v>0.1616369</v>
      </c>
      <c r="R4413">
        <v>-4.14664E-2</v>
      </c>
      <c r="S4413">
        <v>-3.0541689999999999</v>
      </c>
      <c r="T4413">
        <v>-6.6120739999999997E-2</v>
      </c>
      <c r="U4413">
        <v>1.8569950000000002E-2</v>
      </c>
      <c r="V4413">
        <v>-4.5704700000000001E-2</v>
      </c>
      <c r="W4413">
        <v>0.17211170000000001</v>
      </c>
      <c r="X4413">
        <v>0.98401660000000002</v>
      </c>
      <c r="Y4413">
        <v>1.7005340000000001E-3</v>
      </c>
      <c r="Z4413" s="1">
        <v>-2.088198E-5</v>
      </c>
      <c r="AA4413">
        <v>0.99999859999999896</v>
      </c>
      <c r="AB4413">
        <v>42</v>
      </c>
      <c r="AC4413">
        <v>-50.813600000000001</v>
      </c>
      <c r="AD4413">
        <v>-1.109265229547</v>
      </c>
      <c r="AE4413">
        <v>0.309599999999989</v>
      </c>
      <c r="AF4413">
        <v>8.7030346178973594E-2</v>
      </c>
      <c r="AG4413">
        <v>-1.109265229547</v>
      </c>
      <c r="AH4413">
        <v>50.7902652297442</v>
      </c>
      <c r="AI4413">
        <v>91.251145669678706</v>
      </c>
      <c r="AJ4413">
        <v>89.901822394061</v>
      </c>
      <c r="AK4413">
        <v>50.802451572128</v>
      </c>
      <c r="AL4413">
        <v>80.089379620749</v>
      </c>
      <c r="AM4413">
        <v>92.659310547017597</v>
      </c>
      <c r="AN4413">
        <v>1.0000000129772699</v>
      </c>
    </row>
    <row r="4414" spans="1:40" x14ac:dyDescent="0.25">
      <c r="A4414" t="str">
        <f>"20190304155724024"</f>
        <v>20190304155724024</v>
      </c>
      <c r="B4414" t="str">
        <f>"1551686244019713"</f>
        <v>1551686244019713</v>
      </c>
      <c r="C4414" t="s">
        <v>40</v>
      </c>
      <c r="D4414">
        <v>4.9227559999999997</v>
      </c>
      <c r="E4414">
        <v>0.51625259999999995</v>
      </c>
      <c r="F4414" t="s">
        <v>41</v>
      </c>
      <c r="G4414">
        <v>-322.8168</v>
      </c>
      <c r="H4414" s="1">
        <v>-3.6150900000000001E-6</v>
      </c>
      <c r="I4414">
        <v>141.68799999999999</v>
      </c>
      <c r="J4414">
        <v>-270.83409999999998</v>
      </c>
      <c r="K4414">
        <v>1.109264</v>
      </c>
      <c r="L4414">
        <v>141.31659999999999</v>
      </c>
      <c r="M4414">
        <v>-0.99993180000000004</v>
      </c>
      <c r="N4414">
        <v>-1.073956E-2</v>
      </c>
      <c r="O4414">
        <v>4.6070959999999998E-3</v>
      </c>
      <c r="P4414">
        <v>-0.98596609999999996</v>
      </c>
      <c r="Q4414">
        <v>0.1617547</v>
      </c>
      <c r="R4414">
        <v>-4.1306620000000002E-2</v>
      </c>
      <c r="S4414">
        <v>-3.0541689999999999</v>
      </c>
      <c r="T4414">
        <v>-6.4595819999999998E-2</v>
      </c>
      <c r="U4414">
        <v>2.1759029999999999E-2</v>
      </c>
      <c r="V4414">
        <v>-4.5764659999999999E-2</v>
      </c>
      <c r="W4414">
        <v>0.1723546</v>
      </c>
      <c r="X4414">
        <v>0.98397129999999999</v>
      </c>
      <c r="Y4414">
        <v>2.516272E-3</v>
      </c>
      <c r="Z4414" s="1">
        <v>-7.8299219999999995E-6</v>
      </c>
      <c r="AA4414">
        <v>0.99999680000000002</v>
      </c>
      <c r="AB4414">
        <v>42</v>
      </c>
      <c r="AC4414">
        <v>-51.982700000000001</v>
      </c>
      <c r="AD4414">
        <v>-1.10926761509</v>
      </c>
      <c r="AE4414">
        <v>0.37139999999999401</v>
      </c>
      <c r="AF4414">
        <v>0.13183294815347299</v>
      </c>
      <c r="AG4414">
        <v>-1.10926761509</v>
      </c>
      <c r="AH4414">
        <v>51.960200036774197</v>
      </c>
      <c r="AI4414">
        <v>91.222984042608502</v>
      </c>
      <c r="AJ4414">
        <v>89.8546299799347</v>
      </c>
      <c r="AK4414">
        <v>51.972206441806001</v>
      </c>
      <c r="AL4414">
        <v>80.075251373766704</v>
      </c>
      <c r="AM4414">
        <v>92.662916691764494</v>
      </c>
      <c r="AN4414">
        <v>1.0000000157348801</v>
      </c>
    </row>
    <row r="4415" spans="1:40" x14ac:dyDescent="0.25">
      <c r="A4415" t="str">
        <f>"20190304155724046"</f>
        <v>20190304155724046</v>
      </c>
      <c r="B4415" t="str">
        <f>"1551686244039234"</f>
        <v>1551686244039234</v>
      </c>
      <c r="C4415" t="s">
        <v>40</v>
      </c>
      <c r="D4415">
        <v>4.8953550000000003</v>
      </c>
      <c r="E4415">
        <v>0.51610710000000004</v>
      </c>
      <c r="F4415" t="s">
        <v>41</v>
      </c>
      <c r="G4415">
        <v>-321.93819999999999</v>
      </c>
      <c r="H4415" s="1">
        <v>-3.9694840000000003E-6</v>
      </c>
      <c r="I4415">
        <v>141.60659999999999</v>
      </c>
      <c r="J4415">
        <v>-271.23630000000003</v>
      </c>
      <c r="K4415">
        <v>1.1092740000000001</v>
      </c>
      <c r="L4415">
        <v>141.3186</v>
      </c>
      <c r="M4415">
        <v>-0.99992950000000003</v>
      </c>
      <c r="N4415">
        <v>-1.084677E-2</v>
      </c>
      <c r="O4415">
        <v>4.8078210000000003E-3</v>
      </c>
      <c r="P4415">
        <v>-0.98590029999999995</v>
      </c>
      <c r="Q4415">
        <v>0.16216320000000001</v>
      </c>
      <c r="R4415">
        <v>-4.1274489999999997E-2</v>
      </c>
      <c r="S4415">
        <v>-3.0542910000000001</v>
      </c>
      <c r="T4415">
        <v>-6.62967E-2</v>
      </c>
      <c r="U4415">
        <v>1.7333979999999999E-2</v>
      </c>
      <c r="V4415">
        <v>-4.5925149999999998E-2</v>
      </c>
      <c r="W4415">
        <v>0.17286889999999999</v>
      </c>
      <c r="X4415">
        <v>0.98387360000000001</v>
      </c>
      <c r="Y4415">
        <v>8.6708279999999998E-4</v>
      </c>
      <c r="Z4415" s="1">
        <v>-3.8084670000000003E-5</v>
      </c>
      <c r="AA4415">
        <v>0.99999959999999999</v>
      </c>
      <c r="AB4415">
        <v>42</v>
      </c>
      <c r="AC4415">
        <v>-50.701899999999902</v>
      </c>
      <c r="AD4415">
        <v>-1.10927796948399</v>
      </c>
      <c r="AE4415">
        <v>0.28799999999998199</v>
      </c>
      <c r="AF4415">
        <v>4.4195488461487097E-2</v>
      </c>
      <c r="AG4415">
        <v>-1.10927796948399</v>
      </c>
      <c r="AH4415">
        <v>50.6784414218574</v>
      </c>
      <c r="AI4415">
        <v>91.253921247418404</v>
      </c>
      <c r="AJ4415">
        <v>89.950033697773904</v>
      </c>
      <c r="AK4415">
        <v>50.690599481594397</v>
      </c>
      <c r="AL4415">
        <v>80.045335136216394</v>
      </c>
      <c r="AM4415">
        <v>92.672506612745394</v>
      </c>
      <c r="AN4415">
        <v>1.00000001838334</v>
      </c>
    </row>
    <row r="4416" spans="1:40" x14ac:dyDescent="0.25">
      <c r="A4416" t="str">
        <f>"20190304155724067"</f>
        <v>20190304155724067</v>
      </c>
      <c r="B4416" t="str">
        <f>"1551686244059729"</f>
        <v>1551686244059729</v>
      </c>
      <c r="C4416" t="s">
        <v>40</v>
      </c>
      <c r="D4416">
        <v>4.8250080000000004</v>
      </c>
      <c r="E4416">
        <v>0.51608039999999999</v>
      </c>
      <c r="F4416" t="s">
        <v>41</v>
      </c>
      <c r="G4416">
        <v>-322.01389999999998</v>
      </c>
      <c r="H4416" s="1">
        <v>-3.9353390000000003E-6</v>
      </c>
      <c r="I4416">
        <v>141.59710000000001</v>
      </c>
      <c r="J4416">
        <v>-271.64359999999999</v>
      </c>
      <c r="K4416">
        <v>1.109281</v>
      </c>
      <c r="L4416">
        <v>141.32079999999999</v>
      </c>
      <c r="M4416">
        <v>-0.99992760000000003</v>
      </c>
      <c r="N4416">
        <v>-1.095196E-2</v>
      </c>
      <c r="O4416">
        <v>5.0112220000000001E-3</v>
      </c>
      <c r="P4416">
        <v>-0.98587290000000005</v>
      </c>
      <c r="Q4416">
        <v>0.16237699999999999</v>
      </c>
      <c r="R4416">
        <v>-4.109202E-2</v>
      </c>
      <c r="S4416">
        <v>-3.0545650000000002</v>
      </c>
      <c r="T4416">
        <v>-6.6729549999999999E-2</v>
      </c>
      <c r="U4416">
        <v>1.6754149999999999E-2</v>
      </c>
      <c r="V4416">
        <v>-4.5939430000000003E-2</v>
      </c>
      <c r="W4416">
        <v>0.1731868</v>
      </c>
      <c r="X4416">
        <v>0.98381700000000005</v>
      </c>
      <c r="Y4416">
        <v>4.7348330000000001E-4</v>
      </c>
      <c r="Z4416" s="1">
        <v>-4.6814239999999999E-5</v>
      </c>
      <c r="AA4416">
        <v>0.99999990000000005</v>
      </c>
      <c r="AB4416">
        <v>42</v>
      </c>
      <c r="AC4416">
        <v>-50.370299999999901</v>
      </c>
      <c r="AD4416">
        <v>-1.109284935339</v>
      </c>
      <c r="AE4416">
        <v>0.27630000000001997</v>
      </c>
      <c r="AF4416">
        <v>2.38531002232657E-2</v>
      </c>
      <c r="AG4416">
        <v>-1.109284935339</v>
      </c>
      <c r="AH4416">
        <v>50.346635020036999</v>
      </c>
      <c r="AI4416">
        <v>91.262190735381296</v>
      </c>
      <c r="AJ4416">
        <v>89.972854553868501</v>
      </c>
      <c r="AK4416">
        <v>50.358859596688397</v>
      </c>
      <c r="AL4416">
        <v>80.026841629433605</v>
      </c>
      <c r="AM4416">
        <v>92.673489975222196</v>
      </c>
      <c r="AN4416">
        <v>0.99999999420598196</v>
      </c>
    </row>
    <row r="4417" spans="1:40" x14ac:dyDescent="0.25">
      <c r="A4417" t="str">
        <f>"20190304155724089"</f>
        <v>20190304155724089</v>
      </c>
      <c r="B4417" t="str">
        <f>"1551686244079253"</f>
        <v>1551686244079253</v>
      </c>
      <c r="C4417" t="s">
        <v>40</v>
      </c>
      <c r="D4417">
        <v>4.7910500000000003</v>
      </c>
      <c r="E4417">
        <v>0.49666149999999998</v>
      </c>
      <c r="F4417" t="s">
        <v>41</v>
      </c>
      <c r="G4417">
        <v>-322.94200000000001</v>
      </c>
      <c r="H4417" s="1">
        <v>-3.5421919999999999E-6</v>
      </c>
      <c r="I4417">
        <v>141.61590000000001</v>
      </c>
      <c r="J4417">
        <v>-272.03980000000001</v>
      </c>
      <c r="K4417">
        <v>1.109283</v>
      </c>
      <c r="L4417">
        <v>141.3229</v>
      </c>
      <c r="M4417">
        <v>-0.99992550000000002</v>
      </c>
      <c r="N4417">
        <v>-1.105244E-2</v>
      </c>
      <c r="O4417">
        <v>5.2088480000000003E-3</v>
      </c>
      <c r="P4417">
        <v>-0.98590239999999996</v>
      </c>
      <c r="Q4417">
        <v>0.162186</v>
      </c>
      <c r="R4417">
        <v>-4.114056E-2</v>
      </c>
      <c r="S4417">
        <v>-3.0546259999999998</v>
      </c>
      <c r="T4417">
        <v>-6.6053749999999994E-2</v>
      </c>
      <c r="U4417">
        <v>1.7578130000000001E-2</v>
      </c>
      <c r="V4417">
        <v>-4.6179909999999998E-2</v>
      </c>
      <c r="W4417">
        <v>0.17309569999999999</v>
      </c>
      <c r="X4417">
        <v>0.98382170000000002</v>
      </c>
      <c r="Y4417">
        <v>5.4543620000000001E-4</v>
      </c>
      <c r="Z4417" s="1">
        <v>-4.6141820000000001E-5</v>
      </c>
      <c r="AA4417">
        <v>0.99999979999999999</v>
      </c>
      <c r="AB4417">
        <v>42</v>
      </c>
      <c r="AC4417">
        <v>-50.902199999999901</v>
      </c>
      <c r="AD4417">
        <v>-1.109286542192</v>
      </c>
      <c r="AE4417">
        <v>0.29300000000000598</v>
      </c>
      <c r="AF4417">
        <v>2.7824831144826801E-2</v>
      </c>
      <c r="AG4417">
        <v>-1.109286542192</v>
      </c>
      <c r="AH4417">
        <v>50.878873399007603</v>
      </c>
      <c r="AI4417">
        <v>91.248993061582098</v>
      </c>
      <c r="AJ4417">
        <v>89.968665870039501</v>
      </c>
      <c r="AK4417">
        <v>50.890972177844702</v>
      </c>
      <c r="AL4417">
        <v>80.032140583184997</v>
      </c>
      <c r="AM4417">
        <v>92.687451659156693</v>
      </c>
      <c r="AN4417">
        <v>0.99999992141849003</v>
      </c>
    </row>
    <row r="4418" spans="1:40" x14ac:dyDescent="0.25">
      <c r="A4418" t="str">
        <f>"20190304155724110"</f>
        <v>20190304155724110</v>
      </c>
      <c r="B4418" t="str">
        <f>"1551686244098770"</f>
        <v>1551686244098770</v>
      </c>
      <c r="C4418" t="s">
        <v>40</v>
      </c>
      <c r="D4418">
        <v>4.8146779999999998</v>
      </c>
      <c r="E4418">
        <v>0.49527290000000002</v>
      </c>
      <c r="F4418" t="s">
        <v>78</v>
      </c>
      <c r="G4418">
        <v>-305.834</v>
      </c>
      <c r="H4418" s="1">
        <v>-8.9531799999999995E-6</v>
      </c>
      <c r="I4418">
        <v>139.81450000000001</v>
      </c>
      <c r="J4418">
        <v>-272.45749999999998</v>
      </c>
      <c r="K4418">
        <v>1.1092799999999901</v>
      </c>
      <c r="L4418">
        <v>141.3252</v>
      </c>
      <c r="M4418">
        <v>-0.99992309999999995</v>
      </c>
      <c r="N4418">
        <v>-1.115794E-2</v>
      </c>
      <c r="O4418">
        <v>5.4166880000000002E-3</v>
      </c>
      <c r="P4418">
        <v>-0.98587499999999995</v>
      </c>
      <c r="Q4418">
        <v>0.16227539999999999</v>
      </c>
      <c r="R4418">
        <v>-4.1439839999999999E-2</v>
      </c>
      <c r="S4418">
        <v>-3.0537719999999999</v>
      </c>
      <c r="T4418">
        <v>-0.1002401</v>
      </c>
      <c r="U4418">
        <v>-0.13630680000000001</v>
      </c>
      <c r="V4418">
        <v>-4.6681180000000003E-2</v>
      </c>
      <c r="W4418">
        <v>0.17328969999999999</v>
      </c>
      <c r="X4418">
        <v>0.98376399999999997</v>
      </c>
      <c r="Y4418">
        <v>-4.9964849999999998E-2</v>
      </c>
      <c r="Z4418">
        <v>-1.2156929999999999E-3</v>
      </c>
      <c r="AA4418">
        <v>0.99875020000000003</v>
      </c>
      <c r="AB4418">
        <v>42</v>
      </c>
      <c r="AC4418">
        <v>-33.3765</v>
      </c>
      <c r="AD4418">
        <v>-1.1092889531800001</v>
      </c>
      <c r="AE4418">
        <v>-1.5106999999999799</v>
      </c>
      <c r="AF4418">
        <v>-1.6896166262118999</v>
      </c>
      <c r="AG4418">
        <v>-1.1092889531800001</v>
      </c>
      <c r="AH4418">
        <v>33.331084318588502</v>
      </c>
      <c r="AI4418">
        <v>91.903709776629498</v>
      </c>
      <c r="AJ4418">
        <v>92.901949030289501</v>
      </c>
      <c r="AK4418">
        <v>33.392312111892998</v>
      </c>
      <c r="AL4418">
        <v>80.020855744097602</v>
      </c>
      <c r="AM4418">
        <v>92.716738824719201</v>
      </c>
      <c r="AN4418">
        <v>1.0000000301941401</v>
      </c>
    </row>
    <row r="4419" spans="1:40" x14ac:dyDescent="0.25">
      <c r="A4419" t="str">
        <f>"20190304155724133"</f>
        <v>20190304155724133</v>
      </c>
      <c r="B4419" t="str">
        <f>"1551686244129026"</f>
        <v>1551686244129026</v>
      </c>
      <c r="C4419" t="s">
        <v>40</v>
      </c>
      <c r="D4419">
        <v>4.8065879999999996</v>
      </c>
      <c r="E4419">
        <v>0.49481579999999997</v>
      </c>
      <c r="F4419" t="s">
        <v>78</v>
      </c>
      <c r="G4419">
        <v>-307.45710000000003</v>
      </c>
      <c r="H4419" s="1">
        <v>-9.1302100000000001E-6</v>
      </c>
      <c r="I4419">
        <v>139.626</v>
      </c>
      <c r="J4419">
        <v>-272.88659999999999</v>
      </c>
      <c r="K4419">
        <v>1.1092850000000001</v>
      </c>
      <c r="L4419">
        <v>141.32769999999999</v>
      </c>
      <c r="M4419">
        <v>-0.99992080000000005</v>
      </c>
      <c r="N4419">
        <v>-1.126193E-2</v>
      </c>
      <c r="O4419">
        <v>5.6298809999999998E-3</v>
      </c>
      <c r="P4419">
        <v>-0.9858806</v>
      </c>
      <c r="Q4419">
        <v>0.16219610000000001</v>
      </c>
      <c r="R4419">
        <v>-4.1617460000000002E-2</v>
      </c>
      <c r="S4419">
        <v>-3.052673</v>
      </c>
      <c r="T4419">
        <v>-9.6752290000000005E-2</v>
      </c>
      <c r="U4419">
        <v>-0.1482086</v>
      </c>
      <c r="V4419">
        <v>-4.7066570000000002E-2</v>
      </c>
      <c r="W4419">
        <v>0.17331359999999901</v>
      </c>
      <c r="X4419">
        <v>0.98374139999999999</v>
      </c>
      <c r="Y4419">
        <v>-5.4078250000000001E-2</v>
      </c>
      <c r="Z4419">
        <v>-1.2760060000000001E-3</v>
      </c>
      <c r="AA4419">
        <v>0.99853590000000003</v>
      </c>
      <c r="AB4419">
        <v>42</v>
      </c>
      <c r="AC4419">
        <v>-34.570500000000003</v>
      </c>
      <c r="AD4419">
        <v>-1.1092941302099999</v>
      </c>
      <c r="AE4419">
        <v>-1.70169999999998</v>
      </c>
      <c r="AF4419">
        <v>-1.8943673730213899</v>
      </c>
      <c r="AG4419">
        <v>-1.1092941302099999</v>
      </c>
      <c r="AH4419">
        <v>34.524909052423197</v>
      </c>
      <c r="AI4419">
        <v>91.837532774306794</v>
      </c>
      <c r="AJ4419">
        <v>93.140646255200906</v>
      </c>
      <c r="AK4419">
        <v>34.594631177241702</v>
      </c>
      <c r="AL4419">
        <v>80.019465072508595</v>
      </c>
      <c r="AM4419">
        <v>92.739196461606696</v>
      </c>
      <c r="AN4419">
        <v>1.0000000040152399</v>
      </c>
    </row>
    <row r="4420" spans="1:40" x14ac:dyDescent="0.25">
      <c r="A4420" t="str">
        <f>"20190304155724155"</f>
        <v>20190304155724155</v>
      </c>
      <c r="B4420" t="str">
        <f>"1551686244149522"</f>
        <v>1551686244149522</v>
      </c>
      <c r="C4420" t="s">
        <v>40</v>
      </c>
      <c r="D4420">
        <v>4.9156060000000004</v>
      </c>
      <c r="E4420">
        <v>0.49518309999999999</v>
      </c>
      <c r="F4420" t="s">
        <v>78</v>
      </c>
      <c r="G4420">
        <v>-307.94639999999998</v>
      </c>
      <c r="H4420" s="1">
        <v>-9.18409E-6</v>
      </c>
      <c r="I4420">
        <v>139.57409999999999</v>
      </c>
      <c r="J4420">
        <v>-273.30189999999999</v>
      </c>
      <c r="K4420">
        <v>1.109294</v>
      </c>
      <c r="L4420">
        <v>141.33029999999999</v>
      </c>
      <c r="M4420">
        <v>-0.99991850000000004</v>
      </c>
      <c r="N4420">
        <v>-1.1356150000000001E-2</v>
      </c>
      <c r="O4420">
        <v>5.8363699999999996E-3</v>
      </c>
      <c r="P4420">
        <v>-0.98589720000000003</v>
      </c>
      <c r="Q4420">
        <v>0.1621263</v>
      </c>
      <c r="R4420">
        <v>-4.1493809999999999E-2</v>
      </c>
      <c r="S4420">
        <v>-3.0524290000000001</v>
      </c>
      <c r="T4420">
        <v>-9.6578960000000005E-2</v>
      </c>
      <c r="U4420">
        <v>-0.15267939999999999</v>
      </c>
      <c r="V4420">
        <v>-4.7144709999999999E-2</v>
      </c>
      <c r="W4420">
        <v>0.17333709999999999</v>
      </c>
      <c r="X4420">
        <v>0.98373350000000004</v>
      </c>
      <c r="Y4420">
        <v>-5.5746120000000003E-2</v>
      </c>
      <c r="Z4420">
        <v>-1.316261E-3</v>
      </c>
      <c r="AA4420">
        <v>0.99844409999999895</v>
      </c>
      <c r="AB4420">
        <v>42</v>
      </c>
      <c r="AC4420">
        <v>-34.644499999999901</v>
      </c>
      <c r="AD4420">
        <v>-1.1093031840899901</v>
      </c>
      <c r="AE4420">
        <v>-1.7562</v>
      </c>
      <c r="AF4420">
        <v>-1.9563805933380001</v>
      </c>
      <c r="AG4420">
        <v>-1.1093031840899901</v>
      </c>
      <c r="AH4420">
        <v>34.598278231833703</v>
      </c>
      <c r="AI4420">
        <v>91.833483168273702</v>
      </c>
      <c r="AJ4420">
        <v>93.236378145946901</v>
      </c>
      <c r="AK4420">
        <v>34.6712969931556</v>
      </c>
      <c r="AL4420">
        <v>80.018097752538097</v>
      </c>
      <c r="AM4420">
        <v>92.743759137093093</v>
      </c>
      <c r="AN4420">
        <v>0.99999998646982102</v>
      </c>
    </row>
    <row r="4421" spans="1:40" x14ac:dyDescent="0.25">
      <c r="A4421" t="str">
        <f>"20190304155724177"</f>
        <v>20190304155724177</v>
      </c>
      <c r="B4421" t="str">
        <f>"1551686244169041"</f>
        <v>1551686244169041</v>
      </c>
      <c r="C4421" t="s">
        <v>40</v>
      </c>
      <c r="D4421">
        <v>4.8002859999999998</v>
      </c>
      <c r="E4421">
        <v>0.49514320000000001</v>
      </c>
      <c r="F4421" t="s">
        <v>78</v>
      </c>
      <c r="G4421">
        <v>-307.74419999999998</v>
      </c>
      <c r="H4421" s="1">
        <v>-9.1776179999999992E-6</v>
      </c>
      <c r="I4421">
        <v>139.64680000000001</v>
      </c>
      <c r="J4421">
        <v>-273.70929999999998</v>
      </c>
      <c r="K4421">
        <v>1.109299</v>
      </c>
      <c r="L4421">
        <v>141.33279999999999</v>
      </c>
      <c r="M4421">
        <v>-0.99991640000000004</v>
      </c>
      <c r="N4421">
        <v>-1.14447E-2</v>
      </c>
      <c r="O4421">
        <v>6.0392939999999997E-3</v>
      </c>
      <c r="P4421">
        <v>-0.98587000000000002</v>
      </c>
      <c r="Q4421">
        <v>0.162299</v>
      </c>
      <c r="R4421">
        <v>-4.1467339999999998E-2</v>
      </c>
      <c r="S4421">
        <v>-3.0527950000000001</v>
      </c>
      <c r="T4421">
        <v>-9.8323110000000005E-2</v>
      </c>
      <c r="U4421">
        <v>-0.14921570000000001</v>
      </c>
      <c r="V4421">
        <v>-4.731701E-2</v>
      </c>
      <c r="W4421">
        <v>0.1735968</v>
      </c>
      <c r="X4421">
        <v>0.98367950000000004</v>
      </c>
      <c r="Y4421">
        <v>-5.4811949999999998E-2</v>
      </c>
      <c r="Z4421">
        <v>-1.3211710000000001E-3</v>
      </c>
      <c r="AA4421">
        <v>0.99849580000000004</v>
      </c>
      <c r="AB4421">
        <v>42</v>
      </c>
      <c r="AC4421">
        <v>-34.034899999999901</v>
      </c>
      <c r="AD4421">
        <v>-1.109308177618</v>
      </c>
      <c r="AE4421">
        <v>-1.68599999999997</v>
      </c>
      <c r="AF4421">
        <v>-1.8895270828930599</v>
      </c>
      <c r="AG4421">
        <v>-1.109308177618</v>
      </c>
      <c r="AH4421">
        <v>33.988078480369602</v>
      </c>
      <c r="AI4421">
        <v>91.866484869612904</v>
      </c>
      <c r="AJ4421">
        <v>93.182015702956804</v>
      </c>
      <c r="AK4421">
        <v>34.0586311530232</v>
      </c>
      <c r="AL4421">
        <v>80.002989662378695</v>
      </c>
      <c r="AM4421">
        <v>92.753922297695098</v>
      </c>
      <c r="AN4421">
        <v>1.0000000535629101</v>
      </c>
    </row>
    <row r="4422" spans="1:40" x14ac:dyDescent="0.25">
      <c r="A4422" t="str">
        <f>"20190304155724190"</f>
        <v>20190304155724190</v>
      </c>
      <c r="B4422" t="str">
        <f>"1551686244178801"</f>
        <v>1551686244178801</v>
      </c>
      <c r="C4422" t="s">
        <v>40</v>
      </c>
      <c r="D4422">
        <v>4.8049460000000002</v>
      </c>
      <c r="E4422">
        <v>0.4950753</v>
      </c>
      <c r="F4422" t="s">
        <v>78</v>
      </c>
      <c r="G4422">
        <v>-308.42689999999999</v>
      </c>
      <c r="H4422" s="1">
        <v>-9.2724699999999993E-6</v>
      </c>
      <c r="I4422">
        <v>139.6361</v>
      </c>
      <c r="J4422">
        <v>-273.95400000000001</v>
      </c>
      <c r="K4422">
        <v>1.1093040000000001</v>
      </c>
      <c r="L4422">
        <v>141.33439999999999</v>
      </c>
      <c r="M4422">
        <v>-0.99991490000000005</v>
      </c>
      <c r="N4422">
        <v>-1.1497250000000001E-2</v>
      </c>
      <c r="O4422">
        <v>6.162046E-3</v>
      </c>
      <c r="P4422">
        <v>-0.98587369999999996</v>
      </c>
      <c r="Q4422">
        <v>0.1622306</v>
      </c>
      <c r="R4422">
        <v>-4.1649110000000003E-2</v>
      </c>
      <c r="S4422">
        <v>-3.0527950000000001</v>
      </c>
      <c r="T4422">
        <v>-9.7543950000000004E-2</v>
      </c>
      <c r="U4422">
        <v>-0.14920039999999901</v>
      </c>
      <c r="V4422">
        <v>-4.761874E-2</v>
      </c>
      <c r="W4422">
        <v>0.17358029999999999</v>
      </c>
      <c r="X4422">
        <v>0.98366779999999998</v>
      </c>
      <c r="Y4422">
        <v>-5.492996E-2</v>
      </c>
      <c r="Z4422">
        <v>-1.3188410000000001E-3</v>
      </c>
      <c r="AA4422">
        <v>0.99848930000000002</v>
      </c>
      <c r="AB4422">
        <v>42</v>
      </c>
      <c r="AC4422">
        <v>-34.472899999999903</v>
      </c>
      <c r="AD4422">
        <v>-1.1093132724699999</v>
      </c>
      <c r="AE4422">
        <v>-1.6982999999999799</v>
      </c>
      <c r="AF4422">
        <v>-1.9087336724994901</v>
      </c>
      <c r="AG4422">
        <v>-1.1093132724699999</v>
      </c>
      <c r="AH4422">
        <v>34.426217473037703</v>
      </c>
      <c r="AI4422">
        <v>91.842770496815206</v>
      </c>
      <c r="AJ4422">
        <v>93.173468821257501</v>
      </c>
      <c r="AK4422">
        <v>34.496931597895802</v>
      </c>
      <c r="AL4422">
        <v>80.003949104341999</v>
      </c>
      <c r="AM4422">
        <v>92.771489064658397</v>
      </c>
      <c r="AN4422">
        <v>1.0000000028520499</v>
      </c>
    </row>
    <row r="4423" spans="1:40" x14ac:dyDescent="0.25">
      <c r="A4423" t="str">
        <f>"20190304155724213"</f>
        <v>20190304155724213</v>
      </c>
      <c r="B4423" t="str">
        <f>"1551686244209057"</f>
        <v>1551686244209057</v>
      </c>
      <c r="C4423" t="s">
        <v>40</v>
      </c>
      <c r="D4423">
        <v>4.8373499999999998</v>
      </c>
      <c r="E4423">
        <v>0.49514750000000002</v>
      </c>
      <c r="F4423" t="s">
        <v>78</v>
      </c>
      <c r="G4423">
        <v>-308.36489999999998</v>
      </c>
      <c r="H4423" s="1">
        <v>-9.2652110000000008E-6</v>
      </c>
      <c r="I4423">
        <v>139.64160000000001</v>
      </c>
      <c r="J4423">
        <v>-274.37830000000002</v>
      </c>
      <c r="K4423">
        <v>1.10931</v>
      </c>
      <c r="L4423">
        <v>141.3372</v>
      </c>
      <c r="M4423">
        <v>-0.99991249999999998</v>
      </c>
      <c r="N4423">
        <v>-1.1589220000000001E-2</v>
      </c>
      <c r="O4423">
        <v>6.375665E-3</v>
      </c>
      <c r="P4423">
        <v>-0.98585100000000003</v>
      </c>
      <c r="Q4423">
        <v>0.1623211</v>
      </c>
      <c r="R4423">
        <v>-4.1830230000000003E-2</v>
      </c>
      <c r="S4423">
        <v>-3.052826</v>
      </c>
      <c r="T4423">
        <v>-9.84149E-2</v>
      </c>
      <c r="U4423">
        <v>-0.150177</v>
      </c>
      <c r="V4423">
        <v>-4.8008839999999997E-2</v>
      </c>
      <c r="W4423">
        <v>0.17376159999999999</v>
      </c>
      <c r="X4423">
        <v>0.98361679999999996</v>
      </c>
      <c r="Y4423">
        <v>-5.5460299999999997E-2</v>
      </c>
      <c r="Z4423">
        <v>-1.346395E-3</v>
      </c>
      <c r="AA4423">
        <v>0.99846000000000001</v>
      </c>
      <c r="AB4423">
        <v>42</v>
      </c>
      <c r="AC4423">
        <v>-33.986599999999903</v>
      </c>
      <c r="AD4423">
        <v>-1.109319265211</v>
      </c>
      <c r="AE4423">
        <v>-1.69559999999998</v>
      </c>
      <c r="AF4423">
        <v>-1.9102372220052699</v>
      </c>
      <c r="AG4423">
        <v>-1.109319265211</v>
      </c>
      <c r="AH4423">
        <v>33.939030215484003</v>
      </c>
      <c r="AI4423">
        <v>91.869127119458099</v>
      </c>
      <c r="AJ4423">
        <v>93.221458422338202</v>
      </c>
      <c r="AK4423">
        <v>34.010841910250299</v>
      </c>
      <c r="AL4423">
        <v>79.9934008156103</v>
      </c>
      <c r="AM4423">
        <v>92.794302337941801</v>
      </c>
      <c r="AN4423">
        <v>0.99999997579747202</v>
      </c>
    </row>
    <row r="4424" spans="1:40" x14ac:dyDescent="0.25">
      <c r="A4424" t="str">
        <f>"20190304155724236"</f>
        <v>20190304155724236</v>
      </c>
      <c r="B4424" t="str">
        <f>"1551686244229554"</f>
        <v>1551686244229554</v>
      </c>
      <c r="C4424" t="s">
        <v>40</v>
      </c>
      <c r="D4424">
        <v>4.8804169999999996</v>
      </c>
      <c r="E4424">
        <v>0.49499680000000001</v>
      </c>
      <c r="F4424" t="s">
        <v>78</v>
      </c>
      <c r="G4424">
        <v>-308.14</v>
      </c>
      <c r="H4424" s="1">
        <v>-9.2443220000000008E-6</v>
      </c>
      <c r="I4424">
        <v>139.6799</v>
      </c>
      <c r="J4424">
        <v>-274.81200000000001</v>
      </c>
      <c r="K4424">
        <v>1.109318</v>
      </c>
      <c r="L4424">
        <v>141.34020000000001</v>
      </c>
      <c r="M4424">
        <v>-0.99991010000000002</v>
      </c>
      <c r="N4424">
        <v>-1.16837E-2</v>
      </c>
      <c r="O4424">
        <v>6.5944569999999997E-3</v>
      </c>
      <c r="P4424">
        <v>-0.98574550000000005</v>
      </c>
      <c r="Q4424">
        <v>0.16294249999999999</v>
      </c>
      <c r="R4424">
        <v>-4.1900840000000002E-2</v>
      </c>
      <c r="S4424">
        <v>-3.0532530000000002</v>
      </c>
      <c r="T4424">
        <v>-0.10032190000000001</v>
      </c>
      <c r="U4424">
        <v>-0.149871799999999</v>
      </c>
      <c r="V4424">
        <v>-4.8292979999999999E-2</v>
      </c>
      <c r="W4424">
        <v>0.17447489999999999</v>
      </c>
      <c r="X4424">
        <v>0.98347660000000003</v>
      </c>
      <c r="Y4424">
        <v>-5.5570769999999999E-2</v>
      </c>
      <c r="Z4424">
        <v>-1.3766290000000001E-3</v>
      </c>
      <c r="AA4424">
        <v>0.99845379999999995</v>
      </c>
      <c r="AB4424">
        <v>42</v>
      </c>
      <c r="AC4424">
        <v>-33.327999999999903</v>
      </c>
      <c r="AD4424">
        <v>-1.1093272443219999</v>
      </c>
      <c r="AE4424">
        <v>-1.6603000000000001</v>
      </c>
      <c r="AF4424">
        <v>-1.8779834685374099</v>
      </c>
      <c r="AG4424">
        <v>-1.1093272443219999</v>
      </c>
      <c r="AH4424">
        <v>33.279546546692998</v>
      </c>
      <c r="AI4424">
        <v>91.906137650116804</v>
      </c>
      <c r="AJ4424">
        <v>93.229807523210397</v>
      </c>
      <c r="AK4424">
        <v>33.350946721144197</v>
      </c>
      <c r="AL4424">
        <v>79.951897631647</v>
      </c>
      <c r="AM4424">
        <v>92.811214008007198</v>
      </c>
      <c r="AN4424">
        <v>0.99999996269742397</v>
      </c>
    </row>
    <row r="4425" spans="1:40" x14ac:dyDescent="0.25">
      <c r="A4425" t="str">
        <f>"20190304155724256"</f>
        <v>20190304155724256</v>
      </c>
      <c r="B4425" t="str">
        <f>"1551686244249086"</f>
        <v>1551686244249086</v>
      </c>
      <c r="C4425" t="s">
        <v>40</v>
      </c>
      <c r="D4425">
        <v>4.8406089999999997</v>
      </c>
      <c r="E4425">
        <v>0.49495660000000002</v>
      </c>
      <c r="F4425" t="s">
        <v>78</v>
      </c>
      <c r="G4425">
        <v>-308.89449999999999</v>
      </c>
      <c r="H4425" s="1">
        <v>-9.3450090000000008E-6</v>
      </c>
      <c r="I4425">
        <v>139.6542</v>
      </c>
      <c r="J4425">
        <v>-275.1902</v>
      </c>
      <c r="K4425">
        <v>1.1093230000000001</v>
      </c>
      <c r="L4425">
        <v>141.34280000000001</v>
      </c>
      <c r="M4425">
        <v>-0.99990789999999996</v>
      </c>
      <c r="N4425">
        <v>-1.176512E-2</v>
      </c>
      <c r="O4425">
        <v>6.7858980000000003E-3</v>
      </c>
      <c r="P4425">
        <v>-0.98566730000000002</v>
      </c>
      <c r="Q4425">
        <v>0.16342490000000001</v>
      </c>
      <c r="R4425">
        <v>-4.186517E-2</v>
      </c>
      <c r="S4425">
        <v>-3.0534059999999998</v>
      </c>
      <c r="T4425">
        <v>-9.9382999999999999E-2</v>
      </c>
      <c r="U4425">
        <v>-0.15104679999999901</v>
      </c>
      <c r="V4425">
        <v>-4.8443769999999997E-2</v>
      </c>
      <c r="W4425">
        <v>0.1750369</v>
      </c>
      <c r="X4425">
        <v>0.98336939999999995</v>
      </c>
      <c r="Y4425">
        <v>-5.6142940000000002E-2</v>
      </c>
      <c r="Z4425">
        <v>-1.3843830000000001E-3</v>
      </c>
      <c r="AA4425">
        <v>0.99842180000000003</v>
      </c>
      <c r="AB4425">
        <v>42</v>
      </c>
      <c r="AC4425">
        <v>-33.704299999999897</v>
      </c>
      <c r="AD4425">
        <v>-1.109332345009</v>
      </c>
      <c r="AE4425">
        <v>-1.6886000000000001</v>
      </c>
      <c r="AF4425">
        <v>-1.91522127325282</v>
      </c>
      <c r="AG4425">
        <v>-1.109332345009</v>
      </c>
      <c r="AH4425">
        <v>33.655696146273101</v>
      </c>
      <c r="AI4425">
        <v>91.884807387395696</v>
      </c>
      <c r="AJ4425">
        <v>93.256978351920097</v>
      </c>
      <c r="AK4425">
        <v>33.728394178606599</v>
      </c>
      <c r="AL4425">
        <v>79.919195002718794</v>
      </c>
      <c r="AM4425">
        <v>92.820284513765003</v>
      </c>
      <c r="AN4425">
        <v>1.0000000460348899</v>
      </c>
    </row>
    <row r="4426" spans="1:40" x14ac:dyDescent="0.25">
      <c r="A4426" t="str">
        <f>"20190304155724279"</f>
        <v>20190304155724279</v>
      </c>
      <c r="B4426" t="str">
        <f>"1551686244269569"</f>
        <v>1551686244269569</v>
      </c>
      <c r="C4426" t="s">
        <v>40</v>
      </c>
      <c r="D4426">
        <v>4.8616219999999997</v>
      </c>
      <c r="E4426">
        <v>0.49490909999999999</v>
      </c>
      <c r="F4426" t="s">
        <v>78</v>
      </c>
      <c r="G4426">
        <v>-309.80930000000001</v>
      </c>
      <c r="H4426" s="1">
        <v>-9.4684450000000004E-6</v>
      </c>
      <c r="I4426">
        <v>139.6275</v>
      </c>
      <c r="J4426">
        <v>-275.60210000000001</v>
      </c>
      <c r="K4426">
        <v>1.1093360000000001</v>
      </c>
      <c r="L4426">
        <v>141.3458</v>
      </c>
      <c r="M4426">
        <v>-0.99990540000000006</v>
      </c>
      <c r="N4426">
        <v>-1.1857349999999999E-2</v>
      </c>
      <c r="O4426">
        <v>6.9966019999999898E-3</v>
      </c>
      <c r="P4426">
        <v>-0.98561140000000003</v>
      </c>
      <c r="Q4426">
        <v>0.16374610000000001</v>
      </c>
      <c r="R4426">
        <v>-4.1926970000000001E-2</v>
      </c>
      <c r="S4426">
        <v>-3.0534059999999998</v>
      </c>
      <c r="T4426">
        <v>-9.7843289999999999E-2</v>
      </c>
      <c r="U4426">
        <v>-0.15129089999999901</v>
      </c>
      <c r="V4426">
        <v>-4.871164E-2</v>
      </c>
      <c r="W4426">
        <v>0.17544860000000001</v>
      </c>
      <c r="X4426">
        <v>0.98328269999999995</v>
      </c>
      <c r="Y4426">
        <v>-5.6433799999999999E-2</v>
      </c>
      <c r="Z4426">
        <v>-1.379424E-3</v>
      </c>
      <c r="AA4426">
        <v>0.9984054</v>
      </c>
      <c r="AB4426">
        <v>42</v>
      </c>
      <c r="AC4426">
        <v>-34.2072</v>
      </c>
      <c r="AD4426">
        <v>-1.1093454684449999</v>
      </c>
      <c r="AE4426">
        <v>-1.7182999999999899</v>
      </c>
      <c r="AF4426">
        <v>-1.9555573688469401</v>
      </c>
      <c r="AG4426">
        <v>-1.1093454684449999</v>
      </c>
      <c r="AH4426">
        <v>34.158504871591397</v>
      </c>
      <c r="AI4426">
        <v>91.857068560092998</v>
      </c>
      <c r="AJ4426">
        <v>93.276578259005106</v>
      </c>
      <c r="AK4426">
        <v>34.232416027118802</v>
      </c>
      <c r="AL4426">
        <v>79.895234600953998</v>
      </c>
      <c r="AM4426">
        <v>92.836103540931404</v>
      </c>
      <c r="AN4426">
        <v>0.99999995161636801</v>
      </c>
    </row>
    <row r="4427" spans="1:40" x14ac:dyDescent="0.25">
      <c r="A4427" t="str">
        <f>"20190304155724292"</f>
        <v>20190304155724292</v>
      </c>
      <c r="B4427" t="str">
        <f>"1551686244289090"</f>
        <v>1551686244289090</v>
      </c>
      <c r="C4427" t="s">
        <v>40</v>
      </c>
      <c r="D4427">
        <v>4.8291979999999999</v>
      </c>
      <c r="E4427">
        <v>0.49481649999999999</v>
      </c>
      <c r="F4427" t="s">
        <v>78</v>
      </c>
      <c r="G4427">
        <v>-310.36320000000001</v>
      </c>
      <c r="H4427" s="1">
        <v>-9.3350109999999997E-6</v>
      </c>
      <c r="I4427">
        <v>139.6208</v>
      </c>
      <c r="J4427">
        <v>-275.85649999999998</v>
      </c>
      <c r="K4427">
        <v>1.1093379999999999</v>
      </c>
      <c r="L4427">
        <v>141.3477</v>
      </c>
      <c r="M4427">
        <v>-0.9999036</v>
      </c>
      <c r="N4427">
        <v>-1.191738E-2</v>
      </c>
      <c r="O4427">
        <v>7.1276619999999999E-3</v>
      </c>
      <c r="P4427">
        <v>-0.98555459999999995</v>
      </c>
      <c r="Q4427">
        <v>0.16408349999999999</v>
      </c>
      <c r="R4427">
        <v>-4.1935340000000002E-2</v>
      </c>
      <c r="S4427">
        <v>-3.053528</v>
      </c>
      <c r="T4427">
        <v>-9.7448469999999995E-2</v>
      </c>
      <c r="U4427">
        <v>-0.151535</v>
      </c>
      <c r="V4427">
        <v>-4.8847380000000003E-2</v>
      </c>
      <c r="W4427">
        <v>0.1758448</v>
      </c>
      <c r="X4427">
        <v>0.98320529999999995</v>
      </c>
      <c r="Y4427">
        <v>-5.6642409999999997E-2</v>
      </c>
      <c r="Z4427">
        <v>-1.3832950000000001E-3</v>
      </c>
      <c r="AA4427">
        <v>0.99839359999999999</v>
      </c>
      <c r="AB4427">
        <v>42</v>
      </c>
      <c r="AC4427">
        <v>-34.506700000000002</v>
      </c>
      <c r="AD4427">
        <v>-1.1093473350109999</v>
      </c>
      <c r="AE4427">
        <v>-1.7269000000000001</v>
      </c>
      <c r="AF4427">
        <v>-1.9707938741067601</v>
      </c>
      <c r="AG4427">
        <v>-1.1093473350109999</v>
      </c>
      <c r="AH4427">
        <v>34.457988885294</v>
      </c>
      <c r="AI4427">
        <v>91.840948320725005</v>
      </c>
      <c r="AJ4427">
        <v>93.273414709712</v>
      </c>
      <c r="AK4427">
        <v>34.532125304170897</v>
      </c>
      <c r="AL4427">
        <v>79.8721766387945</v>
      </c>
      <c r="AM4427">
        <v>92.844217196114201</v>
      </c>
      <c r="AN4427">
        <v>1.0000000610839901</v>
      </c>
    </row>
    <row r="4428" spans="1:40" x14ac:dyDescent="0.25">
      <c r="A4428" t="str">
        <f>"20190304155724313"</f>
        <v>20190304155724313</v>
      </c>
      <c r="B4428" t="str">
        <f>"1551686244309586"</f>
        <v>1551686244309586</v>
      </c>
      <c r="C4428" t="s">
        <v>40</v>
      </c>
      <c r="D4428">
        <v>4.8465059999999998</v>
      </c>
      <c r="E4428">
        <v>0.49479240000000002</v>
      </c>
      <c r="F4428" t="s">
        <v>78</v>
      </c>
      <c r="G4428">
        <v>-310.91899999999998</v>
      </c>
      <c r="H4428" s="1">
        <v>-9.1200530000000008E-6</v>
      </c>
      <c r="I4428">
        <v>139.60159999999999</v>
      </c>
      <c r="J4428">
        <v>-276.2586</v>
      </c>
      <c r="K4428">
        <v>1.1093550000000001</v>
      </c>
      <c r="L4428">
        <v>141.35079999999999</v>
      </c>
      <c r="M4428">
        <v>-0.99990100000000004</v>
      </c>
      <c r="N4428">
        <v>-1.2018539999999999E-2</v>
      </c>
      <c r="O4428">
        <v>7.3309150000000003E-3</v>
      </c>
      <c r="P4428">
        <v>-0.985456</v>
      </c>
      <c r="Q4428">
        <v>0.16458210000000001</v>
      </c>
      <c r="R4428">
        <v>-4.2303439999999998E-2</v>
      </c>
      <c r="S4428">
        <v>-3.0535580000000002</v>
      </c>
      <c r="T4428">
        <v>-9.661198E-2</v>
      </c>
      <c r="U4428">
        <v>-0.15206910000000001</v>
      </c>
      <c r="V4428">
        <v>-4.9412570000000003E-2</v>
      </c>
      <c r="W4428">
        <v>0.176442299999999</v>
      </c>
      <c r="X4428">
        <v>0.98307</v>
      </c>
      <c r="Y4428">
        <v>-5.7019300000000002E-2</v>
      </c>
      <c r="Z4428">
        <v>-1.3879369999999999E-3</v>
      </c>
      <c r="AA4428">
        <v>0.99837209999999998</v>
      </c>
      <c r="AB4428">
        <v>42</v>
      </c>
      <c r="AC4428">
        <v>-34.660400000000003</v>
      </c>
      <c r="AD4428">
        <v>-1.10936412005299</v>
      </c>
      <c r="AE4428">
        <v>-1.7492000000000001</v>
      </c>
      <c r="AF4428">
        <v>-2.00121886910709</v>
      </c>
      <c r="AG4428">
        <v>-1.10936412005299</v>
      </c>
      <c r="AH4428">
        <v>34.611277668517801</v>
      </c>
      <c r="AI4428">
        <v>91.8327625988032</v>
      </c>
      <c r="AJ4428">
        <v>93.309148991765696</v>
      </c>
      <c r="AK4428">
        <v>34.686829021404797</v>
      </c>
      <c r="AL4428">
        <v>79.837398589215198</v>
      </c>
      <c r="AM4428">
        <v>92.877466621682103</v>
      </c>
      <c r="AN4428">
        <v>1.00000005610164</v>
      </c>
    </row>
    <row r="4429" spans="1:40" x14ac:dyDescent="0.25">
      <c r="A4429" t="str">
        <f>"20190304155724334"</f>
        <v>20190304155724334</v>
      </c>
      <c r="B4429" t="str">
        <f>"1551686244329106"</f>
        <v>1551686244329106</v>
      </c>
      <c r="C4429" t="s">
        <v>40</v>
      </c>
      <c r="D4429">
        <v>4.914917</v>
      </c>
      <c r="E4429">
        <v>0.4949076</v>
      </c>
      <c r="F4429" t="s">
        <v>78</v>
      </c>
      <c r="G4429">
        <v>-311.9391</v>
      </c>
      <c r="H4429" s="1">
        <v>-8.7246570000000004E-6</v>
      </c>
      <c r="I4429">
        <v>139.56440000000001</v>
      </c>
      <c r="J4429">
        <v>-276.6619</v>
      </c>
      <c r="K4429">
        <v>1.1093710000000001</v>
      </c>
      <c r="L4429">
        <v>141.35399999999899</v>
      </c>
      <c r="M4429">
        <v>-0.99989830000000002</v>
      </c>
      <c r="N4429">
        <v>-1.212678E-2</v>
      </c>
      <c r="O4429">
        <v>7.5266450000000002E-3</v>
      </c>
      <c r="P4429">
        <v>-0.98539900000000002</v>
      </c>
      <c r="Q4429">
        <v>0.16477520000000001</v>
      </c>
      <c r="R4429">
        <v>-4.2874299999999997E-2</v>
      </c>
      <c r="S4429">
        <v>-3.053528</v>
      </c>
      <c r="T4429">
        <v>-9.4939229999999999E-2</v>
      </c>
      <c r="U4429">
        <v>-0.15287779999999901</v>
      </c>
      <c r="V4429">
        <v>-5.0174839999999998E-2</v>
      </c>
      <c r="W4429">
        <v>0.1767417</v>
      </c>
      <c r="X4429">
        <v>0.98297749999999995</v>
      </c>
      <c r="Y4429">
        <v>-5.7479809999999999E-2</v>
      </c>
      <c r="Z4429">
        <v>-1.384286E-3</v>
      </c>
      <c r="AA4429">
        <v>0.9983457</v>
      </c>
      <c r="AB4429">
        <v>42</v>
      </c>
      <c r="AC4429">
        <v>-35.277199999999901</v>
      </c>
      <c r="AD4429">
        <v>-1.1093797246570001</v>
      </c>
      <c r="AE4429">
        <v>-1.7895999999999701</v>
      </c>
      <c r="AF4429">
        <v>-2.0530625905480799</v>
      </c>
      <c r="AG4429">
        <v>-1.1093797246570001</v>
      </c>
      <c r="AH4429">
        <v>35.227980817094902</v>
      </c>
      <c r="AI4429">
        <v>91.800676934942501</v>
      </c>
      <c r="AJ4429">
        <v>93.335386007027793</v>
      </c>
      <c r="AK4429">
        <v>35.305189729327303</v>
      </c>
      <c r="AL4429">
        <v>79.819969286283495</v>
      </c>
      <c r="AM4429">
        <v>92.922054403021207</v>
      </c>
      <c r="AN4429">
        <v>0.999999954297081</v>
      </c>
    </row>
    <row r="4430" spans="1:40" x14ac:dyDescent="0.25">
      <c r="A4430" t="str">
        <f>"20190304155724348"</f>
        <v>20190304155724348</v>
      </c>
      <c r="B4430" t="str">
        <f>"1551686244338866"</f>
        <v>1551686244338866</v>
      </c>
      <c r="C4430" t="s">
        <v>40</v>
      </c>
      <c r="D4430">
        <v>4.8796850000000003</v>
      </c>
      <c r="E4430">
        <v>0.49492399999999998</v>
      </c>
      <c r="F4430" t="s">
        <v>78</v>
      </c>
      <c r="G4430">
        <v>-312.24459999999999</v>
      </c>
      <c r="H4430" s="1">
        <v>-8.6080859999999998E-6</v>
      </c>
      <c r="I4430">
        <v>139.55940000000001</v>
      </c>
      <c r="J4430">
        <v>-276.92309999999998</v>
      </c>
      <c r="K4430">
        <v>1.109378</v>
      </c>
      <c r="L4430">
        <v>141.35599999999999</v>
      </c>
      <c r="M4430">
        <v>-0.99989649999999997</v>
      </c>
      <c r="N4430">
        <v>-1.219928E-2</v>
      </c>
      <c r="O4430">
        <v>7.6504900000000002E-3</v>
      </c>
      <c r="P4430">
        <v>-0.9854482</v>
      </c>
      <c r="Q4430">
        <v>0.16448859999999901</v>
      </c>
      <c r="R4430">
        <v>-4.2843079999999999E-2</v>
      </c>
      <c r="S4430">
        <v>-3.0536799999999999</v>
      </c>
      <c r="T4430">
        <v>-9.5205899999999996E-2</v>
      </c>
      <c r="U4430">
        <v>-0.15400700000000001</v>
      </c>
      <c r="V4430">
        <v>-5.026634E-2</v>
      </c>
      <c r="W4430">
        <v>0.17652679999999901</v>
      </c>
      <c r="X4430">
        <v>0.98301150000000004</v>
      </c>
      <c r="Y4430">
        <v>-5.796859E-2</v>
      </c>
      <c r="Z4430">
        <v>-1.401874E-3</v>
      </c>
      <c r="AA4430">
        <v>0.99831740000000002</v>
      </c>
      <c r="AB4430">
        <v>42</v>
      </c>
      <c r="AC4430">
        <v>-35.3215</v>
      </c>
      <c r="AD4430">
        <v>-1.109386608086</v>
      </c>
      <c r="AE4430">
        <v>-1.79659999999998</v>
      </c>
      <c r="AF4430">
        <v>-2.06476266990683</v>
      </c>
      <c r="AG4430">
        <v>-1.109386608086</v>
      </c>
      <c r="AH4430">
        <v>35.272014966068902</v>
      </c>
      <c r="AI4430">
        <v>91.798414478463499</v>
      </c>
      <c r="AJ4430">
        <v>93.350172484080403</v>
      </c>
      <c r="AK4430">
        <v>35.349809381322402</v>
      </c>
      <c r="AL4430">
        <v>79.832479442240796</v>
      </c>
      <c r="AM4430">
        <v>92.927272794144201</v>
      </c>
      <c r="AN4430">
        <v>1.0000000125937401</v>
      </c>
    </row>
    <row r="4431" spans="1:40" x14ac:dyDescent="0.25">
      <c r="A4431" t="str">
        <f>"20190304155724368"</f>
        <v>20190304155724368</v>
      </c>
      <c r="B4431" t="str">
        <f>"1551686244359362"</f>
        <v>1551686244359362</v>
      </c>
      <c r="C4431" t="s">
        <v>40</v>
      </c>
      <c r="D4431">
        <v>5.8398620000000001</v>
      </c>
      <c r="E4431">
        <v>0.4952548</v>
      </c>
      <c r="F4431" t="s">
        <v>78</v>
      </c>
      <c r="G4431">
        <v>-312.1619</v>
      </c>
      <c r="H4431" s="1">
        <v>-8.6450899999999904E-6</v>
      </c>
      <c r="I4431">
        <v>139.57839999999999</v>
      </c>
      <c r="J4431">
        <v>-277.28379999999999</v>
      </c>
      <c r="K4431">
        <v>1.109397</v>
      </c>
      <c r="L4431">
        <v>141.35900000000001</v>
      </c>
      <c r="M4431">
        <v>-0.99989380000000005</v>
      </c>
      <c r="N4431">
        <v>-1.2304259999999999E-2</v>
      </c>
      <c r="O4431">
        <v>7.8226019999999997E-3</v>
      </c>
      <c r="P4431">
        <v>-0.98554379999999997</v>
      </c>
      <c r="Q4431">
        <v>0.16374910000000001</v>
      </c>
      <c r="R4431">
        <v>-4.3472799999999999E-2</v>
      </c>
      <c r="S4431">
        <v>-3.0536189999999999</v>
      </c>
      <c r="T4431">
        <v>-9.6134070000000002E-2</v>
      </c>
      <c r="U4431">
        <v>-0.15403749999999999</v>
      </c>
      <c r="V4431">
        <v>-5.1068599999999999E-2</v>
      </c>
      <c r="W4431">
        <v>0.175891299999999</v>
      </c>
      <c r="X4431">
        <v>0.98308410000000002</v>
      </c>
      <c r="Y4431">
        <v>-5.8150460000000001E-2</v>
      </c>
      <c r="Z4431">
        <v>-1.422541E-3</v>
      </c>
      <c r="AA4431">
        <v>0.99830680000000005</v>
      </c>
      <c r="AB4431">
        <v>42</v>
      </c>
      <c r="AC4431">
        <v>-34.878100000000003</v>
      </c>
      <c r="AD4431">
        <v>-1.1094056450900001</v>
      </c>
      <c r="AE4431">
        <v>-1.7806000000000199</v>
      </c>
      <c r="AF4431">
        <v>-2.0513335831900599</v>
      </c>
      <c r="AG4431">
        <v>-1.1094056450900001</v>
      </c>
      <c r="AH4431">
        <v>34.827956956379801</v>
      </c>
      <c r="AI4431">
        <v>91.821321803728594</v>
      </c>
      <c r="AJ4431">
        <v>93.370772742803794</v>
      </c>
      <c r="AK4431">
        <v>34.905949866896997</v>
      </c>
      <c r="AL4431">
        <v>79.869470083392699</v>
      </c>
      <c r="AM4431">
        <v>92.973690168650705</v>
      </c>
      <c r="AN4431">
        <v>1.0000000494972201</v>
      </c>
    </row>
    <row r="4432" spans="1:40" x14ac:dyDescent="0.25">
      <c r="A4432" t="str">
        <f>"20190304155724390"</f>
        <v>20190304155724390</v>
      </c>
      <c r="B4432" t="str">
        <f>"1551686244378881"</f>
        <v>1551686244378881</v>
      </c>
      <c r="C4432" t="s">
        <v>40</v>
      </c>
      <c r="D4432">
        <v>4.2977749999999997</v>
      </c>
      <c r="E4432">
        <v>0.49551990000000001</v>
      </c>
      <c r="F4432" t="s">
        <v>78</v>
      </c>
      <c r="G4432">
        <v>-313.34539999999998</v>
      </c>
      <c r="H4432" s="1">
        <v>-8.192394E-6</v>
      </c>
      <c r="I4432">
        <v>139.55510000000001</v>
      </c>
      <c r="J4432">
        <v>-277.70269999999999</v>
      </c>
      <c r="K4432">
        <v>1.109424</v>
      </c>
      <c r="L4432">
        <v>141.36250000000001</v>
      </c>
      <c r="M4432">
        <v>-0.99989039999999996</v>
      </c>
      <c r="N4432">
        <v>-1.2443650000000001E-2</v>
      </c>
      <c r="O4432">
        <v>8.0283509999999995E-3</v>
      </c>
      <c r="P4432">
        <v>-0.98557099999999997</v>
      </c>
      <c r="Q4432">
        <v>0.16346759999999999</v>
      </c>
      <c r="R4432">
        <v>-4.3910530000000003E-2</v>
      </c>
      <c r="S4432">
        <v>-3.0528870000000001</v>
      </c>
      <c r="T4432">
        <v>-9.39194E-2</v>
      </c>
      <c r="U4432">
        <v>-0.15270999999999901</v>
      </c>
      <c r="V4432">
        <v>-5.171357E-2</v>
      </c>
      <c r="W4432">
        <v>0.1757466</v>
      </c>
      <c r="X4432">
        <v>0.98307619999999896</v>
      </c>
      <c r="Y4432">
        <v>-5.7936590000000003E-2</v>
      </c>
      <c r="Z4432">
        <v>-1.398205E-3</v>
      </c>
      <c r="AA4432">
        <v>0.99831930000000002</v>
      </c>
      <c r="AB4432">
        <v>42</v>
      </c>
      <c r="AC4432">
        <v>-35.642699999999898</v>
      </c>
      <c r="AD4432">
        <v>-1.109432192394</v>
      </c>
      <c r="AE4432">
        <v>-1.8073999999999999</v>
      </c>
      <c r="AF4432">
        <v>-2.0914948247504999</v>
      </c>
      <c r="AG4432">
        <v>-1.109432192394</v>
      </c>
      <c r="AH4432">
        <v>35.592643785335099</v>
      </c>
      <c r="AI4432">
        <v>91.782274229010198</v>
      </c>
      <c r="AJ4432">
        <v>93.362947256176398</v>
      </c>
      <c r="AK4432">
        <v>35.671297733909697</v>
      </c>
      <c r="AL4432">
        <v>79.8778913437433</v>
      </c>
      <c r="AM4432">
        <v>93.011201804378999</v>
      </c>
      <c r="AN4432">
        <v>0.99999998787007205</v>
      </c>
    </row>
    <row r="4433" spans="1:40" x14ac:dyDescent="0.25">
      <c r="A4433" t="str">
        <f>"20190304155724491"</f>
        <v>20190304155724491</v>
      </c>
      <c r="B4433" t="str">
        <f>"1551686244479410"</f>
        <v>1551686244479410</v>
      </c>
      <c r="C4433" t="s">
        <v>40</v>
      </c>
      <c r="D4433">
        <v>4.4090939999999996</v>
      </c>
      <c r="E4433">
        <v>0.52440730000000002</v>
      </c>
      <c r="F4433" t="s">
        <v>78</v>
      </c>
      <c r="G4433">
        <v>-313.07859999999999</v>
      </c>
      <c r="H4433" s="1">
        <v>-8.3083309999999995E-6</v>
      </c>
      <c r="I4433">
        <v>139.60560000000001</v>
      </c>
      <c r="J4433">
        <v>-279.57069999999999</v>
      </c>
      <c r="K4433">
        <v>1.109537</v>
      </c>
      <c r="L4433">
        <v>141.37899999999999</v>
      </c>
      <c r="M4433">
        <v>-0.99987329999999996</v>
      </c>
      <c r="N4433">
        <v>-1.31527E-2</v>
      </c>
      <c r="O4433">
        <v>8.9679530000000007E-3</v>
      </c>
      <c r="P4433">
        <v>-0.98583719999999997</v>
      </c>
      <c r="Q4433">
        <v>0.16161539999999999</v>
      </c>
      <c r="R4433">
        <v>-4.4782719999999998E-2</v>
      </c>
      <c r="S4433">
        <v>-3.0530400000000002</v>
      </c>
      <c r="T4433">
        <v>-9.5746990000000004E-2</v>
      </c>
      <c r="U4433">
        <v>-0.1516266</v>
      </c>
      <c r="V4433">
        <v>-5.3521890000000003E-2</v>
      </c>
      <c r="W4433">
        <v>0.17459269999999999</v>
      </c>
      <c r="X4433">
        <v>0.98318510000000003</v>
      </c>
      <c r="Y4433">
        <v>-5.8516440000000003E-2</v>
      </c>
      <c r="Z4433">
        <v>-1.465149E-3</v>
      </c>
      <c r="AA4433">
        <v>0.99828539999999999</v>
      </c>
      <c r="AB4433">
        <v>42</v>
      </c>
      <c r="AC4433">
        <v>-33.507899999999999</v>
      </c>
      <c r="AD4433">
        <v>-1.1095453083310001</v>
      </c>
      <c r="AE4433">
        <v>-1.7733999999999801</v>
      </c>
      <c r="AF4433">
        <v>-2.0715868542340101</v>
      </c>
      <c r="AG4433">
        <v>-1.1095453083310001</v>
      </c>
      <c r="AH4433">
        <v>33.454068342349402</v>
      </c>
      <c r="AI4433">
        <v>91.895959771696496</v>
      </c>
      <c r="AJ4433">
        <v>93.543420218970994</v>
      </c>
      <c r="AK4433">
        <v>33.536506251254899</v>
      </c>
      <c r="AL4433">
        <v>79.945044090544599</v>
      </c>
      <c r="AM4433">
        <v>93.115948973303801</v>
      </c>
      <c r="AN4433">
        <v>1.00000007223223</v>
      </c>
    </row>
    <row r="4434" spans="1:40" x14ac:dyDescent="0.25">
      <c r="A4434" t="str">
        <f>"20190304155724503"</f>
        <v>20190304155724503</v>
      </c>
      <c r="B4434" t="str">
        <f>"1551686244498930"</f>
        <v>1551686244498930</v>
      </c>
      <c r="C4434" t="s">
        <v>40</v>
      </c>
      <c r="D4434">
        <v>4.7414670000000001</v>
      </c>
      <c r="E4434">
        <v>0.53566840000000004</v>
      </c>
      <c r="F4434" t="s">
        <v>42</v>
      </c>
      <c r="G4434">
        <v>-280.61329999999998</v>
      </c>
      <c r="H4434">
        <v>0.94176029999999999</v>
      </c>
      <c r="I4434">
        <v>141.40790000000001</v>
      </c>
      <c r="J4434">
        <v>-279.82619999999997</v>
      </c>
      <c r="K4434">
        <v>1.109548</v>
      </c>
      <c r="L4434">
        <v>141.38140000000001</v>
      </c>
      <c r="M4434">
        <v>-0.99987099999999995</v>
      </c>
      <c r="N4434">
        <v>-1.324383E-2</v>
      </c>
      <c r="O4434">
        <v>9.0902310000000007E-3</v>
      </c>
      <c r="P4434">
        <v>-0.98586370000000001</v>
      </c>
      <c r="Q4434">
        <v>0.16150200000000001</v>
      </c>
      <c r="R4434">
        <v>-4.4608099999999998E-2</v>
      </c>
      <c r="S4434">
        <v>-3.1295470000000001</v>
      </c>
      <c r="T4434">
        <v>-0.50365020000000005</v>
      </c>
      <c r="U4434">
        <v>8.6242680000000002E-2</v>
      </c>
      <c r="V4434">
        <v>-5.3467269999999997E-2</v>
      </c>
      <c r="W4434">
        <v>0.17456969999999999</v>
      </c>
      <c r="X4434">
        <v>0.98319210000000001</v>
      </c>
      <c r="Y4434">
        <v>1.8301870000000001E-2</v>
      </c>
      <c r="Z4434">
        <v>2.5149679999999998E-4</v>
      </c>
      <c r="AA4434">
        <v>0.99983250000000001</v>
      </c>
      <c r="AB4434">
        <v>42</v>
      </c>
      <c r="AC4434">
        <v>-0.78710000000000901</v>
      </c>
      <c r="AD4434">
        <v>-0.16778769999999901</v>
      </c>
      <c r="AE4434">
        <v>2.6499999999998601E-2</v>
      </c>
      <c r="AF4434">
        <v>1.8503468351901801E-2</v>
      </c>
      <c r="AG4434">
        <v>-0.16778769999999901</v>
      </c>
      <c r="AH4434">
        <v>0.75312346420448195</v>
      </c>
      <c r="AI4434">
        <v>102.556086461128</v>
      </c>
      <c r="AJ4434">
        <v>88.592584812370305</v>
      </c>
      <c r="AK4434">
        <v>0.77180958982620795</v>
      </c>
      <c r="AL4434">
        <v>79.946381888910693</v>
      </c>
      <c r="AM4434">
        <v>93.112753232525407</v>
      </c>
      <c r="AN4434">
        <v>1.0000000173108701</v>
      </c>
    </row>
    <row r="4435" spans="1:40" x14ac:dyDescent="0.25">
      <c r="A4435" t="str">
        <f>"20190304155724518"</f>
        <v>20190304155724518</v>
      </c>
      <c r="B4435" t="str">
        <f>"1551686244508690"</f>
        <v>1551686244508690</v>
      </c>
      <c r="C4435" t="s">
        <v>40</v>
      </c>
      <c r="D4435">
        <v>5.0027609999999996</v>
      </c>
      <c r="E4435">
        <v>0.54065799999999997</v>
      </c>
      <c r="F4435" t="s">
        <v>78</v>
      </c>
      <c r="G4435">
        <v>-297.2534</v>
      </c>
      <c r="H4435" s="1">
        <v>-9.0044639999999998E-6</v>
      </c>
      <c r="I4435">
        <v>142.33340000000001</v>
      </c>
      <c r="J4435">
        <v>-280.0822</v>
      </c>
      <c r="K4435">
        <v>1.1095619999999999</v>
      </c>
      <c r="L4435">
        <v>141.38390000000001</v>
      </c>
      <c r="M4435">
        <v>-0.9998688</v>
      </c>
      <c r="N4435">
        <v>-1.333115E-2</v>
      </c>
      <c r="O4435">
        <v>9.2123459999999997E-3</v>
      </c>
      <c r="P4435">
        <v>-0.98585900000000004</v>
      </c>
      <c r="Q4435">
        <v>0.16152639999999999</v>
      </c>
      <c r="R4435">
        <v>-4.4623370000000002E-2</v>
      </c>
      <c r="S4435">
        <v>-3.0827939999999998</v>
      </c>
      <c r="T4435">
        <v>-0.19627520000000001</v>
      </c>
      <c r="U4435">
        <v>0.16839599999999999</v>
      </c>
      <c r="V4435">
        <v>-5.3602629999999998E-2</v>
      </c>
      <c r="W4435">
        <v>0.17468</v>
      </c>
      <c r="X4435">
        <v>0.98316510000000001</v>
      </c>
      <c r="Y4435">
        <v>4.5242490000000003E-2</v>
      </c>
      <c r="Z4435">
        <v>1.2770730000000001E-3</v>
      </c>
      <c r="AA4435">
        <v>0.99897519999999995</v>
      </c>
      <c r="AB4435">
        <v>42</v>
      </c>
      <c r="AC4435">
        <v>-17.171199999999999</v>
      </c>
      <c r="AD4435">
        <v>-1.1095710044639999</v>
      </c>
      <c r="AE4435">
        <v>0.94950000000000001</v>
      </c>
      <c r="AF4435">
        <v>0.78797844589938904</v>
      </c>
      <c r="AG4435">
        <v>-1.1095710044639999</v>
      </c>
      <c r="AH4435">
        <v>17.108002341374501</v>
      </c>
      <c r="AI4435">
        <v>93.706907129841596</v>
      </c>
      <c r="AJ4435">
        <v>87.362874234001296</v>
      </c>
      <c r="AK4435">
        <v>17.162045389685499</v>
      </c>
      <c r="AL4435">
        <v>79.939963158574102</v>
      </c>
      <c r="AM4435">
        <v>93.120703584567295</v>
      </c>
      <c r="AN4435">
        <v>0.99999997910046301</v>
      </c>
    </row>
    <row r="4436" spans="1:40" x14ac:dyDescent="0.25">
      <c r="A4436" t="str">
        <f>"20190304155724535"</f>
        <v>20190304155724535</v>
      </c>
      <c r="B4436" t="str">
        <f>"1551686244529186"</f>
        <v>1551686244529186</v>
      </c>
      <c r="C4436" t="s">
        <v>40</v>
      </c>
      <c r="D4436">
        <v>7.1920509999999904</v>
      </c>
      <c r="E4436">
        <v>0.53687669999999998</v>
      </c>
      <c r="F4436" t="s">
        <v>78</v>
      </c>
      <c r="G4436">
        <v>-306.25510000000003</v>
      </c>
      <c r="H4436" s="1">
        <v>-1.00029E-5</v>
      </c>
      <c r="I4436">
        <v>143.1397</v>
      </c>
      <c r="J4436">
        <v>-280.40050000000002</v>
      </c>
      <c r="K4436">
        <v>1.1095710000000001</v>
      </c>
      <c r="L4436">
        <v>141.3869</v>
      </c>
      <c r="M4436">
        <v>-0.99986589999999997</v>
      </c>
      <c r="N4436">
        <v>-1.343338E-2</v>
      </c>
      <c r="O4436">
        <v>9.3638599999999999E-3</v>
      </c>
      <c r="P4436">
        <v>-0.98592279999999999</v>
      </c>
      <c r="Q4436">
        <v>0.16115479999999999</v>
      </c>
      <c r="R4436">
        <v>-4.4559479999999999E-2</v>
      </c>
      <c r="S4436">
        <v>-3.0737610000000002</v>
      </c>
      <c r="T4436">
        <v>-0.1303086</v>
      </c>
      <c r="U4436">
        <v>0.20620730000000001</v>
      </c>
      <c r="V4436">
        <v>-5.3688220000000002E-2</v>
      </c>
      <c r="W4436">
        <v>0.1744096</v>
      </c>
      <c r="X4436">
        <v>0.98320850000000004</v>
      </c>
      <c r="Y4436">
        <v>5.7525310000000003E-2</v>
      </c>
      <c r="Z4436">
        <v>1.333819E-3</v>
      </c>
      <c r="AA4436">
        <v>0.99834319999999999</v>
      </c>
      <c r="AB4436">
        <v>42</v>
      </c>
      <c r="AC4436">
        <v>-25.854600000000001</v>
      </c>
      <c r="AD4436">
        <v>-1.1095810028999999</v>
      </c>
      <c r="AE4436">
        <v>1.7527999999999999</v>
      </c>
      <c r="AF4436">
        <v>1.5078380030188101</v>
      </c>
      <c r="AG4436">
        <v>-1.1095810028999999</v>
      </c>
      <c r="AH4436">
        <v>25.822538384517301</v>
      </c>
      <c r="AI4436">
        <v>92.456277352014496</v>
      </c>
      <c r="AJ4436">
        <v>86.658161068573094</v>
      </c>
      <c r="AK4436">
        <v>25.890311586869998</v>
      </c>
      <c r="AL4436">
        <v>79.9556981301956</v>
      </c>
      <c r="AM4436">
        <v>93.1255389977661</v>
      </c>
      <c r="AN4436">
        <v>1.0000000440055801</v>
      </c>
    </row>
    <row r="4437" spans="1:40" x14ac:dyDescent="0.25">
      <c r="A4437" t="str">
        <f>"20190304155724547"</f>
        <v>20190304155724547</v>
      </c>
      <c r="B4437" t="str">
        <f>"1551686244538946"</f>
        <v>1551686244538946</v>
      </c>
      <c r="C4437" t="s">
        <v>40</v>
      </c>
      <c r="D4437">
        <v>4.9660919999999997</v>
      </c>
      <c r="E4437">
        <v>0.53596820000000001</v>
      </c>
      <c r="F4437" t="s">
        <v>41</v>
      </c>
      <c r="G4437">
        <v>-334.68529999999998</v>
      </c>
      <c r="H4437" s="1">
        <v>-3.774459E-6</v>
      </c>
      <c r="I4437">
        <v>144.47810000000001</v>
      </c>
      <c r="J4437">
        <v>-280.6447</v>
      </c>
      <c r="K4437">
        <v>1.1095790000000001</v>
      </c>
      <c r="L4437">
        <v>141.38929999999999</v>
      </c>
      <c r="M4437">
        <v>-0.99986390000000003</v>
      </c>
      <c r="N4437">
        <v>-1.350667E-2</v>
      </c>
      <c r="O4437">
        <v>9.4798480000000008E-3</v>
      </c>
      <c r="P4437">
        <v>-0.98595169999999999</v>
      </c>
      <c r="Q4437">
        <v>0.16094429999999901</v>
      </c>
      <c r="R4437">
        <v>-4.4684580000000002E-2</v>
      </c>
      <c r="S4437">
        <v>-3.0609739999999999</v>
      </c>
      <c r="T4437">
        <v>-6.2565919999999997E-2</v>
      </c>
      <c r="U4437">
        <v>0.17430109999999999</v>
      </c>
      <c r="V4437">
        <v>-5.3928190000000001E-2</v>
      </c>
      <c r="W4437">
        <v>0.17427200000000001</v>
      </c>
      <c r="X4437">
        <v>0.98321970000000003</v>
      </c>
      <c r="Y4437">
        <v>4.736684E-2</v>
      </c>
      <c r="Z4437">
        <v>7.3823119999999996E-4</v>
      </c>
      <c r="AA4437">
        <v>0.99887729999999997</v>
      </c>
      <c r="AB4437">
        <v>42</v>
      </c>
      <c r="AC4437">
        <v>-54.040599999999898</v>
      </c>
      <c r="AD4437">
        <v>-1.1095827744589899</v>
      </c>
      <c r="AE4437">
        <v>3.08880000000002</v>
      </c>
      <c r="AF4437">
        <v>2.5752356702102599</v>
      </c>
      <c r="AG4437">
        <v>-1.1095827744589899</v>
      </c>
      <c r="AH4437">
        <v>54.044745335215097</v>
      </c>
      <c r="AI4437">
        <v>91.174831310299396</v>
      </c>
      <c r="AJ4437">
        <v>87.271915819913502</v>
      </c>
      <c r="AK4437">
        <v>54.117441837532802</v>
      </c>
      <c r="AL4437">
        <v>79.963703987382601</v>
      </c>
      <c r="AM4437">
        <v>93.139445630745698</v>
      </c>
      <c r="AN4437">
        <v>0.99999997906438198</v>
      </c>
    </row>
    <row r="4438" spans="1:40" x14ac:dyDescent="0.25">
      <c r="A4438" t="str">
        <f>"20190304155724561"</f>
        <v>20190304155724561</v>
      </c>
      <c r="B4438" t="str">
        <f>"1551686244559442"</f>
        <v>1551686244559442</v>
      </c>
      <c r="C4438" t="s">
        <v>40</v>
      </c>
      <c r="D4438">
        <v>4.8847820000000004</v>
      </c>
      <c r="E4438">
        <v>0.53267439999999999</v>
      </c>
      <c r="F4438" t="s">
        <v>79</v>
      </c>
      <c r="G4438">
        <v>-511.92529999999999</v>
      </c>
      <c r="H4438">
        <v>0.2372949</v>
      </c>
      <c r="I4438">
        <v>153.91640000000001</v>
      </c>
      <c r="J4438">
        <v>-280.88869999999997</v>
      </c>
      <c r="K4438">
        <v>1.1095870000000001</v>
      </c>
      <c r="L4438">
        <v>141.39169999999999</v>
      </c>
      <c r="M4438">
        <v>-0.99986180000000002</v>
      </c>
      <c r="N4438">
        <v>-1.3573669999999999E-2</v>
      </c>
      <c r="O4438">
        <v>9.5963460000000004E-3</v>
      </c>
      <c r="P4438">
        <v>-0.9859483</v>
      </c>
      <c r="Q4438">
        <v>0.16092609999999999</v>
      </c>
      <c r="R4438">
        <v>-4.4820510000000001E-2</v>
      </c>
      <c r="S4438">
        <v>-3.0520939999999999</v>
      </c>
      <c r="T4438">
        <v>-1.151049E-2</v>
      </c>
      <c r="U4438">
        <v>0.16531370000000001</v>
      </c>
      <c r="V4438">
        <v>-5.4179020000000001E-2</v>
      </c>
      <c r="W4438">
        <v>0.17431949999999999</v>
      </c>
      <c r="X4438">
        <v>0.98319749999999995</v>
      </c>
      <c r="Y4438">
        <v>4.4498099999999999E-2</v>
      </c>
      <c r="Z4438">
        <v>4.80106E-4</v>
      </c>
      <c r="AA4438">
        <v>0.99900940000000005</v>
      </c>
      <c r="AB4438">
        <v>42</v>
      </c>
      <c r="AC4438">
        <v>-231.03659999999999</v>
      </c>
      <c r="AD4438">
        <v>-0.87229210000000001</v>
      </c>
      <c r="AE4438">
        <v>12.524699999999999</v>
      </c>
      <c r="AF4438">
        <v>10.306665215157899</v>
      </c>
      <c r="AG4438">
        <v>-0.87229210000000001</v>
      </c>
      <c r="AH4438">
        <v>231.142876912139</v>
      </c>
      <c r="AI4438">
        <v>90.216008420375601</v>
      </c>
      <c r="AJ4438">
        <v>87.446871323914195</v>
      </c>
      <c r="AK4438">
        <v>231.37419430132101</v>
      </c>
      <c r="AL4438">
        <v>79.960940234705504</v>
      </c>
      <c r="AM4438">
        <v>93.154089432685794</v>
      </c>
      <c r="AN4438">
        <v>0.99999998914733002</v>
      </c>
    </row>
    <row r="4439" spans="1:40" x14ac:dyDescent="0.25">
      <c r="A4439" t="str">
        <f>"20190304155724580"</f>
        <v>20190304155724580</v>
      </c>
      <c r="B4439" t="str">
        <f>"1551686244569205"</f>
        <v>1551686244569205</v>
      </c>
      <c r="C4439" t="s">
        <v>40</v>
      </c>
      <c r="D4439">
        <v>4.8974099999999998</v>
      </c>
      <c r="E4439">
        <v>0.53109010000000001</v>
      </c>
      <c r="F4439" t="s">
        <v>41</v>
      </c>
      <c r="G4439">
        <v>-352.13440000000003</v>
      </c>
      <c r="H4439" s="1">
        <v>-4.4421110000000003E-6</v>
      </c>
      <c r="I4439">
        <v>144.6474</v>
      </c>
      <c r="J4439">
        <v>-281.24939999999998</v>
      </c>
      <c r="K4439">
        <v>1.1095950000000001</v>
      </c>
      <c r="L4439">
        <v>141.3954</v>
      </c>
      <c r="M4439">
        <v>-0.99985880000000005</v>
      </c>
      <c r="N4439">
        <v>-1.366559E-2</v>
      </c>
      <c r="O4439">
        <v>9.7688180000000003E-3</v>
      </c>
      <c r="P4439">
        <v>-0.98586459999999998</v>
      </c>
      <c r="Q4439">
        <v>0.1614158</v>
      </c>
      <c r="R4439">
        <v>-4.4897600000000003E-2</v>
      </c>
      <c r="S4439">
        <v>-3.0568849999999999</v>
      </c>
      <c r="T4439">
        <v>-4.7608379999999999E-2</v>
      </c>
      <c r="U4439">
        <v>0.13969419999999999</v>
      </c>
      <c r="V4439">
        <v>-5.4425109999999999E-2</v>
      </c>
      <c r="W4439">
        <v>0.17489839999999901</v>
      </c>
      <c r="X4439">
        <v>0.98308110000000004</v>
      </c>
      <c r="Y4439">
        <v>3.5880719999999998E-2</v>
      </c>
      <c r="Z4439">
        <v>5.0597529999999997E-4</v>
      </c>
      <c r="AA4439">
        <v>0.99935600000000002</v>
      </c>
      <c r="AB4439">
        <v>42</v>
      </c>
      <c r="AC4439">
        <v>-70.885000000000005</v>
      </c>
      <c r="AD4439">
        <v>-1.109599442111</v>
      </c>
      <c r="AE4439">
        <v>3.2519999999999998</v>
      </c>
      <c r="AF4439">
        <v>2.5586917514255099</v>
      </c>
      <c r="AG4439">
        <v>-1.109599442111</v>
      </c>
      <c r="AH4439">
        <v>70.896052827659702</v>
      </c>
      <c r="AI4439">
        <v>90.896084025573202</v>
      </c>
      <c r="AJ4439">
        <v>87.933049437654901</v>
      </c>
      <c r="AK4439">
        <v>70.950887386579296</v>
      </c>
      <c r="AL4439">
        <v>79.927254287974804</v>
      </c>
      <c r="AM4439">
        <v>93.168761084656595</v>
      </c>
      <c r="AN4439">
        <v>0.99999999604914103</v>
      </c>
    </row>
    <row r="4440" spans="1:40" x14ac:dyDescent="0.25">
      <c r="A4440" t="str">
        <f>"20190304155724602"</f>
        <v>20190304155724602</v>
      </c>
      <c r="B4440" t="str">
        <f>"1551686244599458"</f>
        <v>1551686244599458</v>
      </c>
      <c r="C4440" t="s">
        <v>40</v>
      </c>
      <c r="D4440">
        <v>4.9157149999999996</v>
      </c>
      <c r="E4440">
        <v>0.52675950000000005</v>
      </c>
      <c r="F4440" t="s">
        <v>41</v>
      </c>
      <c r="G4440">
        <v>-337.52260000000001</v>
      </c>
      <c r="H4440" s="1">
        <v>-2.2472580000000002E-6</v>
      </c>
      <c r="I4440">
        <v>143.73439999999999</v>
      </c>
      <c r="J4440">
        <v>-281.65320000000003</v>
      </c>
      <c r="K4440">
        <v>1.1096060000000001</v>
      </c>
      <c r="L4440">
        <v>141.39949999999999</v>
      </c>
      <c r="M4440">
        <v>-0.99985579999999996</v>
      </c>
      <c r="N4440">
        <v>-1.3757180000000001E-2</v>
      </c>
      <c r="O4440">
        <v>9.9621429999999997E-3</v>
      </c>
      <c r="P4440">
        <v>-0.98587880000000006</v>
      </c>
      <c r="Q4440">
        <v>0.16134949999999901</v>
      </c>
      <c r="R4440">
        <v>-4.4825280000000002E-2</v>
      </c>
      <c r="S4440">
        <v>-3.0586850000000001</v>
      </c>
      <c r="T4440">
        <v>-6.0311200000000002E-2</v>
      </c>
      <c r="U4440">
        <v>0.1271362</v>
      </c>
      <c r="V4440">
        <v>-5.4543929999999997E-2</v>
      </c>
      <c r="W4440">
        <v>0.1749223</v>
      </c>
      <c r="X4440">
        <v>0.98307029999999995</v>
      </c>
      <c r="Y4440">
        <v>3.1563010000000002E-2</v>
      </c>
      <c r="Z4440">
        <v>4.6894990000000001E-4</v>
      </c>
      <c r="AA4440">
        <v>0.99950159999999999</v>
      </c>
      <c r="AB4440">
        <v>42</v>
      </c>
      <c r="AC4440">
        <v>-55.869399999999899</v>
      </c>
      <c r="AD4440">
        <v>-1.10960824725799</v>
      </c>
      <c r="AE4440">
        <v>2.3349000000000002</v>
      </c>
      <c r="AF4440">
        <v>1.7774526258452401</v>
      </c>
      <c r="AG4440">
        <v>-1.10960824725799</v>
      </c>
      <c r="AH4440">
        <v>55.867891219188401</v>
      </c>
      <c r="AI4440">
        <v>91.137243082065297</v>
      </c>
      <c r="AJ4440">
        <v>88.177733381886</v>
      </c>
      <c r="AK4440">
        <v>55.907171611328899</v>
      </c>
      <c r="AL4440">
        <v>79.9258638551632</v>
      </c>
      <c r="AM4440">
        <v>93.175699743805296</v>
      </c>
      <c r="AN4440">
        <v>1.0000000330396099</v>
      </c>
    </row>
    <row r="4441" spans="1:40" x14ac:dyDescent="0.25">
      <c r="A4441" t="str">
        <f>"20190304155724625"</f>
        <v>20190304155724625</v>
      </c>
      <c r="B4441" t="str">
        <f>"1551686244618978"</f>
        <v>1551686244618978</v>
      </c>
      <c r="C4441" t="s">
        <v>40</v>
      </c>
      <c r="D4441">
        <v>4.8846109999999996</v>
      </c>
      <c r="E4441">
        <v>0.52516619999999903</v>
      </c>
      <c r="F4441" t="s">
        <v>41</v>
      </c>
      <c r="G4441">
        <v>-321.75080000000003</v>
      </c>
      <c r="H4441" s="1">
        <v>-4.211623E-6</v>
      </c>
      <c r="I4441">
        <v>142.6121</v>
      </c>
      <c r="J4441">
        <v>-282.08940000000001</v>
      </c>
      <c r="K4441">
        <v>1.109612</v>
      </c>
      <c r="L4441">
        <v>141.404</v>
      </c>
      <c r="M4441">
        <v>-0.99985259999999998</v>
      </c>
      <c r="N4441">
        <v>-1.384403E-2</v>
      </c>
      <c r="O4441">
        <v>1.0169859999999999E-2</v>
      </c>
      <c r="P4441">
        <v>-0.98589610000000005</v>
      </c>
      <c r="Q4441">
        <v>0.16117290000000001</v>
      </c>
      <c r="R4441">
        <v>-4.5084560000000003E-2</v>
      </c>
      <c r="S4441">
        <v>-3.061035</v>
      </c>
      <c r="T4441">
        <v>-8.4707379999999999E-2</v>
      </c>
      <c r="U4441">
        <v>9.2575069999999995E-2</v>
      </c>
      <c r="V4441">
        <v>-5.5007979999999998E-2</v>
      </c>
      <c r="W4441">
        <v>0.17483080000000001</v>
      </c>
      <c r="X4441">
        <v>0.98306070000000001</v>
      </c>
      <c r="Y4441">
        <v>2.005096E-2</v>
      </c>
      <c r="Z4441">
        <v>2.756522E-4</v>
      </c>
      <c r="AA4441">
        <v>0.99979890000000005</v>
      </c>
      <c r="AB4441">
        <v>42</v>
      </c>
      <c r="AC4441">
        <v>-39.6614</v>
      </c>
      <c r="AD4441">
        <v>-1.1096162116229999</v>
      </c>
      <c r="AE4441">
        <v>1.2081</v>
      </c>
      <c r="AF4441">
        <v>0.80401928686928503</v>
      </c>
      <c r="AG4441">
        <v>-1.1096162116229999</v>
      </c>
      <c r="AH4441">
        <v>39.640636949743602</v>
      </c>
      <c r="AI4441">
        <v>91.603068732175899</v>
      </c>
      <c r="AJ4441">
        <v>88.838046011317104</v>
      </c>
      <c r="AK4441">
        <v>39.664313846733002</v>
      </c>
      <c r="AL4441">
        <v>79.931188267194202</v>
      </c>
      <c r="AM4441">
        <v>93.202693232395603</v>
      </c>
      <c r="AN4441">
        <v>1.0000000131883999</v>
      </c>
    </row>
    <row r="4442" spans="1:40" x14ac:dyDescent="0.25">
      <c r="A4442" t="str">
        <f>"20190304155724648"</f>
        <v>20190304155724648</v>
      </c>
      <c r="B4442" t="str">
        <f>"1551686244639474"</f>
        <v>1551686244639474</v>
      </c>
      <c r="C4442" t="s">
        <v>40</v>
      </c>
      <c r="D4442">
        <v>4.8995980000000001</v>
      </c>
      <c r="E4442">
        <v>0.52407629999999905</v>
      </c>
      <c r="F4442" t="s">
        <v>78</v>
      </c>
      <c r="G4442">
        <v>-317.13589999999999</v>
      </c>
      <c r="H4442" s="1">
        <v>-7.3504239999999998E-6</v>
      </c>
      <c r="I4442">
        <v>142.31379999999999</v>
      </c>
      <c r="J4442">
        <v>-282.50650000000002</v>
      </c>
      <c r="K4442">
        <v>1.109615</v>
      </c>
      <c r="L4442">
        <v>141.4084</v>
      </c>
      <c r="M4442">
        <v>-0.99984960000000001</v>
      </c>
      <c r="N4442">
        <v>-1.3916029999999999E-2</v>
      </c>
      <c r="O4442">
        <v>1.036604E-2</v>
      </c>
      <c r="P4442">
        <v>-0.98595540000000004</v>
      </c>
      <c r="Q4442">
        <v>0.16081719999999999</v>
      </c>
      <c r="R4442">
        <v>-4.5057989999999999E-2</v>
      </c>
      <c r="S4442">
        <v>-3.0624389999999999</v>
      </c>
      <c r="T4442">
        <v>-9.6960900000000003E-2</v>
      </c>
      <c r="U4442">
        <v>7.9498289999999999E-2</v>
      </c>
      <c r="V4442">
        <v>-5.5176280000000001E-2</v>
      </c>
      <c r="W4442">
        <v>0.1745467</v>
      </c>
      <c r="X4442">
        <v>0.98310169999999997</v>
      </c>
      <c r="Y4442">
        <v>1.557586E-2</v>
      </c>
      <c r="Z4442">
        <v>1.710862E-4</v>
      </c>
      <c r="AA4442">
        <v>0.99987859999999995</v>
      </c>
      <c r="AB4442">
        <v>42</v>
      </c>
      <c r="AC4442">
        <v>-34.629399999999897</v>
      </c>
      <c r="AD4442">
        <v>-1.1096223504239999</v>
      </c>
      <c r="AE4442">
        <v>0.90539999999998599</v>
      </c>
      <c r="AF4442">
        <v>0.54578689701347805</v>
      </c>
      <c r="AG4442">
        <v>-1.1096223504239999</v>
      </c>
      <c r="AH4442">
        <v>34.601422968569302</v>
      </c>
      <c r="AI4442">
        <v>91.836542891271804</v>
      </c>
      <c r="AJ4442">
        <v>89.096317725179105</v>
      </c>
      <c r="AK4442">
        <v>34.623512481366603</v>
      </c>
      <c r="AL4442">
        <v>79.947719682492107</v>
      </c>
      <c r="AM4442">
        <v>93.212337865369804</v>
      </c>
      <c r="AN4442">
        <v>0.99999996244920797</v>
      </c>
    </row>
    <row r="4443" spans="1:40" x14ac:dyDescent="0.25">
      <c r="A4443" t="str">
        <f>"20190304155724669"</f>
        <v>20190304155724669</v>
      </c>
      <c r="B4443" t="str">
        <f>"1551686244659500"</f>
        <v>1551686244659500</v>
      </c>
      <c r="C4443" t="s">
        <v>40</v>
      </c>
      <c r="D4443">
        <v>4.8742510000000001</v>
      </c>
      <c r="E4443">
        <v>0.52316499999999999</v>
      </c>
      <c r="F4443" t="s">
        <v>78</v>
      </c>
      <c r="G4443">
        <v>-314.76760000000002</v>
      </c>
      <c r="H4443" s="1">
        <v>-8.3460650000000005E-6</v>
      </c>
      <c r="I4443">
        <v>142.15520000000001</v>
      </c>
      <c r="J4443">
        <v>-282.89280000000002</v>
      </c>
      <c r="K4443">
        <v>1.1096170000000001</v>
      </c>
      <c r="L4443">
        <v>141.4126</v>
      </c>
      <c r="M4443">
        <v>-0.99984680000000004</v>
      </c>
      <c r="N4443">
        <v>-1.3974169999999999E-2</v>
      </c>
      <c r="O4443">
        <v>1.0542549999999999E-2</v>
      </c>
      <c r="P4443">
        <v>-0.98603359999999995</v>
      </c>
      <c r="Q4443">
        <v>0.1604524</v>
      </c>
      <c r="R4443">
        <v>-4.4638150000000001E-2</v>
      </c>
      <c r="S4443">
        <v>-3.0631710000000001</v>
      </c>
      <c r="T4443">
        <v>-0.10535799999999999</v>
      </c>
      <c r="U4443">
        <v>7.0907590000000006E-2</v>
      </c>
      <c r="V4443">
        <v>-5.4932729999999999E-2</v>
      </c>
      <c r="W4443">
        <v>0.17424010000000001</v>
      </c>
      <c r="X4443">
        <v>0.98316970000000004</v>
      </c>
      <c r="Y4443">
        <v>1.259191E-2</v>
      </c>
      <c r="Z4443" s="1">
        <v>8.9341749999999995E-5</v>
      </c>
      <c r="AA4443">
        <v>0.9999207</v>
      </c>
      <c r="AB4443">
        <v>41</v>
      </c>
      <c r="AC4443">
        <v>-31.8748</v>
      </c>
      <c r="AD4443">
        <v>-1.1096253460650001</v>
      </c>
      <c r="AE4443">
        <v>0.74260000000001003</v>
      </c>
      <c r="AF4443">
        <v>0.40599249685087002</v>
      </c>
      <c r="AG4443">
        <v>-1.1096253460650001</v>
      </c>
      <c r="AH4443">
        <v>31.842289959461599</v>
      </c>
      <c r="AI4443">
        <v>91.995647057016001</v>
      </c>
      <c r="AJ4443">
        <v>89.269512455775796</v>
      </c>
      <c r="AK4443">
        <v>31.864204496245598</v>
      </c>
      <c r="AL4443">
        <v>79.965559705987602</v>
      </c>
      <c r="AM4443">
        <v>93.197967254512093</v>
      </c>
      <c r="AN4443">
        <v>0.999999938135674</v>
      </c>
    </row>
    <row r="4444" spans="1:40" x14ac:dyDescent="0.25">
      <c r="A4444" t="str">
        <f>"20190304155724682"</f>
        <v>20190304155724682</v>
      </c>
      <c r="B4444" t="str">
        <f>"1551686244679021"</f>
        <v>1551686244679021</v>
      </c>
      <c r="C4444" t="s">
        <v>40</v>
      </c>
      <c r="D4444">
        <v>4.9321349999999997</v>
      </c>
      <c r="E4444">
        <v>0.5225765</v>
      </c>
      <c r="F4444" t="s">
        <v>78</v>
      </c>
      <c r="G4444">
        <v>-312.93709999999999</v>
      </c>
      <c r="H4444" s="1">
        <v>-9.0067650000000008E-6</v>
      </c>
      <c r="I4444">
        <v>142.0478</v>
      </c>
      <c r="J4444">
        <v>-283.13920000000002</v>
      </c>
      <c r="K4444">
        <v>1.1096220000000001</v>
      </c>
      <c r="L4444">
        <v>141.4153</v>
      </c>
      <c r="M4444">
        <v>-0.99984530000000005</v>
      </c>
      <c r="N4444">
        <v>-1.400649E-2</v>
      </c>
      <c r="O4444">
        <v>1.0649250000000001E-2</v>
      </c>
      <c r="P4444">
        <v>-0.98610419999999999</v>
      </c>
      <c r="Q4444">
        <v>0.16008069999999999</v>
      </c>
      <c r="R4444">
        <v>-4.4413399999999999E-2</v>
      </c>
      <c r="S4444">
        <v>-3.0638429999999999</v>
      </c>
      <c r="T4444">
        <v>-0.11315699999999999</v>
      </c>
      <c r="U4444">
        <v>6.4773559999999994E-2</v>
      </c>
      <c r="V4444">
        <v>-5.4816049999999998E-2</v>
      </c>
      <c r="W4444">
        <v>0.1739001</v>
      </c>
      <c r="X4444">
        <v>0.98323649999999996</v>
      </c>
      <c r="Y4444">
        <v>1.0480379999999999E-2</v>
      </c>
      <c r="Z4444" s="1">
        <v>2.290095E-5</v>
      </c>
      <c r="AA4444">
        <v>0.99994510000000003</v>
      </c>
      <c r="AB4444">
        <v>41</v>
      </c>
      <c r="AC4444">
        <v>-29.797899999999899</v>
      </c>
      <c r="AD4444">
        <v>-1.1096310067649999</v>
      </c>
      <c r="AE4444">
        <v>0.63249999999999296</v>
      </c>
      <c r="AF4444">
        <v>0.31467158103099502</v>
      </c>
      <c r="AG4444">
        <v>-1.1096310067649999</v>
      </c>
      <c r="AH4444">
        <v>29.7616940218841</v>
      </c>
      <c r="AI4444">
        <v>92.135099915824995</v>
      </c>
      <c r="AJ4444">
        <v>89.394232004107806</v>
      </c>
      <c r="AK4444">
        <v>29.7840348211476</v>
      </c>
      <c r="AL4444">
        <v>79.985343212502499</v>
      </c>
      <c r="AM4444">
        <v>93.190972300496298</v>
      </c>
      <c r="AN4444">
        <v>1.0000000295249301</v>
      </c>
    </row>
    <row r="4445" spans="1:40" x14ac:dyDescent="0.25">
      <c r="A4445" t="str">
        <f>"20190304155724704"</f>
        <v>20190304155724704</v>
      </c>
      <c r="B4445" t="str">
        <f>"1551686244699516"</f>
        <v>1551686244699516</v>
      </c>
      <c r="C4445" t="s">
        <v>40</v>
      </c>
      <c r="D4445">
        <v>4.8990589999999896</v>
      </c>
      <c r="E4445">
        <v>0.5222156</v>
      </c>
      <c r="F4445" t="s">
        <v>78</v>
      </c>
      <c r="G4445">
        <v>-311.9667</v>
      </c>
      <c r="H4445" s="1">
        <v>-9.3553780000000001E-6</v>
      </c>
      <c r="I4445">
        <v>141.9846</v>
      </c>
      <c r="J4445">
        <v>-283.53539999999998</v>
      </c>
      <c r="K4445">
        <v>1.1096330000000001</v>
      </c>
      <c r="L4445">
        <v>141.41970000000001</v>
      </c>
      <c r="M4445">
        <v>-0.99984280000000003</v>
      </c>
      <c r="N4445">
        <v>-1.4053919999999999E-2</v>
      </c>
      <c r="O4445">
        <v>1.081293E-2</v>
      </c>
      <c r="P4445">
        <v>-0.98621650000000005</v>
      </c>
      <c r="Q4445">
        <v>0.15948039999999999</v>
      </c>
      <c r="R4445">
        <v>-4.4082360000000001E-2</v>
      </c>
      <c r="S4445">
        <v>-3.0641479999999999</v>
      </c>
      <c r="T4445">
        <v>-0.1179453</v>
      </c>
      <c r="U4445">
        <v>6.0516359999999998E-2</v>
      </c>
      <c r="V4445">
        <v>-5.4651280000000003E-2</v>
      </c>
      <c r="W4445">
        <v>0.173347</v>
      </c>
      <c r="X4445">
        <v>0.98334330000000003</v>
      </c>
      <c r="Y4445">
        <v>8.9271239999999998E-3</v>
      </c>
      <c r="Z4445" s="1">
        <v>-2.9569930000000002E-5</v>
      </c>
      <c r="AA4445">
        <v>0.99996010000000002</v>
      </c>
      <c r="AB4445">
        <v>41</v>
      </c>
      <c r="AC4445">
        <v>-28.4313</v>
      </c>
      <c r="AD4445">
        <v>-1.1096423553779999</v>
      </c>
      <c r="AE4445">
        <v>0.56489999999999396</v>
      </c>
      <c r="AF4445">
        <v>0.25701960400949803</v>
      </c>
      <c r="AG4445">
        <v>-1.1096423553779999</v>
      </c>
      <c r="AH4445">
        <v>28.392514391499802</v>
      </c>
      <c r="AI4445">
        <v>92.238015332557396</v>
      </c>
      <c r="AJ4445">
        <v>89.481351452993593</v>
      </c>
      <c r="AK4445">
        <v>28.415352165778501</v>
      </c>
      <c r="AL4445">
        <v>80.017521893835095</v>
      </c>
      <c r="AM4445">
        <v>93.181055560968105</v>
      </c>
      <c r="AN4445">
        <v>0.99999999523476402</v>
      </c>
    </row>
    <row r="4446" spans="1:40" x14ac:dyDescent="0.25">
      <c r="A4446" t="str">
        <f>"20190304155724726"</f>
        <v>20190304155724726</v>
      </c>
      <c r="B4446" t="str">
        <f>"1551686244719037"</f>
        <v>1551686244719037</v>
      </c>
      <c r="C4446" t="s">
        <v>40</v>
      </c>
      <c r="D4446">
        <v>4.9386419999999998</v>
      </c>
      <c r="E4446">
        <v>0.52186670000000002</v>
      </c>
      <c r="F4446" t="s">
        <v>78</v>
      </c>
      <c r="G4446">
        <v>-311.22129999999999</v>
      </c>
      <c r="H4446" s="1">
        <v>-9.6262279999999993E-6</v>
      </c>
      <c r="I4446">
        <v>141.9477</v>
      </c>
      <c r="J4446">
        <v>-283.94709999999998</v>
      </c>
      <c r="K4446">
        <v>1.1096490000000001</v>
      </c>
      <c r="L4446">
        <v>141.42429999999999</v>
      </c>
      <c r="M4446">
        <v>-0.99984050000000002</v>
      </c>
      <c r="N4446">
        <v>-1.4096249999999999E-2</v>
      </c>
      <c r="O4446">
        <v>1.096901E-2</v>
      </c>
      <c r="P4446">
        <v>-0.98630649999999997</v>
      </c>
      <c r="Q4446">
        <v>0.15901789999999999</v>
      </c>
      <c r="R4446">
        <v>-4.3737959999999999E-2</v>
      </c>
      <c r="S4446">
        <v>-3.0643919999999998</v>
      </c>
      <c r="T4446">
        <v>-0.12281980000000001</v>
      </c>
      <c r="U4446">
        <v>5.8441159999999999E-2</v>
      </c>
      <c r="V4446">
        <v>-5.4466880000000002E-2</v>
      </c>
      <c r="W4446">
        <v>0.1729252</v>
      </c>
      <c r="X4446">
        <v>0.98342779999999996</v>
      </c>
      <c r="Y4446">
        <v>8.0932409999999993E-3</v>
      </c>
      <c r="Z4446" s="1">
        <v>-6.5629730000000002E-5</v>
      </c>
      <c r="AA4446">
        <v>0.99996719999999895</v>
      </c>
      <c r="AB4446">
        <v>41</v>
      </c>
      <c r="AC4446">
        <v>-27.2742</v>
      </c>
      <c r="AD4446">
        <v>-1.1096586262279999</v>
      </c>
      <c r="AE4446">
        <v>0.52340000000000897</v>
      </c>
      <c r="AF4446">
        <v>0.22379749839031499</v>
      </c>
      <c r="AG4446">
        <v>-1.1096586262279999</v>
      </c>
      <c r="AH4446">
        <v>27.233238190349301</v>
      </c>
      <c r="AI4446">
        <v>92.3332319614574</v>
      </c>
      <c r="AJ4446">
        <v>89.529164934501594</v>
      </c>
      <c r="AK4446">
        <v>27.2567549411031</v>
      </c>
      <c r="AL4446">
        <v>80.042059894240793</v>
      </c>
      <c r="AM4446">
        <v>93.170072375357194</v>
      </c>
      <c r="AN4446">
        <v>1.0000000018124</v>
      </c>
    </row>
    <row r="4447" spans="1:40" x14ac:dyDescent="0.25">
      <c r="A4447" t="str">
        <f>"20190304155724748"</f>
        <v>20190304155724748</v>
      </c>
      <c r="B4447" t="str">
        <f>"1551686244739533"</f>
        <v>1551686244739533</v>
      </c>
      <c r="C4447" t="s">
        <v>40</v>
      </c>
      <c r="D4447">
        <v>4.941198</v>
      </c>
      <c r="E4447">
        <v>0.52130569999999998</v>
      </c>
      <c r="F4447" t="s">
        <v>78</v>
      </c>
      <c r="G4447">
        <v>-311.04610000000002</v>
      </c>
      <c r="H4447" s="1">
        <v>-9.6900819999999997E-6</v>
      </c>
      <c r="I4447">
        <v>141.92310000000001</v>
      </c>
      <c r="J4447">
        <v>-284.35210000000001</v>
      </c>
      <c r="K4447">
        <v>1.1096649999999999</v>
      </c>
      <c r="L4447">
        <v>141.4288</v>
      </c>
      <c r="M4447">
        <v>-0.99983840000000002</v>
      </c>
      <c r="N4447">
        <v>-1.413499E-2</v>
      </c>
      <c r="O4447">
        <v>1.110649E-2</v>
      </c>
      <c r="P4447">
        <v>-0.98638269999999995</v>
      </c>
      <c r="Q4447">
        <v>0.15874739999999901</v>
      </c>
      <c r="R4447">
        <v>-4.29948E-2</v>
      </c>
      <c r="S4447">
        <v>-3.0643919999999998</v>
      </c>
      <c r="T4447">
        <v>-0.1254818</v>
      </c>
      <c r="U4447">
        <v>5.6411740000000002E-2</v>
      </c>
      <c r="V4447">
        <v>-5.3866989999999997E-2</v>
      </c>
      <c r="W4447">
        <v>0.17269179999999901</v>
      </c>
      <c r="X4447">
        <v>0.98350190000000004</v>
      </c>
      <c r="Y4447">
        <v>7.2945830000000003E-3</v>
      </c>
      <c r="Z4447" s="1">
        <v>-9.6731079999999998E-5</v>
      </c>
      <c r="AA4447">
        <v>0.99997340000000001</v>
      </c>
      <c r="AB4447">
        <v>41</v>
      </c>
      <c r="AC4447">
        <v>-26.693999999999999</v>
      </c>
      <c r="AD4447">
        <v>-1.10967469008199</v>
      </c>
      <c r="AE4447">
        <v>0.49430000000000901</v>
      </c>
      <c r="AF4447">
        <v>0.197422191986863</v>
      </c>
      <c r="AG4447">
        <v>-1.10967469008199</v>
      </c>
      <c r="AH4447">
        <v>26.651803016660399</v>
      </c>
      <c r="AI4447">
        <v>92.384125141543805</v>
      </c>
      <c r="AJ4447">
        <v>89.575591508971101</v>
      </c>
      <c r="AK4447">
        <v>26.675624781409802</v>
      </c>
      <c r="AL4447">
        <v>80.055637463130495</v>
      </c>
      <c r="AM4447">
        <v>93.134991971320005</v>
      </c>
      <c r="AN4447">
        <v>1.0000000488512499</v>
      </c>
    </row>
    <row r="4448" spans="1:40" x14ac:dyDescent="0.25">
      <c r="A4448" t="str">
        <f>"20190304155724770"</f>
        <v>20190304155724770</v>
      </c>
      <c r="B4448" t="str">
        <f>"1551686244759561"</f>
        <v>1551686244759561</v>
      </c>
      <c r="C4448" t="s">
        <v>40</v>
      </c>
      <c r="D4448">
        <v>4.9304430000000004</v>
      </c>
      <c r="E4448">
        <v>0.52089659999999904</v>
      </c>
      <c r="F4448" t="s">
        <v>78</v>
      </c>
      <c r="G4448">
        <v>-310.91890000000001</v>
      </c>
      <c r="H4448" s="1">
        <v>-9.7384050000000001E-6</v>
      </c>
      <c r="I4448">
        <v>141.89609999999999</v>
      </c>
      <c r="J4448">
        <v>-284.755</v>
      </c>
      <c r="K4448">
        <v>1.1096870000000001</v>
      </c>
      <c r="L4448">
        <v>141.43340000000001</v>
      </c>
      <c r="M4448">
        <v>-0.99983659999999996</v>
      </c>
      <c r="N4448">
        <v>-1.417559E-2</v>
      </c>
      <c r="O4448">
        <v>1.1225260000000001E-2</v>
      </c>
      <c r="P4448">
        <v>-0.98648409999999997</v>
      </c>
      <c r="Q4448">
        <v>0.15827840000000001</v>
      </c>
      <c r="R4448">
        <v>-4.2395019999999999E-2</v>
      </c>
      <c r="S4448">
        <v>-3.064362</v>
      </c>
      <c r="T4448">
        <v>-0.127996</v>
      </c>
      <c r="U4448">
        <v>5.3894039999999997E-2</v>
      </c>
      <c r="V4448">
        <v>-5.3392250000000002E-2</v>
      </c>
      <c r="W4448">
        <v>0.172262</v>
      </c>
      <c r="X4448">
        <v>0.98360309999999995</v>
      </c>
      <c r="Y4448">
        <v>6.355734E-3</v>
      </c>
      <c r="Z4448">
        <v>-1.317805E-4</v>
      </c>
      <c r="AA4448">
        <v>0.99997979999999997</v>
      </c>
      <c r="AB4448">
        <v>41</v>
      </c>
      <c r="AC4448">
        <v>-26.163900000000002</v>
      </c>
      <c r="AD4448">
        <v>-1.109696738405</v>
      </c>
      <c r="AE4448">
        <v>0.46269999999998301</v>
      </c>
      <c r="AF4448">
        <v>0.16864150280933499</v>
      </c>
      <c r="AG4448">
        <v>-1.109696738405</v>
      </c>
      <c r="AH4448">
        <v>26.1204725925719</v>
      </c>
      <c r="AI4448">
        <v>92.432628515630697</v>
      </c>
      <c r="AJ4448">
        <v>89.630086627447497</v>
      </c>
      <c r="AK4448">
        <v>26.14457793247</v>
      </c>
      <c r="AL4448">
        <v>80.080637302010103</v>
      </c>
      <c r="AM4448">
        <v>93.107097993257497</v>
      </c>
      <c r="AN4448">
        <v>0.99999999366683601</v>
      </c>
    </row>
    <row r="4449" spans="1:40" x14ac:dyDescent="0.25">
      <c r="A4449" t="str">
        <f>"20190304155724783"</f>
        <v>20190304155724783</v>
      </c>
      <c r="B4449" t="str">
        <f>"1551686244779082"</f>
        <v>1551686244779082</v>
      </c>
      <c r="C4449" t="s">
        <v>40</v>
      </c>
      <c r="D4449">
        <v>4.947749</v>
      </c>
      <c r="E4449">
        <v>0.52051340000000001</v>
      </c>
      <c r="F4449" t="s">
        <v>78</v>
      </c>
      <c r="G4449">
        <v>-310.81040000000002</v>
      </c>
      <c r="H4449" s="1">
        <v>-9.7805310000000004E-6</v>
      </c>
      <c r="I4449">
        <v>141.8759</v>
      </c>
      <c r="J4449">
        <v>-285.02019999999999</v>
      </c>
      <c r="K4449">
        <v>1.109702</v>
      </c>
      <c r="L4449">
        <v>141.4365</v>
      </c>
      <c r="M4449">
        <v>-0.99983529999999998</v>
      </c>
      <c r="N4449">
        <v>-1.420541E-2</v>
      </c>
      <c r="O4449">
        <v>1.129191E-2</v>
      </c>
      <c r="P4449">
        <v>-0.98653329999999995</v>
      </c>
      <c r="Q4449">
        <v>0.15803919999999999</v>
      </c>
      <c r="R4449">
        <v>-4.2136380000000001E-2</v>
      </c>
      <c r="S4449">
        <v>-3.06427</v>
      </c>
      <c r="T4449">
        <v>-0.13050680000000001</v>
      </c>
      <c r="U4449">
        <v>5.2032469999999997E-2</v>
      </c>
      <c r="V4449">
        <v>-5.3204290000000001E-2</v>
      </c>
      <c r="W4449">
        <v>0.17205109999999901</v>
      </c>
      <c r="X4449">
        <v>0.98365020000000003</v>
      </c>
      <c r="Y4449">
        <v>5.6831E-3</v>
      </c>
      <c r="Z4449">
        <v>-1.589359E-4</v>
      </c>
      <c r="AA4449">
        <v>0.99998379999999998</v>
      </c>
      <c r="AB4449">
        <v>41</v>
      </c>
      <c r="AC4449">
        <v>-25.790199999999999</v>
      </c>
      <c r="AD4449">
        <v>-1.1097117805309999</v>
      </c>
      <c r="AE4449">
        <v>0.43940000000000601</v>
      </c>
      <c r="AF4449">
        <v>0.14784831097989601</v>
      </c>
      <c r="AG4449">
        <v>-1.1097117805309999</v>
      </c>
      <c r="AH4449">
        <v>25.745864326707402</v>
      </c>
      <c r="AI4449">
        <v>92.468024511982904</v>
      </c>
      <c r="AJ4449">
        <v>89.670976627421396</v>
      </c>
      <c r="AK4449">
        <v>25.7701930394038</v>
      </c>
      <c r="AL4449">
        <v>80.092904161219096</v>
      </c>
      <c r="AM4449">
        <v>93.096033239811106</v>
      </c>
      <c r="AN4449">
        <v>0.99999999672282702</v>
      </c>
    </row>
    <row r="4450" spans="1:40" x14ac:dyDescent="0.25">
      <c r="A4450" t="str">
        <f>"20190304155724796"</f>
        <v>20190304155724796</v>
      </c>
      <c r="B4450" t="str">
        <f>"1551686244788842"</f>
        <v>1551686244788842</v>
      </c>
      <c r="C4450" t="s">
        <v>40</v>
      </c>
      <c r="D4450">
        <v>4.9622519999999897</v>
      </c>
      <c r="E4450">
        <v>0.52037440000000001</v>
      </c>
      <c r="F4450" t="s">
        <v>78</v>
      </c>
      <c r="G4450">
        <v>-310.82100000000003</v>
      </c>
      <c r="H4450" s="1">
        <v>-9.769308E-6</v>
      </c>
      <c r="I4450">
        <v>141.85390000000001</v>
      </c>
      <c r="J4450">
        <v>-285.24970000000002</v>
      </c>
      <c r="K4450">
        <v>1.1097159999999999</v>
      </c>
      <c r="L4450">
        <v>141.4391</v>
      </c>
      <c r="M4450">
        <v>-0.99983449999999996</v>
      </c>
      <c r="N4450">
        <v>-1.42317E-2</v>
      </c>
      <c r="O4450">
        <v>1.134491E-2</v>
      </c>
      <c r="P4450">
        <v>-0.986572</v>
      </c>
      <c r="Q4450">
        <v>0.15788820000000001</v>
      </c>
      <c r="R4450">
        <v>-4.180147E-2</v>
      </c>
      <c r="S4450">
        <v>-3.064209</v>
      </c>
      <c r="T4450">
        <v>-0.1317941</v>
      </c>
      <c r="U4450">
        <v>4.9575809999999998E-2</v>
      </c>
      <c r="V4450">
        <v>-5.2926380000000002E-2</v>
      </c>
      <c r="W4450">
        <v>0.1719252</v>
      </c>
      <c r="X4450">
        <v>0.98368719999999998</v>
      </c>
      <c r="Y4450">
        <v>4.8300069999999999E-3</v>
      </c>
      <c r="Z4450">
        <v>-1.880548E-4</v>
      </c>
      <c r="AA4450">
        <v>0.99998830000000005</v>
      </c>
      <c r="AB4450">
        <v>41</v>
      </c>
      <c r="AC4450">
        <v>-25.571299999999901</v>
      </c>
      <c r="AD4450">
        <v>-1.1097257693079901</v>
      </c>
      <c r="AE4450">
        <v>0.41480000000001299</v>
      </c>
      <c r="AF4450">
        <v>0.12440562449980599</v>
      </c>
      <c r="AG4450">
        <v>-1.1097257693079901</v>
      </c>
      <c r="AH4450">
        <v>25.526298636005901</v>
      </c>
      <c r="AI4450">
        <v>92.489269561475993</v>
      </c>
      <c r="AJ4450">
        <v>89.720764028528507</v>
      </c>
      <c r="AK4450">
        <v>25.550712125047099</v>
      </c>
      <c r="AL4450">
        <v>80.100226765080393</v>
      </c>
      <c r="AM4450">
        <v>93.079776855557299</v>
      </c>
      <c r="AN4450">
        <v>0.99999999176939203</v>
      </c>
    </row>
    <row r="4451" spans="1:40" x14ac:dyDescent="0.25">
      <c r="A4451" t="str">
        <f>"20190304155724816"</f>
        <v>20190304155724816</v>
      </c>
      <c r="B4451" t="str">
        <f>"1551686244809337"</f>
        <v>1551686244809337</v>
      </c>
      <c r="C4451" t="s">
        <v>40</v>
      </c>
      <c r="D4451">
        <v>4.9601569999999997</v>
      </c>
      <c r="E4451">
        <v>0.52011479999999999</v>
      </c>
      <c r="F4451" t="s">
        <v>78</v>
      </c>
      <c r="G4451">
        <v>-310.88229999999999</v>
      </c>
      <c r="H4451" s="1">
        <v>-9.7420629999999999E-6</v>
      </c>
      <c r="I4451">
        <v>141.8537</v>
      </c>
      <c r="J4451">
        <v>-285.5949</v>
      </c>
      <c r="K4451">
        <v>1.1097399999999999</v>
      </c>
      <c r="L4451">
        <v>141.44309999999999</v>
      </c>
      <c r="M4451">
        <v>-0.99983299999999997</v>
      </c>
      <c r="N4451">
        <v>-1.427222E-2</v>
      </c>
      <c r="O4451">
        <v>1.141646E-2</v>
      </c>
      <c r="P4451">
        <v>-0.98662260000000002</v>
      </c>
      <c r="Q4451">
        <v>0.15764049999999999</v>
      </c>
      <c r="R4451">
        <v>-4.1538829999999999E-2</v>
      </c>
      <c r="S4451">
        <v>-3.0641479999999999</v>
      </c>
      <c r="T4451">
        <v>-0.1326579</v>
      </c>
      <c r="U4451">
        <v>4.9560550000000002E-2</v>
      </c>
      <c r="V4451">
        <v>-5.2740700000000001E-2</v>
      </c>
      <c r="W4451">
        <v>0.1717167</v>
      </c>
      <c r="X4451">
        <v>0.98373359999999999</v>
      </c>
      <c r="Y4451">
        <v>4.7539180000000002E-3</v>
      </c>
      <c r="Z4451">
        <v>-1.942832E-4</v>
      </c>
      <c r="AA4451">
        <v>0.99998869999999895</v>
      </c>
      <c r="AB4451">
        <v>41</v>
      </c>
      <c r="AC4451">
        <v>-25.287399999999899</v>
      </c>
      <c r="AD4451">
        <v>-1.109749742063</v>
      </c>
      <c r="AE4451">
        <v>0.41060000000001601</v>
      </c>
      <c r="AF4451">
        <v>0.121617081588931</v>
      </c>
      <c r="AG4451">
        <v>-1.109749742063</v>
      </c>
      <c r="AH4451">
        <v>25.2418384226862</v>
      </c>
      <c r="AI4451">
        <v>92.517341221382395</v>
      </c>
      <c r="AJ4451">
        <v>89.723946748384606</v>
      </c>
      <c r="AK4451">
        <v>25.266514246360501</v>
      </c>
      <c r="AL4451">
        <v>80.112353371878001</v>
      </c>
      <c r="AM4451">
        <v>93.068848380311394</v>
      </c>
      <c r="AN4451">
        <v>1.0000000011321699</v>
      </c>
    </row>
    <row r="4452" spans="1:40" x14ac:dyDescent="0.25">
      <c r="A4452" t="str">
        <f>"20190304155724838"</f>
        <v>20190304155724838</v>
      </c>
      <c r="B4452" t="str">
        <f>"1551686244828857"</f>
        <v>1551686244828857</v>
      </c>
      <c r="C4452" t="s">
        <v>40</v>
      </c>
      <c r="D4452">
        <v>4.9472420000000001</v>
      </c>
      <c r="E4452">
        <v>0.51982450000000002</v>
      </c>
      <c r="F4452" t="s">
        <v>78</v>
      </c>
      <c r="G4452">
        <v>-310.9941</v>
      </c>
      <c r="H4452" s="1">
        <v>-9.6891830000000005E-6</v>
      </c>
      <c r="I4452">
        <v>141.84270000000001</v>
      </c>
      <c r="J4452">
        <v>-286.00630000000001</v>
      </c>
      <c r="K4452">
        <v>1.109766</v>
      </c>
      <c r="L4452">
        <v>141.4478</v>
      </c>
      <c r="M4452">
        <v>-0.99983149999999998</v>
      </c>
      <c r="N4452">
        <v>-1.432142E-2</v>
      </c>
      <c r="O4452">
        <v>1.148894E-2</v>
      </c>
      <c r="P4452">
        <v>-0.986676</v>
      </c>
      <c r="Q4452">
        <v>0.1573696</v>
      </c>
      <c r="R4452">
        <v>-4.129671E-2</v>
      </c>
      <c r="S4452">
        <v>-3.0640869999999998</v>
      </c>
      <c r="T4452">
        <v>-0.1338772</v>
      </c>
      <c r="U4452">
        <v>4.8202509999999997E-2</v>
      </c>
      <c r="V4452">
        <v>-5.2576730000000002E-2</v>
      </c>
      <c r="W4452">
        <v>0.17149310000000001</v>
      </c>
      <c r="X4452">
        <v>0.98378140000000003</v>
      </c>
      <c r="Y4452">
        <v>4.2393480000000004E-3</v>
      </c>
      <c r="Z4452">
        <v>-2.142558E-4</v>
      </c>
      <c r="AA4452">
        <v>0.99999099999999996</v>
      </c>
      <c r="AB4452">
        <v>41</v>
      </c>
      <c r="AC4452">
        <v>-24.9878</v>
      </c>
      <c r="AD4452">
        <v>-1.109775689183</v>
      </c>
      <c r="AE4452">
        <v>0.39490000000000602</v>
      </c>
      <c r="AF4452">
        <v>0.107549082897396</v>
      </c>
      <c r="AG4452">
        <v>-1.109775689183</v>
      </c>
      <c r="AH4452">
        <v>24.9415033812089</v>
      </c>
      <c r="AI4452">
        <v>92.547679644354403</v>
      </c>
      <c r="AJ4452">
        <v>89.752939096956993</v>
      </c>
      <c r="AK4452">
        <v>24.966412633784401</v>
      </c>
      <c r="AL4452">
        <v>80.125357797594603</v>
      </c>
      <c r="AM4452">
        <v>93.059177167583002</v>
      </c>
      <c r="AN4452">
        <v>1.0000000194355301</v>
      </c>
    </row>
    <row r="4453" spans="1:40" x14ac:dyDescent="0.25">
      <c r="A4453" t="str">
        <f>"20190304155724860"</f>
        <v>20190304155724860</v>
      </c>
      <c r="B4453" t="str">
        <f>"1551686244848885"</f>
        <v>1551686244848885</v>
      </c>
      <c r="C4453" t="s">
        <v>40</v>
      </c>
      <c r="D4453">
        <v>4.9758170000000002</v>
      </c>
      <c r="E4453">
        <v>0.51957299999999995</v>
      </c>
      <c r="F4453" t="s">
        <v>78</v>
      </c>
      <c r="G4453">
        <v>-311.08429999999998</v>
      </c>
      <c r="H4453" s="1">
        <v>-9.6465119999999994E-6</v>
      </c>
      <c r="I4453">
        <v>141.82910000000001</v>
      </c>
      <c r="J4453">
        <v>-286.4221</v>
      </c>
      <c r="K4453">
        <v>1.109788</v>
      </c>
      <c r="L4453">
        <v>141.45269999999999</v>
      </c>
      <c r="M4453">
        <v>-0.99983010000000005</v>
      </c>
      <c r="N4453">
        <v>-1.437159E-2</v>
      </c>
      <c r="O4453">
        <v>1.155137E-2</v>
      </c>
      <c r="P4453">
        <v>-0.98667099999999996</v>
      </c>
      <c r="Q4453">
        <v>0.15736259999999999</v>
      </c>
      <c r="R4453">
        <v>-4.1444040000000001E-2</v>
      </c>
      <c r="S4453">
        <v>-3.0640559999999999</v>
      </c>
      <c r="T4453">
        <v>-0.1355933</v>
      </c>
      <c r="U4453">
        <v>4.6585080000000001E-2</v>
      </c>
      <c r="V4453">
        <v>-5.2791209999999998E-2</v>
      </c>
      <c r="W4453">
        <v>0.17153350000000001</v>
      </c>
      <c r="X4453">
        <v>0.9837629</v>
      </c>
      <c r="Y4453">
        <v>3.6501509999999999E-3</v>
      </c>
      <c r="Z4453">
        <v>-2.3795009999999999E-4</v>
      </c>
      <c r="AA4453">
        <v>0.99999329999999997</v>
      </c>
      <c r="AB4453">
        <v>41</v>
      </c>
      <c r="AC4453">
        <v>-24.662199999999899</v>
      </c>
      <c r="AD4453">
        <v>-1.1097976465119901</v>
      </c>
      <c r="AE4453">
        <v>0.376400000000018</v>
      </c>
      <c r="AF4453">
        <v>9.1278493589225101E-2</v>
      </c>
      <c r="AG4453">
        <v>-1.1097976465119901</v>
      </c>
      <c r="AH4453">
        <v>24.6150688152706</v>
      </c>
      <c r="AI4453">
        <v>92.5814777303966</v>
      </c>
      <c r="AJ4453">
        <v>89.787534680061199</v>
      </c>
      <c r="AK4453">
        <v>24.640243411137501</v>
      </c>
      <c r="AL4453">
        <v>80.123008521231796</v>
      </c>
      <c r="AM4453">
        <v>93.071690490437803</v>
      </c>
      <c r="AN4453">
        <v>1.0000000484459599</v>
      </c>
    </row>
    <row r="4454" spans="1:40" x14ac:dyDescent="0.25">
      <c r="A4454" t="str">
        <f>"20190304155724882"</f>
        <v>20190304155724882</v>
      </c>
      <c r="B4454" t="str">
        <f>"1551686244879141"</f>
        <v>1551686244879141</v>
      </c>
      <c r="C4454" t="s">
        <v>40</v>
      </c>
      <c r="D4454">
        <v>4.9523279999999996</v>
      </c>
      <c r="E4454">
        <v>0.51949820000000002</v>
      </c>
      <c r="F4454" t="s">
        <v>78</v>
      </c>
      <c r="G4454">
        <v>-311.48230000000001</v>
      </c>
      <c r="H4454" s="1">
        <v>-9.4926180000000005E-6</v>
      </c>
      <c r="I4454">
        <v>141.81370000000001</v>
      </c>
      <c r="J4454">
        <v>-286.80220000000003</v>
      </c>
      <c r="K4454">
        <v>1.1098079999999999</v>
      </c>
      <c r="L4454">
        <v>141.4571</v>
      </c>
      <c r="M4454">
        <v>-0.99982879999999996</v>
      </c>
      <c r="N4454">
        <v>-1.4419919999999999E-2</v>
      </c>
      <c r="O4454">
        <v>1.160164E-2</v>
      </c>
      <c r="P4454">
        <v>-0.98666039999999999</v>
      </c>
      <c r="Q4454">
        <v>0.15745439999999999</v>
      </c>
      <c r="R4454">
        <v>-4.1347950000000001E-2</v>
      </c>
      <c r="S4454">
        <v>-3.0639949999999998</v>
      </c>
      <c r="T4454">
        <v>-0.1356897</v>
      </c>
      <c r="U4454">
        <v>4.4143679999999998E-2</v>
      </c>
      <c r="V4454">
        <v>-5.2748169999999997E-2</v>
      </c>
      <c r="W4454">
        <v>0.17167160000000001</v>
      </c>
      <c r="X4454">
        <v>0.98374099999999998</v>
      </c>
      <c r="Y4454">
        <v>2.8046429999999999E-3</v>
      </c>
      <c r="Z4454">
        <v>-2.63933E-4</v>
      </c>
      <c r="AA4454">
        <v>0.999996</v>
      </c>
      <c r="AB4454">
        <v>41</v>
      </c>
      <c r="AC4454">
        <v>-24.6800999999999</v>
      </c>
      <c r="AD4454">
        <v>-1.109817492618</v>
      </c>
      <c r="AE4454">
        <v>0.35660000000001402</v>
      </c>
      <c r="AF4454">
        <v>7.0074938506732798E-2</v>
      </c>
      <c r="AG4454">
        <v>-1.109817492618</v>
      </c>
      <c r="AH4454">
        <v>24.632775922303601</v>
      </c>
      <c r="AI4454">
        <v>92.579677916323604</v>
      </c>
      <c r="AJ4454">
        <v>89.8370062956796</v>
      </c>
      <c r="AK4454">
        <v>24.657863958630902</v>
      </c>
      <c r="AL4454">
        <v>80.114975665746897</v>
      </c>
      <c r="AM4454">
        <v>93.069259165834794</v>
      </c>
      <c r="AN4454">
        <v>0.99999993138295196</v>
      </c>
    </row>
    <row r="4455" spans="1:40" x14ac:dyDescent="0.25">
      <c r="A4455" t="str">
        <f>"20190304155724895"</f>
        <v>20190304155724895</v>
      </c>
      <c r="B4455" t="str">
        <f>"1551686244888901"</f>
        <v>1551686244888901</v>
      </c>
      <c r="C4455" t="s">
        <v>40</v>
      </c>
      <c r="D4455">
        <v>4.9165320000000001</v>
      </c>
      <c r="E4455">
        <v>0.51949820000000002</v>
      </c>
      <c r="F4455" t="s">
        <v>78</v>
      </c>
      <c r="G4455">
        <v>-311.76569999999998</v>
      </c>
      <c r="H4455" s="1">
        <v>-9.3859180000000003E-6</v>
      </c>
      <c r="I4455">
        <v>141.81360000000001</v>
      </c>
      <c r="J4455">
        <v>-287.05630000000002</v>
      </c>
      <c r="K4455">
        <v>1.10982</v>
      </c>
      <c r="L4455">
        <v>141.46010000000001</v>
      </c>
      <c r="M4455">
        <v>-0.99982789999999999</v>
      </c>
      <c r="N4455">
        <v>-1.44534E-2</v>
      </c>
      <c r="O4455">
        <v>1.163266E-2</v>
      </c>
      <c r="P4455">
        <v>-0.98664289999999999</v>
      </c>
      <c r="Q4455">
        <v>0.1575365</v>
      </c>
      <c r="R4455">
        <v>-4.144859E-2</v>
      </c>
      <c r="S4455">
        <v>-3.0641479999999999</v>
      </c>
      <c r="T4455">
        <v>-0.1362245</v>
      </c>
      <c r="U4455">
        <v>4.3762210000000003E-2</v>
      </c>
      <c r="V4455">
        <v>-5.2881709999999998E-2</v>
      </c>
      <c r="W4455">
        <v>0.17178570000000001</v>
      </c>
      <c r="X4455">
        <v>0.98371399999999998</v>
      </c>
      <c r="Y4455">
        <v>2.6486679999999999E-3</v>
      </c>
      <c r="Z4455">
        <v>-2.7077619999999998E-4</v>
      </c>
      <c r="AA4455">
        <v>0.99999649999999995</v>
      </c>
      <c r="AB4455">
        <v>41</v>
      </c>
      <c r="AC4455">
        <v>-24.709399999999899</v>
      </c>
      <c r="AD4455">
        <v>-1.109829385918</v>
      </c>
      <c r="AE4455">
        <v>0.35349999999999598</v>
      </c>
      <c r="AF4455">
        <v>6.5877135033477696E-2</v>
      </c>
      <c r="AG4455">
        <v>-1.109829385918</v>
      </c>
      <c r="AH4455">
        <v>24.662097666626</v>
      </c>
      <c r="AI4455">
        <v>92.576643777914299</v>
      </c>
      <c r="AJ4455">
        <v>89.846952482404404</v>
      </c>
      <c r="AK4455">
        <v>24.687144881110999</v>
      </c>
      <c r="AL4455">
        <v>80.108340498136002</v>
      </c>
      <c r="AM4455">
        <v>93.077098840963501</v>
      </c>
      <c r="AN4455">
        <v>1.0000000178865001</v>
      </c>
    </row>
    <row r="4456" spans="1:40" x14ac:dyDescent="0.25">
      <c r="A4456" t="str">
        <f>"20190304155724915"</f>
        <v>20190304155724915</v>
      </c>
      <c r="B4456" t="str">
        <f>"1551686244909398"</f>
        <v>1551686244909398</v>
      </c>
      <c r="C4456" t="s">
        <v>40</v>
      </c>
      <c r="D4456">
        <v>4.8857350000000004</v>
      </c>
      <c r="E4456">
        <v>0.54275660000000003</v>
      </c>
      <c r="F4456" t="s">
        <v>78</v>
      </c>
      <c r="G4456">
        <v>-312.0573</v>
      </c>
      <c r="H4456" s="1">
        <v>-9.2759190000000007E-6</v>
      </c>
      <c r="I4456">
        <v>141.81270000000001</v>
      </c>
      <c r="J4456">
        <v>-287.41539999999998</v>
      </c>
      <c r="K4456">
        <v>1.109836</v>
      </c>
      <c r="L4456">
        <v>141.46430000000001</v>
      </c>
      <c r="M4456">
        <v>-0.99982669999999996</v>
      </c>
      <c r="N4456">
        <v>-1.4501500000000001E-2</v>
      </c>
      <c r="O4456">
        <v>1.1673920000000001E-2</v>
      </c>
      <c r="P4456">
        <v>-0.98664039999999997</v>
      </c>
      <c r="Q4456">
        <v>0.15755930000000001</v>
      </c>
      <c r="R4456">
        <v>-4.1419480000000002E-2</v>
      </c>
      <c r="S4456">
        <v>-3.0641479999999999</v>
      </c>
      <c r="T4456">
        <v>-0.13602229999999901</v>
      </c>
      <c r="U4456">
        <v>4.3212889999999997E-2</v>
      </c>
      <c r="V4456">
        <v>-5.2895619999999997E-2</v>
      </c>
      <c r="W4456">
        <v>0.17185520000000001</v>
      </c>
      <c r="X4456">
        <v>0.98370109999999999</v>
      </c>
      <c r="Y4456">
        <v>2.428426E-3</v>
      </c>
      <c r="Z4456">
        <v>-2.7719060000000001E-4</v>
      </c>
      <c r="AA4456">
        <v>0.99999700000000002</v>
      </c>
      <c r="AB4456">
        <v>41</v>
      </c>
      <c r="AC4456">
        <v>-24.6419</v>
      </c>
      <c r="AD4456">
        <v>-1.1098452759190001</v>
      </c>
      <c r="AE4456">
        <v>0.34839999999999799</v>
      </c>
      <c r="AF4456">
        <v>6.0555620442756197E-2</v>
      </c>
      <c r="AG4456">
        <v>-1.1098452759190001</v>
      </c>
      <c r="AH4456">
        <v>24.594408150658399</v>
      </c>
      <c r="AI4456">
        <v>92.583764029174802</v>
      </c>
      <c r="AJ4456">
        <v>89.858928320423701</v>
      </c>
      <c r="AK4456">
        <v>24.619511282737101</v>
      </c>
      <c r="AL4456">
        <v>80.104298201324397</v>
      </c>
      <c r="AM4456">
        <v>93.077946969936306</v>
      </c>
      <c r="AN4456">
        <v>1.00000000526171</v>
      </c>
    </row>
    <row r="4457" spans="1:40" x14ac:dyDescent="0.25">
      <c r="A4457" t="str">
        <f>"20190304155724927"</f>
        <v>20190304155724927</v>
      </c>
      <c r="B4457" t="str">
        <f>"1551686244919157"</f>
        <v>1551686244919157</v>
      </c>
      <c r="C4457" t="s">
        <v>40</v>
      </c>
      <c r="D4457">
        <v>4.894603</v>
      </c>
      <c r="E4457">
        <v>0.54301880000000002</v>
      </c>
      <c r="F4457" t="s">
        <v>41</v>
      </c>
      <c r="G4457">
        <v>-360.9264</v>
      </c>
      <c r="H4457" s="1">
        <v>-5.2560540000000004E-6</v>
      </c>
      <c r="I4457">
        <v>146.91839999999999</v>
      </c>
      <c r="J4457">
        <v>-287.66180000000003</v>
      </c>
      <c r="K4457">
        <v>1.1098429999999999</v>
      </c>
      <c r="L4457">
        <v>141.46729999999999</v>
      </c>
      <c r="M4457">
        <v>-0.99982599999999999</v>
      </c>
      <c r="N4457">
        <v>-1.453512E-2</v>
      </c>
      <c r="O4457">
        <v>1.170097E-2</v>
      </c>
      <c r="P4457">
        <v>-0.98665049999999999</v>
      </c>
      <c r="Q4457">
        <v>0.15746879999999999</v>
      </c>
      <c r="R4457">
        <v>-4.1530299999999999E-2</v>
      </c>
      <c r="S4457">
        <v>-3.0575260000000002</v>
      </c>
      <c r="T4457">
        <v>-4.616141E-2</v>
      </c>
      <c r="U4457">
        <v>0.22685240000000001</v>
      </c>
      <c r="V4457">
        <v>-5.3034989999999997E-2</v>
      </c>
      <c r="W4457">
        <v>0.17179749999999999</v>
      </c>
      <c r="X4457">
        <v>0.98370369999999996</v>
      </c>
      <c r="Y4457">
        <v>6.2302299999999998E-2</v>
      </c>
      <c r="Z4457">
        <v>9.1660730000000005E-4</v>
      </c>
      <c r="AA4457">
        <v>0.99805690000000002</v>
      </c>
      <c r="AB4457">
        <v>41</v>
      </c>
      <c r="AC4457">
        <v>-73.264599999999902</v>
      </c>
      <c r="AD4457">
        <v>-1.1098482560539999</v>
      </c>
      <c r="AE4457">
        <v>5.4510999999999896</v>
      </c>
      <c r="AF4457">
        <v>4.59232134928543</v>
      </c>
      <c r="AG4457">
        <v>-1.1098482560539999</v>
      </c>
      <c r="AH4457">
        <v>73.306643667203204</v>
      </c>
      <c r="AI4457">
        <v>90.865683893967798</v>
      </c>
      <c r="AJ4457">
        <v>86.415369384925995</v>
      </c>
      <c r="AK4457">
        <v>73.458731164354305</v>
      </c>
      <c r="AL4457">
        <v>80.107654328901106</v>
      </c>
      <c r="AM4457">
        <v>93.086032984731801</v>
      </c>
      <c r="AN4457">
        <v>1.0000000302821099</v>
      </c>
    </row>
    <row r="4458" spans="1:40" x14ac:dyDescent="0.25">
      <c r="A4458" t="str">
        <f>"20190304155724942"</f>
        <v>20190304155724942</v>
      </c>
      <c r="B4458" t="str">
        <f>"1551686244939653"</f>
        <v>1551686244939653</v>
      </c>
      <c r="C4458" t="s">
        <v>40</v>
      </c>
      <c r="D4458">
        <v>4.8993690000000001</v>
      </c>
      <c r="E4458">
        <v>0.54353909999999905</v>
      </c>
      <c r="F4458" t="s">
        <v>41</v>
      </c>
      <c r="G4458">
        <v>-367.70870000000002</v>
      </c>
      <c r="H4458" s="1">
        <v>-3.0420159999999999E-6</v>
      </c>
      <c r="I4458">
        <v>147.44839999999999</v>
      </c>
      <c r="J4458">
        <v>-287.9196</v>
      </c>
      <c r="K4458">
        <v>1.1098509999999999</v>
      </c>
      <c r="L4458">
        <v>141.47030000000001</v>
      </c>
      <c r="M4458">
        <v>-0.99982519999999997</v>
      </c>
      <c r="N4458">
        <v>-1.4569810000000001E-2</v>
      </c>
      <c r="O4458">
        <v>1.1729440000000001E-2</v>
      </c>
      <c r="P4458">
        <v>-0.98665290000000005</v>
      </c>
      <c r="Q4458">
        <v>0.15747079999999999</v>
      </c>
      <c r="R4458">
        <v>-4.146188E-2</v>
      </c>
      <c r="S4458">
        <v>-3.0569760000000001</v>
      </c>
      <c r="T4458">
        <v>-4.2384860000000003E-2</v>
      </c>
      <c r="U4458">
        <v>0.22842409999999999</v>
      </c>
      <c r="V4458">
        <v>-5.2995729999999998E-2</v>
      </c>
      <c r="W4458">
        <v>0.17183319999999999</v>
      </c>
      <c r="X4458">
        <v>0.98369960000000001</v>
      </c>
      <c r="Y4458">
        <v>6.2798969999999996E-2</v>
      </c>
      <c r="Z4458">
        <v>9.0123169999999997E-4</v>
      </c>
      <c r="AA4458">
        <v>0.99802579999999996</v>
      </c>
      <c r="AB4458">
        <v>41</v>
      </c>
      <c r="AC4458">
        <v>-79.789100000000005</v>
      </c>
      <c r="AD4458">
        <v>-1.1098540420159999</v>
      </c>
      <c r="AE4458">
        <v>5.97809999999998</v>
      </c>
      <c r="AF4458">
        <v>5.04073813358014</v>
      </c>
      <c r="AG4458">
        <v>-1.1098540420159999</v>
      </c>
      <c r="AH4458">
        <v>79.8383759623906</v>
      </c>
      <c r="AI4458">
        <v>90.794849785609799</v>
      </c>
      <c r="AJ4458">
        <v>86.387324117628097</v>
      </c>
      <c r="AK4458">
        <v>80.005044173713998</v>
      </c>
      <c r="AL4458">
        <v>80.105578185164902</v>
      </c>
      <c r="AM4458">
        <v>93.083765738343999</v>
      </c>
      <c r="AN4458">
        <v>1.0000000495303101</v>
      </c>
    </row>
    <row r="4459" spans="1:40" x14ac:dyDescent="0.25">
      <c r="A4459" t="str">
        <f>"20190304155724959"</f>
        <v>20190304155724959</v>
      </c>
      <c r="B4459" t="str">
        <f>"1551686244949413"</f>
        <v>1551686244949413</v>
      </c>
      <c r="C4459" t="s">
        <v>40</v>
      </c>
      <c r="D4459">
        <v>4.8807580000000002</v>
      </c>
      <c r="E4459">
        <v>0.5436685</v>
      </c>
      <c r="F4459" t="s">
        <v>41</v>
      </c>
      <c r="G4459">
        <v>-366.44639999999998</v>
      </c>
      <c r="H4459" s="1">
        <v>-3.4716369999999999E-6</v>
      </c>
      <c r="I4459">
        <v>147.4487</v>
      </c>
      <c r="J4459">
        <v>-288.21890000000002</v>
      </c>
      <c r="K4459">
        <v>1.1098619999999999</v>
      </c>
      <c r="L4459">
        <v>141.47380000000001</v>
      </c>
      <c r="M4459">
        <v>-0.99982409999999999</v>
      </c>
      <c r="N4459">
        <v>-1.460885E-2</v>
      </c>
      <c r="O4459">
        <v>1.1762470000000001E-2</v>
      </c>
      <c r="P4459">
        <v>-0.98670829999999998</v>
      </c>
      <c r="Q4459">
        <v>0.15709020000000001</v>
      </c>
      <c r="R4459">
        <v>-4.1587230000000003E-2</v>
      </c>
      <c r="S4459">
        <v>-3.0572509999999999</v>
      </c>
      <c r="T4459">
        <v>-4.3209549999999999E-2</v>
      </c>
      <c r="U4459">
        <v>0.23275760000000001</v>
      </c>
      <c r="V4459">
        <v>-5.3156090000000003E-2</v>
      </c>
      <c r="W4459">
        <v>0.1714907</v>
      </c>
      <c r="X4459">
        <v>0.98375060000000003</v>
      </c>
      <c r="Y4459">
        <v>6.4165249999999993E-2</v>
      </c>
      <c r="Z4459">
        <v>9.278461E-4</v>
      </c>
      <c r="AA4459">
        <v>0.99793889999999996</v>
      </c>
      <c r="AB4459">
        <v>41</v>
      </c>
      <c r="AC4459">
        <v>-78.227499999999907</v>
      </c>
      <c r="AD4459">
        <v>-1.109865471637</v>
      </c>
      <c r="AE4459">
        <v>5.9748999999999901</v>
      </c>
      <c r="AF4459">
        <v>5.0532284790958997</v>
      </c>
      <c r="AG4459">
        <v>-1.109865471637</v>
      </c>
      <c r="AH4459">
        <v>78.276709210361304</v>
      </c>
      <c r="AI4459">
        <v>90.810640614847998</v>
      </c>
      <c r="AJ4459">
        <v>86.306341062714296</v>
      </c>
      <c r="AK4459">
        <v>78.447499158548993</v>
      </c>
      <c r="AL4459">
        <v>80.125496548532098</v>
      </c>
      <c r="AM4459">
        <v>93.092918785082304</v>
      </c>
      <c r="AN4459">
        <v>0.99999993654546704</v>
      </c>
    </row>
    <row r="4460" spans="1:40" x14ac:dyDescent="0.25">
      <c r="A4460" t="str">
        <f>"20190304155724972"</f>
        <v>20190304155724972</v>
      </c>
      <c r="B4460" t="str">
        <f>"1551686244968933"</f>
        <v>1551686244968933</v>
      </c>
      <c r="C4460" t="s">
        <v>40</v>
      </c>
      <c r="D4460">
        <v>4.8511309999999996</v>
      </c>
      <c r="E4460">
        <v>0.54373169999999904</v>
      </c>
      <c r="F4460" t="s">
        <v>41</v>
      </c>
      <c r="G4460">
        <v>-362.51650000000001</v>
      </c>
      <c r="H4460" s="1">
        <v>-4.7550960000000003E-6</v>
      </c>
      <c r="I4460">
        <v>147.14490000000001</v>
      </c>
      <c r="J4460">
        <v>-288.47129999999999</v>
      </c>
      <c r="K4460">
        <v>1.109872</v>
      </c>
      <c r="L4460">
        <v>141.4768</v>
      </c>
      <c r="M4460">
        <v>-0.99982329999999997</v>
      </c>
      <c r="N4460">
        <v>-1.4640419999999999E-2</v>
      </c>
      <c r="O4460">
        <v>1.178996E-2</v>
      </c>
      <c r="P4460">
        <v>-0.98669669999999998</v>
      </c>
      <c r="Q4460">
        <v>0.1572056</v>
      </c>
      <c r="R4460">
        <v>-4.1425440000000001E-2</v>
      </c>
      <c r="S4460">
        <v>-3.0575260000000002</v>
      </c>
      <c r="T4460">
        <v>-4.5673730000000003E-2</v>
      </c>
      <c r="U4460">
        <v>0.23338320000000001</v>
      </c>
      <c r="V4460">
        <v>-5.3022909999999999E-2</v>
      </c>
      <c r="W4460">
        <v>0.17163680000000001</v>
      </c>
      <c r="X4460">
        <v>0.9837323</v>
      </c>
      <c r="Y4460">
        <v>6.4332849999999997E-2</v>
      </c>
      <c r="Z4460">
        <v>9.4803230000000001E-4</v>
      </c>
      <c r="AA4460">
        <v>0.99792800000000004</v>
      </c>
      <c r="AB4460">
        <v>41</v>
      </c>
      <c r="AC4460">
        <v>-74.045199999999994</v>
      </c>
      <c r="AD4460">
        <v>-1.109876755096</v>
      </c>
      <c r="AE4460">
        <v>5.6681000000000097</v>
      </c>
      <c r="AF4460">
        <v>4.79355170980363</v>
      </c>
      <c r="AG4460">
        <v>-1.109876755096</v>
      </c>
      <c r="AH4460">
        <v>74.090336988255899</v>
      </c>
      <c r="AI4460">
        <v>90.856438940756107</v>
      </c>
      <c r="AJ4460">
        <v>86.298194466838197</v>
      </c>
      <c r="AK4460">
        <v>74.253538632440893</v>
      </c>
      <c r="AL4460">
        <v>80.116999576755404</v>
      </c>
      <c r="AM4460">
        <v>93.085241898005705</v>
      </c>
      <c r="AN4460">
        <v>0.99999992908119595</v>
      </c>
    </row>
    <row r="4461" spans="1:40" x14ac:dyDescent="0.25">
      <c r="A4461" t="str">
        <f>"20190304155724993"</f>
        <v>20190304155724993</v>
      </c>
      <c r="B4461" t="str">
        <f>"1551686244989429"</f>
        <v>1551686244989429</v>
      </c>
      <c r="C4461" t="s">
        <v>40</v>
      </c>
      <c r="D4461">
        <v>4.891356</v>
      </c>
      <c r="E4461">
        <v>0.543906</v>
      </c>
      <c r="F4461" t="s">
        <v>41</v>
      </c>
      <c r="G4461">
        <v>-361.49430000000001</v>
      </c>
      <c r="H4461" s="1">
        <v>-5.0897679999999999E-6</v>
      </c>
      <c r="I4461">
        <v>147.07050000000001</v>
      </c>
      <c r="J4461">
        <v>-288.84280000000001</v>
      </c>
      <c r="K4461">
        <v>1.1098809999999999</v>
      </c>
      <c r="L4461">
        <v>141.4813</v>
      </c>
      <c r="M4461">
        <v>-0.99982230000000005</v>
      </c>
      <c r="N4461">
        <v>-1.4683130000000001E-2</v>
      </c>
      <c r="O4461">
        <v>1.1830179999999999E-2</v>
      </c>
      <c r="P4461">
        <v>-0.98671260000000005</v>
      </c>
      <c r="Q4461">
        <v>0.15711610000000001</v>
      </c>
      <c r="R4461">
        <v>-4.1393359999999997E-2</v>
      </c>
      <c r="S4461">
        <v>-3.0576479999999999</v>
      </c>
      <c r="T4461">
        <v>-4.6473260000000002E-2</v>
      </c>
      <c r="U4461">
        <v>0.2342224</v>
      </c>
      <c r="V4461">
        <v>-5.3031790000000002E-2</v>
      </c>
      <c r="W4461">
        <v>0.17158889999999999</v>
      </c>
      <c r="X4461">
        <v>0.98374030000000001</v>
      </c>
      <c r="Y4461">
        <v>6.4561549999999995E-2</v>
      </c>
      <c r="Z4461">
        <v>9.5861690000000001E-4</v>
      </c>
      <c r="AA4461">
        <v>0.99791319999999994</v>
      </c>
      <c r="AB4461">
        <v>41</v>
      </c>
      <c r="AC4461">
        <v>-72.651499999999999</v>
      </c>
      <c r="AD4461">
        <v>-1.1098860897680001</v>
      </c>
      <c r="AE4461">
        <v>5.5891999999999999</v>
      </c>
      <c r="AF4461">
        <v>4.7281389082730101</v>
      </c>
      <c r="AG4461">
        <v>-1.1098860897680001</v>
      </c>
      <c r="AH4461">
        <v>72.695677135737</v>
      </c>
      <c r="AI4461">
        <v>90.872855216575104</v>
      </c>
      <c r="AJ4461">
        <v>86.278714372877005</v>
      </c>
      <c r="AK4461">
        <v>72.857728614687801</v>
      </c>
      <c r="AL4461">
        <v>80.119786576257894</v>
      </c>
      <c r="AM4461">
        <v>93.085732554139597</v>
      </c>
      <c r="AN4461">
        <v>1.0000000495989501</v>
      </c>
    </row>
    <row r="4462" spans="1:40" x14ac:dyDescent="0.25">
      <c r="A4462" t="str">
        <f>"20190304155725006"</f>
        <v>20190304155725006</v>
      </c>
      <c r="B4462" t="str">
        <f>"1551686244999189"</f>
        <v>1551686244999189</v>
      </c>
      <c r="C4462" t="s">
        <v>40</v>
      </c>
      <c r="D4462">
        <v>4.9112239999999998</v>
      </c>
      <c r="E4462">
        <v>0.54413140000000004</v>
      </c>
      <c r="F4462" t="s">
        <v>41</v>
      </c>
      <c r="G4462">
        <v>-363.34190000000001</v>
      </c>
      <c r="H4462" s="1">
        <v>-4.4878319999999997E-6</v>
      </c>
      <c r="I4462">
        <v>147.2216</v>
      </c>
      <c r="J4462">
        <v>-289.08850000000001</v>
      </c>
      <c r="K4462">
        <v>1.1098790000000001</v>
      </c>
      <c r="L4462">
        <v>141.48419999999999</v>
      </c>
      <c r="M4462">
        <v>-0.99982159999999998</v>
      </c>
      <c r="N4462">
        <v>-1.4708890000000001E-2</v>
      </c>
      <c r="O4462">
        <v>1.1856780000000001E-2</v>
      </c>
      <c r="P4462">
        <v>-0.98672850000000001</v>
      </c>
      <c r="Q4462">
        <v>0.15701519999999999</v>
      </c>
      <c r="R4462">
        <v>-4.1392129999999999E-2</v>
      </c>
      <c r="S4462">
        <v>-3.0575260000000002</v>
      </c>
      <c r="T4462">
        <v>-4.5550939999999998E-2</v>
      </c>
      <c r="U4462">
        <v>0.23559569999999999</v>
      </c>
      <c r="V4462">
        <v>-5.3057359999999998E-2</v>
      </c>
      <c r="W4462">
        <v>0.17151329999999901</v>
      </c>
      <c r="X4462">
        <v>0.98375210000000002</v>
      </c>
      <c r="Y4462">
        <v>6.4983910000000006E-2</v>
      </c>
      <c r="Z4462">
        <v>9.598543E-4</v>
      </c>
      <c r="AA4462">
        <v>0.99788580000000004</v>
      </c>
      <c r="AB4462">
        <v>41</v>
      </c>
      <c r="AC4462">
        <v>-74.253399999999999</v>
      </c>
      <c r="AD4462">
        <v>-1.1098834878319901</v>
      </c>
      <c r="AE4462">
        <v>5.7374000000000001</v>
      </c>
      <c r="AF4462">
        <v>4.8554168395359003</v>
      </c>
      <c r="AG4462">
        <v>-1.1098834878319901</v>
      </c>
      <c r="AH4462">
        <v>74.299712216348098</v>
      </c>
      <c r="AI4462">
        <v>90.853995093509596</v>
      </c>
      <c r="AJ4462">
        <v>86.261090581214404</v>
      </c>
      <c r="AK4462">
        <v>74.466463253429495</v>
      </c>
      <c r="AL4462">
        <v>80.124183270716301</v>
      </c>
      <c r="AM4462">
        <v>93.087180545559093</v>
      </c>
      <c r="AN4462">
        <v>1.00000004489073</v>
      </c>
    </row>
    <row r="4463" spans="1:40" x14ac:dyDescent="0.25">
      <c r="A4463" t="str">
        <f>"20190304155725026"</f>
        <v>20190304155725026</v>
      </c>
      <c r="B4463" t="str">
        <f>"1551686245018709"</f>
        <v>1551686245018709</v>
      </c>
      <c r="C4463" t="s">
        <v>40</v>
      </c>
      <c r="D4463">
        <v>4.8496689999999996</v>
      </c>
      <c r="E4463">
        <v>0.54425579999999996</v>
      </c>
      <c r="F4463" t="s">
        <v>41</v>
      </c>
      <c r="G4463">
        <v>-365.30119999999999</v>
      </c>
      <c r="H4463" s="1">
        <v>-3.8532849999999998E-6</v>
      </c>
      <c r="I4463">
        <v>147.4033</v>
      </c>
      <c r="J4463">
        <v>-289.45519999999999</v>
      </c>
      <c r="K4463">
        <v>1.109888</v>
      </c>
      <c r="L4463">
        <v>141.48859999999999</v>
      </c>
      <c r="M4463">
        <v>-0.9998205</v>
      </c>
      <c r="N4463">
        <v>-1.474669E-2</v>
      </c>
      <c r="O4463">
        <v>1.189633E-2</v>
      </c>
      <c r="P4463">
        <v>-0.98670670000000005</v>
      </c>
      <c r="Q4463">
        <v>0.15715560000000001</v>
      </c>
      <c r="R4463">
        <v>-4.1378650000000003E-2</v>
      </c>
      <c r="S4463">
        <v>-3.057404</v>
      </c>
      <c r="T4463">
        <v>-4.4524910000000001E-2</v>
      </c>
      <c r="U4463">
        <v>0.23745730000000001</v>
      </c>
      <c r="V4463">
        <v>-5.3084310000000003E-2</v>
      </c>
      <c r="W4463">
        <v>0.17169079999999901</v>
      </c>
      <c r="X4463">
        <v>0.98371960000000003</v>
      </c>
      <c r="Y4463">
        <v>6.5551799999999993E-2</v>
      </c>
      <c r="Z4463">
        <v>9.6296000000000001E-4</v>
      </c>
      <c r="AA4463">
        <v>0.99784870000000003</v>
      </c>
      <c r="AB4463">
        <v>41</v>
      </c>
      <c r="AC4463">
        <v>-75.846000000000004</v>
      </c>
      <c r="AD4463">
        <v>-1.109891853285</v>
      </c>
      <c r="AE4463">
        <v>5.9147000000000096</v>
      </c>
      <c r="AF4463">
        <v>5.01082767357049</v>
      </c>
      <c r="AG4463">
        <v>-1.109891853285</v>
      </c>
      <c r="AH4463">
        <v>75.894848735768903</v>
      </c>
      <c r="AI4463">
        <v>90.836018079781994</v>
      </c>
      <c r="AJ4463">
        <v>86.222626336354693</v>
      </c>
      <c r="AK4463">
        <v>76.068182037731503</v>
      </c>
      <c r="AL4463">
        <v>80.113859323874294</v>
      </c>
      <c r="AM4463">
        <v>93.0888474630394</v>
      </c>
      <c r="AN4463">
        <v>0.99999996309848704</v>
      </c>
    </row>
    <row r="4464" spans="1:40" x14ac:dyDescent="0.25">
      <c r="A4464" t="str">
        <f>"20190304155725044"</f>
        <v>20190304155725044</v>
      </c>
      <c r="B4464" t="str">
        <f>"1551686245039205"</f>
        <v>1551686245039205</v>
      </c>
      <c r="C4464" t="s">
        <v>40</v>
      </c>
      <c r="D4464">
        <v>4.8720119999999998</v>
      </c>
      <c r="E4464">
        <v>0.5441762</v>
      </c>
      <c r="F4464" t="s">
        <v>41</v>
      </c>
      <c r="G4464">
        <v>-368.95940000000002</v>
      </c>
      <c r="H4464" s="1">
        <v>-2.5779739999999998E-6</v>
      </c>
      <c r="I4464">
        <v>147.69380000000001</v>
      </c>
      <c r="J4464">
        <v>-289.7577</v>
      </c>
      <c r="K4464">
        <v>1.109893</v>
      </c>
      <c r="L4464">
        <v>141.4922</v>
      </c>
      <c r="M4464">
        <v>-0.99981980000000004</v>
      </c>
      <c r="N4464">
        <v>-1.477729E-2</v>
      </c>
      <c r="O4464">
        <v>1.1928920000000001E-2</v>
      </c>
      <c r="P4464">
        <v>-0.98669859999999998</v>
      </c>
      <c r="Q4464">
        <v>0.1571922</v>
      </c>
      <c r="R4464">
        <v>-4.1433680000000001E-2</v>
      </c>
      <c r="S4464">
        <v>-3.05722</v>
      </c>
      <c r="T4464">
        <v>-4.2679309999999998E-2</v>
      </c>
      <c r="U4464">
        <v>0.23861689999999999</v>
      </c>
      <c r="V4464">
        <v>-5.3171400000000001E-2</v>
      </c>
      <c r="W4464">
        <v>0.1717571</v>
      </c>
      <c r="X4464">
        <v>0.98370340000000001</v>
      </c>
      <c r="Y4464">
        <v>6.5900879999999995E-2</v>
      </c>
      <c r="Z4464">
        <v>9.5680240000000001E-4</v>
      </c>
      <c r="AA4464">
        <v>0.99782570000000004</v>
      </c>
      <c r="AB4464">
        <v>41</v>
      </c>
      <c r="AC4464">
        <v>-79.201700000000002</v>
      </c>
      <c r="AD4464">
        <v>-1.1098955779740001</v>
      </c>
      <c r="AE4464">
        <v>6.2016000000000098</v>
      </c>
      <c r="AF4464">
        <v>5.2552391421819404</v>
      </c>
      <c r="AG4464">
        <v>-1.1098955779740001</v>
      </c>
      <c r="AH4464">
        <v>79.254580761933099</v>
      </c>
      <c r="AI4464">
        <v>90.8005702683366</v>
      </c>
      <c r="AJ4464">
        <v>86.206365805927703</v>
      </c>
      <c r="AK4464">
        <v>79.4363769213155</v>
      </c>
      <c r="AL4464">
        <v>80.110004093183804</v>
      </c>
      <c r="AM4464">
        <v>93.093956034753006</v>
      </c>
      <c r="AN4464">
        <v>1.0000000391749599</v>
      </c>
    </row>
    <row r="4465" spans="1:40" x14ac:dyDescent="0.25">
      <c r="A4465" t="str">
        <f>"20190304155725061"</f>
        <v>20190304155725061</v>
      </c>
      <c r="B4465" t="str">
        <f>"1551686245048965"</f>
        <v>1551686245048965</v>
      </c>
      <c r="C4465" t="s">
        <v>40</v>
      </c>
      <c r="D4465">
        <v>4.8356320000000004</v>
      </c>
      <c r="E4465">
        <v>0.54422590000000004</v>
      </c>
      <c r="F4465" t="s">
        <v>41</v>
      </c>
      <c r="G4465">
        <v>-366.79590000000002</v>
      </c>
      <c r="H4465" s="1">
        <v>-3.3593339999999998E-6</v>
      </c>
      <c r="I4465">
        <v>147.48609999999999</v>
      </c>
      <c r="J4465">
        <v>-290.07350000000002</v>
      </c>
      <c r="K4465">
        <v>1.1099030000000001</v>
      </c>
      <c r="L4465">
        <v>141.49600000000001</v>
      </c>
      <c r="M4465">
        <v>-0.99981880000000001</v>
      </c>
      <c r="N4465">
        <v>-1.4808709999999999E-2</v>
      </c>
      <c r="O4465">
        <v>1.196317E-2</v>
      </c>
      <c r="P4465">
        <v>-0.98664090000000004</v>
      </c>
      <c r="Q4465">
        <v>0.15752759999999999</v>
      </c>
      <c r="R4465">
        <v>-4.1531640000000002E-2</v>
      </c>
      <c r="S4465">
        <v>-3.0574340000000002</v>
      </c>
      <c r="T4465">
        <v>-4.4048789999999997E-2</v>
      </c>
      <c r="U4465">
        <v>0.2378845</v>
      </c>
      <c r="V4465">
        <v>-5.330352E-2</v>
      </c>
      <c r="W4465">
        <v>0.1721221</v>
      </c>
      <c r="X4465">
        <v>0.98363239999999996</v>
      </c>
      <c r="Y4465">
        <v>6.5623089999999995E-2</v>
      </c>
      <c r="Z4465">
        <v>9.635523E-4</v>
      </c>
      <c r="AA4465">
        <v>0.99784399999999995</v>
      </c>
      <c r="AB4465">
        <v>41</v>
      </c>
      <c r="AC4465">
        <v>-76.722399999999993</v>
      </c>
      <c r="AD4465">
        <v>-1.1099063593339999</v>
      </c>
      <c r="AE4465">
        <v>5.9900999999999804</v>
      </c>
      <c r="AF4465">
        <v>5.0706727354709198</v>
      </c>
      <c r="AG4465">
        <v>-1.1099063593339999</v>
      </c>
      <c r="AH4465">
        <v>76.772607237606394</v>
      </c>
      <c r="AI4465">
        <v>90.826470491129697</v>
      </c>
      <c r="AJ4465">
        <v>86.221220044038105</v>
      </c>
      <c r="AK4465">
        <v>76.947883896677197</v>
      </c>
      <c r="AL4465">
        <v>80.088774491779702</v>
      </c>
      <c r="AM4465">
        <v>93.101852330530207</v>
      </c>
      <c r="AN4465">
        <v>0.99999999044127996</v>
      </c>
    </row>
    <row r="4466" spans="1:40" x14ac:dyDescent="0.25">
      <c r="A4466" t="str">
        <f>"20190304155725084"</f>
        <v>20190304155725084</v>
      </c>
      <c r="B4466" t="str">
        <f>"1551686245079221"</f>
        <v>1551686245079221</v>
      </c>
      <c r="C4466" t="s">
        <v>40</v>
      </c>
      <c r="D4466">
        <v>4.8747089999999904</v>
      </c>
      <c r="E4466">
        <v>0.54457259999999996</v>
      </c>
      <c r="F4466" t="s">
        <v>41</v>
      </c>
      <c r="G4466">
        <v>-367.40159999999997</v>
      </c>
      <c r="H4466" s="1">
        <v>-3.1585560000000002E-6</v>
      </c>
      <c r="I4466">
        <v>147.5163</v>
      </c>
      <c r="J4466">
        <v>-290.48340000000002</v>
      </c>
      <c r="K4466">
        <v>1.109915</v>
      </c>
      <c r="L4466">
        <v>141.5009</v>
      </c>
      <c r="M4466">
        <v>-0.99981770000000003</v>
      </c>
      <c r="N4466">
        <v>-1.484779E-2</v>
      </c>
      <c r="O4466">
        <v>1.2007439999999999E-2</v>
      </c>
      <c r="P4466">
        <v>-0.98656520000000003</v>
      </c>
      <c r="Q4466">
        <v>0.15797710000000001</v>
      </c>
      <c r="R4466">
        <v>-4.1626000000000003E-2</v>
      </c>
      <c r="S4466">
        <v>-3.0576479999999999</v>
      </c>
      <c r="T4466">
        <v>-4.3887019999999999E-2</v>
      </c>
      <c r="U4466">
        <v>0.2380524</v>
      </c>
      <c r="V4466">
        <v>-5.3440540000000002E-2</v>
      </c>
      <c r="W4466">
        <v>0.1726087</v>
      </c>
      <c r="X4466">
        <v>0.98353970000000002</v>
      </c>
      <c r="Y4466">
        <v>6.5628030000000004E-2</v>
      </c>
      <c r="Z4466">
        <v>9.6427589999999999E-4</v>
      </c>
      <c r="AA4466">
        <v>0.9978437</v>
      </c>
      <c r="AB4466">
        <v>41</v>
      </c>
      <c r="AC4466">
        <v>-76.918199999999899</v>
      </c>
      <c r="AD4466">
        <v>-1.1099181585560001</v>
      </c>
      <c r="AE4466">
        <v>6.0153999999999996</v>
      </c>
      <c r="AF4466">
        <v>5.0902203344994801</v>
      </c>
      <c r="AG4466">
        <v>-1.1099181585560001</v>
      </c>
      <c r="AH4466">
        <v>76.968962012958599</v>
      </c>
      <c r="AI4466">
        <v>90.824366508079294</v>
      </c>
      <c r="AJ4466">
        <v>86.216344098368197</v>
      </c>
      <c r="AK4466">
        <v>77.145080042247102</v>
      </c>
      <c r="AL4466">
        <v>80.060470821404493</v>
      </c>
      <c r="AM4466">
        <v>93.110102732320797</v>
      </c>
      <c r="AN4466">
        <v>0.99999999805363504</v>
      </c>
    </row>
    <row r="4467" spans="1:40" x14ac:dyDescent="0.25">
      <c r="A4467" t="str">
        <f>"20190304155725104"</f>
        <v>20190304155725104</v>
      </c>
      <c r="B4467" t="str">
        <f>"1551686245098741"</f>
        <v>1551686245098741</v>
      </c>
      <c r="C4467" t="s">
        <v>40</v>
      </c>
      <c r="D4467">
        <v>4.8464739999999997</v>
      </c>
      <c r="E4467">
        <v>0.54460549999999996</v>
      </c>
      <c r="F4467" t="s">
        <v>41</v>
      </c>
      <c r="G4467">
        <v>-366.1968</v>
      </c>
      <c r="H4467" s="1">
        <v>-3.555342E-6</v>
      </c>
      <c r="I4467">
        <v>147.4418</v>
      </c>
      <c r="J4467">
        <v>-290.87540000000001</v>
      </c>
      <c r="K4467">
        <v>1.109923</v>
      </c>
      <c r="L4467">
        <v>141.50569999999999</v>
      </c>
      <c r="M4467">
        <v>-0.9998167</v>
      </c>
      <c r="N4467">
        <v>-1.4882009999999999E-2</v>
      </c>
      <c r="O4467">
        <v>1.204972E-2</v>
      </c>
      <c r="P4467">
        <v>-0.98658710000000005</v>
      </c>
      <c r="Q4467">
        <v>0.15781429999999999</v>
      </c>
      <c r="R4467">
        <v>-4.1720159999999999E-2</v>
      </c>
      <c r="S4467">
        <v>-3.0581360000000002</v>
      </c>
      <c r="T4467">
        <v>-4.4830679999999998E-2</v>
      </c>
      <c r="U4467">
        <v>0.2399597</v>
      </c>
      <c r="V4467">
        <v>-5.3577779999999998E-2</v>
      </c>
      <c r="W4467">
        <v>0.17247999999999999</v>
      </c>
      <c r="X4467">
        <v>0.98355479999999995</v>
      </c>
      <c r="Y4467">
        <v>6.6191479999999997E-2</v>
      </c>
      <c r="Z4467">
        <v>9.8050890000000003E-4</v>
      </c>
      <c r="AA4467">
        <v>0.99780639999999998</v>
      </c>
      <c r="AB4467">
        <v>41</v>
      </c>
      <c r="AC4467">
        <v>-75.321399999999898</v>
      </c>
      <c r="AD4467">
        <v>-1.1099265553419999</v>
      </c>
      <c r="AE4467">
        <v>5.9360999999999997</v>
      </c>
      <c r="AF4467">
        <v>5.0268818567320501</v>
      </c>
      <c r="AG4467">
        <v>-1.1099265553419999</v>
      </c>
      <c r="AH4467">
        <v>75.371201154015296</v>
      </c>
      <c r="AI4467">
        <v>90.841814513900303</v>
      </c>
      <c r="AJ4467">
        <v>86.1843092773601</v>
      </c>
      <c r="AK4467">
        <v>75.5468029870149</v>
      </c>
      <c r="AL4467">
        <v>80.067956955517701</v>
      </c>
      <c r="AM4467">
        <v>93.1180262334302</v>
      </c>
      <c r="AN4467">
        <v>0.99999998675638402</v>
      </c>
    </row>
    <row r="4468" spans="1:40" x14ac:dyDescent="0.25">
      <c r="A4468" t="str">
        <f>"20190304155725117"</f>
        <v>20190304155725117</v>
      </c>
      <c r="B4468" t="str">
        <f>"1551686245109477"</f>
        <v>1551686245109477</v>
      </c>
      <c r="C4468" t="s">
        <v>40</v>
      </c>
      <c r="D4468">
        <v>4.850212</v>
      </c>
      <c r="E4468">
        <v>0.54463919999999999</v>
      </c>
      <c r="F4468" t="s">
        <v>41</v>
      </c>
      <c r="G4468">
        <v>-365.83159999999998</v>
      </c>
      <c r="H4468" s="1">
        <v>-3.6698660000000001E-6</v>
      </c>
      <c r="I4468">
        <v>147.38679999999999</v>
      </c>
      <c r="J4468">
        <v>-291.10590000000002</v>
      </c>
      <c r="K4468">
        <v>1.109928</v>
      </c>
      <c r="L4468">
        <v>141.5085</v>
      </c>
      <c r="M4468">
        <v>-0.99981609999999999</v>
      </c>
      <c r="N4468">
        <v>-1.4900299999999899E-2</v>
      </c>
      <c r="O4468">
        <v>1.2074720000000001E-2</v>
      </c>
      <c r="P4468">
        <v>-0.98660970000000003</v>
      </c>
      <c r="Q4468">
        <v>0.1576437</v>
      </c>
      <c r="R4468">
        <v>-4.1831390000000003E-2</v>
      </c>
      <c r="S4468">
        <v>-3.0581049999999999</v>
      </c>
      <c r="T4468">
        <v>-4.5283440000000001E-2</v>
      </c>
      <c r="U4468">
        <v>0.23994450000000001</v>
      </c>
      <c r="V4468">
        <v>-5.3714310000000001E-2</v>
      </c>
      <c r="W4468">
        <v>0.17232729999999999</v>
      </c>
      <c r="X4468">
        <v>0.98357419999999995</v>
      </c>
      <c r="Y4468">
        <v>6.6162139999999994E-2</v>
      </c>
      <c r="Z4468">
        <v>9.8401669999999991E-4</v>
      </c>
      <c r="AA4468">
        <v>0.99780840000000004</v>
      </c>
      <c r="AB4468">
        <v>41</v>
      </c>
      <c r="AC4468">
        <v>-74.725699999999904</v>
      </c>
      <c r="AD4468">
        <v>-1.109931669866</v>
      </c>
      <c r="AE4468">
        <v>5.8782999999999896</v>
      </c>
      <c r="AF4468">
        <v>4.9743885845743501</v>
      </c>
      <c r="AG4468">
        <v>-1.109931669866</v>
      </c>
      <c r="AH4468">
        <v>74.774842180415902</v>
      </c>
      <c r="AI4468">
        <v>90.848540819932595</v>
      </c>
      <c r="AJ4468">
        <v>86.194012172109794</v>
      </c>
      <c r="AK4468">
        <v>74.9483389623026</v>
      </c>
      <c r="AL4468">
        <v>80.076839813705405</v>
      </c>
      <c r="AM4468">
        <v>93.125894496546096</v>
      </c>
      <c r="AN4468">
        <v>1.00000006616485</v>
      </c>
    </row>
    <row r="4469" spans="1:40" x14ac:dyDescent="0.25">
      <c r="A4469" t="str">
        <f>"20190304155725131"</f>
        <v>20190304155725131</v>
      </c>
      <c r="B4469" t="str">
        <f>"1551686245119238"</f>
        <v>1551686245119238</v>
      </c>
      <c r="C4469" t="s">
        <v>40</v>
      </c>
      <c r="D4469">
        <v>4.8618839999999999</v>
      </c>
      <c r="E4469">
        <v>0.54467460000000001</v>
      </c>
      <c r="F4469" t="s">
        <v>41</v>
      </c>
      <c r="G4469">
        <v>-366.05160000000001</v>
      </c>
      <c r="H4469" s="1">
        <v>-3.5961650000000001E-6</v>
      </c>
      <c r="I4469">
        <v>147.39330000000001</v>
      </c>
      <c r="J4469">
        <v>-291.35300000000001</v>
      </c>
      <c r="K4469">
        <v>1.1099330000000001</v>
      </c>
      <c r="L4469">
        <v>141.51150000000001</v>
      </c>
      <c r="M4469">
        <v>-0.99981549999999997</v>
      </c>
      <c r="N4469">
        <v>-1.4918839999999999E-2</v>
      </c>
      <c r="O4469">
        <v>1.2101509999999999E-2</v>
      </c>
      <c r="P4469">
        <v>-0.98657589999999995</v>
      </c>
      <c r="Q4469">
        <v>0.1578003</v>
      </c>
      <c r="R4469">
        <v>-4.2034530000000001E-2</v>
      </c>
      <c r="S4469">
        <v>-3.0581049999999999</v>
      </c>
      <c r="T4469">
        <v>-4.5289990000000002E-2</v>
      </c>
      <c r="U4469">
        <v>0.2401276</v>
      </c>
      <c r="V4469">
        <v>-5.3943379999999999E-2</v>
      </c>
      <c r="W4469">
        <v>0.1725016</v>
      </c>
      <c r="X4469">
        <v>0.98353109999999999</v>
      </c>
      <c r="Y4469">
        <v>6.6194729999999993E-2</v>
      </c>
      <c r="Z4469">
        <v>9.8538719999999996E-4</v>
      </c>
      <c r="AA4469">
        <v>0.99780630000000003</v>
      </c>
      <c r="AB4469">
        <v>41</v>
      </c>
      <c r="AC4469">
        <v>-74.698599999999999</v>
      </c>
      <c r="AD4469">
        <v>-1.1099365961650001</v>
      </c>
      <c r="AE4469">
        <v>5.8817999999999904</v>
      </c>
      <c r="AF4469">
        <v>4.9762108495614203</v>
      </c>
      <c r="AG4469">
        <v>-1.1099365961650001</v>
      </c>
      <c r="AH4469">
        <v>74.747913890745295</v>
      </c>
      <c r="AI4469">
        <v>90.848847514451407</v>
      </c>
      <c r="AJ4469">
        <v>86.191254437331395</v>
      </c>
      <c r="AK4469">
        <v>74.921594114681497</v>
      </c>
      <c r="AL4469">
        <v>80.066701243748099</v>
      </c>
      <c r="AM4469">
        <v>93.139335867785206</v>
      </c>
      <c r="AN4469">
        <v>1.0000000574577901</v>
      </c>
    </row>
    <row r="4470" spans="1:40" x14ac:dyDescent="0.25">
      <c r="A4470" t="str">
        <f>"20190304155725149"</f>
        <v>20190304155725149</v>
      </c>
      <c r="B4470" t="str">
        <f>"1551686245138758"</f>
        <v>1551686245138758</v>
      </c>
      <c r="C4470" t="s">
        <v>40</v>
      </c>
      <c r="D4470">
        <v>4.9046599999999998</v>
      </c>
      <c r="E4470">
        <v>0.54475240000000003</v>
      </c>
      <c r="F4470" t="s">
        <v>41</v>
      </c>
      <c r="G4470">
        <v>-367.72300000000001</v>
      </c>
      <c r="H4470" s="1">
        <v>-3.0462609999999999E-6</v>
      </c>
      <c r="I4470">
        <v>147.49959999999999</v>
      </c>
      <c r="J4470">
        <v>-291.67200000000003</v>
      </c>
      <c r="K4470">
        <v>1.1099380000000001</v>
      </c>
      <c r="L4470">
        <v>141.5154</v>
      </c>
      <c r="M4470">
        <v>-0.99981469999999995</v>
      </c>
      <c r="N4470">
        <v>-1.49404E-2</v>
      </c>
      <c r="O4470">
        <v>1.2135730000000001E-2</v>
      </c>
      <c r="P4470">
        <v>-0.98658029999999997</v>
      </c>
      <c r="Q4470">
        <v>0.1578601</v>
      </c>
      <c r="R4470">
        <v>-4.1704020000000001E-2</v>
      </c>
      <c r="S4470">
        <v>-3.0581360000000002</v>
      </c>
      <c r="T4470">
        <v>-4.4445989999999998E-2</v>
      </c>
      <c r="U4470">
        <v>0.2397919</v>
      </c>
      <c r="V4470">
        <v>-5.3646680000000002E-2</v>
      </c>
      <c r="W4470">
        <v>0.17258280000000001</v>
      </c>
      <c r="X4470">
        <v>0.98353299999999999</v>
      </c>
      <c r="Y4470">
        <v>6.6051390000000001E-2</v>
      </c>
      <c r="Z4470">
        <v>9.7847449999999996E-4</v>
      </c>
      <c r="AA4470">
        <v>0.99781569999999997</v>
      </c>
      <c r="AB4470">
        <v>40</v>
      </c>
      <c r="AC4470">
        <v>-76.050999999999902</v>
      </c>
      <c r="AD4470">
        <v>-1.10994104626099</v>
      </c>
      <c r="AE4470">
        <v>5.98419999999998</v>
      </c>
      <c r="AF4470">
        <v>5.0596506611336203</v>
      </c>
      <c r="AG4470">
        <v>-1.10994104626099</v>
      </c>
      <c r="AH4470">
        <v>76.101918699576103</v>
      </c>
      <c r="AI4470">
        <v>90.833755180629893</v>
      </c>
      <c r="AJ4470">
        <v>86.1962770264809</v>
      </c>
      <c r="AK4470">
        <v>76.278005110882205</v>
      </c>
      <c r="AL4470">
        <v>80.061977166270097</v>
      </c>
      <c r="AM4470">
        <v>93.122097091216702</v>
      </c>
      <c r="AN4470">
        <v>0.99999997560993004</v>
      </c>
    </row>
    <row r="4471" spans="1:40" x14ac:dyDescent="0.25">
      <c r="A4471" t="str">
        <f>"20190304155725172"</f>
        <v>20190304155725172</v>
      </c>
      <c r="B4471" t="str">
        <f>"1551686245169013"</f>
        <v>1551686245169013</v>
      </c>
      <c r="C4471" t="s">
        <v>40</v>
      </c>
      <c r="D4471">
        <v>4.8805239999999896</v>
      </c>
      <c r="E4471">
        <v>0.54483970000000004</v>
      </c>
      <c r="F4471" t="s">
        <v>41</v>
      </c>
      <c r="G4471">
        <v>-369.28910000000002</v>
      </c>
      <c r="H4471" s="1">
        <v>-2.4242820000000002E-6</v>
      </c>
      <c r="I4471">
        <v>147.64769999999999</v>
      </c>
      <c r="J4471">
        <v>-292.08409999999998</v>
      </c>
      <c r="K4471">
        <v>1.1099399999999999</v>
      </c>
      <c r="L4471">
        <v>141.5204</v>
      </c>
      <c r="M4471">
        <v>-0.99981390000000003</v>
      </c>
      <c r="N4471">
        <v>-1.496464E-2</v>
      </c>
      <c r="O4471">
        <v>1.2180059999999999E-2</v>
      </c>
      <c r="P4471">
        <v>-0.98656790000000005</v>
      </c>
      <c r="Q4471">
        <v>0.15788579999999999</v>
      </c>
      <c r="R4471">
        <v>-4.1901550000000003E-2</v>
      </c>
      <c r="S4471">
        <v>-3.058014</v>
      </c>
      <c r="T4471">
        <v>-4.373026E-2</v>
      </c>
      <c r="U4471">
        <v>0.24160770000000001</v>
      </c>
      <c r="V4471">
        <v>-5.3888209999999999E-2</v>
      </c>
      <c r="W4471">
        <v>0.1726317</v>
      </c>
      <c r="X4471">
        <v>0.98351129999999998</v>
      </c>
      <c r="Y4471">
        <v>6.6599290000000005E-2</v>
      </c>
      <c r="Z4471">
        <v>9.8274850000000004E-4</v>
      </c>
      <c r="AA4471">
        <v>0.99777930000000004</v>
      </c>
      <c r="AB4471">
        <v>40</v>
      </c>
      <c r="AC4471">
        <v>-77.204999999999998</v>
      </c>
      <c r="AD4471">
        <v>-1.109942424282</v>
      </c>
      <c r="AE4471">
        <v>6.1272999999999902</v>
      </c>
      <c r="AF4471">
        <v>5.1853135742187</v>
      </c>
      <c r="AG4471">
        <v>-1.109942424282</v>
      </c>
      <c r="AH4471">
        <v>77.258042739638398</v>
      </c>
      <c r="AI4471">
        <v>90.821246742336996</v>
      </c>
      <c r="AJ4471">
        <v>86.160248595544701</v>
      </c>
      <c r="AK4471">
        <v>77.439812867852396</v>
      </c>
      <c r="AL4471">
        <v>80.059133558041907</v>
      </c>
      <c r="AM4471">
        <v>93.1361945692136</v>
      </c>
      <c r="AN4471">
        <v>1.00000006012479</v>
      </c>
    </row>
    <row r="4472" spans="1:40" x14ac:dyDescent="0.25">
      <c r="A4472" t="str">
        <f>"20190304155725194"</f>
        <v>20190304155725194</v>
      </c>
      <c r="B4472" t="str">
        <f>"1551686245189509"</f>
        <v>1551686245189509</v>
      </c>
      <c r="C4472" t="s">
        <v>40</v>
      </c>
      <c r="D4472">
        <v>4.879842</v>
      </c>
      <c r="E4472">
        <v>0.54492259999999904</v>
      </c>
      <c r="F4472" t="s">
        <v>41</v>
      </c>
      <c r="G4472">
        <v>-367.48469999999998</v>
      </c>
      <c r="H4472" s="1">
        <v>-3.123377E-6</v>
      </c>
      <c r="I4472">
        <v>147.47739999999999</v>
      </c>
      <c r="J4472">
        <v>-292.495</v>
      </c>
      <c r="K4472">
        <v>1.109942</v>
      </c>
      <c r="L4472">
        <v>141.52549999999999</v>
      </c>
      <c r="M4472">
        <v>-0.99981310000000001</v>
      </c>
      <c r="N4472">
        <v>-1.4985139999999999E-2</v>
      </c>
      <c r="O4472">
        <v>1.222401E-2</v>
      </c>
      <c r="P4472">
        <v>-0.98656500000000003</v>
      </c>
      <c r="Q4472">
        <v>0.15784609999999999</v>
      </c>
      <c r="R4472">
        <v>-4.2123540000000001E-2</v>
      </c>
      <c r="S4472">
        <v>-3.058319</v>
      </c>
      <c r="T4472">
        <v>-4.5020339999999999E-2</v>
      </c>
      <c r="U4472">
        <v>0.2416229</v>
      </c>
      <c r="V4472">
        <v>-5.415383E-2</v>
      </c>
      <c r="W4472">
        <v>0.17261199999999999</v>
      </c>
      <c r="X4472">
        <v>0.98350009999999999</v>
      </c>
      <c r="Y4472">
        <v>6.6551940000000004E-2</v>
      </c>
      <c r="Z4472">
        <v>9.9185669999999997E-4</v>
      </c>
      <c r="AA4472">
        <v>0.99778250000000002</v>
      </c>
      <c r="AB4472">
        <v>40</v>
      </c>
      <c r="AC4472">
        <v>-74.9896999999999</v>
      </c>
      <c r="AD4472">
        <v>-1.1099451233769999</v>
      </c>
      <c r="AE4472">
        <v>5.9518999999999904</v>
      </c>
      <c r="AF4472">
        <v>5.0335816689751498</v>
      </c>
      <c r="AG4472">
        <v>-1.1099451233769999</v>
      </c>
      <c r="AH4472">
        <v>75.040523207967198</v>
      </c>
      <c r="AI4472">
        <v>90.8455161371066</v>
      </c>
      <c r="AJ4472">
        <v>86.162452199350497</v>
      </c>
      <c r="AK4472">
        <v>75.217345379377903</v>
      </c>
      <c r="AL4472">
        <v>80.060278816095902</v>
      </c>
      <c r="AM4472">
        <v>93.1516578951925</v>
      </c>
      <c r="AN4472">
        <v>0.99999999327383904</v>
      </c>
    </row>
    <row r="4473" spans="1:40" x14ac:dyDescent="0.25">
      <c r="A4473" t="str">
        <f>"20190304155725218"</f>
        <v>20190304155725218</v>
      </c>
      <c r="B4473" t="str">
        <f>"1551686245209030"</f>
        <v>1551686245209030</v>
      </c>
      <c r="C4473" t="s">
        <v>40</v>
      </c>
      <c r="D4473">
        <v>4.8831569999999997</v>
      </c>
      <c r="E4473">
        <v>0.54494379999999998</v>
      </c>
      <c r="F4473" t="s">
        <v>41</v>
      </c>
      <c r="G4473">
        <v>-368.42099999999999</v>
      </c>
      <c r="H4473" s="1">
        <v>-2.762628E-6</v>
      </c>
      <c r="I4473">
        <v>147.5197</v>
      </c>
      <c r="J4473">
        <v>-292.91809999999998</v>
      </c>
      <c r="K4473">
        <v>1.1099410000000001</v>
      </c>
      <c r="L4473">
        <v>141.5307</v>
      </c>
      <c r="M4473">
        <v>-0.99981229999999999</v>
      </c>
      <c r="N4473">
        <v>-1.5003239999999999E-2</v>
      </c>
      <c r="O4473">
        <v>1.22694E-2</v>
      </c>
      <c r="P4473">
        <v>-0.98661969999999999</v>
      </c>
      <c r="Q4473">
        <v>0.15752369999999999</v>
      </c>
      <c r="R4473">
        <v>-4.2048990000000001E-2</v>
      </c>
      <c r="S4473">
        <v>-3.0583499999999999</v>
      </c>
      <c r="T4473">
        <v>-4.4709319999999997E-2</v>
      </c>
      <c r="U4473">
        <v>0.24145510000000001</v>
      </c>
      <c r="V4473">
        <v>-5.4124850000000002E-2</v>
      </c>
      <c r="W4473">
        <v>0.1723085</v>
      </c>
      <c r="X4473">
        <v>0.98355490000000001</v>
      </c>
      <c r="Y4473">
        <v>6.6451590000000005E-2</v>
      </c>
      <c r="Z4473">
        <v>9.8907139999999992E-4</v>
      </c>
      <c r="AA4473">
        <v>0.99778909999999998</v>
      </c>
      <c r="AB4473">
        <v>40</v>
      </c>
      <c r="AC4473">
        <v>-75.502899999999997</v>
      </c>
      <c r="AD4473">
        <v>-1.109943762628</v>
      </c>
      <c r="AE4473">
        <v>5.9889999999999999</v>
      </c>
      <c r="AF4473">
        <v>5.0609827694236502</v>
      </c>
      <c r="AG4473">
        <v>-1.109943762628</v>
      </c>
      <c r="AH4473">
        <v>75.554479192236002</v>
      </c>
      <c r="AI4473">
        <v>90.839769594446906</v>
      </c>
      <c r="AJ4473">
        <v>86.167792780562905</v>
      </c>
      <c r="AK4473">
        <v>75.731927532307196</v>
      </c>
      <c r="AL4473">
        <v>80.077932467580894</v>
      </c>
      <c r="AM4473">
        <v>93.149799555971498</v>
      </c>
      <c r="AN4473">
        <v>0.99999997993689105</v>
      </c>
    </row>
    <row r="4474" spans="1:40" x14ac:dyDescent="0.25">
      <c r="A4474" t="str">
        <f>"20190304155725233"</f>
        <v>20190304155725233</v>
      </c>
      <c r="B4474" t="str">
        <f>"1551686245229525"</f>
        <v>1551686245229525</v>
      </c>
      <c r="C4474" t="s">
        <v>40</v>
      </c>
      <c r="D4474">
        <v>5.1260139999999996</v>
      </c>
      <c r="E4474">
        <v>0.51654679999999997</v>
      </c>
      <c r="F4474" t="s">
        <v>41</v>
      </c>
      <c r="G4474">
        <v>-366.61079999999998</v>
      </c>
      <c r="H4474" s="1">
        <v>-3.3997619999999998E-6</v>
      </c>
      <c r="I4474">
        <v>147.35890000000001</v>
      </c>
      <c r="J4474">
        <v>-293.17439999999999</v>
      </c>
      <c r="K4474">
        <v>1.109945</v>
      </c>
      <c r="L4474">
        <v>141.53389999999999</v>
      </c>
      <c r="M4474">
        <v>-0.99981180000000003</v>
      </c>
      <c r="N4474">
        <v>-1.501297E-2</v>
      </c>
      <c r="O4474">
        <v>1.2296799999999899E-2</v>
      </c>
      <c r="P4474">
        <v>-0.98662729999999998</v>
      </c>
      <c r="Q4474">
        <v>0.15743009999999999</v>
      </c>
      <c r="R4474">
        <v>-4.2220420000000002E-2</v>
      </c>
      <c r="S4474">
        <v>-3.0583499999999999</v>
      </c>
      <c r="T4474">
        <v>-4.6064260000000003E-2</v>
      </c>
      <c r="U4474">
        <v>0.24188229999999999</v>
      </c>
      <c r="V4474">
        <v>-5.4323589999999998E-2</v>
      </c>
      <c r="W4474">
        <v>0.1722245</v>
      </c>
      <c r="X4474">
        <v>0.98355870000000001</v>
      </c>
      <c r="Y4474">
        <v>6.6562090000000004E-2</v>
      </c>
      <c r="Z4474">
        <v>1.000447E-3</v>
      </c>
      <c r="AA4474">
        <v>0.99778180000000005</v>
      </c>
      <c r="AB4474">
        <v>40</v>
      </c>
      <c r="AC4474">
        <v>-73.436399999999907</v>
      </c>
      <c r="AD4474">
        <v>-1.1099483997620001</v>
      </c>
      <c r="AE4474">
        <v>5.8250000000000099</v>
      </c>
      <c r="AF4474">
        <v>4.9203080852159102</v>
      </c>
      <c r="AG4474">
        <v>-1.1099483997620001</v>
      </c>
      <c r="AH4474">
        <v>73.485800711418804</v>
      </c>
      <c r="AI4474">
        <v>90.863411442105402</v>
      </c>
      <c r="AJ4474">
        <v>86.169426835102101</v>
      </c>
      <c r="AK4474">
        <v>73.6587016129251</v>
      </c>
      <c r="AL4474">
        <v>80.082818792595305</v>
      </c>
      <c r="AM4474">
        <v>93.161329639051303</v>
      </c>
      <c r="AN4474">
        <v>1.0000000235882101</v>
      </c>
    </row>
    <row r="4475" spans="1:40" x14ac:dyDescent="0.25">
      <c r="A4475" t="str">
        <f>"20190304155725251"</f>
        <v>20190304155725251</v>
      </c>
      <c r="B4475" t="str">
        <f>"1551686245239285"</f>
        <v>1551686245239285</v>
      </c>
      <c r="C4475" t="s">
        <v>40</v>
      </c>
      <c r="D4475">
        <v>4.8855440000000003</v>
      </c>
      <c r="E4475">
        <v>0.51448769999999999</v>
      </c>
      <c r="F4475" t="s">
        <v>41</v>
      </c>
      <c r="G4475">
        <v>-321.84519999999998</v>
      </c>
      <c r="H4475" s="1">
        <v>-4.0154209999999996E-6</v>
      </c>
      <c r="I4475">
        <v>141.68719999999999</v>
      </c>
      <c r="J4475">
        <v>-293.51170000000002</v>
      </c>
      <c r="K4475">
        <v>1.1099540000000001</v>
      </c>
      <c r="L4475">
        <v>141.53809999999999</v>
      </c>
      <c r="M4475">
        <v>-0.99981109999999895</v>
      </c>
      <c r="N4475">
        <v>-1.502394E-2</v>
      </c>
      <c r="O4475">
        <v>1.233307E-2</v>
      </c>
      <c r="P4475">
        <v>-0.98659419999999998</v>
      </c>
      <c r="Q4475">
        <v>0.1576303</v>
      </c>
      <c r="R4475">
        <v>-4.2245869999999998E-2</v>
      </c>
      <c r="S4475">
        <v>-3.0602420000000001</v>
      </c>
      <c r="T4475">
        <v>-0.1184733</v>
      </c>
      <c r="U4475">
        <v>1.6372680000000001E-2</v>
      </c>
      <c r="V4475">
        <v>-5.4384399999999999E-2</v>
      </c>
      <c r="W4475">
        <v>0.1724349</v>
      </c>
      <c r="X4475">
        <v>0.98351849999999996</v>
      </c>
      <c r="Y4475">
        <v>-6.9739299999999997E-3</v>
      </c>
      <c r="Z4475">
        <v>-4.793609E-4</v>
      </c>
      <c r="AA4475">
        <v>0.99997559999999996</v>
      </c>
      <c r="AB4475">
        <v>40</v>
      </c>
      <c r="AC4475">
        <v>-28.333499999999901</v>
      </c>
      <c r="AD4475">
        <v>-1.109958015421</v>
      </c>
      <c r="AE4475">
        <v>0.14910000000000401</v>
      </c>
      <c r="AF4475">
        <v>-0.20008276421316801</v>
      </c>
      <c r="AG4475">
        <v>-1.109958015421</v>
      </c>
      <c r="AH4475">
        <v>28.2897696483329</v>
      </c>
      <c r="AI4475">
        <v>92.2468093284796</v>
      </c>
      <c r="AJ4475">
        <v>90.405224466022801</v>
      </c>
      <c r="AK4475">
        <v>28.3122430525077</v>
      </c>
      <c r="AL4475">
        <v>80.070580922892503</v>
      </c>
      <c r="AM4475">
        <v>93.164990348125201</v>
      </c>
      <c r="AN4475">
        <v>1.0000000487717999</v>
      </c>
    </row>
    <row r="4476" spans="1:40" x14ac:dyDescent="0.25">
      <c r="A4476" t="str">
        <f>"20190304155725274"</f>
        <v>20190304155725274</v>
      </c>
      <c r="B4476" t="str">
        <f>"1551686245269541"</f>
        <v>1551686245269541</v>
      </c>
      <c r="C4476" t="s">
        <v>40</v>
      </c>
      <c r="D4476">
        <v>5.1708910000000001</v>
      </c>
      <c r="E4476">
        <v>0.51206209999999996</v>
      </c>
      <c r="F4476" t="s">
        <v>41</v>
      </c>
      <c r="G4476">
        <v>-324.40809999999999</v>
      </c>
      <c r="H4476" s="1">
        <v>-2.891839E-6</v>
      </c>
      <c r="I4476">
        <v>141.53550000000001</v>
      </c>
      <c r="J4476">
        <v>-293.92230000000001</v>
      </c>
      <c r="K4476">
        <v>1.1099540000000001</v>
      </c>
      <c r="L4476">
        <v>141.54320000000001</v>
      </c>
      <c r="M4476">
        <v>-0.99981039999999999</v>
      </c>
      <c r="N4476">
        <v>-1.503499E-2</v>
      </c>
      <c r="O4476">
        <v>1.2377020000000001E-2</v>
      </c>
      <c r="P4476">
        <v>-0.98655090000000001</v>
      </c>
      <c r="Q4476">
        <v>0.1579044</v>
      </c>
      <c r="R4476">
        <v>-4.2232039999999998E-2</v>
      </c>
      <c r="S4476">
        <v>-3.058319</v>
      </c>
      <c r="T4476">
        <v>-0.10987039999999999</v>
      </c>
      <c r="U4476">
        <v>-2.4414059999999999E-4</v>
      </c>
      <c r="V4476">
        <v>-5.4413540000000003E-2</v>
      </c>
      <c r="W4476">
        <v>0.17271900000000001</v>
      </c>
      <c r="X4476">
        <v>0.98346699999999998</v>
      </c>
      <c r="Y4476">
        <v>-1.2444159999999999E-2</v>
      </c>
      <c r="Z4476">
        <v>-5.7548019999999905E-4</v>
      </c>
      <c r="AA4476">
        <v>0.99992239999999999</v>
      </c>
      <c r="AB4476">
        <v>40</v>
      </c>
      <c r="AC4476">
        <v>-30.485799999999902</v>
      </c>
      <c r="AD4476">
        <v>-1.1099568918389999</v>
      </c>
      <c r="AE4476">
        <v>-7.6999999999998103E-3</v>
      </c>
      <c r="AF4476">
        <v>-0.38455563388831798</v>
      </c>
      <c r="AG4476">
        <v>-1.1099568918389999</v>
      </c>
      <c r="AH4476">
        <v>30.4430133221252</v>
      </c>
      <c r="AI4476">
        <v>92.087921466428</v>
      </c>
      <c r="AJ4476">
        <v>90.723720833858806</v>
      </c>
      <c r="AK4476">
        <v>30.465668341075101</v>
      </c>
      <c r="AL4476">
        <v>80.054054884547796</v>
      </c>
      <c r="AM4476">
        <v>93.166848236518703</v>
      </c>
      <c r="AN4476">
        <v>1.0000000131926601</v>
      </c>
    </row>
    <row r="4477" spans="1:40" x14ac:dyDescent="0.25">
      <c r="A4477" t="str">
        <f>"20190304155725293"</f>
        <v>20190304155725293</v>
      </c>
      <c r="B4477" t="str">
        <f>"1551686245289061"</f>
        <v>1551686245289061</v>
      </c>
      <c r="C4477" t="s">
        <v>40</v>
      </c>
      <c r="D4477">
        <v>4.985544</v>
      </c>
      <c r="E4477">
        <v>0.50991149999999996</v>
      </c>
      <c r="F4477" t="s">
        <v>41</v>
      </c>
      <c r="G4477">
        <v>-323.14609999999999</v>
      </c>
      <c r="H4477" s="1">
        <v>-3.3857110000000001E-6</v>
      </c>
      <c r="I4477">
        <v>141.3569</v>
      </c>
      <c r="J4477">
        <v>-294.28890000000001</v>
      </c>
      <c r="K4477">
        <v>1.109958</v>
      </c>
      <c r="L4477">
        <v>141.54769999999999</v>
      </c>
      <c r="M4477">
        <v>-0.99980990000000003</v>
      </c>
      <c r="N4477">
        <v>-1.504313E-2</v>
      </c>
      <c r="O4477">
        <v>1.2416180000000001E-2</v>
      </c>
      <c r="P4477">
        <v>-0.9865313</v>
      </c>
      <c r="Q4477">
        <v>0.1581099</v>
      </c>
      <c r="R4477">
        <v>-4.1924639999999999E-2</v>
      </c>
      <c r="S4477">
        <v>-3.0586549999999999</v>
      </c>
      <c r="T4477">
        <v>-0.1161716</v>
      </c>
      <c r="U4477">
        <v>-1.9485470000000001E-2</v>
      </c>
      <c r="V4477">
        <v>-5.4144169999999998E-2</v>
      </c>
      <c r="W4477">
        <v>0.17293229999999901</v>
      </c>
      <c r="X4477">
        <v>0.9834444</v>
      </c>
      <c r="Y4477">
        <v>-1.8765150000000001E-2</v>
      </c>
      <c r="Z4477">
        <v>-7.8210899999999904E-4</v>
      </c>
      <c r="AA4477">
        <v>0.99982360000000003</v>
      </c>
      <c r="AB4477">
        <v>40</v>
      </c>
      <c r="AC4477">
        <v>-28.857199999999899</v>
      </c>
      <c r="AD4477">
        <v>-1.109961385711</v>
      </c>
      <c r="AE4477">
        <v>-0.190799999999995</v>
      </c>
      <c r="AF4477">
        <v>-0.54831079719429598</v>
      </c>
      <c r="AG4477">
        <v>-1.109961385711</v>
      </c>
      <c r="AH4477">
        <v>28.809984040064801</v>
      </c>
      <c r="AI4477">
        <v>92.205942472797105</v>
      </c>
      <c r="AJ4477">
        <v>91.0903200157464</v>
      </c>
      <c r="AK4477">
        <v>28.836571214290998</v>
      </c>
      <c r="AL4477">
        <v>80.041647152393097</v>
      </c>
      <c r="AM4477">
        <v>93.151274944287394</v>
      </c>
      <c r="AN4477">
        <v>1.0000000297098099</v>
      </c>
    </row>
    <row r="4478" spans="1:40" x14ac:dyDescent="0.25">
      <c r="A4478" t="str">
        <f>"20190304155725308"</f>
        <v>20190304155725308</v>
      </c>
      <c r="B4478" t="str">
        <f>"1551686245298821"</f>
        <v>1551686245298821</v>
      </c>
      <c r="C4478" t="s">
        <v>40</v>
      </c>
      <c r="D4478">
        <v>4.9691660000000004</v>
      </c>
      <c r="E4478">
        <v>0.50889240000000002</v>
      </c>
      <c r="F4478" t="s">
        <v>41</v>
      </c>
      <c r="G4478">
        <v>-322.15190000000001</v>
      </c>
      <c r="H4478" s="1">
        <v>-3.7770150000000002E-6</v>
      </c>
      <c r="I4478">
        <v>141.22450000000001</v>
      </c>
      <c r="J4478">
        <v>-294.5403</v>
      </c>
      <c r="K4478">
        <v>1.1099619999999999</v>
      </c>
      <c r="L4478">
        <v>141.55090000000001</v>
      </c>
      <c r="M4478">
        <v>-0.99980939999999996</v>
      </c>
      <c r="N4478">
        <v>-1.5047919999999999E-2</v>
      </c>
      <c r="O4478">
        <v>1.2443259999999999E-2</v>
      </c>
      <c r="P4478">
        <v>-0.98649480000000001</v>
      </c>
      <c r="Q4478">
        <v>0.15831779999999901</v>
      </c>
      <c r="R4478">
        <v>-4.1996140000000001E-2</v>
      </c>
      <c r="S4478">
        <v>-3.0589599999999999</v>
      </c>
      <c r="T4478">
        <v>-0.12185849999999999</v>
      </c>
      <c r="U4478">
        <v>-3.5476679999999997E-2</v>
      </c>
      <c r="V4478">
        <v>-5.424201E-2</v>
      </c>
      <c r="W4478">
        <v>0.1731441</v>
      </c>
      <c r="X4478">
        <v>0.98340170000000005</v>
      </c>
      <c r="Y4478">
        <v>-2.4009719999999998E-2</v>
      </c>
      <c r="Z4478">
        <v>-9.6706940000000001E-4</v>
      </c>
      <c r="AA4478">
        <v>0.99971129999999997</v>
      </c>
      <c r="AB4478">
        <v>40</v>
      </c>
      <c r="AC4478">
        <v>-27.611599999999999</v>
      </c>
      <c r="AD4478">
        <v>-1.109965777015</v>
      </c>
      <c r="AE4478">
        <v>-0.32640000000000602</v>
      </c>
      <c r="AF4478">
        <v>-0.66891113344552799</v>
      </c>
      <c r="AG4478">
        <v>-1.109965777015</v>
      </c>
      <c r="AH4478">
        <v>27.560868282191699</v>
      </c>
      <c r="AI4478">
        <v>92.305562802378901</v>
      </c>
      <c r="AJ4478">
        <v>91.390314043562896</v>
      </c>
      <c r="AK4478">
        <v>27.591319769067098</v>
      </c>
      <c r="AL4478">
        <v>80.029325636973596</v>
      </c>
      <c r="AM4478">
        <v>93.157094676648796</v>
      </c>
      <c r="AN4478">
        <v>0.99999998928826905</v>
      </c>
    </row>
    <row r="4479" spans="1:40" x14ac:dyDescent="0.25">
      <c r="A4479" t="str">
        <f>"20190304155725328"</f>
        <v>20190304155725328</v>
      </c>
      <c r="B4479" t="str">
        <f>"1551686245319318"</f>
        <v>1551686245319318</v>
      </c>
      <c r="C4479" t="s">
        <v>40</v>
      </c>
      <c r="D4479">
        <v>4.8438359999999996</v>
      </c>
      <c r="E4479">
        <v>0.50866160000000005</v>
      </c>
      <c r="F4479" t="s">
        <v>41</v>
      </c>
      <c r="G4479">
        <v>-322.27820000000003</v>
      </c>
      <c r="H4479" s="1">
        <v>-3.704152E-6</v>
      </c>
      <c r="I4479">
        <v>141.15440000000001</v>
      </c>
      <c r="J4479">
        <v>-294.89069999999998</v>
      </c>
      <c r="K4479">
        <v>1.109969</v>
      </c>
      <c r="L4479">
        <v>141.55529999999999</v>
      </c>
      <c r="M4479">
        <v>-0.9998089</v>
      </c>
      <c r="N4479">
        <v>-1.505344E-2</v>
      </c>
      <c r="O4479">
        <v>1.2479260000000001E-2</v>
      </c>
      <c r="P4479">
        <v>-0.98645020000000005</v>
      </c>
      <c r="Q4479">
        <v>0.1586497</v>
      </c>
      <c r="R4479">
        <v>-4.1793289999999997E-2</v>
      </c>
      <c r="S4479">
        <v>-3.0588679999999999</v>
      </c>
      <c r="T4479">
        <v>-0.1224046</v>
      </c>
      <c r="U4479">
        <v>-4.3716430000000001E-2</v>
      </c>
      <c r="V4479">
        <v>-5.4074629999999999E-2</v>
      </c>
      <c r="W4479">
        <v>0.17348079999999999</v>
      </c>
      <c r="X4479">
        <v>0.98335159999999999</v>
      </c>
      <c r="Y4479">
        <v>-2.6735200000000001E-2</v>
      </c>
      <c r="Z4479">
        <v>-1.0473819999999999E-3</v>
      </c>
      <c r="AA4479">
        <v>0.99964200000000003</v>
      </c>
      <c r="AB4479">
        <v>40</v>
      </c>
      <c r="AC4479">
        <v>-27.387499999999999</v>
      </c>
      <c r="AD4479">
        <v>-1.109972704152</v>
      </c>
      <c r="AE4479">
        <v>-0.400899999999978</v>
      </c>
      <c r="AF4479">
        <v>-0.74146557268948399</v>
      </c>
      <c r="AG4479">
        <v>-1.109972704152</v>
      </c>
      <c r="AH4479">
        <v>27.335472989667299</v>
      </c>
      <c r="AI4479">
        <v>92.324396897628205</v>
      </c>
      <c r="AJ4479">
        <v>91.553747897441298</v>
      </c>
      <c r="AK4479">
        <v>27.3680451287313</v>
      </c>
      <c r="AL4479">
        <v>80.009737944827407</v>
      </c>
      <c r="AM4479">
        <v>93.147532160668206</v>
      </c>
      <c r="AN4479">
        <v>1.0000000114004099</v>
      </c>
    </row>
    <row r="4480" spans="1:40" x14ac:dyDescent="0.25">
      <c r="A4480" t="str">
        <f>"20190304155725343"</f>
        <v>20190304155725343</v>
      </c>
      <c r="B4480" t="str">
        <f>"1551686245339814"</f>
        <v>1551686245339814</v>
      </c>
      <c r="C4480" t="s">
        <v>40</v>
      </c>
      <c r="D4480">
        <v>5.1911990000000001</v>
      </c>
      <c r="E4480">
        <v>0.50860300000000003</v>
      </c>
      <c r="F4480" t="s">
        <v>41</v>
      </c>
      <c r="G4480">
        <v>-323.12220000000002</v>
      </c>
      <c r="H4480" s="1">
        <v>-3.337584E-6</v>
      </c>
      <c r="I4480">
        <v>141.13749999999999</v>
      </c>
      <c r="J4480">
        <v>-295.15629999999999</v>
      </c>
      <c r="K4480">
        <v>1.1099749999999999</v>
      </c>
      <c r="L4480">
        <v>141.55860000000001</v>
      </c>
      <c r="M4480">
        <v>-0.99980840000000004</v>
      </c>
      <c r="N4480">
        <v>-1.505682E-2</v>
      </c>
      <c r="O4480">
        <v>1.2504299999999999E-2</v>
      </c>
      <c r="P4480">
        <v>-0.98644699999999996</v>
      </c>
      <c r="Q4480">
        <v>0.15866340000000001</v>
      </c>
      <c r="R4480">
        <v>-4.1812389999999998E-2</v>
      </c>
      <c r="S4480">
        <v>-3.0586549999999999</v>
      </c>
      <c r="T4480">
        <v>-0.1202565</v>
      </c>
      <c r="U4480">
        <v>-4.5257569999999997E-2</v>
      </c>
      <c r="V4480">
        <v>-5.4119019999999997E-2</v>
      </c>
      <c r="W4480">
        <v>0.17349729999999999</v>
      </c>
      <c r="X4480">
        <v>0.98334619999999995</v>
      </c>
      <c r="Y4480">
        <v>-2.7265319999999999E-2</v>
      </c>
      <c r="Z4480">
        <v>-1.0443379999999999E-3</v>
      </c>
      <c r="AA4480">
        <v>0.99962770000000001</v>
      </c>
      <c r="AB4480">
        <v>40</v>
      </c>
      <c r="AC4480">
        <v>-27.965900000000001</v>
      </c>
      <c r="AD4480">
        <v>-1.109978337584</v>
      </c>
      <c r="AE4480">
        <v>-0.42110000000002401</v>
      </c>
      <c r="AF4480">
        <v>-0.76958865570062696</v>
      </c>
      <c r="AG4480">
        <v>-1.109978337584</v>
      </c>
      <c r="AH4480">
        <v>27.9144823818012</v>
      </c>
      <c r="AI4480">
        <v>92.276218807096797</v>
      </c>
      <c r="AJ4480">
        <v>91.579216649963399</v>
      </c>
      <c r="AK4480">
        <v>27.947140198109299</v>
      </c>
      <c r="AL4480">
        <v>80.008777541904195</v>
      </c>
      <c r="AM4480">
        <v>93.150128039998705</v>
      </c>
      <c r="AN4480">
        <v>0.99999996524374402</v>
      </c>
    </row>
    <row r="4481" spans="1:40" x14ac:dyDescent="0.25">
      <c r="A4481" t="str">
        <f>"20190304155725356"</f>
        <v>20190304155725356</v>
      </c>
      <c r="B4481" t="str">
        <f>"1551686245349574"</f>
        <v>1551686245349574</v>
      </c>
      <c r="C4481" t="s">
        <v>40</v>
      </c>
      <c r="D4481">
        <v>5.1625829999999997</v>
      </c>
      <c r="E4481">
        <v>0.50833090000000003</v>
      </c>
      <c r="F4481" t="s">
        <v>41</v>
      </c>
      <c r="G4481">
        <v>-323.5582</v>
      </c>
      <c r="H4481" s="1">
        <v>-3.1487879999999999E-6</v>
      </c>
      <c r="I4481">
        <v>141.1309</v>
      </c>
      <c r="J4481">
        <v>-295.39819999999997</v>
      </c>
      <c r="K4481">
        <v>1.109979</v>
      </c>
      <c r="L4481">
        <v>141.5616</v>
      </c>
      <c r="M4481">
        <v>-0.99980809999999998</v>
      </c>
      <c r="N4481">
        <v>-1.505947E-2</v>
      </c>
      <c r="O4481">
        <v>1.2524860000000001E-2</v>
      </c>
      <c r="P4481">
        <v>-0.98643930000000002</v>
      </c>
      <c r="Q4481">
        <v>0.15866939999999999</v>
      </c>
      <c r="R4481">
        <v>-4.1973490000000002E-2</v>
      </c>
      <c r="S4481">
        <v>-3.0585330000000002</v>
      </c>
      <c r="T4481">
        <v>-0.1195312</v>
      </c>
      <c r="U4481">
        <v>-4.605103E-2</v>
      </c>
      <c r="V4481">
        <v>-5.4300859999999999E-2</v>
      </c>
      <c r="W4481">
        <v>0.17350570000000001</v>
      </c>
      <c r="X4481">
        <v>0.98333470000000001</v>
      </c>
      <c r="Y4481">
        <v>-2.7545799999999902E-2</v>
      </c>
      <c r="Z4481">
        <v>-1.0462729999999999E-3</v>
      </c>
      <c r="AA4481">
        <v>0.99961999999999995</v>
      </c>
      <c r="AB4481">
        <v>40</v>
      </c>
      <c r="AC4481">
        <v>-28.16</v>
      </c>
      <c r="AD4481">
        <v>-1.1099821487879999</v>
      </c>
      <c r="AE4481">
        <v>-0.43070000000000103</v>
      </c>
      <c r="AF4481">
        <v>-0.78219128022227302</v>
      </c>
      <c r="AG4481">
        <v>-1.1099821487879999</v>
      </c>
      <c r="AH4481">
        <v>28.108733306376799</v>
      </c>
      <c r="AI4481">
        <v>92.260496564215202</v>
      </c>
      <c r="AJ4481">
        <v>91.5939777871328</v>
      </c>
      <c r="AK4481">
        <v>28.141513315003198</v>
      </c>
      <c r="AL4481">
        <v>80.008288911522399</v>
      </c>
      <c r="AM4481">
        <v>93.160727940386394</v>
      </c>
      <c r="AN4481">
        <v>0.999999971776659</v>
      </c>
    </row>
    <row r="4482" spans="1:40" x14ac:dyDescent="0.25">
      <c r="A4482" t="str">
        <f>"20190304155725372"</f>
        <v>20190304155725372</v>
      </c>
      <c r="B4482" t="str">
        <f>"1551686245369093"</f>
        <v>1551686245369093</v>
      </c>
      <c r="C4482" t="s">
        <v>40</v>
      </c>
      <c r="D4482">
        <v>4.8183819999999997</v>
      </c>
      <c r="E4482">
        <v>0.5087585</v>
      </c>
      <c r="F4482" t="s">
        <v>41</v>
      </c>
      <c r="G4482">
        <v>-323.35879999999997</v>
      </c>
      <c r="H4482" s="1">
        <v>-3.2301389999999998E-6</v>
      </c>
      <c r="I4482">
        <v>141.11510000000001</v>
      </c>
      <c r="J4482">
        <v>-295.69310000000002</v>
      </c>
      <c r="K4482">
        <v>1.109982</v>
      </c>
      <c r="L4482">
        <v>141.56540000000001</v>
      </c>
      <c r="M4482">
        <v>-0.99980780000000002</v>
      </c>
      <c r="N4482">
        <v>-1.506212E-2</v>
      </c>
      <c r="O4482">
        <v>1.254652E-2</v>
      </c>
      <c r="P4482">
        <v>-0.98641630000000002</v>
      </c>
      <c r="Q4482">
        <v>0.15875239999999999</v>
      </c>
      <c r="R4482">
        <v>-4.2198960000000001E-2</v>
      </c>
      <c r="S4482">
        <v>-3.0586850000000001</v>
      </c>
      <c r="T4482">
        <v>-0.12142409999999999</v>
      </c>
      <c r="U4482">
        <v>-4.8843379999999999E-2</v>
      </c>
      <c r="V4482">
        <v>-5.4549489999999999E-2</v>
      </c>
      <c r="W4482">
        <v>0.17359069999999999</v>
      </c>
      <c r="X4482">
        <v>0.98330600000000001</v>
      </c>
      <c r="Y4482">
        <v>-2.8477059999999998E-2</v>
      </c>
      <c r="Z4482">
        <v>-1.0885090000000001E-3</v>
      </c>
      <c r="AA4482">
        <v>0.99959390000000004</v>
      </c>
      <c r="AB4482">
        <v>40</v>
      </c>
      <c r="AC4482">
        <v>-27.665699999999902</v>
      </c>
      <c r="AD4482">
        <v>-1.1099852301390001</v>
      </c>
      <c r="AE4482">
        <v>-0.45029999999999798</v>
      </c>
      <c r="AF4482">
        <v>-0.79613099062919401</v>
      </c>
      <c r="AG4482">
        <v>-1.1099852301390001</v>
      </c>
      <c r="AH4482">
        <v>27.613433382135302</v>
      </c>
      <c r="AI4482">
        <v>92.300940770620102</v>
      </c>
      <c r="AJ4482">
        <v>91.651453925692806</v>
      </c>
      <c r="AK4482">
        <v>27.647198681150201</v>
      </c>
      <c r="AL4482">
        <v>80.003344355340005</v>
      </c>
      <c r="AM4482">
        <v>93.175263060130106</v>
      </c>
      <c r="AN4482">
        <v>1.0000000338108701</v>
      </c>
    </row>
    <row r="4483" spans="1:40" x14ac:dyDescent="0.25">
      <c r="A4483" t="str">
        <f>"20190304155725385"</f>
        <v>20190304155725385</v>
      </c>
      <c r="B4483" t="str">
        <f>"1551686245379830"</f>
        <v>1551686245379830</v>
      </c>
      <c r="C4483" t="s">
        <v>40</v>
      </c>
      <c r="D4483">
        <v>4.8369210000000002</v>
      </c>
      <c r="E4483">
        <v>0.50895849999999998</v>
      </c>
      <c r="F4483" t="s">
        <v>41</v>
      </c>
      <c r="G4483">
        <v>-324.70490000000001</v>
      </c>
      <c r="H4483" s="1">
        <v>-2.6559409999999999E-6</v>
      </c>
      <c r="I4483">
        <v>141.12739999999999</v>
      </c>
      <c r="J4483">
        <v>-295.93310000000002</v>
      </c>
      <c r="K4483">
        <v>1.109988</v>
      </c>
      <c r="L4483">
        <v>141.5684</v>
      </c>
      <c r="M4483">
        <v>-0.99980760000000002</v>
      </c>
      <c r="N4483">
        <v>-1.5063780000000001E-2</v>
      </c>
      <c r="O4483">
        <v>1.256086E-2</v>
      </c>
      <c r="P4483">
        <v>-0.98641040000000002</v>
      </c>
      <c r="Q4483">
        <v>0.15866769999999999</v>
      </c>
      <c r="R4483">
        <v>-4.265033E-2</v>
      </c>
      <c r="S4483">
        <v>-3.0581969999999998</v>
      </c>
      <c r="T4483">
        <v>-0.11700629999999999</v>
      </c>
      <c r="U4483">
        <v>-4.6157839999999999E-2</v>
      </c>
      <c r="V4483">
        <v>-5.5016370000000002E-2</v>
      </c>
      <c r="W4483">
        <v>0.17350660000000001</v>
      </c>
      <c r="X4483">
        <v>0.98329480000000002</v>
      </c>
      <c r="Y4483">
        <v>-2.7619560000000001E-2</v>
      </c>
      <c r="Z4483">
        <v>-1.0275E-3</v>
      </c>
      <c r="AA4483">
        <v>0.99961800000000001</v>
      </c>
      <c r="AB4483">
        <v>40</v>
      </c>
      <c r="AC4483">
        <v>-28.771799999999899</v>
      </c>
      <c r="AD4483">
        <v>-1.109990655941</v>
      </c>
      <c r="AE4483">
        <v>-0.441000000000002</v>
      </c>
      <c r="AF4483">
        <v>-0.80121257325891204</v>
      </c>
      <c r="AG4483">
        <v>-1.109990655941</v>
      </c>
      <c r="AH4483">
        <v>28.721252501332501</v>
      </c>
      <c r="AI4483">
        <v>92.212349574029105</v>
      </c>
      <c r="AJ4483">
        <v>91.597917657695703</v>
      </c>
      <c r="AK4483">
        <v>28.753858281787601</v>
      </c>
      <c r="AL4483">
        <v>80.0082368608781</v>
      </c>
      <c r="AM4483">
        <v>93.202419684084504</v>
      </c>
      <c r="AN4483">
        <v>1.0000000024592799</v>
      </c>
    </row>
    <row r="4484" spans="1:40" x14ac:dyDescent="0.25">
      <c r="A4484" t="str">
        <f>"20190304155725406"</f>
        <v>20190304155725406</v>
      </c>
      <c r="B4484" t="str">
        <f>"1551686245399349"</f>
        <v>1551686245399349</v>
      </c>
      <c r="C4484" t="s">
        <v>40</v>
      </c>
      <c r="D4484">
        <v>4.9290440000000002</v>
      </c>
      <c r="E4484">
        <v>0.50946610000000003</v>
      </c>
      <c r="F4484" t="s">
        <v>41</v>
      </c>
      <c r="G4484">
        <v>-325.41129999999998</v>
      </c>
      <c r="H4484" s="1">
        <v>-2.3527439999999999E-6</v>
      </c>
      <c r="I4484">
        <v>141.12690000000001</v>
      </c>
      <c r="J4484">
        <v>-296.2894</v>
      </c>
      <c r="K4484">
        <v>1.1100000000000001</v>
      </c>
      <c r="L4484">
        <v>141.5729</v>
      </c>
      <c r="M4484">
        <v>-0.99980760000000002</v>
      </c>
      <c r="N4484">
        <v>-1.506561E-2</v>
      </c>
      <c r="O4484">
        <v>1.257748E-2</v>
      </c>
      <c r="P4484">
        <v>-0.98639600000000005</v>
      </c>
      <c r="Q4484">
        <v>0.1586612</v>
      </c>
      <c r="R4484">
        <v>-4.3012130000000003E-2</v>
      </c>
      <c r="S4484">
        <v>-3.0578609999999999</v>
      </c>
      <c r="T4484">
        <v>-0.1151428</v>
      </c>
      <c r="U4484">
        <v>-4.579163E-2</v>
      </c>
      <c r="V4484">
        <v>-5.5397149999999999E-2</v>
      </c>
      <c r="W4484">
        <v>0.17350099999999999</v>
      </c>
      <c r="X4484">
        <v>0.98327439999999999</v>
      </c>
      <c r="Y4484">
        <v>-2.7519160000000001E-2</v>
      </c>
      <c r="Z4484">
        <v>-1.009285E-3</v>
      </c>
      <c r="AA4484">
        <v>0.99962079999999998</v>
      </c>
      <c r="AB4484">
        <v>40</v>
      </c>
      <c r="AC4484">
        <v>-29.121899999999901</v>
      </c>
      <c r="AD4484">
        <v>-1.1100023527439999</v>
      </c>
      <c r="AE4484">
        <v>-0.44599999999999801</v>
      </c>
      <c r="AF4484">
        <v>-0.811108220839584</v>
      </c>
      <c r="AG4484">
        <v>-1.1100023527439999</v>
      </c>
      <c r="AH4484">
        <v>29.071759957374301</v>
      </c>
      <c r="AI4484">
        <v>92.185724884628996</v>
      </c>
      <c r="AJ4484">
        <v>91.598149713950804</v>
      </c>
      <c r="AK4484">
        <v>29.104247607320101</v>
      </c>
      <c r="AL4484">
        <v>80.008562567734899</v>
      </c>
      <c r="AM4484">
        <v>93.224604458719199</v>
      </c>
      <c r="AN4484">
        <v>0.999999993462241</v>
      </c>
    </row>
    <row r="4485" spans="1:40" x14ac:dyDescent="0.25">
      <c r="A4485" t="str">
        <f>"20190304155725420"</f>
        <v>20190304155725420</v>
      </c>
      <c r="B4485" t="str">
        <f>"1551686245409109"</f>
        <v>1551686245409109</v>
      </c>
      <c r="C4485" t="s">
        <v>40</v>
      </c>
      <c r="D4485">
        <v>5.050745</v>
      </c>
      <c r="E4485">
        <v>0.50926300000000002</v>
      </c>
      <c r="F4485" t="s">
        <v>41</v>
      </c>
      <c r="G4485">
        <v>-326.178</v>
      </c>
      <c r="H4485" s="1">
        <v>-2.0313100000000002E-6</v>
      </c>
      <c r="I4485">
        <v>141.1549</v>
      </c>
      <c r="J4485">
        <v>-296.54430000000002</v>
      </c>
      <c r="K4485">
        <v>1.110007</v>
      </c>
      <c r="L4485">
        <v>141.5761</v>
      </c>
      <c r="M4485">
        <v>-0.99980729999999995</v>
      </c>
      <c r="N4485">
        <v>-1.506645E-2</v>
      </c>
      <c r="O4485">
        <v>1.258627E-2</v>
      </c>
      <c r="P4485">
        <v>-0.98638539999999997</v>
      </c>
      <c r="Q4485">
        <v>0.15868829999999901</v>
      </c>
      <c r="R4485">
        <v>-4.3151259999999997E-2</v>
      </c>
      <c r="S4485">
        <v>-3.0577390000000002</v>
      </c>
      <c r="T4485">
        <v>-0.1135587</v>
      </c>
      <c r="U4485">
        <v>-4.2755130000000002E-2</v>
      </c>
      <c r="V4485">
        <v>-5.554692E-2</v>
      </c>
      <c r="W4485">
        <v>0.17352819999999999</v>
      </c>
      <c r="X4485">
        <v>0.98326119999999995</v>
      </c>
      <c r="Y4485">
        <v>-2.6537809999999998E-2</v>
      </c>
      <c r="Z4485">
        <v>-9.7027620000000002E-4</v>
      </c>
      <c r="AA4485">
        <v>0.99964730000000002</v>
      </c>
      <c r="AB4485">
        <v>40</v>
      </c>
      <c r="AC4485">
        <v>-29.633699999999902</v>
      </c>
      <c r="AD4485">
        <v>-1.1100090313099999</v>
      </c>
      <c r="AE4485">
        <v>-0.42119999999999802</v>
      </c>
      <c r="AF4485">
        <v>-0.79307419020078296</v>
      </c>
      <c r="AG4485">
        <v>-1.1100090313099999</v>
      </c>
      <c r="AH4485">
        <v>29.584549242902401</v>
      </c>
      <c r="AI4485">
        <v>92.147952520098599</v>
      </c>
      <c r="AJ4485">
        <v>91.535562487227907</v>
      </c>
      <c r="AK4485">
        <v>29.615986234236299</v>
      </c>
      <c r="AL4485">
        <v>80.006980608549696</v>
      </c>
      <c r="AM4485">
        <v>93.233347240611593</v>
      </c>
      <c r="AN4485">
        <v>1.0000000419710799</v>
      </c>
    </row>
    <row r="4486" spans="1:40" x14ac:dyDescent="0.25">
      <c r="A4486" t="str">
        <f>"20190304155725434"</f>
        <v>20190304155725434</v>
      </c>
      <c r="B4486" t="str">
        <f>"1551686245429605"</f>
        <v>1551686245429605</v>
      </c>
      <c r="C4486" t="s">
        <v>40</v>
      </c>
      <c r="D4486">
        <v>5.0507019999999896</v>
      </c>
      <c r="E4486">
        <v>0.50929029999999997</v>
      </c>
      <c r="F4486" t="s">
        <v>41</v>
      </c>
      <c r="G4486">
        <v>-326.09280000000001</v>
      </c>
      <c r="H4486" s="1">
        <v>-2.064759E-6</v>
      </c>
      <c r="I4486">
        <v>141.14330000000001</v>
      </c>
      <c r="J4486">
        <v>-296.79500000000002</v>
      </c>
      <c r="K4486">
        <v>1.110012</v>
      </c>
      <c r="L4486">
        <v>141.57929999999999</v>
      </c>
      <c r="M4486">
        <v>-0.99980729999999995</v>
      </c>
      <c r="N4486">
        <v>-1.5067000000000001E-2</v>
      </c>
      <c r="O4486">
        <v>1.259275E-2</v>
      </c>
      <c r="P4486">
        <v>-0.98636230000000003</v>
      </c>
      <c r="Q4486">
        <v>0.1587876</v>
      </c>
      <c r="R4486">
        <v>-4.3313419999999998E-2</v>
      </c>
      <c r="S4486">
        <v>-3.057922</v>
      </c>
      <c r="T4486">
        <v>-0.1148729</v>
      </c>
      <c r="U4486">
        <v>-4.4784549999999999E-2</v>
      </c>
      <c r="V4486">
        <v>-5.5716590000000003E-2</v>
      </c>
      <c r="W4486">
        <v>0.1736269</v>
      </c>
      <c r="X4486">
        <v>0.98323419999999895</v>
      </c>
      <c r="Y4486">
        <v>-2.7205440000000001E-2</v>
      </c>
      <c r="Z4486">
        <v>-9.990337000000001E-4</v>
      </c>
      <c r="AA4486">
        <v>0.9996294</v>
      </c>
      <c r="AB4486">
        <v>40</v>
      </c>
      <c r="AC4486">
        <v>-29.297799999999899</v>
      </c>
      <c r="AD4486">
        <v>-1.110014064759</v>
      </c>
      <c r="AE4486">
        <v>-0.43599999999997802</v>
      </c>
      <c r="AF4486">
        <v>-0.80379358705700799</v>
      </c>
      <c r="AG4486">
        <v>-1.110014064759</v>
      </c>
      <c r="AH4486">
        <v>29.248010683268902</v>
      </c>
      <c r="AI4486">
        <v>92.172614219780201</v>
      </c>
      <c r="AJ4486">
        <v>91.574205905722096</v>
      </c>
      <c r="AK4486">
        <v>29.280101507391802</v>
      </c>
      <c r="AL4486">
        <v>80.001238585968196</v>
      </c>
      <c r="AM4486">
        <v>93.243291430844494</v>
      </c>
      <c r="AN4486">
        <v>1.0000000654272301</v>
      </c>
    </row>
    <row r="4487" spans="1:40" x14ac:dyDescent="0.25">
      <c r="A4487" t="str">
        <f>"20190304155725453"</f>
        <v>20190304155725453</v>
      </c>
      <c r="B4487" t="str">
        <f>"1551686245449126"</f>
        <v>1551686245449126</v>
      </c>
      <c r="C4487" t="s">
        <v>40</v>
      </c>
      <c r="D4487">
        <v>4.8135269999999997</v>
      </c>
      <c r="E4487">
        <v>0.50944460000000003</v>
      </c>
      <c r="F4487" t="s">
        <v>41</v>
      </c>
      <c r="G4487">
        <v>-326.29079999999999</v>
      </c>
      <c r="H4487" s="1">
        <v>-1.98021E-6</v>
      </c>
      <c r="I4487">
        <v>141.1447</v>
      </c>
      <c r="J4487">
        <v>-297.108</v>
      </c>
      <c r="K4487">
        <v>1.1100209999999999</v>
      </c>
      <c r="L4487">
        <v>141.58320000000001</v>
      </c>
      <c r="M4487">
        <v>-0.99980709999999995</v>
      </c>
      <c r="N4487">
        <v>-1.5067250000000001E-2</v>
      </c>
      <c r="O4487">
        <v>1.259834E-2</v>
      </c>
      <c r="P4487">
        <v>-0.98634619999999995</v>
      </c>
      <c r="Q4487">
        <v>0.1588302</v>
      </c>
      <c r="R4487">
        <v>-4.3521049999999999E-2</v>
      </c>
      <c r="S4487">
        <v>-3.058014</v>
      </c>
      <c r="T4487">
        <v>-0.1150824</v>
      </c>
      <c r="U4487">
        <v>-4.5043949999999999E-2</v>
      </c>
      <c r="V4487">
        <v>-5.5931370000000001E-2</v>
      </c>
      <c r="W4487">
        <v>0.17366860000000001</v>
      </c>
      <c r="X4487">
        <v>0.98321460000000005</v>
      </c>
      <c r="Y4487">
        <v>-2.7295179999999999E-2</v>
      </c>
      <c r="Z4487">
        <v>-1.0032870000000001E-3</v>
      </c>
      <c r="AA4487">
        <v>0.99962689999999998</v>
      </c>
      <c r="AB4487">
        <v>40</v>
      </c>
      <c r="AC4487">
        <v>-29.182799999999901</v>
      </c>
      <c r="AD4487">
        <v>-1.1100229802099999</v>
      </c>
      <c r="AE4487">
        <v>-0.438500000000004</v>
      </c>
      <c r="AF4487">
        <v>-0.80499736108031095</v>
      </c>
      <c r="AG4487">
        <v>-1.1100229802099999</v>
      </c>
      <c r="AH4487">
        <v>29.132818467353299</v>
      </c>
      <c r="AI4487">
        <v>92.181205035992605</v>
      </c>
      <c r="AJ4487">
        <v>91.582792891891103</v>
      </c>
      <c r="AK4487">
        <v>29.165069580230799</v>
      </c>
      <c r="AL4487">
        <v>79.998812088216894</v>
      </c>
      <c r="AM4487">
        <v>93.255831803840195</v>
      </c>
      <c r="AN4487">
        <v>1.00000002521459</v>
      </c>
    </row>
    <row r="4488" spans="1:40" x14ac:dyDescent="0.25">
      <c r="A4488" t="str">
        <f>"20190304155725475"</f>
        <v>20190304155725475</v>
      </c>
      <c r="B4488" t="str">
        <f>"1551686245469621"</f>
        <v>1551686245469621</v>
      </c>
      <c r="C4488" t="s">
        <v>40</v>
      </c>
      <c r="D4488">
        <v>4.8233430000000004</v>
      </c>
      <c r="E4488">
        <v>0.50966909999999999</v>
      </c>
      <c r="F4488" t="s">
        <v>41</v>
      </c>
      <c r="G4488">
        <v>-327.41250000000002</v>
      </c>
      <c r="H4488" s="1">
        <v>-1.498156E-6</v>
      </c>
      <c r="I4488">
        <v>141.14150000000001</v>
      </c>
      <c r="J4488">
        <v>-297.5068</v>
      </c>
      <c r="K4488">
        <v>1.1100300000000001</v>
      </c>
      <c r="L4488">
        <v>141.5882</v>
      </c>
      <c r="M4488">
        <v>-0.99980709999999995</v>
      </c>
      <c r="N4488">
        <v>-1.5066909999999999E-2</v>
      </c>
      <c r="O4488">
        <v>1.2601970000000001E-2</v>
      </c>
      <c r="P4488">
        <v>-0.98629109999999998</v>
      </c>
      <c r="Q4488">
        <v>0.1591543</v>
      </c>
      <c r="R4488">
        <v>-4.3587109999999998E-2</v>
      </c>
      <c r="S4488">
        <v>-3.057617</v>
      </c>
      <c r="T4488">
        <v>-0.1119975</v>
      </c>
      <c r="U4488">
        <v>-4.4555659999999997E-2</v>
      </c>
      <c r="V4488">
        <v>-5.6001269999999999E-2</v>
      </c>
      <c r="W4488">
        <v>0.17399120000000001</v>
      </c>
      <c r="X4488">
        <v>0.98315359999999996</v>
      </c>
      <c r="Y4488">
        <v>-2.7142759999999998E-2</v>
      </c>
      <c r="Z4488">
        <v>-9.7309570000000001E-4</v>
      </c>
      <c r="AA4488">
        <v>0.99963109999999999</v>
      </c>
      <c r="AB4488">
        <v>40</v>
      </c>
      <c r="AC4488">
        <v>-29.9057</v>
      </c>
      <c r="AD4488">
        <v>-1.11003149815599</v>
      </c>
      <c r="AE4488">
        <v>-0.44669999999999199</v>
      </c>
      <c r="AF4488">
        <v>-0.82244517706833198</v>
      </c>
      <c r="AG4488">
        <v>-1.11003149815599</v>
      </c>
      <c r="AH4488">
        <v>29.856569792279402</v>
      </c>
      <c r="AI4488">
        <v>92.128401132276693</v>
      </c>
      <c r="AJ4488">
        <v>91.577901420245098</v>
      </c>
      <c r="AK4488">
        <v>29.888515281917801</v>
      </c>
      <c r="AL4488">
        <v>79.980042874814799</v>
      </c>
      <c r="AM4488">
        <v>93.260093820738007</v>
      </c>
      <c r="AN4488">
        <v>1.0000000405559999</v>
      </c>
    </row>
    <row r="4489" spans="1:40" x14ac:dyDescent="0.25">
      <c r="A4489" t="str">
        <f>"20190304155725495"</f>
        <v>20190304155725495</v>
      </c>
      <c r="B4489" t="str">
        <f>"1551686245489141"</f>
        <v>1551686245489141</v>
      </c>
      <c r="C4489" t="s">
        <v>40</v>
      </c>
      <c r="D4489">
        <v>4.8284699999999896</v>
      </c>
      <c r="E4489">
        <v>0.50979579999999902</v>
      </c>
      <c r="F4489" t="s">
        <v>41</v>
      </c>
      <c r="G4489">
        <v>-328.66460000000001</v>
      </c>
      <c r="H4489" s="1">
        <v>-9.629565000000001E-7</v>
      </c>
      <c r="I4489">
        <v>141.1489</v>
      </c>
      <c r="J4489">
        <v>-297.87880000000001</v>
      </c>
      <c r="K4489">
        <v>1.1100350000000001</v>
      </c>
      <c r="L4489">
        <v>141.59289999999999</v>
      </c>
      <c r="M4489">
        <v>-0.99980709999999995</v>
      </c>
      <c r="N4489">
        <v>-1.5066090000000001E-2</v>
      </c>
      <c r="O4489">
        <v>1.260294E-2</v>
      </c>
      <c r="P4489">
        <v>-0.98619769999999896</v>
      </c>
      <c r="Q4489">
        <v>0.15975909999999999</v>
      </c>
      <c r="R4489">
        <v>-4.3490090000000002E-2</v>
      </c>
      <c r="S4489">
        <v>-3.0573730000000001</v>
      </c>
      <c r="T4489">
        <v>-0.1089224</v>
      </c>
      <c r="U4489">
        <v>-4.3106079999999998E-2</v>
      </c>
      <c r="V4489">
        <v>-5.5905200000000002E-2</v>
      </c>
      <c r="W4489">
        <v>0.1745932</v>
      </c>
      <c r="X4489">
        <v>0.98305229999999999</v>
      </c>
      <c r="Y4489">
        <v>-2.6672910000000001E-2</v>
      </c>
      <c r="Z4489">
        <v>-9.3497950000000002E-4</v>
      </c>
      <c r="AA4489">
        <v>0.99964379999999997</v>
      </c>
      <c r="AB4489">
        <v>40</v>
      </c>
      <c r="AC4489">
        <v>-30.785799999999899</v>
      </c>
      <c r="AD4489">
        <v>-1.1100359629565</v>
      </c>
      <c r="AE4489">
        <v>-0.44399999999998802</v>
      </c>
      <c r="AF4489">
        <v>-0.83092030436994802</v>
      </c>
      <c r="AG4489">
        <v>-1.1100359629565</v>
      </c>
      <c r="AH4489">
        <v>30.737804507289201</v>
      </c>
      <c r="AI4489">
        <v>92.067472123450102</v>
      </c>
      <c r="AJ4489">
        <v>91.548472173388703</v>
      </c>
      <c r="AK4489">
        <v>30.7690629418512</v>
      </c>
      <c r="AL4489">
        <v>79.945014269093804</v>
      </c>
      <c r="AM4489">
        <v>93.254847817300003</v>
      </c>
      <c r="AN4489">
        <v>1.00000000070428</v>
      </c>
    </row>
    <row r="4490" spans="1:40" x14ac:dyDescent="0.25">
      <c r="A4490" t="str">
        <f>"20190304155725508"</f>
        <v>20190304155725508</v>
      </c>
      <c r="B4490" t="str">
        <f>"1551686245499878"</f>
        <v>1551686245499878</v>
      </c>
      <c r="C4490" t="s">
        <v>40</v>
      </c>
      <c r="D4490">
        <v>4.9784839999999999</v>
      </c>
      <c r="E4490">
        <v>0.50970819999999994</v>
      </c>
      <c r="F4490" t="s">
        <v>41</v>
      </c>
      <c r="G4490">
        <v>-330.2457</v>
      </c>
      <c r="H4490" s="1">
        <v>-4.8893919999999999E-6</v>
      </c>
      <c r="I4490">
        <v>141.1524</v>
      </c>
      <c r="J4490">
        <v>-298.11130000000003</v>
      </c>
      <c r="K4490">
        <v>1.1100350000000001</v>
      </c>
      <c r="L4490">
        <v>141.5959</v>
      </c>
      <c r="M4490">
        <v>-0.99980720000000001</v>
      </c>
      <c r="N4490">
        <v>-1.50654E-2</v>
      </c>
      <c r="O4490">
        <v>1.2602739999999999E-2</v>
      </c>
      <c r="P4490">
        <v>-0.98617080000000001</v>
      </c>
      <c r="Q4490">
        <v>0.15993019999999999</v>
      </c>
      <c r="R4490">
        <v>-4.3473280000000003E-2</v>
      </c>
      <c r="S4490">
        <v>-3.0570979999999999</v>
      </c>
      <c r="T4490">
        <v>-0.1048447</v>
      </c>
      <c r="U4490">
        <v>-4.1610719999999997E-2</v>
      </c>
      <c r="V4490">
        <v>-5.5888970000000003E-2</v>
      </c>
      <c r="W4490">
        <v>0.17476320000000001</v>
      </c>
      <c r="X4490">
        <v>0.98302299999999998</v>
      </c>
      <c r="Y4490">
        <v>-2.6187350000000002E-2</v>
      </c>
      <c r="Z4490">
        <v>-8.8850179999999895E-4</v>
      </c>
      <c r="AA4490">
        <v>0.99965669999999995</v>
      </c>
      <c r="AB4490">
        <v>40</v>
      </c>
      <c r="AC4490">
        <v>-32.1343999999999</v>
      </c>
      <c r="AD4490">
        <v>-1.110039889392</v>
      </c>
      <c r="AE4490">
        <v>-0.44350000000000001</v>
      </c>
      <c r="AF4490">
        <v>-0.84748110116233</v>
      </c>
      <c r="AG4490">
        <v>-1.110039889392</v>
      </c>
      <c r="AH4490">
        <v>32.087975277623798</v>
      </c>
      <c r="AI4490">
        <v>91.980589410450804</v>
      </c>
      <c r="AJ4490">
        <v>91.512897098741902</v>
      </c>
      <c r="AK4490">
        <v>32.118352544772101</v>
      </c>
      <c r="AL4490">
        <v>79.935121745335906</v>
      </c>
      <c r="AM4490">
        <v>93.254001701300695</v>
      </c>
      <c r="AN4490">
        <v>0.99999998578545002</v>
      </c>
    </row>
    <row r="4491" spans="1:40" x14ac:dyDescent="0.25">
      <c r="A4491" t="str">
        <f>"20190304155725523"</f>
        <v>20190304155725523</v>
      </c>
      <c r="B4491" t="str">
        <f>"1551686245519398"</f>
        <v>1551686245519398</v>
      </c>
      <c r="C4491" t="s">
        <v>40</v>
      </c>
      <c r="D4491">
        <v>4.9404379999999897</v>
      </c>
      <c r="E4491">
        <v>0.5096309</v>
      </c>
      <c r="F4491" t="s">
        <v>41</v>
      </c>
      <c r="G4491">
        <v>-330.98509999999999</v>
      </c>
      <c r="H4491" s="1">
        <v>-4.6033389999999996E-6</v>
      </c>
      <c r="I4491">
        <v>141.1404</v>
      </c>
      <c r="J4491">
        <v>-298.36419999999998</v>
      </c>
      <c r="K4491">
        <v>1.110039</v>
      </c>
      <c r="L4491">
        <v>141.59899999999999</v>
      </c>
      <c r="M4491">
        <v>-0.99980720000000001</v>
      </c>
      <c r="N4491">
        <v>-1.50644E-2</v>
      </c>
      <c r="O4491">
        <v>1.2602250000000001E-2</v>
      </c>
      <c r="P4491">
        <v>-0.98612429999999995</v>
      </c>
      <c r="Q4491">
        <v>0.16023029999999999</v>
      </c>
      <c r="R4491">
        <v>-4.3421910000000001E-2</v>
      </c>
      <c r="S4491">
        <v>-3.0569760000000001</v>
      </c>
      <c r="T4491">
        <v>-0.103224</v>
      </c>
      <c r="U4491">
        <v>-4.2358399999999997E-2</v>
      </c>
      <c r="V4491">
        <v>-5.5836749999999997E-2</v>
      </c>
      <c r="W4491">
        <v>0.17506169999999999</v>
      </c>
      <c r="X4491">
        <v>0.98297290000000004</v>
      </c>
      <c r="Y4491">
        <v>-2.643235E-2</v>
      </c>
      <c r="Z4491">
        <v>-8.8089410000000005E-4</v>
      </c>
      <c r="AA4491">
        <v>0.99965020000000004</v>
      </c>
      <c r="AB4491">
        <v>40</v>
      </c>
      <c r="AC4491">
        <v>-32.620899999999999</v>
      </c>
      <c r="AD4491">
        <v>-1.110043603339</v>
      </c>
      <c r="AE4491">
        <v>-0.45859999999998902</v>
      </c>
      <c r="AF4491">
        <v>-0.86870121579221204</v>
      </c>
      <c r="AG4491">
        <v>-1.110043603339</v>
      </c>
      <c r="AH4491">
        <v>32.574816474904203</v>
      </c>
      <c r="AI4491">
        <v>91.951005159186096</v>
      </c>
      <c r="AJ4491">
        <v>91.527594769350401</v>
      </c>
      <c r="AK4491">
        <v>32.605298756142702</v>
      </c>
      <c r="AL4491">
        <v>79.917751638614007</v>
      </c>
      <c r="AM4491">
        <v>93.251133180363794</v>
      </c>
      <c r="AN4491">
        <v>1.0000000317959299</v>
      </c>
    </row>
    <row r="4492" spans="1:40" x14ac:dyDescent="0.25">
      <c r="A4492" t="str">
        <f>"20190304155725539"</f>
        <v>20190304155725539</v>
      </c>
      <c r="B4492" t="str">
        <f>"1551686245529159"</f>
        <v>1551686245529159</v>
      </c>
      <c r="C4492" t="s">
        <v>40</v>
      </c>
      <c r="D4492">
        <v>4.8565339999999999</v>
      </c>
      <c r="E4492">
        <v>0.5096309</v>
      </c>
      <c r="F4492" t="s">
        <v>41</v>
      </c>
      <c r="G4492">
        <v>-331.32499999999999</v>
      </c>
      <c r="H4492" s="1">
        <v>-4.4726479999999998E-6</v>
      </c>
      <c r="I4492">
        <v>141.13939999999999</v>
      </c>
      <c r="J4492">
        <v>-298.66460000000001</v>
      </c>
      <c r="K4492">
        <v>1.110044</v>
      </c>
      <c r="L4492">
        <v>141.6028</v>
      </c>
      <c r="M4492">
        <v>-0.99980709999999995</v>
      </c>
      <c r="N4492">
        <v>-1.506304E-2</v>
      </c>
      <c r="O4492">
        <v>1.26017E-2</v>
      </c>
      <c r="P4492">
        <v>-0.98601649999999996</v>
      </c>
      <c r="Q4492">
        <v>0.16088369999999999</v>
      </c>
      <c r="R4492">
        <v>-4.3449689999999999E-2</v>
      </c>
      <c r="S4492">
        <v>-3.0570680000000001</v>
      </c>
      <c r="T4492">
        <v>-0.1029552</v>
      </c>
      <c r="U4492">
        <v>-4.263306E-2</v>
      </c>
      <c r="V4492">
        <v>-5.5863450000000002E-2</v>
      </c>
      <c r="W4492">
        <v>0.17571149999999999</v>
      </c>
      <c r="X4492">
        <v>0.98285540000000005</v>
      </c>
      <c r="Y4492">
        <v>-2.6521240000000001E-2</v>
      </c>
      <c r="Z4492">
        <v>-8.8075389999999897E-4</v>
      </c>
      <c r="AA4492">
        <v>0.99964790000000003</v>
      </c>
      <c r="AB4492">
        <v>40</v>
      </c>
      <c r="AC4492">
        <v>-32.660399999999903</v>
      </c>
      <c r="AD4492">
        <v>-1.110048472648</v>
      </c>
      <c r="AE4492">
        <v>-0.46340000000000697</v>
      </c>
      <c r="AF4492">
        <v>-0.87397709462898598</v>
      </c>
      <c r="AG4492">
        <v>-1.110048472648</v>
      </c>
      <c r="AH4492">
        <v>32.614298693809197</v>
      </c>
      <c r="AI4492">
        <v>91.948646939547004</v>
      </c>
      <c r="AJ4492">
        <v>91.535008256252596</v>
      </c>
      <c r="AK4492">
        <v>32.644885094951299</v>
      </c>
      <c r="AL4492">
        <v>79.879934306892693</v>
      </c>
      <c r="AM4492">
        <v>93.253072491105797</v>
      </c>
      <c r="AN4492">
        <v>0.99999999679365603</v>
      </c>
    </row>
    <row r="4493" spans="1:40" x14ac:dyDescent="0.25">
      <c r="A4493" t="str">
        <f>"20190304155725553"</f>
        <v>20190304155725553</v>
      </c>
      <c r="B4493" t="str">
        <f>"1551686245549654"</f>
        <v>1551686245549654</v>
      </c>
      <c r="C4493" t="s">
        <v>40</v>
      </c>
      <c r="D4493">
        <v>4.8464650000000002</v>
      </c>
      <c r="E4493">
        <v>0.49046640000000002</v>
      </c>
      <c r="F4493" t="s">
        <v>41</v>
      </c>
      <c r="G4493">
        <v>-332.30020000000002</v>
      </c>
      <c r="H4493" s="1">
        <v>-4.0244909999999997E-6</v>
      </c>
      <c r="I4493">
        <v>141.13579999999999</v>
      </c>
      <c r="J4493">
        <v>-298.90559999999999</v>
      </c>
      <c r="K4493">
        <v>1.1100460000000001</v>
      </c>
      <c r="L4493">
        <v>141.60589999999999</v>
      </c>
      <c r="M4493">
        <v>-0.99980720000000001</v>
      </c>
      <c r="N4493">
        <v>-1.506182E-2</v>
      </c>
      <c r="O4493">
        <v>1.260121E-2</v>
      </c>
      <c r="P4493">
        <v>-0.98592389999999996</v>
      </c>
      <c r="Q4493">
        <v>0.16137750000000001</v>
      </c>
      <c r="R4493">
        <v>-4.3724470000000001E-2</v>
      </c>
      <c r="S4493">
        <v>-3.0571290000000002</v>
      </c>
      <c r="T4493">
        <v>-0.1008916</v>
      </c>
      <c r="U4493">
        <v>-4.244995E-2</v>
      </c>
      <c r="V4493">
        <v>-5.613684E-2</v>
      </c>
      <c r="W4493">
        <v>0.17620250000000001</v>
      </c>
      <c r="X4493">
        <v>0.98275190000000001</v>
      </c>
      <c r="Y4493">
        <v>-2.6461539999999999E-2</v>
      </c>
      <c r="Z4493">
        <v>-8.6184580000000003E-4</v>
      </c>
      <c r="AA4493">
        <v>0.99964949999999997</v>
      </c>
      <c r="AB4493">
        <v>40</v>
      </c>
      <c r="AC4493">
        <v>-33.394599999999997</v>
      </c>
      <c r="AD4493">
        <v>-1.1100500244910001</v>
      </c>
      <c r="AE4493">
        <v>-0.47010000000000202</v>
      </c>
      <c r="AF4493">
        <v>-0.889939634930771</v>
      </c>
      <c r="AG4493">
        <v>-1.1100500244910001</v>
      </c>
      <c r="AH4493">
        <v>33.3491823915829</v>
      </c>
      <c r="AI4493">
        <v>91.905746864946195</v>
      </c>
      <c r="AJ4493">
        <v>91.528603793841398</v>
      </c>
      <c r="AK4493">
        <v>33.379517219363102</v>
      </c>
      <c r="AL4493">
        <v>79.851356040855805</v>
      </c>
      <c r="AM4493">
        <v>93.269301780699394</v>
      </c>
      <c r="AN4493">
        <v>0.999999981382522</v>
      </c>
    </row>
    <row r="4494" spans="1:40" x14ac:dyDescent="0.25">
      <c r="A4494" t="str">
        <f>"20190304155725566"</f>
        <v>20190304155725566</v>
      </c>
      <c r="B4494" t="str">
        <f>"1551686245559414"</f>
        <v>1551686245559414</v>
      </c>
      <c r="C4494" t="s">
        <v>40</v>
      </c>
      <c r="D4494">
        <v>5.0619550000000002</v>
      </c>
      <c r="E4494">
        <v>0.49046640000000002</v>
      </c>
      <c r="F4494" t="s">
        <v>41</v>
      </c>
      <c r="G4494">
        <v>-333.77300000000002</v>
      </c>
      <c r="H4494" s="1">
        <v>-2.9688959999999898E-6</v>
      </c>
      <c r="I4494">
        <v>139.36330000000001</v>
      </c>
      <c r="J4494">
        <v>-299.13589999999999</v>
      </c>
      <c r="K4494">
        <v>1.1100509999999999</v>
      </c>
      <c r="L4494">
        <v>141.6088</v>
      </c>
      <c r="M4494">
        <v>-0.99980720000000001</v>
      </c>
      <c r="N4494">
        <v>-1.5060509999999999E-2</v>
      </c>
      <c r="O4494">
        <v>1.2601029999999999E-2</v>
      </c>
      <c r="P4494">
        <v>-0.98588350000000002</v>
      </c>
      <c r="Q4494">
        <v>0.16163079999999999</v>
      </c>
      <c r="R4494">
        <v>-4.3694249999999997E-2</v>
      </c>
      <c r="S4494">
        <v>-3.0499879999999999</v>
      </c>
      <c r="T4494">
        <v>-9.7100259999999994E-2</v>
      </c>
      <c r="U4494">
        <v>-0.19616700000000001</v>
      </c>
      <c r="V4494">
        <v>-5.6106139999999999E-2</v>
      </c>
      <c r="W4494">
        <v>0.176454</v>
      </c>
      <c r="X4494">
        <v>0.98270849999999998</v>
      </c>
      <c r="Y4494">
        <v>-7.6697219999999997E-2</v>
      </c>
      <c r="Z4494">
        <v>-2.0088369999999999E-3</v>
      </c>
      <c r="AA4494">
        <v>0.99705239999999995</v>
      </c>
      <c r="AB4494">
        <v>40</v>
      </c>
      <c r="AC4494">
        <v>-34.637099999999997</v>
      </c>
      <c r="AD4494">
        <v>-1.1100539688959901</v>
      </c>
      <c r="AE4494">
        <v>-2.2454999999999901</v>
      </c>
      <c r="AF4494">
        <v>-2.6790941768487202</v>
      </c>
      <c r="AG4494">
        <v>-1.1100539688959901</v>
      </c>
      <c r="AH4494">
        <v>34.570692170630998</v>
      </c>
      <c r="AI4494">
        <v>91.833623396430795</v>
      </c>
      <c r="AJ4494">
        <v>94.431343188905203</v>
      </c>
      <c r="AK4494">
        <v>34.6921103794337</v>
      </c>
      <c r="AL4494">
        <v>79.836716499574493</v>
      </c>
      <c r="AM4494">
        <v>93.2676617395515</v>
      </c>
      <c r="AN4494">
        <v>0.99999995451697299</v>
      </c>
    </row>
    <row r="4495" spans="1:40" x14ac:dyDescent="0.25">
      <c r="A4495" t="str">
        <f>"20190304155725584"</f>
        <v>20190304155725584</v>
      </c>
      <c r="B4495" t="str">
        <f>"1551686245579909"</f>
        <v>1551686245579909</v>
      </c>
      <c r="C4495" t="s">
        <v>40</v>
      </c>
      <c r="D4495">
        <v>4.8212400000000004</v>
      </c>
      <c r="E4495">
        <v>0.49027880000000001</v>
      </c>
      <c r="F4495" t="s">
        <v>41</v>
      </c>
      <c r="G4495">
        <v>-334.28129999999999</v>
      </c>
      <c r="H4495" s="1">
        <v>-2.7308370000000001E-6</v>
      </c>
      <c r="I4495">
        <v>139.35079999999999</v>
      </c>
      <c r="J4495">
        <v>-299.45049999999998</v>
      </c>
      <c r="K4495">
        <v>1.1100540000000001</v>
      </c>
      <c r="L4495">
        <v>141.61269999999999</v>
      </c>
      <c r="M4495">
        <v>-0.99980720000000001</v>
      </c>
      <c r="N4495">
        <v>-1.505856E-2</v>
      </c>
      <c r="O4495">
        <v>1.2601019999999999E-2</v>
      </c>
      <c r="P4495">
        <v>-0.98576010000000003</v>
      </c>
      <c r="Q4495">
        <v>0.16232929999999901</v>
      </c>
      <c r="R4495">
        <v>-4.3888730000000001E-2</v>
      </c>
      <c r="S4495">
        <v>-3.050049</v>
      </c>
      <c r="T4495">
        <v>-9.6334699999999995E-2</v>
      </c>
      <c r="U4495">
        <v>-0.1959534</v>
      </c>
      <c r="V4495">
        <v>-5.6299559999999998E-2</v>
      </c>
      <c r="W4495">
        <v>0.17714859999999999</v>
      </c>
      <c r="X4495">
        <v>0.98257249999999996</v>
      </c>
      <c r="Y4495">
        <v>-7.6627249999999994E-2</v>
      </c>
      <c r="Z4495">
        <v>-1.9943560000000001E-3</v>
      </c>
      <c r="AA4495">
        <v>0.99705779999999999</v>
      </c>
      <c r="AB4495">
        <v>40</v>
      </c>
      <c r="AC4495">
        <v>-34.830800000000004</v>
      </c>
      <c r="AD4495">
        <v>-1.110056730837</v>
      </c>
      <c r="AE4495">
        <v>-2.26189999999999</v>
      </c>
      <c r="AF4495">
        <v>-2.6979449736042298</v>
      </c>
      <c r="AG4495">
        <v>-1.110056730837</v>
      </c>
      <c r="AH4495">
        <v>34.7643667448855</v>
      </c>
      <c r="AI4495">
        <v>91.823404085980897</v>
      </c>
      <c r="AJ4495">
        <v>94.437637027732094</v>
      </c>
      <c r="AK4495">
        <v>34.886563720136898</v>
      </c>
      <c r="AL4495">
        <v>79.796282254080197</v>
      </c>
      <c r="AM4495">
        <v>93.279354971380897</v>
      </c>
      <c r="AN4495">
        <v>0.99999999234720105</v>
      </c>
    </row>
    <row r="4496" spans="1:40" x14ac:dyDescent="0.25">
      <c r="A4496" t="str">
        <f>"20190304155725607"</f>
        <v>20190304155725607</v>
      </c>
      <c r="B4496" t="str">
        <f>"1551686245599429"</f>
        <v>1551686245599429</v>
      </c>
      <c r="C4496" t="s">
        <v>40</v>
      </c>
      <c r="D4496">
        <v>4.8249959999999996</v>
      </c>
      <c r="E4496">
        <v>0.4898033</v>
      </c>
      <c r="F4496" t="s">
        <v>41</v>
      </c>
      <c r="G4496">
        <v>-336.17349999999999</v>
      </c>
      <c r="H4496" s="1">
        <v>-1.858153E-6</v>
      </c>
      <c r="I4496">
        <v>139.22819999999999</v>
      </c>
      <c r="J4496">
        <v>-299.8501</v>
      </c>
      <c r="K4496">
        <v>1.1100570000000001</v>
      </c>
      <c r="L4496">
        <v>141.61779999999999</v>
      </c>
      <c r="M4496">
        <v>-0.99980729999999995</v>
      </c>
      <c r="N4496">
        <v>-1.5055860000000001E-2</v>
      </c>
      <c r="O4496">
        <v>1.2601019999999999E-2</v>
      </c>
      <c r="P4496">
        <v>-0.98563979999999995</v>
      </c>
      <c r="Q4496">
        <v>0.1629013</v>
      </c>
      <c r="R4496">
        <v>-4.4469450000000001E-2</v>
      </c>
      <c r="S4496">
        <v>-3.0497130000000001</v>
      </c>
      <c r="T4496">
        <v>-9.2186210000000005E-2</v>
      </c>
      <c r="U4496">
        <v>-0.1980286</v>
      </c>
      <c r="V4496">
        <v>-5.6879300000000001E-2</v>
      </c>
      <c r="W4496">
        <v>0.1777155</v>
      </c>
      <c r="X4496">
        <v>0.98243670000000005</v>
      </c>
      <c r="Y4496">
        <v>-7.7313670000000001E-2</v>
      </c>
      <c r="Z4496">
        <v>-1.9408260000000001E-3</v>
      </c>
      <c r="AA4496">
        <v>0.99700489999999997</v>
      </c>
      <c r="AB4496">
        <v>39</v>
      </c>
      <c r="AC4496">
        <v>-36.3233999999999</v>
      </c>
      <c r="AD4496">
        <v>-1.110058858153</v>
      </c>
      <c r="AE4496">
        <v>-2.3896000000000002</v>
      </c>
      <c r="AF4496">
        <v>-2.8445288130143802</v>
      </c>
      <c r="AG4496">
        <v>-1.110058858153</v>
      </c>
      <c r="AH4496">
        <v>36.256684950072099</v>
      </c>
      <c r="AI4496">
        <v>91.748289044621998</v>
      </c>
      <c r="AJ4496">
        <v>94.485968124677498</v>
      </c>
      <c r="AK4496">
        <v>36.385035088693002</v>
      </c>
      <c r="AL4496">
        <v>79.763277274677705</v>
      </c>
      <c r="AM4496">
        <v>93.313505949143206</v>
      </c>
      <c r="AN4496">
        <v>0.99999996160781401</v>
      </c>
    </row>
    <row r="4497" spans="1:40" x14ac:dyDescent="0.25">
      <c r="A4497" t="str">
        <f>"20190304155725620"</f>
        <v>20190304155725620</v>
      </c>
      <c r="B4497" t="str">
        <f>"1551686245609190"</f>
        <v>1551686245609190</v>
      </c>
      <c r="C4497" t="s">
        <v>40</v>
      </c>
      <c r="D4497">
        <v>4.7973109999999997</v>
      </c>
      <c r="E4497">
        <v>0.48987750000000002</v>
      </c>
      <c r="F4497" t="s">
        <v>41</v>
      </c>
      <c r="G4497">
        <v>-338.19349999999997</v>
      </c>
      <c r="H4497" s="1">
        <v>-9.3359080000000003E-7</v>
      </c>
      <c r="I4497">
        <v>139.0573</v>
      </c>
      <c r="J4497">
        <v>-300.08010000000002</v>
      </c>
      <c r="K4497">
        <v>1.1100589999999999</v>
      </c>
      <c r="L4497">
        <v>141.6207</v>
      </c>
      <c r="M4497">
        <v>-0.99980729999999995</v>
      </c>
      <c r="N4497">
        <v>-1.505416E-2</v>
      </c>
      <c r="O4497">
        <v>1.2601019999999999E-2</v>
      </c>
      <c r="P4497">
        <v>-0.98557870000000003</v>
      </c>
      <c r="Q4497">
        <v>0.1632555</v>
      </c>
      <c r="R4497">
        <v>-4.4525870000000002E-2</v>
      </c>
      <c r="S4497">
        <v>-3.0491329999999999</v>
      </c>
      <c r="T4497">
        <v>-8.8273879999999999E-2</v>
      </c>
      <c r="U4497">
        <v>-0.2036133</v>
      </c>
      <c r="V4497">
        <v>-5.6934659999999998E-2</v>
      </c>
      <c r="W4497">
        <v>0.178067</v>
      </c>
      <c r="X4497">
        <v>0.98236990000000002</v>
      </c>
      <c r="Y4497">
        <v>-7.9146709999999995E-2</v>
      </c>
      <c r="Z4497">
        <v>-1.9156760000000001E-3</v>
      </c>
      <c r="AA4497">
        <v>0.9968612</v>
      </c>
      <c r="AB4497">
        <v>39</v>
      </c>
      <c r="AC4497">
        <v>-38.113399999999899</v>
      </c>
      <c r="AD4497">
        <v>-1.1100599335907999</v>
      </c>
      <c r="AE4497">
        <v>-2.5634000000000001</v>
      </c>
      <c r="AF4497">
        <v>-3.0409506129776198</v>
      </c>
      <c r="AG4497">
        <v>-1.1100599335907999</v>
      </c>
      <c r="AH4497">
        <v>38.045940001110701</v>
      </c>
      <c r="AI4497">
        <v>91.665925166986796</v>
      </c>
      <c r="AJ4497">
        <v>94.569844202226903</v>
      </c>
      <c r="AK4497">
        <v>38.183414779912603</v>
      </c>
      <c r="AL4497">
        <v>79.742811945507299</v>
      </c>
      <c r="AM4497">
        <v>93.316948781661594</v>
      </c>
      <c r="AN4497">
        <v>1.0000000162121601</v>
      </c>
    </row>
    <row r="4498" spans="1:40" x14ac:dyDescent="0.25">
      <c r="A4498" t="str">
        <f>"20190304155725634"</f>
        <v>20190304155725634</v>
      </c>
      <c r="B4498" t="str">
        <f>"1551686245629686"</f>
        <v>1551686245629686</v>
      </c>
      <c r="C4498" t="s">
        <v>40</v>
      </c>
      <c r="D4498">
        <v>4.8217270000000001</v>
      </c>
      <c r="E4498">
        <v>0.48994979999999999</v>
      </c>
      <c r="F4498" t="s">
        <v>41</v>
      </c>
      <c r="G4498">
        <v>-338.33629999999999</v>
      </c>
      <c r="H4498" s="1">
        <v>-8.6341540000000003E-7</v>
      </c>
      <c r="I4498">
        <v>139.07220000000001</v>
      </c>
      <c r="J4498">
        <v>-300.31709999999998</v>
      </c>
      <c r="K4498">
        <v>1.1100589999999999</v>
      </c>
      <c r="L4498">
        <v>141.62370000000001</v>
      </c>
      <c r="M4498">
        <v>-0.99980749999999996</v>
      </c>
      <c r="N4498">
        <v>-1.5052350000000001E-2</v>
      </c>
      <c r="O4498">
        <v>1.2601029999999999E-2</v>
      </c>
      <c r="P4498">
        <v>-0.98551180000000005</v>
      </c>
      <c r="Q4498">
        <v>0.1635702</v>
      </c>
      <c r="R4498">
        <v>-4.4850139999999997E-2</v>
      </c>
      <c r="S4498">
        <v>-3.0493769999999998</v>
      </c>
      <c r="T4498">
        <v>-8.8482140000000001E-2</v>
      </c>
      <c r="U4498">
        <v>-0.2031403</v>
      </c>
      <c r="V4498">
        <v>-5.7258330000000003E-2</v>
      </c>
      <c r="W4498">
        <v>0.1783785</v>
      </c>
      <c r="X4498">
        <v>0.98229460000000002</v>
      </c>
      <c r="Y4498">
        <v>-7.8987370000000001E-2</v>
      </c>
      <c r="Z4498">
        <v>-1.9155590000000001E-3</v>
      </c>
      <c r="AA4498">
        <v>0.99687380000000003</v>
      </c>
      <c r="AB4498">
        <v>39</v>
      </c>
      <c r="AC4498">
        <v>-38.019199999999998</v>
      </c>
      <c r="AD4498">
        <v>-1.1100598634154</v>
      </c>
      <c r="AE4498">
        <v>-2.5514999999999999</v>
      </c>
      <c r="AF4498">
        <v>-3.0278630073291102</v>
      </c>
      <c r="AG4498">
        <v>-1.1100598634154</v>
      </c>
      <c r="AH4498">
        <v>37.951817274053298</v>
      </c>
      <c r="AI4498">
        <v>91.670073735395107</v>
      </c>
      <c r="AJ4498">
        <v>94.561496676830998</v>
      </c>
      <c r="AK4498">
        <v>38.088589127121097</v>
      </c>
      <c r="AL4498">
        <v>79.724674206158596</v>
      </c>
      <c r="AM4498">
        <v>93.336018100157503</v>
      </c>
      <c r="AN4498">
        <v>1.0000000434028899</v>
      </c>
    </row>
    <row r="4499" spans="1:40" x14ac:dyDescent="0.25">
      <c r="A4499" t="str">
        <f>"20190304155725653"</f>
        <v>20190304155725653</v>
      </c>
      <c r="B4499" t="str">
        <f>"1551686245649206"</f>
        <v>1551686245649206</v>
      </c>
      <c r="C4499" t="s">
        <v>40</v>
      </c>
      <c r="D4499">
        <v>4.8363559999999897</v>
      </c>
      <c r="E4499">
        <v>0.48995379999999999</v>
      </c>
      <c r="F4499" t="s">
        <v>41</v>
      </c>
      <c r="G4499">
        <v>-339.59809999999999</v>
      </c>
      <c r="H4499" s="1">
        <v>-3.0187030000000002E-7</v>
      </c>
      <c r="I4499">
        <v>139.0025</v>
      </c>
      <c r="J4499">
        <v>-300.64890000000003</v>
      </c>
      <c r="K4499">
        <v>1.11006</v>
      </c>
      <c r="L4499">
        <v>141.62780000000001</v>
      </c>
      <c r="M4499">
        <v>-0.99980740000000001</v>
      </c>
      <c r="N4499">
        <v>-1.5049689999999999E-2</v>
      </c>
      <c r="O4499">
        <v>1.2601040000000001E-2</v>
      </c>
      <c r="P4499">
        <v>-0.98544830000000005</v>
      </c>
      <c r="Q4499">
        <v>0.1638162</v>
      </c>
      <c r="R4499">
        <v>-4.534502E-2</v>
      </c>
      <c r="S4499">
        <v>-3.0491329999999999</v>
      </c>
      <c r="T4499">
        <v>-8.6166859999999998E-2</v>
      </c>
      <c r="U4499">
        <v>-0.20346069999999999</v>
      </c>
      <c r="V4499">
        <v>-5.7752709999999999E-2</v>
      </c>
      <c r="W4499">
        <v>0.1786211</v>
      </c>
      <c r="X4499">
        <v>0.98222149999999997</v>
      </c>
      <c r="Y4499">
        <v>-7.909919E-2</v>
      </c>
      <c r="Z4499">
        <v>-1.8785270000000001E-3</v>
      </c>
      <c r="AA4499">
        <v>0.996865</v>
      </c>
      <c r="AB4499">
        <v>39</v>
      </c>
      <c r="AC4499">
        <v>-38.949199999999898</v>
      </c>
      <c r="AD4499">
        <v>-1.1100603018702999</v>
      </c>
      <c r="AE4499">
        <v>-2.62530000000001</v>
      </c>
      <c r="AF4499">
        <v>-3.11343002025311</v>
      </c>
      <c r="AG4499">
        <v>-1.1100603018702999</v>
      </c>
      <c r="AH4499">
        <v>38.881582431553397</v>
      </c>
      <c r="AI4499">
        <v>91.630122251359296</v>
      </c>
      <c r="AJ4499">
        <v>94.578172505689906</v>
      </c>
      <c r="AK4499">
        <v>39.021828926211001</v>
      </c>
      <c r="AL4499">
        <v>79.710546650750103</v>
      </c>
      <c r="AM4499">
        <v>93.365005898308993</v>
      </c>
      <c r="AN4499">
        <v>0.99999997396990103</v>
      </c>
    </row>
    <row r="4500" spans="1:40" x14ac:dyDescent="0.25">
      <c r="A4500" t="str">
        <f>"20190304155725675"</f>
        <v>20190304155725675</v>
      </c>
      <c r="B4500" t="str">
        <f>"1551686245669701"</f>
        <v>1551686245669701</v>
      </c>
      <c r="C4500" t="s">
        <v>40</v>
      </c>
      <c r="D4500">
        <v>4.8530280000000001</v>
      </c>
      <c r="E4500">
        <v>0.48998710000000001</v>
      </c>
      <c r="F4500" t="s">
        <v>41</v>
      </c>
      <c r="G4500">
        <v>-340.25869999999998</v>
      </c>
      <c r="H4500" s="1">
        <v>-4.2764549999999999E-6</v>
      </c>
      <c r="I4500">
        <v>138.96700000000001</v>
      </c>
      <c r="J4500">
        <v>-301.0487</v>
      </c>
      <c r="K4500">
        <v>1.110063</v>
      </c>
      <c r="L4500">
        <v>141.63290000000001</v>
      </c>
      <c r="M4500">
        <v>-0.99980749999999996</v>
      </c>
      <c r="N4500">
        <v>-1.504633E-2</v>
      </c>
      <c r="O4500">
        <v>1.260088E-2</v>
      </c>
      <c r="P4500">
        <v>-0.98540410000000001</v>
      </c>
      <c r="Q4500">
        <v>0.16396279999999999</v>
      </c>
      <c r="R4500">
        <v>-4.5774549999999997E-2</v>
      </c>
      <c r="S4500">
        <v>-3.0490719999999998</v>
      </c>
      <c r="T4500">
        <v>-8.5450170000000006E-2</v>
      </c>
      <c r="U4500">
        <v>-0.20481869999999999</v>
      </c>
      <c r="V4500">
        <v>-5.8181589999999998E-2</v>
      </c>
      <c r="W4500">
        <v>0.1787637</v>
      </c>
      <c r="X4500">
        <v>0.98217030000000005</v>
      </c>
      <c r="Y4500">
        <v>-7.9542799999999997E-2</v>
      </c>
      <c r="Z4500">
        <v>-1.875764E-3</v>
      </c>
      <c r="AA4500">
        <v>0.99682969999999904</v>
      </c>
      <c r="AB4500">
        <v>39</v>
      </c>
      <c r="AC4500">
        <v>-39.209999999999901</v>
      </c>
      <c r="AD4500">
        <v>-1.1100672764549999</v>
      </c>
      <c r="AE4500">
        <v>-2.6658999999999899</v>
      </c>
      <c r="AF4500">
        <v>-3.1573057406760001</v>
      </c>
      <c r="AG4500">
        <v>-1.1100672764549999</v>
      </c>
      <c r="AH4500">
        <v>39.142061656719797</v>
      </c>
      <c r="AI4500">
        <v>91.6192142204183</v>
      </c>
      <c r="AJ4500">
        <v>94.611649701585307</v>
      </c>
      <c r="AK4500">
        <v>39.284880293018801</v>
      </c>
      <c r="AL4500">
        <v>79.702243181617604</v>
      </c>
      <c r="AM4500">
        <v>93.390113161228001</v>
      </c>
      <c r="AN4500">
        <v>1.00000002802735</v>
      </c>
    </row>
    <row r="4501" spans="1:40" x14ac:dyDescent="0.25">
      <c r="A4501" t="str">
        <f>"20190304155725698"</f>
        <v>20190304155725698</v>
      </c>
      <c r="B4501" t="str">
        <f>"1551686245689221"</f>
        <v>1551686245689221</v>
      </c>
      <c r="C4501" t="s">
        <v>40</v>
      </c>
      <c r="D4501">
        <v>4.9822889999999997</v>
      </c>
      <c r="E4501">
        <v>0.48966969999999999</v>
      </c>
      <c r="F4501" t="s">
        <v>41</v>
      </c>
      <c r="G4501">
        <v>-341.18150000000003</v>
      </c>
      <c r="H4501" s="1">
        <v>-3.8876730000000004E-6</v>
      </c>
      <c r="I4501">
        <v>138.9271</v>
      </c>
      <c r="J4501">
        <v>-301.43270000000001</v>
      </c>
      <c r="K4501">
        <v>1.1100650000000001</v>
      </c>
      <c r="L4501">
        <v>141.6377</v>
      </c>
      <c r="M4501">
        <v>-0.99980749999999996</v>
      </c>
      <c r="N4501">
        <v>-1.5042939999999999E-2</v>
      </c>
      <c r="O4501">
        <v>1.2600719999999999E-2</v>
      </c>
      <c r="P4501">
        <v>-0.98539520000000003</v>
      </c>
      <c r="Q4501">
        <v>0.16394979999999901</v>
      </c>
      <c r="R4501">
        <v>-4.6011080000000003E-2</v>
      </c>
      <c r="S4501">
        <v>-3.0489199999999999</v>
      </c>
      <c r="T4501">
        <v>-8.4332699999999997E-2</v>
      </c>
      <c r="U4501">
        <v>-0.20555109999999999</v>
      </c>
      <c r="V4501">
        <v>-5.8418289999999998E-2</v>
      </c>
      <c r="W4501">
        <v>0.17874679999999901</v>
      </c>
      <c r="X4501">
        <v>0.98215929999999996</v>
      </c>
      <c r="Y4501">
        <v>-7.9785300000000003E-2</v>
      </c>
      <c r="Z4501">
        <v>-1.8617460000000001E-3</v>
      </c>
      <c r="AA4501">
        <v>0.99681030000000004</v>
      </c>
      <c r="AB4501">
        <v>39</v>
      </c>
      <c r="AC4501">
        <v>-39.748800000000003</v>
      </c>
      <c r="AD4501">
        <v>-1.1100688876729901</v>
      </c>
      <c r="AE4501">
        <v>-2.7105999999999901</v>
      </c>
      <c r="AF4501">
        <v>-3.2088138592567899</v>
      </c>
      <c r="AG4501">
        <v>-1.1100688876729901</v>
      </c>
      <c r="AH4501">
        <v>39.680679535768597</v>
      </c>
      <c r="AI4501">
        <v>91.597223075220697</v>
      </c>
      <c r="AJ4501">
        <v>94.623214764256502</v>
      </c>
      <c r="AK4501">
        <v>39.825683518793497</v>
      </c>
      <c r="AL4501">
        <v>79.703227069293106</v>
      </c>
      <c r="AM4501">
        <v>93.403910818911996</v>
      </c>
      <c r="AN4501">
        <v>1.0000000028466201</v>
      </c>
    </row>
    <row r="4502" spans="1:40" x14ac:dyDescent="0.25">
      <c r="A4502" t="str">
        <f>"20190304155725719"</f>
        <v>20190304155725719</v>
      </c>
      <c r="B4502" t="str">
        <f>"1551686245709718"</f>
        <v>1551686245709718</v>
      </c>
      <c r="C4502" t="s">
        <v>40</v>
      </c>
      <c r="D4502">
        <v>4.9581799999999996</v>
      </c>
      <c r="E4502">
        <v>0.48954930000000002</v>
      </c>
      <c r="F4502" t="s">
        <v>41</v>
      </c>
      <c r="G4502">
        <v>-341.21890000000002</v>
      </c>
      <c r="H4502" s="1">
        <v>-3.8734869999999997E-6</v>
      </c>
      <c r="I4502">
        <v>138.91669999999999</v>
      </c>
      <c r="J4502">
        <v>-301.81790000000001</v>
      </c>
      <c r="K4502">
        <v>1.1100669999999999</v>
      </c>
      <c r="L4502">
        <v>141.64250000000001</v>
      </c>
      <c r="M4502">
        <v>-0.99980749999999996</v>
      </c>
      <c r="N4502">
        <v>-1.503938E-2</v>
      </c>
      <c r="O4502">
        <v>1.2600439999999999E-2</v>
      </c>
      <c r="P4502">
        <v>-0.98540070000000002</v>
      </c>
      <c r="Q4502">
        <v>0.1638067</v>
      </c>
      <c r="R4502">
        <v>-4.6398679999999998E-2</v>
      </c>
      <c r="S4502">
        <v>-3.048889</v>
      </c>
      <c r="T4502">
        <v>-8.5066799999999998E-2</v>
      </c>
      <c r="U4502">
        <v>-0.20851140000000001</v>
      </c>
      <c r="V4502">
        <v>-5.880577E-2</v>
      </c>
      <c r="W4502">
        <v>0.17860039999999999</v>
      </c>
      <c r="X4502">
        <v>0.9821628</v>
      </c>
      <c r="Y4502">
        <v>-8.0747739999999998E-2</v>
      </c>
      <c r="Z4502">
        <v>-1.8949150000000001E-3</v>
      </c>
      <c r="AA4502">
        <v>0.99673279999999997</v>
      </c>
      <c r="AB4502">
        <v>39</v>
      </c>
      <c r="AC4502">
        <v>-39.401000000000003</v>
      </c>
      <c r="AD4502">
        <v>-1.110070873487</v>
      </c>
      <c r="AE4502">
        <v>-2.72580000000002</v>
      </c>
      <c r="AF4502">
        <v>-3.2195662711649899</v>
      </c>
      <c r="AG4502">
        <v>-1.110070873487</v>
      </c>
      <c r="AH4502">
        <v>39.332449482097502</v>
      </c>
      <c r="AI4502">
        <v>91.611230782038703</v>
      </c>
      <c r="AJ4502">
        <v>94.679525822818306</v>
      </c>
      <c r="AK4502">
        <v>39.479607984127</v>
      </c>
      <c r="AL4502">
        <v>79.711752260566598</v>
      </c>
      <c r="AM4502">
        <v>93.426422666553094</v>
      </c>
      <c r="AN4502">
        <v>0.99999999358464597</v>
      </c>
    </row>
    <row r="4503" spans="1:40" x14ac:dyDescent="0.25">
      <c r="A4503" t="str">
        <f>"20190304155725741"</f>
        <v>20190304155725741</v>
      </c>
      <c r="B4503" t="str">
        <f>"1551686245739974"</f>
        <v>1551686245739974</v>
      </c>
      <c r="C4503" t="s">
        <v>40</v>
      </c>
      <c r="D4503">
        <v>4.888452</v>
      </c>
      <c r="E4503">
        <v>0.48950769999999999</v>
      </c>
      <c r="F4503" t="s">
        <v>41</v>
      </c>
      <c r="G4503">
        <v>-341.16930000000002</v>
      </c>
      <c r="H4503" s="1">
        <v>-3.8924089999999998E-6</v>
      </c>
      <c r="I4503">
        <v>138.9299</v>
      </c>
      <c r="J4503">
        <v>-302.209</v>
      </c>
      <c r="K4503">
        <v>1.1100719999999999</v>
      </c>
      <c r="L4503">
        <v>141.64750000000001</v>
      </c>
      <c r="M4503">
        <v>-0.99980760000000002</v>
      </c>
      <c r="N4503">
        <v>-1.5035639999999999E-2</v>
      </c>
      <c r="O4503">
        <v>1.260029E-2</v>
      </c>
      <c r="P4503">
        <v>-0.98538150000000002</v>
      </c>
      <c r="Q4503">
        <v>0.16382659999999999</v>
      </c>
      <c r="R4503">
        <v>-4.673629E-2</v>
      </c>
      <c r="S4503">
        <v>-3.0488590000000002</v>
      </c>
      <c r="T4503">
        <v>-8.6005929999999994E-2</v>
      </c>
      <c r="U4503">
        <v>-0.21015929999999999</v>
      </c>
      <c r="V4503">
        <v>-5.9143269999999998E-2</v>
      </c>
      <c r="W4503">
        <v>0.17861589999999999</v>
      </c>
      <c r="X4503">
        <v>0.98213969999999995</v>
      </c>
      <c r="Y4503">
        <v>-8.1283229999999998E-2</v>
      </c>
      <c r="Z4503">
        <v>-1.9226790000000001E-3</v>
      </c>
      <c r="AA4503">
        <v>0.99668920000000005</v>
      </c>
      <c r="AB4503">
        <v>39</v>
      </c>
      <c r="AC4503">
        <v>-38.960299999999997</v>
      </c>
      <c r="AD4503">
        <v>-1.110075892409</v>
      </c>
      <c r="AE4503">
        <v>-2.7176</v>
      </c>
      <c r="AF4503">
        <v>-3.2057608637429702</v>
      </c>
      <c r="AG4503">
        <v>-1.110075892409</v>
      </c>
      <c r="AH4503">
        <v>38.891539819902</v>
      </c>
      <c r="AI4503">
        <v>91.629418581041605</v>
      </c>
      <c r="AJ4503">
        <v>94.712137000015304</v>
      </c>
      <c r="AK4503">
        <v>39.039224387344603</v>
      </c>
      <c r="AL4503">
        <v>79.710849502622807</v>
      </c>
      <c r="AM4503">
        <v>93.446121304384604</v>
      </c>
      <c r="AN4503">
        <v>0.99999997821759601</v>
      </c>
    </row>
    <row r="4504" spans="1:40" x14ac:dyDescent="0.25">
      <c r="A4504" t="str">
        <f>"20190304155725763"</f>
        <v>20190304155725763</v>
      </c>
      <c r="B4504" t="str">
        <f>"1551686245759493"</f>
        <v>1551686245759493</v>
      </c>
      <c r="C4504" t="s">
        <v>40</v>
      </c>
      <c r="D4504">
        <v>4.8934220000000002</v>
      </c>
      <c r="E4504">
        <v>0.48946650000000003</v>
      </c>
      <c r="F4504" t="s">
        <v>41</v>
      </c>
      <c r="G4504">
        <v>-341.21319999999997</v>
      </c>
      <c r="H4504" s="1">
        <v>-3.8713399999999999E-6</v>
      </c>
      <c r="I4504">
        <v>138.9425</v>
      </c>
      <c r="J4504">
        <v>-302.58370000000002</v>
      </c>
      <c r="K4504">
        <v>1.1100749999999999</v>
      </c>
      <c r="L4504">
        <v>141.65219999999999</v>
      </c>
      <c r="M4504">
        <v>-0.99980769999999997</v>
      </c>
      <c r="N4504">
        <v>-1.503197E-2</v>
      </c>
      <c r="O4504">
        <v>1.2600139999999999E-2</v>
      </c>
      <c r="P4504">
        <v>-0.98537059999999999</v>
      </c>
      <c r="Q4504">
        <v>0.16375410000000001</v>
      </c>
      <c r="R4504">
        <v>-4.7215359999999998E-2</v>
      </c>
      <c r="S4504">
        <v>-3.0489199999999999</v>
      </c>
      <c r="T4504">
        <v>-8.6773630000000004E-2</v>
      </c>
      <c r="U4504">
        <v>-0.21144099999999999</v>
      </c>
      <c r="V4504">
        <v>-5.9622250000000002E-2</v>
      </c>
      <c r="W4504">
        <v>0.1785399</v>
      </c>
      <c r="X4504">
        <v>0.98212460000000001</v>
      </c>
      <c r="Y4504">
        <v>-8.1697690000000003E-2</v>
      </c>
      <c r="Z4504">
        <v>-1.944929E-3</v>
      </c>
      <c r="AA4504">
        <v>0.99665530000000002</v>
      </c>
      <c r="AB4504">
        <v>39</v>
      </c>
      <c r="AC4504">
        <v>-38.629499999999901</v>
      </c>
      <c r="AD4504">
        <v>-1.1100788713399901</v>
      </c>
      <c r="AE4504">
        <v>-2.70969999999999</v>
      </c>
      <c r="AF4504">
        <v>-3.1936525395203899</v>
      </c>
      <c r="AG4504">
        <v>-1.1100788713399901</v>
      </c>
      <c r="AH4504">
        <v>38.560599218937298</v>
      </c>
      <c r="AI4504">
        <v>91.643346566382505</v>
      </c>
      <c r="AJ4504">
        <v>94.734525481776203</v>
      </c>
      <c r="AK4504">
        <v>38.7085456167923</v>
      </c>
      <c r="AL4504">
        <v>79.7152755469955</v>
      </c>
      <c r="AM4504">
        <v>93.474015401689599</v>
      </c>
      <c r="AN4504">
        <v>1.00000001925611</v>
      </c>
    </row>
    <row r="4505" spans="1:40" x14ac:dyDescent="0.25">
      <c r="A4505" t="str">
        <f>"20190304155725777"</f>
        <v>20190304155725777</v>
      </c>
      <c r="B4505" t="str">
        <f>"1551686245769255"</f>
        <v>1551686245769255</v>
      </c>
      <c r="C4505" t="s">
        <v>40</v>
      </c>
      <c r="D4505">
        <v>4.9067119999999997</v>
      </c>
      <c r="E4505">
        <v>0.4894752</v>
      </c>
      <c r="F4505" t="s">
        <v>41</v>
      </c>
      <c r="G4505">
        <v>-341.13189999999997</v>
      </c>
      <c r="H4505" s="1">
        <v>-3.9041490000000003E-6</v>
      </c>
      <c r="I4505">
        <v>138.95410000000001</v>
      </c>
      <c r="J4505">
        <v>-302.82240000000002</v>
      </c>
      <c r="K4505">
        <v>1.1100760000000001</v>
      </c>
      <c r="L4505">
        <v>141.65520000000001</v>
      </c>
      <c r="M4505">
        <v>-0.99980780000000002</v>
      </c>
      <c r="N4505">
        <v>-1.5029600000000001E-2</v>
      </c>
      <c r="O4505">
        <v>1.259997E-2</v>
      </c>
      <c r="P4505">
        <v>-0.98534730000000004</v>
      </c>
      <c r="Q4505">
        <v>0.1638096</v>
      </c>
      <c r="R4505">
        <v>-4.7514050000000002E-2</v>
      </c>
      <c r="S4505">
        <v>-3.048889</v>
      </c>
      <c r="T4505">
        <v>-8.7799550000000004E-2</v>
      </c>
      <c r="U4505">
        <v>-0.21339420000000001</v>
      </c>
      <c r="V4505">
        <v>-5.9919979999999998E-2</v>
      </c>
      <c r="W4505">
        <v>0.17859249999999999</v>
      </c>
      <c r="X4505">
        <v>0.98209690000000005</v>
      </c>
      <c r="Y4505">
        <v>-8.2332119999999995E-2</v>
      </c>
      <c r="Z4505">
        <v>-1.9767130000000002E-3</v>
      </c>
      <c r="AA4505">
        <v>0.99660300000000002</v>
      </c>
      <c r="AB4505">
        <v>39</v>
      </c>
      <c r="AC4505">
        <v>-38.3094999999999</v>
      </c>
      <c r="AD4505">
        <v>-1.1100799041489999</v>
      </c>
      <c r="AE4505">
        <v>-2.7010999999999901</v>
      </c>
      <c r="AF4505">
        <v>-3.1809808586450101</v>
      </c>
      <c r="AG4505">
        <v>-1.1100799041489999</v>
      </c>
      <c r="AH4505">
        <v>38.240471004986503</v>
      </c>
      <c r="AI4505">
        <v>91.657048245797299</v>
      </c>
      <c r="AJ4505">
        <v>94.755122875642797</v>
      </c>
      <c r="AK4505">
        <v>38.388599079673</v>
      </c>
      <c r="AL4505">
        <v>79.712212391620795</v>
      </c>
      <c r="AM4505">
        <v>93.491418688733802</v>
      </c>
      <c r="AN4505">
        <v>1.00000000302453</v>
      </c>
    </row>
    <row r="4506" spans="1:40" x14ac:dyDescent="0.25">
      <c r="A4506" t="str">
        <f>"20190304155725790"</f>
        <v>20190304155725790</v>
      </c>
      <c r="B4506" t="str">
        <f>"1551686245779013"</f>
        <v>1551686245779013</v>
      </c>
      <c r="C4506" t="s">
        <v>40</v>
      </c>
      <c r="D4506">
        <v>4.9015279999999999</v>
      </c>
      <c r="E4506">
        <v>0.48945749999999999</v>
      </c>
      <c r="F4506" t="s">
        <v>41</v>
      </c>
      <c r="G4506">
        <v>-341.25360000000001</v>
      </c>
      <c r="H4506" s="1">
        <v>-3.8513010000000001E-6</v>
      </c>
      <c r="I4506">
        <v>138.95769999999999</v>
      </c>
      <c r="J4506">
        <v>-303.06490000000002</v>
      </c>
      <c r="K4506">
        <v>1.1100779999999999</v>
      </c>
      <c r="L4506">
        <v>141.65819999999999</v>
      </c>
      <c r="M4506">
        <v>-0.99980769999999997</v>
      </c>
      <c r="N4506">
        <v>-1.5027169999999999E-2</v>
      </c>
      <c r="O4506">
        <v>1.2599870000000001E-2</v>
      </c>
      <c r="P4506">
        <v>-0.98533300000000001</v>
      </c>
      <c r="Q4506">
        <v>0.16382829999999901</v>
      </c>
      <c r="R4506">
        <v>-4.7741430000000001E-2</v>
      </c>
      <c r="S4506">
        <v>-3.0489809999999999</v>
      </c>
      <c r="T4506">
        <v>-8.8069560000000005E-2</v>
      </c>
      <c r="U4506">
        <v>-0.21400449999999999</v>
      </c>
      <c r="V4506">
        <v>-6.014692E-2</v>
      </c>
      <c r="W4506">
        <v>0.17860889999999999</v>
      </c>
      <c r="X4506">
        <v>0.98207999999999995</v>
      </c>
      <c r="Y4506">
        <v>-8.2528050000000006E-2</v>
      </c>
      <c r="Z4506">
        <v>-1.9856449999999999E-3</v>
      </c>
      <c r="AA4506">
        <v>0.99658670000000005</v>
      </c>
      <c r="AB4506">
        <v>39</v>
      </c>
      <c r="AC4506">
        <v>-38.188699999999898</v>
      </c>
      <c r="AD4506">
        <v>-1.110081851301</v>
      </c>
      <c r="AE4506">
        <v>-2.7004999999999999</v>
      </c>
      <c r="AF4506">
        <v>-3.1788399191767098</v>
      </c>
      <c r="AG4506">
        <v>-1.110081851301</v>
      </c>
      <c r="AH4506">
        <v>38.119588481089501</v>
      </c>
      <c r="AI4506">
        <v>91.662274416231199</v>
      </c>
      <c r="AJ4506">
        <v>94.766936851052904</v>
      </c>
      <c r="AK4506">
        <v>38.268006623234903</v>
      </c>
      <c r="AL4506">
        <v>79.711256925655107</v>
      </c>
      <c r="AM4506">
        <v>93.504669295933198</v>
      </c>
      <c r="AN4506">
        <v>0.99999995877234704</v>
      </c>
    </row>
    <row r="4507" spans="1:40" x14ac:dyDescent="0.25">
      <c r="A4507" t="str">
        <f>"20190304155725807"</f>
        <v>20190304155725807</v>
      </c>
      <c r="B4507" t="str">
        <f>"1551686245799510"</f>
        <v>1551686245799510</v>
      </c>
      <c r="C4507" t="s">
        <v>40</v>
      </c>
      <c r="D4507">
        <v>4.9091529999999999</v>
      </c>
      <c r="E4507">
        <v>0.4894133</v>
      </c>
      <c r="F4507" t="s">
        <v>41</v>
      </c>
      <c r="G4507">
        <v>-341.29649999999998</v>
      </c>
      <c r="H4507" s="1">
        <v>-3.8313489999999999E-6</v>
      </c>
      <c r="I4507">
        <v>138.9665</v>
      </c>
      <c r="J4507">
        <v>-303.36149999999998</v>
      </c>
      <c r="K4507">
        <v>1.110074</v>
      </c>
      <c r="L4507">
        <v>141.66200000000001</v>
      </c>
      <c r="M4507">
        <v>-0.99980780000000002</v>
      </c>
      <c r="N4507">
        <v>-1.502417E-2</v>
      </c>
      <c r="O4507">
        <v>1.259971E-2</v>
      </c>
      <c r="P4507">
        <v>-0.98524</v>
      </c>
      <c r="Q4507">
        <v>0.16427939999999999</v>
      </c>
      <c r="R4507">
        <v>-4.8109989999999998E-2</v>
      </c>
      <c r="S4507">
        <v>-3.0489809999999999</v>
      </c>
      <c r="T4507">
        <v>-8.8529590000000005E-2</v>
      </c>
      <c r="U4507">
        <v>-0.21466060000000001</v>
      </c>
      <c r="V4507">
        <v>-6.0514230000000002E-2</v>
      </c>
      <c r="W4507">
        <v>0.17905499999999999</v>
      </c>
      <c r="X4507">
        <v>0.98197619999999997</v>
      </c>
      <c r="Y4507">
        <v>-8.2740699999999903E-2</v>
      </c>
      <c r="Z4507">
        <v>-1.9983480000000001E-3</v>
      </c>
      <c r="AA4507">
        <v>0.99656909999999999</v>
      </c>
      <c r="AB4507">
        <v>39</v>
      </c>
      <c r="AC4507">
        <v>-37.935000000000002</v>
      </c>
      <c r="AD4507">
        <v>-1.1100778313490001</v>
      </c>
      <c r="AE4507">
        <v>-2.6955</v>
      </c>
      <c r="AF4507">
        <v>-3.1706085519682201</v>
      </c>
      <c r="AG4507">
        <v>-1.1100778313490001</v>
      </c>
      <c r="AH4507">
        <v>37.865760089968802</v>
      </c>
      <c r="AI4507">
        <v>91.673357483097803</v>
      </c>
      <c r="AJ4507">
        <v>94.786374505178202</v>
      </c>
      <c r="AK4507">
        <v>38.014481695434696</v>
      </c>
      <c r="AL4507">
        <v>79.685278520711506</v>
      </c>
      <c r="AM4507">
        <v>93.526389833599296</v>
      </c>
      <c r="AN4507">
        <v>0.99999996121196499</v>
      </c>
    </row>
    <row r="4508" spans="1:40" x14ac:dyDescent="0.25">
      <c r="A4508" t="str">
        <f>"20190304155725823"</f>
        <v>20190304155725823</v>
      </c>
      <c r="B4508" t="str">
        <f>"1551686245819030"</f>
        <v>1551686245819030</v>
      </c>
      <c r="C4508" t="s">
        <v>40</v>
      </c>
      <c r="D4508">
        <v>4.9132600000000002</v>
      </c>
      <c r="E4508">
        <v>0.48936730000000001</v>
      </c>
      <c r="F4508" t="s">
        <v>41</v>
      </c>
      <c r="G4508">
        <v>-341.91680000000002</v>
      </c>
      <c r="H4508" s="1">
        <v>-3.5719960000000002E-6</v>
      </c>
      <c r="I4508">
        <v>138.92840000000001</v>
      </c>
      <c r="J4508">
        <v>-303.62439999999998</v>
      </c>
      <c r="K4508">
        <v>1.110077</v>
      </c>
      <c r="L4508">
        <v>141.6653</v>
      </c>
      <c r="M4508">
        <v>-0.99980789999999997</v>
      </c>
      <c r="N4508">
        <v>-1.502146E-2</v>
      </c>
      <c r="O4508">
        <v>1.2599549999999999E-2</v>
      </c>
      <c r="P4508">
        <v>-0.98519970000000001</v>
      </c>
      <c r="Q4508">
        <v>0.16447220000000001</v>
      </c>
      <c r="R4508">
        <v>-4.8275619999999998E-2</v>
      </c>
      <c r="S4508">
        <v>-3.0490110000000001</v>
      </c>
      <c r="T4508">
        <v>-8.7786669999999997E-2</v>
      </c>
      <c r="U4508">
        <v>-0.21617130000000001</v>
      </c>
      <c r="V4508">
        <v>-6.0679730000000001E-2</v>
      </c>
      <c r="W4508">
        <v>0.17924499999999999</v>
      </c>
      <c r="X4508">
        <v>0.98193129999999995</v>
      </c>
      <c r="Y4508">
        <v>-8.3231579999999999E-2</v>
      </c>
      <c r="Z4508">
        <v>-1.995859E-3</v>
      </c>
      <c r="AA4508">
        <v>0.99652819999999998</v>
      </c>
      <c r="AB4508">
        <v>39</v>
      </c>
      <c r="AC4508">
        <v>-38.292400000000001</v>
      </c>
      <c r="AD4508">
        <v>-1.1100805719959901</v>
      </c>
      <c r="AE4508">
        <v>-2.7368999999999901</v>
      </c>
      <c r="AF4508">
        <v>-3.2165146915602798</v>
      </c>
      <c r="AG4508">
        <v>-1.1100805719959901</v>
      </c>
      <c r="AH4508">
        <v>38.222913055250103</v>
      </c>
      <c r="AI4508">
        <v>91.657676760398999</v>
      </c>
      <c r="AJ4508">
        <v>94.810191576706103</v>
      </c>
      <c r="AK4508">
        <v>38.374071038483201</v>
      </c>
      <c r="AL4508">
        <v>79.674213072506603</v>
      </c>
      <c r="AM4508">
        <v>93.536170977236196</v>
      </c>
      <c r="AN4508">
        <v>0.99999993878877902</v>
      </c>
    </row>
    <row r="4509" spans="1:40" x14ac:dyDescent="0.25">
      <c r="A4509" t="str">
        <f>"20190304155725842"</f>
        <v>20190304155725842</v>
      </c>
      <c r="B4509" t="str">
        <f>"1551686245839526"</f>
        <v>1551686245839526</v>
      </c>
      <c r="C4509" t="s">
        <v>40</v>
      </c>
      <c r="D4509">
        <v>5.2031839999999896</v>
      </c>
      <c r="E4509">
        <v>0.48940430000000001</v>
      </c>
      <c r="F4509" t="s">
        <v>41</v>
      </c>
      <c r="G4509">
        <v>-341.97309999999999</v>
      </c>
      <c r="H4509" s="1">
        <v>-3.5462520000000002E-6</v>
      </c>
      <c r="I4509">
        <v>138.93729999999999</v>
      </c>
      <c r="J4509">
        <v>-303.95589999999999</v>
      </c>
      <c r="K4509">
        <v>1.1100859999999999</v>
      </c>
      <c r="L4509">
        <v>141.6695</v>
      </c>
      <c r="M4509">
        <v>-0.99980789999999997</v>
      </c>
      <c r="N4509">
        <v>-1.5018E-2</v>
      </c>
      <c r="O4509">
        <v>1.25994E-2</v>
      </c>
      <c r="P4509">
        <v>-0.9851415</v>
      </c>
      <c r="Q4509">
        <v>0.164867299999999</v>
      </c>
      <c r="R4509">
        <v>-4.8117479999999997E-2</v>
      </c>
      <c r="S4509">
        <v>-3.0491640000000002</v>
      </c>
      <c r="T4509">
        <v>-8.8264229999999999E-2</v>
      </c>
      <c r="U4509">
        <v>-0.2169037</v>
      </c>
      <c r="V4509">
        <v>-6.0520360000000002E-2</v>
      </c>
      <c r="W4509">
        <v>0.17963579999999901</v>
      </c>
      <c r="X4509">
        <v>0.98186980000000001</v>
      </c>
      <c r="Y4509">
        <v>-8.3465460000000005E-2</v>
      </c>
      <c r="Z4509">
        <v>-2.009289E-3</v>
      </c>
      <c r="AA4509">
        <v>0.99650870000000003</v>
      </c>
      <c r="AB4509">
        <v>39</v>
      </c>
      <c r="AC4509">
        <v>-38.017200000000003</v>
      </c>
      <c r="AD4509">
        <v>-1.110089546252</v>
      </c>
      <c r="AE4509">
        <v>-2.7322000000000002</v>
      </c>
      <c r="AF4509">
        <v>-3.20830957230908</v>
      </c>
      <c r="AG4509">
        <v>-1.110089546252</v>
      </c>
      <c r="AH4509">
        <v>37.9475651007699</v>
      </c>
      <c r="AI4509">
        <v>91.669656468603407</v>
      </c>
      <c r="AJ4509">
        <v>94.832628342435598</v>
      </c>
      <c r="AK4509">
        <v>38.099123955671701</v>
      </c>
      <c r="AL4509">
        <v>79.651453292350993</v>
      </c>
      <c r="AM4509">
        <v>93.527127359941701</v>
      </c>
      <c r="AN4509">
        <v>1.0000000193841001</v>
      </c>
    </row>
    <row r="4510" spans="1:40" x14ac:dyDescent="0.25">
      <c r="A4510" t="str">
        <f>"20190304155725865"</f>
        <v>20190304155725865</v>
      </c>
      <c r="B4510" t="str">
        <f>"1551686245859046"</f>
        <v>1551686245859046</v>
      </c>
      <c r="C4510" t="s">
        <v>40</v>
      </c>
      <c r="D4510">
        <v>4.9914630000000004</v>
      </c>
      <c r="E4510">
        <v>0.52081299999999997</v>
      </c>
      <c r="F4510" t="s">
        <v>41</v>
      </c>
      <c r="G4510">
        <v>-342.73349999999999</v>
      </c>
      <c r="H4510" s="1">
        <v>-3.2241050000000001E-6</v>
      </c>
      <c r="I4510">
        <v>138.9145</v>
      </c>
      <c r="J4510">
        <v>-304.36579999999998</v>
      </c>
      <c r="K4510">
        <v>1.110088</v>
      </c>
      <c r="L4510">
        <v>141.6746</v>
      </c>
      <c r="M4510">
        <v>-0.99980800000000003</v>
      </c>
      <c r="N4510">
        <v>-1.501368E-2</v>
      </c>
      <c r="O4510">
        <v>1.2599249999999999E-2</v>
      </c>
      <c r="P4510">
        <v>-0.98518709999999998</v>
      </c>
      <c r="Q4510">
        <v>0.1646755</v>
      </c>
      <c r="R4510">
        <v>-4.7840100000000003E-2</v>
      </c>
      <c r="S4510">
        <v>-3.049255</v>
      </c>
      <c r="T4510">
        <v>-8.7291480000000005E-2</v>
      </c>
      <c r="U4510">
        <v>-0.21662899999999999</v>
      </c>
      <c r="V4510">
        <v>-6.0243499999999901E-2</v>
      </c>
      <c r="W4510">
        <v>0.17944019999999999</v>
      </c>
      <c r="X4510">
        <v>0.98192259999999998</v>
      </c>
      <c r="Y4510">
        <v>-8.3374950000000003E-2</v>
      </c>
      <c r="Z4510">
        <v>-1.9898369999999999E-3</v>
      </c>
      <c r="AA4510">
        <v>0.99651630000000002</v>
      </c>
      <c r="AB4510">
        <v>39</v>
      </c>
      <c r="AC4510">
        <v>-38.367699999999999</v>
      </c>
      <c r="AD4510">
        <v>-1.1100912241050001</v>
      </c>
      <c r="AE4510">
        <v>-2.7600999999999898</v>
      </c>
      <c r="AF4510">
        <v>-3.2406407348002402</v>
      </c>
      <c r="AG4510">
        <v>-1.1100912241050001</v>
      </c>
      <c r="AH4510">
        <v>38.2979800155261</v>
      </c>
      <c r="AI4510">
        <v>91.654380838136305</v>
      </c>
      <c r="AJ4510">
        <v>94.836646465726403</v>
      </c>
      <c r="AK4510">
        <v>38.450869017065401</v>
      </c>
      <c r="AL4510">
        <v>79.662845553044207</v>
      </c>
      <c r="AM4510">
        <v>93.510844088067799</v>
      </c>
      <c r="AN4510">
        <v>1.0000000285295201</v>
      </c>
    </row>
    <row r="4511" spans="1:40" x14ac:dyDescent="0.25">
      <c r="A4511" t="str">
        <f>"20190304155725886"</f>
        <v>20190304155725886</v>
      </c>
      <c r="B4511" t="str">
        <f>"1551686245879542"</f>
        <v>1551686245879542</v>
      </c>
      <c r="C4511" t="s">
        <v>40</v>
      </c>
      <c r="D4511">
        <v>4.9579420000000001</v>
      </c>
      <c r="E4511">
        <v>0.527752</v>
      </c>
      <c r="F4511" t="s">
        <v>41</v>
      </c>
      <c r="G4511">
        <v>-342.73289999999997</v>
      </c>
      <c r="H4511" s="1">
        <v>-3.7625829999999999E-6</v>
      </c>
      <c r="I4511">
        <v>142.1071</v>
      </c>
      <c r="J4511">
        <v>-304.7294</v>
      </c>
      <c r="K4511">
        <v>1.1100810000000001</v>
      </c>
      <c r="L4511">
        <v>141.67920000000001</v>
      </c>
      <c r="M4511">
        <v>-0.99980809999999998</v>
      </c>
      <c r="N4511">
        <v>-1.500982E-2</v>
      </c>
      <c r="O4511">
        <v>1.2598979999999999E-2</v>
      </c>
      <c r="P4511">
        <v>-0.98524049999999996</v>
      </c>
      <c r="Q4511">
        <v>0.1643618</v>
      </c>
      <c r="R4511">
        <v>-4.7818920000000001E-2</v>
      </c>
      <c r="S4511">
        <v>-3.0615839999999999</v>
      </c>
      <c r="T4511">
        <v>-8.8582040000000001E-2</v>
      </c>
      <c r="U4511">
        <v>3.4515379999999998E-2</v>
      </c>
      <c r="V4511">
        <v>-6.0222680000000001E-2</v>
      </c>
      <c r="W4511">
        <v>0.17912400000000001</v>
      </c>
      <c r="X4511">
        <v>0.98198160000000001</v>
      </c>
      <c r="Y4511">
        <v>-1.3254510000000001E-3</v>
      </c>
      <c r="Z4511">
        <v>-2.0445040000000001E-4</v>
      </c>
      <c r="AA4511">
        <v>0.99999910000000003</v>
      </c>
      <c r="AB4511">
        <v>39</v>
      </c>
      <c r="AC4511">
        <v>-38.003499999999903</v>
      </c>
      <c r="AD4511">
        <v>-1.1100847625829999</v>
      </c>
      <c r="AE4511">
        <v>0.42789999999999401</v>
      </c>
      <c r="AF4511">
        <v>-5.0949722014568898E-2</v>
      </c>
      <c r="AG4511">
        <v>-1.1100847625829999</v>
      </c>
      <c r="AH4511">
        <v>37.973478754393199</v>
      </c>
      <c r="AI4511">
        <v>91.6744582803112</v>
      </c>
      <c r="AJ4511">
        <v>90.076874765832102</v>
      </c>
      <c r="AK4511">
        <v>37.989735097321201</v>
      </c>
      <c r="AL4511">
        <v>79.681260765888396</v>
      </c>
      <c r="AM4511">
        <v>93.509423441752205</v>
      </c>
      <c r="AN4511">
        <v>1.00000002065047</v>
      </c>
    </row>
    <row r="4512" spans="1:40" x14ac:dyDescent="0.25">
      <c r="A4512" t="str">
        <f>"20190304155725900"</f>
        <v>20190304155725900</v>
      </c>
      <c r="B4512" t="str">
        <f>"1551686245889302"</f>
        <v>1551686245889302</v>
      </c>
      <c r="C4512" t="s">
        <v>40</v>
      </c>
      <c r="D4512">
        <v>4.9546580000000002</v>
      </c>
      <c r="E4512">
        <v>0.52963340000000003</v>
      </c>
      <c r="F4512" t="s">
        <v>41</v>
      </c>
      <c r="G4512">
        <v>-344.7835</v>
      </c>
      <c r="H4512" s="1">
        <v>-3.0832360000000001E-6</v>
      </c>
      <c r="I4512">
        <v>142.86000000000001</v>
      </c>
      <c r="J4512">
        <v>-304.96499999999997</v>
      </c>
      <c r="K4512">
        <v>1.110082</v>
      </c>
      <c r="L4512">
        <v>141.68219999999999</v>
      </c>
      <c r="M4512">
        <v>-0.99980800000000003</v>
      </c>
      <c r="N4512">
        <v>-1.5007309999999999E-2</v>
      </c>
      <c r="O4512">
        <v>1.2599000000000001E-2</v>
      </c>
      <c r="P4512">
        <v>-0.98526369999999996</v>
      </c>
      <c r="Q4512">
        <v>0.1642304</v>
      </c>
      <c r="R4512">
        <v>-4.7789110000000003E-2</v>
      </c>
      <c r="S4512">
        <v>-3.0634459999999999</v>
      </c>
      <c r="T4512">
        <v>-8.4902409999999998E-2</v>
      </c>
      <c r="U4512">
        <v>9.0316770000000005E-2</v>
      </c>
      <c r="V4512">
        <v>-6.0193259999999998E-2</v>
      </c>
      <c r="W4512">
        <v>0.17899029999999999</v>
      </c>
      <c r="X4512">
        <v>0.98200770000000004</v>
      </c>
      <c r="Y4512">
        <v>1.6863030000000001E-2</v>
      </c>
      <c r="Z4512">
        <v>2.002188E-4</v>
      </c>
      <c r="AA4512">
        <v>0.99985780000000002</v>
      </c>
      <c r="AB4512">
        <v>39</v>
      </c>
      <c r="AC4512">
        <v>-39.8185</v>
      </c>
      <c r="AD4512">
        <v>-1.1100850832359901</v>
      </c>
      <c r="AE4512">
        <v>1.17780000000001</v>
      </c>
      <c r="AF4512">
        <v>0.67545219518088995</v>
      </c>
      <c r="AG4512">
        <v>-1.1100850832359901</v>
      </c>
      <c r="AH4512">
        <v>39.7992739811597</v>
      </c>
      <c r="AI4512">
        <v>91.597455103930102</v>
      </c>
      <c r="AJ4512">
        <v>89.027699724977396</v>
      </c>
      <c r="AK4512">
        <v>39.8204813379675</v>
      </c>
      <c r="AL4512">
        <v>79.689046201698403</v>
      </c>
      <c r="AM4512">
        <v>93.507620302948197</v>
      </c>
      <c r="AN4512">
        <v>0.99999993945140198</v>
      </c>
    </row>
    <row r="4513" spans="1:40" x14ac:dyDescent="0.25">
      <c r="A4513" t="str">
        <f>"20190304155725919"</f>
        <v>20190304155725919</v>
      </c>
      <c r="B4513" t="str">
        <f>"1551686245909801"</f>
        <v>1551686245909801</v>
      </c>
      <c r="C4513" t="s">
        <v>40</v>
      </c>
      <c r="D4513">
        <v>4.9406299999999996</v>
      </c>
      <c r="E4513">
        <v>0.5316033</v>
      </c>
      <c r="F4513" t="s">
        <v>41</v>
      </c>
      <c r="G4513">
        <v>-346.22289999999998</v>
      </c>
      <c r="H4513" s="1">
        <v>-2.530556E-6</v>
      </c>
      <c r="I4513">
        <v>143.1036</v>
      </c>
      <c r="J4513">
        <v>-305.30070000000001</v>
      </c>
      <c r="K4513">
        <v>1.1100810000000001</v>
      </c>
      <c r="L4513">
        <v>141.68639999999999</v>
      </c>
      <c r="M4513">
        <v>-0.99980820000000004</v>
      </c>
      <c r="N4513">
        <v>-1.500372E-2</v>
      </c>
      <c r="O4513">
        <v>1.259831E-2</v>
      </c>
      <c r="P4513">
        <v>-0.98528280000000001</v>
      </c>
      <c r="Q4513">
        <v>0.16398940000000001</v>
      </c>
      <c r="R4513">
        <v>-4.8223729999999999E-2</v>
      </c>
      <c r="S4513">
        <v>-3.0637210000000001</v>
      </c>
      <c r="T4513">
        <v>-8.2432389999999994E-2</v>
      </c>
      <c r="U4513">
        <v>0.1055603</v>
      </c>
      <c r="V4513">
        <v>-6.0627260000000002E-2</v>
      </c>
      <c r="W4513">
        <v>0.17874590000000001</v>
      </c>
      <c r="X4513">
        <v>0.98202560000000005</v>
      </c>
      <c r="Y4513">
        <v>2.1828110000000001E-2</v>
      </c>
      <c r="Z4513">
        <v>3.075606E-4</v>
      </c>
      <c r="AA4513">
        <v>0.99976169999999998</v>
      </c>
      <c r="AB4513">
        <v>39</v>
      </c>
      <c r="AC4513">
        <v>-40.922199999999897</v>
      </c>
      <c r="AD4513">
        <v>-1.110083530556</v>
      </c>
      <c r="AE4513">
        <v>1.4172</v>
      </c>
      <c r="AF4513">
        <v>0.90081689386072905</v>
      </c>
      <c r="AG4513">
        <v>-1.110083530556</v>
      </c>
      <c r="AH4513">
        <v>40.906742490112997</v>
      </c>
      <c r="AI4513">
        <v>91.554073651096402</v>
      </c>
      <c r="AJ4513">
        <v>88.738480200607299</v>
      </c>
      <c r="AK4513">
        <v>40.931715547647102</v>
      </c>
      <c r="AL4513">
        <v>79.703279660585693</v>
      </c>
      <c r="AM4513">
        <v>93.532782572987301</v>
      </c>
      <c r="AN4513">
        <v>1.0000000202386301</v>
      </c>
    </row>
    <row r="4514" spans="1:40" x14ac:dyDescent="0.25">
      <c r="A4514" t="str">
        <f>"20190304155725933"</f>
        <v>20190304155725933</v>
      </c>
      <c r="B4514" t="str">
        <f>"1551686245929317"</f>
        <v>1551686245929317</v>
      </c>
      <c r="C4514" t="s">
        <v>40</v>
      </c>
      <c r="D4514">
        <v>5.0658370000000001</v>
      </c>
      <c r="E4514">
        <v>0.53310480000000005</v>
      </c>
      <c r="F4514" t="s">
        <v>41</v>
      </c>
      <c r="G4514">
        <v>-346.76190000000003</v>
      </c>
      <c r="H4514" s="1">
        <v>-2.3537099999999999E-6</v>
      </c>
      <c r="I4514">
        <v>143.30799999999999</v>
      </c>
      <c r="J4514">
        <v>-305.53919999999999</v>
      </c>
      <c r="K4514">
        <v>1.11008</v>
      </c>
      <c r="L4514">
        <v>141.68940000000001</v>
      </c>
      <c r="M4514">
        <v>-0.99980809999999998</v>
      </c>
      <c r="N4514">
        <v>-1.5001159999999999E-2</v>
      </c>
      <c r="O4514">
        <v>1.2597189999999999E-2</v>
      </c>
      <c r="P4514">
        <v>-0.9852862</v>
      </c>
      <c r="Q4514">
        <v>0.16387470000000001</v>
      </c>
      <c r="R4514">
        <v>-4.8540670000000001E-2</v>
      </c>
      <c r="S4514">
        <v>-3.0643310000000001</v>
      </c>
      <c r="T4514">
        <v>-8.2044599999999995E-2</v>
      </c>
      <c r="U4514">
        <v>0.1198578</v>
      </c>
      <c r="V4514">
        <v>-6.0943249999999997E-2</v>
      </c>
      <c r="W4514">
        <v>0.1786286</v>
      </c>
      <c r="X4514">
        <v>0.98202739999999999</v>
      </c>
      <c r="Y4514">
        <v>2.647797E-2</v>
      </c>
      <c r="Z4514">
        <v>4.0485530000000002E-4</v>
      </c>
      <c r="AA4514">
        <v>0.99964929999999996</v>
      </c>
      <c r="AB4514">
        <v>39</v>
      </c>
      <c r="AC4514">
        <v>-41.222700000000003</v>
      </c>
      <c r="AD4514">
        <v>-1.11008235371</v>
      </c>
      <c r="AE4514">
        <v>1.6185999999999801</v>
      </c>
      <c r="AF4514">
        <v>1.09832766138136</v>
      </c>
      <c r="AG4514">
        <v>-1.11008235371</v>
      </c>
      <c r="AH4514">
        <v>41.209982359316299</v>
      </c>
      <c r="AI4514">
        <v>91.542468401332101</v>
      </c>
      <c r="AJ4514">
        <v>88.473315394511602</v>
      </c>
      <c r="AK4514">
        <v>41.2395593155277</v>
      </c>
      <c r="AL4514">
        <v>79.7101105474175</v>
      </c>
      <c r="AM4514">
        <v>93.551141988707201</v>
      </c>
      <c r="AN4514">
        <v>1.0000000354046401</v>
      </c>
    </row>
    <row r="4515" spans="1:40" x14ac:dyDescent="0.25">
      <c r="A4515" t="str">
        <f>"20190304155725946"</f>
        <v>20190304155725946</v>
      </c>
      <c r="B4515" t="str">
        <f>"1551686245939077"</f>
        <v>1551686245939077</v>
      </c>
      <c r="C4515" t="s">
        <v>40</v>
      </c>
      <c r="D4515">
        <v>4.9614599999999998</v>
      </c>
      <c r="E4515">
        <v>0.53355710000000001</v>
      </c>
      <c r="F4515" t="s">
        <v>41</v>
      </c>
      <c r="G4515">
        <v>-348.4907</v>
      </c>
      <c r="H4515" s="1">
        <v>-1.6690199999999999E-6</v>
      </c>
      <c r="I4515">
        <v>143.52199999999999</v>
      </c>
      <c r="J4515">
        <v>-305.7713</v>
      </c>
      <c r="K4515">
        <v>1.110085</v>
      </c>
      <c r="L4515">
        <v>141.69229999999999</v>
      </c>
      <c r="M4515">
        <v>-0.99980820000000004</v>
      </c>
      <c r="N4515">
        <v>-1.4998650000000001E-2</v>
      </c>
      <c r="O4515">
        <v>1.259469E-2</v>
      </c>
      <c r="P4515">
        <v>-0.98528439999999995</v>
      </c>
      <c r="Q4515">
        <v>0.16379730000000001</v>
      </c>
      <c r="R4515">
        <v>-4.8837470000000001E-2</v>
      </c>
      <c r="S4515">
        <v>-3.0644230000000001</v>
      </c>
      <c r="T4515">
        <v>-7.9200270000000003E-2</v>
      </c>
      <c r="U4515">
        <v>0.1307526</v>
      </c>
      <c r="V4515">
        <v>-6.1238220000000003E-2</v>
      </c>
      <c r="W4515">
        <v>0.1785484</v>
      </c>
      <c r="X4515">
        <v>0.9820236</v>
      </c>
      <c r="Y4515">
        <v>3.002602E-2</v>
      </c>
      <c r="Z4515">
        <v>4.766719E-4</v>
      </c>
      <c r="AA4515">
        <v>0.99954900000000002</v>
      </c>
      <c r="AB4515">
        <v>39</v>
      </c>
      <c r="AC4515">
        <v>-42.7194</v>
      </c>
      <c r="AD4515">
        <v>-1.11008666902</v>
      </c>
      <c r="AE4515">
        <v>1.8297000000000301</v>
      </c>
      <c r="AF4515">
        <v>1.2905868491199901</v>
      </c>
      <c r="AG4515">
        <v>-1.11008666902</v>
      </c>
      <c r="AH4515">
        <v>42.710270763728403</v>
      </c>
      <c r="AI4515">
        <v>91.488165855983198</v>
      </c>
      <c r="AJ4515">
        <v>88.269205871481205</v>
      </c>
      <c r="AK4515">
        <v>42.744182475967897</v>
      </c>
      <c r="AL4515">
        <v>79.714780388264103</v>
      </c>
      <c r="AM4515">
        <v>93.568299258093205</v>
      </c>
      <c r="AN4515">
        <v>1.0000000008441401</v>
      </c>
    </row>
    <row r="4516" spans="1:40" x14ac:dyDescent="0.25">
      <c r="A4516" t="str">
        <f>"20190304155725963"</f>
        <v>20190304155725963</v>
      </c>
      <c r="B4516" t="str">
        <f>"1551686245959575"</f>
        <v>1551686245959575</v>
      </c>
      <c r="C4516" t="s">
        <v>40</v>
      </c>
      <c r="D4516">
        <v>4.9378409999999997</v>
      </c>
      <c r="E4516">
        <v>0.53403459999999903</v>
      </c>
      <c r="F4516" t="s">
        <v>41</v>
      </c>
      <c r="G4516">
        <v>-349.31959999999998</v>
      </c>
      <c r="H4516" s="1">
        <v>-1.3316840000000001E-6</v>
      </c>
      <c r="I4516">
        <v>143.5907</v>
      </c>
      <c r="J4516">
        <v>-306.06270000000001</v>
      </c>
      <c r="K4516">
        <v>1.110088</v>
      </c>
      <c r="L4516">
        <v>141.696</v>
      </c>
      <c r="M4516">
        <v>-0.99980829999999998</v>
      </c>
      <c r="N4516">
        <v>-1.499552E-2</v>
      </c>
      <c r="O4516">
        <v>1.258829E-2</v>
      </c>
      <c r="P4516">
        <v>-0.98530450000000003</v>
      </c>
      <c r="Q4516">
        <v>0.16351379999999999</v>
      </c>
      <c r="R4516">
        <v>-4.9380979999999998E-2</v>
      </c>
      <c r="S4516">
        <v>-3.0644230000000001</v>
      </c>
      <c r="T4516">
        <v>-7.8114989999999995E-2</v>
      </c>
      <c r="U4516">
        <v>0.13359070000000001</v>
      </c>
      <c r="V4516">
        <v>-6.1776699999999997E-2</v>
      </c>
      <c r="W4516">
        <v>0.1782617</v>
      </c>
      <c r="X4516">
        <v>0.98204199999999997</v>
      </c>
      <c r="Y4516">
        <v>3.0956259999999999E-2</v>
      </c>
      <c r="Z4516">
        <v>4.9462469999999995E-4</v>
      </c>
      <c r="AA4516">
        <v>0.99952059999999998</v>
      </c>
      <c r="AB4516">
        <v>39</v>
      </c>
      <c r="AC4516">
        <v>-43.256899999999902</v>
      </c>
      <c r="AD4516">
        <v>-1.1100893316839999</v>
      </c>
      <c r="AE4516">
        <v>1.8947000000000001</v>
      </c>
      <c r="AF4516">
        <v>1.3490714313458201</v>
      </c>
      <c r="AG4516">
        <v>-1.1100893316839999</v>
      </c>
      <c r="AH4516">
        <v>43.248897364165302</v>
      </c>
      <c r="AI4516">
        <v>91.469599796025093</v>
      </c>
      <c r="AJ4516">
        <v>88.213340720592896</v>
      </c>
      <c r="AK4516">
        <v>43.2841704930023</v>
      </c>
      <c r="AL4516">
        <v>79.731475344190898</v>
      </c>
      <c r="AM4516">
        <v>93.599526627121193</v>
      </c>
      <c r="AN4516">
        <v>1.00000004205688</v>
      </c>
    </row>
    <row r="4517" spans="1:40" x14ac:dyDescent="0.25">
      <c r="A4517" t="str">
        <f>"20190304155725978"</f>
        <v>20190304155725978</v>
      </c>
      <c r="B4517" t="str">
        <f>"1551686245969334"</f>
        <v>1551686245969334</v>
      </c>
      <c r="C4517" t="s">
        <v>40</v>
      </c>
      <c r="D4517">
        <v>4.947368</v>
      </c>
      <c r="E4517">
        <v>0.53419859999999997</v>
      </c>
      <c r="F4517" t="s">
        <v>41</v>
      </c>
      <c r="G4517">
        <v>-349.6909</v>
      </c>
      <c r="H4517" s="1">
        <v>-1.182365E-6</v>
      </c>
      <c r="I4517">
        <v>143.62819999999999</v>
      </c>
      <c r="J4517">
        <v>-306.30869999999999</v>
      </c>
      <c r="K4517">
        <v>1.1100909999999999</v>
      </c>
      <c r="L4517">
        <v>141.69909999999999</v>
      </c>
      <c r="M4517">
        <v>-0.99980840000000004</v>
      </c>
      <c r="N4517">
        <v>-1.499285E-2</v>
      </c>
      <c r="O4517">
        <v>1.2579190000000001E-2</v>
      </c>
      <c r="P4517">
        <v>-0.98528360000000004</v>
      </c>
      <c r="Q4517">
        <v>0.16349659999999999</v>
      </c>
      <c r="R4517">
        <v>-4.985158E-2</v>
      </c>
      <c r="S4517">
        <v>-3.064514</v>
      </c>
      <c r="T4517">
        <v>-7.797432E-2</v>
      </c>
      <c r="U4517">
        <v>0.13572690000000001</v>
      </c>
      <c r="V4517">
        <v>-6.2239589999999997E-2</v>
      </c>
      <c r="W4517">
        <v>0.1782415</v>
      </c>
      <c r="X4517">
        <v>0.98201640000000001</v>
      </c>
      <c r="Y4517">
        <v>3.1659140000000002E-2</v>
      </c>
      <c r="Z4517">
        <v>5.0871969999999995E-4</v>
      </c>
      <c r="AA4517">
        <v>0.99949860000000001</v>
      </c>
      <c r="AB4517">
        <v>39</v>
      </c>
      <c r="AC4517">
        <v>-43.382199999999997</v>
      </c>
      <c r="AD4517">
        <v>-1.1100921823649901</v>
      </c>
      <c r="AE4517">
        <v>1.9291</v>
      </c>
      <c r="AF4517">
        <v>1.3822697179727099</v>
      </c>
      <c r="AG4517">
        <v>-1.1100921823649901</v>
      </c>
      <c r="AH4517">
        <v>43.374691221407701</v>
      </c>
      <c r="AI4517">
        <v>91.465312194629107</v>
      </c>
      <c r="AJ4517">
        <v>88.174709157402901</v>
      </c>
      <c r="AK4517">
        <v>43.410906610885597</v>
      </c>
      <c r="AL4517">
        <v>79.732651164921805</v>
      </c>
      <c r="AM4517">
        <v>93.626520293729101</v>
      </c>
      <c r="AN4517">
        <v>1.0000000043772801</v>
      </c>
    </row>
    <row r="4518" spans="1:40" x14ac:dyDescent="0.25">
      <c r="A4518" t="str">
        <f>"20190304155725991"</f>
        <v>20190304155725991</v>
      </c>
      <c r="B4518" t="str">
        <f>"1551686245989830"</f>
        <v>1551686245989830</v>
      </c>
      <c r="C4518" t="s">
        <v>40</v>
      </c>
      <c r="D4518">
        <v>4.9906230000000003</v>
      </c>
      <c r="E4518">
        <v>0.53482489999999905</v>
      </c>
      <c r="F4518" t="s">
        <v>41</v>
      </c>
      <c r="G4518">
        <v>-350.226</v>
      </c>
      <c r="H4518" s="1">
        <v>-4.9135940000000001E-6</v>
      </c>
      <c r="I4518">
        <v>143.64410000000001</v>
      </c>
      <c r="J4518">
        <v>-306.553</v>
      </c>
      <c r="K4518">
        <v>1.1100969999999999</v>
      </c>
      <c r="L4518">
        <v>141.7021</v>
      </c>
      <c r="M4518">
        <v>-0.99980869999999999</v>
      </c>
      <c r="N4518">
        <v>-1.49902E-2</v>
      </c>
      <c r="O4518">
        <v>1.2566910000000001E-2</v>
      </c>
      <c r="P4518">
        <v>-0.9853073</v>
      </c>
      <c r="Q4518">
        <v>0.16330059999999999</v>
      </c>
      <c r="R4518">
        <v>-5.00279E-2</v>
      </c>
      <c r="S4518">
        <v>-3.0645449999999999</v>
      </c>
      <c r="T4518">
        <v>-7.7462429999999999E-2</v>
      </c>
      <c r="U4518">
        <v>0.13572690000000001</v>
      </c>
      <c r="V4518">
        <v>-6.2405769999999999E-2</v>
      </c>
      <c r="W4518">
        <v>0.17804210000000001</v>
      </c>
      <c r="X4518">
        <v>0.98204199999999997</v>
      </c>
      <c r="Y4518">
        <v>3.1671110000000002E-2</v>
      </c>
      <c r="Z4518">
        <v>5.0846780000000002E-4</v>
      </c>
      <c r="AA4518">
        <v>0.9994982</v>
      </c>
      <c r="AB4518">
        <v>39</v>
      </c>
      <c r="AC4518">
        <v>-43.673000000000002</v>
      </c>
      <c r="AD4518">
        <v>-1.11010191359399</v>
      </c>
      <c r="AE4518">
        <v>1.9419999999999999</v>
      </c>
      <c r="AF4518">
        <v>1.39205266711336</v>
      </c>
      <c r="AG4518">
        <v>-1.11010191359399</v>
      </c>
      <c r="AH4518">
        <v>43.665801397783802</v>
      </c>
      <c r="AI4518">
        <v>91.455559718440796</v>
      </c>
      <c r="AJ4518">
        <v>88.174046127915602</v>
      </c>
      <c r="AK4518">
        <v>43.702086318587597</v>
      </c>
      <c r="AL4518">
        <v>79.744261398610803</v>
      </c>
      <c r="AM4518">
        <v>93.636082642469106</v>
      </c>
      <c r="AN4518">
        <v>0.99999997963285103</v>
      </c>
    </row>
    <row r="4519" spans="1:40" x14ac:dyDescent="0.25">
      <c r="A4519" t="str">
        <f>"20190304155726008"</f>
        <v>20190304155726008</v>
      </c>
      <c r="B4519" t="str">
        <f>"1551686245999590"</f>
        <v>1551686245999590</v>
      </c>
      <c r="C4519" t="s">
        <v>40</v>
      </c>
      <c r="D4519">
        <v>5.1675199999999997</v>
      </c>
      <c r="E4519">
        <v>0.53476099999999904</v>
      </c>
      <c r="F4519" t="s">
        <v>41</v>
      </c>
      <c r="G4519">
        <v>-350.75630000000001</v>
      </c>
      <c r="H4519" s="1">
        <v>-4.7474630000000003E-6</v>
      </c>
      <c r="I4519">
        <v>143.72489999999999</v>
      </c>
      <c r="J4519">
        <v>-306.83249999999998</v>
      </c>
      <c r="K4519">
        <v>1.110107</v>
      </c>
      <c r="L4519">
        <v>141.7056</v>
      </c>
      <c r="M4519">
        <v>-0.99980899999999995</v>
      </c>
      <c r="N4519">
        <v>-1.498713E-2</v>
      </c>
      <c r="O4519">
        <v>1.254805E-2</v>
      </c>
      <c r="P4519">
        <v>-0.98524029999999996</v>
      </c>
      <c r="Q4519">
        <v>0.16355449999999999</v>
      </c>
      <c r="R4519">
        <v>-5.0509789999999999E-2</v>
      </c>
      <c r="S4519">
        <v>-3.0646059999999999</v>
      </c>
      <c r="T4519">
        <v>-7.6963309999999993E-2</v>
      </c>
      <c r="U4519">
        <v>0.14024349999999999</v>
      </c>
      <c r="V4519">
        <v>-6.2871140000000006E-2</v>
      </c>
      <c r="W4519">
        <v>0.17829120000000001</v>
      </c>
      <c r="X4519">
        <v>0.98196719999999904</v>
      </c>
      <c r="Y4519">
        <v>3.3158529999999999E-2</v>
      </c>
      <c r="Z4519">
        <v>5.3785720000000005E-4</v>
      </c>
      <c r="AA4519">
        <v>0.99944999999999995</v>
      </c>
      <c r="AB4519">
        <v>39</v>
      </c>
      <c r="AC4519">
        <v>-43.9238</v>
      </c>
      <c r="AD4519">
        <v>-1.110111747463</v>
      </c>
      <c r="AE4519">
        <v>2.0192999999999799</v>
      </c>
      <c r="AF4519">
        <v>1.46698599899756</v>
      </c>
      <c r="AG4519">
        <v>-1.110111747463</v>
      </c>
      <c r="AH4519">
        <v>43.917688797851604</v>
      </c>
      <c r="AI4519">
        <v>91.447155959330203</v>
      </c>
      <c r="AJ4519">
        <v>88.086855917491405</v>
      </c>
      <c r="AK4519">
        <v>43.956203036182004</v>
      </c>
      <c r="AL4519">
        <v>79.729757757031905</v>
      </c>
      <c r="AM4519">
        <v>93.663402221469795</v>
      </c>
      <c r="AN4519">
        <v>1.0000000570590799</v>
      </c>
    </row>
    <row r="4520" spans="1:40" x14ac:dyDescent="0.25">
      <c r="A4520" t="str">
        <f>"20190304155726023"</f>
        <v>20190304155726023</v>
      </c>
      <c r="B4520" t="str">
        <f>"1551686246019110"</f>
        <v>1551686246019110</v>
      </c>
      <c r="C4520" t="s">
        <v>40</v>
      </c>
      <c r="D4520">
        <v>4.9542330000000003</v>
      </c>
      <c r="E4520">
        <v>0.53508959999999905</v>
      </c>
      <c r="F4520" t="s">
        <v>41</v>
      </c>
      <c r="G4520">
        <v>-351.58550000000002</v>
      </c>
      <c r="H4520" s="1">
        <v>-4.4655870000000003E-6</v>
      </c>
      <c r="I4520">
        <v>143.7268</v>
      </c>
      <c r="J4520">
        <v>-307.10140000000001</v>
      </c>
      <c r="K4520">
        <v>1.110115</v>
      </c>
      <c r="L4520">
        <v>141.709</v>
      </c>
      <c r="M4520">
        <v>-0.99980930000000001</v>
      </c>
      <c r="N4520">
        <v>-1.498418E-2</v>
      </c>
      <c r="O4520">
        <v>1.252436E-2</v>
      </c>
      <c r="P4520">
        <v>-0.98519420000000002</v>
      </c>
      <c r="Q4520">
        <v>0.16381509999999999</v>
      </c>
      <c r="R4520">
        <v>-5.056948E-2</v>
      </c>
      <c r="S4520">
        <v>-3.0646969999999998</v>
      </c>
      <c r="T4520">
        <v>-7.602072E-2</v>
      </c>
      <c r="U4520">
        <v>0.13841249999999999</v>
      </c>
      <c r="V4520">
        <v>-6.2909389999999996E-2</v>
      </c>
      <c r="W4520">
        <v>0.1785474</v>
      </c>
      <c r="X4520">
        <v>0.98191819999999996</v>
      </c>
      <c r="Y4520">
        <v>3.258552E-2</v>
      </c>
      <c r="Z4520">
        <v>5.253619E-4</v>
      </c>
      <c r="AA4520">
        <v>0.99946880000000005</v>
      </c>
      <c r="AB4520">
        <v>39</v>
      </c>
      <c r="AC4520">
        <v>-44.484099999999998</v>
      </c>
      <c r="AD4520">
        <v>-1.1101194655869999</v>
      </c>
      <c r="AE4520">
        <v>2.01779999999999</v>
      </c>
      <c r="AF4520">
        <v>1.4595371758243001</v>
      </c>
      <c r="AG4520">
        <v>-1.1101194655869999</v>
      </c>
      <c r="AH4520">
        <v>44.478241717136697</v>
      </c>
      <c r="AI4520">
        <v>91.428962997972505</v>
      </c>
      <c r="AJ4520">
        <v>88.120534435513605</v>
      </c>
      <c r="AK4520">
        <v>44.516026330340097</v>
      </c>
      <c r="AL4520">
        <v>79.714839218623595</v>
      </c>
      <c r="AM4520">
        <v>93.665807338227395</v>
      </c>
      <c r="AN4520">
        <v>1.00000005844408</v>
      </c>
    </row>
    <row r="4521" spans="1:40" x14ac:dyDescent="0.25">
      <c r="A4521" t="str">
        <f>"20190304155726038"</f>
        <v>20190304155726038</v>
      </c>
      <c r="B4521" t="str">
        <f>"1551686246029846"</f>
        <v>1551686246029846</v>
      </c>
      <c r="C4521" t="s">
        <v>40</v>
      </c>
      <c r="D4521">
        <v>4.9558059999999999</v>
      </c>
      <c r="E4521">
        <v>0.53532489999999999</v>
      </c>
      <c r="F4521" t="s">
        <v>41</v>
      </c>
      <c r="G4521">
        <v>-352.89420000000001</v>
      </c>
      <c r="H4521" s="1">
        <v>-4.0361600000000002E-6</v>
      </c>
      <c r="I4521">
        <v>143.81649999999999</v>
      </c>
      <c r="J4521">
        <v>-307.33920000000001</v>
      </c>
      <c r="K4521">
        <v>1.110123</v>
      </c>
      <c r="L4521">
        <v>141.71199999999999</v>
      </c>
      <c r="M4521">
        <v>-0.99980979999999997</v>
      </c>
      <c r="N4521">
        <v>-1.498155E-2</v>
      </c>
      <c r="O4521">
        <v>1.249948E-2</v>
      </c>
      <c r="P4521">
        <v>-0.98516970000000004</v>
      </c>
      <c r="Q4521">
        <v>0.16395219999999999</v>
      </c>
      <c r="R4521">
        <v>-5.060477E-2</v>
      </c>
      <c r="S4521">
        <v>-3.0646969999999998</v>
      </c>
      <c r="T4521">
        <v>-7.4295040000000007E-2</v>
      </c>
      <c r="U4521">
        <v>0.14105219999999999</v>
      </c>
      <c r="V4521">
        <v>-6.2922339999999993E-2</v>
      </c>
      <c r="W4521">
        <v>0.1786807</v>
      </c>
      <c r="X4521">
        <v>0.98189309999999996</v>
      </c>
      <c r="Y4521">
        <v>3.3469579999999999E-2</v>
      </c>
      <c r="Z4521">
        <v>5.4073070000000003E-4</v>
      </c>
      <c r="AA4521">
        <v>0.99943959999999998</v>
      </c>
      <c r="AB4521">
        <v>39</v>
      </c>
      <c r="AC4521">
        <v>-45.555</v>
      </c>
      <c r="AD4521">
        <v>-1.11012703616</v>
      </c>
      <c r="AE4521">
        <v>2.1044999999999701</v>
      </c>
      <c r="AF4521">
        <v>1.5339489354484801</v>
      </c>
      <c r="AG4521">
        <v>-1.11012703616</v>
      </c>
      <c r="AH4521">
        <v>45.550755986786299</v>
      </c>
      <c r="AI4521">
        <v>91.395300478030805</v>
      </c>
      <c r="AJ4521">
        <v>88.071259249957905</v>
      </c>
      <c r="AK4521">
        <v>45.590094892868201</v>
      </c>
      <c r="AL4521">
        <v>79.707076639935394</v>
      </c>
      <c r="AM4521">
        <v>93.666653364418906</v>
      </c>
      <c r="AN4521">
        <v>1.0000000366255799</v>
      </c>
    </row>
    <row r="4522" spans="1:40" x14ac:dyDescent="0.25">
      <c r="A4522" t="str">
        <f>"20190304155726055"</f>
        <v>20190304155726055</v>
      </c>
      <c r="B4522" t="str">
        <f>"1551686246049367"</f>
        <v>1551686246049367</v>
      </c>
      <c r="C4522" t="s">
        <v>40</v>
      </c>
      <c r="D4522">
        <v>4.9904699999999904</v>
      </c>
      <c r="E4522">
        <v>0.53569469999999997</v>
      </c>
      <c r="F4522" t="s">
        <v>41</v>
      </c>
      <c r="G4522">
        <v>-352.92619999999999</v>
      </c>
      <c r="H4522" s="1">
        <v>-4.028937E-6</v>
      </c>
      <c r="I4522">
        <v>143.83709999999999</v>
      </c>
      <c r="J4522">
        <v>-307.63499999999999</v>
      </c>
      <c r="K4522">
        <v>1.110131</v>
      </c>
      <c r="L4522">
        <v>141.71559999999999</v>
      </c>
      <c r="M4522">
        <v>-0.99981010000000003</v>
      </c>
      <c r="N4522">
        <v>-1.497829E-2</v>
      </c>
      <c r="O4522">
        <v>1.246338E-2</v>
      </c>
      <c r="P4522">
        <v>-0.98505520000000002</v>
      </c>
      <c r="Q4522">
        <v>0.1646242</v>
      </c>
      <c r="R4522">
        <v>-5.0647030000000003E-2</v>
      </c>
      <c r="S4522">
        <v>-3.0649109999999999</v>
      </c>
      <c r="T4522">
        <v>-7.4636339999999995E-2</v>
      </c>
      <c r="U4522">
        <v>0.14288329999999999</v>
      </c>
      <c r="V4522">
        <v>-6.2930520000000004E-2</v>
      </c>
      <c r="W4522">
        <v>0.17934639999999999</v>
      </c>
      <c r="X4522">
        <v>0.98177119999999996</v>
      </c>
      <c r="Y4522">
        <v>3.4097870000000002E-2</v>
      </c>
      <c r="Z4522">
        <v>5.5379120000000005E-4</v>
      </c>
      <c r="AA4522">
        <v>0.99941829999999998</v>
      </c>
      <c r="AB4522">
        <v>38</v>
      </c>
      <c r="AC4522">
        <v>-45.291200000000003</v>
      </c>
      <c r="AD4522">
        <v>-1.110135028937</v>
      </c>
      <c r="AE4522">
        <v>2.1214999999999899</v>
      </c>
      <c r="AF4522">
        <v>1.5558576944343301</v>
      </c>
      <c r="AG4522">
        <v>-1.110135028937</v>
      </c>
      <c r="AH4522">
        <v>45.2869769533511</v>
      </c>
      <c r="AI4522">
        <v>91.403402012632</v>
      </c>
      <c r="AJ4522">
        <v>88.032347533029906</v>
      </c>
      <c r="AK4522">
        <v>45.327291718358303</v>
      </c>
      <c r="AL4522">
        <v>79.668308591530007</v>
      </c>
      <c r="AM4522">
        <v>93.667582814621497</v>
      </c>
      <c r="AN4522">
        <v>1.0000000353449301</v>
      </c>
    </row>
    <row r="4523" spans="1:40" x14ac:dyDescent="0.25">
      <c r="A4523" t="str">
        <f>"20190304155726077"</f>
        <v>20190304155726077</v>
      </c>
      <c r="B4523" t="str">
        <f>"1551686246069862"</f>
        <v>1551686246069862</v>
      </c>
      <c r="C4523" t="s">
        <v>40</v>
      </c>
      <c r="D4523">
        <v>4.9960360000000001</v>
      </c>
      <c r="E4523">
        <v>0.5362209</v>
      </c>
      <c r="F4523" t="s">
        <v>41</v>
      </c>
      <c r="G4523">
        <v>-354.96550000000002</v>
      </c>
      <c r="H4523" s="1">
        <v>-3.2996320000000002E-6</v>
      </c>
      <c r="I4523">
        <v>143.9667</v>
      </c>
      <c r="J4523">
        <v>-308.01519999999999</v>
      </c>
      <c r="K4523">
        <v>1.1101399999999999</v>
      </c>
      <c r="L4523">
        <v>141.72030000000001</v>
      </c>
      <c r="M4523">
        <v>-0.99981109999999895</v>
      </c>
      <c r="N4523">
        <v>-1.4974070000000001E-2</v>
      </c>
      <c r="O4523">
        <v>1.24076E-2</v>
      </c>
      <c r="P4523">
        <v>-0.98484490000000002</v>
      </c>
      <c r="Q4523">
        <v>0.16585269999999999</v>
      </c>
      <c r="R4523">
        <v>-5.0730520000000001E-2</v>
      </c>
      <c r="S4523">
        <v>-3.0650330000000001</v>
      </c>
      <c r="T4523">
        <v>-7.1890229999999999E-2</v>
      </c>
      <c r="U4523">
        <v>0.14578250000000001</v>
      </c>
      <c r="V4523">
        <v>-6.2960710000000003E-2</v>
      </c>
      <c r="W4523">
        <v>0.18056639999999999</v>
      </c>
      <c r="X4523">
        <v>0.98154560000000002</v>
      </c>
      <c r="Y4523">
        <v>3.5095399999999999E-2</v>
      </c>
      <c r="Z4523">
        <v>5.6919179999999998E-4</v>
      </c>
      <c r="AA4523">
        <v>0.99938380000000004</v>
      </c>
      <c r="AB4523">
        <v>38</v>
      </c>
      <c r="AC4523">
        <v>-46.950299999999999</v>
      </c>
      <c r="AD4523">
        <v>-1.110143299632</v>
      </c>
      <c r="AE4523">
        <v>2.2463999999999902</v>
      </c>
      <c r="AF4523">
        <v>1.66269382409197</v>
      </c>
      <c r="AG4523">
        <v>-1.110143299632</v>
      </c>
      <c r="AH4523">
        <v>46.948372249183301</v>
      </c>
      <c r="AI4523">
        <v>91.353717761062896</v>
      </c>
      <c r="AJ4523">
        <v>87.971696667343295</v>
      </c>
      <c r="AK4523">
        <v>46.990920673533097</v>
      </c>
      <c r="AL4523">
        <v>79.597247481013895</v>
      </c>
      <c r="AM4523">
        <v>93.670178539769097</v>
      </c>
      <c r="AN4523">
        <v>1.00000002034601</v>
      </c>
    </row>
    <row r="4524" spans="1:40" x14ac:dyDescent="0.25">
      <c r="A4524" t="str">
        <f>"20190304155726099"</f>
        <v>20190304155726099</v>
      </c>
      <c r="B4524" t="str">
        <f>"1551686246089382"</f>
        <v>1551686246089382</v>
      </c>
      <c r="C4524" t="s">
        <v>40</v>
      </c>
      <c r="D4524">
        <v>4.9650249999999998</v>
      </c>
      <c r="E4524">
        <v>0.5364717</v>
      </c>
      <c r="F4524" t="s">
        <v>41</v>
      </c>
      <c r="G4524">
        <v>-359.12360000000001</v>
      </c>
      <c r="H4524" s="1">
        <v>-1.5839040000000001E-6</v>
      </c>
      <c r="I4524">
        <v>144.2225</v>
      </c>
      <c r="J4524">
        <v>-308.37849999999997</v>
      </c>
      <c r="K4524">
        <v>1.1101510000000001</v>
      </c>
      <c r="L4524">
        <v>141.72470000000001</v>
      </c>
      <c r="M4524">
        <v>-0.99981160000000002</v>
      </c>
      <c r="N4524">
        <v>-1.4970020000000001E-2</v>
      </c>
      <c r="O4524">
        <v>1.2346889999999999E-2</v>
      </c>
      <c r="P4524">
        <v>-0.98470610000000003</v>
      </c>
      <c r="Q4524">
        <v>0.16668749999999999</v>
      </c>
      <c r="R4524">
        <v>-5.0687120000000002E-2</v>
      </c>
      <c r="S4524">
        <v>-3.0651250000000001</v>
      </c>
      <c r="T4524">
        <v>-6.657863E-2</v>
      </c>
      <c r="U4524">
        <v>0.15007019999999999</v>
      </c>
      <c r="V4524">
        <v>-6.2858300000000006E-2</v>
      </c>
      <c r="W4524">
        <v>0.1813941</v>
      </c>
      <c r="X4524">
        <v>0.98139949999999998</v>
      </c>
      <c r="Y4524">
        <v>3.6550480000000003E-2</v>
      </c>
      <c r="Z4524">
        <v>5.8726280000000002E-4</v>
      </c>
      <c r="AA4524">
        <v>0.99933170000000004</v>
      </c>
      <c r="AB4524">
        <v>38</v>
      </c>
      <c r="AC4524">
        <v>-50.745100000000001</v>
      </c>
      <c r="AD4524">
        <v>-1.1101525839040001</v>
      </c>
      <c r="AE4524">
        <v>2.4977999999999798</v>
      </c>
      <c r="AF4524">
        <v>1.87010223146578</v>
      </c>
      <c r="AG4524">
        <v>-1.1101525839040001</v>
      </c>
      <c r="AH4524">
        <v>50.7478451082238</v>
      </c>
      <c r="AI4524">
        <v>91.252344602873407</v>
      </c>
      <c r="AJ4524">
        <v>87.889555663158205</v>
      </c>
      <c r="AK4524">
        <v>50.794423948342597</v>
      </c>
      <c r="AL4524">
        <v>79.549027088839395</v>
      </c>
      <c r="AM4524">
        <v>93.664769018149599</v>
      </c>
      <c r="AN4524">
        <v>0.99999998199697404</v>
      </c>
    </row>
    <row r="4525" spans="1:40" x14ac:dyDescent="0.25">
      <c r="A4525" t="str">
        <f>"20190304155726112"</f>
        <v>20190304155726112</v>
      </c>
      <c r="B4525" t="str">
        <f>"1551686246109878"</f>
        <v>1551686246109878</v>
      </c>
      <c r="C4525" t="s">
        <v>40</v>
      </c>
      <c r="D4525">
        <v>4.9869300000000001</v>
      </c>
      <c r="E4525">
        <v>0.53668359999999904</v>
      </c>
      <c r="F4525" t="s">
        <v>41</v>
      </c>
      <c r="G4525">
        <v>-361.7647</v>
      </c>
      <c r="H4525" s="1">
        <v>-4.5201320000000002E-6</v>
      </c>
      <c r="I4525">
        <v>144.37799999999999</v>
      </c>
      <c r="J4525">
        <v>-308.62130000000002</v>
      </c>
      <c r="K4525">
        <v>1.11016</v>
      </c>
      <c r="L4525">
        <v>141.7277</v>
      </c>
      <c r="M4525">
        <v>-0.99981240000000005</v>
      </c>
      <c r="N4525">
        <v>-1.4967350000000001E-2</v>
      </c>
      <c r="O4525">
        <v>1.2302789999999999E-2</v>
      </c>
      <c r="P4525">
        <v>-0.98464949999999996</v>
      </c>
      <c r="Q4525">
        <v>0.1670529</v>
      </c>
      <c r="R4525">
        <v>-5.0582759999999997E-2</v>
      </c>
      <c r="S4525">
        <v>-3.0652159999999999</v>
      </c>
      <c r="T4525">
        <v>-6.3740610000000003E-2</v>
      </c>
      <c r="U4525">
        <v>0.152343799999999</v>
      </c>
      <c r="V4525">
        <v>-6.2712260000000006E-2</v>
      </c>
      <c r="W4525">
        <v>0.1817551</v>
      </c>
      <c r="X4525">
        <v>0.98134209999999999</v>
      </c>
      <c r="Y4525">
        <v>3.7333150000000002E-2</v>
      </c>
      <c r="Z4525">
        <v>5.9593989999999996E-4</v>
      </c>
      <c r="AA4525">
        <v>0.99930269999999999</v>
      </c>
      <c r="AB4525">
        <v>38</v>
      </c>
      <c r="AC4525">
        <v>-53.1433999999999</v>
      </c>
      <c r="AD4525">
        <v>-1.1101645201320001</v>
      </c>
      <c r="AE4525">
        <v>2.6502999999999801</v>
      </c>
      <c r="AF4525">
        <v>1.99534551762317</v>
      </c>
      <c r="AG4525">
        <v>-1.1101645201320001</v>
      </c>
      <c r="AH4525">
        <v>53.148850673991198</v>
      </c>
      <c r="AI4525">
        <v>91.195768741264502</v>
      </c>
      <c r="AJ4525">
        <v>87.849977766695702</v>
      </c>
      <c r="AK4525">
        <v>53.197877748672198</v>
      </c>
      <c r="AL4525">
        <v>79.527994191679298</v>
      </c>
      <c r="AM4525">
        <v>93.656490987332205</v>
      </c>
      <c r="AN4525">
        <v>1.0000000305813601</v>
      </c>
    </row>
    <row r="4526" spans="1:40" x14ac:dyDescent="0.25">
      <c r="A4526" t="str">
        <f>"20190304155726126"</f>
        <v>20190304155726126</v>
      </c>
      <c r="B4526" t="str">
        <f>"1551686246119638"</f>
        <v>1551686246119638</v>
      </c>
      <c r="C4526" t="s">
        <v>40</v>
      </c>
      <c r="D4526">
        <v>4.9481900000000003</v>
      </c>
      <c r="E4526">
        <v>0.53684019999999899</v>
      </c>
      <c r="F4526" t="s">
        <v>41</v>
      </c>
      <c r="G4526">
        <v>-362.67989999999998</v>
      </c>
      <c r="H4526" s="1">
        <v>-4.2208530000000003E-6</v>
      </c>
      <c r="I4526">
        <v>144.44649999999999</v>
      </c>
      <c r="J4526">
        <v>-308.86669999999998</v>
      </c>
      <c r="K4526">
        <v>1.1101669999999999</v>
      </c>
      <c r="L4526">
        <v>141.73070000000001</v>
      </c>
      <c r="M4526">
        <v>-0.99981299999999995</v>
      </c>
      <c r="N4526">
        <v>-1.4964710000000001E-2</v>
      </c>
      <c r="O4526">
        <v>1.2255820000000001E-2</v>
      </c>
      <c r="P4526">
        <v>-0.98463330000000004</v>
      </c>
      <c r="Q4526">
        <v>0.16717979999999999</v>
      </c>
      <c r="R4526">
        <v>-5.0486950000000003E-2</v>
      </c>
      <c r="S4526">
        <v>-3.0653380000000001</v>
      </c>
      <c r="T4526">
        <v>-6.2950850000000003E-2</v>
      </c>
      <c r="U4526">
        <v>0.154174799999999</v>
      </c>
      <c r="V4526">
        <v>-6.2571349999999998E-2</v>
      </c>
      <c r="W4526">
        <v>0.18187900000000001</v>
      </c>
      <c r="X4526">
        <v>0.98132810000000004</v>
      </c>
      <c r="Y4526">
        <v>3.7973569999999998E-2</v>
      </c>
      <c r="Z4526">
        <v>6.0584189999999996E-4</v>
      </c>
      <c r="AA4526">
        <v>0.99927849999999996</v>
      </c>
      <c r="AB4526">
        <v>38</v>
      </c>
      <c r="AC4526">
        <v>-53.813200000000002</v>
      </c>
      <c r="AD4526">
        <v>-1.1101712208529999</v>
      </c>
      <c r="AE4526">
        <v>2.71579999999997</v>
      </c>
      <c r="AF4526">
        <v>2.0551248498819201</v>
      </c>
      <c r="AG4526">
        <v>-1.1101712208529999</v>
      </c>
      <c r="AH4526">
        <v>53.819598049405002</v>
      </c>
      <c r="AI4526">
        <v>91.180848692983105</v>
      </c>
      <c r="AJ4526">
        <v>87.813198108920304</v>
      </c>
      <c r="AK4526">
        <v>53.870262227760897</v>
      </c>
      <c r="AL4526">
        <v>79.520774509534405</v>
      </c>
      <c r="AM4526">
        <v>93.6483492331447</v>
      </c>
      <c r="AN4526">
        <v>0.999999992165716</v>
      </c>
    </row>
    <row r="4527" spans="1:40" x14ac:dyDescent="0.25">
      <c r="A4527" t="str">
        <f>"20190304155726144"</f>
        <v>20190304155726144</v>
      </c>
      <c r="B4527" t="str">
        <f>"1551686246139157"</f>
        <v>1551686246139157</v>
      </c>
      <c r="C4527" t="s">
        <v>40</v>
      </c>
      <c r="D4527">
        <v>5.012283</v>
      </c>
      <c r="E4527">
        <v>0.53681049999999997</v>
      </c>
      <c r="F4527" t="s">
        <v>41</v>
      </c>
      <c r="G4527">
        <v>-363.43329999999997</v>
      </c>
      <c r="H4527" s="1">
        <v>-3.9747409999999999E-6</v>
      </c>
      <c r="I4527">
        <v>144.5044</v>
      </c>
      <c r="J4527">
        <v>-309.1454</v>
      </c>
      <c r="K4527">
        <v>1.110169</v>
      </c>
      <c r="L4527">
        <v>141.73410000000001</v>
      </c>
      <c r="M4527">
        <v>-0.99981359999999997</v>
      </c>
      <c r="N4527">
        <v>-1.496159E-2</v>
      </c>
      <c r="O4527">
        <v>1.22001E-2</v>
      </c>
      <c r="P4527">
        <v>-0.98457240000000001</v>
      </c>
      <c r="Q4527">
        <v>0.16748270000000001</v>
      </c>
      <c r="R4527">
        <v>-5.0666030000000001E-2</v>
      </c>
      <c r="S4527">
        <v>-3.0653990000000002</v>
      </c>
      <c r="T4527">
        <v>-6.2366369999999997E-2</v>
      </c>
      <c r="U4527">
        <v>0.15582279999999901</v>
      </c>
      <c r="V4527">
        <v>-6.2696979999999999E-2</v>
      </c>
      <c r="W4527">
        <v>0.18217710000000001</v>
      </c>
      <c r="X4527">
        <v>0.98126480000000005</v>
      </c>
      <c r="Y4527">
        <v>3.8564059999999997E-2</v>
      </c>
      <c r="Z4527">
        <v>6.1518169999999896E-4</v>
      </c>
      <c r="AA4527">
        <v>0.99925600000000003</v>
      </c>
      <c r="AB4527">
        <v>38</v>
      </c>
      <c r="AC4527">
        <v>-54.287899999999901</v>
      </c>
      <c r="AD4527">
        <v>-1.1101729747410001</v>
      </c>
      <c r="AE4527">
        <v>2.77029999999999</v>
      </c>
      <c r="AF4527">
        <v>2.1068230345887899</v>
      </c>
      <c r="AG4527">
        <v>-1.1101729747410001</v>
      </c>
      <c r="AH4527">
        <v>54.295013753594901</v>
      </c>
      <c r="AI4527">
        <v>91.170485945312294</v>
      </c>
      <c r="AJ4527">
        <v>87.777852341852906</v>
      </c>
      <c r="AK4527">
        <v>54.3472143337262</v>
      </c>
      <c r="AL4527">
        <v>79.503404603240696</v>
      </c>
      <c r="AM4527">
        <v>93.655889682550907</v>
      </c>
      <c r="AN4527">
        <v>1.0000000073922799</v>
      </c>
    </row>
    <row r="4528" spans="1:40" x14ac:dyDescent="0.25">
      <c r="A4528" t="str">
        <f>"20190304155726156"</f>
        <v>20190304155726156</v>
      </c>
      <c r="B4528" t="str">
        <f>"1551686246149894"</f>
        <v>1551686246149894</v>
      </c>
      <c r="C4528" t="s">
        <v>40</v>
      </c>
      <c r="D4528">
        <v>5.0159039999999999</v>
      </c>
      <c r="E4528">
        <v>0.51938600000000001</v>
      </c>
      <c r="F4528" t="s">
        <v>41</v>
      </c>
      <c r="G4528">
        <v>-364.1001</v>
      </c>
      <c r="H4528" s="1">
        <v>-3.7500640000000002E-6</v>
      </c>
      <c r="I4528">
        <v>144.517</v>
      </c>
      <c r="J4528">
        <v>-309.37889999999999</v>
      </c>
      <c r="K4528">
        <v>1.110174</v>
      </c>
      <c r="L4528">
        <v>141.73689999999999</v>
      </c>
      <c r="M4528">
        <v>-0.99981419999999999</v>
      </c>
      <c r="N4528">
        <v>-1.495894E-2</v>
      </c>
      <c r="O4528">
        <v>1.215251E-2</v>
      </c>
      <c r="P4528">
        <v>-0.98458060000000003</v>
      </c>
      <c r="Q4528">
        <v>0.16747889999999999</v>
      </c>
      <c r="R4528">
        <v>-5.0516909999999998E-2</v>
      </c>
      <c r="S4528">
        <v>-3.0655209999999999</v>
      </c>
      <c r="T4528">
        <v>-6.1928509999999999E-2</v>
      </c>
      <c r="U4528">
        <v>0.15524289999999999</v>
      </c>
      <c r="V4528">
        <v>-6.2502409999999994E-2</v>
      </c>
      <c r="W4528">
        <v>0.18217059999999999</v>
      </c>
      <c r="X4528">
        <v>0.9812784</v>
      </c>
      <c r="Y4528">
        <v>3.8421289999999997E-2</v>
      </c>
      <c r="Z4528">
        <v>6.1182040000000004E-4</v>
      </c>
      <c r="AA4528">
        <v>0.99926139999999997</v>
      </c>
      <c r="AB4528">
        <v>38</v>
      </c>
      <c r="AC4528">
        <v>-54.721200000000003</v>
      </c>
      <c r="AD4528">
        <v>-1.110177750064</v>
      </c>
      <c r="AE4528">
        <v>2.7801</v>
      </c>
      <c r="AF4528">
        <v>2.1139524158886198</v>
      </c>
      <c r="AG4528">
        <v>-1.110177750064</v>
      </c>
      <c r="AH4528">
        <v>54.728479044189399</v>
      </c>
      <c r="AI4528">
        <v>91.161230848260004</v>
      </c>
      <c r="AJ4528">
        <v>87.787982218200696</v>
      </c>
      <c r="AK4528">
        <v>54.780541325763302</v>
      </c>
      <c r="AL4528">
        <v>79.503783163665602</v>
      </c>
      <c r="AM4528">
        <v>93.644524467531795</v>
      </c>
      <c r="AN4528">
        <v>0.99999998853336303</v>
      </c>
    </row>
    <row r="4529" spans="1:40" x14ac:dyDescent="0.25">
      <c r="A4529" t="str">
        <f>"20190304155726171"</f>
        <v>20190304155726171</v>
      </c>
      <c r="B4529" t="str">
        <f>"1551686246159654"</f>
        <v>1551686246159654</v>
      </c>
      <c r="C4529" t="s">
        <v>40</v>
      </c>
      <c r="D4529">
        <v>5.0313549999999996</v>
      </c>
      <c r="E4529">
        <v>0.51711949999999995</v>
      </c>
      <c r="F4529" t="s">
        <v>41</v>
      </c>
      <c r="G4529">
        <v>-343.09010000000001</v>
      </c>
      <c r="H4529" s="1">
        <v>-3.5638920000000001E-6</v>
      </c>
      <c r="I4529">
        <v>141.93620000000001</v>
      </c>
      <c r="J4529">
        <v>-309.61939999999998</v>
      </c>
      <c r="K4529">
        <v>1.1101760000000001</v>
      </c>
      <c r="L4529">
        <v>141.7398</v>
      </c>
      <c r="M4529">
        <v>-0.99981489999999995</v>
      </c>
      <c r="N4529">
        <v>-1.4956189999999999E-2</v>
      </c>
      <c r="O4529">
        <v>1.210253E-2</v>
      </c>
      <c r="P4529">
        <v>-0.98457169999999905</v>
      </c>
      <c r="Q4529">
        <v>0.1675566</v>
      </c>
      <c r="R4529">
        <v>-5.0431160000000003E-2</v>
      </c>
      <c r="S4529">
        <v>-3.0651250000000001</v>
      </c>
      <c r="T4529">
        <v>-0.1009408</v>
      </c>
      <c r="U4529">
        <v>1.8127440000000002E-2</v>
      </c>
      <c r="V4529">
        <v>-6.2368640000000003E-2</v>
      </c>
      <c r="W4529">
        <v>0.18224509999999999</v>
      </c>
      <c r="X4529">
        <v>0.98127310000000001</v>
      </c>
      <c r="Y4529">
        <v>-6.1832819999999896E-3</v>
      </c>
      <c r="Z4529">
        <v>-3.6549020000000001E-4</v>
      </c>
      <c r="AA4529">
        <v>0.9999808</v>
      </c>
      <c r="AB4529">
        <v>38</v>
      </c>
      <c r="AC4529">
        <v>-33.470700000000001</v>
      </c>
      <c r="AD4529">
        <v>-1.110179563892</v>
      </c>
      <c r="AE4529">
        <v>0.19640000000001101</v>
      </c>
      <c r="AF4529">
        <v>-0.20851046528376799</v>
      </c>
      <c r="AG4529">
        <v>-1.110179563892</v>
      </c>
      <c r="AH4529">
        <v>33.433843919835198</v>
      </c>
      <c r="AI4529">
        <v>91.9017856714526</v>
      </c>
      <c r="AJ4529">
        <v>90.357321006560497</v>
      </c>
      <c r="AK4529">
        <v>33.452920568077701</v>
      </c>
      <c r="AL4529">
        <v>79.499442187082906</v>
      </c>
      <c r="AM4529">
        <v>93.636764865442601</v>
      </c>
      <c r="AN4529">
        <v>1.0000000102565301</v>
      </c>
    </row>
    <row r="4530" spans="1:40" x14ac:dyDescent="0.25">
      <c r="A4530" t="str">
        <f>"20190304155726186"</f>
        <v>20190304155726186</v>
      </c>
      <c r="B4530" t="str">
        <f>"1551686246179174"</f>
        <v>1551686246179174</v>
      </c>
      <c r="C4530" t="s">
        <v>40</v>
      </c>
      <c r="D4530">
        <v>5.0095090000000004</v>
      </c>
      <c r="E4530">
        <v>0.51702420000000004</v>
      </c>
      <c r="F4530" t="s">
        <v>41</v>
      </c>
      <c r="G4530">
        <v>-343.56290000000001</v>
      </c>
      <c r="H4530" s="1">
        <v>-3.3100410000000001E-6</v>
      </c>
      <c r="I4530">
        <v>141.74440000000001</v>
      </c>
      <c r="J4530">
        <v>-309.90410000000003</v>
      </c>
      <c r="K4530">
        <v>1.1101780000000001</v>
      </c>
      <c r="L4530">
        <v>141.7432</v>
      </c>
      <c r="M4530">
        <v>-0.99981569999999997</v>
      </c>
      <c r="N4530">
        <v>-1.495293E-2</v>
      </c>
      <c r="O4530">
        <v>1.204237E-2</v>
      </c>
      <c r="P4530">
        <v>-0.98459850000000004</v>
      </c>
      <c r="Q4530">
        <v>0.16738829999999999</v>
      </c>
      <c r="R4530">
        <v>-5.046863E-2</v>
      </c>
      <c r="S4530">
        <v>-3.0640869999999998</v>
      </c>
      <c r="T4530">
        <v>-0.10021620000000001</v>
      </c>
      <c r="U4530">
        <v>4.2724609999999998E-4</v>
      </c>
      <c r="V4530">
        <v>-6.2348679999999997E-2</v>
      </c>
      <c r="W4530">
        <v>0.18207300000000001</v>
      </c>
      <c r="X4530">
        <v>0.98130629999999996</v>
      </c>
      <c r="Y4530">
        <v>-1.189312E-2</v>
      </c>
      <c r="Z4530">
        <v>-4.9709600000000004E-4</v>
      </c>
      <c r="AA4530">
        <v>0.99992910000000002</v>
      </c>
      <c r="AB4530">
        <v>38</v>
      </c>
      <c r="AC4530">
        <v>-33.6587999999999</v>
      </c>
      <c r="AD4530">
        <v>-1.1101813100409901</v>
      </c>
      <c r="AE4530">
        <v>1.20000000001141E-3</v>
      </c>
      <c r="AF4530">
        <v>-0.40373789534167398</v>
      </c>
      <c r="AG4530">
        <v>-1.1101813100409901</v>
      </c>
      <c r="AH4530">
        <v>33.6197981287199</v>
      </c>
      <c r="AI4530">
        <v>91.891177841226195</v>
      </c>
      <c r="AJ4530">
        <v>90.688028090697998</v>
      </c>
      <c r="AK4530">
        <v>33.640545968298099</v>
      </c>
      <c r="AL4530">
        <v>79.509470411077999</v>
      </c>
      <c r="AM4530">
        <v>93.635481432574593</v>
      </c>
      <c r="AN4530">
        <v>0.999999994823216</v>
      </c>
    </row>
    <row r="4531" spans="1:40" x14ac:dyDescent="0.25">
      <c r="A4531" t="str">
        <f>"20190304155726204"</f>
        <v>20190304155726204</v>
      </c>
      <c r="B4531" t="str">
        <f>"1551686246199670"</f>
        <v>1551686246199670</v>
      </c>
      <c r="C4531" t="s">
        <v>40</v>
      </c>
      <c r="D4531">
        <v>5.0819700000000001</v>
      </c>
      <c r="E4531">
        <v>0.51623520000000001</v>
      </c>
      <c r="F4531" t="s">
        <v>41</v>
      </c>
      <c r="G4531">
        <v>-344.31029999999998</v>
      </c>
      <c r="H4531" s="1">
        <v>-2.9876290000000002E-6</v>
      </c>
      <c r="I4531">
        <v>141.73779999999999</v>
      </c>
      <c r="J4531">
        <v>-310.18419999999998</v>
      </c>
      <c r="K4531">
        <v>1.1101799999999999</v>
      </c>
      <c r="L4531">
        <v>141.7465</v>
      </c>
      <c r="M4531">
        <v>-0.99981660000000006</v>
      </c>
      <c r="N4531">
        <v>-1.494969E-2</v>
      </c>
      <c r="O4531">
        <v>1.198251E-2</v>
      </c>
      <c r="P4531">
        <v>-0.98461030000000005</v>
      </c>
      <c r="Q4531">
        <v>0.16728219999999999</v>
      </c>
      <c r="R4531">
        <v>-5.0594680000000003E-2</v>
      </c>
      <c r="S4531">
        <v>-3.0637210000000001</v>
      </c>
      <c r="T4531">
        <v>-9.8856929999999996E-2</v>
      </c>
      <c r="U4531">
        <v>-4.7302249999999998E-4</v>
      </c>
      <c r="V4531">
        <v>-6.2416859999999998E-2</v>
      </c>
      <c r="W4531">
        <v>0.1819643</v>
      </c>
      <c r="X4531">
        <v>0.98132209999999997</v>
      </c>
      <c r="Y4531">
        <v>-1.2127199999999999E-2</v>
      </c>
      <c r="Z4531">
        <v>-4.9370000000000002E-4</v>
      </c>
      <c r="AA4531">
        <v>0.99992630000000005</v>
      </c>
      <c r="AB4531">
        <v>38</v>
      </c>
      <c r="AC4531">
        <v>-34.126100000000001</v>
      </c>
      <c r="AD4531">
        <v>-1.1101829876289999</v>
      </c>
      <c r="AE4531">
        <v>-8.7000000000045895E-3</v>
      </c>
      <c r="AF4531">
        <v>-0.41721979875371201</v>
      </c>
      <c r="AG4531">
        <v>-1.1101829876289999</v>
      </c>
      <c r="AH4531">
        <v>34.087469833358597</v>
      </c>
      <c r="AI4531">
        <v>91.865247404626402</v>
      </c>
      <c r="AJ4531">
        <v>90.701247117804698</v>
      </c>
      <c r="AK4531">
        <v>34.1080954945689</v>
      </c>
      <c r="AL4531">
        <v>79.515803978370997</v>
      </c>
      <c r="AM4531">
        <v>93.639387812269007</v>
      </c>
      <c r="AN4531">
        <v>0.99999996741757902</v>
      </c>
    </row>
    <row r="4532" spans="1:40" x14ac:dyDescent="0.25">
      <c r="A4532" t="str">
        <f>"20190304155726222"</f>
        <v>20190304155726222</v>
      </c>
      <c r="B4532" t="str">
        <f>"1551686246209430"</f>
        <v>1551686246209430</v>
      </c>
      <c r="C4532" t="s">
        <v>40</v>
      </c>
      <c r="D4532">
        <v>4.9916510000000001</v>
      </c>
      <c r="E4532">
        <v>0.51567969999999996</v>
      </c>
      <c r="F4532" t="s">
        <v>41</v>
      </c>
      <c r="G4532">
        <v>-343.9418</v>
      </c>
      <c r="H4532" s="1">
        <v>-3.1267999999999999E-6</v>
      </c>
      <c r="I4532">
        <v>141.66669999999999</v>
      </c>
      <c r="J4532">
        <v>-310.47620000000001</v>
      </c>
      <c r="K4532">
        <v>1.1101799999999999</v>
      </c>
      <c r="L4532">
        <v>141.7499</v>
      </c>
      <c r="M4532">
        <v>-0.99981730000000002</v>
      </c>
      <c r="N4532">
        <v>-1.4946310000000001E-2</v>
      </c>
      <c r="O4532">
        <v>1.192003E-2</v>
      </c>
      <c r="P4532">
        <v>-0.98459669999999999</v>
      </c>
      <c r="Q4532">
        <v>0.167300799999999</v>
      </c>
      <c r="R4532">
        <v>-5.0795409999999999E-2</v>
      </c>
      <c r="S4532">
        <v>-3.06366</v>
      </c>
      <c r="T4532">
        <v>-0.10075439999999999</v>
      </c>
      <c r="U4532">
        <v>-7.2326659999999996E-3</v>
      </c>
      <c r="V4532">
        <v>-6.2556600000000004E-2</v>
      </c>
      <c r="W4532">
        <v>0.1819788</v>
      </c>
      <c r="X4532">
        <v>0.98131049999999997</v>
      </c>
      <c r="Y4532">
        <v>-1.426881E-2</v>
      </c>
      <c r="Z4532">
        <v>-5.5500089999999905E-4</v>
      </c>
      <c r="AA4532">
        <v>0.99989799999999995</v>
      </c>
      <c r="AB4532">
        <v>38</v>
      </c>
      <c r="AC4532">
        <v>-33.465599999999903</v>
      </c>
      <c r="AD4532">
        <v>-1.1101831268</v>
      </c>
      <c r="AE4532">
        <v>-8.3200000000005006E-2</v>
      </c>
      <c r="AF4532">
        <v>-0.48161956393966598</v>
      </c>
      <c r="AG4532">
        <v>-1.1101831268</v>
      </c>
      <c r="AH4532">
        <v>33.425445370208003</v>
      </c>
      <c r="AI4532">
        <v>91.902108937952093</v>
      </c>
      <c r="AJ4532">
        <v>90.825504599938299</v>
      </c>
      <c r="AK4532">
        <v>33.447344620704399</v>
      </c>
      <c r="AL4532">
        <v>79.514958947416304</v>
      </c>
      <c r="AM4532">
        <v>93.647556768424394</v>
      </c>
      <c r="AN4532">
        <v>0.99999995463162294</v>
      </c>
    </row>
    <row r="4533" spans="1:40" x14ac:dyDescent="0.25">
      <c r="A4533" t="str">
        <f>"20190304155726234"</f>
        <v>20190304155726234</v>
      </c>
      <c r="B4533" t="str">
        <f>"1551686246229926"</f>
        <v>1551686246229926</v>
      </c>
      <c r="C4533" t="s">
        <v>40</v>
      </c>
      <c r="D4533">
        <v>5.0759119999999998</v>
      </c>
      <c r="E4533">
        <v>0.51474989999999998</v>
      </c>
      <c r="F4533" t="s">
        <v>41</v>
      </c>
      <c r="G4533">
        <v>-343.41039999999998</v>
      </c>
      <c r="H4533" s="1">
        <v>-3.34208E-6</v>
      </c>
      <c r="I4533">
        <v>141.619</v>
      </c>
      <c r="J4533">
        <v>-310.6986</v>
      </c>
      <c r="K4533">
        <v>1.1101810000000001</v>
      </c>
      <c r="L4533">
        <v>141.7525</v>
      </c>
      <c r="M4533">
        <v>-0.99981790000000004</v>
      </c>
      <c r="N4533">
        <v>-1.494374E-2</v>
      </c>
      <c r="O4533">
        <v>1.1872219999999999E-2</v>
      </c>
      <c r="P4533">
        <v>-0.98454010000000003</v>
      </c>
      <c r="Q4533">
        <v>0.16758799999999999</v>
      </c>
      <c r="R4533">
        <v>-5.0942550000000003E-2</v>
      </c>
      <c r="S4533">
        <v>-3.0638429999999999</v>
      </c>
      <c r="T4533">
        <v>-0.1032796</v>
      </c>
      <c r="U4533">
        <v>-1.217651E-2</v>
      </c>
      <c r="V4533">
        <v>-6.2656669999999998E-2</v>
      </c>
      <c r="W4533">
        <v>0.18226249999999999</v>
      </c>
      <c r="X4533">
        <v>0.98125150000000005</v>
      </c>
      <c r="Y4533">
        <v>-1.583234E-2</v>
      </c>
      <c r="Z4533">
        <v>-6.0780769999999897E-4</v>
      </c>
      <c r="AA4533">
        <v>0.9998745</v>
      </c>
      <c r="AB4533">
        <v>38</v>
      </c>
      <c r="AC4533">
        <v>-32.711799999999897</v>
      </c>
      <c r="AD4533">
        <v>-1.1101843420799999</v>
      </c>
      <c r="AE4533">
        <v>-0.13349999999999701</v>
      </c>
      <c r="AF4533">
        <v>-0.52129520347274205</v>
      </c>
      <c r="AG4533">
        <v>-1.1101843420799999</v>
      </c>
      <c r="AH4533">
        <v>32.6702795596592</v>
      </c>
      <c r="AI4533">
        <v>91.945998766405197</v>
      </c>
      <c r="AJ4533">
        <v>90.914148302696503</v>
      </c>
      <c r="AK4533">
        <v>32.693293264350899</v>
      </c>
      <c r="AL4533">
        <v>79.498428061974295</v>
      </c>
      <c r="AM4533">
        <v>93.653594942915902</v>
      </c>
      <c r="AN4533">
        <v>0.99999999172699405</v>
      </c>
    </row>
    <row r="4534" spans="1:40" x14ac:dyDescent="0.25">
      <c r="A4534" t="str">
        <f>"20190304155726246"</f>
        <v>20190304155726246</v>
      </c>
      <c r="B4534" t="str">
        <f>"1551686246239687"</f>
        <v>1551686246239687</v>
      </c>
      <c r="C4534" t="s">
        <v>40</v>
      </c>
      <c r="D4534">
        <v>4.9719150000000001</v>
      </c>
      <c r="E4534">
        <v>0.51448700000000003</v>
      </c>
      <c r="F4534" t="s">
        <v>41</v>
      </c>
      <c r="G4534">
        <v>-343.61900000000003</v>
      </c>
      <c r="H4534" s="1">
        <v>-3.2306290000000002E-6</v>
      </c>
      <c r="I4534">
        <v>141.53630000000001</v>
      </c>
      <c r="J4534">
        <v>-310.91699999999997</v>
      </c>
      <c r="K4534">
        <v>1.1101859999999999</v>
      </c>
      <c r="L4534">
        <v>141.7551</v>
      </c>
      <c r="M4534">
        <v>-0.9998184</v>
      </c>
      <c r="N4534">
        <v>-1.494121E-2</v>
      </c>
      <c r="O4534">
        <v>1.182531E-2</v>
      </c>
      <c r="P4534">
        <v>-0.98450309999999996</v>
      </c>
      <c r="Q4534">
        <v>0.16777420000000001</v>
      </c>
      <c r="R4534">
        <v>-5.1043110000000003E-2</v>
      </c>
      <c r="S4534">
        <v>-3.063599</v>
      </c>
      <c r="T4534">
        <v>-0.1033149</v>
      </c>
      <c r="U4534">
        <v>-2.011108E-2</v>
      </c>
      <c r="V4534">
        <v>-6.2711580000000003E-2</v>
      </c>
      <c r="W4534">
        <v>0.18244579999999999</v>
      </c>
      <c r="X4534">
        <v>0.98121389999999997</v>
      </c>
      <c r="Y4534">
        <v>-1.8373150000000001E-2</v>
      </c>
      <c r="Z4534">
        <v>-6.6903789999999904E-4</v>
      </c>
      <c r="AA4534">
        <v>0.99983100000000003</v>
      </c>
      <c r="AB4534">
        <v>38</v>
      </c>
      <c r="AC4534">
        <v>-32.701999999999998</v>
      </c>
      <c r="AD4534">
        <v>-1.110189230629</v>
      </c>
      <c r="AE4534">
        <v>-0.218799999999987</v>
      </c>
      <c r="AF4534">
        <v>-0.60484211807235999</v>
      </c>
      <c r="AG4534">
        <v>-1.110189230629</v>
      </c>
      <c r="AH4534">
        <v>32.659486492432499</v>
      </c>
      <c r="AI4534">
        <v>91.946564012120007</v>
      </c>
      <c r="AJ4534">
        <v>91.060976249967496</v>
      </c>
      <c r="AK4534">
        <v>32.683947314621797</v>
      </c>
      <c r="AL4534">
        <v>79.487746363874095</v>
      </c>
      <c r="AM4534">
        <v>93.656927882435795</v>
      </c>
      <c r="AN4534">
        <v>0.99999996487847198</v>
      </c>
    </row>
    <row r="4535" spans="1:40" x14ac:dyDescent="0.25">
      <c r="A4535" t="str">
        <f>"20190304155726261"</f>
        <v>20190304155726261</v>
      </c>
      <c r="B4535" t="str">
        <f>"1551686246259784"</f>
        <v>1551686246259784</v>
      </c>
      <c r="C4535" t="s">
        <v>40</v>
      </c>
      <c r="D4535">
        <v>4.9981400000000002</v>
      </c>
      <c r="E4535">
        <v>0.513872</v>
      </c>
      <c r="F4535" t="s">
        <v>41</v>
      </c>
      <c r="G4535">
        <v>-343.74900000000002</v>
      </c>
      <c r="H4535" s="1">
        <v>-3.1685190000000001E-6</v>
      </c>
      <c r="I4535">
        <v>141.51249999999999</v>
      </c>
      <c r="J4535">
        <v>-311.16300000000001</v>
      </c>
      <c r="K4535">
        <v>1.1101909999999999</v>
      </c>
      <c r="L4535">
        <v>141.75790000000001</v>
      </c>
      <c r="M4535">
        <v>-0.99981920000000002</v>
      </c>
      <c r="N4535">
        <v>-1.4938369999999999E-2</v>
      </c>
      <c r="O4535">
        <v>1.177257E-2</v>
      </c>
      <c r="P4535">
        <v>-0.98448239999999998</v>
      </c>
      <c r="Q4535">
        <v>0.1678914</v>
      </c>
      <c r="R4535">
        <v>-5.1059180000000003E-2</v>
      </c>
      <c r="S4535">
        <v>-3.0636899999999998</v>
      </c>
      <c r="T4535">
        <v>-0.1035967</v>
      </c>
      <c r="U4535">
        <v>-2.2628780000000001E-2</v>
      </c>
      <c r="V4535">
        <v>-6.2676079999999995E-2</v>
      </c>
      <c r="W4535">
        <v>0.1825592</v>
      </c>
      <c r="X4535">
        <v>0.98119509999999999</v>
      </c>
      <c r="Y4535">
        <v>-1.9141089999999999E-2</v>
      </c>
      <c r="Z4535">
        <v>-6.8867880000000002E-4</v>
      </c>
      <c r="AA4535">
        <v>0.9998165</v>
      </c>
      <c r="AB4535">
        <v>38</v>
      </c>
      <c r="AC4535">
        <v>-32.585999999999999</v>
      </c>
      <c r="AD4535">
        <v>-1.110194168519</v>
      </c>
      <c r="AE4535">
        <v>-0.24540000000001699</v>
      </c>
      <c r="AF4535">
        <v>-0.62831745887819102</v>
      </c>
      <c r="AG4535">
        <v>-1.110194168519</v>
      </c>
      <c r="AH4535">
        <v>32.543080020556403</v>
      </c>
      <c r="AI4535">
        <v>91.953501093566103</v>
      </c>
      <c r="AJ4535">
        <v>91.106086649858995</v>
      </c>
      <c r="AK4535">
        <v>32.5680728804343</v>
      </c>
      <c r="AL4535">
        <v>79.481138288069104</v>
      </c>
      <c r="AM4535">
        <v>93.654933206545905</v>
      </c>
      <c r="AN4535">
        <v>0.99999998838640802</v>
      </c>
    </row>
    <row r="4536" spans="1:40" x14ac:dyDescent="0.25">
      <c r="A4536" t="str">
        <f>"20190304155726278"</f>
        <v>20190304155726278</v>
      </c>
      <c r="B4536" t="str">
        <f>"1551686246269544"</f>
        <v>1551686246269544</v>
      </c>
      <c r="C4536" t="s">
        <v>40</v>
      </c>
      <c r="D4536">
        <v>4.969519</v>
      </c>
      <c r="E4536">
        <v>0.51365909999999904</v>
      </c>
      <c r="F4536" t="s">
        <v>41</v>
      </c>
      <c r="G4536">
        <v>-343.65429999999998</v>
      </c>
      <c r="H4536" s="1">
        <v>-3.1968809999999999E-6</v>
      </c>
      <c r="I4536">
        <v>141.46639999999999</v>
      </c>
      <c r="J4536">
        <v>-311.43759999999997</v>
      </c>
      <c r="K4536">
        <v>1.110195</v>
      </c>
      <c r="L4536">
        <v>141.7611</v>
      </c>
      <c r="M4536">
        <v>-0.99982000000000004</v>
      </c>
      <c r="N4536">
        <v>-1.4935220000000001E-2</v>
      </c>
      <c r="O4536">
        <v>1.171374E-2</v>
      </c>
      <c r="P4536">
        <v>-0.98441129999999999</v>
      </c>
      <c r="Q4536">
        <v>0.16822139999999999</v>
      </c>
      <c r="R4536">
        <v>-5.1344050000000002E-2</v>
      </c>
      <c r="S4536">
        <v>-3.0637509999999999</v>
      </c>
      <c r="T4536">
        <v>-0.1046854</v>
      </c>
      <c r="U4536">
        <v>-2.7481080000000001E-2</v>
      </c>
      <c r="V4536">
        <v>-6.2902879999999994E-2</v>
      </c>
      <c r="W4536">
        <v>0.18288509999999999</v>
      </c>
      <c r="X4536">
        <v>0.98111990000000004</v>
      </c>
      <c r="Y4536">
        <v>-2.0663859999999999E-2</v>
      </c>
      <c r="Z4536">
        <v>-7.3250339999999896E-4</v>
      </c>
      <c r="AA4536">
        <v>0.99978619999999996</v>
      </c>
      <c r="AB4536">
        <v>38</v>
      </c>
      <c r="AC4536">
        <v>-32.216700000000003</v>
      </c>
      <c r="AD4536">
        <v>-1.110198196881</v>
      </c>
      <c r="AE4536">
        <v>-0.29470000000000601</v>
      </c>
      <c r="AF4536">
        <v>-0.67130274766790499</v>
      </c>
      <c r="AG4536">
        <v>-1.110198196881</v>
      </c>
      <c r="AH4536">
        <v>32.172834242532097</v>
      </c>
      <c r="AI4536">
        <v>91.975909704512006</v>
      </c>
      <c r="AJ4536">
        <v>91.195332482572297</v>
      </c>
      <c r="AK4536">
        <v>32.198982136285402</v>
      </c>
      <c r="AL4536">
        <v>79.462145919771004</v>
      </c>
      <c r="AM4536">
        <v>93.668403306586498</v>
      </c>
      <c r="AN4536">
        <v>0.99999999514515703</v>
      </c>
    </row>
    <row r="4537" spans="1:40" x14ac:dyDescent="0.25">
      <c r="A4537" t="str">
        <f>"20190304155726299"</f>
        <v>20190304155726299</v>
      </c>
      <c r="B4537" t="str">
        <f>"1551686246289064"</f>
        <v>1551686246289064</v>
      </c>
      <c r="C4537" t="s">
        <v>40</v>
      </c>
      <c r="D4537">
        <v>4.9836980000000004</v>
      </c>
      <c r="E4537">
        <v>0.51330229999999999</v>
      </c>
      <c r="F4537" t="s">
        <v>41</v>
      </c>
      <c r="G4537">
        <v>-344.04689999999999</v>
      </c>
      <c r="H4537" s="1">
        <v>-3.0217659999999999E-6</v>
      </c>
      <c r="I4537">
        <v>141.44139999999999</v>
      </c>
      <c r="J4537">
        <v>-311.80739999999997</v>
      </c>
      <c r="K4537">
        <v>1.1102000000000001</v>
      </c>
      <c r="L4537">
        <v>141.7654</v>
      </c>
      <c r="M4537">
        <v>-0.99982090000000001</v>
      </c>
      <c r="N4537">
        <v>-1.493102E-2</v>
      </c>
      <c r="O4537">
        <v>1.1634490000000001E-2</v>
      </c>
      <c r="P4537">
        <v>-0.98435839999999997</v>
      </c>
      <c r="Q4537">
        <v>0.1684734</v>
      </c>
      <c r="R4537">
        <v>-5.153187E-2</v>
      </c>
      <c r="S4537">
        <v>-3.0637210000000001</v>
      </c>
      <c r="T4537">
        <v>-0.1043057</v>
      </c>
      <c r="U4537">
        <v>-3.0029299999999998E-2</v>
      </c>
      <c r="V4537">
        <v>-6.3012209999999999E-2</v>
      </c>
      <c r="W4537">
        <v>0.18313170000000001</v>
      </c>
      <c r="X4537">
        <v>0.98106689999999996</v>
      </c>
      <c r="Y4537">
        <v>-2.1415690000000001E-2</v>
      </c>
      <c r="Z4537">
        <v>-7.4668110000000005E-4</v>
      </c>
      <c r="AA4537">
        <v>0.99977039999999995</v>
      </c>
      <c r="AB4537">
        <v>38</v>
      </c>
      <c r="AC4537">
        <v>-32.2395</v>
      </c>
      <c r="AD4537">
        <v>-1.1102030217659999</v>
      </c>
      <c r="AE4537">
        <v>-0.324000000000012</v>
      </c>
      <c r="AF4537">
        <v>-0.69828202826556396</v>
      </c>
      <c r="AG4537">
        <v>-1.1102030217659999</v>
      </c>
      <c r="AH4537">
        <v>32.195372562545401</v>
      </c>
      <c r="AI4537">
        <v>91.974501592780598</v>
      </c>
      <c r="AJ4537">
        <v>91.242487297291802</v>
      </c>
      <c r="AK4537">
        <v>32.222075708768998</v>
      </c>
      <c r="AL4537">
        <v>79.4477742199402</v>
      </c>
      <c r="AM4537">
        <v>93.674959792514102</v>
      </c>
      <c r="AN4537">
        <v>1.0000000102147899</v>
      </c>
    </row>
    <row r="4538" spans="1:40" x14ac:dyDescent="0.25">
      <c r="A4538" t="str">
        <f>"20190304155726313"</f>
        <v>20190304155726313</v>
      </c>
      <c r="B4538" t="str">
        <f>"1551686246309561"</f>
        <v>1551686246309561</v>
      </c>
      <c r="C4538" t="s">
        <v>40</v>
      </c>
      <c r="D4538">
        <v>5.0029979999999998</v>
      </c>
      <c r="E4538">
        <v>0.51324499999999995</v>
      </c>
      <c r="F4538" t="s">
        <v>41</v>
      </c>
      <c r="G4538">
        <v>-344.24160000000001</v>
      </c>
      <c r="H4538" s="1">
        <v>-2.9301900000000001E-6</v>
      </c>
      <c r="I4538">
        <v>141.4111</v>
      </c>
      <c r="J4538">
        <v>-312.03399999999999</v>
      </c>
      <c r="K4538">
        <v>1.1102019999999999</v>
      </c>
      <c r="L4538">
        <v>141.768</v>
      </c>
      <c r="M4538">
        <v>-0.99982150000000003</v>
      </c>
      <c r="N4538">
        <v>-1.4928469999999999E-2</v>
      </c>
      <c r="O4538">
        <v>1.158586E-2</v>
      </c>
      <c r="P4538">
        <v>-0.98429199999999994</v>
      </c>
      <c r="Q4538">
        <v>0.16887959999999999</v>
      </c>
      <c r="R4538">
        <v>-5.1469050000000002E-2</v>
      </c>
      <c r="S4538">
        <v>-3.0638730000000001</v>
      </c>
      <c r="T4538">
        <v>-0.1048748</v>
      </c>
      <c r="U4538">
        <v>-3.3462520000000003E-2</v>
      </c>
      <c r="V4538">
        <v>-6.2901199999999893E-2</v>
      </c>
      <c r="W4538">
        <v>0.1835348</v>
      </c>
      <c r="X4538">
        <v>0.9809987</v>
      </c>
      <c r="Y4538">
        <v>-2.2485649999999999E-2</v>
      </c>
      <c r="Z4538">
        <v>-7.7614999999999997E-4</v>
      </c>
      <c r="AA4538">
        <v>0.99974689999999999</v>
      </c>
      <c r="AB4538">
        <v>38</v>
      </c>
      <c r="AC4538">
        <v>-32.207599999999999</v>
      </c>
      <c r="AD4538">
        <v>-1.1102049301899899</v>
      </c>
      <c r="AE4538">
        <v>-0.356899999999996</v>
      </c>
      <c r="AF4538">
        <v>-0.72920401499851895</v>
      </c>
      <c r="AG4538">
        <v>-1.1102049301899899</v>
      </c>
      <c r="AH4538">
        <v>32.163090849268002</v>
      </c>
      <c r="AI4538">
        <v>91.976442154234704</v>
      </c>
      <c r="AJ4538">
        <v>91.298791717057298</v>
      </c>
      <c r="AK4538">
        <v>32.190506464806901</v>
      </c>
      <c r="AL4538">
        <v>79.424280153186302</v>
      </c>
      <c r="AM4538">
        <v>93.668757571496997</v>
      </c>
      <c r="AN4538">
        <v>1.0000000165870799</v>
      </c>
    </row>
    <row r="4539" spans="1:40" x14ac:dyDescent="0.25">
      <c r="A4539" t="str">
        <f>"20190304155726327"</f>
        <v>20190304155726327</v>
      </c>
      <c r="B4539" t="str">
        <f>"1551686246319321"</f>
        <v>1551686246319321</v>
      </c>
      <c r="C4539" t="s">
        <v>40</v>
      </c>
      <c r="D4539">
        <v>4.987641</v>
      </c>
      <c r="E4539">
        <v>0.51308409999999904</v>
      </c>
      <c r="F4539" t="s">
        <v>41</v>
      </c>
      <c r="G4539">
        <v>-344.71589999999998</v>
      </c>
      <c r="H4539" s="1">
        <v>-2.726489E-6</v>
      </c>
      <c r="I4539">
        <v>141.4101</v>
      </c>
      <c r="J4539">
        <v>-312.27199999999999</v>
      </c>
      <c r="K4539">
        <v>1.1102019999999999</v>
      </c>
      <c r="L4539">
        <v>141.77070000000001</v>
      </c>
      <c r="M4539">
        <v>-0.99982210000000005</v>
      </c>
      <c r="N4539">
        <v>-1.492578E-2</v>
      </c>
      <c r="O4539">
        <v>1.15348E-2</v>
      </c>
      <c r="P4539">
        <v>-0.98423879999999997</v>
      </c>
      <c r="Q4539">
        <v>0.16913499999999901</v>
      </c>
      <c r="R4539">
        <v>-5.1647400000000003E-2</v>
      </c>
      <c r="S4539">
        <v>-3.063965</v>
      </c>
      <c r="T4539">
        <v>-0.10408339999999899</v>
      </c>
      <c r="U4539">
        <v>-3.3538819999999997E-2</v>
      </c>
      <c r="V4539">
        <v>-6.3029160000000001E-2</v>
      </c>
      <c r="W4539">
        <v>0.18378649999999999</v>
      </c>
      <c r="X4539">
        <v>0.98094329999999996</v>
      </c>
      <c r="Y4539">
        <v>-2.245948E-2</v>
      </c>
      <c r="Z4539">
        <v>-7.6862299999999996E-4</v>
      </c>
      <c r="AA4539">
        <v>0.99974750000000001</v>
      </c>
      <c r="AB4539">
        <v>38</v>
      </c>
      <c r="AC4539">
        <v>-32.4438999999999</v>
      </c>
      <c r="AD4539">
        <v>-1.110204726489</v>
      </c>
      <c r="AE4539">
        <v>-0.36060000000000503</v>
      </c>
      <c r="AF4539">
        <v>-0.73399221805044401</v>
      </c>
      <c r="AG4539">
        <v>-1.110204726489</v>
      </c>
      <c r="AH4539">
        <v>32.399647350505802</v>
      </c>
      <c r="AI4539">
        <v>91.962023491110003</v>
      </c>
      <c r="AJ4539">
        <v>91.297775362785103</v>
      </c>
      <c r="AK4539">
        <v>32.426970989409597</v>
      </c>
      <c r="AL4539">
        <v>79.409608591745794</v>
      </c>
      <c r="AM4539">
        <v>93.676407533262093</v>
      </c>
      <c r="AN4539">
        <v>0.99999995520372098</v>
      </c>
    </row>
    <row r="4540" spans="1:40" x14ac:dyDescent="0.25">
      <c r="A4540" t="str">
        <f>"20190304155726343"</f>
        <v>20190304155726343</v>
      </c>
      <c r="B4540" t="str">
        <f>"1551686246339816"</f>
        <v>1551686246339816</v>
      </c>
      <c r="C4540" t="s">
        <v>40</v>
      </c>
      <c r="D4540">
        <v>5.0016089999999904</v>
      </c>
      <c r="E4540">
        <v>0.51287349999999998</v>
      </c>
      <c r="F4540" t="s">
        <v>41</v>
      </c>
      <c r="G4540">
        <v>-345.0308</v>
      </c>
      <c r="H4540" s="1">
        <v>-2.586487E-6</v>
      </c>
      <c r="I4540">
        <v>141.39179999999999</v>
      </c>
      <c r="J4540">
        <v>-312.5496</v>
      </c>
      <c r="K4540">
        <v>1.1102019999999999</v>
      </c>
      <c r="L4540">
        <v>141.77379999999999</v>
      </c>
      <c r="M4540">
        <v>-0.99982289999999996</v>
      </c>
      <c r="N4540">
        <v>-1.4922629999999999E-2</v>
      </c>
      <c r="O4540">
        <v>1.1474969999999999E-2</v>
      </c>
      <c r="P4540">
        <v>-0.98410929999999996</v>
      </c>
      <c r="Q4540">
        <v>0.1697755</v>
      </c>
      <c r="R4540">
        <v>-5.2015329999999999E-2</v>
      </c>
      <c r="S4540">
        <v>-3.0640260000000001</v>
      </c>
      <c r="T4540">
        <v>-0.10384069999999999</v>
      </c>
      <c r="U4540">
        <v>-3.5430910000000003E-2</v>
      </c>
      <c r="V4540">
        <v>-6.3336770000000001E-2</v>
      </c>
      <c r="W4540">
        <v>0.18442159999999999</v>
      </c>
      <c r="X4540">
        <v>0.98080429999999996</v>
      </c>
      <c r="Y4540">
        <v>-2.3016370000000001E-2</v>
      </c>
      <c r="Z4540">
        <v>-7.7926190000000004E-4</v>
      </c>
      <c r="AA4540">
        <v>0.99973480000000003</v>
      </c>
      <c r="AB4540">
        <v>38</v>
      </c>
      <c r="AC4540">
        <v>-32.481200000000001</v>
      </c>
      <c r="AD4540">
        <v>-1.110204586487</v>
      </c>
      <c r="AE4540">
        <v>-0.382000000000005</v>
      </c>
      <c r="AF4540">
        <v>-0.75385652667209302</v>
      </c>
      <c r="AG4540">
        <v>-1.110204586487</v>
      </c>
      <c r="AH4540">
        <v>32.436787477646</v>
      </c>
      <c r="AI4540">
        <v>91.959752139941202</v>
      </c>
      <c r="AJ4540">
        <v>91.331359440239098</v>
      </c>
      <c r="AK4540">
        <v>32.464535046056596</v>
      </c>
      <c r="AL4540">
        <v>79.372587426104801</v>
      </c>
      <c r="AM4540">
        <v>93.694822557692703</v>
      </c>
      <c r="AN4540">
        <v>0.99999997393954099</v>
      </c>
    </row>
    <row r="4541" spans="1:40" x14ac:dyDescent="0.25">
      <c r="A4541" t="str">
        <f>"20190304155726357"</f>
        <v>20190304155726357</v>
      </c>
      <c r="B4541" t="str">
        <f>"1551686246349578"</f>
        <v>1551686246349578</v>
      </c>
      <c r="C4541" t="s">
        <v>40</v>
      </c>
      <c r="D4541">
        <v>4.9795480000000003</v>
      </c>
      <c r="E4541">
        <v>0.5128393</v>
      </c>
      <c r="F4541" t="s">
        <v>41</v>
      </c>
      <c r="G4541">
        <v>-345.7586</v>
      </c>
      <c r="H4541" s="1">
        <v>-2.2656629999999998E-6</v>
      </c>
      <c r="I4541">
        <v>141.3595</v>
      </c>
      <c r="J4541">
        <v>-312.77620000000002</v>
      </c>
      <c r="K4541">
        <v>1.1102050000000001</v>
      </c>
      <c r="L4541">
        <v>141.7764</v>
      </c>
      <c r="M4541">
        <v>-0.99982349999999998</v>
      </c>
      <c r="N4541">
        <v>-1.4920070000000001E-2</v>
      </c>
      <c r="O4541">
        <v>1.142606E-2</v>
      </c>
      <c r="P4541">
        <v>-0.98407080000000002</v>
      </c>
      <c r="Q4541">
        <v>0.169964</v>
      </c>
      <c r="R4541">
        <v>-5.2125699999999997E-2</v>
      </c>
      <c r="S4541">
        <v>-3.0640869999999998</v>
      </c>
      <c r="T4541">
        <v>-0.1024351</v>
      </c>
      <c r="U4541">
        <v>-3.8223269999999997E-2</v>
      </c>
      <c r="V4541">
        <v>-6.3398120000000002E-2</v>
      </c>
      <c r="W4541">
        <v>0.1846071</v>
      </c>
      <c r="X4541">
        <v>0.98076549999999996</v>
      </c>
      <c r="Y4541">
        <v>-2.3878010000000002E-2</v>
      </c>
      <c r="Z4541">
        <v>-7.8863229999999896E-4</v>
      </c>
      <c r="AA4541">
        <v>0.99971460000000001</v>
      </c>
      <c r="AB4541">
        <v>38</v>
      </c>
      <c r="AC4541">
        <v>-32.982399999999899</v>
      </c>
      <c r="AD4541">
        <v>-1.110207265663</v>
      </c>
      <c r="AE4541">
        <v>-0.41689999999999799</v>
      </c>
      <c r="AF4541">
        <v>-0.792875363939614</v>
      </c>
      <c r="AG4541">
        <v>-1.110207265663</v>
      </c>
      <c r="AH4541">
        <v>32.938168229251801</v>
      </c>
      <c r="AI4541">
        <v>91.929910538785705</v>
      </c>
      <c r="AJ4541">
        <v>91.378936447533306</v>
      </c>
      <c r="AK4541">
        <v>32.966409234461203</v>
      </c>
      <c r="AL4541">
        <v>79.361774031229203</v>
      </c>
      <c r="AM4541">
        <v>93.698537457293199</v>
      </c>
      <c r="AN4541">
        <v>1.0000000344900899</v>
      </c>
    </row>
    <row r="4542" spans="1:40" x14ac:dyDescent="0.25">
      <c r="A4542" t="str">
        <f>"20190304155726370"</f>
        <v>20190304155726370</v>
      </c>
      <c r="B4542" t="str">
        <f>"1551686246359337"</f>
        <v>1551686246359337</v>
      </c>
      <c r="C4542" t="s">
        <v>40</v>
      </c>
      <c r="D4542">
        <v>4.9729269999999897</v>
      </c>
      <c r="E4542">
        <v>0.51276569999999999</v>
      </c>
      <c r="F4542" t="s">
        <v>41</v>
      </c>
      <c r="G4542">
        <v>-346.16030000000001</v>
      </c>
      <c r="H4542" s="1">
        <v>-2.0919989999999998E-6</v>
      </c>
      <c r="I4542">
        <v>141.3544</v>
      </c>
      <c r="J4542">
        <v>-313.00490000000002</v>
      </c>
      <c r="K4542">
        <v>1.110206</v>
      </c>
      <c r="L4542">
        <v>141.779</v>
      </c>
      <c r="M4542">
        <v>-0.99982400000000005</v>
      </c>
      <c r="N4542">
        <v>-1.491748E-2</v>
      </c>
      <c r="O4542">
        <v>1.1376610000000001E-2</v>
      </c>
      <c r="P4542">
        <v>-0.98403379999999996</v>
      </c>
      <c r="Q4542">
        <v>0.17022179999999901</v>
      </c>
      <c r="R4542">
        <v>-5.1987480000000003E-2</v>
      </c>
      <c r="S4542">
        <v>-3.064117</v>
      </c>
      <c r="T4542">
        <v>-0.10189910000000001</v>
      </c>
      <c r="U4542">
        <v>-3.872681E-2</v>
      </c>
      <c r="V4542">
        <v>-6.3211240000000002E-2</v>
      </c>
      <c r="W4542">
        <v>0.1848621</v>
      </c>
      <c r="X4542">
        <v>0.98072950000000003</v>
      </c>
      <c r="Y4542">
        <v>-2.399283E-2</v>
      </c>
      <c r="Z4542">
        <v>-7.8639750000000005E-4</v>
      </c>
      <c r="AA4542">
        <v>0.99971180000000004</v>
      </c>
      <c r="AB4542">
        <v>38</v>
      </c>
      <c r="AC4542">
        <v>-33.155399999999901</v>
      </c>
      <c r="AD4542">
        <v>-1.1102080919990001</v>
      </c>
      <c r="AE4542">
        <v>-0.42459999999999798</v>
      </c>
      <c r="AF4542">
        <v>-0.80091267723733395</v>
      </c>
      <c r="AG4542">
        <v>-1.1102080919990001</v>
      </c>
      <c r="AH4542">
        <v>33.111303029784203</v>
      </c>
      <c r="AI4542">
        <v>91.919822873980806</v>
      </c>
      <c r="AJ4542">
        <v>91.385628637106706</v>
      </c>
      <c r="AK4542">
        <v>33.139589790072797</v>
      </c>
      <c r="AL4542">
        <v>79.3469074129126</v>
      </c>
      <c r="AM4542">
        <v>93.6878003173574</v>
      </c>
      <c r="AN4542">
        <v>1.0000000045244899</v>
      </c>
    </row>
    <row r="4543" spans="1:40" x14ac:dyDescent="0.25">
      <c r="A4543" t="str">
        <f>"20190304155726382"</f>
        <v>20190304155726382</v>
      </c>
      <c r="B4543" t="str">
        <f>"1551686246379834"</f>
        <v>1551686246379834</v>
      </c>
      <c r="C4543" t="s">
        <v>40</v>
      </c>
      <c r="D4543">
        <v>4.9558839999999904</v>
      </c>
      <c r="E4543">
        <v>0.51263219999999998</v>
      </c>
      <c r="F4543" t="s">
        <v>41</v>
      </c>
      <c r="G4543">
        <v>-346.51870000000002</v>
      </c>
      <c r="H4543" s="1">
        <v>-1.9378840000000001E-6</v>
      </c>
      <c r="I4543">
        <v>141.35310000000001</v>
      </c>
      <c r="J4543">
        <v>-313.20749999999998</v>
      </c>
      <c r="K4543">
        <v>1.1102099999999999</v>
      </c>
      <c r="L4543">
        <v>141.78120000000001</v>
      </c>
      <c r="M4543">
        <v>-0.99982459999999995</v>
      </c>
      <c r="N4543">
        <v>-1.491518E-2</v>
      </c>
      <c r="O4543">
        <v>1.1333050000000001E-2</v>
      </c>
      <c r="P4543">
        <v>-0.98399899999999996</v>
      </c>
      <c r="Q4543">
        <v>0.17032149999999999</v>
      </c>
      <c r="R4543">
        <v>-5.2314550000000001E-2</v>
      </c>
      <c r="S4543">
        <v>-3.0641780000000001</v>
      </c>
      <c r="T4543">
        <v>-0.1015066</v>
      </c>
      <c r="U4543">
        <v>-3.8925170000000002E-2</v>
      </c>
      <c r="V4543">
        <v>-6.3495330000000003E-2</v>
      </c>
      <c r="W4543">
        <v>0.1849586</v>
      </c>
      <c r="X4543">
        <v>0.98069289999999998</v>
      </c>
      <c r="Y4543">
        <v>-2.4013880000000001E-2</v>
      </c>
      <c r="Z4543">
        <v>-7.8310079999999995E-4</v>
      </c>
      <c r="AA4543">
        <v>0.99971129999999997</v>
      </c>
      <c r="AB4543">
        <v>38</v>
      </c>
      <c r="AC4543">
        <v>-33.311199999999999</v>
      </c>
      <c r="AD4543">
        <v>-1.1102119378839901</v>
      </c>
      <c r="AE4543">
        <v>-0.42809999999999998</v>
      </c>
      <c r="AF4543">
        <v>-0.80473822391140304</v>
      </c>
      <c r="AG4543">
        <v>-1.1102119378839901</v>
      </c>
      <c r="AH4543">
        <v>33.2672612484116</v>
      </c>
      <c r="AI4543">
        <v>91.910835897917707</v>
      </c>
      <c r="AJ4543">
        <v>91.385720126002298</v>
      </c>
      <c r="AK4543">
        <v>33.295507882087001</v>
      </c>
      <c r="AL4543">
        <v>79.341280788670502</v>
      </c>
      <c r="AM4543">
        <v>93.704466200112407</v>
      </c>
      <c r="AN4543">
        <v>0.99999995237808803</v>
      </c>
    </row>
    <row r="4544" spans="1:40" x14ac:dyDescent="0.25">
      <c r="A4544" t="str">
        <f>"20190304155726400"</f>
        <v>20190304155726400</v>
      </c>
      <c r="B4544" t="str">
        <f>"1551686246389592"</f>
        <v>1551686246389592</v>
      </c>
      <c r="C4544" t="s">
        <v>40</v>
      </c>
      <c r="D4544">
        <v>4.986504</v>
      </c>
      <c r="E4544">
        <v>0.51257089999999905</v>
      </c>
      <c r="F4544" t="s">
        <v>41</v>
      </c>
      <c r="G4544">
        <v>-346.42939999999999</v>
      </c>
      <c r="H4544" s="1">
        <v>-1.9714770000000001E-6</v>
      </c>
      <c r="I4544">
        <v>141.33529999999999</v>
      </c>
      <c r="J4544">
        <v>-313.49669999999998</v>
      </c>
      <c r="K4544">
        <v>1.1102129999999999</v>
      </c>
      <c r="L4544">
        <v>141.78450000000001</v>
      </c>
      <c r="M4544">
        <v>-0.99982530000000003</v>
      </c>
      <c r="N4544">
        <v>-1.4911900000000001E-2</v>
      </c>
      <c r="O4544">
        <v>1.1270850000000001E-2</v>
      </c>
      <c r="P4544">
        <v>-0.98390569999999999</v>
      </c>
      <c r="Q4544">
        <v>0.170810299999999</v>
      </c>
      <c r="R4544">
        <v>-5.2473159999999998E-2</v>
      </c>
      <c r="S4544">
        <v>-3.0643310000000001</v>
      </c>
      <c r="T4544">
        <v>-0.1024041</v>
      </c>
      <c r="U4544">
        <v>-4.1122440000000003E-2</v>
      </c>
      <c r="V4544">
        <v>-6.3591839999999997E-2</v>
      </c>
      <c r="W4544">
        <v>0.18544269999999999</v>
      </c>
      <c r="X4544">
        <v>0.98059529999999995</v>
      </c>
      <c r="Y4544">
        <v>-2.4666899999999999E-2</v>
      </c>
      <c r="Z4544">
        <v>-8.0451909999999999E-4</v>
      </c>
      <c r="AA4544">
        <v>0.99969540000000001</v>
      </c>
      <c r="AB4544">
        <v>38</v>
      </c>
      <c r="AC4544">
        <v>-32.932699999999997</v>
      </c>
      <c r="AD4544">
        <v>-1.110214971477</v>
      </c>
      <c r="AE4544">
        <v>-0.44920000000001797</v>
      </c>
      <c r="AF4544">
        <v>-0.81946113058373404</v>
      </c>
      <c r="AG4544">
        <v>-1.110214971477</v>
      </c>
      <c r="AH4544">
        <v>32.8881746841843</v>
      </c>
      <c r="AI4544">
        <v>91.932815442575802</v>
      </c>
      <c r="AJ4544">
        <v>91.427320059317907</v>
      </c>
      <c r="AK4544">
        <v>32.917109956447398</v>
      </c>
      <c r="AL4544">
        <v>79.313056461814995</v>
      </c>
      <c r="AM4544">
        <v>93.710449343154394</v>
      </c>
      <c r="AN4544">
        <v>1.00000002973998</v>
      </c>
    </row>
    <row r="4545" spans="1:40" x14ac:dyDescent="0.25">
      <c r="A4545" t="str">
        <f>"20190304155726413"</f>
        <v>20190304155726413</v>
      </c>
      <c r="B4545" t="str">
        <f>"1551686246409113"</f>
        <v>1551686246409113</v>
      </c>
      <c r="C4545" t="s">
        <v>40</v>
      </c>
      <c r="D4545">
        <v>4.9510269999999998</v>
      </c>
      <c r="E4545">
        <v>0.51252219999999904</v>
      </c>
      <c r="F4545" t="s">
        <v>41</v>
      </c>
      <c r="G4545">
        <v>-347.04430000000002</v>
      </c>
      <c r="H4545" s="1">
        <v>-1.7042529999999999E-6</v>
      </c>
      <c r="I4545">
        <v>141.32249999999999</v>
      </c>
      <c r="J4545">
        <v>-313.72489999999999</v>
      </c>
      <c r="K4545">
        <v>1.110217</v>
      </c>
      <c r="L4545">
        <v>141.78700000000001</v>
      </c>
      <c r="M4545">
        <v>-0.99982579999999999</v>
      </c>
      <c r="N4545">
        <v>-1.490932E-2</v>
      </c>
      <c r="O4545">
        <v>1.1221750000000001E-2</v>
      </c>
      <c r="P4545">
        <v>-0.9838789</v>
      </c>
      <c r="Q4545">
        <v>0.17095629999999901</v>
      </c>
      <c r="R4545">
        <v>-5.2501539999999999E-2</v>
      </c>
      <c r="S4545">
        <v>-3.0644230000000001</v>
      </c>
      <c r="T4545">
        <v>-0.10141310000000001</v>
      </c>
      <c r="U4545">
        <v>-4.219055E-2</v>
      </c>
      <c r="V4545">
        <v>-6.3571859999999994E-2</v>
      </c>
      <c r="W4545">
        <v>0.18558559999999999</v>
      </c>
      <c r="X4545">
        <v>0.98056949999999998</v>
      </c>
      <c r="Y4545">
        <v>-2.4965950000000001E-2</v>
      </c>
      <c r="Z4545">
        <v>-8.0314850000000001E-4</v>
      </c>
      <c r="AA4545">
        <v>0.99968800000000002</v>
      </c>
      <c r="AB4545">
        <v>38</v>
      </c>
      <c r="AC4545">
        <v>-33.319400000000002</v>
      </c>
      <c r="AD4545">
        <v>-1.1102187042530001</v>
      </c>
      <c r="AE4545">
        <v>-0.46450000000001501</v>
      </c>
      <c r="AF4545">
        <v>-0.83748467463772203</v>
      </c>
      <c r="AG4545">
        <v>-1.1102187042530001</v>
      </c>
      <c r="AH4545">
        <v>33.275151742338402</v>
      </c>
      <c r="AI4545">
        <v>91.910348689349107</v>
      </c>
      <c r="AJ4545">
        <v>91.441742762314306</v>
      </c>
      <c r="AK4545">
        <v>33.304199279177503</v>
      </c>
      <c r="AL4545">
        <v>79.304723618449898</v>
      </c>
      <c r="AM4545">
        <v>93.709384131014104</v>
      </c>
      <c r="AN4545">
        <v>0.99999997032073396</v>
      </c>
    </row>
    <row r="4546" spans="1:40" x14ac:dyDescent="0.25">
      <c r="A4546" t="str">
        <f>"20190304155726433"</f>
        <v>20190304155726433</v>
      </c>
      <c r="B4546" t="str">
        <f>"1551686246429609"</f>
        <v>1551686246429609</v>
      </c>
      <c r="C4546" t="s">
        <v>40</v>
      </c>
      <c r="D4546">
        <v>4.9986709999999999</v>
      </c>
      <c r="E4546">
        <v>0.51251849999999999</v>
      </c>
      <c r="F4546" t="s">
        <v>41</v>
      </c>
      <c r="G4546">
        <v>-346.82010000000002</v>
      </c>
      <c r="H4546" s="1">
        <v>-1.8013860000000001E-6</v>
      </c>
      <c r="I4546">
        <v>141.32599999999999</v>
      </c>
      <c r="J4546">
        <v>-314.06330000000003</v>
      </c>
      <c r="K4546">
        <v>1.110217</v>
      </c>
      <c r="L4546">
        <v>141.79069999999999</v>
      </c>
      <c r="M4546">
        <v>-0.99982669999999996</v>
      </c>
      <c r="N4546">
        <v>-1.490552E-2</v>
      </c>
      <c r="O4546">
        <v>1.1149060000000001E-2</v>
      </c>
      <c r="P4546">
        <v>-0.98381059999999998</v>
      </c>
      <c r="Q4546">
        <v>0.1712938</v>
      </c>
      <c r="R4546">
        <v>-5.2682420000000001E-2</v>
      </c>
      <c r="S4546">
        <v>-3.0647579999999999</v>
      </c>
      <c r="T4546">
        <v>-0.10281120000000001</v>
      </c>
      <c r="U4546">
        <v>-4.2678830000000001E-2</v>
      </c>
      <c r="V4546">
        <v>-6.3680459999999994E-2</v>
      </c>
      <c r="W4546">
        <v>0.18591869999999999</v>
      </c>
      <c r="X4546">
        <v>0.98049940000000002</v>
      </c>
      <c r="Y4546">
        <v>-2.5050389999999999E-2</v>
      </c>
      <c r="Z4546">
        <v>-8.145556E-4</v>
      </c>
      <c r="AA4546">
        <v>0.99968590000000002</v>
      </c>
      <c r="AB4546">
        <v>38</v>
      </c>
      <c r="AC4546">
        <v>-32.756799999999998</v>
      </c>
      <c r="AD4546">
        <v>-1.1102188013859999</v>
      </c>
      <c r="AE4546">
        <v>-0.46469999999999301</v>
      </c>
      <c r="AF4546">
        <v>-0.828967174001777</v>
      </c>
      <c r="AG4546">
        <v>-1.1102188013859999</v>
      </c>
      <c r="AH4546">
        <v>32.712012694422803</v>
      </c>
      <c r="AI4546">
        <v>91.943202141026902</v>
      </c>
      <c r="AJ4546">
        <v>91.451642784670796</v>
      </c>
      <c r="AK4546">
        <v>32.741343083059398</v>
      </c>
      <c r="AL4546">
        <v>79.285300888004201</v>
      </c>
      <c r="AM4546">
        <v>93.715968053051697</v>
      </c>
      <c r="AN4546">
        <v>1.0000000186979301</v>
      </c>
    </row>
    <row r="4547" spans="1:40" x14ac:dyDescent="0.25">
      <c r="A4547" t="str">
        <f>"20190304155726447"</f>
        <v>20190304155726447</v>
      </c>
      <c r="B4547" t="str">
        <f>"1551686246439369"</f>
        <v>1551686246439369</v>
      </c>
      <c r="C4547" t="s">
        <v>40</v>
      </c>
      <c r="D4547">
        <v>4.9861940000000002</v>
      </c>
      <c r="E4547">
        <v>0.51248959999999999</v>
      </c>
      <c r="F4547" t="s">
        <v>41</v>
      </c>
      <c r="G4547">
        <v>-346.81389999999999</v>
      </c>
      <c r="H4547" s="1">
        <v>-1.804346E-6</v>
      </c>
      <c r="I4547">
        <v>141.3271</v>
      </c>
      <c r="J4547">
        <v>-314.28919999999999</v>
      </c>
      <c r="K4547">
        <v>1.110214</v>
      </c>
      <c r="L4547">
        <v>141.79320000000001</v>
      </c>
      <c r="M4547">
        <v>-0.99982729999999997</v>
      </c>
      <c r="N4547">
        <v>-1.4903E-2</v>
      </c>
      <c r="O4547">
        <v>1.110063E-2</v>
      </c>
      <c r="P4547">
        <v>-0.98379620000000001</v>
      </c>
      <c r="Q4547">
        <v>0.17139209999999999</v>
      </c>
      <c r="R4547">
        <v>-5.2629410000000001E-2</v>
      </c>
      <c r="S4547">
        <v>-3.0650940000000002</v>
      </c>
      <c r="T4547">
        <v>-0.10390439999999899</v>
      </c>
      <c r="U4547">
        <v>-4.3380740000000001E-2</v>
      </c>
      <c r="V4547">
        <v>-6.358018E-2</v>
      </c>
      <c r="W4547">
        <v>0.18601429999999999</v>
      </c>
      <c r="X4547">
        <v>0.98048780000000002</v>
      </c>
      <c r="Y4547">
        <v>-2.5228750000000001E-2</v>
      </c>
      <c r="Z4547">
        <v>-8.2633429999999996E-4</v>
      </c>
      <c r="AA4547">
        <v>0.99968140000000005</v>
      </c>
      <c r="AB4547">
        <v>38</v>
      </c>
      <c r="AC4547">
        <v>-32.524700000000003</v>
      </c>
      <c r="AD4547">
        <v>-1.110215804346</v>
      </c>
      <c r="AE4547">
        <v>-0.46610000000001101</v>
      </c>
      <c r="AF4547">
        <v>-0.82619358904714202</v>
      </c>
      <c r="AG4547">
        <v>-1.110215804346</v>
      </c>
      <c r="AH4547">
        <v>32.479684513635398</v>
      </c>
      <c r="AI4547">
        <v>91.957081118651203</v>
      </c>
      <c r="AJ4547">
        <v>91.457132371905303</v>
      </c>
      <c r="AK4547">
        <v>32.509153804491604</v>
      </c>
      <c r="AL4547">
        <v>79.279726425035705</v>
      </c>
      <c r="AM4547">
        <v>93.710176507534896</v>
      </c>
      <c r="AN4547">
        <v>1.00000004252108</v>
      </c>
    </row>
    <row r="4548" spans="1:40" x14ac:dyDescent="0.25">
      <c r="A4548" t="str">
        <f>"20190304155726461"</f>
        <v>20190304155726461</v>
      </c>
      <c r="B4548" t="str">
        <f>"1551686246449129"</f>
        <v>1551686246449129</v>
      </c>
      <c r="C4548" t="s">
        <v>40</v>
      </c>
      <c r="D4548">
        <v>4.9935530000000004</v>
      </c>
      <c r="E4548">
        <v>0.51249129999999998</v>
      </c>
      <c r="F4548" t="s">
        <v>41</v>
      </c>
      <c r="G4548">
        <v>-346.98820000000001</v>
      </c>
      <c r="H4548" s="1">
        <v>-1.7299459999999999E-6</v>
      </c>
      <c r="I4548">
        <v>141.32859999999999</v>
      </c>
      <c r="J4548">
        <v>-314.53449999999998</v>
      </c>
      <c r="K4548">
        <v>1.1102160000000001</v>
      </c>
      <c r="L4548">
        <v>141.79589999999999</v>
      </c>
      <c r="M4548">
        <v>-0.99982800000000005</v>
      </c>
      <c r="N4548">
        <v>-1.490025E-2</v>
      </c>
      <c r="O4548">
        <v>1.104784E-2</v>
      </c>
      <c r="P4548">
        <v>-0.98377950000000003</v>
      </c>
      <c r="Q4548">
        <v>0.17152800000000001</v>
      </c>
      <c r="R4548">
        <v>-5.2500709999999999E-2</v>
      </c>
      <c r="S4548">
        <v>-3.0652159999999999</v>
      </c>
      <c r="T4548">
        <v>-0.1040722</v>
      </c>
      <c r="U4548">
        <v>-4.3548580000000003E-2</v>
      </c>
      <c r="V4548">
        <v>-6.3399479999999994E-2</v>
      </c>
      <c r="W4548">
        <v>0.18614729999999999</v>
      </c>
      <c r="X4548">
        <v>0.98047419999999996</v>
      </c>
      <c r="Y4548">
        <v>-2.523007E-2</v>
      </c>
      <c r="Z4548">
        <v>-8.2662320000000003E-4</v>
      </c>
      <c r="AA4548">
        <v>0.99968140000000005</v>
      </c>
      <c r="AB4548">
        <v>38</v>
      </c>
      <c r="AC4548">
        <v>-32.453699999999998</v>
      </c>
      <c r="AD4548">
        <v>-1.1102177299459901</v>
      </c>
      <c r="AE4548">
        <v>-0.467299999999994</v>
      </c>
      <c r="AF4548">
        <v>-0.82488940227446395</v>
      </c>
      <c r="AG4548">
        <v>-1.1102177299459901</v>
      </c>
      <c r="AH4548">
        <v>32.408636555488997</v>
      </c>
      <c r="AI4548">
        <v>91.961370815496593</v>
      </c>
      <c r="AJ4548">
        <v>91.458021195382997</v>
      </c>
      <c r="AK4548">
        <v>32.438137266490003</v>
      </c>
      <c r="AL4548">
        <v>79.271969993356393</v>
      </c>
      <c r="AM4548">
        <v>93.699712388801103</v>
      </c>
      <c r="AN4548">
        <v>0.99999998411360003</v>
      </c>
    </row>
    <row r="4549" spans="1:40" x14ac:dyDescent="0.25">
      <c r="A4549" t="str">
        <f>"20190304155726479"</f>
        <v>20190304155726479</v>
      </c>
      <c r="B4549" t="str">
        <f>"1551686246469558"</f>
        <v>1551686246469558</v>
      </c>
      <c r="C4549" t="s">
        <v>40</v>
      </c>
      <c r="D4549">
        <v>5.1868429999999996</v>
      </c>
      <c r="E4549">
        <v>0.51256329999999894</v>
      </c>
      <c r="F4549" t="s">
        <v>41</v>
      </c>
      <c r="G4549">
        <v>-347.30149999999998</v>
      </c>
      <c r="H4549" s="1">
        <v>-1.5967220000000001E-6</v>
      </c>
      <c r="I4549">
        <v>141.3329</v>
      </c>
      <c r="J4549">
        <v>-314.82319999999999</v>
      </c>
      <c r="K4549">
        <v>1.11022</v>
      </c>
      <c r="L4549">
        <v>141.79900000000001</v>
      </c>
      <c r="M4549">
        <v>-0.99982890000000002</v>
      </c>
      <c r="N4549">
        <v>-1.489702E-2</v>
      </c>
      <c r="O4549">
        <v>1.098582E-2</v>
      </c>
      <c r="P4549">
        <v>-0.98381359999999995</v>
      </c>
      <c r="Q4549">
        <v>0.17136289999999901</v>
      </c>
      <c r="R4549">
        <v>-5.2400919999999997E-2</v>
      </c>
      <c r="S4549">
        <v>-3.0652469999999998</v>
      </c>
      <c r="T4549">
        <v>-0.10385750000000001</v>
      </c>
      <c r="U4549">
        <v>-4.330444E-2</v>
      </c>
      <c r="V4549">
        <v>-6.3238349999999999E-2</v>
      </c>
      <c r="W4549">
        <v>0.18597910000000001</v>
      </c>
      <c r="X4549">
        <v>0.98051659999999996</v>
      </c>
      <c r="Y4549">
        <v>-2.5088530000000001E-2</v>
      </c>
      <c r="Z4549">
        <v>-8.2032509999999895E-4</v>
      </c>
      <c r="AA4549">
        <v>0.99968489999999999</v>
      </c>
      <c r="AB4549">
        <v>38</v>
      </c>
      <c r="AC4549">
        <v>-32.478299999999898</v>
      </c>
      <c r="AD4549">
        <v>-1.1102215967219999</v>
      </c>
      <c r="AE4549">
        <v>-0.46610000000001101</v>
      </c>
      <c r="AF4549">
        <v>-0.821951881400666</v>
      </c>
      <c r="AG4549">
        <v>-1.1102215967219999</v>
      </c>
      <c r="AH4549">
        <v>32.433327681558602</v>
      </c>
      <c r="AI4549">
        <v>91.959891096766199</v>
      </c>
      <c r="AJ4549">
        <v>91.4517257020633</v>
      </c>
      <c r="AK4549">
        <v>32.462731576201698</v>
      </c>
      <c r="AL4549">
        <v>79.281779229590001</v>
      </c>
      <c r="AM4549">
        <v>93.690176434610905</v>
      </c>
      <c r="AN4549">
        <v>1.0000000587115401</v>
      </c>
    </row>
    <row r="4550" spans="1:40" x14ac:dyDescent="0.25">
      <c r="A4550" t="str">
        <f>"20190304155726500"</f>
        <v>20190304155726500</v>
      </c>
      <c r="B4550" t="str">
        <f>"1551686246489078"</f>
        <v>1551686246489078</v>
      </c>
      <c r="C4550" t="s">
        <v>40</v>
      </c>
      <c r="D4550">
        <v>5.1688080000000003</v>
      </c>
      <c r="E4550">
        <v>0.51269100000000001</v>
      </c>
      <c r="F4550" t="s">
        <v>41</v>
      </c>
      <c r="G4550">
        <v>-346.99489999999997</v>
      </c>
      <c r="H4550" s="1">
        <v>-1.7336950000000001E-6</v>
      </c>
      <c r="I4550">
        <v>141.35339999999999</v>
      </c>
      <c r="J4550">
        <v>-315.1936</v>
      </c>
      <c r="K4550">
        <v>1.110222</v>
      </c>
      <c r="L4550">
        <v>141.803</v>
      </c>
      <c r="M4550">
        <v>-0.99982959999999999</v>
      </c>
      <c r="N4550">
        <v>-1.4892890000000001E-2</v>
      </c>
      <c r="O4550">
        <v>1.090605E-2</v>
      </c>
      <c r="P4550">
        <v>-0.98378379999999999</v>
      </c>
      <c r="Q4550">
        <v>0.17154620000000001</v>
      </c>
      <c r="R4550">
        <v>-5.2359749999999997E-2</v>
      </c>
      <c r="S4550">
        <v>-3.0655209999999999</v>
      </c>
      <c r="T4550">
        <v>-0.1057892</v>
      </c>
      <c r="U4550">
        <v>-4.244995E-2</v>
      </c>
      <c r="V4550">
        <v>-6.3118839999999996E-2</v>
      </c>
      <c r="W4550">
        <v>0.18615809999999999</v>
      </c>
      <c r="X4550">
        <v>0.98049030000000004</v>
      </c>
      <c r="Y4550">
        <v>-2.4728440000000001E-2</v>
      </c>
      <c r="Z4550">
        <v>-8.2460710000000002E-4</v>
      </c>
      <c r="AA4550">
        <v>0.99969390000000002</v>
      </c>
      <c r="AB4550">
        <v>38</v>
      </c>
      <c r="AC4550">
        <v>-31.801299999999902</v>
      </c>
      <c r="AD4550">
        <v>-1.110223733695</v>
      </c>
      <c r="AE4550">
        <v>-0.449600000000003</v>
      </c>
      <c r="AF4550">
        <v>-0.795468976283077</v>
      </c>
      <c r="AG4550">
        <v>-1.110223733695</v>
      </c>
      <c r="AH4550">
        <v>31.755808226591199</v>
      </c>
      <c r="AI4550">
        <v>92.001690904740997</v>
      </c>
      <c r="AJ4550">
        <v>91.434933900677706</v>
      </c>
      <c r="AK4550">
        <v>31.785165152239198</v>
      </c>
      <c r="AL4550">
        <v>79.271340659060598</v>
      </c>
      <c r="AM4550">
        <v>93.683320352026499</v>
      </c>
      <c r="AN4550">
        <v>1.0000000272763201</v>
      </c>
    </row>
    <row r="4551" spans="1:40" x14ac:dyDescent="0.25">
      <c r="A4551" t="str">
        <f>"20190304155726514"</f>
        <v>20190304155726514</v>
      </c>
      <c r="B4551" t="str">
        <f>"1551686246509575"</f>
        <v>1551686246509575</v>
      </c>
      <c r="C4551" t="s">
        <v>40</v>
      </c>
      <c r="D4551">
        <v>5.0144699999999904</v>
      </c>
      <c r="E4551">
        <v>0.51271529999999998</v>
      </c>
      <c r="F4551" t="s">
        <v>41</v>
      </c>
      <c r="G4551">
        <v>-347.44150000000002</v>
      </c>
      <c r="H4551" s="1">
        <v>-1.545574E-6</v>
      </c>
      <c r="I4551">
        <v>141.3665</v>
      </c>
      <c r="J4551">
        <v>-315.41570000000002</v>
      </c>
      <c r="K4551">
        <v>1.1102209999999999</v>
      </c>
      <c r="L4551">
        <v>141.80539999999999</v>
      </c>
      <c r="M4551">
        <v>-0.9998302</v>
      </c>
      <c r="N4551">
        <v>-1.489041E-2</v>
      </c>
      <c r="O4551">
        <v>1.0857790000000001E-2</v>
      </c>
      <c r="P4551">
        <v>-0.98379150000000004</v>
      </c>
      <c r="Q4551">
        <v>0.17152049999999999</v>
      </c>
      <c r="R4551">
        <v>-5.2299539999999999E-2</v>
      </c>
      <c r="S4551">
        <v>-3.065674</v>
      </c>
      <c r="T4551">
        <v>-0.10554429999999999</v>
      </c>
      <c r="U4551">
        <v>-4.1488650000000002E-2</v>
      </c>
      <c r="V4551">
        <v>-6.3011159999999997E-2</v>
      </c>
      <c r="W4551">
        <v>0.1861305</v>
      </c>
      <c r="X4551">
        <v>0.9805024</v>
      </c>
      <c r="Y4551">
        <v>-2.4366510000000001E-2</v>
      </c>
      <c r="Z4551">
        <v>-8.1284039999999895E-4</v>
      </c>
      <c r="AA4551">
        <v>0.9997028</v>
      </c>
      <c r="AB4551">
        <v>38</v>
      </c>
      <c r="AC4551">
        <v>-32.025799999999997</v>
      </c>
      <c r="AD4551">
        <v>-1.11022254557399</v>
      </c>
      <c r="AE4551">
        <v>-0.43889999999998902</v>
      </c>
      <c r="AF4551">
        <v>-0.78569803352591905</v>
      </c>
      <c r="AG4551">
        <v>-1.11022254557399</v>
      </c>
      <c r="AH4551">
        <v>31.9807195850562</v>
      </c>
      <c r="AI4551">
        <v>91.987646503458393</v>
      </c>
      <c r="AJ4551">
        <v>91.4073519294747</v>
      </c>
      <c r="AK4551">
        <v>32.009628874427499</v>
      </c>
      <c r="AL4551">
        <v>79.272949453404905</v>
      </c>
      <c r="AM4551">
        <v>93.677008652172802</v>
      </c>
      <c r="AN4551">
        <v>0.99999996286027704</v>
      </c>
    </row>
    <row r="4552" spans="1:40" x14ac:dyDescent="0.25">
      <c r="A4552" t="str">
        <f>"20190304155726527"</f>
        <v>20190304155726527</v>
      </c>
      <c r="B4552" t="str">
        <f>"1551686246519335"</f>
        <v>1551686246519335</v>
      </c>
      <c r="C4552" t="s">
        <v>40</v>
      </c>
      <c r="D4552">
        <v>4.9910220000000001</v>
      </c>
      <c r="E4552">
        <v>0.51272519999999999</v>
      </c>
      <c r="F4552" t="s">
        <v>41</v>
      </c>
      <c r="G4552">
        <v>-347.69310000000002</v>
      </c>
      <c r="H4552" s="1">
        <v>-1.4385749999999901E-6</v>
      </c>
      <c r="I4552">
        <v>141.3699</v>
      </c>
      <c r="J4552">
        <v>-315.64589999999998</v>
      </c>
      <c r="K4552">
        <v>1.110222</v>
      </c>
      <c r="L4552">
        <v>141.80779999999999</v>
      </c>
      <c r="M4552">
        <v>-0.99983069999999996</v>
      </c>
      <c r="N4552">
        <v>-1.488781E-2</v>
      </c>
      <c r="O4552">
        <v>1.080805E-2</v>
      </c>
      <c r="P4552">
        <v>-0.9837534</v>
      </c>
      <c r="Q4552">
        <v>0.17175660000000001</v>
      </c>
      <c r="R4552">
        <v>-5.2238819999999998E-2</v>
      </c>
      <c r="S4552">
        <v>-3.0656129999999999</v>
      </c>
      <c r="T4552">
        <v>-0.1054461</v>
      </c>
      <c r="U4552">
        <v>-4.1351319999999997E-2</v>
      </c>
      <c r="V4552">
        <v>-6.2900800000000007E-2</v>
      </c>
      <c r="W4552">
        <v>0.18636330000000001</v>
      </c>
      <c r="X4552">
        <v>0.98046529999999998</v>
      </c>
      <c r="Y4552">
        <v>-2.4272390000000001E-2</v>
      </c>
      <c r="Z4552">
        <v>-8.0882610000000005E-4</v>
      </c>
      <c r="AA4552">
        <v>0.99970510000000001</v>
      </c>
      <c r="AB4552">
        <v>37</v>
      </c>
      <c r="AC4552">
        <v>-32.047199999999997</v>
      </c>
      <c r="AD4552">
        <v>-1.1102234385750001</v>
      </c>
      <c r="AE4552">
        <v>-0.43789999999998402</v>
      </c>
      <c r="AF4552">
        <v>-0.78334060660981997</v>
      </c>
      <c r="AG4552">
        <v>-1.1102234385750001</v>
      </c>
      <c r="AH4552">
        <v>32.002193668754103</v>
      </c>
      <c r="AI4552">
        <v>91.986319804864095</v>
      </c>
      <c r="AJ4552">
        <v>91.402189816474007</v>
      </c>
      <c r="AK4552">
        <v>32.031025868710003</v>
      </c>
      <c r="AL4552">
        <v>79.259373830805799</v>
      </c>
      <c r="AM4552">
        <v>93.670724741514903</v>
      </c>
      <c r="AN4552">
        <v>0.99999999736580902</v>
      </c>
    </row>
    <row r="4553" spans="1:40" x14ac:dyDescent="0.25">
      <c r="A4553" t="str">
        <f>"20190304155726544"</f>
        <v>20190304155726544</v>
      </c>
      <c r="B4553" t="str">
        <f>"1551686246539831"</f>
        <v>1551686246539831</v>
      </c>
      <c r="C4553" t="s">
        <v>40</v>
      </c>
      <c r="D4553">
        <v>5.0022869999999999</v>
      </c>
      <c r="E4553">
        <v>0.5127467</v>
      </c>
      <c r="F4553" t="s">
        <v>41</v>
      </c>
      <c r="G4553">
        <v>-348.13679999999999</v>
      </c>
      <c r="H4553" s="1">
        <v>-1.248798E-6</v>
      </c>
      <c r="I4553">
        <v>141.37209999999999</v>
      </c>
      <c r="J4553">
        <v>-315.92829999999998</v>
      </c>
      <c r="K4553">
        <v>1.110223</v>
      </c>
      <c r="L4553">
        <v>141.8109</v>
      </c>
      <c r="M4553">
        <v>-0.99983160000000004</v>
      </c>
      <c r="N4553">
        <v>-1.488459E-2</v>
      </c>
      <c r="O4553">
        <v>1.0747039999999999E-2</v>
      </c>
      <c r="P4553">
        <v>-0.98372139999999997</v>
      </c>
      <c r="Q4553">
        <v>0.17197699999999999</v>
      </c>
      <c r="R4553">
        <v>-5.2119560000000002E-2</v>
      </c>
      <c r="S4553">
        <v>-3.0656430000000001</v>
      </c>
      <c r="T4553">
        <v>-0.1047541</v>
      </c>
      <c r="U4553">
        <v>-4.110718E-2</v>
      </c>
      <c r="V4553">
        <v>-6.2721440000000003E-2</v>
      </c>
      <c r="W4553">
        <v>0.18658069999999999</v>
      </c>
      <c r="X4553">
        <v>0.98043539999999996</v>
      </c>
      <c r="Y4553">
        <v>-2.413206E-2</v>
      </c>
      <c r="Z4553">
        <v>-7.9902059999999999E-4</v>
      </c>
      <c r="AA4553">
        <v>0.9997085</v>
      </c>
      <c r="AB4553">
        <v>37</v>
      </c>
      <c r="AC4553">
        <v>-32.208500000000001</v>
      </c>
      <c r="AD4553">
        <v>-1.1102242487980001</v>
      </c>
      <c r="AE4553">
        <v>-0.43880000000001401</v>
      </c>
      <c r="AF4553">
        <v>-0.78402760460633503</v>
      </c>
      <c r="AG4553">
        <v>-1.1102242487980001</v>
      </c>
      <c r="AH4553">
        <v>32.163714159018703</v>
      </c>
      <c r="AI4553">
        <v>91.976359125542203</v>
      </c>
      <c r="AJ4553">
        <v>91.396374135017197</v>
      </c>
      <c r="AK4553">
        <v>32.192418450164098</v>
      </c>
      <c r="AL4553">
        <v>79.246694891446893</v>
      </c>
      <c r="AM4553">
        <v>93.660397583738799</v>
      </c>
      <c r="AN4553">
        <v>0.99999995511065998</v>
      </c>
    </row>
    <row r="4554" spans="1:40" x14ac:dyDescent="0.25">
      <c r="A4554" t="str">
        <f>"20190304155726558"</f>
        <v>20190304155726558</v>
      </c>
      <c r="B4554" t="str">
        <f>"1551686246549591"</f>
        <v>1551686246549591</v>
      </c>
      <c r="C4554" t="s">
        <v>40</v>
      </c>
      <c r="D4554">
        <v>5.003406</v>
      </c>
      <c r="E4554">
        <v>0.51275130000000002</v>
      </c>
      <c r="F4554" t="s">
        <v>41</v>
      </c>
      <c r="G4554">
        <v>-348.65980000000002</v>
      </c>
      <c r="H4554" s="1">
        <v>-1.0251919999999999E-6</v>
      </c>
      <c r="I4554">
        <v>141.375</v>
      </c>
      <c r="J4554">
        <v>-316.15769999999998</v>
      </c>
      <c r="K4554">
        <v>1.110222</v>
      </c>
      <c r="L4554">
        <v>141.8133</v>
      </c>
      <c r="M4554">
        <v>-0.99983200000000005</v>
      </c>
      <c r="N4554">
        <v>-1.488196E-2</v>
      </c>
      <c r="O4554">
        <v>1.0697419999999999E-2</v>
      </c>
      <c r="P4554">
        <v>-0.98373080000000002</v>
      </c>
      <c r="Q4554">
        <v>0.17190549999999999</v>
      </c>
      <c r="R4554">
        <v>-5.2176019999999997E-2</v>
      </c>
      <c r="S4554">
        <v>-3.0656430000000001</v>
      </c>
      <c r="T4554">
        <v>-0.10398399999999999</v>
      </c>
      <c r="U4554">
        <v>-4.0817260000000001E-2</v>
      </c>
      <c r="V4554">
        <v>-6.2729350000000003E-2</v>
      </c>
      <c r="W4554">
        <v>0.1865067</v>
      </c>
      <c r="X4554">
        <v>0.98044900000000001</v>
      </c>
      <c r="Y4554">
        <v>-2.3988349999999999E-2</v>
      </c>
      <c r="Z4554">
        <v>-7.888398E-4</v>
      </c>
      <c r="AA4554">
        <v>0.99971189999999999</v>
      </c>
      <c r="AB4554">
        <v>37</v>
      </c>
      <c r="AC4554">
        <v>-32.502099999999999</v>
      </c>
      <c r="AD4554">
        <v>-1.110223025192</v>
      </c>
      <c r="AE4554">
        <v>-0.43829999999999802</v>
      </c>
      <c r="AF4554">
        <v>-0.78508617474976194</v>
      </c>
      <c r="AG4554">
        <v>-1.110223025192</v>
      </c>
      <c r="AH4554">
        <v>32.457685804293597</v>
      </c>
      <c r="AI4554">
        <v>91.958479878164894</v>
      </c>
      <c r="AJ4554">
        <v>91.385599556291297</v>
      </c>
      <c r="AK4554">
        <v>32.486155870427197</v>
      </c>
      <c r="AL4554">
        <v>79.2510108153636</v>
      </c>
      <c r="AM4554">
        <v>93.6608073104493</v>
      </c>
      <c r="AN4554">
        <v>0.99999998104865595</v>
      </c>
    </row>
    <row r="4555" spans="1:40" x14ac:dyDescent="0.25">
      <c r="A4555" t="str">
        <f>"20190304155726573"</f>
        <v>20190304155726573</v>
      </c>
      <c r="B4555" t="str">
        <f>"1551686246569618"</f>
        <v>1551686246569618</v>
      </c>
      <c r="C4555" t="s">
        <v>40</v>
      </c>
      <c r="D4555">
        <v>4.9839089999999997</v>
      </c>
      <c r="E4555">
        <v>0.51281909999999997</v>
      </c>
      <c r="F4555" t="s">
        <v>41</v>
      </c>
      <c r="G4555">
        <v>-348.84300000000002</v>
      </c>
      <c r="H4555" s="1">
        <v>-9.4673340000000001E-7</v>
      </c>
      <c r="I4555">
        <v>141.37540000000001</v>
      </c>
      <c r="J4555">
        <v>-316.39569999999998</v>
      </c>
      <c r="K4555">
        <v>1.110222</v>
      </c>
      <c r="L4555">
        <v>141.8158</v>
      </c>
      <c r="M4555">
        <v>-0.99983259999999996</v>
      </c>
      <c r="N4555">
        <v>-1.487923E-2</v>
      </c>
      <c r="O4555">
        <v>1.064612E-2</v>
      </c>
      <c r="P4555">
        <v>-0.98365400000000003</v>
      </c>
      <c r="Q4555">
        <v>0.1723739</v>
      </c>
      <c r="R4555">
        <v>-5.207755E-2</v>
      </c>
      <c r="S4555">
        <v>-3.0656430000000001</v>
      </c>
      <c r="T4555">
        <v>-0.104131</v>
      </c>
      <c r="U4555">
        <v>-4.1061399999999998E-2</v>
      </c>
      <c r="V4555">
        <v>-6.2579270000000006E-2</v>
      </c>
      <c r="W4555">
        <v>0.18697140000000001</v>
      </c>
      <c r="X4555">
        <v>0.98037010000000002</v>
      </c>
      <c r="Y4555">
        <v>-2.4016579999999999E-2</v>
      </c>
      <c r="Z4555">
        <v>-7.8963419999999996E-4</v>
      </c>
      <c r="AA4555">
        <v>0.99971129999999997</v>
      </c>
      <c r="AB4555">
        <v>37</v>
      </c>
      <c r="AC4555">
        <v>-32.447299999999998</v>
      </c>
      <c r="AD4555">
        <v>-1.1102229467333999</v>
      </c>
      <c r="AE4555">
        <v>-0.44039999999998197</v>
      </c>
      <c r="AF4555">
        <v>-0.78493234927710598</v>
      </c>
      <c r="AG4555">
        <v>-1.1102229467333999</v>
      </c>
      <c r="AH4555">
        <v>32.402843120691401</v>
      </c>
      <c r="AI4555">
        <v>91.9617902152727</v>
      </c>
      <c r="AJ4555">
        <v>91.387671964506794</v>
      </c>
      <c r="AK4555">
        <v>32.431357604770902</v>
      </c>
      <c r="AL4555">
        <v>79.223908947847804</v>
      </c>
      <c r="AM4555">
        <v>93.652365681874699</v>
      </c>
      <c r="AN4555">
        <v>1.00000000121285</v>
      </c>
    </row>
    <row r="4556" spans="1:40" x14ac:dyDescent="0.25">
      <c r="A4556" t="str">
        <f>"20190304155726589"</f>
        <v>20190304155726589</v>
      </c>
      <c r="B4556" t="str">
        <f>"1551686246579378"</f>
        <v>1551686246579378</v>
      </c>
      <c r="C4556" t="s">
        <v>40</v>
      </c>
      <c r="D4556">
        <v>5.0316789999999996</v>
      </c>
      <c r="E4556">
        <v>0.51280079999999995</v>
      </c>
      <c r="F4556" t="s">
        <v>41</v>
      </c>
      <c r="G4556">
        <v>-348.96550000000002</v>
      </c>
      <c r="H4556" s="1">
        <v>-8.9773699999999996E-7</v>
      </c>
      <c r="I4556">
        <v>141.3888</v>
      </c>
      <c r="J4556">
        <v>-316.67380000000003</v>
      </c>
      <c r="K4556">
        <v>1.1102270000000001</v>
      </c>
      <c r="L4556">
        <v>141.81870000000001</v>
      </c>
      <c r="M4556">
        <v>-0.99983339999999998</v>
      </c>
      <c r="N4556">
        <v>-1.487604E-2</v>
      </c>
      <c r="O4556">
        <v>1.0586129999999999E-2</v>
      </c>
      <c r="P4556">
        <v>-0.98358990000000002</v>
      </c>
      <c r="Q4556">
        <v>0.172796799999999</v>
      </c>
      <c r="R4556">
        <v>-5.1889280000000003E-2</v>
      </c>
      <c r="S4556">
        <v>-3.066071</v>
      </c>
      <c r="T4556">
        <v>-0.1045148</v>
      </c>
      <c r="U4556">
        <v>-4.0191650000000002E-2</v>
      </c>
      <c r="V4556">
        <v>-6.2331579999999998E-2</v>
      </c>
      <c r="W4556">
        <v>0.1873901</v>
      </c>
      <c r="X4556">
        <v>0.98030589999999995</v>
      </c>
      <c r="Y4556">
        <v>-2.3671339999999999E-2</v>
      </c>
      <c r="Z4556">
        <v>-7.8275410000000001E-4</v>
      </c>
      <c r="AA4556">
        <v>0.99971949999999998</v>
      </c>
      <c r="AB4556">
        <v>37</v>
      </c>
      <c r="AC4556">
        <v>-32.291699999999899</v>
      </c>
      <c r="AD4556">
        <v>-1.1102278977369999</v>
      </c>
      <c r="AE4556">
        <v>-0.429900000000003</v>
      </c>
      <c r="AF4556">
        <v>-0.77084680581908704</v>
      </c>
      <c r="AG4556">
        <v>-1.1102278977369999</v>
      </c>
      <c r="AH4556">
        <v>32.247227005638102</v>
      </c>
      <c r="AI4556">
        <v>91.971273754267699</v>
      </c>
      <c r="AJ4556">
        <v>91.369353683700098</v>
      </c>
      <c r="AK4556">
        <v>32.275539659874099</v>
      </c>
      <c r="AL4556">
        <v>79.199487189546801</v>
      </c>
      <c r="AM4556">
        <v>93.638186052951696</v>
      </c>
      <c r="AN4556">
        <v>0.99999996650905698</v>
      </c>
    </row>
    <row r="4557" spans="1:40" x14ac:dyDescent="0.25">
      <c r="A4557" t="str">
        <f>"20190304155726603"</f>
        <v>20190304155726603</v>
      </c>
      <c r="B4557" t="str">
        <f>"1551686246598898"</f>
        <v>1551686246598898</v>
      </c>
      <c r="C4557" t="s">
        <v>40</v>
      </c>
      <c r="D4557">
        <v>5.018332</v>
      </c>
      <c r="E4557">
        <v>0.51278760000000001</v>
      </c>
      <c r="F4557" t="s">
        <v>41</v>
      </c>
      <c r="G4557">
        <v>-349.63720000000001</v>
      </c>
      <c r="H4557" s="1">
        <v>-6.0904559999999899E-7</v>
      </c>
      <c r="I4557">
        <v>141.38679999999999</v>
      </c>
      <c r="J4557">
        <v>-316.90300000000002</v>
      </c>
      <c r="K4557">
        <v>1.110228</v>
      </c>
      <c r="L4557">
        <v>141.8211</v>
      </c>
      <c r="M4557">
        <v>-0.99983390000000005</v>
      </c>
      <c r="N4557">
        <v>-1.487342E-2</v>
      </c>
      <c r="O4557">
        <v>1.053668E-2</v>
      </c>
      <c r="P4557">
        <v>-0.98357419999999995</v>
      </c>
      <c r="Q4557">
        <v>0.17285899999999901</v>
      </c>
      <c r="R4557">
        <v>-5.197885E-2</v>
      </c>
      <c r="S4557">
        <v>-3.0661010000000002</v>
      </c>
      <c r="T4557">
        <v>-0.10326829999999999</v>
      </c>
      <c r="U4557">
        <v>-4.0161130000000003E-2</v>
      </c>
      <c r="V4557">
        <v>-6.2372459999999998E-2</v>
      </c>
      <c r="W4557">
        <v>0.18744959999999999</v>
      </c>
      <c r="X4557">
        <v>0.98029200000000005</v>
      </c>
      <c r="Y4557">
        <v>-2.3612370000000001E-2</v>
      </c>
      <c r="Z4557">
        <v>-7.7127199999999895E-4</v>
      </c>
      <c r="AA4557">
        <v>0.99972090000000002</v>
      </c>
      <c r="AB4557">
        <v>37</v>
      </c>
      <c r="AC4557">
        <v>-32.734199999999902</v>
      </c>
      <c r="AD4557">
        <v>-1.1102286090455999</v>
      </c>
      <c r="AE4557">
        <v>-0.43430000000000701</v>
      </c>
      <c r="AF4557">
        <v>-0.77832864598052998</v>
      </c>
      <c r="AG4557">
        <v>-1.1102286090455999</v>
      </c>
      <c r="AH4557">
        <v>32.690208044073003</v>
      </c>
      <c r="AI4557">
        <v>91.944587560756702</v>
      </c>
      <c r="AJ4557">
        <v>91.363910643878398</v>
      </c>
      <c r="AK4557">
        <v>32.718314519704002</v>
      </c>
      <c r="AL4557">
        <v>79.196017403320994</v>
      </c>
      <c r="AM4557">
        <v>93.640617214928</v>
      </c>
      <c r="AN4557">
        <v>1.0000000407853</v>
      </c>
    </row>
    <row r="4558" spans="1:40" x14ac:dyDescent="0.25">
      <c r="A4558" t="str">
        <f>"20190304155726617"</f>
        <v>20190304155726617</v>
      </c>
      <c r="B4558" t="str">
        <f>"1551686246609634"</f>
        <v>1551686246609634</v>
      </c>
      <c r="C4558" t="s">
        <v>40</v>
      </c>
      <c r="D4558">
        <v>5.0582549999999999</v>
      </c>
      <c r="E4558">
        <v>0.51278990000000002</v>
      </c>
      <c r="F4558" t="s">
        <v>41</v>
      </c>
      <c r="G4558">
        <v>-349.97489999999999</v>
      </c>
      <c r="H4558" s="1">
        <v>-4.5975870000000001E-6</v>
      </c>
      <c r="I4558">
        <v>141.3809</v>
      </c>
      <c r="J4558">
        <v>-317.13729999999998</v>
      </c>
      <c r="K4558">
        <v>1.1102289999999999</v>
      </c>
      <c r="L4558">
        <v>141.8235</v>
      </c>
      <c r="M4558">
        <v>-0.99983440000000001</v>
      </c>
      <c r="N4558">
        <v>-1.4870690000000001E-2</v>
      </c>
      <c r="O4558">
        <v>1.0486219999999999E-2</v>
      </c>
      <c r="P4558">
        <v>-0.98358239999999997</v>
      </c>
      <c r="Q4558">
        <v>0.17282899999999901</v>
      </c>
      <c r="R4558">
        <v>-5.1919029999999998E-2</v>
      </c>
      <c r="S4558">
        <v>-3.0660099999999999</v>
      </c>
      <c r="T4558">
        <v>-0.10292709999999999</v>
      </c>
      <c r="U4558">
        <v>-4.0801999999999998E-2</v>
      </c>
      <c r="V4558">
        <v>-6.2263470000000001E-2</v>
      </c>
      <c r="W4558">
        <v>0.18741730000000001</v>
      </c>
      <c r="X4558">
        <v>0.98030510000000004</v>
      </c>
      <c r="Y4558">
        <v>-2.3771239999999999E-2</v>
      </c>
      <c r="Z4558">
        <v>-7.7171049999999995E-4</v>
      </c>
      <c r="AA4558">
        <v>0.99971710000000003</v>
      </c>
      <c r="AB4558">
        <v>37</v>
      </c>
      <c r="AC4558">
        <v>-32.837600000000002</v>
      </c>
      <c r="AD4558">
        <v>-1.1102335975869999</v>
      </c>
      <c r="AE4558">
        <v>-0.442599999999998</v>
      </c>
      <c r="AF4558">
        <v>-0.78605766728737503</v>
      </c>
      <c r="AG4558">
        <v>-1.1102335975869999</v>
      </c>
      <c r="AH4558">
        <v>32.793672627779699</v>
      </c>
      <c r="AI4558">
        <v>91.938458320161402</v>
      </c>
      <c r="AJ4558">
        <v>91.373105256269</v>
      </c>
      <c r="AK4558">
        <v>32.821874865941098</v>
      </c>
      <c r="AL4558">
        <v>79.197901401077999</v>
      </c>
      <c r="AM4558">
        <v>93.634224208489499</v>
      </c>
      <c r="AN4558">
        <v>1.0000000365608599</v>
      </c>
    </row>
    <row r="4559" spans="1:40" x14ac:dyDescent="0.25">
      <c r="A4559" t="str">
        <f>"20190304155726630"</f>
        <v>20190304155726630</v>
      </c>
      <c r="B4559" t="str">
        <f>"1551686246619393"</f>
        <v>1551686246619393</v>
      </c>
      <c r="C4559" t="s">
        <v>40</v>
      </c>
      <c r="D4559">
        <v>5.0100020000000001</v>
      </c>
      <c r="E4559">
        <v>0.51285709999999995</v>
      </c>
      <c r="F4559" t="s">
        <v>41</v>
      </c>
      <c r="G4559">
        <v>-350.21339999999998</v>
      </c>
      <c r="H4559" s="1">
        <v>-4.5173940000000004E-6</v>
      </c>
      <c r="I4559">
        <v>141.38640000000001</v>
      </c>
      <c r="J4559">
        <v>-317.3562</v>
      </c>
      <c r="K4559">
        <v>1.1102299999999901</v>
      </c>
      <c r="L4559">
        <v>141.82579999999999</v>
      </c>
      <c r="M4559">
        <v>-0.99983500000000003</v>
      </c>
      <c r="N4559">
        <v>-1.48681E-2</v>
      </c>
      <c r="O4559">
        <v>1.043898E-2</v>
      </c>
      <c r="P4559">
        <v>-0.98359490000000005</v>
      </c>
      <c r="Q4559">
        <v>0.17272870000000001</v>
      </c>
      <c r="R4559">
        <v>-5.2021779999999997E-2</v>
      </c>
      <c r="S4559">
        <v>-3.0660099999999999</v>
      </c>
      <c r="T4559">
        <v>-0.1029139</v>
      </c>
      <c r="U4559">
        <v>-4.0512079999999999E-2</v>
      </c>
      <c r="V4559">
        <v>-6.2319409999999999E-2</v>
      </c>
      <c r="W4559">
        <v>0.18731419999999999</v>
      </c>
      <c r="X4559">
        <v>0.9803212</v>
      </c>
      <c r="Y4559">
        <v>-2.362962E-2</v>
      </c>
      <c r="Z4559">
        <v>-7.6729809999999995E-4</v>
      </c>
      <c r="AA4559">
        <v>0.99972050000000001</v>
      </c>
      <c r="AB4559">
        <v>37</v>
      </c>
      <c r="AC4559">
        <v>-32.857199999999899</v>
      </c>
      <c r="AD4559">
        <v>-1.11023451739399</v>
      </c>
      <c r="AE4559">
        <v>-0.43939999999997698</v>
      </c>
      <c r="AF4559">
        <v>-0.78151748133222798</v>
      </c>
      <c r="AG4559">
        <v>-1.11023451739399</v>
      </c>
      <c r="AH4559">
        <v>32.813364169137401</v>
      </c>
      <c r="AI4559">
        <v>91.937304588647507</v>
      </c>
      <c r="AJ4559">
        <v>91.364358412354804</v>
      </c>
      <c r="AK4559">
        <v>32.841441173518497</v>
      </c>
      <c r="AL4559">
        <v>79.2039145530333</v>
      </c>
      <c r="AM4559">
        <v>93.637421000341902</v>
      </c>
      <c r="AN4559">
        <v>0.99999998677691304</v>
      </c>
    </row>
    <row r="4560" spans="1:40" x14ac:dyDescent="0.25">
      <c r="A4560" t="str">
        <f>"20190304155726645"</f>
        <v>20190304155726645</v>
      </c>
      <c r="B4560" t="str">
        <f>"1551686246638917"</f>
        <v>1551686246638917</v>
      </c>
      <c r="C4560" t="s">
        <v>40</v>
      </c>
      <c r="D4560">
        <v>5.0595210000000002</v>
      </c>
      <c r="E4560">
        <v>0.51283630000000002</v>
      </c>
      <c r="F4560" t="s">
        <v>41</v>
      </c>
      <c r="G4560">
        <v>-350.06849999999997</v>
      </c>
      <c r="H4560" s="1">
        <v>-4.568456E-6</v>
      </c>
      <c r="I4560">
        <v>141.3964</v>
      </c>
      <c r="J4560">
        <v>-317.60879999999997</v>
      </c>
      <c r="K4560">
        <v>1.110236</v>
      </c>
      <c r="L4560">
        <v>141.82830000000001</v>
      </c>
      <c r="M4560">
        <v>-0.99983560000000005</v>
      </c>
      <c r="N4560">
        <v>-1.486523E-2</v>
      </c>
      <c r="O4560">
        <v>1.0384529999999999E-2</v>
      </c>
      <c r="P4560">
        <v>-0.98357139999999998</v>
      </c>
      <c r="Q4560">
        <v>0.1728382</v>
      </c>
      <c r="R4560">
        <v>-5.2102570000000001E-2</v>
      </c>
      <c r="S4560">
        <v>-3.0661619999999998</v>
      </c>
      <c r="T4560">
        <v>-0.10406360000000001</v>
      </c>
      <c r="U4560">
        <v>-4.0237429999999998E-2</v>
      </c>
      <c r="V4560">
        <v>-6.2346150000000003E-2</v>
      </c>
      <c r="W4560">
        <v>0.187421</v>
      </c>
      <c r="X4560">
        <v>0.98029909999999998</v>
      </c>
      <c r="Y4560">
        <v>-2.3484669999999999E-2</v>
      </c>
      <c r="Z4560">
        <v>-7.7102200000000001E-4</v>
      </c>
      <c r="AA4560">
        <v>0.9997239</v>
      </c>
      <c r="AB4560">
        <v>37</v>
      </c>
      <c r="AC4560">
        <v>-32.459699999999998</v>
      </c>
      <c r="AD4560">
        <v>-1.1102405684559999</v>
      </c>
      <c r="AE4560">
        <v>-0.431900000000013</v>
      </c>
      <c r="AF4560">
        <v>-0.76809425024423605</v>
      </c>
      <c r="AG4560">
        <v>-1.1102405684559999</v>
      </c>
      <c r="AH4560">
        <v>32.415547863978503</v>
      </c>
      <c r="AI4560">
        <v>91.961077845058696</v>
      </c>
      <c r="AJ4560">
        <v>91.357383356624993</v>
      </c>
      <c r="AK4560">
        <v>32.443648780909101</v>
      </c>
      <c r="AL4560">
        <v>79.197685177911595</v>
      </c>
      <c r="AM4560">
        <v>93.639059368528905</v>
      </c>
      <c r="AN4560">
        <v>0.99999999956081598</v>
      </c>
    </row>
    <row r="4561" spans="1:40" x14ac:dyDescent="0.25">
      <c r="A4561" t="str">
        <f>"20190304155726661"</f>
        <v>20190304155726661</v>
      </c>
      <c r="B4561" t="str">
        <f>"1551686246649650"</f>
        <v>1551686246649650</v>
      </c>
      <c r="C4561" t="s">
        <v>40</v>
      </c>
      <c r="D4561">
        <v>5.0548830000000002</v>
      </c>
      <c r="E4561">
        <v>0.51286759999999998</v>
      </c>
      <c r="F4561" t="s">
        <v>41</v>
      </c>
      <c r="G4561">
        <v>-350.4051</v>
      </c>
      <c r="H4561" s="1">
        <v>-4.453462E-6</v>
      </c>
      <c r="I4561">
        <v>141.3938</v>
      </c>
      <c r="J4561">
        <v>-317.84769999999997</v>
      </c>
      <c r="K4561">
        <v>1.1102379999999901</v>
      </c>
      <c r="L4561">
        <v>141.83080000000001</v>
      </c>
      <c r="M4561">
        <v>-0.99983610000000001</v>
      </c>
      <c r="N4561">
        <v>-1.4862530000000001E-2</v>
      </c>
      <c r="O4561">
        <v>1.0332879999999999E-2</v>
      </c>
      <c r="P4561">
        <v>-0.98359730000000001</v>
      </c>
      <c r="Q4561">
        <v>0.17264689999999999</v>
      </c>
      <c r="R4561">
        <v>-5.2242669999999998E-2</v>
      </c>
      <c r="S4561">
        <v>-3.0661930000000002</v>
      </c>
      <c r="T4561">
        <v>-0.1037986</v>
      </c>
      <c r="U4561">
        <v>-4.0618899999999999E-2</v>
      </c>
      <c r="V4561">
        <v>-6.2435930000000001E-2</v>
      </c>
      <c r="W4561">
        <v>0.18722710000000001</v>
      </c>
      <c r="X4561">
        <v>0.98033040000000005</v>
      </c>
      <c r="Y4561">
        <v>-2.35573E-2</v>
      </c>
      <c r="Z4561">
        <v>-7.6988809999999997E-4</v>
      </c>
      <c r="AA4561">
        <v>0.99972220000000001</v>
      </c>
      <c r="AB4561">
        <v>37</v>
      </c>
      <c r="AC4561">
        <v>-32.557400000000001</v>
      </c>
      <c r="AD4561">
        <v>-1.1102424534619999</v>
      </c>
      <c r="AE4561">
        <v>-0.43700000000001099</v>
      </c>
      <c r="AF4561">
        <v>-0.77252735554968299</v>
      </c>
      <c r="AG4561">
        <v>-1.1102424534619999</v>
      </c>
      <c r="AH4561">
        <v>32.5133431293727</v>
      </c>
      <c r="AI4561">
        <v>91.955184103763798</v>
      </c>
      <c r="AJ4561">
        <v>91.3611098114539</v>
      </c>
      <c r="AK4561">
        <v>32.541464599321102</v>
      </c>
      <c r="AL4561">
        <v>79.208994632689695</v>
      </c>
      <c r="AM4561">
        <v>93.6441695510118</v>
      </c>
      <c r="AN4561">
        <v>0.99999996274676595</v>
      </c>
    </row>
    <row r="4562" spans="1:40" x14ac:dyDescent="0.25">
      <c r="A4562" t="str">
        <f>"20190304155726680"</f>
        <v>20190304155726680</v>
      </c>
      <c r="B4562" t="str">
        <f>"1551686246669169"</f>
        <v>1551686246669169</v>
      </c>
      <c r="C4562" t="s">
        <v>40</v>
      </c>
      <c r="D4562">
        <v>5.0634810000000003</v>
      </c>
      <c r="E4562">
        <v>0.5129089</v>
      </c>
      <c r="F4562" t="s">
        <v>41</v>
      </c>
      <c r="G4562">
        <v>-350.48149999999998</v>
      </c>
      <c r="H4562" s="1">
        <v>-4.4281470000000002E-6</v>
      </c>
      <c r="I4562">
        <v>141.39769999999999</v>
      </c>
      <c r="J4562">
        <v>-318.1746</v>
      </c>
      <c r="K4562">
        <v>1.110241</v>
      </c>
      <c r="L4562">
        <v>141.83410000000001</v>
      </c>
      <c r="M4562">
        <v>-0.99983710000000003</v>
      </c>
      <c r="N4562">
        <v>-1.485885E-2</v>
      </c>
      <c r="O4562">
        <v>1.02618E-2</v>
      </c>
      <c r="P4562">
        <v>-0.98354529999999996</v>
      </c>
      <c r="Q4562">
        <v>0.17285639999999999</v>
      </c>
      <c r="R4562">
        <v>-5.2533839999999998E-2</v>
      </c>
      <c r="S4562">
        <v>-3.0661619999999998</v>
      </c>
      <c r="T4562">
        <v>-0.10431459999999999</v>
      </c>
      <c r="U4562">
        <v>-4.0679930000000003E-2</v>
      </c>
      <c r="V4562">
        <v>-6.2656409999999996E-2</v>
      </c>
      <c r="W4562">
        <v>0.1874323</v>
      </c>
      <c r="X4562">
        <v>0.98027719999999896</v>
      </c>
      <c r="Y4562">
        <v>-2.350613E-2</v>
      </c>
      <c r="Z4562">
        <v>-7.7099630000000002E-4</v>
      </c>
      <c r="AA4562">
        <v>0.99972340000000004</v>
      </c>
      <c r="AB4562">
        <v>37</v>
      </c>
      <c r="AC4562">
        <v>-32.306899999999899</v>
      </c>
      <c r="AD4562">
        <v>-1.110245428147</v>
      </c>
      <c r="AE4562">
        <v>-0.43640000000001999</v>
      </c>
      <c r="AF4562">
        <v>-0.7670348173589</v>
      </c>
      <c r="AG4562">
        <v>-1.110245428147</v>
      </c>
      <c r="AH4562">
        <v>32.2626248143646</v>
      </c>
      <c r="AI4562">
        <v>91.970370841399998</v>
      </c>
      <c r="AJ4562">
        <v>91.361934452399097</v>
      </c>
      <c r="AK4562">
        <v>32.290833795896603</v>
      </c>
      <c r="AL4562">
        <v>79.197026506088093</v>
      </c>
      <c r="AM4562">
        <v>93.657201274875305</v>
      </c>
      <c r="AN4562">
        <v>1.0000000408186001</v>
      </c>
    </row>
    <row r="4563" spans="1:40" x14ac:dyDescent="0.25">
      <c r="A4563" t="str">
        <f>"20190304155726702"</f>
        <v>20190304155726702</v>
      </c>
      <c r="B4563" t="str">
        <f>"1551686246699426"</f>
        <v>1551686246699426</v>
      </c>
      <c r="C4563" t="s">
        <v>40</v>
      </c>
      <c r="D4563">
        <v>4.3608129999999896</v>
      </c>
      <c r="E4563">
        <v>0.54830709999999905</v>
      </c>
      <c r="F4563" t="s">
        <v>41</v>
      </c>
      <c r="G4563">
        <v>-350.97300000000001</v>
      </c>
      <c r="H4563" s="1">
        <v>-4.2592769999999996E-6</v>
      </c>
      <c r="I4563">
        <v>141.3886</v>
      </c>
      <c r="J4563">
        <v>-318.5428</v>
      </c>
      <c r="K4563">
        <v>1.110242</v>
      </c>
      <c r="L4563">
        <v>141.83779999999999</v>
      </c>
      <c r="M4563">
        <v>-0.9998378</v>
      </c>
      <c r="N4563">
        <v>-1.485472E-2</v>
      </c>
      <c r="O4563">
        <v>1.0182149999999999E-2</v>
      </c>
      <c r="P4563">
        <v>-0.983568</v>
      </c>
      <c r="Q4563">
        <v>0.1726335</v>
      </c>
      <c r="R4563">
        <v>-5.2835840000000002E-2</v>
      </c>
      <c r="S4563">
        <v>-3.0661320000000001</v>
      </c>
      <c r="T4563">
        <v>-0.1037904</v>
      </c>
      <c r="U4563">
        <v>-4.1641240000000003E-2</v>
      </c>
      <c r="V4563">
        <v>-6.2880729999999996E-2</v>
      </c>
      <c r="W4563">
        <v>0.18720609999999999</v>
      </c>
      <c r="X4563">
        <v>0.98030600000000001</v>
      </c>
      <c r="Y4563">
        <v>-2.3740009999999999E-2</v>
      </c>
      <c r="Z4563">
        <v>-7.7141890000000004E-4</v>
      </c>
      <c r="AA4563">
        <v>0.99971790000000005</v>
      </c>
      <c r="AB4563">
        <v>37</v>
      </c>
      <c r="AC4563">
        <v>-32.430199999999999</v>
      </c>
      <c r="AD4563">
        <v>-1.1102462592769999</v>
      </c>
      <c r="AE4563">
        <v>-0.44919999999999</v>
      </c>
      <c r="AF4563">
        <v>-0.77851005023405895</v>
      </c>
      <c r="AG4563">
        <v>-1.1102462592769999</v>
      </c>
      <c r="AH4563">
        <v>32.385994006373501</v>
      </c>
      <c r="AI4563">
        <v>91.962860023738202</v>
      </c>
      <c r="AJ4563">
        <v>91.3770382173917</v>
      </c>
      <c r="AK4563">
        <v>32.414369227788697</v>
      </c>
      <c r="AL4563">
        <v>79.210219710122303</v>
      </c>
      <c r="AM4563">
        <v>93.670151384269701</v>
      </c>
      <c r="AN4563">
        <v>0.99999998185927097</v>
      </c>
    </row>
    <row r="4564" spans="1:40" x14ac:dyDescent="0.25">
      <c r="A4564" t="str">
        <f>"20190304155726790"</f>
        <v>20190304155726790</v>
      </c>
      <c r="B4564" t="str">
        <f>"1551686246779458"</f>
        <v>1551686246779458</v>
      </c>
      <c r="C4564" t="s">
        <v>40</v>
      </c>
      <c r="D4564">
        <v>4.414822</v>
      </c>
      <c r="E4564">
        <v>0.54007439999999995</v>
      </c>
      <c r="F4564" t="s">
        <v>42</v>
      </c>
      <c r="G4564">
        <v>-320.69150000000002</v>
      </c>
      <c r="H4564">
        <v>0.97840550000000004</v>
      </c>
      <c r="I4564">
        <v>141.93539999999999</v>
      </c>
      <c r="J4564">
        <v>-320.00299999999999</v>
      </c>
      <c r="K4564">
        <v>1.11025</v>
      </c>
      <c r="L4564">
        <v>141.85220000000001</v>
      </c>
      <c r="M4564">
        <v>-0.99984130000000004</v>
      </c>
      <c r="N4564">
        <v>-1.4838499999999999E-2</v>
      </c>
      <c r="O4564">
        <v>9.865983E-3</v>
      </c>
      <c r="P4564">
        <v>-0.98345800000000005</v>
      </c>
      <c r="Q4564">
        <v>0.17325389999999999</v>
      </c>
      <c r="R4564">
        <v>-5.2852940000000001E-2</v>
      </c>
      <c r="S4564">
        <v>-3.1390690000000001</v>
      </c>
      <c r="T4564">
        <v>-0.42147050000000003</v>
      </c>
      <c r="U4564">
        <v>0.27427669999999998</v>
      </c>
      <c r="V4564">
        <v>-6.2585440000000006E-2</v>
      </c>
      <c r="W4564">
        <v>0.18780930000000001</v>
      </c>
      <c r="X4564">
        <v>0.98020949999999996</v>
      </c>
      <c r="Y4564">
        <v>7.6521399999999906E-2</v>
      </c>
      <c r="Z4564">
        <v>4.5056640000000004E-3</v>
      </c>
      <c r="AA4564">
        <v>0.99705770000000005</v>
      </c>
      <c r="AB4564">
        <v>37</v>
      </c>
      <c r="AC4564">
        <v>-0.68850000000003297</v>
      </c>
      <c r="AD4564">
        <v>-0.131844499999999</v>
      </c>
      <c r="AE4564">
        <v>8.3199999999976598E-2</v>
      </c>
      <c r="AF4564">
        <v>7.3737407348847095E-2</v>
      </c>
      <c r="AG4564">
        <v>-0.131844499999999</v>
      </c>
      <c r="AH4564">
        <v>0.665243748192198</v>
      </c>
      <c r="AI4564">
        <v>101.143644390134</v>
      </c>
      <c r="AJ4564">
        <v>83.675000476975001</v>
      </c>
      <c r="AK4564">
        <v>0.68217990437389997</v>
      </c>
      <c r="AL4564">
        <v>79.175034664201903</v>
      </c>
      <c r="AM4564">
        <v>93.653321662793999</v>
      </c>
      <c r="AN4564">
        <v>0.99999996717836603</v>
      </c>
    </row>
    <row r="4565" spans="1:40" x14ac:dyDescent="0.25">
      <c r="A4565" t="str">
        <f>"20190304155726804"</f>
        <v>20190304155726804</v>
      </c>
      <c r="B4565" t="str">
        <f>"1551686246798978"</f>
        <v>1551686246798978</v>
      </c>
      <c r="C4565" t="s">
        <v>40</v>
      </c>
      <c r="D4565">
        <v>5.3013919999999999</v>
      </c>
      <c r="E4565">
        <v>0.53432290000000005</v>
      </c>
      <c r="F4565" t="s">
        <v>42</v>
      </c>
      <c r="G4565">
        <v>-321.01389999999998</v>
      </c>
      <c r="H4565">
        <v>0.9637618</v>
      </c>
      <c r="I4565">
        <v>141.9102</v>
      </c>
      <c r="J4565">
        <v>-320.24310000000003</v>
      </c>
      <c r="K4565">
        <v>1.110252</v>
      </c>
      <c r="L4565">
        <v>141.8545</v>
      </c>
      <c r="M4565">
        <v>-0.9998418</v>
      </c>
      <c r="N4565">
        <v>-1.483576E-2</v>
      </c>
      <c r="O4565">
        <v>9.8139730000000001E-3</v>
      </c>
      <c r="P4565">
        <v>-0.98343689999999995</v>
      </c>
      <c r="Q4565">
        <v>0.1734328</v>
      </c>
      <c r="R4565">
        <v>-5.2658419999999997E-2</v>
      </c>
      <c r="S4565">
        <v>-3.1403500000000002</v>
      </c>
      <c r="T4565">
        <v>-0.45511889999999999</v>
      </c>
      <c r="U4565">
        <v>0.1800842</v>
      </c>
      <c r="V4565">
        <v>-6.2339329999999998E-2</v>
      </c>
      <c r="W4565">
        <v>0.1879854</v>
      </c>
      <c r="X4565">
        <v>0.98019149999999999</v>
      </c>
      <c r="Y4565">
        <v>4.6991779999999997E-2</v>
      </c>
      <c r="Z4565">
        <v>2.4667840000000001E-3</v>
      </c>
      <c r="AA4565">
        <v>0.99889220000000001</v>
      </c>
      <c r="AB4565">
        <v>37</v>
      </c>
      <c r="AC4565">
        <v>-0.77079999999995097</v>
      </c>
      <c r="AD4565">
        <v>-0.14649019999999999</v>
      </c>
      <c r="AE4565">
        <v>5.5700000000001602E-2</v>
      </c>
      <c r="AF4565">
        <v>4.6462423218691103E-2</v>
      </c>
      <c r="AG4565">
        <v>-0.14649019999999999</v>
      </c>
      <c r="AH4565">
        <v>0.74455674780199599</v>
      </c>
      <c r="AI4565">
        <v>101.10960161475199</v>
      </c>
      <c r="AJ4565">
        <v>86.429213338015501</v>
      </c>
      <c r="AK4565">
        <v>0.76025185706111797</v>
      </c>
      <c r="AL4565">
        <v>79.164762700609899</v>
      </c>
      <c r="AM4565">
        <v>93.639060722928406</v>
      </c>
      <c r="AN4565">
        <v>1.0000000396751201</v>
      </c>
    </row>
    <row r="4566" spans="1:40" x14ac:dyDescent="0.25">
      <c r="A4566" t="str">
        <f>"20190304155726820"</f>
        <v>20190304155726820</v>
      </c>
      <c r="B4566" t="str">
        <f>"1551686246809714"</f>
        <v>1551686246809714</v>
      </c>
      <c r="C4566" t="s">
        <v>40</v>
      </c>
      <c r="D4566">
        <v>5.143313</v>
      </c>
      <c r="E4566">
        <v>0.53233960000000002</v>
      </c>
      <c r="F4566" t="s">
        <v>42</v>
      </c>
      <c r="G4566">
        <v>-321.03129999999999</v>
      </c>
      <c r="H4566">
        <v>0.99785279999999998</v>
      </c>
      <c r="I4566">
        <v>141.88839999999999</v>
      </c>
      <c r="J4566">
        <v>-320.4821</v>
      </c>
      <c r="K4566">
        <v>1.110249</v>
      </c>
      <c r="L4566">
        <v>141.85679999999999</v>
      </c>
      <c r="M4566">
        <v>-0.99984240000000002</v>
      </c>
      <c r="N4566">
        <v>-1.4833030000000001E-2</v>
      </c>
      <c r="O4566">
        <v>9.7620229999999999E-3</v>
      </c>
      <c r="P4566">
        <v>-0.98335709999999998</v>
      </c>
      <c r="Q4566">
        <v>0.17386450000000001</v>
      </c>
      <c r="R4566">
        <v>-5.2727929999999999E-2</v>
      </c>
      <c r="S4566">
        <v>-3.1366269999999998</v>
      </c>
      <c r="T4566">
        <v>-0.44740269999999999</v>
      </c>
      <c r="U4566">
        <v>0.134719799999999</v>
      </c>
      <c r="V4566">
        <v>-6.2356549999999997E-2</v>
      </c>
      <c r="W4566">
        <v>0.188413</v>
      </c>
      <c r="X4566">
        <v>0.98010830000000004</v>
      </c>
      <c r="Y4566">
        <v>3.2867029999999998E-2</v>
      </c>
      <c r="Z4566">
        <v>1.335815E-3</v>
      </c>
      <c r="AA4566">
        <v>0.99945879999999998</v>
      </c>
      <c r="AB4566">
        <v>37</v>
      </c>
      <c r="AC4566">
        <v>-0.54919999999998403</v>
      </c>
      <c r="AD4566">
        <v>-0.1123962</v>
      </c>
      <c r="AE4566">
        <v>3.1599999999997401E-2</v>
      </c>
      <c r="AF4566">
        <v>2.51852380333678E-2</v>
      </c>
      <c r="AG4566">
        <v>-0.1123962</v>
      </c>
      <c r="AH4566">
        <v>0.52746326753069395</v>
      </c>
      <c r="AI4566">
        <v>102.015850039792</v>
      </c>
      <c r="AJ4566">
        <v>87.266325800510302</v>
      </c>
      <c r="AK4566">
        <v>0.53989323072566298</v>
      </c>
      <c r="AL4566">
        <v>79.139817263714306</v>
      </c>
      <c r="AM4566">
        <v>93.640371407688505</v>
      </c>
      <c r="AN4566">
        <v>1.00000003881289</v>
      </c>
    </row>
    <row r="4567" spans="1:40" x14ac:dyDescent="0.25">
      <c r="A4567" t="str">
        <f>"20190304155726836"</f>
        <v>20190304155726836</v>
      </c>
      <c r="B4567" t="str">
        <f>"1551686246829237"</f>
        <v>1551686246829237</v>
      </c>
      <c r="C4567" t="s">
        <v>40</v>
      </c>
      <c r="D4567">
        <v>5.1451859999999998</v>
      </c>
      <c r="E4567">
        <v>0.53387810000000002</v>
      </c>
      <c r="F4567" t="s">
        <v>42</v>
      </c>
      <c r="G4567">
        <v>-321.36099999999999</v>
      </c>
      <c r="H4567">
        <v>0.99960170000000004</v>
      </c>
      <c r="I4567">
        <v>141.89019999999999</v>
      </c>
      <c r="J4567">
        <v>-320.74340000000001</v>
      </c>
      <c r="K4567">
        <v>1.11025</v>
      </c>
      <c r="L4567">
        <v>141.85929999999999</v>
      </c>
      <c r="M4567">
        <v>-0.99984309999999998</v>
      </c>
      <c r="N4567">
        <v>-1.4830060000000001E-2</v>
      </c>
      <c r="O4567">
        <v>9.7051889999999995E-3</v>
      </c>
      <c r="P4567">
        <v>-0.98324840000000002</v>
      </c>
      <c r="Q4567">
        <v>0.1745361</v>
      </c>
      <c r="R4567">
        <v>-5.2533160000000002E-2</v>
      </c>
      <c r="S4567">
        <v>-3.126709</v>
      </c>
      <c r="T4567">
        <v>-0.39372610000000002</v>
      </c>
      <c r="U4567">
        <v>0.1175079</v>
      </c>
      <c r="V4567">
        <v>-6.210541E-2</v>
      </c>
      <c r="W4567">
        <v>0.18908030000000001</v>
      </c>
      <c r="X4567">
        <v>0.97999570000000003</v>
      </c>
      <c r="Y4567">
        <v>2.7669719999999998E-2</v>
      </c>
      <c r="Z4567">
        <v>8.6741889999999999E-4</v>
      </c>
      <c r="AA4567">
        <v>0.99961670000000002</v>
      </c>
      <c r="AB4567">
        <v>37</v>
      </c>
      <c r="AC4567">
        <v>-0.61759999999998105</v>
      </c>
      <c r="AD4567">
        <v>-0.11064829999999901</v>
      </c>
      <c r="AE4567">
        <v>3.0900000000002498E-2</v>
      </c>
      <c r="AF4567">
        <v>2.41313334594596E-2</v>
      </c>
      <c r="AG4567">
        <v>-0.11064829999999901</v>
      </c>
      <c r="AH4567">
        <v>0.59870181896336405</v>
      </c>
      <c r="AI4567">
        <v>100.462589584732</v>
      </c>
      <c r="AJ4567">
        <v>87.691880134208304</v>
      </c>
      <c r="AK4567">
        <v>0.60931866504930099</v>
      </c>
      <c r="AL4567">
        <v>79.100883645063803</v>
      </c>
      <c r="AM4567">
        <v>93.626164541040197</v>
      </c>
      <c r="AN4567">
        <v>1.0000000069089201</v>
      </c>
    </row>
    <row r="4568" spans="1:40" x14ac:dyDescent="0.25">
      <c r="A4568" t="str">
        <f>"20190304155726850"</f>
        <v>20190304155726850</v>
      </c>
      <c r="B4568" t="str">
        <f>"1551686246838994"</f>
        <v>1551686246838994</v>
      </c>
      <c r="C4568" t="s">
        <v>40</v>
      </c>
      <c r="D4568">
        <v>5.1914939999999996</v>
      </c>
      <c r="E4568">
        <v>0.53131229999999996</v>
      </c>
      <c r="F4568" t="s">
        <v>42</v>
      </c>
      <c r="G4568">
        <v>-321.70159999999998</v>
      </c>
      <c r="H4568">
        <v>1.024465</v>
      </c>
      <c r="I4568">
        <v>141.8989</v>
      </c>
      <c r="J4568">
        <v>-320.99279999999999</v>
      </c>
      <c r="K4568">
        <v>1.1102510000000001</v>
      </c>
      <c r="L4568">
        <v>141.86170000000001</v>
      </c>
      <c r="M4568">
        <v>-0.9998435</v>
      </c>
      <c r="N4568">
        <v>-1.482722E-2</v>
      </c>
      <c r="O4568">
        <v>9.6510369999999995E-3</v>
      </c>
      <c r="P4568">
        <v>-0.9832398</v>
      </c>
      <c r="Q4568">
        <v>0.17456169999999999</v>
      </c>
      <c r="R4568">
        <v>-5.2609900000000001E-2</v>
      </c>
      <c r="S4568">
        <v>-3.1073300000000001</v>
      </c>
      <c r="T4568">
        <v>-0.27823140000000002</v>
      </c>
      <c r="U4568">
        <v>0.12806699999999999</v>
      </c>
      <c r="V4568">
        <v>-6.2128959999999997E-2</v>
      </c>
      <c r="W4568">
        <v>0.1891032</v>
      </c>
      <c r="X4568">
        <v>0.97998980000000002</v>
      </c>
      <c r="Y4568">
        <v>3.141418E-2</v>
      </c>
      <c r="Z4568">
        <v>9.173645E-4</v>
      </c>
      <c r="AA4568">
        <v>0.99950609999999995</v>
      </c>
      <c r="AB4568">
        <v>37</v>
      </c>
      <c r="AC4568">
        <v>-0.70879999999999599</v>
      </c>
      <c r="AD4568">
        <v>-8.5786000000000098E-2</v>
      </c>
      <c r="AE4568">
        <v>3.7199999999984301E-2</v>
      </c>
      <c r="AF4568">
        <v>2.9919791709251301E-2</v>
      </c>
      <c r="AG4568">
        <v>-8.5786000000000098E-2</v>
      </c>
      <c r="AH4568">
        <v>0.69891627024460701</v>
      </c>
      <c r="AI4568">
        <v>96.9912272251362</v>
      </c>
      <c r="AJ4568">
        <v>87.548731058885096</v>
      </c>
      <c r="AK4568">
        <v>0.70479669731388295</v>
      </c>
      <c r="AL4568">
        <v>79.099547588802807</v>
      </c>
      <c r="AM4568">
        <v>93.627557671260803</v>
      </c>
      <c r="AN4568">
        <v>1.00000001801248</v>
      </c>
    </row>
    <row r="4569" spans="1:40" x14ac:dyDescent="0.25">
      <c r="A4569" t="str">
        <f>"20190304155726865"</f>
        <v>20190304155726865</v>
      </c>
      <c r="B4569" t="str">
        <f>"1551686246859490"</f>
        <v>1551686246859490</v>
      </c>
      <c r="C4569" t="s">
        <v>40</v>
      </c>
      <c r="D4569">
        <v>5.0135759999999996</v>
      </c>
      <c r="E4569">
        <v>0.5270937</v>
      </c>
      <c r="F4569" t="s">
        <v>42</v>
      </c>
      <c r="G4569">
        <v>-322.0292</v>
      </c>
      <c r="H4569">
        <v>1.023107</v>
      </c>
      <c r="I4569">
        <v>141.89760000000001</v>
      </c>
      <c r="J4569">
        <v>-321.23239999999998</v>
      </c>
      <c r="K4569">
        <v>1.1102529999999999</v>
      </c>
      <c r="L4569">
        <v>141.8639</v>
      </c>
      <c r="M4569">
        <v>-0.99984410000000001</v>
      </c>
      <c r="N4569">
        <v>-1.4824499999999999E-2</v>
      </c>
      <c r="O4569">
        <v>9.5992040000000001E-3</v>
      </c>
      <c r="P4569">
        <v>-0.98322929999999997</v>
      </c>
      <c r="Q4569">
        <v>0.17463609999999999</v>
      </c>
      <c r="R4569">
        <v>-5.2560219999999998E-2</v>
      </c>
      <c r="S4569">
        <v>-3.10318</v>
      </c>
      <c r="T4569">
        <v>-0.26101259999999998</v>
      </c>
      <c r="U4569">
        <v>0.1068726</v>
      </c>
      <c r="V4569">
        <v>-6.2028109999999997E-2</v>
      </c>
      <c r="W4569">
        <v>0.18917439999999999</v>
      </c>
      <c r="X4569">
        <v>0.97998240000000003</v>
      </c>
      <c r="Y4569">
        <v>2.4743379999999999E-2</v>
      </c>
      <c r="Z4569">
        <v>5.5867929999999996E-4</v>
      </c>
      <c r="AA4569">
        <v>0.99969370000000002</v>
      </c>
      <c r="AB4569">
        <v>37</v>
      </c>
      <c r="AC4569">
        <v>-0.79680000000001805</v>
      </c>
      <c r="AD4569">
        <v>-8.7146000000000098E-2</v>
      </c>
      <c r="AE4569">
        <v>3.3700000000010201E-2</v>
      </c>
      <c r="AF4569">
        <v>2.5741595352035102E-2</v>
      </c>
      <c r="AG4569">
        <v>-8.7146000000000098E-2</v>
      </c>
      <c r="AH4569">
        <v>0.78768155017687702</v>
      </c>
      <c r="AI4569">
        <v>96.309963642876497</v>
      </c>
      <c r="AJ4569">
        <v>88.128228278894895</v>
      </c>
      <c r="AK4569">
        <v>0.79290559307922404</v>
      </c>
      <c r="AL4569">
        <v>79.095392637203901</v>
      </c>
      <c r="AM4569">
        <v>93.621712247132507</v>
      </c>
      <c r="AN4569">
        <v>0.99999997217764502</v>
      </c>
    </row>
    <row r="4570" spans="1:40" x14ac:dyDescent="0.25">
      <c r="A4570" t="str">
        <f>"20190304155726882"</f>
        <v>20190304155726882</v>
      </c>
      <c r="B4570" t="str">
        <f>"1551686246879986"</f>
        <v>1551686246879986</v>
      </c>
      <c r="C4570" t="s">
        <v>40</v>
      </c>
      <c r="D4570">
        <v>5.0438390000000002</v>
      </c>
      <c r="E4570">
        <v>0.52375450000000001</v>
      </c>
      <c r="F4570" t="s">
        <v>41</v>
      </c>
      <c r="G4570">
        <v>-335.95190000000002</v>
      </c>
      <c r="H4570" s="1">
        <v>-2.5840499999999998E-6</v>
      </c>
      <c r="I4570">
        <v>142.2097</v>
      </c>
      <c r="J4570">
        <v>-321.50619999999998</v>
      </c>
      <c r="K4570">
        <v>1.1102529999999999</v>
      </c>
      <c r="L4570">
        <v>141.8665</v>
      </c>
      <c r="M4570">
        <v>-0.99984470000000003</v>
      </c>
      <c r="N4570">
        <v>-1.482057E-2</v>
      </c>
      <c r="O4570">
        <v>9.5396939999999996E-3</v>
      </c>
      <c r="P4570">
        <v>-0.98325870000000004</v>
      </c>
      <c r="Q4570">
        <v>0.17445089999999999</v>
      </c>
      <c r="R4570">
        <v>-5.2629059999999998E-2</v>
      </c>
      <c r="S4570">
        <v>-3.0965579999999999</v>
      </c>
      <c r="T4570">
        <v>-0.2335643</v>
      </c>
      <c r="U4570">
        <v>7.2738650000000002E-2</v>
      </c>
      <c r="V4570">
        <v>-6.2038330000000003E-2</v>
      </c>
      <c r="W4570">
        <v>0.18898609999999999</v>
      </c>
      <c r="X4570">
        <v>0.9800181</v>
      </c>
      <c r="Y4570">
        <v>1.39147E-2</v>
      </c>
      <c r="Z4570" s="1">
        <v>5.0075730000000001E-5</v>
      </c>
      <c r="AA4570">
        <v>0.99990319999999999</v>
      </c>
      <c r="AB4570">
        <v>37</v>
      </c>
      <c r="AC4570">
        <v>-14.4457</v>
      </c>
      <c r="AD4570">
        <v>-1.1102555840499999</v>
      </c>
      <c r="AE4570">
        <v>0.34319999999999501</v>
      </c>
      <c r="AF4570">
        <v>0.204156413738459</v>
      </c>
      <c r="AG4570">
        <v>-1.1102555840499999</v>
      </c>
      <c r="AH4570">
        <v>14.3635191105617</v>
      </c>
      <c r="AI4570">
        <v>94.419552932940604</v>
      </c>
      <c r="AJ4570">
        <v>89.185679139015903</v>
      </c>
      <c r="AK4570">
        <v>14.4078113723999</v>
      </c>
      <c r="AL4570">
        <v>79.106379798370199</v>
      </c>
      <c r="AM4570">
        <v>93.622175784567204</v>
      </c>
      <c r="AN4570">
        <v>0.99999998835500403</v>
      </c>
    </row>
    <row r="4571" spans="1:40" x14ac:dyDescent="0.25">
      <c r="A4571" t="str">
        <f>"20190304155726903"</f>
        <v>20190304155726903</v>
      </c>
      <c r="B4571" t="str">
        <f>"1551686246899506"</f>
        <v>1551686246899506</v>
      </c>
      <c r="C4571" t="s">
        <v>40</v>
      </c>
      <c r="D4571">
        <v>5.0355939999999997</v>
      </c>
      <c r="E4571">
        <v>0.52142639999999996</v>
      </c>
      <c r="F4571" t="s">
        <v>41</v>
      </c>
      <c r="G4571">
        <v>-337.56229999999999</v>
      </c>
      <c r="H4571" s="1">
        <v>-1.794811E-6</v>
      </c>
      <c r="I4571">
        <v>142.1045</v>
      </c>
      <c r="J4571">
        <v>-321.8537</v>
      </c>
      <c r="K4571">
        <v>1.1102510000000001</v>
      </c>
      <c r="L4571">
        <v>141.8698</v>
      </c>
      <c r="M4571">
        <v>-0.99984569999999995</v>
      </c>
      <c r="N4571">
        <v>-1.4804019999999999E-2</v>
      </c>
      <c r="O4571">
        <v>9.4641280000000005E-3</v>
      </c>
      <c r="P4571">
        <v>-0.98330090000000003</v>
      </c>
      <c r="Q4571">
        <v>0.17410929999999999</v>
      </c>
      <c r="R4571">
        <v>-5.2967019999999997E-2</v>
      </c>
      <c r="S4571">
        <v>-3.0914609999999998</v>
      </c>
      <c r="T4571">
        <v>-0.21376870000000001</v>
      </c>
      <c r="U4571">
        <v>4.5822139999999997E-2</v>
      </c>
      <c r="V4571">
        <v>-6.2302509999999998E-2</v>
      </c>
      <c r="W4571">
        <v>0.18862889999999999</v>
      </c>
      <c r="X4571">
        <v>0.9800702</v>
      </c>
      <c r="Y4571">
        <v>5.3541730000000003E-3</v>
      </c>
      <c r="Z4571">
        <v>-2.8903380000000001E-4</v>
      </c>
      <c r="AA4571">
        <v>0.99998560000000003</v>
      </c>
      <c r="AB4571">
        <v>37</v>
      </c>
      <c r="AC4571">
        <v>-15.708599999999899</v>
      </c>
      <c r="AD4571">
        <v>-1.1102527948109999</v>
      </c>
      <c r="AE4571">
        <v>0.23470000000000299</v>
      </c>
      <c r="AF4571">
        <v>8.5577605526356099E-2</v>
      </c>
      <c r="AG4571">
        <v>-1.1102527948109999</v>
      </c>
      <c r="AH4571">
        <v>15.632047162438701</v>
      </c>
      <c r="AI4571">
        <v>94.062501180857694</v>
      </c>
      <c r="AJ4571">
        <v>89.686337522916901</v>
      </c>
      <c r="AK4571">
        <v>15.6716586002778</v>
      </c>
      <c r="AL4571">
        <v>79.127221160148594</v>
      </c>
      <c r="AM4571">
        <v>93.6373660452888</v>
      </c>
      <c r="AN4571">
        <v>1.0000000307977699</v>
      </c>
    </row>
    <row r="4572" spans="1:40" x14ac:dyDescent="0.25">
      <c r="A4572" t="str">
        <f>"20190304155726920"</f>
        <v>20190304155726920</v>
      </c>
      <c r="B4572" t="str">
        <f>"1551686246909266"</f>
        <v>1551686246909266</v>
      </c>
      <c r="C4572" t="s">
        <v>40</v>
      </c>
      <c r="D4572">
        <v>5.0427439999999999</v>
      </c>
      <c r="E4572">
        <v>0.52050920000000001</v>
      </c>
      <c r="F4572" t="s">
        <v>41</v>
      </c>
      <c r="G4572">
        <v>-339.11099999999999</v>
      </c>
      <c r="H4572" s="1">
        <v>-1.039378E-6</v>
      </c>
      <c r="I4572">
        <v>142.01669999999999</v>
      </c>
      <c r="J4572">
        <v>-322.11189999999999</v>
      </c>
      <c r="K4572">
        <v>1.1102449999999999</v>
      </c>
      <c r="L4572">
        <v>141.87209999999999</v>
      </c>
      <c r="M4572">
        <v>-0.99984680000000004</v>
      </c>
      <c r="N4572">
        <v>-1.4775129999999999E-2</v>
      </c>
      <c r="O4572">
        <v>9.4076660000000003E-3</v>
      </c>
      <c r="P4572">
        <v>-0.9833636</v>
      </c>
      <c r="Q4572">
        <v>0.1737128</v>
      </c>
      <c r="R4572">
        <v>-5.3105220000000002E-2</v>
      </c>
      <c r="S4572">
        <v>-3.087555</v>
      </c>
      <c r="T4572">
        <v>-0.1986386</v>
      </c>
      <c r="U4572">
        <v>2.6290890000000001E-2</v>
      </c>
      <c r="V4572">
        <v>-6.2385240000000002E-2</v>
      </c>
      <c r="W4572">
        <v>0.18820500000000001</v>
      </c>
      <c r="X4572">
        <v>0.98014639999999997</v>
      </c>
      <c r="Y4572">
        <v>-8.8014059999999995E-4</v>
      </c>
      <c r="Z4572">
        <v>-5.0049179999999999E-4</v>
      </c>
      <c r="AA4572">
        <v>0.99999950000000004</v>
      </c>
      <c r="AB4572">
        <v>37</v>
      </c>
      <c r="AC4572">
        <v>-16.999099999999999</v>
      </c>
      <c r="AD4572">
        <v>-1.110246039378</v>
      </c>
      <c r="AE4572">
        <v>0.14459999999999601</v>
      </c>
      <c r="AF4572">
        <v>-1.5280502841877999E-2</v>
      </c>
      <c r="AG4572">
        <v>-1.110246039378</v>
      </c>
      <c r="AH4572">
        <v>16.927506246774701</v>
      </c>
      <c r="AI4572">
        <v>93.752555386684705</v>
      </c>
      <c r="AJ4572">
        <v>90.051721031503703</v>
      </c>
      <c r="AK4572">
        <v>16.963883620690101</v>
      </c>
      <c r="AL4572">
        <v>79.151951480401294</v>
      </c>
      <c r="AM4572">
        <v>93.641900629467699</v>
      </c>
      <c r="AN4572">
        <v>1.0000000028139</v>
      </c>
    </row>
    <row r="4573" spans="1:40" x14ac:dyDescent="0.25">
      <c r="A4573" t="str">
        <f>"20190304155726936"</f>
        <v>20190304155726936</v>
      </c>
      <c r="B4573" t="str">
        <f>"1551686246929778"</f>
        <v>1551686246929778</v>
      </c>
      <c r="C4573" t="s">
        <v>40</v>
      </c>
      <c r="D4573">
        <v>5.0342019999999996</v>
      </c>
      <c r="E4573">
        <v>0.51891419999999999</v>
      </c>
      <c r="F4573" t="s">
        <v>41</v>
      </c>
      <c r="G4573">
        <v>-339.82080000000002</v>
      </c>
      <c r="H4573" s="1">
        <v>-6.9332829999999995E-7</v>
      </c>
      <c r="I4573">
        <v>141.97710000000001</v>
      </c>
      <c r="J4573">
        <v>-322.40019999999998</v>
      </c>
      <c r="K4573">
        <v>1.1102320000000001</v>
      </c>
      <c r="L4573">
        <v>141.87479999999999</v>
      </c>
      <c r="M4573">
        <v>-0.99984810000000002</v>
      </c>
      <c r="N4573">
        <v>-1.472306E-2</v>
      </c>
      <c r="O4573">
        <v>9.3449369999999993E-3</v>
      </c>
      <c r="P4573">
        <v>-0.98342149999999995</v>
      </c>
      <c r="Q4573">
        <v>0.173323799999999</v>
      </c>
      <c r="R4573">
        <v>-5.3303950000000003E-2</v>
      </c>
      <c r="S4573">
        <v>-3.0859380000000001</v>
      </c>
      <c r="T4573">
        <v>-0.19347049999999999</v>
      </c>
      <c r="U4573">
        <v>1.8280029999999999E-2</v>
      </c>
      <c r="V4573">
        <v>-6.2523339999999997E-2</v>
      </c>
      <c r="W4573">
        <v>0.18776580000000001</v>
      </c>
      <c r="X4573">
        <v>0.98022180000000003</v>
      </c>
      <c r="Y4573">
        <v>-3.4034989999999999E-3</v>
      </c>
      <c r="Z4573">
        <v>-5.7946319999999996E-4</v>
      </c>
      <c r="AA4573">
        <v>0.99999400000000005</v>
      </c>
      <c r="AB4573">
        <v>37</v>
      </c>
      <c r="AC4573">
        <v>-17.4206</v>
      </c>
      <c r="AD4573">
        <v>-1.1102326933283</v>
      </c>
      <c r="AE4573">
        <v>0.10230000000001301</v>
      </c>
      <c r="AF4573">
        <v>-6.0271704857637901E-2</v>
      </c>
      <c r="AG4573">
        <v>-1.1102326933283</v>
      </c>
      <c r="AH4573">
        <v>17.350326844588199</v>
      </c>
      <c r="AI4573">
        <v>93.661294507486602</v>
      </c>
      <c r="AJ4573">
        <v>90.199033738825605</v>
      </c>
      <c r="AK4573">
        <v>17.385916453433801</v>
      </c>
      <c r="AL4573">
        <v>79.177572209606595</v>
      </c>
      <c r="AM4573">
        <v>93.649660807242896</v>
      </c>
      <c r="AN4573">
        <v>0.99999997044481703</v>
      </c>
    </row>
    <row r="4574" spans="1:40" x14ac:dyDescent="0.25">
      <c r="A4574" t="str">
        <f>"20190304155726951"</f>
        <v>20190304155726951</v>
      </c>
      <c r="B4574" t="str">
        <f>"1551686246939522"</f>
        <v>1551686246939522</v>
      </c>
      <c r="C4574" t="s">
        <v>40</v>
      </c>
      <c r="D4574">
        <v>5.0361919999999998</v>
      </c>
      <c r="E4574">
        <v>0.51823750000000002</v>
      </c>
      <c r="F4574" t="s">
        <v>41</v>
      </c>
      <c r="G4574">
        <v>-340.99799999999999</v>
      </c>
      <c r="H4574" s="1">
        <v>-4.3418609999999999E-6</v>
      </c>
      <c r="I4574">
        <v>141.90209999999999</v>
      </c>
      <c r="J4574">
        <v>-322.63339999999999</v>
      </c>
      <c r="K4574">
        <v>1.1102190000000001</v>
      </c>
      <c r="L4574">
        <v>141.87690000000001</v>
      </c>
      <c r="M4574">
        <v>-0.99984930000000005</v>
      </c>
      <c r="N4574">
        <v>-1.4666169999999999E-2</v>
      </c>
      <c r="O4574">
        <v>9.2943409999999994E-3</v>
      </c>
      <c r="P4574">
        <v>-0.98346599999999995</v>
      </c>
      <c r="Q4574">
        <v>0.17296149999999999</v>
      </c>
      <c r="R4574">
        <v>-5.3655660000000001E-2</v>
      </c>
      <c r="S4574">
        <v>-3.0832519999999999</v>
      </c>
      <c r="T4574">
        <v>-0.18406249999999999</v>
      </c>
      <c r="U4574">
        <v>4.5318600000000004E-3</v>
      </c>
      <c r="V4574">
        <v>-6.2825690000000003E-2</v>
      </c>
      <c r="W4574">
        <v>0.18734890000000001</v>
      </c>
      <c r="X4574">
        <v>0.98028219999999999</v>
      </c>
      <c r="Y4574">
        <v>-7.7988500000000004E-3</v>
      </c>
      <c r="Z4574">
        <v>-7.0795359999999998E-4</v>
      </c>
      <c r="AA4574">
        <v>0.99996940000000001</v>
      </c>
      <c r="AB4574">
        <v>37</v>
      </c>
      <c r="AC4574">
        <v>-18.364599999999999</v>
      </c>
      <c r="AD4574">
        <v>-1.1102233418609999</v>
      </c>
      <c r="AE4574">
        <v>2.5199999999983898E-2</v>
      </c>
      <c r="AF4574">
        <v>-0.144976442829547</v>
      </c>
      <c r="AG4574">
        <v>-1.1102233418609999</v>
      </c>
      <c r="AH4574">
        <v>18.2971693768066</v>
      </c>
      <c r="AI4574">
        <v>93.472188875312995</v>
      </c>
      <c r="AJ4574">
        <v>90.453969917858899</v>
      </c>
      <c r="AK4574">
        <v>18.331394416174099</v>
      </c>
      <c r="AL4574">
        <v>79.201889988478499</v>
      </c>
      <c r="AM4574">
        <v>93.667036426663799</v>
      </c>
      <c r="AN4574">
        <v>0.99999993464601</v>
      </c>
    </row>
    <row r="4575" spans="1:40" x14ac:dyDescent="0.25">
      <c r="A4575" t="str">
        <f>"20190304155726962"</f>
        <v>20190304155726962</v>
      </c>
      <c r="B4575" t="str">
        <f>"1551686246959042"</f>
        <v>1551686246959042</v>
      </c>
      <c r="C4575" t="s">
        <v>40</v>
      </c>
      <c r="D4575">
        <v>5.0136620000000001</v>
      </c>
      <c r="E4575">
        <v>0.51688440000000002</v>
      </c>
      <c r="F4575" t="s">
        <v>41</v>
      </c>
      <c r="G4575">
        <v>-341.55880000000002</v>
      </c>
      <c r="H4575" s="1">
        <v>-4.1443929999999997E-6</v>
      </c>
      <c r="I4575">
        <v>141.86490000000001</v>
      </c>
      <c r="J4575">
        <v>-322.84190000000001</v>
      </c>
      <c r="K4575">
        <v>1.1102069999999999</v>
      </c>
      <c r="L4575">
        <v>141.87880000000001</v>
      </c>
      <c r="M4575">
        <v>-0.99985069999999998</v>
      </c>
      <c r="N4575">
        <v>-1.4598699999999999E-2</v>
      </c>
      <c r="O4575">
        <v>9.2490620000000006E-3</v>
      </c>
      <c r="P4575">
        <v>-0.98350170000000003</v>
      </c>
      <c r="Q4575">
        <v>0.17272179999999901</v>
      </c>
      <c r="R4575">
        <v>-5.3776749999999998E-2</v>
      </c>
      <c r="S4575">
        <v>-3.0820919999999998</v>
      </c>
      <c r="T4575">
        <v>-0.18080499999999999</v>
      </c>
      <c r="U4575">
        <v>-1.953125E-3</v>
      </c>
      <c r="V4575">
        <v>-6.2902819999999998E-2</v>
      </c>
      <c r="W4575">
        <v>0.18704299999999999</v>
      </c>
      <c r="X4575">
        <v>0.98033570000000003</v>
      </c>
      <c r="Y4575">
        <v>-9.8535870000000005E-3</v>
      </c>
      <c r="Z4575">
        <v>-7.6793939999999995E-4</v>
      </c>
      <c r="AA4575">
        <v>0.99995120000000004</v>
      </c>
      <c r="AB4575">
        <v>37</v>
      </c>
      <c r="AC4575">
        <v>-18.716899999999999</v>
      </c>
      <c r="AD4575">
        <v>-1.1102111443929901</v>
      </c>
      <c r="AE4575">
        <v>-1.39000000000066E-2</v>
      </c>
      <c r="AF4575">
        <v>-0.18637587458487501</v>
      </c>
      <c r="AG4575">
        <v>-1.1102111443929901</v>
      </c>
      <c r="AH4575">
        <v>18.650351590915498</v>
      </c>
      <c r="AI4575">
        <v>93.406491933930596</v>
      </c>
      <c r="AJ4575">
        <v>90.572546609717705</v>
      </c>
      <c r="AK4575">
        <v>18.684296058897399</v>
      </c>
      <c r="AL4575">
        <v>79.219732521427005</v>
      </c>
      <c r="AM4575">
        <v>93.671326257852897</v>
      </c>
      <c r="AN4575">
        <v>0.99999996665372004</v>
      </c>
    </row>
    <row r="4576" spans="1:40" x14ac:dyDescent="0.25">
      <c r="A4576" t="str">
        <f>"20190304155727018"</f>
        <v>20190304155727018</v>
      </c>
      <c r="B4576" t="str">
        <f>"1551686247009794"</f>
        <v>1551686247009794</v>
      </c>
      <c r="C4576" t="s">
        <v>40</v>
      </c>
      <c r="D4576">
        <v>5.269317</v>
      </c>
      <c r="E4576">
        <v>0.5167197</v>
      </c>
      <c r="F4576" t="s">
        <v>41</v>
      </c>
      <c r="G4576">
        <v>-342.56360000000001</v>
      </c>
      <c r="H4576" s="1">
        <v>-3.751824E-6</v>
      </c>
      <c r="I4576">
        <v>141.7936</v>
      </c>
      <c r="J4576">
        <v>-323.7235</v>
      </c>
      <c r="K4576">
        <v>1.1101430000000001</v>
      </c>
      <c r="L4576">
        <v>141.88669999999999</v>
      </c>
      <c r="M4576">
        <v>-0.99985740000000001</v>
      </c>
      <c r="N4576">
        <v>-1.4247070000000001E-2</v>
      </c>
      <c r="O4576">
        <v>9.0731170000000003E-3</v>
      </c>
      <c r="P4576">
        <v>-0.98355530000000002</v>
      </c>
      <c r="Q4576">
        <v>0.17235020000000001</v>
      </c>
      <c r="R4576">
        <v>-5.3986100000000002E-2</v>
      </c>
      <c r="S4576">
        <v>-3.0800779999999999</v>
      </c>
      <c r="T4576">
        <v>-0.1733894</v>
      </c>
      <c r="U4576">
        <v>-1.3290410000000001E-2</v>
      </c>
      <c r="V4576">
        <v>-6.2942860000000003E-2</v>
      </c>
      <c r="W4576">
        <v>0.1863263</v>
      </c>
      <c r="X4576">
        <v>0.98046960000000005</v>
      </c>
      <c r="Y4576">
        <v>-1.335418E-2</v>
      </c>
      <c r="Z4576">
        <v>-8.5196419999999896E-4</v>
      </c>
      <c r="AA4576">
        <v>0.99991050000000004</v>
      </c>
      <c r="AB4576">
        <v>37</v>
      </c>
      <c r="AC4576">
        <v>-18.8401</v>
      </c>
      <c r="AD4576">
        <v>-1.110146751824</v>
      </c>
      <c r="AE4576">
        <v>-9.3099999999992605E-2</v>
      </c>
      <c r="AF4576">
        <v>-0.263138314680534</v>
      </c>
      <c r="AG4576">
        <v>-1.110146751824</v>
      </c>
      <c r="AH4576">
        <v>18.7732980619428</v>
      </c>
      <c r="AI4576">
        <v>93.383875938525506</v>
      </c>
      <c r="AJ4576">
        <v>90.803040977291801</v>
      </c>
      <c r="AK4576">
        <v>18.807934169009201</v>
      </c>
      <c r="AL4576">
        <v>79.261531218219503</v>
      </c>
      <c r="AM4576">
        <v>93.6731564694621</v>
      </c>
      <c r="AN4576">
        <v>0.999999965110414</v>
      </c>
    </row>
    <row r="4577" spans="1:40" x14ac:dyDescent="0.25">
      <c r="A4577" t="str">
        <f>"20190304155727032"</f>
        <v>20190304155727032</v>
      </c>
      <c r="B4577" t="str">
        <f>"1551686247029313"</f>
        <v>1551686247029313</v>
      </c>
      <c r="C4577" t="s">
        <v>40</v>
      </c>
      <c r="D4577">
        <v>4.964016</v>
      </c>
      <c r="E4577">
        <v>0.60533409999999999</v>
      </c>
      <c r="F4577" t="s">
        <v>41</v>
      </c>
      <c r="G4577">
        <v>-344.59210000000002</v>
      </c>
      <c r="H4577" s="1">
        <v>-2.8782350000000002E-6</v>
      </c>
      <c r="I4577">
        <v>141.7809</v>
      </c>
      <c r="J4577">
        <v>-323.96080000000001</v>
      </c>
      <c r="K4577">
        <v>1.110123</v>
      </c>
      <c r="L4577">
        <v>141.8888</v>
      </c>
      <c r="M4577">
        <v>-0.99985939999999995</v>
      </c>
      <c r="N4577">
        <v>-1.414485E-2</v>
      </c>
      <c r="O4577">
        <v>9.0236829999999994E-3</v>
      </c>
      <c r="P4577">
        <v>-0.98377539999999997</v>
      </c>
      <c r="Q4577">
        <v>0.1712292</v>
      </c>
      <c r="R4577">
        <v>-5.3540619999999997E-2</v>
      </c>
      <c r="S4577">
        <v>-3.0780029999999998</v>
      </c>
      <c r="T4577">
        <v>-0.1637412</v>
      </c>
      <c r="U4577">
        <v>-1.5594480000000001E-2</v>
      </c>
      <c r="V4577">
        <v>-6.2450209999999999E-2</v>
      </c>
      <c r="W4577">
        <v>0.18510860000000001</v>
      </c>
      <c r="X4577">
        <v>0.98073180000000004</v>
      </c>
      <c r="Y4577">
        <v>-1.4058579999999999E-2</v>
      </c>
      <c r="Z4577">
        <v>-8.2530699999999995E-4</v>
      </c>
      <c r="AA4577">
        <v>0.99990080000000003</v>
      </c>
      <c r="AB4577">
        <v>37</v>
      </c>
      <c r="AC4577">
        <v>-20.6313</v>
      </c>
      <c r="AD4577">
        <v>-1.1101258782350001</v>
      </c>
      <c r="AE4577">
        <v>-0.1079</v>
      </c>
      <c r="AF4577">
        <v>-0.29323553687044501</v>
      </c>
      <c r="AG4577">
        <v>-1.1101258782350001</v>
      </c>
      <c r="AH4577">
        <v>20.5699319126925</v>
      </c>
      <c r="AI4577">
        <v>93.088850274286003</v>
      </c>
      <c r="AJ4577">
        <v>90.816727092863403</v>
      </c>
      <c r="AK4577">
        <v>20.6019529520484</v>
      </c>
      <c r="AL4577">
        <v>79.3325363861033</v>
      </c>
      <c r="AM4577">
        <v>93.643512949453395</v>
      </c>
      <c r="AN4577">
        <v>1.0000000430271201</v>
      </c>
    </row>
    <row r="4578" spans="1:40" x14ac:dyDescent="0.25">
      <c r="A4578" t="str">
        <f>"20190304155727047"</f>
        <v>20190304155727047</v>
      </c>
      <c r="B4578" t="str">
        <f>"1551686247039074"</f>
        <v>1551686247039074</v>
      </c>
      <c r="C4578" t="s">
        <v>40</v>
      </c>
      <c r="D4578">
        <v>4.9656089999999997</v>
      </c>
      <c r="E4578">
        <v>0.61202690000000004</v>
      </c>
      <c r="F4578" t="s">
        <v>41</v>
      </c>
      <c r="G4578">
        <v>-336.6266</v>
      </c>
      <c r="H4578" s="1">
        <v>-2.9253390000000002E-6</v>
      </c>
      <c r="I4578">
        <v>144.691</v>
      </c>
      <c r="J4578">
        <v>-324.21960000000001</v>
      </c>
      <c r="K4578">
        <v>1.1101000000000001</v>
      </c>
      <c r="L4578">
        <v>141.89109999999999</v>
      </c>
      <c r="M4578">
        <v>-0.99986140000000001</v>
      </c>
      <c r="N4578">
        <v>-1.4036979999999999E-2</v>
      </c>
      <c r="O4578">
        <v>8.9643199999999996E-3</v>
      </c>
      <c r="P4578">
        <v>-0.98395659999999896</v>
      </c>
      <c r="Q4578">
        <v>0.17032459999999999</v>
      </c>
      <c r="R4578">
        <v>-5.3097539999999999E-2</v>
      </c>
      <c r="S4578">
        <v>-3.134979</v>
      </c>
      <c r="T4578">
        <v>-0.27477200000000002</v>
      </c>
      <c r="U4578">
        <v>0.693573</v>
      </c>
      <c r="V4578">
        <v>-6.1948660000000003E-2</v>
      </c>
      <c r="W4578">
        <v>0.18410190000000001</v>
      </c>
      <c r="X4578">
        <v>0.98095299999999996</v>
      </c>
      <c r="Y4578">
        <v>0.20639440000000001</v>
      </c>
      <c r="Z4578">
        <v>9.7389339999999994E-3</v>
      </c>
      <c r="AA4578">
        <v>0.97842039999999997</v>
      </c>
      <c r="AB4578">
        <v>37</v>
      </c>
      <c r="AC4578">
        <v>-12.406999999999901</v>
      </c>
      <c r="AD4578">
        <v>-1.110102925339</v>
      </c>
      <c r="AE4578">
        <v>2.7999000000000001</v>
      </c>
      <c r="AF4578">
        <v>2.6682306023562199</v>
      </c>
      <c r="AG4578">
        <v>-1.110102925339</v>
      </c>
      <c r="AH4578">
        <v>12.337619559776201</v>
      </c>
      <c r="AI4578">
        <v>95.025885665902507</v>
      </c>
      <c r="AJ4578">
        <v>77.796704383577605</v>
      </c>
      <c r="AK4578">
        <v>12.671568152915</v>
      </c>
      <c r="AL4578">
        <v>79.391223924487605</v>
      </c>
      <c r="AM4578">
        <v>93.613516201280007</v>
      </c>
      <c r="AN4578">
        <v>0.99999996713420203</v>
      </c>
    </row>
    <row r="4579" spans="1:40" x14ac:dyDescent="0.25">
      <c r="A4579" t="str">
        <f>"20190304155727064"</f>
        <v>20190304155727064</v>
      </c>
      <c r="B4579" t="str">
        <f>"1551686247059570"</f>
        <v>1551686247059570</v>
      </c>
      <c r="C4579" t="s">
        <v>40</v>
      </c>
      <c r="D4579">
        <v>4.9567920000000001</v>
      </c>
      <c r="E4579">
        <v>0.61487139999999996</v>
      </c>
      <c r="F4579" t="s">
        <v>41</v>
      </c>
      <c r="G4579">
        <v>-335.0301</v>
      </c>
      <c r="H4579" s="1">
        <v>-3.620274E-6</v>
      </c>
      <c r="I4579">
        <v>144.46639999999999</v>
      </c>
      <c r="J4579">
        <v>-324.47399999999999</v>
      </c>
      <c r="K4579">
        <v>1.110082</v>
      </c>
      <c r="L4579">
        <v>141.89330000000001</v>
      </c>
      <c r="M4579">
        <v>-0.99986339999999996</v>
      </c>
      <c r="N4579">
        <v>-1.3928899999999999E-2</v>
      </c>
      <c r="O4579">
        <v>8.8987800000000002E-3</v>
      </c>
      <c r="P4579">
        <v>-0.9839677</v>
      </c>
      <c r="Q4579">
        <v>0.17031849999999901</v>
      </c>
      <c r="R4579">
        <v>-5.2905889999999997E-2</v>
      </c>
      <c r="S4579">
        <v>-3.1452330000000002</v>
      </c>
      <c r="T4579">
        <v>-0.32297540000000002</v>
      </c>
      <c r="U4579">
        <v>0.74928280000000003</v>
      </c>
      <c r="V4579">
        <v>-6.1692700000000003E-2</v>
      </c>
      <c r="W4579">
        <v>0.18398990000000001</v>
      </c>
      <c r="X4579">
        <v>0.98099020000000003</v>
      </c>
      <c r="Y4579">
        <v>0.22184860000000001</v>
      </c>
      <c r="Z4579">
        <v>1.1999249999999999E-2</v>
      </c>
      <c r="AA4579">
        <v>0.97500730000000002</v>
      </c>
      <c r="AB4579">
        <v>37</v>
      </c>
      <c r="AC4579">
        <v>-10.556100000000001</v>
      </c>
      <c r="AD4579">
        <v>-1.1100856202739999</v>
      </c>
      <c r="AE4579">
        <v>2.5730999999999802</v>
      </c>
      <c r="AF4579">
        <v>2.45344224793494</v>
      </c>
      <c r="AG4579">
        <v>-1.1100856202739999</v>
      </c>
      <c r="AH4579">
        <v>10.4692975646809</v>
      </c>
      <c r="AI4579">
        <v>95.894085073963595</v>
      </c>
      <c r="AJ4579">
        <v>76.810942354275795</v>
      </c>
      <c r="AK4579">
        <v>10.8100814264336</v>
      </c>
      <c r="AL4579">
        <v>79.397753170700796</v>
      </c>
      <c r="AM4579">
        <v>93.598489055106597</v>
      </c>
      <c r="AN4579">
        <v>1.00000002251566</v>
      </c>
    </row>
    <row r="4580" spans="1:40" x14ac:dyDescent="0.25">
      <c r="A4580" t="str">
        <f>"20190304155727082"</f>
        <v>20190304155727082</v>
      </c>
      <c r="B4580" t="str">
        <f>"1551686247079089"</f>
        <v>1551686247079089</v>
      </c>
      <c r="C4580" t="s">
        <v>40</v>
      </c>
      <c r="D4580">
        <v>4.9761790000000001</v>
      </c>
      <c r="E4580">
        <v>0.61574379999999995</v>
      </c>
      <c r="F4580" t="s">
        <v>41</v>
      </c>
      <c r="G4580">
        <v>-334.4873</v>
      </c>
      <c r="H4580" s="1">
        <v>-3.8278540000000002E-6</v>
      </c>
      <c r="I4580">
        <v>144.35050000000001</v>
      </c>
      <c r="J4580">
        <v>-324.7756</v>
      </c>
      <c r="K4580">
        <v>1.1100650000000001</v>
      </c>
      <c r="L4580">
        <v>141.89590000000001</v>
      </c>
      <c r="M4580">
        <v>-0.99986589999999997</v>
      </c>
      <c r="N4580">
        <v>-1.3798100000000001E-2</v>
      </c>
      <c r="O4580">
        <v>8.8218959999999992E-3</v>
      </c>
      <c r="P4580">
        <v>-0.98416959999999998</v>
      </c>
      <c r="Q4580">
        <v>0.1693231</v>
      </c>
      <c r="R4580">
        <v>-5.2345599999999999E-2</v>
      </c>
      <c r="S4580">
        <v>-3.1508790000000002</v>
      </c>
      <c r="T4580">
        <v>-0.34931060000000003</v>
      </c>
      <c r="U4580">
        <v>0.77320859999999902</v>
      </c>
      <c r="V4580">
        <v>-6.105733E-2</v>
      </c>
      <c r="W4580">
        <v>0.18286959999999999</v>
      </c>
      <c r="X4580">
        <v>0.98123939999999998</v>
      </c>
      <c r="Y4580">
        <v>0.22829340000000001</v>
      </c>
      <c r="Z4580">
        <v>1.319532E-2</v>
      </c>
      <c r="AA4580">
        <v>0.97350300000000001</v>
      </c>
      <c r="AB4580">
        <v>37</v>
      </c>
      <c r="AC4580">
        <v>-9.7117000000000004</v>
      </c>
      <c r="AD4580">
        <v>-1.1100688278540001</v>
      </c>
      <c r="AE4580">
        <v>2.4545999999999899</v>
      </c>
      <c r="AF4580">
        <v>2.3400832924545099</v>
      </c>
      <c r="AG4580">
        <v>-1.1100688278540001</v>
      </c>
      <c r="AH4580">
        <v>9.6149024224283792</v>
      </c>
      <c r="AI4580">
        <v>96.4005868056271</v>
      </c>
      <c r="AJ4580">
        <v>76.321248302878203</v>
      </c>
      <c r="AK4580">
        <v>9.9576398413990201</v>
      </c>
      <c r="AL4580">
        <v>79.463049547077404</v>
      </c>
      <c r="AM4580">
        <v>93.560622111032004</v>
      </c>
      <c r="AN4580">
        <v>1.00000002413162</v>
      </c>
    </row>
    <row r="4581" spans="1:40" x14ac:dyDescent="0.25">
      <c r="A4581" t="str">
        <f>"20190304155727115"</f>
        <v>20190304155727115</v>
      </c>
      <c r="B4581" t="str">
        <f>"1551686247109346"</f>
        <v>1551686247109346</v>
      </c>
      <c r="C4581" t="s">
        <v>40</v>
      </c>
      <c r="D4581">
        <v>5.0425659999999999</v>
      </c>
      <c r="E4581">
        <v>0.615575599999999</v>
      </c>
      <c r="F4581" t="s">
        <v>41</v>
      </c>
      <c r="G4581">
        <v>-334.25760000000002</v>
      </c>
      <c r="H4581" s="1">
        <v>-3.8979770000000002E-6</v>
      </c>
      <c r="I4581">
        <v>144.24860000000001</v>
      </c>
      <c r="J4581">
        <v>-325.30509999999998</v>
      </c>
      <c r="K4581">
        <v>1.1100369999999999</v>
      </c>
      <c r="L4581">
        <v>141.90039999999999</v>
      </c>
      <c r="M4581">
        <v>-0.99987009999999998</v>
      </c>
      <c r="N4581">
        <v>-1.357204E-2</v>
      </c>
      <c r="O4581">
        <v>8.6944209999999904E-3</v>
      </c>
      <c r="P4581">
        <v>-0.98440130000000003</v>
      </c>
      <c r="Q4581">
        <v>0.16822479999999901</v>
      </c>
      <c r="R4581">
        <v>-5.1522510000000001E-2</v>
      </c>
      <c r="S4581">
        <v>-3.1534119999999999</v>
      </c>
      <c r="T4581">
        <v>-0.36917129999999998</v>
      </c>
      <c r="U4581">
        <v>0.78242489999999998</v>
      </c>
      <c r="V4581">
        <v>-6.0109290000000003E-2</v>
      </c>
      <c r="W4581">
        <v>0.18155350000000001</v>
      </c>
      <c r="X4581">
        <v>0.98154220000000003</v>
      </c>
      <c r="Y4581">
        <v>0.2307477</v>
      </c>
      <c r="Z4581">
        <v>1.3973630000000001E-2</v>
      </c>
      <c r="AA4581">
        <v>0.97291329999999998</v>
      </c>
      <c r="AB4581">
        <v>37</v>
      </c>
      <c r="AC4581">
        <v>-8.9525000000000396</v>
      </c>
      <c r="AD4581">
        <v>-1.110040897977</v>
      </c>
      <c r="AE4581">
        <v>2.3482000000000198</v>
      </c>
      <c r="AF4581">
        <v>2.2380737913298101</v>
      </c>
      <c r="AG4581">
        <v>-1.110040897977</v>
      </c>
      <c r="AH4581">
        <v>8.8453442540759202</v>
      </c>
      <c r="AI4581">
        <v>96.936538255797203</v>
      </c>
      <c r="AJ4581">
        <v>75.800866878224298</v>
      </c>
      <c r="AK4581">
        <v>9.1913698687264702</v>
      </c>
      <c r="AL4581">
        <v>79.5397395466874</v>
      </c>
      <c r="AM4581">
        <v>93.5043963885106</v>
      </c>
      <c r="AN4581">
        <v>0.99999994524369495</v>
      </c>
    </row>
    <row r="4582" spans="1:40" x14ac:dyDescent="0.25">
      <c r="A4582" t="str">
        <f>"20190304155727137"</f>
        <v>20190304155727137</v>
      </c>
      <c r="B4582" t="str">
        <f>"1551686247128869"</f>
        <v>1551686247128869</v>
      </c>
      <c r="C4582" t="s">
        <v>40</v>
      </c>
      <c r="D4582">
        <v>4.9713339999999997</v>
      </c>
      <c r="E4582">
        <v>0.6166954</v>
      </c>
      <c r="F4582" t="s">
        <v>41</v>
      </c>
      <c r="G4582">
        <v>-334.2242</v>
      </c>
      <c r="H4582" s="1">
        <v>-3.8872529999999998E-6</v>
      </c>
      <c r="I4582">
        <v>144.1156</v>
      </c>
      <c r="J4582">
        <v>-325.68180000000001</v>
      </c>
      <c r="K4582">
        <v>1.110023</v>
      </c>
      <c r="L4582">
        <v>141.90360000000001</v>
      </c>
      <c r="M4582">
        <v>-0.99987289999999995</v>
      </c>
      <c r="N4582">
        <v>-1.342517E-2</v>
      </c>
      <c r="O4582">
        <v>8.6046500000000001E-3</v>
      </c>
      <c r="P4582">
        <v>-0.98452139999999999</v>
      </c>
      <c r="Q4582">
        <v>0.1676377</v>
      </c>
      <c r="R4582">
        <v>-5.11403E-2</v>
      </c>
      <c r="S4582">
        <v>-3.1556700000000002</v>
      </c>
      <c r="T4582">
        <v>-0.39274550000000003</v>
      </c>
      <c r="U4582">
        <v>0.78376769999999996</v>
      </c>
      <c r="V4582">
        <v>-5.9640039999999998E-2</v>
      </c>
      <c r="W4582">
        <v>0.18082390000000001</v>
      </c>
      <c r="X4582">
        <v>0.98170550000000001</v>
      </c>
      <c r="Y4582">
        <v>0.2308656</v>
      </c>
      <c r="Z4582">
        <v>1.474141E-2</v>
      </c>
      <c r="AA4582">
        <v>0.97287400000000002</v>
      </c>
      <c r="AB4582">
        <v>37</v>
      </c>
      <c r="AC4582">
        <v>-8.5423999999999793</v>
      </c>
      <c r="AD4582">
        <v>-1.1100268872529999</v>
      </c>
      <c r="AE4582">
        <v>2.2119999999999802</v>
      </c>
      <c r="AF4582">
        <v>2.10509566279242</v>
      </c>
      <c r="AG4582">
        <v>-1.1100268872529999</v>
      </c>
      <c r="AH4582">
        <v>8.4277564181366103</v>
      </c>
      <c r="AI4582">
        <v>97.2820680002974</v>
      </c>
      <c r="AJ4582">
        <v>75.975552497258903</v>
      </c>
      <c r="AK4582">
        <v>8.7573206909062602</v>
      </c>
      <c r="AL4582">
        <v>79.5822461858032</v>
      </c>
      <c r="AM4582">
        <v>93.476529329441902</v>
      </c>
      <c r="AN4582">
        <v>0.99999995295632904</v>
      </c>
    </row>
    <row r="4583" spans="1:40" x14ac:dyDescent="0.25">
      <c r="A4583" t="str">
        <f>"20190304155727159"</f>
        <v>20190304155727159</v>
      </c>
      <c r="B4583" t="str">
        <f>"1551686247149362"</f>
        <v>1551686247149362</v>
      </c>
      <c r="C4583" t="s">
        <v>40</v>
      </c>
      <c r="D4583">
        <v>4.9616040000000003</v>
      </c>
      <c r="E4583">
        <v>0.61726049999999999</v>
      </c>
      <c r="F4583" t="s">
        <v>41</v>
      </c>
      <c r="G4583">
        <v>-334.29759999999999</v>
      </c>
      <c r="H4583" s="1">
        <v>-3.851014E-6</v>
      </c>
      <c r="I4583">
        <v>144.07040000000001</v>
      </c>
      <c r="J4583">
        <v>-326.02409999999998</v>
      </c>
      <c r="K4583">
        <v>1.1100129999999999</v>
      </c>
      <c r="L4583">
        <v>141.90649999999999</v>
      </c>
      <c r="M4583">
        <v>-0.99987519999999996</v>
      </c>
      <c r="N4583">
        <v>-1.330428E-2</v>
      </c>
      <c r="O4583">
        <v>8.5199609999999995E-3</v>
      </c>
      <c r="P4583">
        <v>-0.98467760000000004</v>
      </c>
      <c r="Q4583">
        <v>0.16679389999999999</v>
      </c>
      <c r="R4583">
        <v>-5.0889289999999997E-2</v>
      </c>
      <c r="S4583">
        <v>-3.157654</v>
      </c>
      <c r="T4583">
        <v>-0.4068174</v>
      </c>
      <c r="U4583">
        <v>0.79411319999999996</v>
      </c>
      <c r="V4583">
        <v>-5.930846E-2</v>
      </c>
      <c r="W4583">
        <v>0.179863299999999</v>
      </c>
      <c r="X4583">
        <v>0.9819021</v>
      </c>
      <c r="Y4583">
        <v>0.2336607</v>
      </c>
      <c r="Z4583">
        <v>1.5382740000000001E-2</v>
      </c>
      <c r="AA4583">
        <v>0.97219650000000002</v>
      </c>
      <c r="AB4583">
        <v>37</v>
      </c>
      <c r="AC4583">
        <v>-8.2735000000000092</v>
      </c>
      <c r="AD4583">
        <v>-1.1100168510139901</v>
      </c>
      <c r="AE4583">
        <v>2.1639000000000101</v>
      </c>
      <c r="AF4583">
        <v>2.05864164885769</v>
      </c>
      <c r="AG4583">
        <v>-1.1100168510139901</v>
      </c>
      <c r="AH4583">
        <v>8.1542560462434395</v>
      </c>
      <c r="AI4583">
        <v>97.518785196180701</v>
      </c>
      <c r="AJ4583">
        <v>75.831056923265393</v>
      </c>
      <c r="AK4583">
        <v>8.4830439416311094</v>
      </c>
      <c r="AL4583">
        <v>79.638202657734297</v>
      </c>
      <c r="AM4583">
        <v>93.456557380068801</v>
      </c>
      <c r="AN4583">
        <v>1.0000000170494301</v>
      </c>
    </row>
    <row r="4584" spans="1:40" x14ac:dyDescent="0.25">
      <c r="A4584" t="str">
        <f>"20190304155727182"</f>
        <v>20190304155727182</v>
      </c>
      <c r="B4584" t="str">
        <f>"1551686247179617"</f>
        <v>1551686247179617</v>
      </c>
      <c r="C4584" t="s">
        <v>40</v>
      </c>
      <c r="D4584">
        <v>4.9792199999999998</v>
      </c>
      <c r="E4584">
        <v>0.6185988</v>
      </c>
      <c r="F4584" t="s">
        <v>41</v>
      </c>
      <c r="G4584">
        <v>-334.471</v>
      </c>
      <c r="H4584" s="1">
        <v>-3.77223E-6</v>
      </c>
      <c r="I4584">
        <v>144.04429999999999</v>
      </c>
      <c r="J4584">
        <v>-326.40550000000002</v>
      </c>
      <c r="K4584">
        <v>1.1100099999999999</v>
      </c>
      <c r="L4584">
        <v>141.90960000000001</v>
      </c>
      <c r="M4584">
        <v>-0.99987780000000004</v>
      </c>
      <c r="N4584">
        <v>-1.31833E-2</v>
      </c>
      <c r="O4584">
        <v>8.4153979999999993E-3</v>
      </c>
      <c r="P4584">
        <v>-0.98482599999999998</v>
      </c>
      <c r="Q4584">
        <v>0.16594110000000001</v>
      </c>
      <c r="R4584">
        <v>-5.0812540000000003E-2</v>
      </c>
      <c r="S4584">
        <v>-3.158325</v>
      </c>
      <c r="T4584">
        <v>-0.41503699999999999</v>
      </c>
      <c r="U4584">
        <v>0.79933169999999898</v>
      </c>
      <c r="V4584">
        <v>-5.9132749999999998E-2</v>
      </c>
      <c r="W4584">
        <v>0.17889269999999999</v>
      </c>
      <c r="X4584">
        <v>0.98209000000000002</v>
      </c>
      <c r="Y4584">
        <v>0.23513770000000001</v>
      </c>
      <c r="Z4584">
        <v>1.5753710000000001E-2</v>
      </c>
      <c r="AA4584">
        <v>0.97183439999999999</v>
      </c>
      <c r="AB4584">
        <v>37</v>
      </c>
      <c r="AC4584">
        <v>-8.0654999999999806</v>
      </c>
      <c r="AD4584">
        <v>-1.1100137722300001</v>
      </c>
      <c r="AE4584">
        <v>2.1346999999999801</v>
      </c>
      <c r="AF4584">
        <v>2.0307976205070899</v>
      </c>
      <c r="AG4584">
        <v>-1.1100137722300001</v>
      </c>
      <c r="AH4584">
        <v>7.9425910213084903</v>
      </c>
      <c r="AI4584">
        <v>97.710890438275001</v>
      </c>
      <c r="AJ4584">
        <v>75.657628343134604</v>
      </c>
      <c r="AK4584">
        <v>8.2729089008502807</v>
      </c>
      <c r="AL4584">
        <v>79.694730890953096</v>
      </c>
      <c r="AM4584">
        <v>93.445683753379697</v>
      </c>
      <c r="AN4584">
        <v>1.0000000241679201</v>
      </c>
    </row>
    <row r="4585" spans="1:40" x14ac:dyDescent="0.25">
      <c r="A4585" t="str">
        <f>"20190304155727204"</f>
        <v>20190304155727204</v>
      </c>
      <c r="B4585" t="str">
        <f>"1551686247199139"</f>
        <v>1551686247199139</v>
      </c>
      <c r="C4585" t="s">
        <v>40</v>
      </c>
      <c r="D4585">
        <v>4.9951280000000002</v>
      </c>
      <c r="E4585">
        <v>0.62054019999999899</v>
      </c>
      <c r="F4585" t="s">
        <v>41</v>
      </c>
      <c r="G4585">
        <v>-334.83080000000001</v>
      </c>
      <c r="H4585" s="1">
        <v>-3.609219E-6</v>
      </c>
      <c r="I4585">
        <v>144.07079999999999</v>
      </c>
      <c r="J4585">
        <v>-326.75940000000003</v>
      </c>
      <c r="K4585">
        <v>1.1100139999999901</v>
      </c>
      <c r="L4585">
        <v>141.91249999999999</v>
      </c>
      <c r="M4585">
        <v>-0.99987999999999999</v>
      </c>
      <c r="N4585">
        <v>-1.308342E-2</v>
      </c>
      <c r="O4585">
        <v>8.3034149999999998E-3</v>
      </c>
      <c r="P4585">
        <v>-0.98506590000000005</v>
      </c>
      <c r="Q4585">
        <v>0.16459860000000001</v>
      </c>
      <c r="R4585">
        <v>-5.0525210000000001E-2</v>
      </c>
      <c r="S4585">
        <v>-3.1581419999999998</v>
      </c>
      <c r="T4585">
        <v>-0.41607949999999999</v>
      </c>
      <c r="U4585">
        <v>0.81008910000000001</v>
      </c>
      <c r="V4585">
        <v>-5.8741809999999998E-2</v>
      </c>
      <c r="W4585">
        <v>0.1774541</v>
      </c>
      <c r="X4585">
        <v>0.98237439999999998</v>
      </c>
      <c r="Y4585">
        <v>0.2383314</v>
      </c>
      <c r="Z4585">
        <v>1.6012080000000001E-2</v>
      </c>
      <c r="AA4585">
        <v>0.97105189999999997</v>
      </c>
      <c r="AB4585">
        <v>37</v>
      </c>
      <c r="AC4585">
        <v>-8.0713999999999793</v>
      </c>
      <c r="AD4585">
        <v>-1.11001760921899</v>
      </c>
      <c r="AE4585">
        <v>2.1582999999999899</v>
      </c>
      <c r="AF4585">
        <v>2.0549281967960802</v>
      </c>
      <c r="AG4585">
        <v>-1.11001760921899</v>
      </c>
      <c r="AH4585">
        <v>7.9487415205653598</v>
      </c>
      <c r="AI4585">
        <v>97.699813738481495</v>
      </c>
      <c r="AJ4585">
        <v>75.505108767938296</v>
      </c>
      <c r="AK4585">
        <v>8.2847667889641698</v>
      </c>
      <c r="AL4585">
        <v>79.778496788721299</v>
      </c>
      <c r="AM4585">
        <v>93.421969301581697</v>
      </c>
      <c r="AN4585">
        <v>1.00000000981212</v>
      </c>
    </row>
    <row r="4586" spans="1:40" x14ac:dyDescent="0.25">
      <c r="A4586" t="str">
        <f>"20190304155727226"</f>
        <v>20190304155727226</v>
      </c>
      <c r="B4586" t="str">
        <f>"1551686247219634"</f>
        <v>1551686247219634</v>
      </c>
      <c r="C4586" t="s">
        <v>40</v>
      </c>
      <c r="D4586">
        <v>5.0617070000000002</v>
      </c>
      <c r="E4586">
        <v>0.6686704</v>
      </c>
      <c r="F4586" t="s">
        <v>41</v>
      </c>
      <c r="G4586">
        <v>-335.12200000000001</v>
      </c>
      <c r="H4586" s="1">
        <v>-3.479619E-6</v>
      </c>
      <c r="I4586">
        <v>144.101</v>
      </c>
      <c r="J4586">
        <v>-327.1293</v>
      </c>
      <c r="K4586">
        <v>1.1100209999999999</v>
      </c>
      <c r="L4586">
        <v>141.91540000000001</v>
      </c>
      <c r="M4586">
        <v>-0.99988239999999995</v>
      </c>
      <c r="N4586">
        <v>-1.2990669999999999E-2</v>
      </c>
      <c r="O4586">
        <v>8.1676509999999997E-3</v>
      </c>
      <c r="P4586">
        <v>-0.98519400000000001</v>
      </c>
      <c r="Q4586">
        <v>0.1638926</v>
      </c>
      <c r="R4586">
        <v>-5.0320320000000002E-2</v>
      </c>
      <c r="S4586">
        <v>-3.1579280000000001</v>
      </c>
      <c r="T4586">
        <v>-0.4191705</v>
      </c>
      <c r="U4586">
        <v>0.82644649999999997</v>
      </c>
      <c r="V4586">
        <v>-5.8410709999999998E-2</v>
      </c>
      <c r="W4586">
        <v>0.1766568</v>
      </c>
      <c r="X4586">
        <v>0.98253780000000002</v>
      </c>
      <c r="Y4586">
        <v>0.24312010000000001</v>
      </c>
      <c r="Z4586">
        <v>1.645725E-2</v>
      </c>
      <c r="AA4586">
        <v>0.96985659999999896</v>
      </c>
      <c r="AB4586">
        <v>37</v>
      </c>
      <c r="AC4586">
        <v>-7.9926999999999504</v>
      </c>
      <c r="AD4586">
        <v>-1.110024479619</v>
      </c>
      <c r="AE4586">
        <v>2.1855999999999902</v>
      </c>
      <c r="AF4586">
        <v>2.0828615687893799</v>
      </c>
      <c r="AG4586">
        <v>-1.110024479619</v>
      </c>
      <c r="AH4586">
        <v>7.8690700151586199</v>
      </c>
      <c r="AI4586">
        <v>97.765278731962795</v>
      </c>
      <c r="AJ4586">
        <v>75.174387948921506</v>
      </c>
      <c r="AK4586">
        <v>8.2153958859912297</v>
      </c>
      <c r="AL4586">
        <v>79.824911751134906</v>
      </c>
      <c r="AM4586">
        <v>93.402162158546602</v>
      </c>
      <c r="AN4586">
        <v>0.99999998222889197</v>
      </c>
    </row>
    <row r="4587" spans="1:40" x14ac:dyDescent="0.25">
      <c r="A4587" t="str">
        <f>"20190304155727247"</f>
        <v>20190304155727247</v>
      </c>
      <c r="B4587" t="str">
        <f>"1551686247239154"</f>
        <v>1551686247239154</v>
      </c>
      <c r="C4587" t="s">
        <v>40</v>
      </c>
      <c r="D4587">
        <v>4.948321</v>
      </c>
      <c r="E4587">
        <v>0.67556309999999997</v>
      </c>
      <c r="F4587" t="s">
        <v>41</v>
      </c>
      <c r="G4587">
        <v>-335.93239999999997</v>
      </c>
      <c r="H4587" s="1">
        <v>-3.4077349999999999E-6</v>
      </c>
      <c r="I4587">
        <v>145.2706</v>
      </c>
      <c r="J4587">
        <v>-327.4785</v>
      </c>
      <c r="K4587">
        <v>1.1100270000000001</v>
      </c>
      <c r="L4587">
        <v>141.91810000000001</v>
      </c>
      <c r="M4587">
        <v>-0.99988449999999995</v>
      </c>
      <c r="N4587">
        <v>-1.291349E-2</v>
      </c>
      <c r="O4587">
        <v>8.018463E-3</v>
      </c>
      <c r="P4587">
        <v>-0.98533720000000002</v>
      </c>
      <c r="Q4587">
        <v>0.163046</v>
      </c>
      <c r="R4587">
        <v>-5.0265480000000001E-2</v>
      </c>
      <c r="S4587">
        <v>-3.1734619999999998</v>
      </c>
      <c r="T4587">
        <v>-0.40015580000000001</v>
      </c>
      <c r="U4587">
        <v>1.2095340000000001</v>
      </c>
      <c r="V4587">
        <v>-5.8217610000000003E-2</v>
      </c>
      <c r="W4587">
        <v>0.175734</v>
      </c>
      <c r="X4587">
        <v>0.9827148</v>
      </c>
      <c r="Y4587">
        <v>0.34602240000000001</v>
      </c>
      <c r="Z4587">
        <v>2.2446569999999999E-2</v>
      </c>
      <c r="AA4587">
        <v>0.93795770000000001</v>
      </c>
      <c r="AB4587">
        <v>37</v>
      </c>
      <c r="AC4587">
        <v>-8.4538999999999707</v>
      </c>
      <c r="AD4587">
        <v>-1.1100304077350001</v>
      </c>
      <c r="AE4587">
        <v>3.3524999999999898</v>
      </c>
      <c r="AF4587">
        <v>3.2363840710974801</v>
      </c>
      <c r="AG4587">
        <v>-1.1100304077350001</v>
      </c>
      <c r="AH4587">
        <v>8.3560254119064794</v>
      </c>
      <c r="AI4587">
        <v>97.061551505399905</v>
      </c>
      <c r="AJ4587">
        <v>68.828045312134805</v>
      </c>
      <c r="AK4587">
        <v>9.0293693050055595</v>
      </c>
      <c r="AL4587">
        <v>79.878625355175799</v>
      </c>
      <c r="AM4587">
        <v>93.390331908124097</v>
      </c>
      <c r="AN4587">
        <v>1.0000000535045701</v>
      </c>
    </row>
    <row r="4588" spans="1:40" x14ac:dyDescent="0.25">
      <c r="A4588" t="str">
        <f>"20190304155727272"</f>
        <v>20190304155727272</v>
      </c>
      <c r="B4588" t="str">
        <f>"1551686247259650"</f>
        <v>1551686247259650</v>
      </c>
      <c r="C4588" t="s">
        <v>40</v>
      </c>
      <c r="D4588">
        <v>4.9001830000000002</v>
      </c>
      <c r="E4588">
        <v>0.67701800000000001</v>
      </c>
      <c r="F4588" t="s">
        <v>41</v>
      </c>
      <c r="G4588">
        <v>-336.37720000000002</v>
      </c>
      <c r="H4588" s="1">
        <v>-3.248359E-6</v>
      </c>
      <c r="I4588">
        <v>145.46190000000001</v>
      </c>
      <c r="J4588">
        <v>-327.8612</v>
      </c>
      <c r="K4588">
        <v>1.1100369999999999</v>
      </c>
      <c r="L4588">
        <v>141.92099999999999</v>
      </c>
      <c r="M4588">
        <v>-0.99988699999999997</v>
      </c>
      <c r="N4588">
        <v>-1.2839389999999999E-2</v>
      </c>
      <c r="O4588">
        <v>7.8292080000000007E-3</v>
      </c>
      <c r="P4588">
        <v>-0.98540899999999998</v>
      </c>
      <c r="Q4588">
        <v>0.16254479999999999</v>
      </c>
      <c r="R4588">
        <v>-5.0484800000000003E-2</v>
      </c>
      <c r="S4588">
        <v>-3.174652</v>
      </c>
      <c r="T4588">
        <v>-0.396009</v>
      </c>
      <c r="U4588">
        <v>1.2642519999999999</v>
      </c>
      <c r="V4588">
        <v>-5.8259779999999997E-2</v>
      </c>
      <c r="W4588">
        <v>0.17515749999999999</v>
      </c>
      <c r="X4588">
        <v>0.98281510000000005</v>
      </c>
      <c r="Y4588">
        <v>0.36004409999999998</v>
      </c>
      <c r="Z4588">
        <v>2.3119899999999999E-2</v>
      </c>
      <c r="AA4588">
        <v>0.93264879999999994</v>
      </c>
      <c r="AB4588">
        <v>37</v>
      </c>
      <c r="AC4588">
        <v>-8.5160000000000196</v>
      </c>
      <c r="AD4588">
        <v>-1.1100402483589999</v>
      </c>
      <c r="AE4588">
        <v>3.5409000000000201</v>
      </c>
      <c r="AF4588">
        <v>3.4245047786652401</v>
      </c>
      <c r="AG4588">
        <v>-1.1100402483589999</v>
      </c>
      <c r="AH4588">
        <v>8.4214695887545599</v>
      </c>
      <c r="AI4588">
        <v>96.961450241787603</v>
      </c>
      <c r="AJ4588">
        <v>67.871383774753397</v>
      </c>
      <c r="AK4588">
        <v>9.1586337609053903</v>
      </c>
      <c r="AL4588">
        <v>79.912175588682103</v>
      </c>
      <c r="AM4588">
        <v>93.3924365271955</v>
      </c>
      <c r="AN4588">
        <v>0.99999993627995198</v>
      </c>
    </row>
    <row r="4589" spans="1:40" x14ac:dyDescent="0.25">
      <c r="A4589" t="str">
        <f>"20190304155727293"</f>
        <v>20190304155727293</v>
      </c>
      <c r="B4589" t="str">
        <f>"1551686247288930"</f>
        <v>1551686247288930</v>
      </c>
      <c r="C4589" t="s">
        <v>40</v>
      </c>
      <c r="D4589">
        <v>4.8887320000000001</v>
      </c>
      <c r="E4589">
        <v>0.67792739999999996</v>
      </c>
      <c r="F4589" t="s">
        <v>41</v>
      </c>
      <c r="G4589">
        <v>-336.7799</v>
      </c>
      <c r="H4589" s="1">
        <v>-3.0690440000000001E-6</v>
      </c>
      <c r="I4589">
        <v>145.5034</v>
      </c>
      <c r="J4589">
        <v>-328.23360000000002</v>
      </c>
      <c r="K4589">
        <v>1.1100559999999999</v>
      </c>
      <c r="L4589">
        <v>141.9237</v>
      </c>
      <c r="M4589">
        <v>-0.99988940000000004</v>
      </c>
      <c r="N4589">
        <v>-1.2777500000000001E-2</v>
      </c>
      <c r="O4589">
        <v>7.619738E-3</v>
      </c>
      <c r="P4589">
        <v>-0.98548740000000001</v>
      </c>
      <c r="Q4589">
        <v>0.1621098</v>
      </c>
      <c r="R4589">
        <v>-5.0350159999999998E-2</v>
      </c>
      <c r="S4589">
        <v>-3.1749879999999999</v>
      </c>
      <c r="T4589">
        <v>-0.39516499999999999</v>
      </c>
      <c r="U4589">
        <v>1.2753139999999901</v>
      </c>
      <c r="V4589">
        <v>-5.7927550000000001E-2</v>
      </c>
      <c r="W4589">
        <v>0.17466039999999999</v>
      </c>
      <c r="X4589">
        <v>0.98292330000000006</v>
      </c>
      <c r="Y4589">
        <v>0.36299819999999999</v>
      </c>
      <c r="Z4589">
        <v>2.326918E-2</v>
      </c>
      <c r="AA4589">
        <v>0.93149919999999997</v>
      </c>
      <c r="AB4589">
        <v>37</v>
      </c>
      <c r="AC4589">
        <v>-8.5462999999999703</v>
      </c>
      <c r="AD4589">
        <v>-1.110059069044</v>
      </c>
      <c r="AE4589">
        <v>3.5796999999999999</v>
      </c>
      <c r="AF4589">
        <v>3.4647417173671999</v>
      </c>
      <c r="AG4589">
        <v>-1.110059069044</v>
      </c>
      <c r="AH4589">
        <v>8.4520209706584097</v>
      </c>
      <c r="AI4589">
        <v>96.928742887642301</v>
      </c>
      <c r="AJ4589">
        <v>67.709776822573005</v>
      </c>
      <c r="AK4589">
        <v>9.2018109518333908</v>
      </c>
      <c r="AL4589">
        <v>79.941104257701298</v>
      </c>
      <c r="AM4589">
        <v>93.372765288328907</v>
      </c>
      <c r="AN4589">
        <v>1.00000003503002</v>
      </c>
    </row>
    <row r="4590" spans="1:40" x14ac:dyDescent="0.25">
      <c r="A4590" t="str">
        <f>"20190304155727315"</f>
        <v>20190304155727315</v>
      </c>
      <c r="B4590" t="str">
        <f>"1551686247309426"</f>
        <v>1551686247309426</v>
      </c>
      <c r="C4590" t="s">
        <v>40</v>
      </c>
      <c r="D4590">
        <v>4.9403230000000002</v>
      </c>
      <c r="E4590">
        <v>0.67513970000000001</v>
      </c>
      <c r="F4590" t="s">
        <v>41</v>
      </c>
      <c r="G4590">
        <v>-337.27420000000001</v>
      </c>
      <c r="H4590" s="1">
        <v>-2.8552129999999999E-6</v>
      </c>
      <c r="I4590">
        <v>145.5779</v>
      </c>
      <c r="J4590">
        <v>-328.58600000000001</v>
      </c>
      <c r="K4590">
        <v>1.110074</v>
      </c>
      <c r="L4590">
        <v>141.92619999999999</v>
      </c>
      <c r="M4590">
        <v>-0.99989159999999999</v>
      </c>
      <c r="N4590">
        <v>-1.272613E-2</v>
      </c>
      <c r="O4590">
        <v>7.4043479999999998E-3</v>
      </c>
      <c r="P4590">
        <v>-0.98540320000000003</v>
      </c>
      <c r="Q4590">
        <v>0.1626398</v>
      </c>
      <c r="R4590">
        <v>-5.028738E-2</v>
      </c>
      <c r="S4590">
        <v>-3.1737980000000001</v>
      </c>
      <c r="T4590">
        <v>-0.38969979999999999</v>
      </c>
      <c r="U4590">
        <v>1.282837</v>
      </c>
      <c r="V4590">
        <v>-5.7659639999999998E-2</v>
      </c>
      <c r="W4590">
        <v>0.17513679999999901</v>
      </c>
      <c r="X4590">
        <v>0.98285420000000001</v>
      </c>
      <c r="Y4590">
        <v>0.3652707</v>
      </c>
      <c r="Z4590">
        <v>2.3144640000000001E-2</v>
      </c>
      <c r="AA4590">
        <v>0.93061360000000004</v>
      </c>
      <c r="AB4590">
        <v>37</v>
      </c>
      <c r="AC4590">
        <v>-8.6881999999999895</v>
      </c>
      <c r="AD4590">
        <v>-1.110076855213</v>
      </c>
      <c r="AE4590">
        <v>3.6516999999999999</v>
      </c>
      <c r="AF4590">
        <v>3.5381761303774502</v>
      </c>
      <c r="AG4590">
        <v>-1.110076855213</v>
      </c>
      <c r="AH4590">
        <v>8.5957464446241794</v>
      </c>
      <c r="AI4590">
        <v>96.810091640000806</v>
      </c>
      <c r="AJ4590">
        <v>67.626983010470298</v>
      </c>
      <c r="AK4590">
        <v>9.3615072447935201</v>
      </c>
      <c r="AL4590">
        <v>79.913380429659597</v>
      </c>
      <c r="AM4590">
        <v>93.357437786308694</v>
      </c>
      <c r="AN4590">
        <v>0.99999995562840305</v>
      </c>
    </row>
    <row r="4591" spans="1:40" x14ac:dyDescent="0.25">
      <c r="A4591" t="str">
        <f>"20190304155727337"</f>
        <v>20190304155727337</v>
      </c>
      <c r="B4591" t="str">
        <f>"1551686247328946"</f>
        <v>1551686247328946</v>
      </c>
      <c r="C4591" t="s">
        <v>40</v>
      </c>
      <c r="D4591">
        <v>4.9174480000000003</v>
      </c>
      <c r="E4591">
        <v>0.6730855</v>
      </c>
      <c r="F4591" t="s">
        <v>41</v>
      </c>
      <c r="G4591">
        <v>-337.80680000000001</v>
      </c>
      <c r="H4591" s="1">
        <v>-2.606764E-6</v>
      </c>
      <c r="I4591">
        <v>145.59039999999999</v>
      </c>
      <c r="J4591">
        <v>-328.94080000000002</v>
      </c>
      <c r="K4591">
        <v>1.110096</v>
      </c>
      <c r="L4591">
        <v>141.92859999999999</v>
      </c>
      <c r="M4591">
        <v>-0.9998939</v>
      </c>
      <c r="N4591">
        <v>-1.2680790000000001E-2</v>
      </c>
      <c r="O4591">
        <v>7.1709399999999998E-3</v>
      </c>
      <c r="P4591">
        <v>-0.98551639999999996</v>
      </c>
      <c r="Q4591">
        <v>0.161920799999999</v>
      </c>
      <c r="R4591">
        <v>-5.0389709999999997E-2</v>
      </c>
      <c r="S4591">
        <v>-3.1717529999999998</v>
      </c>
      <c r="T4591">
        <v>-0.38184020000000002</v>
      </c>
      <c r="U4591">
        <v>1.2604059999999999</v>
      </c>
      <c r="V4591">
        <v>-5.7538680000000002E-2</v>
      </c>
      <c r="W4591">
        <v>0.174373</v>
      </c>
      <c r="X4591">
        <v>0.98299709999999996</v>
      </c>
      <c r="Y4591">
        <v>0.36014429999999997</v>
      </c>
      <c r="Z4591">
        <v>2.2450769999999998E-2</v>
      </c>
      <c r="AA4591">
        <v>0.93262639999999997</v>
      </c>
      <c r="AB4591">
        <v>37</v>
      </c>
      <c r="AC4591">
        <v>-8.8659999999999801</v>
      </c>
      <c r="AD4591">
        <v>-1.110098606764</v>
      </c>
      <c r="AE4591">
        <v>3.6617999999999999</v>
      </c>
      <c r="AF4591">
        <v>3.5505716911721201</v>
      </c>
      <c r="AG4591">
        <v>-1.110098606764</v>
      </c>
      <c r="AH4591">
        <v>8.7745188170424502</v>
      </c>
      <c r="AI4591">
        <v>96.688888355838401</v>
      </c>
      <c r="AJ4591">
        <v>67.969491938428106</v>
      </c>
      <c r="AK4591">
        <v>9.5305329715354397</v>
      </c>
      <c r="AL4591">
        <v>79.957827046004098</v>
      </c>
      <c r="AM4591">
        <v>93.349924575843005</v>
      </c>
      <c r="AN4591">
        <v>0.99999997071677504</v>
      </c>
    </row>
    <row r="4592" spans="1:40" x14ac:dyDescent="0.25">
      <c r="A4592" t="str">
        <f>"20190304155727360"</f>
        <v>20190304155727360</v>
      </c>
      <c r="B4592" t="str">
        <f>"1551686247349442"</f>
        <v>1551686247349442</v>
      </c>
      <c r="C4592" t="s">
        <v>40</v>
      </c>
      <c r="D4592">
        <v>5.0904129999999999</v>
      </c>
      <c r="E4592">
        <v>0.66874369999999905</v>
      </c>
      <c r="F4592" t="s">
        <v>41</v>
      </c>
      <c r="G4592">
        <v>-337.99880000000002</v>
      </c>
      <c r="H4592" s="1">
        <v>-2.4864929999999998E-6</v>
      </c>
      <c r="I4592">
        <v>145.4794</v>
      </c>
      <c r="J4592">
        <v>-329.30829999999997</v>
      </c>
      <c r="K4592">
        <v>1.110106</v>
      </c>
      <c r="L4592">
        <v>141.93090000000001</v>
      </c>
      <c r="M4592">
        <v>-0.99989629999999996</v>
      </c>
      <c r="N4592">
        <v>-1.2639849999999999E-2</v>
      </c>
      <c r="O4592">
        <v>6.9134309999999899E-3</v>
      </c>
      <c r="P4592">
        <v>-0.98552200000000001</v>
      </c>
      <c r="Q4592">
        <v>0.1617101</v>
      </c>
      <c r="R4592">
        <v>-5.0956349999999997E-2</v>
      </c>
      <c r="S4592">
        <v>-3.1715089999999999</v>
      </c>
      <c r="T4592">
        <v>-0.38868249999999999</v>
      </c>
      <c r="U4592">
        <v>1.243271</v>
      </c>
      <c r="V4592">
        <v>-5.7858180000000002E-2</v>
      </c>
      <c r="W4592">
        <v>0.17411989999999999</v>
      </c>
      <c r="X4592">
        <v>0.98302319999999999</v>
      </c>
      <c r="Y4592">
        <v>0.3559852</v>
      </c>
      <c r="Z4592">
        <v>2.257255E-2</v>
      </c>
      <c r="AA4592">
        <v>0.93421889999999996</v>
      </c>
      <c r="AB4592">
        <v>37</v>
      </c>
      <c r="AC4592">
        <v>-8.6905000000000392</v>
      </c>
      <c r="AD4592">
        <v>-1.110108486493</v>
      </c>
      <c r="AE4592">
        <v>3.54849999999999</v>
      </c>
      <c r="AF4592">
        <v>3.4402166317880498</v>
      </c>
      <c r="AG4592">
        <v>-1.110108486493</v>
      </c>
      <c r="AH4592">
        <v>8.5946277912077491</v>
      </c>
      <c r="AI4592">
        <v>96.837888372040993</v>
      </c>
      <c r="AJ4592">
        <v>68.184997301088799</v>
      </c>
      <c r="AK4592">
        <v>9.3238971570269698</v>
      </c>
      <c r="AL4592">
        <v>79.972553791563797</v>
      </c>
      <c r="AM4592">
        <v>93.368394046544395</v>
      </c>
      <c r="AN4592">
        <v>0.99999996015357995</v>
      </c>
    </row>
    <row r="4593" spans="1:40" x14ac:dyDescent="0.25">
      <c r="A4593" t="str">
        <f>"20190304155727382"</f>
        <v>20190304155727382</v>
      </c>
      <c r="B4593" t="str">
        <f>"1551686247379698"</f>
        <v>1551686247379698</v>
      </c>
      <c r="C4593" t="s">
        <v>40</v>
      </c>
      <c r="D4593">
        <v>4.8508639999999996</v>
      </c>
      <c r="E4593">
        <v>0.66773590000000005</v>
      </c>
      <c r="F4593" t="s">
        <v>41</v>
      </c>
      <c r="G4593">
        <v>-338.1669</v>
      </c>
      <c r="H4593" s="1">
        <v>-2.359981E-6</v>
      </c>
      <c r="I4593">
        <v>145.30260000000001</v>
      </c>
      <c r="J4593">
        <v>-329.67880000000002</v>
      </c>
      <c r="K4593">
        <v>1.1101190000000001</v>
      </c>
      <c r="L4593">
        <v>141.9332</v>
      </c>
      <c r="M4593">
        <v>-0.99989859999999997</v>
      </c>
      <c r="N4593">
        <v>-1.260432E-2</v>
      </c>
      <c r="O4593">
        <v>6.6392650000000001E-3</v>
      </c>
      <c r="P4593">
        <v>-0.98538859999999995</v>
      </c>
      <c r="Q4593">
        <v>0.1623233</v>
      </c>
      <c r="R4593">
        <v>-5.1582509999999998E-2</v>
      </c>
      <c r="S4593">
        <v>-3.1717529999999998</v>
      </c>
      <c r="T4593">
        <v>-0.3974645</v>
      </c>
      <c r="U4593">
        <v>1.2071989999999999</v>
      </c>
      <c r="V4593">
        <v>-5.8219180000000002E-2</v>
      </c>
      <c r="W4593">
        <v>0.17469460000000001</v>
      </c>
      <c r="X4593">
        <v>0.9829</v>
      </c>
      <c r="Y4593">
        <v>0.3469025</v>
      </c>
      <c r="Z4593">
        <v>2.2475439999999999E-2</v>
      </c>
      <c r="AA4593">
        <v>0.93763180000000002</v>
      </c>
      <c r="AB4593">
        <v>37</v>
      </c>
      <c r="AC4593">
        <v>-8.4880999999999691</v>
      </c>
      <c r="AD4593">
        <v>-1.110121359981</v>
      </c>
      <c r="AE4593">
        <v>3.3694000000000099</v>
      </c>
      <c r="AF4593">
        <v>3.26472533275098</v>
      </c>
      <c r="AG4593">
        <v>-1.110121359981</v>
      </c>
      <c r="AH4593">
        <v>8.3863639970062103</v>
      </c>
      <c r="AI4593">
        <v>97.032184164198995</v>
      </c>
      <c r="AJ4593">
        <v>68.729547995113407</v>
      </c>
      <c r="AK4593">
        <v>9.0676293496411802</v>
      </c>
      <c r="AL4593">
        <v>79.939114227513301</v>
      </c>
      <c r="AM4593">
        <v>93.389785784033407</v>
      </c>
      <c r="AN4593">
        <v>1.00000004309451</v>
      </c>
    </row>
    <row r="4594" spans="1:40" x14ac:dyDescent="0.25">
      <c r="A4594" t="str">
        <f>"20190304155727404"</f>
        <v>20190304155727404</v>
      </c>
      <c r="B4594" t="str">
        <f>"1551686247399218"</f>
        <v>1551686247399218</v>
      </c>
      <c r="C4594" t="s">
        <v>40</v>
      </c>
      <c r="D4594">
        <v>4.8367310000000003</v>
      </c>
      <c r="E4594">
        <v>0.66708659999999997</v>
      </c>
      <c r="F4594" t="s">
        <v>41</v>
      </c>
      <c r="G4594">
        <v>-338.47989999999999</v>
      </c>
      <c r="H4594" s="1">
        <v>-2.1985799999999999E-6</v>
      </c>
      <c r="I4594">
        <v>145.25210000000001</v>
      </c>
      <c r="J4594">
        <v>-330.03280000000001</v>
      </c>
      <c r="K4594">
        <v>1.1101179999999999</v>
      </c>
      <c r="L4594">
        <v>141.93530000000001</v>
      </c>
      <c r="M4594">
        <v>-0.99990080000000003</v>
      </c>
      <c r="N4594">
        <v>-1.257511E-2</v>
      </c>
      <c r="O4594">
        <v>6.3665689999999999E-3</v>
      </c>
      <c r="P4594">
        <v>-0.9852668</v>
      </c>
      <c r="Q4594">
        <v>0.162750799999999</v>
      </c>
      <c r="R4594">
        <v>-5.2552979999999999E-2</v>
      </c>
      <c r="S4594">
        <v>-3.1730649999999998</v>
      </c>
      <c r="T4594">
        <v>-0.40023219999999998</v>
      </c>
      <c r="U4594">
        <v>1.196564</v>
      </c>
      <c r="V4594">
        <v>-5.8926430000000002E-2</v>
      </c>
      <c r="W4594">
        <v>0.17508940000000001</v>
      </c>
      <c r="X4594">
        <v>0.98278750000000004</v>
      </c>
      <c r="Y4594">
        <v>0.34426309999999999</v>
      </c>
      <c r="Z4594">
        <v>2.2464000000000001E-2</v>
      </c>
      <c r="AA4594">
        <v>0.93860449999999995</v>
      </c>
      <c r="AB4594">
        <v>37</v>
      </c>
      <c r="AC4594">
        <v>-8.4470999999999705</v>
      </c>
      <c r="AD4594">
        <v>-1.11012019858</v>
      </c>
      <c r="AE4594">
        <v>3.3168000000000002</v>
      </c>
      <c r="AF4594">
        <v>3.2148421234612798</v>
      </c>
      <c r="AG4594">
        <v>-1.11012019858</v>
      </c>
      <c r="AH4594">
        <v>8.3431982745601694</v>
      </c>
      <c r="AI4594">
        <v>97.077541318921703</v>
      </c>
      <c r="AJ4594">
        <v>68.927083354916405</v>
      </c>
      <c r="AK4594">
        <v>9.0098021167337592</v>
      </c>
      <c r="AL4594">
        <v>79.9161387757228</v>
      </c>
      <c r="AM4594">
        <v>93.431259117417198</v>
      </c>
      <c r="AN4594">
        <v>0.99999994615057597</v>
      </c>
    </row>
    <row r="4595" spans="1:40" x14ac:dyDescent="0.25">
      <c r="A4595" t="str">
        <f>"20190304155727426"</f>
        <v>20190304155727426</v>
      </c>
      <c r="B4595" t="str">
        <f>"1551686247419714"</f>
        <v>1551686247419714</v>
      </c>
      <c r="C4595" t="s">
        <v>40</v>
      </c>
      <c r="D4595">
        <v>4.7634220000000003</v>
      </c>
      <c r="E4595">
        <v>0.66722550000000003</v>
      </c>
      <c r="F4595" t="s">
        <v>41</v>
      </c>
      <c r="G4595">
        <v>-338.83980000000003</v>
      </c>
      <c r="H4595" s="1">
        <v>-2.0230949999999998E-6</v>
      </c>
      <c r="I4595">
        <v>145.232</v>
      </c>
      <c r="J4595">
        <v>-330.4015</v>
      </c>
      <c r="K4595">
        <v>1.110131</v>
      </c>
      <c r="L4595">
        <v>141.9374</v>
      </c>
      <c r="M4595">
        <v>-0.99990279999999998</v>
      </c>
      <c r="N4595">
        <v>-1.2548739999999999E-2</v>
      </c>
      <c r="O4595">
        <v>6.0729429999999999E-3</v>
      </c>
      <c r="P4595">
        <v>-0.9851972</v>
      </c>
      <c r="Q4595">
        <v>0.16286320000000001</v>
      </c>
      <c r="R4595">
        <v>-5.3496370000000001E-2</v>
      </c>
      <c r="S4595">
        <v>-3.174347</v>
      </c>
      <c r="T4595">
        <v>-0.40012589999999998</v>
      </c>
      <c r="U4595">
        <v>1.188248</v>
      </c>
      <c r="V4595">
        <v>-5.9585340000000001E-2</v>
      </c>
      <c r="W4595">
        <v>0.175173</v>
      </c>
      <c r="X4595">
        <v>0.98273299999999997</v>
      </c>
      <c r="Y4595">
        <v>0.34227249999999998</v>
      </c>
      <c r="Z4595">
        <v>2.235243E-2</v>
      </c>
      <c r="AA4595">
        <v>0.93933480000000003</v>
      </c>
      <c r="AB4595">
        <v>36</v>
      </c>
      <c r="AC4595">
        <v>-8.4383000000000195</v>
      </c>
      <c r="AD4595">
        <v>-1.1101330230949999</v>
      </c>
      <c r="AE4595">
        <v>3.2946</v>
      </c>
      <c r="AF4595">
        <v>3.1953017216690101</v>
      </c>
      <c r="AG4595">
        <v>-1.1101330230949999</v>
      </c>
      <c r="AH4595">
        <v>8.3330058543884409</v>
      </c>
      <c r="AI4595">
        <v>97.090593846126097</v>
      </c>
      <c r="AJ4595">
        <v>69.020615004203705</v>
      </c>
      <c r="AK4595">
        <v>8.9934050832117496</v>
      </c>
      <c r="AL4595">
        <v>79.911274930961497</v>
      </c>
      <c r="AM4595">
        <v>93.469725878762304</v>
      </c>
      <c r="AN4595">
        <v>1.00000007098045</v>
      </c>
    </row>
    <row r="4596" spans="1:40" x14ac:dyDescent="0.25">
      <c r="A4596" t="str">
        <f>"20190304155727448"</f>
        <v>20190304155727448</v>
      </c>
      <c r="B4596" t="str">
        <f>"1551686247439234"</f>
        <v>1551686247439234</v>
      </c>
      <c r="C4596" t="s">
        <v>40</v>
      </c>
      <c r="D4596">
        <v>5.1556379999999997</v>
      </c>
      <c r="E4596">
        <v>0.57622980000000001</v>
      </c>
      <c r="F4596" t="s">
        <v>41</v>
      </c>
      <c r="G4596">
        <v>-339.22039999999998</v>
      </c>
      <c r="H4596" s="1">
        <v>-1.8428069999999999E-6</v>
      </c>
      <c r="I4596">
        <v>145.23050000000001</v>
      </c>
      <c r="J4596">
        <v>-330.7602</v>
      </c>
      <c r="K4596">
        <v>1.110139</v>
      </c>
      <c r="L4596">
        <v>141.9393</v>
      </c>
      <c r="M4596">
        <v>-0.99990480000000004</v>
      </c>
      <c r="N4596">
        <v>-1.2526529999999999E-2</v>
      </c>
      <c r="O4596">
        <v>5.7794400000000003E-3</v>
      </c>
      <c r="P4596">
        <v>-0.98514840000000004</v>
      </c>
      <c r="Q4596">
        <v>0.16291810000000001</v>
      </c>
      <c r="R4596">
        <v>-5.4223840000000002E-2</v>
      </c>
      <c r="S4596">
        <v>-3.1755680000000002</v>
      </c>
      <c r="T4596">
        <v>-0.3997443</v>
      </c>
      <c r="U4596">
        <v>1.1858219999999999</v>
      </c>
      <c r="V4596">
        <v>-6.0027829999999997E-2</v>
      </c>
      <c r="W4596">
        <v>0.175204</v>
      </c>
      <c r="X4596">
        <v>0.98270049999999998</v>
      </c>
      <c r="Y4596">
        <v>0.34180779999999999</v>
      </c>
      <c r="Z4596">
        <v>2.2325279999999999E-2</v>
      </c>
      <c r="AA4596">
        <v>0.93950460000000002</v>
      </c>
      <c r="AB4596">
        <v>36</v>
      </c>
      <c r="AC4596">
        <v>-8.4601999999999808</v>
      </c>
      <c r="AD4596">
        <v>-1.1101408428069901</v>
      </c>
      <c r="AE4596">
        <v>3.2911999999999999</v>
      </c>
      <c r="AF4596">
        <v>3.1944720078788098</v>
      </c>
      <c r="AG4596">
        <v>-1.1101408428069901</v>
      </c>
      <c r="AH4596">
        <v>8.3541436010622103</v>
      </c>
      <c r="AI4596">
        <v>97.075385467605699</v>
      </c>
      <c r="AJ4596">
        <v>69.074058428922896</v>
      </c>
      <c r="AK4596">
        <v>9.0127010050904399</v>
      </c>
      <c r="AL4596">
        <v>79.909470416925402</v>
      </c>
      <c r="AM4596">
        <v>93.495544266633203</v>
      </c>
      <c r="AN4596">
        <v>1.00000002734537</v>
      </c>
    </row>
    <row r="4597" spans="1:40" x14ac:dyDescent="0.25">
      <c r="A4597" t="str">
        <f>"20190304155727473"</f>
        <v>20190304155727473</v>
      </c>
      <c r="B4597" t="str">
        <f>"1551686247469489"</f>
        <v>1551686247469489</v>
      </c>
      <c r="C4597" t="s">
        <v>40</v>
      </c>
      <c r="D4597">
        <v>4.8608029999999998</v>
      </c>
      <c r="E4597">
        <v>0.54451819999999995</v>
      </c>
      <c r="F4597" t="s">
        <v>41</v>
      </c>
      <c r="G4597">
        <v>-347.24509999999998</v>
      </c>
      <c r="H4597" s="1">
        <v>-2.425734E-6</v>
      </c>
      <c r="I4597">
        <v>144.3578</v>
      </c>
      <c r="J4597">
        <v>-331.14190000000002</v>
      </c>
      <c r="K4597">
        <v>1.1101540000000001</v>
      </c>
      <c r="L4597">
        <v>141.94110000000001</v>
      </c>
      <c r="M4597">
        <v>-0.99990690000000004</v>
      </c>
      <c r="N4597">
        <v>-1.250625E-2</v>
      </c>
      <c r="O4597">
        <v>5.459373E-3</v>
      </c>
      <c r="P4597">
        <v>-0.98509760000000002</v>
      </c>
      <c r="Q4597">
        <v>0.16314020000000001</v>
      </c>
      <c r="R4597">
        <v>-5.4482259999999998E-2</v>
      </c>
      <c r="S4597">
        <v>-3.1049500000000001</v>
      </c>
      <c r="T4597">
        <v>-0.20909630000000001</v>
      </c>
      <c r="U4597">
        <v>0.45555109999999899</v>
      </c>
      <c r="V4597">
        <v>-5.9974590000000001E-2</v>
      </c>
      <c r="W4597">
        <v>0.175404</v>
      </c>
      <c r="X4597">
        <v>0.98266799999999999</v>
      </c>
      <c r="Y4597">
        <v>0.1394</v>
      </c>
      <c r="Z4597">
        <v>5.2437330000000004E-3</v>
      </c>
      <c r="AA4597">
        <v>0.9902223</v>
      </c>
      <c r="AB4597">
        <v>36</v>
      </c>
      <c r="AC4597">
        <v>-16.103199999999902</v>
      </c>
      <c r="AD4597">
        <v>-1.110156425734</v>
      </c>
      <c r="AE4597">
        <v>2.4166999999999899</v>
      </c>
      <c r="AF4597">
        <v>2.3179696848234901</v>
      </c>
      <c r="AG4597">
        <v>-1.110156425734</v>
      </c>
      <c r="AH4597">
        <v>16.041592521933701</v>
      </c>
      <c r="AI4597">
        <v>93.918269606718795</v>
      </c>
      <c r="AJ4597">
        <v>81.777814198726205</v>
      </c>
      <c r="AK4597">
        <v>16.246172515060898</v>
      </c>
      <c r="AL4597">
        <v>79.897830293889299</v>
      </c>
      <c r="AM4597">
        <v>93.492566889466602</v>
      </c>
      <c r="AN4597">
        <v>0.99999995644283302</v>
      </c>
    </row>
    <row r="4598" spans="1:40" x14ac:dyDescent="0.25">
      <c r="A4598" t="str">
        <f>"20190304155727494"</f>
        <v>20190304155727494</v>
      </c>
      <c r="B4598" t="str">
        <f>"1551686247489010"</f>
        <v>1551686247489010</v>
      </c>
      <c r="C4598" t="s">
        <v>40</v>
      </c>
      <c r="D4598">
        <v>4.8278280000000002</v>
      </c>
      <c r="E4598">
        <v>0.53461419999999904</v>
      </c>
      <c r="F4598" t="s">
        <v>41</v>
      </c>
      <c r="G4598">
        <v>-352.0804</v>
      </c>
      <c r="H4598" s="1">
        <v>-4.2234710000000001E-6</v>
      </c>
      <c r="I4598">
        <v>143.31120000000001</v>
      </c>
      <c r="J4598">
        <v>-331.50290000000001</v>
      </c>
      <c r="K4598">
        <v>1.1101559999999999</v>
      </c>
      <c r="L4598">
        <v>141.94280000000001</v>
      </c>
      <c r="M4598">
        <v>-0.99990869999999998</v>
      </c>
      <c r="N4598">
        <v>-1.2489699999999999E-2</v>
      </c>
      <c r="O4598">
        <v>5.1510519999999997E-3</v>
      </c>
      <c r="P4598">
        <v>-0.98499210000000004</v>
      </c>
      <c r="Q4598">
        <v>0.16363539999999999</v>
      </c>
      <c r="R4598">
        <v>-5.4900270000000001E-2</v>
      </c>
      <c r="S4598">
        <v>-3.083618</v>
      </c>
      <c r="T4598">
        <v>-0.16349350000000001</v>
      </c>
      <c r="U4598">
        <v>0.20178219999999999</v>
      </c>
      <c r="V4598">
        <v>-6.0091680000000001E-2</v>
      </c>
      <c r="W4598">
        <v>0.17588139999999999</v>
      </c>
      <c r="X4598">
        <v>0.98257550000000005</v>
      </c>
      <c r="Y4598">
        <v>6.0056190000000002E-2</v>
      </c>
      <c r="Z4598">
        <v>1.7566820000000001E-3</v>
      </c>
      <c r="AA4598">
        <v>0.99819340000000001</v>
      </c>
      <c r="AB4598">
        <v>36</v>
      </c>
      <c r="AC4598">
        <v>-20.577499999999901</v>
      </c>
      <c r="AD4598">
        <v>-1.110160223471</v>
      </c>
      <c r="AE4598">
        <v>1.3684000000000001</v>
      </c>
      <c r="AF4598">
        <v>1.2587302385813</v>
      </c>
      <c r="AG4598">
        <v>-1.110160223471</v>
      </c>
      <c r="AH4598">
        <v>20.524799257723298</v>
      </c>
      <c r="AI4598">
        <v>93.090244247093594</v>
      </c>
      <c r="AJ4598">
        <v>86.490600586179795</v>
      </c>
      <c r="AK4598">
        <v>20.5933057595214</v>
      </c>
      <c r="AL4598">
        <v>79.870045225078997</v>
      </c>
      <c r="AM4598">
        <v>93.499697206918398</v>
      </c>
      <c r="AN4598">
        <v>0.99999994503571399</v>
      </c>
    </row>
    <row r="4599" spans="1:40" x14ac:dyDescent="0.25">
      <c r="A4599" t="str">
        <f>"20190304155727516"</f>
        <v>20190304155727516</v>
      </c>
      <c r="B4599" t="str">
        <f>"1551686247509506"</f>
        <v>1551686247509506</v>
      </c>
      <c r="C4599" t="s">
        <v>40</v>
      </c>
      <c r="D4599">
        <v>4.8277400000000004</v>
      </c>
      <c r="E4599">
        <v>0.53068749999999998</v>
      </c>
      <c r="F4599" t="s">
        <v>41</v>
      </c>
      <c r="G4599">
        <v>-356.64019999999999</v>
      </c>
      <c r="H4599" s="1">
        <v>-2.3060419999999999E-6</v>
      </c>
      <c r="I4599">
        <v>142.93260000000001</v>
      </c>
      <c r="J4599">
        <v>-331.8605</v>
      </c>
      <c r="K4599">
        <v>1.1101639999999999</v>
      </c>
      <c r="L4599">
        <v>141.9443</v>
      </c>
      <c r="M4599">
        <v>-0.99991059999999998</v>
      </c>
      <c r="N4599">
        <v>-1.247532E-2</v>
      </c>
      <c r="O4599">
        <v>4.8417809999999999E-3</v>
      </c>
      <c r="P4599">
        <v>-0.98493359999999996</v>
      </c>
      <c r="Q4599">
        <v>0.1639796</v>
      </c>
      <c r="R4599">
        <v>-5.4924210000000001E-2</v>
      </c>
      <c r="S4599">
        <v>-3.075043</v>
      </c>
      <c r="T4599">
        <v>-0.1358058</v>
      </c>
      <c r="U4599">
        <v>0.1210938</v>
      </c>
      <c r="V4599">
        <v>-5.9813560000000002E-2</v>
      </c>
      <c r="W4599">
        <v>0.17620999999999901</v>
      </c>
      <c r="X4599">
        <v>0.98253360000000001</v>
      </c>
      <c r="Y4599">
        <v>3.4469560000000003E-2</v>
      </c>
      <c r="Z4599">
        <v>8.2244789999999903E-4</v>
      </c>
      <c r="AA4599">
        <v>0.9994054</v>
      </c>
      <c r="AB4599">
        <v>36</v>
      </c>
      <c r="AC4599">
        <v>-24.779699999999899</v>
      </c>
      <c r="AD4599">
        <v>-1.110166306042</v>
      </c>
      <c r="AE4599">
        <v>0.98830000000000895</v>
      </c>
      <c r="AF4599">
        <v>0.86656463335777001</v>
      </c>
      <c r="AG4599">
        <v>-1.110166306042</v>
      </c>
      <c r="AH4599">
        <v>24.734627267258102</v>
      </c>
      <c r="AI4599">
        <v>92.568312833370896</v>
      </c>
      <c r="AJ4599">
        <v>87.993493224387294</v>
      </c>
      <c r="AK4599">
        <v>24.774688485247299</v>
      </c>
      <c r="AL4599">
        <v>79.850919176156907</v>
      </c>
      <c r="AM4599">
        <v>93.483687862234007</v>
      </c>
      <c r="AN4599">
        <v>0.99999995059441504</v>
      </c>
    </row>
    <row r="4600" spans="1:40" x14ac:dyDescent="0.25">
      <c r="A4600" t="str">
        <f>"20190304155727538"</f>
        <v>20190304155727538</v>
      </c>
      <c r="B4600" t="str">
        <f>"1551686247529026"</f>
        <v>1551686247529026</v>
      </c>
      <c r="C4600" t="s">
        <v>40</v>
      </c>
      <c r="D4600">
        <v>4.7860019999999999</v>
      </c>
      <c r="E4600">
        <v>0.52774799999999999</v>
      </c>
      <c r="F4600" t="s">
        <v>41</v>
      </c>
      <c r="G4600">
        <v>-360.03030000000001</v>
      </c>
      <c r="H4600" s="1">
        <v>-4.8239179999999997E-6</v>
      </c>
      <c r="I4600">
        <v>142.76320000000001</v>
      </c>
      <c r="J4600">
        <v>-332.22300000000001</v>
      </c>
      <c r="K4600">
        <v>1.11016</v>
      </c>
      <c r="L4600">
        <v>141.94569999999999</v>
      </c>
      <c r="M4600">
        <v>-0.99991209999999997</v>
      </c>
      <c r="N4600">
        <v>-1.246273E-2</v>
      </c>
      <c r="O4600">
        <v>4.5263150000000004E-3</v>
      </c>
      <c r="P4600">
        <v>-0.98494479999999995</v>
      </c>
      <c r="Q4600">
        <v>0.16396469999999999</v>
      </c>
      <c r="R4600">
        <v>-5.4766420000000003E-2</v>
      </c>
      <c r="S4600">
        <v>-3.0710139999999999</v>
      </c>
      <c r="T4600">
        <v>-0.12102880000000001</v>
      </c>
      <c r="U4600">
        <v>8.9279170000000005E-2</v>
      </c>
      <c r="V4600">
        <v>-5.9346740000000002E-2</v>
      </c>
      <c r="W4600">
        <v>0.1761828</v>
      </c>
      <c r="X4600">
        <v>0.98256679999999996</v>
      </c>
      <c r="Y4600">
        <v>2.4510839999999999E-2</v>
      </c>
      <c r="Z4600">
        <v>5.1366400000000005E-4</v>
      </c>
      <c r="AA4600">
        <v>0.99969940000000002</v>
      </c>
      <c r="AB4600">
        <v>36</v>
      </c>
      <c r="AC4600">
        <v>-27.807300000000001</v>
      </c>
      <c r="AD4600">
        <v>-1.110164823918</v>
      </c>
      <c r="AE4600">
        <v>0.81750000000002299</v>
      </c>
      <c r="AF4600">
        <v>0.69051759448685301</v>
      </c>
      <c r="AG4600">
        <v>-1.110164823918</v>
      </c>
      <c r="AH4600">
        <v>27.7664972364779</v>
      </c>
      <c r="AI4600">
        <v>92.288883191061799</v>
      </c>
      <c r="AJ4600">
        <v>88.575420211803703</v>
      </c>
      <c r="AK4600">
        <v>27.797259743864998</v>
      </c>
      <c r="AL4600">
        <v>79.852502543774506</v>
      </c>
      <c r="AM4600">
        <v>93.456448793645094</v>
      </c>
      <c r="AN4600">
        <v>0.99999996551335302</v>
      </c>
    </row>
    <row r="4601" spans="1:40" x14ac:dyDescent="0.25">
      <c r="A4601" t="str">
        <f>"20190304155727561"</f>
        <v>20190304155727561</v>
      </c>
      <c r="B4601" t="str">
        <f>"1551686247549523"</f>
        <v>1551686247549523</v>
      </c>
      <c r="C4601" t="s">
        <v>40</v>
      </c>
      <c r="D4601">
        <v>4.809539</v>
      </c>
      <c r="E4601">
        <v>0.52577609999999997</v>
      </c>
      <c r="F4601" t="s">
        <v>41</v>
      </c>
      <c r="G4601">
        <v>-362.62580000000003</v>
      </c>
      <c r="H4601" s="1">
        <v>-3.9123359999999999E-6</v>
      </c>
      <c r="I4601">
        <v>142.6035</v>
      </c>
      <c r="J4601">
        <v>-332.58909999999997</v>
      </c>
      <c r="K4601">
        <v>1.1101620000000001</v>
      </c>
      <c r="L4601">
        <v>141.94710000000001</v>
      </c>
      <c r="M4601">
        <v>-0.99991370000000002</v>
      </c>
      <c r="N4601">
        <v>-1.2451759999999999E-2</v>
      </c>
      <c r="O4601">
        <v>4.2053669999999998E-3</v>
      </c>
      <c r="P4601">
        <v>-0.98492639999999998</v>
      </c>
      <c r="Q4601">
        <v>0.16411689999999901</v>
      </c>
      <c r="R4601">
        <v>-5.4642250000000003E-2</v>
      </c>
      <c r="S4601">
        <v>-3.0682070000000001</v>
      </c>
      <c r="T4601">
        <v>-0.11203630000000001</v>
      </c>
      <c r="U4601">
        <v>6.6390989999999997E-2</v>
      </c>
      <c r="V4601">
        <v>-5.8908540000000002E-2</v>
      </c>
      <c r="W4601">
        <v>0.17632400000000001</v>
      </c>
      <c r="X4601">
        <v>0.98256779999999999</v>
      </c>
      <c r="Y4601">
        <v>1.7414059999999999E-2</v>
      </c>
      <c r="Z4601">
        <v>3.251401E-4</v>
      </c>
      <c r="AA4601">
        <v>0.99984830000000002</v>
      </c>
      <c r="AB4601">
        <v>36</v>
      </c>
      <c r="AC4601">
        <v>-30.0367</v>
      </c>
      <c r="AD4601">
        <v>-1.1101659123359999</v>
      </c>
      <c r="AE4601">
        <v>0.65639999999998999</v>
      </c>
      <c r="AF4601">
        <v>0.52934628689602203</v>
      </c>
      <c r="AG4601">
        <v>-1.1101659123359999</v>
      </c>
      <c r="AH4601">
        <v>29.998234997442299</v>
      </c>
      <c r="AI4601">
        <v>92.119088657061795</v>
      </c>
      <c r="AJ4601">
        <v>88.989068497933602</v>
      </c>
      <c r="AK4601">
        <v>30.023437158429001</v>
      </c>
      <c r="AL4601">
        <v>79.844283299753101</v>
      </c>
      <c r="AM4601">
        <v>93.430985036286003</v>
      </c>
      <c r="AN4601">
        <v>0.99999992532888204</v>
      </c>
    </row>
    <row r="4602" spans="1:40" x14ac:dyDescent="0.25">
      <c r="A4602" t="str">
        <f>"20190304155727583"</f>
        <v>20190304155727583</v>
      </c>
      <c r="B4602" t="str">
        <f>"1551686247579778"</f>
        <v>1551686247579778</v>
      </c>
      <c r="C4602" t="s">
        <v>40</v>
      </c>
      <c r="D4602">
        <v>4.8194739999999996</v>
      </c>
      <c r="E4602">
        <v>0.52267799999999998</v>
      </c>
      <c r="F4602" t="s">
        <v>41</v>
      </c>
      <c r="G4602">
        <v>-364.75659999999999</v>
      </c>
      <c r="H4602" s="1">
        <v>-2.9938859999999999E-6</v>
      </c>
      <c r="I4602">
        <v>142.48079999999999</v>
      </c>
      <c r="J4602">
        <v>-332.94970000000001</v>
      </c>
      <c r="K4602">
        <v>1.110161</v>
      </c>
      <c r="L4602">
        <v>141.94820000000001</v>
      </c>
      <c r="M4602">
        <v>-0.99991509999999995</v>
      </c>
      <c r="N4602">
        <v>-1.2442369999999999E-2</v>
      </c>
      <c r="O4602">
        <v>3.8884179999999998E-3</v>
      </c>
      <c r="P4602">
        <v>-0.98494340000000002</v>
      </c>
      <c r="Q4602">
        <v>0.16381499999999999</v>
      </c>
      <c r="R4602">
        <v>-5.523571E-2</v>
      </c>
      <c r="S4602">
        <v>-3.0664060000000002</v>
      </c>
      <c r="T4602">
        <v>-0.10582800000000001</v>
      </c>
      <c r="U4602">
        <v>5.0888059999999999E-2</v>
      </c>
      <c r="V4602">
        <v>-5.9190670000000001E-2</v>
      </c>
      <c r="W4602">
        <v>0.17601229999999901</v>
      </c>
      <c r="X4602">
        <v>0.9826068</v>
      </c>
      <c r="Y4602">
        <v>1.2695410000000001E-2</v>
      </c>
      <c r="Z4602">
        <v>2.1223729999999999E-4</v>
      </c>
      <c r="AA4602">
        <v>0.99991940000000001</v>
      </c>
      <c r="AB4602">
        <v>36</v>
      </c>
      <c r="AC4602">
        <v>-31.806899999999899</v>
      </c>
      <c r="AD4602">
        <v>-1.110163993886</v>
      </c>
      <c r="AE4602">
        <v>0.53259999999997298</v>
      </c>
      <c r="AF4602">
        <v>0.408410483431979</v>
      </c>
      <c r="AG4602">
        <v>-1.110163993886</v>
      </c>
      <c r="AH4602">
        <v>31.7700380672518</v>
      </c>
      <c r="AI4602">
        <v>92.001149378065605</v>
      </c>
      <c r="AJ4602">
        <v>89.263491341211804</v>
      </c>
      <c r="AK4602">
        <v>31.792052183068101</v>
      </c>
      <c r="AL4602">
        <v>79.862426854686603</v>
      </c>
      <c r="AM4602">
        <v>93.447240981011106</v>
      </c>
      <c r="AN4602">
        <v>0.99999999428628905</v>
      </c>
    </row>
    <row r="4603" spans="1:40" x14ac:dyDescent="0.25">
      <c r="A4603" t="str">
        <f>"20190304155727606"</f>
        <v>20190304155727606</v>
      </c>
      <c r="B4603" t="str">
        <f>"1551686247599298"</f>
        <v>1551686247599298</v>
      </c>
      <c r="C4603" t="s">
        <v>40</v>
      </c>
      <c r="D4603">
        <v>4.8228239999999998</v>
      </c>
      <c r="E4603">
        <v>0.52079969999999998</v>
      </c>
      <c r="F4603" t="s">
        <v>41</v>
      </c>
      <c r="G4603">
        <v>-365.82859999999999</v>
      </c>
      <c r="H4603" s="1">
        <v>-2.460461E-6</v>
      </c>
      <c r="I4603">
        <v>142.20439999999999</v>
      </c>
      <c r="J4603">
        <v>-333.31819999999999</v>
      </c>
      <c r="K4603">
        <v>1.1101650000000001</v>
      </c>
      <c r="L4603">
        <v>141.94929999999999</v>
      </c>
      <c r="M4603">
        <v>-0.99991649999999999</v>
      </c>
      <c r="N4603">
        <v>-1.2433949999999999E-2</v>
      </c>
      <c r="O4603">
        <v>3.5631870000000002E-3</v>
      </c>
      <c r="P4603">
        <v>-0.98496320000000004</v>
      </c>
      <c r="Q4603">
        <v>0.16358929999999999</v>
      </c>
      <c r="R4603">
        <v>-5.5552289999999997E-2</v>
      </c>
      <c r="S4603">
        <v>-3.0644230000000001</v>
      </c>
      <c r="T4603">
        <v>-0.10347099999999999</v>
      </c>
      <c r="U4603">
        <v>2.3879999999999998E-2</v>
      </c>
      <c r="V4603">
        <v>-5.9188030000000003E-2</v>
      </c>
      <c r="W4603">
        <v>0.17577899999999999</v>
      </c>
      <c r="X4603">
        <v>0.98264870000000004</v>
      </c>
      <c r="Y4603">
        <v>4.226535E-3</v>
      </c>
      <c r="Z4603" s="1">
        <v>2.1644090000000001E-5</v>
      </c>
      <c r="AA4603">
        <v>0.99999110000000002</v>
      </c>
      <c r="AB4603">
        <v>36</v>
      </c>
      <c r="AC4603">
        <v>-32.510399999999997</v>
      </c>
      <c r="AD4603">
        <v>-1.1101674604609999</v>
      </c>
      <c r="AE4603">
        <v>0.255099999999998</v>
      </c>
      <c r="AF4603">
        <v>0.13908663008562799</v>
      </c>
      <c r="AG4603">
        <v>-1.1101674604609999</v>
      </c>
      <c r="AH4603">
        <v>32.473238213371999</v>
      </c>
      <c r="AI4603">
        <v>91.957998872988995</v>
      </c>
      <c r="AJ4603">
        <v>89.754597059040904</v>
      </c>
      <c r="AK4603">
        <v>32.492507089225001</v>
      </c>
      <c r="AL4603">
        <v>79.876005459066505</v>
      </c>
      <c r="AM4603">
        <v>93.446940970297504</v>
      </c>
      <c r="AN4603">
        <v>0.99999997367398497</v>
      </c>
    </row>
    <row r="4604" spans="1:40" x14ac:dyDescent="0.25">
      <c r="A4604" t="str">
        <f>"20190304155727627"</f>
        <v>20190304155727627</v>
      </c>
      <c r="B4604" t="str">
        <f>"1551686247619798"</f>
        <v>1551686247619798</v>
      </c>
      <c r="C4604" t="s">
        <v>40</v>
      </c>
      <c r="D4604">
        <v>4.856287</v>
      </c>
      <c r="E4604">
        <v>0.51933750000000001</v>
      </c>
      <c r="F4604" t="s">
        <v>41</v>
      </c>
      <c r="G4604">
        <v>-365.97239999999999</v>
      </c>
      <c r="H4604" s="1">
        <v>-2.3534159999999998E-6</v>
      </c>
      <c r="I4604">
        <v>142.03380000000001</v>
      </c>
      <c r="J4604">
        <v>-333.66840000000002</v>
      </c>
      <c r="K4604">
        <v>1.1101650000000001</v>
      </c>
      <c r="L4604">
        <v>141.9503</v>
      </c>
      <c r="M4604">
        <v>-0.99991759999999996</v>
      </c>
      <c r="N4604">
        <v>-1.2426960000000001E-2</v>
      </c>
      <c r="O4604">
        <v>3.2533900000000001E-3</v>
      </c>
      <c r="P4604">
        <v>-0.98487630000000004</v>
      </c>
      <c r="Q4604">
        <v>0.16389289999999901</v>
      </c>
      <c r="R4604">
        <v>-5.619797E-2</v>
      </c>
      <c r="S4604">
        <v>-3.0635379999999999</v>
      </c>
      <c r="T4604">
        <v>-0.1041535</v>
      </c>
      <c r="U4604">
        <v>7.9345700000000002E-3</v>
      </c>
      <c r="V4604">
        <v>-5.9529230000000002E-2</v>
      </c>
      <c r="W4604">
        <v>0.17607429999999999</v>
      </c>
      <c r="X4604">
        <v>0.98257519999999998</v>
      </c>
      <c r="Y4604">
        <v>-6.6237030000000001E-4</v>
      </c>
      <c r="Z4604" s="1">
        <v>-8.5525449999999996E-5</v>
      </c>
      <c r="AA4604">
        <v>0.99999979999999999</v>
      </c>
      <c r="AB4604">
        <v>36</v>
      </c>
      <c r="AC4604">
        <v>-32.303999999999903</v>
      </c>
      <c r="AD4604">
        <v>-1.1101673534159999</v>
      </c>
      <c r="AE4604">
        <v>8.3500000000015007E-2</v>
      </c>
      <c r="AF4604">
        <v>-2.1580569617110999E-2</v>
      </c>
      <c r="AG4604">
        <v>-1.1101673534159999</v>
      </c>
      <c r="AH4604">
        <v>32.265993543046903</v>
      </c>
      <c r="AI4604">
        <v>91.970582658584703</v>
      </c>
      <c r="AJ4604">
        <v>90.038321317225893</v>
      </c>
      <c r="AK4604">
        <v>32.285093721306097</v>
      </c>
      <c r="AL4604">
        <v>79.858817764853498</v>
      </c>
      <c r="AM4604">
        <v>93.467021848329196</v>
      </c>
      <c r="AN4604">
        <v>0.99999995599996006</v>
      </c>
    </row>
    <row r="4605" spans="1:40" x14ac:dyDescent="0.25">
      <c r="A4605" t="str">
        <f>"20190304155727642"</f>
        <v>20190304155727642</v>
      </c>
      <c r="B4605" t="str">
        <f>"1551686247629555"</f>
        <v>1551686247629555</v>
      </c>
      <c r="C4605" t="s">
        <v>40</v>
      </c>
      <c r="D4605">
        <v>5.0402519999999997</v>
      </c>
      <c r="E4605">
        <v>0.51837619999999995</v>
      </c>
      <c r="F4605" t="s">
        <v>41</v>
      </c>
      <c r="G4605">
        <v>-366.1671</v>
      </c>
      <c r="H4605" s="1">
        <v>-2.2318599999999999E-6</v>
      </c>
      <c r="I4605">
        <v>141.89089999999999</v>
      </c>
      <c r="J4605">
        <v>-333.90109999999999</v>
      </c>
      <c r="K4605">
        <v>1.1101700000000001</v>
      </c>
      <c r="L4605">
        <v>141.95079999999999</v>
      </c>
      <c r="M4605">
        <v>-0.99991819999999998</v>
      </c>
      <c r="N4605">
        <v>-1.2422860000000001E-2</v>
      </c>
      <c r="O4605">
        <v>3.0472350000000001E-3</v>
      </c>
      <c r="P4605">
        <v>-0.98486569999999996</v>
      </c>
      <c r="Q4605">
        <v>0.16384649999999901</v>
      </c>
      <c r="R4605">
        <v>-5.6515780000000002E-2</v>
      </c>
      <c r="S4605">
        <v>-3.0631710000000001</v>
      </c>
      <c r="T4605">
        <v>-0.1046393</v>
      </c>
      <c r="U4605">
        <v>-5.5847170000000003E-3</v>
      </c>
      <c r="V4605">
        <v>-5.964411E-2</v>
      </c>
      <c r="W4605">
        <v>0.17602319999999999</v>
      </c>
      <c r="X4605">
        <v>0.98257740000000005</v>
      </c>
      <c r="Y4605">
        <v>-4.8660450000000003E-3</v>
      </c>
      <c r="Z4605">
        <v>-1.795418E-4</v>
      </c>
      <c r="AA4605">
        <v>0.99998810000000005</v>
      </c>
      <c r="AB4605">
        <v>36</v>
      </c>
      <c r="AC4605">
        <v>-32.265999999999998</v>
      </c>
      <c r="AD4605">
        <v>-1.11017223186</v>
      </c>
      <c r="AE4605">
        <v>-5.9899999999998899E-2</v>
      </c>
      <c r="AF4605">
        <v>-0.15804229811366599</v>
      </c>
      <c r="AG4605">
        <v>-1.11017223186</v>
      </c>
      <c r="AH4605">
        <v>32.227515760906002</v>
      </c>
      <c r="AI4605">
        <v>91.972918961138006</v>
      </c>
      <c r="AJ4605">
        <v>90.280973691742204</v>
      </c>
      <c r="AK4605">
        <v>32.247018961011399</v>
      </c>
      <c r="AL4605">
        <v>79.861792144685793</v>
      </c>
      <c r="AM4605">
        <v>93.4736884096708</v>
      </c>
      <c r="AN4605">
        <v>0.99999996689334503</v>
      </c>
    </row>
    <row r="4606" spans="1:40" x14ac:dyDescent="0.25">
      <c r="A4606" t="str">
        <f>"20190304155727654"</f>
        <v>20190304155727654</v>
      </c>
      <c r="B4606" t="str">
        <f>"1551686247649075"</f>
        <v>1551686247649075</v>
      </c>
      <c r="C4606" t="s">
        <v>40</v>
      </c>
      <c r="D4606">
        <v>4.8665510000000003</v>
      </c>
      <c r="E4606">
        <v>0.51713249999999999</v>
      </c>
      <c r="F4606" t="s">
        <v>41</v>
      </c>
      <c r="G4606">
        <v>-366.28879999999998</v>
      </c>
      <c r="H4606" s="1">
        <v>-2.1558819999999999E-6</v>
      </c>
      <c r="I4606">
        <v>141.80160000000001</v>
      </c>
      <c r="J4606">
        <v>-334.12020000000001</v>
      </c>
      <c r="K4606">
        <v>1.110169</v>
      </c>
      <c r="L4606">
        <v>141.9513</v>
      </c>
      <c r="M4606">
        <v>-0.99991890000000005</v>
      </c>
      <c r="N4606">
        <v>-1.24182999999999E-2</v>
      </c>
      <c r="O4606">
        <v>2.8533059999999999E-3</v>
      </c>
      <c r="P4606">
        <v>-0.98480909999999999</v>
      </c>
      <c r="Q4606">
        <v>0.1640597</v>
      </c>
      <c r="R4606">
        <v>-5.6885640000000001E-2</v>
      </c>
      <c r="S4606">
        <v>-3.0627439999999999</v>
      </c>
      <c r="T4606">
        <v>-0.1049836</v>
      </c>
      <c r="U4606">
        <v>-1.409912E-2</v>
      </c>
      <c r="V4606">
        <v>-5.9823630000000003E-2</v>
      </c>
      <c r="W4606">
        <v>0.17623159999999999</v>
      </c>
      <c r="X4606">
        <v>0.98252919999999999</v>
      </c>
      <c r="Y4606">
        <v>-7.4502129999999998E-3</v>
      </c>
      <c r="Z4606">
        <v>-2.3627730000000001E-4</v>
      </c>
      <c r="AA4606">
        <v>0.99997219999999998</v>
      </c>
      <c r="AB4606">
        <v>36</v>
      </c>
      <c r="AC4606">
        <v>-32.168599999999898</v>
      </c>
      <c r="AD4606">
        <v>-1.110171155882</v>
      </c>
      <c r="AE4606">
        <v>-0.149699999999995</v>
      </c>
      <c r="AF4606">
        <v>-0.241206048017508</v>
      </c>
      <c r="AG4606">
        <v>-1.110171155882</v>
      </c>
      <c r="AH4606">
        <v>32.129775789965002</v>
      </c>
      <c r="AI4606">
        <v>91.978882030472604</v>
      </c>
      <c r="AJ4606">
        <v>90.430125283666101</v>
      </c>
      <c r="AK4606">
        <v>32.149854629008402</v>
      </c>
      <c r="AL4606">
        <v>79.849662790024496</v>
      </c>
      <c r="AM4606">
        <v>93.484288483828195</v>
      </c>
      <c r="AN4606">
        <v>1.00000003619878</v>
      </c>
    </row>
    <row r="4607" spans="1:40" x14ac:dyDescent="0.25">
      <c r="A4607" t="str">
        <f>"20190304155727667"</f>
        <v>20190304155727667</v>
      </c>
      <c r="B4607" t="str">
        <f>"1551686247659810"</f>
        <v>1551686247659810</v>
      </c>
      <c r="C4607" t="s">
        <v>40</v>
      </c>
      <c r="D4607">
        <v>4.8737490000000001</v>
      </c>
      <c r="E4607">
        <v>0.51668610000000004</v>
      </c>
      <c r="F4607" t="s">
        <v>41</v>
      </c>
      <c r="G4607">
        <v>-366.4452</v>
      </c>
      <c r="H4607" s="1">
        <v>-2.0577409999999999E-6</v>
      </c>
      <c r="I4607">
        <v>141.685</v>
      </c>
      <c r="J4607">
        <v>-334.33929999999998</v>
      </c>
      <c r="K4607">
        <v>1.110166</v>
      </c>
      <c r="L4607">
        <v>141.95169999999999</v>
      </c>
      <c r="M4607">
        <v>-0.99991940000000001</v>
      </c>
      <c r="N4607">
        <v>-1.2412390000000001E-2</v>
      </c>
      <c r="O4607">
        <v>2.6601060000000002E-3</v>
      </c>
      <c r="P4607">
        <v>-0.98481989999999997</v>
      </c>
      <c r="Q4607">
        <v>0.1639467</v>
      </c>
      <c r="R4607">
        <v>-5.7020929999999997E-2</v>
      </c>
      <c r="S4607">
        <v>-3.0623469999999999</v>
      </c>
      <c r="T4607">
        <v>-0.10517360000000001</v>
      </c>
      <c r="U4607">
        <v>-2.522278E-2</v>
      </c>
      <c r="V4607">
        <v>-5.9768689999999999E-2</v>
      </c>
      <c r="W4607">
        <v>0.17611280000000001</v>
      </c>
      <c r="X4607">
        <v>0.98255380000000003</v>
      </c>
      <c r="Y4607">
        <v>-1.0886949999999999E-2</v>
      </c>
      <c r="Z4607">
        <v>-3.1280840000000001E-4</v>
      </c>
      <c r="AA4607">
        <v>0.99994070000000002</v>
      </c>
      <c r="AB4607">
        <v>36</v>
      </c>
      <c r="AC4607">
        <v>-32.105899999999998</v>
      </c>
      <c r="AD4607">
        <v>-1.110168057741</v>
      </c>
      <c r="AE4607">
        <v>-0.266699999999985</v>
      </c>
      <c r="AF4607">
        <v>-0.35169026241579199</v>
      </c>
      <c r="AG4607">
        <v>-1.110168057741</v>
      </c>
      <c r="AH4607">
        <v>32.066738607818003</v>
      </c>
      <c r="AI4607">
        <v>91.982700191739596</v>
      </c>
      <c r="AJ4607">
        <v>90.628363242944602</v>
      </c>
      <c r="AK4607">
        <v>32.087877525620698</v>
      </c>
      <c r="AL4607">
        <v>79.856577231298104</v>
      </c>
      <c r="AM4607">
        <v>93.4810095621865</v>
      </c>
      <c r="AN4607">
        <v>0.99999999226129799</v>
      </c>
    </row>
    <row r="4608" spans="1:40" x14ac:dyDescent="0.25">
      <c r="A4608" t="str">
        <f>"20190304155727685"</f>
        <v>20190304155727685</v>
      </c>
      <c r="B4608" t="str">
        <f>"1551686247679330"</f>
        <v>1551686247679330</v>
      </c>
      <c r="C4608" t="s">
        <v>40</v>
      </c>
      <c r="D4608">
        <v>4.8066769999999996</v>
      </c>
      <c r="E4608">
        <v>0.51616899999999999</v>
      </c>
      <c r="F4608" t="s">
        <v>41</v>
      </c>
      <c r="G4608">
        <v>-366.4785</v>
      </c>
      <c r="H4608" s="1">
        <v>-2.0326249999999999E-6</v>
      </c>
      <c r="I4608">
        <v>141.64420000000001</v>
      </c>
      <c r="J4608">
        <v>-334.59840000000003</v>
      </c>
      <c r="K4608">
        <v>1.1101639999999999</v>
      </c>
      <c r="L4608">
        <v>141.9522</v>
      </c>
      <c r="M4608">
        <v>-0.99992020000000004</v>
      </c>
      <c r="N4608">
        <v>-1.240342E-2</v>
      </c>
      <c r="O4608">
        <v>2.4311770000000001E-3</v>
      </c>
      <c r="P4608">
        <v>-0.98478560000000004</v>
      </c>
      <c r="Q4608">
        <v>0.16385339999999901</v>
      </c>
      <c r="R4608">
        <v>-5.7876469999999999E-2</v>
      </c>
      <c r="S4608">
        <v>-3.0621640000000001</v>
      </c>
      <c r="T4608">
        <v>-0.1057752</v>
      </c>
      <c r="U4608">
        <v>-2.9296880000000001E-2</v>
      </c>
      <c r="V4608">
        <v>-6.0398559999999997E-2</v>
      </c>
      <c r="W4608">
        <v>0.17600950000000001</v>
      </c>
      <c r="X4608">
        <v>0.98253380000000001</v>
      </c>
      <c r="Y4608">
        <v>-1.198785E-2</v>
      </c>
      <c r="Z4608">
        <v>-3.3516230000000001E-4</v>
      </c>
      <c r="AA4608">
        <v>0.99992809999999999</v>
      </c>
      <c r="AB4608">
        <v>36</v>
      </c>
      <c r="AC4608">
        <v>-31.880099999999899</v>
      </c>
      <c r="AD4608">
        <v>-1.110166032625</v>
      </c>
      <c r="AE4608">
        <v>-0.307999999999992</v>
      </c>
      <c r="AF4608">
        <v>-0.38504433032048602</v>
      </c>
      <c r="AG4608">
        <v>-1.110166032625</v>
      </c>
      <c r="AH4608">
        <v>31.8406488572091</v>
      </c>
      <c r="AI4608">
        <v>91.996737798297801</v>
      </c>
      <c r="AJ4608">
        <v>90.692835747373195</v>
      </c>
      <c r="AK4608">
        <v>31.8623233208816</v>
      </c>
      <c r="AL4608">
        <v>79.862589876899193</v>
      </c>
      <c r="AM4608">
        <v>93.517673835361407</v>
      </c>
      <c r="AN4608">
        <v>0.99999999914138105</v>
      </c>
    </row>
    <row r="4609" spans="1:40" x14ac:dyDescent="0.25">
      <c r="A4609" t="str">
        <f>"20190304155727708"</f>
        <v>20190304155727708</v>
      </c>
      <c r="B4609" t="str">
        <f>"1551686247699826"</f>
        <v>1551686247699826</v>
      </c>
      <c r="C4609" t="s">
        <v>40</v>
      </c>
      <c r="D4609">
        <v>5.0432610000000002</v>
      </c>
      <c r="E4609">
        <v>0.5152293</v>
      </c>
      <c r="F4609" t="s">
        <v>41</v>
      </c>
      <c r="G4609">
        <v>-366.8091</v>
      </c>
      <c r="H4609" s="1">
        <v>-1.8708919999999999E-6</v>
      </c>
      <c r="I4609">
        <v>141.5694</v>
      </c>
      <c r="J4609">
        <v>-334.98090000000002</v>
      </c>
      <c r="K4609">
        <v>1.1101540000000001</v>
      </c>
      <c r="L4609">
        <v>141.9528</v>
      </c>
      <c r="M4609">
        <v>-0.99992110000000001</v>
      </c>
      <c r="N4609">
        <v>-1.238586E-2</v>
      </c>
      <c r="O4609">
        <v>2.0941979999999998E-3</v>
      </c>
      <c r="P4609">
        <v>-0.98474320000000004</v>
      </c>
      <c r="Q4609">
        <v>0.16378019999999999</v>
      </c>
      <c r="R4609">
        <v>-5.879786E-2</v>
      </c>
      <c r="S4609">
        <v>-3.0617679999999998</v>
      </c>
      <c r="T4609">
        <v>-0.10552640000000001</v>
      </c>
      <c r="U4609">
        <v>-3.6376949999999998E-2</v>
      </c>
      <c r="V4609">
        <v>-6.0987069999999997E-2</v>
      </c>
      <c r="W4609">
        <v>0.17591899999999999</v>
      </c>
      <c r="X4609">
        <v>0.98251370000000005</v>
      </c>
      <c r="Y4609">
        <v>-1.39626E-2</v>
      </c>
      <c r="Z4609">
        <v>-3.732683E-4</v>
      </c>
      <c r="AA4609">
        <v>0.99990239999999997</v>
      </c>
      <c r="AB4609">
        <v>36</v>
      </c>
      <c r="AC4609">
        <v>-31.828199999999899</v>
      </c>
      <c r="AD4609">
        <v>-1.1101558708920001</v>
      </c>
      <c r="AE4609">
        <v>-0.38339999999999402</v>
      </c>
      <c r="AF4609">
        <v>-0.44951203328509998</v>
      </c>
      <c r="AG4609">
        <v>-1.1101558708920001</v>
      </c>
      <c r="AH4609">
        <v>31.7886591069887</v>
      </c>
      <c r="AI4609">
        <v>91.999928816923301</v>
      </c>
      <c r="AJ4609">
        <v>90.810145084135698</v>
      </c>
      <c r="AK4609">
        <v>31.811214295372</v>
      </c>
      <c r="AL4609">
        <v>79.867857794523204</v>
      </c>
      <c r="AM4609">
        <v>93.551934412154495</v>
      </c>
      <c r="AN4609">
        <v>1.00000004397793</v>
      </c>
    </row>
    <row r="4610" spans="1:40" x14ac:dyDescent="0.25">
      <c r="A4610" t="str">
        <f>"20190304155727729"</f>
        <v>20190304155727729</v>
      </c>
      <c r="B4610" t="str">
        <f>"1551686247719347"</f>
        <v>1551686247719347</v>
      </c>
      <c r="C4610" t="s">
        <v>40</v>
      </c>
      <c r="D4610">
        <v>4.8134579999999998</v>
      </c>
      <c r="E4610">
        <v>0.51464829999999995</v>
      </c>
      <c r="F4610" t="s">
        <v>41</v>
      </c>
      <c r="G4610">
        <v>-366.95260000000002</v>
      </c>
      <c r="H4610" s="1">
        <v>-1.7811120000000001E-6</v>
      </c>
      <c r="I4610">
        <v>141.4633</v>
      </c>
      <c r="J4610">
        <v>-335.3193</v>
      </c>
      <c r="K4610">
        <v>1.1101479999999999</v>
      </c>
      <c r="L4610">
        <v>141.95320000000001</v>
      </c>
      <c r="M4610">
        <v>-0.99992199999999998</v>
      </c>
      <c r="N4610">
        <v>-1.236666E-2</v>
      </c>
      <c r="O4610">
        <v>1.7957400000000001E-3</v>
      </c>
      <c r="P4610">
        <v>-0.98472309999999996</v>
      </c>
      <c r="Q4610">
        <v>0.1637767</v>
      </c>
      <c r="R4610">
        <v>-5.9143679999999997E-2</v>
      </c>
      <c r="S4610">
        <v>-3.06134</v>
      </c>
      <c r="T4610">
        <v>-0.1062993</v>
      </c>
      <c r="U4610">
        <v>-4.6859739999999997E-2</v>
      </c>
      <c r="V4610">
        <v>-6.1038849999999999E-2</v>
      </c>
      <c r="W4610">
        <v>0.17589639999999901</v>
      </c>
      <c r="X4610">
        <v>0.98251449999999996</v>
      </c>
      <c r="Y4610">
        <v>-1.7086380000000002E-2</v>
      </c>
      <c r="Z4610">
        <v>-4.4237250000000002E-4</v>
      </c>
      <c r="AA4610">
        <v>0.99985389999999996</v>
      </c>
      <c r="AB4610">
        <v>36</v>
      </c>
      <c r="AC4610">
        <v>-31.633299999999998</v>
      </c>
      <c r="AD4610">
        <v>-1.110149781112</v>
      </c>
      <c r="AE4610">
        <v>-0.489900000000005</v>
      </c>
      <c r="AF4610">
        <v>-0.54603638758638096</v>
      </c>
      <c r="AG4610">
        <v>-1.110149781112</v>
      </c>
      <c r="AH4610">
        <v>31.593467602884299</v>
      </c>
      <c r="AI4610">
        <v>92.012164419878701</v>
      </c>
      <c r="AJ4610">
        <v>90.9901561399938</v>
      </c>
      <c r="AK4610">
        <v>31.6176815001918</v>
      </c>
      <c r="AL4610">
        <v>79.869172880783395</v>
      </c>
      <c r="AM4610">
        <v>93.5549395021376</v>
      </c>
      <c r="AN4610">
        <v>1.0000000137262599</v>
      </c>
    </row>
    <row r="4611" spans="1:40" x14ac:dyDescent="0.25">
      <c r="A4611" t="str">
        <f>"20190304155727753"</f>
        <v>20190304155727753</v>
      </c>
      <c r="B4611" t="str">
        <f>"1551686247749602"</f>
        <v>1551686247749602</v>
      </c>
      <c r="C4611" t="s">
        <v>40</v>
      </c>
      <c r="D4611">
        <v>4.7400570000000002</v>
      </c>
      <c r="E4611">
        <v>0.51458839999999995</v>
      </c>
      <c r="F4611" t="s">
        <v>41</v>
      </c>
      <c r="G4611">
        <v>-367.01049999999998</v>
      </c>
      <c r="H4611" s="1">
        <v>-1.741079E-6</v>
      </c>
      <c r="I4611">
        <v>141.40620000000001</v>
      </c>
      <c r="J4611">
        <v>-335.70569999999998</v>
      </c>
      <c r="K4611">
        <v>1.110142</v>
      </c>
      <c r="L4611">
        <v>141.95359999999999</v>
      </c>
      <c r="M4611">
        <v>-0.9999228</v>
      </c>
      <c r="N4611">
        <v>-1.233914E-2</v>
      </c>
      <c r="O4611">
        <v>1.455554E-3</v>
      </c>
      <c r="P4611">
        <v>-0.98464790000000002</v>
      </c>
      <c r="Q4611">
        <v>0.1640682</v>
      </c>
      <c r="R4611">
        <v>-5.9580580000000001E-2</v>
      </c>
      <c r="S4611">
        <v>-3.0612180000000002</v>
      </c>
      <c r="T4611">
        <v>-0.10723530000000001</v>
      </c>
      <c r="U4611">
        <v>-5.282593E-2</v>
      </c>
      <c r="V4611">
        <v>-6.1140390000000003E-2</v>
      </c>
      <c r="W4611">
        <v>0.1761606</v>
      </c>
      <c r="X4611">
        <v>0.98246089999999997</v>
      </c>
      <c r="Y4611">
        <v>-1.869349E-2</v>
      </c>
      <c r="Z4611">
        <v>-4.7569909999999998E-4</v>
      </c>
      <c r="AA4611">
        <v>0.99982510000000002</v>
      </c>
      <c r="AB4611">
        <v>36</v>
      </c>
      <c r="AC4611">
        <v>-31.3048</v>
      </c>
      <c r="AD4611">
        <v>-1.110143741079</v>
      </c>
      <c r="AE4611">
        <v>-0.54739999999998101</v>
      </c>
      <c r="AF4611">
        <v>-0.59222417333945299</v>
      </c>
      <c r="AG4611">
        <v>-1.110143741079</v>
      </c>
      <c r="AH4611">
        <v>31.264664119148701</v>
      </c>
      <c r="AI4611">
        <v>92.033236150284395</v>
      </c>
      <c r="AJ4611">
        <v>91.085183196806497</v>
      </c>
      <c r="AK4611">
        <v>31.289972372639198</v>
      </c>
      <c r="AL4611">
        <v>79.853795711404203</v>
      </c>
      <c r="AM4611">
        <v>93.561031818169795</v>
      </c>
      <c r="AN4611">
        <v>1.0000000621552501</v>
      </c>
    </row>
    <row r="4612" spans="1:40" x14ac:dyDescent="0.25">
      <c r="A4612" t="str">
        <f>"20190304155727774"</f>
        <v>20190304155727774</v>
      </c>
      <c r="B4612" t="str">
        <f>"1551686247769122"</f>
        <v>1551686247769122</v>
      </c>
      <c r="C4612" t="s">
        <v>40</v>
      </c>
      <c r="D4612">
        <v>4.7664720000000003</v>
      </c>
      <c r="E4612">
        <v>0.51477050000000002</v>
      </c>
      <c r="F4612" t="s">
        <v>41</v>
      </c>
      <c r="G4612">
        <v>-368.04860000000002</v>
      </c>
      <c r="H4612" s="1">
        <v>-1.28791E-6</v>
      </c>
      <c r="I4612">
        <v>141.3768</v>
      </c>
      <c r="J4612">
        <v>-336.04849999999999</v>
      </c>
      <c r="K4612">
        <v>1.1101399999999999</v>
      </c>
      <c r="L4612">
        <v>141.9538</v>
      </c>
      <c r="M4612">
        <v>-0.99992360000000002</v>
      </c>
      <c r="N4612">
        <v>-1.230824E-2</v>
      </c>
      <c r="O4612">
        <v>1.154721E-3</v>
      </c>
      <c r="P4612">
        <v>-0.98456969999999999</v>
      </c>
      <c r="Q4612">
        <v>0.16436919999999999</v>
      </c>
      <c r="R4612">
        <v>-6.0045519999999998E-2</v>
      </c>
      <c r="S4612">
        <v>-3.0609440000000001</v>
      </c>
      <c r="T4612">
        <v>-0.1050647</v>
      </c>
      <c r="U4612">
        <v>-5.4580690000000001E-2</v>
      </c>
      <c r="V4612">
        <v>-6.1308370000000001E-2</v>
      </c>
      <c r="W4612">
        <v>0.17643049999999999</v>
      </c>
      <c r="X4612">
        <v>0.98240190000000005</v>
      </c>
      <c r="Y4612">
        <v>-1.8967649999999999E-2</v>
      </c>
      <c r="Z4612">
        <v>-4.6760459999999998E-4</v>
      </c>
      <c r="AA4612">
        <v>0.99982000000000004</v>
      </c>
      <c r="AB4612">
        <v>36</v>
      </c>
      <c r="AC4612">
        <v>-32.000100000000003</v>
      </c>
      <c r="AD4612">
        <v>-1.1101412879100001</v>
      </c>
      <c r="AE4612">
        <v>-0.57699999999999796</v>
      </c>
      <c r="AF4612">
        <v>-0.61321582284534204</v>
      </c>
      <c r="AG4612">
        <v>-1.1101412879100001</v>
      </c>
      <c r="AH4612">
        <v>31.960959139925698</v>
      </c>
      <c r="AI4612">
        <v>91.988962812965298</v>
      </c>
      <c r="AJ4612">
        <v>91.099165020097004</v>
      </c>
      <c r="AK4612">
        <v>31.986111931094499</v>
      </c>
      <c r="AL4612">
        <v>79.838084522818207</v>
      </c>
      <c r="AM4612">
        <v>93.571004181678305</v>
      </c>
      <c r="AN4612">
        <v>0.99999996534295799</v>
      </c>
    </row>
    <row r="4613" spans="1:40" x14ac:dyDescent="0.25">
      <c r="A4613" t="str">
        <f>"20190304155727786"</f>
        <v>20190304155727786</v>
      </c>
      <c r="B4613" t="str">
        <f>"1551686247779859"</f>
        <v>1551686247779859</v>
      </c>
      <c r="C4613" t="s">
        <v>40</v>
      </c>
      <c r="D4613">
        <v>4.7326610000000002</v>
      </c>
      <c r="E4613">
        <v>0.51474109999999995</v>
      </c>
      <c r="F4613" t="s">
        <v>41</v>
      </c>
      <c r="G4613">
        <v>-368.43329999999997</v>
      </c>
      <c r="H4613" s="1">
        <v>-1.1224630000000001E-6</v>
      </c>
      <c r="I4613">
        <v>141.37530000000001</v>
      </c>
      <c r="J4613">
        <v>-336.2801</v>
      </c>
      <c r="K4613">
        <v>1.1101379999999901</v>
      </c>
      <c r="L4613">
        <v>141.9539</v>
      </c>
      <c r="M4613">
        <v>-0.99992409999999998</v>
      </c>
      <c r="N4613">
        <v>-1.2285290000000001E-2</v>
      </c>
      <c r="O4613">
        <v>9.5217170000000005E-4</v>
      </c>
      <c r="P4613">
        <v>-0.98454739999999996</v>
      </c>
      <c r="Q4613">
        <v>0.1644322</v>
      </c>
      <c r="R4613">
        <v>-6.0235490000000003E-2</v>
      </c>
      <c r="S4613">
        <v>-3.0612180000000002</v>
      </c>
      <c r="T4613">
        <v>-0.1049379</v>
      </c>
      <c r="U4613">
        <v>-5.4672239999999997E-2</v>
      </c>
      <c r="V4613">
        <v>-6.129855E-2</v>
      </c>
      <c r="W4613">
        <v>0.17647090000000001</v>
      </c>
      <c r="X4613">
        <v>0.98239529999999997</v>
      </c>
      <c r="Y4613">
        <v>-1.8793649999999999E-2</v>
      </c>
      <c r="Z4613">
        <v>-4.5843629999999999E-4</v>
      </c>
      <c r="AA4613">
        <v>0.99982329999999997</v>
      </c>
      <c r="AB4613">
        <v>36</v>
      </c>
      <c r="AC4613">
        <v>-32.153199999999899</v>
      </c>
      <c r="AD4613">
        <v>-1.1101391224629999</v>
      </c>
      <c r="AE4613">
        <v>-0.57859999999999401</v>
      </c>
      <c r="AF4613">
        <v>-0.60849227643426296</v>
      </c>
      <c r="AG4613">
        <v>-1.1101391224629999</v>
      </c>
      <c r="AH4613">
        <v>32.114363867124901</v>
      </c>
      <c r="AI4613">
        <v>91.979474602124299</v>
      </c>
      <c r="AJ4613">
        <v>91.085491467980404</v>
      </c>
      <c r="AK4613">
        <v>32.1393067490853</v>
      </c>
      <c r="AL4613">
        <v>79.835733314079704</v>
      </c>
      <c r="AM4613">
        <v>93.570457604889398</v>
      </c>
      <c r="AN4613">
        <v>1.0000000081205001</v>
      </c>
    </row>
    <row r="4614" spans="1:40" x14ac:dyDescent="0.25">
      <c r="A4614" t="str">
        <f>"20190304155727800"</f>
        <v>20190304155727800</v>
      </c>
      <c r="B4614" t="str">
        <f>"1551686247789618"</f>
        <v>1551686247789618</v>
      </c>
      <c r="C4614" t="s">
        <v>40</v>
      </c>
      <c r="D4614">
        <v>4.7039239999999998</v>
      </c>
      <c r="E4614">
        <v>0.51471429999999996</v>
      </c>
      <c r="F4614" t="s">
        <v>41</v>
      </c>
      <c r="G4614">
        <v>-368.8066</v>
      </c>
      <c r="H4614" s="1">
        <v>-9.5932189999999989E-7</v>
      </c>
      <c r="I4614">
        <v>141.36410000000001</v>
      </c>
      <c r="J4614">
        <v>-336.47370000000001</v>
      </c>
      <c r="K4614">
        <v>1.1101369999999999</v>
      </c>
      <c r="L4614">
        <v>141.9539</v>
      </c>
      <c r="M4614">
        <v>-0.99992449999999999</v>
      </c>
      <c r="N4614">
        <v>-1.2266340000000001E-2</v>
      </c>
      <c r="O4614">
        <v>7.8296669999999998E-4</v>
      </c>
      <c r="P4614">
        <v>-0.98451829999999996</v>
      </c>
      <c r="Q4614">
        <v>0.1645095</v>
      </c>
      <c r="R4614">
        <v>-6.0502640000000003E-2</v>
      </c>
      <c r="S4614">
        <v>-3.0611269999999999</v>
      </c>
      <c r="T4614">
        <v>-0.1044773</v>
      </c>
      <c r="U4614">
        <v>-5.5496219999999999E-2</v>
      </c>
      <c r="V4614">
        <v>-6.1399080000000002E-2</v>
      </c>
      <c r="W4614">
        <v>0.17652909999999999</v>
      </c>
      <c r="X4614">
        <v>0.98237850000000004</v>
      </c>
      <c r="Y4614">
        <v>-1.889412E-2</v>
      </c>
      <c r="Z4614">
        <v>-4.553626E-4</v>
      </c>
      <c r="AA4614">
        <v>0.99982139999999997</v>
      </c>
      <c r="AB4614">
        <v>36</v>
      </c>
      <c r="AC4614">
        <v>-32.332899999999903</v>
      </c>
      <c r="AD4614">
        <v>-1.1101379593218901</v>
      </c>
      <c r="AE4614">
        <v>-0.58979999999999599</v>
      </c>
      <c r="AF4614">
        <v>-0.61439326027222096</v>
      </c>
      <c r="AG4614">
        <v>-1.1101379593218901</v>
      </c>
      <c r="AH4614">
        <v>32.294370175548003</v>
      </c>
      <c r="AI4614">
        <v>91.968444929471701</v>
      </c>
      <c r="AJ4614">
        <v>91.089908069382005</v>
      </c>
      <c r="AK4614">
        <v>32.319285734717603</v>
      </c>
      <c r="AL4614">
        <v>79.8323448516431</v>
      </c>
      <c r="AM4614">
        <v>93.5763589934257</v>
      </c>
      <c r="AN4614">
        <v>0.999999943716951</v>
      </c>
    </row>
    <row r="4615" spans="1:40" x14ac:dyDescent="0.25">
      <c r="A4615" t="str">
        <f>"20190304155727813"</f>
        <v>20190304155727813</v>
      </c>
      <c r="B4615" t="str">
        <f>"1551686247809138"</f>
        <v>1551686247809138</v>
      </c>
      <c r="C4615" t="s">
        <v>40</v>
      </c>
      <c r="D4615">
        <v>4.7195199999999904</v>
      </c>
      <c r="E4615">
        <v>0.51471940000000005</v>
      </c>
      <c r="F4615" t="s">
        <v>41</v>
      </c>
      <c r="G4615">
        <v>-369.154</v>
      </c>
      <c r="H4615" s="1">
        <v>-8.0716219999999997E-7</v>
      </c>
      <c r="I4615">
        <v>141.35220000000001</v>
      </c>
      <c r="J4615">
        <v>-336.69589999999999</v>
      </c>
      <c r="K4615">
        <v>1.1101350000000001</v>
      </c>
      <c r="L4615">
        <v>141.9539</v>
      </c>
      <c r="M4615">
        <v>-0.99992490000000001</v>
      </c>
      <c r="N4615">
        <v>-1.2244909999999999E-2</v>
      </c>
      <c r="O4615">
        <v>5.886229E-4</v>
      </c>
      <c r="P4615">
        <v>-0.9844889</v>
      </c>
      <c r="Q4615">
        <v>0.16465669999999999</v>
      </c>
      <c r="R4615">
        <v>-6.0582230000000001E-2</v>
      </c>
      <c r="S4615">
        <v>-3.061096</v>
      </c>
      <c r="T4615">
        <v>-0.1039846</v>
      </c>
      <c r="U4615">
        <v>-5.6350709999999998E-2</v>
      </c>
      <c r="V4615">
        <v>-6.1287130000000002E-2</v>
      </c>
      <c r="W4615">
        <v>0.1766549</v>
      </c>
      <c r="X4615">
        <v>0.98236290000000004</v>
      </c>
      <c r="Y4615">
        <v>-1.8979079999999999E-2</v>
      </c>
      <c r="Z4615">
        <v>-4.5127729999999998E-4</v>
      </c>
      <c r="AA4615">
        <v>0.99981980000000004</v>
      </c>
      <c r="AB4615">
        <v>36</v>
      </c>
      <c r="AC4615">
        <v>-32.458100000000002</v>
      </c>
      <c r="AD4615">
        <v>-1.1101358071621901</v>
      </c>
      <c r="AE4615">
        <v>-0.60169999999999302</v>
      </c>
      <c r="AF4615">
        <v>-0.62008179514818995</v>
      </c>
      <c r="AG4615">
        <v>-1.1101358071621901</v>
      </c>
      <c r="AH4615">
        <v>32.419828974933999</v>
      </c>
      <c r="AI4615">
        <v>91.9608257627999</v>
      </c>
      <c r="AJ4615">
        <v>91.095741079006103</v>
      </c>
      <c r="AK4615">
        <v>32.444756336070498</v>
      </c>
      <c r="AL4615">
        <v>79.825022192349095</v>
      </c>
      <c r="AM4615">
        <v>93.569911577635693</v>
      </c>
      <c r="AN4615">
        <v>0.99999996664702795</v>
      </c>
    </row>
    <row r="4616" spans="1:40" x14ac:dyDescent="0.25">
      <c r="A4616" t="str">
        <f>"20190304155727828"</f>
        <v>20190304155727828</v>
      </c>
      <c r="B4616" t="str">
        <f>"1551686247819874"</f>
        <v>1551686247819874</v>
      </c>
      <c r="C4616" t="s">
        <v>40</v>
      </c>
      <c r="D4616">
        <v>4.6784319999999999</v>
      </c>
      <c r="E4616">
        <v>0.51471129999999998</v>
      </c>
      <c r="F4616" t="s">
        <v>41</v>
      </c>
      <c r="G4616">
        <v>-369.72629999999998</v>
      </c>
      <c r="H4616" s="1">
        <v>-5.5886599999999997E-7</v>
      </c>
      <c r="I4616">
        <v>141.34180000000001</v>
      </c>
      <c r="J4616">
        <v>-336.95069999999998</v>
      </c>
      <c r="K4616">
        <v>1.110134</v>
      </c>
      <c r="L4616">
        <v>141.9538</v>
      </c>
      <c r="M4616">
        <v>-0.99992539999999996</v>
      </c>
      <c r="N4616">
        <v>-1.222151E-2</v>
      </c>
      <c r="O4616">
        <v>3.6597609999999999E-4</v>
      </c>
      <c r="P4616">
        <v>-0.98444419999999999</v>
      </c>
      <c r="Q4616">
        <v>0.1649158</v>
      </c>
      <c r="R4616">
        <v>-6.0601769999999999E-2</v>
      </c>
      <c r="S4616">
        <v>-3.0609440000000001</v>
      </c>
      <c r="T4616">
        <v>-0.1028771</v>
      </c>
      <c r="U4616">
        <v>-5.6716919999999997E-2</v>
      </c>
      <c r="V4616">
        <v>-6.108823E-2</v>
      </c>
      <c r="W4616">
        <v>0.17689099999999999</v>
      </c>
      <c r="X4616">
        <v>0.98233280000000001</v>
      </c>
      <c r="Y4616">
        <v>-1.8877370000000001E-2</v>
      </c>
      <c r="Z4616">
        <v>-4.4035150000000002E-4</v>
      </c>
      <c r="AA4616">
        <v>0.99982170000000004</v>
      </c>
      <c r="AB4616">
        <v>36</v>
      </c>
      <c r="AC4616">
        <v>-32.775599999999997</v>
      </c>
      <c r="AD4616">
        <v>-1.1101345588660001</v>
      </c>
      <c r="AE4616">
        <v>-0.61199999999999399</v>
      </c>
      <c r="AF4616">
        <v>-0.62328114267208601</v>
      </c>
      <c r="AG4616">
        <v>-1.1101345588660001</v>
      </c>
      <c r="AH4616">
        <v>32.737829128946601</v>
      </c>
      <c r="AI4616">
        <v>91.941794936806701</v>
      </c>
      <c r="AJ4616">
        <v>91.090697400645396</v>
      </c>
      <c r="AK4616">
        <v>32.762575207051398</v>
      </c>
      <c r="AL4616">
        <v>79.811278184510797</v>
      </c>
      <c r="AM4616">
        <v>93.5584644284571</v>
      </c>
      <c r="AN4616">
        <v>0.99999996384068501</v>
      </c>
    </row>
    <row r="4617" spans="1:40" x14ac:dyDescent="0.25">
      <c r="A4617" t="str">
        <f>"20190304155727844"</f>
        <v>20190304155727844</v>
      </c>
      <c r="B4617" t="str">
        <f>"1551686247839394"</f>
        <v>1551686247839394</v>
      </c>
      <c r="C4617" t="s">
        <v>40</v>
      </c>
      <c r="D4617">
        <v>4.7156479999999998</v>
      </c>
      <c r="E4617">
        <v>0.51469929999999997</v>
      </c>
      <c r="F4617" t="s">
        <v>41</v>
      </c>
      <c r="G4617">
        <v>-370.3528</v>
      </c>
      <c r="H4617" s="1">
        <v>-4.4604910000000003E-6</v>
      </c>
      <c r="I4617">
        <v>141.333</v>
      </c>
      <c r="J4617">
        <v>-337.19279999999998</v>
      </c>
      <c r="K4617">
        <v>1.1101319999999999</v>
      </c>
      <c r="L4617">
        <v>141.9537</v>
      </c>
      <c r="M4617">
        <v>-0.99992559999999997</v>
      </c>
      <c r="N4617">
        <v>-1.220075E-2</v>
      </c>
      <c r="O4617">
        <v>1.5486840000000001E-4</v>
      </c>
      <c r="P4617">
        <v>-0.98441480000000003</v>
      </c>
      <c r="Q4617">
        <v>0.1649485</v>
      </c>
      <c r="R4617">
        <v>-6.0987689999999997E-2</v>
      </c>
      <c r="S4617">
        <v>-3.0609130000000002</v>
      </c>
      <c r="T4617">
        <v>-0.1017315</v>
      </c>
      <c r="U4617">
        <v>-5.6884770000000001E-2</v>
      </c>
      <c r="V4617">
        <v>-6.1266559999999998E-2</v>
      </c>
      <c r="W4617">
        <v>0.17690320000000001</v>
      </c>
      <c r="X4617">
        <v>0.98231950000000001</v>
      </c>
      <c r="Y4617">
        <v>-1.8721729999999999E-2</v>
      </c>
      <c r="Z4617">
        <v>-4.2852489999999999E-4</v>
      </c>
      <c r="AA4617">
        <v>0.99982459999999995</v>
      </c>
      <c r="AB4617">
        <v>36</v>
      </c>
      <c r="AC4617">
        <v>-33.159999999999997</v>
      </c>
      <c r="AD4617">
        <v>-1.11013646049099</v>
      </c>
      <c r="AE4617">
        <v>-0.62069999999999903</v>
      </c>
      <c r="AF4617">
        <v>-0.625135411528281</v>
      </c>
      <c r="AG4617">
        <v>-1.11013646049099</v>
      </c>
      <c r="AH4617">
        <v>33.122792823734599</v>
      </c>
      <c r="AI4617">
        <v>91.919253043956303</v>
      </c>
      <c r="AJ4617">
        <v>91.081230349586704</v>
      </c>
      <c r="AK4617">
        <v>33.1472864905667</v>
      </c>
      <c r="AL4617">
        <v>79.810568006121102</v>
      </c>
      <c r="AM4617">
        <v>93.568873756041597</v>
      </c>
      <c r="AN4617">
        <v>0.99999996681236103</v>
      </c>
    </row>
    <row r="4618" spans="1:40" x14ac:dyDescent="0.25">
      <c r="A4618" t="str">
        <f>"20190304155727857"</f>
        <v>20190304155727857</v>
      </c>
      <c r="B4618" t="str">
        <f>"1551686247849156"</f>
        <v>1551686247849156</v>
      </c>
      <c r="C4618" t="s">
        <v>40</v>
      </c>
      <c r="D4618">
        <v>4.6999129999999996</v>
      </c>
      <c r="E4618">
        <v>0.51465530000000004</v>
      </c>
      <c r="F4618" t="s">
        <v>41</v>
      </c>
      <c r="G4618">
        <v>-370.92759999999998</v>
      </c>
      <c r="H4618" s="1">
        <v>-4.2613880000000001E-6</v>
      </c>
      <c r="I4618">
        <v>141.3134</v>
      </c>
      <c r="J4618">
        <v>-337.4228</v>
      </c>
      <c r="K4618">
        <v>1.110131</v>
      </c>
      <c r="L4618">
        <v>141.95359999999999</v>
      </c>
      <c r="M4618">
        <v>-0.99992590000000003</v>
      </c>
      <c r="N4618">
        <v>-1.218202E-2</v>
      </c>
      <c r="O4618" s="1">
        <v>-4.5643899999999998E-5</v>
      </c>
      <c r="P4618">
        <v>-0.98436330000000005</v>
      </c>
      <c r="Q4618">
        <v>0.16518279999999999</v>
      </c>
      <c r="R4618">
        <v>-6.1186770000000001E-2</v>
      </c>
      <c r="S4618">
        <v>-3.060791</v>
      </c>
      <c r="T4618">
        <v>-0.1007236</v>
      </c>
      <c r="U4618">
        <v>-5.8090210000000003E-2</v>
      </c>
      <c r="V4618">
        <v>-6.1268360000000001E-2</v>
      </c>
      <c r="W4618">
        <v>0.17711859999999999</v>
      </c>
      <c r="X4618">
        <v>0.98228059999999995</v>
      </c>
      <c r="Y4618">
        <v>-1.8915749999999999E-2</v>
      </c>
      <c r="Z4618">
        <v>-4.2545259999999998E-4</v>
      </c>
      <c r="AA4618">
        <v>0.99982099999999996</v>
      </c>
      <c r="AB4618">
        <v>37</v>
      </c>
      <c r="AC4618">
        <v>-33.504799999999904</v>
      </c>
      <c r="AD4618">
        <v>-1.110135261388</v>
      </c>
      <c r="AE4618">
        <v>-0.640199999999992</v>
      </c>
      <c r="AF4618">
        <v>-0.63797046451263595</v>
      </c>
      <c r="AG4618">
        <v>-1.110135261388</v>
      </c>
      <c r="AH4618">
        <v>33.468100090708603</v>
      </c>
      <c r="AI4618">
        <v>91.899456879551593</v>
      </c>
      <c r="AJ4618">
        <v>91.092042530523997</v>
      </c>
      <c r="AK4618">
        <v>33.492583213210899</v>
      </c>
      <c r="AL4618">
        <v>79.798028759731196</v>
      </c>
      <c r="AM4618">
        <v>93.569119310204499</v>
      </c>
      <c r="AN4618">
        <v>0.99999999376970405</v>
      </c>
    </row>
    <row r="4619" spans="1:40" x14ac:dyDescent="0.25">
      <c r="A4619" t="str">
        <f>"20190304155727873"</f>
        <v>20190304155727873</v>
      </c>
      <c r="B4619" t="str">
        <f>"1551686247869651"</f>
        <v>1551686247869651</v>
      </c>
      <c r="C4619" t="s">
        <v>40</v>
      </c>
      <c r="D4619">
        <v>4.6769439999999998</v>
      </c>
      <c r="E4619">
        <v>0.51463239999999999</v>
      </c>
      <c r="F4619" t="s">
        <v>41</v>
      </c>
      <c r="G4619">
        <v>-371.46120000000002</v>
      </c>
      <c r="H4619" s="1">
        <v>-4.0768469999999999E-6</v>
      </c>
      <c r="I4619">
        <v>141.29660000000001</v>
      </c>
      <c r="J4619">
        <v>-337.68</v>
      </c>
      <c r="K4619">
        <v>1.110123</v>
      </c>
      <c r="L4619">
        <v>141.95339999999999</v>
      </c>
      <c r="M4619">
        <v>-0.99992590000000003</v>
      </c>
      <c r="N4619">
        <v>-1.2162249999999999E-2</v>
      </c>
      <c r="O4619">
        <v>-2.6975380000000002E-4</v>
      </c>
      <c r="P4619">
        <v>-0.98428859999999996</v>
      </c>
      <c r="Q4619">
        <v>0.165440899999999</v>
      </c>
      <c r="R4619">
        <v>-6.1688229999999997E-2</v>
      </c>
      <c r="S4619">
        <v>-3.0606990000000001</v>
      </c>
      <c r="T4619">
        <v>-9.9822279999999999E-2</v>
      </c>
      <c r="U4619">
        <v>-5.9066769999999998E-2</v>
      </c>
      <c r="V4619">
        <v>-6.1549989999999999E-2</v>
      </c>
      <c r="W4619">
        <v>0.17735600000000001</v>
      </c>
      <c r="X4619">
        <v>0.98222019999999999</v>
      </c>
      <c r="Y4619">
        <v>-1.9011320000000002E-2</v>
      </c>
      <c r="Z4619">
        <v>-4.2006109999999998E-4</v>
      </c>
      <c r="AA4619">
        <v>0.99981920000000002</v>
      </c>
      <c r="AB4619">
        <v>37</v>
      </c>
      <c r="AC4619">
        <v>-33.781199999999998</v>
      </c>
      <c r="AD4619">
        <v>-1.110127076847</v>
      </c>
      <c r="AE4619">
        <v>-0.65679999999997496</v>
      </c>
      <c r="AF4619">
        <v>-0.64698825664452497</v>
      </c>
      <c r="AG4619">
        <v>-1.110127076847</v>
      </c>
      <c r="AH4619">
        <v>33.744947577860302</v>
      </c>
      <c r="AI4619">
        <v>91.883866922205399</v>
      </c>
      <c r="AJ4619">
        <v>91.098391252354602</v>
      </c>
      <c r="AK4619">
        <v>33.769401282278103</v>
      </c>
      <c r="AL4619">
        <v>79.784208374949102</v>
      </c>
      <c r="AM4619">
        <v>93.585702556380895</v>
      </c>
      <c r="AN4619">
        <v>1.00000003664651</v>
      </c>
    </row>
    <row r="4620" spans="1:40" x14ac:dyDescent="0.25">
      <c r="A4620" t="str">
        <f>"20190304155727897"</f>
        <v>20190304155727897</v>
      </c>
      <c r="B4620" t="str">
        <f>"1551686247889170"</f>
        <v>1551686247889170</v>
      </c>
      <c r="C4620" t="s">
        <v>40</v>
      </c>
      <c r="D4620">
        <v>4.7457560000000001</v>
      </c>
      <c r="E4620">
        <v>0.51443450000000002</v>
      </c>
      <c r="F4620" t="s">
        <v>41</v>
      </c>
      <c r="G4620">
        <v>-372.20280000000002</v>
      </c>
      <c r="H4620" s="1">
        <v>-3.7661790000000001E-6</v>
      </c>
      <c r="I4620">
        <v>141.26570000000001</v>
      </c>
      <c r="J4620">
        <v>-338.07220000000001</v>
      </c>
      <c r="K4620">
        <v>1.11012</v>
      </c>
      <c r="L4620">
        <v>141.9529</v>
      </c>
      <c r="M4620">
        <v>-0.99992619999999999</v>
      </c>
      <c r="N4620">
        <v>-1.213503E-2</v>
      </c>
      <c r="O4620">
        <v>-6.1183339999999905E-4</v>
      </c>
      <c r="P4620">
        <v>-0.98420940000000001</v>
      </c>
      <c r="Q4620">
        <v>0.16564319999999999</v>
      </c>
      <c r="R4620">
        <v>-6.2406150000000001E-2</v>
      </c>
      <c r="S4620">
        <v>-3.060638</v>
      </c>
      <c r="T4620">
        <v>-9.8419190000000004E-2</v>
      </c>
      <c r="U4620">
        <v>-6.0958859999999997E-2</v>
      </c>
      <c r="V4620">
        <v>-6.1932069999999999E-2</v>
      </c>
      <c r="W4620">
        <v>0.1775302</v>
      </c>
      <c r="X4620">
        <v>0.9821647</v>
      </c>
      <c r="Y4620">
        <v>-1.9287720000000001E-2</v>
      </c>
      <c r="Z4620">
        <v>-4.1484310000000001E-4</v>
      </c>
      <c r="AA4620">
        <v>0.99981390000000003</v>
      </c>
      <c r="AB4620">
        <v>37</v>
      </c>
      <c r="AC4620">
        <v>-34.130600000000001</v>
      </c>
      <c r="AD4620">
        <v>-1.110123766179</v>
      </c>
      <c r="AE4620">
        <v>-0.68719999999999004</v>
      </c>
      <c r="AF4620">
        <v>-0.66561221043392005</v>
      </c>
      <c r="AG4620">
        <v>-1.110123766179</v>
      </c>
      <c r="AH4620">
        <v>34.094958794863302</v>
      </c>
      <c r="AI4620">
        <v>91.864523139694498</v>
      </c>
      <c r="AJ4620">
        <v>91.118403658633795</v>
      </c>
      <c r="AK4620">
        <v>34.119519774087401</v>
      </c>
      <c r="AL4620">
        <v>79.774066395364599</v>
      </c>
      <c r="AM4620">
        <v>93.608106019833201</v>
      </c>
      <c r="AN4620">
        <v>1.0000000255663</v>
      </c>
    </row>
    <row r="4621" spans="1:40" x14ac:dyDescent="0.25">
      <c r="A4621" t="str">
        <f>"20190304155727919"</f>
        <v>20190304155727919</v>
      </c>
      <c r="B4621" t="str">
        <f>"1551686247909667"</f>
        <v>1551686247909667</v>
      </c>
      <c r="C4621" t="s">
        <v>40</v>
      </c>
      <c r="D4621">
        <v>4.7713760000000001</v>
      </c>
      <c r="E4621">
        <v>0.47112660000000001</v>
      </c>
      <c r="F4621" t="s">
        <v>41</v>
      </c>
      <c r="G4621">
        <v>-372.70549999999997</v>
      </c>
      <c r="H4621" s="1">
        <v>-3.5382860000000001E-6</v>
      </c>
      <c r="I4621">
        <v>141.21979999999999</v>
      </c>
      <c r="J4621">
        <v>-338.41809999999998</v>
      </c>
      <c r="K4621">
        <v>1.110112</v>
      </c>
      <c r="L4621">
        <v>141.95240000000001</v>
      </c>
      <c r="M4621">
        <v>-0.99992630000000005</v>
      </c>
      <c r="N4621">
        <v>-1.2113580000000001E-2</v>
      </c>
      <c r="O4621">
        <v>-9.1377129999999996E-4</v>
      </c>
      <c r="P4621">
        <v>-0.98417169999999998</v>
      </c>
      <c r="Q4621">
        <v>0.16565679999999999</v>
      </c>
      <c r="R4621">
        <v>-6.2961760000000005E-2</v>
      </c>
      <c r="S4621">
        <v>-3.0605470000000001</v>
      </c>
      <c r="T4621">
        <v>-9.810162E-2</v>
      </c>
      <c r="U4621">
        <v>-6.4773559999999994E-2</v>
      </c>
      <c r="V4621">
        <v>-6.2190210000000003E-2</v>
      </c>
      <c r="W4621">
        <v>0.17752219999999999</v>
      </c>
      <c r="X4621">
        <v>0.98214979999999996</v>
      </c>
      <c r="Y4621">
        <v>-2.0231539999999999E-2</v>
      </c>
      <c r="Z4621">
        <v>-4.2851489999999999E-4</v>
      </c>
      <c r="AA4621">
        <v>0.99979530000000005</v>
      </c>
      <c r="AB4621">
        <v>37</v>
      </c>
      <c r="AC4621">
        <v>-34.287399999999899</v>
      </c>
      <c r="AD4621">
        <v>-1.110115538286</v>
      </c>
      <c r="AE4621">
        <v>-0.73260000000001901</v>
      </c>
      <c r="AF4621">
        <v>-0.70053255367105405</v>
      </c>
      <c r="AG4621">
        <v>-1.110115538286</v>
      </c>
      <c r="AH4621">
        <v>34.252166514629202</v>
      </c>
      <c r="AI4621">
        <v>91.855923303310803</v>
      </c>
      <c r="AJ4621">
        <v>91.171662052516496</v>
      </c>
      <c r="AK4621">
        <v>34.277310473737302</v>
      </c>
      <c r="AL4621">
        <v>79.774531809488195</v>
      </c>
      <c r="AM4621">
        <v>93.623159864309898</v>
      </c>
      <c r="AN4621">
        <v>0.999999991676362</v>
      </c>
    </row>
    <row r="4622" spans="1:40" x14ac:dyDescent="0.25">
      <c r="A4622" t="str">
        <f>"20190304155727933"</f>
        <v>20190304155727933</v>
      </c>
      <c r="B4622" t="str">
        <f>"1551686247929187"</f>
        <v>1551686247929187</v>
      </c>
      <c r="C4622" t="s">
        <v>40</v>
      </c>
      <c r="D4622">
        <v>4.7112119999999997</v>
      </c>
      <c r="E4622">
        <v>0.46408870000000002</v>
      </c>
      <c r="F4622" t="s">
        <v>41</v>
      </c>
      <c r="G4622">
        <v>-366.08800000000002</v>
      </c>
      <c r="H4622" s="1">
        <v>-1.9095000000000001E-6</v>
      </c>
      <c r="I4622">
        <v>138.21270000000001</v>
      </c>
      <c r="J4622">
        <v>-338.65129999999999</v>
      </c>
      <c r="K4622">
        <v>1.110112</v>
      </c>
      <c r="L4622">
        <v>141.952</v>
      </c>
      <c r="M4622">
        <v>-0.99992630000000005</v>
      </c>
      <c r="N4622">
        <v>-1.210027E-2</v>
      </c>
      <c r="O4622">
        <v>-1.117769E-3</v>
      </c>
      <c r="P4622">
        <v>-0.98415260000000004</v>
      </c>
      <c r="Q4622">
        <v>0.1655759</v>
      </c>
      <c r="R4622">
        <v>-6.3472390000000004E-2</v>
      </c>
      <c r="S4622">
        <v>-3.0424799999999999</v>
      </c>
      <c r="T4622">
        <v>-0.12206400000000001</v>
      </c>
      <c r="U4622">
        <v>-0.4111938</v>
      </c>
      <c r="V4622">
        <v>-6.2500840000000002E-2</v>
      </c>
      <c r="W4622">
        <v>0.1774279</v>
      </c>
      <c r="X4622">
        <v>0.9821472</v>
      </c>
      <c r="Y4622">
        <v>-0.1326888</v>
      </c>
      <c r="Z4622">
        <v>-3.4243350000000001E-3</v>
      </c>
      <c r="AA4622">
        <v>0.99115180000000003</v>
      </c>
      <c r="AB4622">
        <v>37</v>
      </c>
      <c r="AC4622">
        <v>-27.436699999999998</v>
      </c>
      <c r="AD4622">
        <v>-1.1101139095000001</v>
      </c>
      <c r="AE4622">
        <v>-3.7392999999999801</v>
      </c>
      <c r="AF4622">
        <v>-3.70267646999908</v>
      </c>
      <c r="AG4622">
        <v>-1.1101139095000001</v>
      </c>
      <c r="AH4622">
        <v>27.396829777858301</v>
      </c>
      <c r="AI4622">
        <v>92.299461275628801</v>
      </c>
      <c r="AJ4622">
        <v>97.696877718063902</v>
      </c>
      <c r="AK4622">
        <v>27.668184758138601</v>
      </c>
      <c r="AL4622">
        <v>79.7800227504041</v>
      </c>
      <c r="AM4622">
        <v>93.641218006285499</v>
      </c>
      <c r="AN4622">
        <v>1.00000006858347</v>
      </c>
    </row>
    <row r="4623" spans="1:40" x14ac:dyDescent="0.25">
      <c r="A4623" t="str">
        <f>"20190304155727951"</f>
        <v>20190304155727951</v>
      </c>
      <c r="B4623" t="str">
        <f>"1551686247949683"</f>
        <v>1551686247949683</v>
      </c>
      <c r="C4623" t="s">
        <v>40</v>
      </c>
      <c r="D4623">
        <v>4.7280819999999997</v>
      </c>
      <c r="E4623">
        <v>0.46178079999999999</v>
      </c>
      <c r="F4623" t="s">
        <v>41</v>
      </c>
      <c r="G4623">
        <v>-366.86779999999999</v>
      </c>
      <c r="H4623" s="1">
        <v>-1.6839830000000001E-6</v>
      </c>
      <c r="I4623">
        <v>137.59819999999999</v>
      </c>
      <c r="J4623">
        <v>-338.96350000000001</v>
      </c>
      <c r="K4623">
        <v>1.1101110000000001</v>
      </c>
      <c r="L4623">
        <v>141.95140000000001</v>
      </c>
      <c r="M4623">
        <v>-0.99992599999999998</v>
      </c>
      <c r="N4623">
        <v>-1.208393E-2</v>
      </c>
      <c r="O4623">
        <v>-1.3908849999999999E-3</v>
      </c>
      <c r="P4623">
        <v>-0.98409150000000001</v>
      </c>
      <c r="Q4623">
        <v>0.16548740000000001</v>
      </c>
      <c r="R4623">
        <v>-6.4635559999999995E-2</v>
      </c>
      <c r="S4623">
        <v>-3.0381770000000001</v>
      </c>
      <c r="T4623">
        <v>-0.1195306</v>
      </c>
      <c r="U4623">
        <v>-0.46878049999999999</v>
      </c>
      <c r="V4623">
        <v>-6.3395140000000003E-2</v>
      </c>
      <c r="W4623">
        <v>0.17732229999999999</v>
      </c>
      <c r="X4623">
        <v>0.98210889999999995</v>
      </c>
      <c r="Y4623">
        <v>-0.15096789999999999</v>
      </c>
      <c r="Z4623">
        <v>-3.8314870000000002E-3</v>
      </c>
      <c r="AA4623">
        <v>0.98853120000000005</v>
      </c>
      <c r="AB4623">
        <v>37</v>
      </c>
      <c r="AC4623">
        <v>-27.9042999999999</v>
      </c>
      <c r="AD4623">
        <v>-1.110112683983</v>
      </c>
      <c r="AE4623">
        <v>-4.35320000000001</v>
      </c>
      <c r="AF4623">
        <v>-4.3077255340374903</v>
      </c>
      <c r="AG4623">
        <v>-1.110112683983</v>
      </c>
      <c r="AH4623">
        <v>27.867271297645299</v>
      </c>
      <c r="AI4623">
        <v>92.254464109332702</v>
      </c>
      <c r="AJ4623">
        <v>98.787237340632899</v>
      </c>
      <c r="AK4623">
        <v>28.220093178873501</v>
      </c>
      <c r="AL4623">
        <v>79.786170133820306</v>
      </c>
      <c r="AM4623">
        <v>93.6933192118573</v>
      </c>
      <c r="AN4623">
        <v>1.0000000166560501</v>
      </c>
    </row>
    <row r="4624" spans="1:40" x14ac:dyDescent="0.25">
      <c r="A4624" t="str">
        <f>"20190304155727967"</f>
        <v>20190304155727967</v>
      </c>
      <c r="B4624" t="str">
        <f>"1551686247959443"</f>
        <v>1551686247959443</v>
      </c>
      <c r="C4624" t="s">
        <v>40</v>
      </c>
      <c r="D4624">
        <v>4.7365110000000001</v>
      </c>
      <c r="E4624">
        <v>0.46126040000000001</v>
      </c>
      <c r="F4624" t="s">
        <v>41</v>
      </c>
      <c r="G4624">
        <v>-367.31909999999999</v>
      </c>
      <c r="H4624" s="1">
        <v>-1.531713E-6</v>
      </c>
      <c r="I4624">
        <v>137.36529999999999</v>
      </c>
      <c r="J4624">
        <v>-339.2183</v>
      </c>
      <c r="K4624">
        <v>1.1101099999999999</v>
      </c>
      <c r="L4624">
        <v>141.95079999999999</v>
      </c>
      <c r="M4624">
        <v>-0.99992590000000003</v>
      </c>
      <c r="N4624">
        <v>-1.207215E-2</v>
      </c>
      <c r="O4624">
        <v>-1.6137269999999999E-3</v>
      </c>
      <c r="P4624">
        <v>-0.9840681</v>
      </c>
      <c r="Q4624">
        <v>0.165461</v>
      </c>
      <c r="R4624">
        <v>-6.5060720000000002E-2</v>
      </c>
      <c r="S4624">
        <v>-3.0362239999999998</v>
      </c>
      <c r="T4624">
        <v>-0.1188676</v>
      </c>
      <c r="U4624">
        <v>-0.4910583</v>
      </c>
      <c r="V4624">
        <v>-6.3600699999999996E-2</v>
      </c>
      <c r="W4624">
        <v>0.1772842</v>
      </c>
      <c r="X4624">
        <v>0.98210249999999999</v>
      </c>
      <c r="Y4624">
        <v>-0.15791069999999999</v>
      </c>
      <c r="Z4624">
        <v>-3.9864080000000003E-3</v>
      </c>
      <c r="AA4624">
        <v>0.98744540000000003</v>
      </c>
      <c r="AB4624">
        <v>37</v>
      </c>
      <c r="AC4624">
        <v>-28.1007999999999</v>
      </c>
      <c r="AD4624">
        <v>-1.1101115317129999</v>
      </c>
      <c r="AE4624">
        <v>-4.5854999999999899</v>
      </c>
      <c r="AF4624">
        <v>-4.53325254109608</v>
      </c>
      <c r="AG4624">
        <v>-1.1101115317129999</v>
      </c>
      <c r="AH4624">
        <v>28.065500275363501</v>
      </c>
      <c r="AI4624">
        <v>92.2361613788932</v>
      </c>
      <c r="AJ4624">
        <v>99.175397167432195</v>
      </c>
      <c r="AK4624">
        <v>28.450923217368899</v>
      </c>
      <c r="AL4624">
        <v>79.788388369005901</v>
      </c>
      <c r="AM4624">
        <v>93.705285644079098</v>
      </c>
      <c r="AN4624">
        <v>1.00000002855818</v>
      </c>
    </row>
    <row r="4625" spans="1:40" x14ac:dyDescent="0.25">
      <c r="A4625" t="str">
        <f>"20190304155727981"</f>
        <v>20190304155727981</v>
      </c>
      <c r="B4625" t="str">
        <f>"1551686247979750"</f>
        <v>1551686247979750</v>
      </c>
      <c r="C4625" t="s">
        <v>40</v>
      </c>
      <c r="D4625">
        <v>4.7465619999999999</v>
      </c>
      <c r="E4625">
        <v>0.46105069999999998</v>
      </c>
      <c r="F4625" t="s">
        <v>41</v>
      </c>
      <c r="G4625">
        <v>-367.66430000000003</v>
      </c>
      <c r="H4625" s="1">
        <v>-1.3977669999999999E-6</v>
      </c>
      <c r="I4625">
        <v>137.2978</v>
      </c>
      <c r="J4625">
        <v>-339.45069999999998</v>
      </c>
      <c r="K4625">
        <v>1.110112</v>
      </c>
      <c r="L4625">
        <v>141.9502</v>
      </c>
      <c r="M4625">
        <v>-0.99992570000000003</v>
      </c>
      <c r="N4625">
        <v>-1.206257E-2</v>
      </c>
      <c r="O4625">
        <v>-1.816794E-3</v>
      </c>
      <c r="P4625">
        <v>-0.98407140000000004</v>
      </c>
      <c r="Q4625">
        <v>0.16526969999999999</v>
      </c>
      <c r="R4625">
        <v>-6.5492659999999994E-2</v>
      </c>
      <c r="S4625">
        <v>-3.0356450000000001</v>
      </c>
      <c r="T4625">
        <v>-0.11846669999999999</v>
      </c>
      <c r="U4625">
        <v>-0.49653629999999999</v>
      </c>
      <c r="V4625">
        <v>-6.3832979999999998E-2</v>
      </c>
      <c r="W4625">
        <v>0.177083399999999</v>
      </c>
      <c r="X4625">
        <v>0.98212359999999999</v>
      </c>
      <c r="Y4625">
        <v>-0.15947510000000001</v>
      </c>
      <c r="Z4625">
        <v>-4.0101410000000001E-3</v>
      </c>
      <c r="AA4625">
        <v>0.98719380000000001</v>
      </c>
      <c r="AB4625">
        <v>37</v>
      </c>
      <c r="AC4625">
        <v>-28.2136</v>
      </c>
      <c r="AD4625">
        <v>-1.1101133977669999</v>
      </c>
      <c r="AE4625">
        <v>-4.6524000000000001</v>
      </c>
      <c r="AF4625">
        <v>-4.5942059854506203</v>
      </c>
      <c r="AG4625">
        <v>-1.1101133977669999</v>
      </c>
      <c r="AH4625">
        <v>28.179534764362099</v>
      </c>
      <c r="AI4625">
        <v>92.226594223138505</v>
      </c>
      <c r="AJ4625">
        <v>99.259660273924595</v>
      </c>
      <c r="AK4625">
        <v>28.573156282226599</v>
      </c>
      <c r="AL4625">
        <v>79.800077747258001</v>
      </c>
      <c r="AM4625">
        <v>93.718700369921507</v>
      </c>
      <c r="AN4625">
        <v>0.99999997278409902</v>
      </c>
    </row>
    <row r="4626" spans="1:40" x14ac:dyDescent="0.25">
      <c r="A4626" t="str">
        <f>"20190304155727996"</f>
        <v>20190304155727996</v>
      </c>
      <c r="B4626" t="str">
        <f>"1551686247989510"</f>
        <v>1551686247989510</v>
      </c>
      <c r="C4626" t="s">
        <v>40</v>
      </c>
      <c r="D4626">
        <v>4.7346640000000004</v>
      </c>
      <c r="E4626">
        <v>0.46089409999999997</v>
      </c>
      <c r="F4626" t="s">
        <v>41</v>
      </c>
      <c r="G4626">
        <v>-368.86919999999998</v>
      </c>
      <c r="H4626" s="1">
        <v>-1.0388849999999999E-6</v>
      </c>
      <c r="I4626">
        <v>137.10570000000001</v>
      </c>
      <c r="J4626">
        <v>-339.68790000000001</v>
      </c>
      <c r="K4626">
        <v>1.110115</v>
      </c>
      <c r="L4626">
        <v>141.9496</v>
      </c>
      <c r="M4626">
        <v>-0.99992539999999996</v>
      </c>
      <c r="N4626">
        <v>-1.205354E-2</v>
      </c>
      <c r="O4626">
        <v>-2.0245129999999999E-3</v>
      </c>
      <c r="P4626">
        <v>-0.98397040000000002</v>
      </c>
      <c r="Q4626">
        <v>0.16537109999999999</v>
      </c>
      <c r="R4626">
        <v>-6.674542E-2</v>
      </c>
      <c r="S4626">
        <v>-3.0345460000000002</v>
      </c>
      <c r="T4626">
        <v>-0.1145095</v>
      </c>
      <c r="U4626">
        <v>-0.49971009999999999</v>
      </c>
      <c r="V4626">
        <v>-6.4881820000000007E-2</v>
      </c>
      <c r="W4626">
        <v>0.177174</v>
      </c>
      <c r="X4626">
        <v>0.98203859999999998</v>
      </c>
      <c r="Y4626">
        <v>-0.1603406</v>
      </c>
      <c r="Z4626">
        <v>-3.9256250000000003E-3</v>
      </c>
      <c r="AA4626">
        <v>0.98705390000000004</v>
      </c>
      <c r="AB4626">
        <v>37</v>
      </c>
      <c r="AC4626">
        <v>-29.181299999999901</v>
      </c>
      <c r="AD4626">
        <v>-1.110116038885</v>
      </c>
      <c r="AE4626">
        <v>-4.8438999999999899</v>
      </c>
      <c r="AF4626">
        <v>-4.7780784663402596</v>
      </c>
      <c r="AG4626">
        <v>-1.110116038885</v>
      </c>
      <c r="AH4626">
        <v>29.149992881467799</v>
      </c>
      <c r="AI4626">
        <v>92.152241424306297</v>
      </c>
      <c r="AJ4626">
        <v>99.3087746864325</v>
      </c>
      <c r="AK4626">
        <v>29.559845676862398</v>
      </c>
      <c r="AL4626">
        <v>79.794804087440497</v>
      </c>
      <c r="AM4626">
        <v>93.779952866175904</v>
      </c>
      <c r="AN4626">
        <v>1.00000004436623</v>
      </c>
    </row>
    <row r="4627" spans="1:40" x14ac:dyDescent="0.25">
      <c r="A4627" t="str">
        <f>"20190304155728010"</f>
        <v>20190304155728010</v>
      </c>
      <c r="B4627" t="str">
        <f>"1551686247999270"</f>
        <v>1551686247999270</v>
      </c>
      <c r="C4627" t="s">
        <v>40</v>
      </c>
      <c r="D4627">
        <v>4.7973990000000004</v>
      </c>
      <c r="E4627">
        <v>0.46031179999999999</v>
      </c>
      <c r="F4627" t="s">
        <v>41</v>
      </c>
      <c r="G4627">
        <v>-369.51569999999998</v>
      </c>
      <c r="H4627" s="1">
        <v>-8.5104919999999899E-7</v>
      </c>
      <c r="I4627">
        <v>136.9847</v>
      </c>
      <c r="J4627">
        <v>-339.9237</v>
      </c>
      <c r="K4627">
        <v>1.1101129999999999</v>
      </c>
      <c r="L4627">
        <v>141.94890000000001</v>
      </c>
      <c r="M4627">
        <v>-0.99992499999999995</v>
      </c>
      <c r="N4627">
        <v>-1.2045299999999899E-2</v>
      </c>
      <c r="O4627">
        <v>-2.230569E-3</v>
      </c>
      <c r="P4627">
        <v>-0.98392630000000003</v>
      </c>
      <c r="Q4627">
        <v>0.16550290000000001</v>
      </c>
      <c r="R4627">
        <v>-6.7066609999999999E-2</v>
      </c>
      <c r="S4627">
        <v>-3.0335999999999999</v>
      </c>
      <c r="T4627">
        <v>-0.11290310000000001</v>
      </c>
      <c r="U4627">
        <v>-0.50494380000000005</v>
      </c>
      <c r="V4627">
        <v>-6.5000240000000001E-2</v>
      </c>
      <c r="W4627">
        <v>0.17729739999999999</v>
      </c>
      <c r="X4627">
        <v>0.98200849999999995</v>
      </c>
      <c r="Y4627">
        <v>-0.16184609999999999</v>
      </c>
      <c r="Z4627">
        <v>-3.9163039999999998E-3</v>
      </c>
      <c r="AA4627">
        <v>0.98680820000000002</v>
      </c>
      <c r="AB4627">
        <v>37</v>
      </c>
      <c r="AC4627">
        <v>-29.591999999999899</v>
      </c>
      <c r="AD4627">
        <v>-1.1101138510491999</v>
      </c>
      <c r="AE4627">
        <v>-4.9641999999999999</v>
      </c>
      <c r="AF4627">
        <v>-4.8914805066586498</v>
      </c>
      <c r="AG4627">
        <v>-1.1101138510491999</v>
      </c>
      <c r="AH4627">
        <v>29.5625355780871</v>
      </c>
      <c r="AI4627">
        <v>92.121704147878503</v>
      </c>
      <c r="AJ4627">
        <v>99.3951602771007</v>
      </c>
      <c r="AK4627">
        <v>29.985037003728699</v>
      </c>
      <c r="AL4627">
        <v>79.787620077740698</v>
      </c>
      <c r="AM4627">
        <v>93.7869475811179</v>
      </c>
      <c r="AN4627">
        <v>1.00000004665953</v>
      </c>
    </row>
    <row r="4628" spans="1:40" x14ac:dyDescent="0.25">
      <c r="A4628" t="str">
        <f>"20190304155728024"</f>
        <v>20190304155728024</v>
      </c>
      <c r="B4628" t="str">
        <f>"1551686248019766"</f>
        <v>1551686248019766</v>
      </c>
      <c r="C4628" t="s">
        <v>40</v>
      </c>
      <c r="D4628">
        <v>4.7632159999999999</v>
      </c>
      <c r="E4628">
        <v>0.45948220000000001</v>
      </c>
      <c r="F4628" t="s">
        <v>41</v>
      </c>
      <c r="G4628">
        <v>-369.68700000000001</v>
      </c>
      <c r="H4628" s="1">
        <v>-8.0453679999999996E-7</v>
      </c>
      <c r="I4628">
        <v>136.94040000000001</v>
      </c>
      <c r="J4628">
        <v>-340.15839999999997</v>
      </c>
      <c r="K4628">
        <v>1.110112</v>
      </c>
      <c r="L4628">
        <v>141.94820000000001</v>
      </c>
      <c r="M4628">
        <v>-0.9999247</v>
      </c>
      <c r="N4628">
        <v>-1.2038109999999999E-2</v>
      </c>
      <c r="O4628">
        <v>-2.4357979999999999E-3</v>
      </c>
      <c r="P4628">
        <v>-0.98393390000000003</v>
      </c>
      <c r="Q4628">
        <v>0.16526879999999999</v>
      </c>
      <c r="R4628">
        <v>-6.7532460000000002E-2</v>
      </c>
      <c r="S4628">
        <v>-3.033264</v>
      </c>
      <c r="T4628">
        <v>-0.11313520000000001</v>
      </c>
      <c r="U4628">
        <v>-0.51042180000000004</v>
      </c>
      <c r="V4628">
        <v>-6.5264409999999995E-2</v>
      </c>
      <c r="W4628">
        <v>0.1770562</v>
      </c>
      <c r="X4628">
        <v>0.98203439999999997</v>
      </c>
      <c r="Y4628">
        <v>-0.16339279999999901</v>
      </c>
      <c r="Z4628">
        <v>-3.9545730000000003E-3</v>
      </c>
      <c r="AA4628">
        <v>0.98655320000000002</v>
      </c>
      <c r="AB4628">
        <v>37</v>
      </c>
      <c r="AC4628">
        <v>-29.528599999999901</v>
      </c>
      <c r="AD4628">
        <v>-1.1101128045368001</v>
      </c>
      <c r="AE4628">
        <v>-5.0077999999999996</v>
      </c>
      <c r="AF4628">
        <v>-4.9290824985914803</v>
      </c>
      <c r="AG4628">
        <v>-1.1101128045368001</v>
      </c>
      <c r="AH4628">
        <v>29.500182939893399</v>
      </c>
      <c r="AI4628">
        <v>92.125624319038806</v>
      </c>
      <c r="AJ4628">
        <v>99.485725508603807</v>
      </c>
      <c r="AK4628">
        <v>29.929734349036501</v>
      </c>
      <c r="AL4628">
        <v>79.801660999511597</v>
      </c>
      <c r="AM4628">
        <v>93.802193218849993</v>
      </c>
      <c r="AN4628">
        <v>0.99999995197722202</v>
      </c>
    </row>
    <row r="4629" spans="1:40" x14ac:dyDescent="0.25">
      <c r="A4629" t="str">
        <f>"20190304155728042"</f>
        <v>20190304155728042</v>
      </c>
      <c r="B4629" t="str">
        <f>"1551686248039286"</f>
        <v>1551686248039286</v>
      </c>
      <c r="C4629" t="s">
        <v>40</v>
      </c>
      <c r="D4629">
        <v>4.756068</v>
      </c>
      <c r="E4629">
        <v>0.45914450000000001</v>
      </c>
      <c r="F4629" t="s">
        <v>41</v>
      </c>
      <c r="G4629">
        <v>-369.81790000000001</v>
      </c>
      <c r="H4629" s="1">
        <v>-7.7696979999999996E-7</v>
      </c>
      <c r="I4629">
        <v>136.8766</v>
      </c>
      <c r="J4629">
        <v>-340.43130000000002</v>
      </c>
      <c r="K4629">
        <v>1.11012</v>
      </c>
      <c r="L4629">
        <v>141.94730000000001</v>
      </c>
      <c r="M4629">
        <v>-0.99992409999999998</v>
      </c>
      <c r="N4629">
        <v>-1.2030509999999999E-2</v>
      </c>
      <c r="O4629">
        <v>-2.6741629999999998E-3</v>
      </c>
      <c r="P4629">
        <v>-0.98375959999999996</v>
      </c>
      <c r="Q4629">
        <v>0.1658297</v>
      </c>
      <c r="R4629">
        <v>-6.8686919999999999E-2</v>
      </c>
      <c r="S4629">
        <v>-3.0324710000000001</v>
      </c>
      <c r="T4629">
        <v>-0.11350150000000001</v>
      </c>
      <c r="U4629">
        <v>-0.51852419999999999</v>
      </c>
      <c r="V4629">
        <v>-6.6184409999999999E-2</v>
      </c>
      <c r="W4629">
        <v>0.17760709999999999</v>
      </c>
      <c r="X4629">
        <v>0.98187340000000001</v>
      </c>
      <c r="Y4629">
        <v>-0.16575870000000001</v>
      </c>
      <c r="Z4629">
        <v>-4.016024E-3</v>
      </c>
      <c r="AA4629">
        <v>0.98615819999999998</v>
      </c>
      <c r="AB4629">
        <v>37</v>
      </c>
      <c r="AC4629">
        <v>-29.386599999999898</v>
      </c>
      <c r="AD4629">
        <v>-1.1101207769698</v>
      </c>
      <c r="AE4629">
        <v>-5.0707000000000102</v>
      </c>
      <c r="AF4629">
        <v>-4.9851831685876302</v>
      </c>
      <c r="AG4629">
        <v>-1.1101207769698</v>
      </c>
      <c r="AH4629">
        <v>29.359369620879001</v>
      </c>
      <c r="AI4629">
        <v>92.134877394407994</v>
      </c>
      <c r="AJ4629">
        <v>99.636835972442498</v>
      </c>
      <c r="AK4629">
        <v>29.800285298956801</v>
      </c>
      <c r="AL4629">
        <v>79.769589099971597</v>
      </c>
      <c r="AM4629">
        <v>93.856260615638803</v>
      </c>
      <c r="AN4629">
        <v>1.0000000158625</v>
      </c>
    </row>
    <row r="4630" spans="1:40" x14ac:dyDescent="0.25">
      <c r="A4630" t="str">
        <f>"20190304155728057"</f>
        <v>20190304155728057</v>
      </c>
      <c r="B4630" t="str">
        <f>"1551686248050023"</f>
        <v>1551686248050023</v>
      </c>
      <c r="C4630" t="s">
        <v>40</v>
      </c>
      <c r="D4630">
        <v>4.7659390000000004</v>
      </c>
      <c r="E4630">
        <v>0.45908280000000001</v>
      </c>
      <c r="F4630" t="s">
        <v>41</v>
      </c>
      <c r="G4630">
        <v>-370.48239999999998</v>
      </c>
      <c r="H4630" s="1">
        <v>-4.5742439999999997E-6</v>
      </c>
      <c r="I4630">
        <v>136.74709999999999</v>
      </c>
      <c r="J4630">
        <v>-340.68740000000003</v>
      </c>
      <c r="K4630">
        <v>1.1101219999999901</v>
      </c>
      <c r="L4630">
        <v>141.94640000000001</v>
      </c>
      <c r="M4630">
        <v>-0.99992349999999997</v>
      </c>
      <c r="N4630">
        <v>-1.2024109999999999E-2</v>
      </c>
      <c r="O4630">
        <v>-2.8978710000000002E-3</v>
      </c>
      <c r="P4630">
        <v>-0.98369779999999996</v>
      </c>
      <c r="Q4630">
        <v>0.1659496</v>
      </c>
      <c r="R4630">
        <v>-6.9278229999999996E-2</v>
      </c>
      <c r="S4630">
        <v>-3.0317989999999999</v>
      </c>
      <c r="T4630">
        <v>-0.1119984</v>
      </c>
      <c r="U4630">
        <v>-0.52462769999999903</v>
      </c>
      <c r="V4630">
        <v>-6.6556649999999995E-2</v>
      </c>
      <c r="W4630">
        <v>0.17771970000000001</v>
      </c>
      <c r="X4630">
        <v>0.98182789999999998</v>
      </c>
      <c r="Y4630">
        <v>-0.16750429999999999</v>
      </c>
      <c r="Z4630">
        <v>-4.0133829999999997E-3</v>
      </c>
      <c r="AA4630">
        <v>0.98586309999999999</v>
      </c>
      <c r="AB4630">
        <v>37</v>
      </c>
      <c r="AC4630">
        <v>-29.794999999999899</v>
      </c>
      <c r="AD4630">
        <v>-1.1101265742440001</v>
      </c>
      <c r="AE4630">
        <v>-5.1993000000000196</v>
      </c>
      <c r="AF4630">
        <v>-5.1060510040978899</v>
      </c>
      <c r="AG4630">
        <v>-1.1101265742440001</v>
      </c>
      <c r="AH4630">
        <v>29.7698370579512</v>
      </c>
      <c r="AI4630">
        <v>92.104879779900699</v>
      </c>
      <c r="AJ4630">
        <v>99.7325338122576</v>
      </c>
      <c r="AK4630">
        <v>30.224945596712999</v>
      </c>
      <c r="AL4630">
        <v>79.763033678428599</v>
      </c>
      <c r="AM4630">
        <v>93.878062496267106</v>
      </c>
      <c r="AN4630">
        <v>1.0000000523228501</v>
      </c>
    </row>
    <row r="4631" spans="1:40" x14ac:dyDescent="0.25">
      <c r="A4631" t="str">
        <f>"20190304155728073"</f>
        <v>20190304155728073</v>
      </c>
      <c r="B4631" t="str">
        <f>"1551686248069542"</f>
        <v>1551686248069542</v>
      </c>
      <c r="C4631" t="s">
        <v>40</v>
      </c>
      <c r="D4631">
        <v>4.8074130000000004</v>
      </c>
      <c r="E4631">
        <v>0.45874419999999999</v>
      </c>
      <c r="F4631" t="s">
        <v>41</v>
      </c>
      <c r="G4631">
        <v>-370.64789999999999</v>
      </c>
      <c r="H4631" s="1">
        <v>-4.5049459999999998E-6</v>
      </c>
      <c r="I4631">
        <v>136.73750000000001</v>
      </c>
      <c r="J4631">
        <v>-340.95269999999999</v>
      </c>
      <c r="K4631">
        <v>1.1101219999999901</v>
      </c>
      <c r="L4631">
        <v>141.94540000000001</v>
      </c>
      <c r="M4631">
        <v>-0.99992300000000001</v>
      </c>
      <c r="N4631">
        <v>-1.201816E-2</v>
      </c>
      <c r="O4631">
        <v>-3.1301649999999999E-3</v>
      </c>
      <c r="P4631">
        <v>-0.98362720000000003</v>
      </c>
      <c r="Q4631">
        <v>0.1661416</v>
      </c>
      <c r="R4631">
        <v>-6.9820670000000001E-2</v>
      </c>
      <c r="S4631">
        <v>-3.031555</v>
      </c>
      <c r="T4631">
        <v>-0.112328399999999</v>
      </c>
      <c r="U4631">
        <v>-0.52705380000000002</v>
      </c>
      <c r="V4631">
        <v>-6.6870860000000004E-2</v>
      </c>
      <c r="W4631">
        <v>0.1779046</v>
      </c>
      <c r="X4631">
        <v>0.98177300000000001</v>
      </c>
      <c r="Y4631">
        <v>-0.16805339999999999</v>
      </c>
      <c r="Z4631">
        <v>-4.0293439999999998E-3</v>
      </c>
      <c r="AA4631">
        <v>0.98576969999999997</v>
      </c>
      <c r="AB4631">
        <v>37</v>
      </c>
      <c r="AC4631">
        <v>-29.6952</v>
      </c>
      <c r="AD4631">
        <v>-1.1101265049459901</v>
      </c>
      <c r="AE4631">
        <v>-5.2078999999999898</v>
      </c>
      <c r="AF4631">
        <v>-5.1079911675785397</v>
      </c>
      <c r="AG4631">
        <v>-1.1101265049459901</v>
      </c>
      <c r="AH4631">
        <v>29.671127274518302</v>
      </c>
      <c r="AI4631">
        <v>92.111651858717906</v>
      </c>
      <c r="AJ4631">
        <v>99.7679284116563</v>
      </c>
      <c r="AK4631">
        <v>30.128055834482701</v>
      </c>
      <c r="AL4631">
        <v>79.752267500029404</v>
      </c>
      <c r="AM4631">
        <v>93.896531547657204</v>
      </c>
      <c r="AN4631">
        <v>0.99999999107364901</v>
      </c>
    </row>
    <row r="4632" spans="1:40" x14ac:dyDescent="0.25">
      <c r="A4632" t="str">
        <f>"20190304155728086"</f>
        <v>20190304155728086</v>
      </c>
      <c r="B4632" t="str">
        <f>"1551686248079302"</f>
        <v>1551686248079302</v>
      </c>
      <c r="C4632" t="s">
        <v>40</v>
      </c>
      <c r="D4632">
        <v>4.7889099999999996</v>
      </c>
      <c r="E4632">
        <v>0.45870430000000001</v>
      </c>
      <c r="F4632" t="s">
        <v>41</v>
      </c>
      <c r="G4632">
        <v>-371.07589999999999</v>
      </c>
      <c r="H4632" s="1">
        <v>-4.3347869999999998E-6</v>
      </c>
      <c r="I4632">
        <v>136.6618</v>
      </c>
      <c r="J4632">
        <v>-341.16239999999999</v>
      </c>
      <c r="K4632">
        <v>1.1101240000000001</v>
      </c>
      <c r="L4632">
        <v>141.94460000000001</v>
      </c>
      <c r="M4632">
        <v>-0.99992250000000005</v>
      </c>
      <c r="N4632">
        <v>-1.2013920000000001E-2</v>
      </c>
      <c r="O4632">
        <v>-3.3134739999999998E-3</v>
      </c>
      <c r="P4632">
        <v>-0.98364560000000001</v>
      </c>
      <c r="Q4632">
        <v>0.16578389999999901</v>
      </c>
      <c r="R4632">
        <v>-7.0409609999999997E-2</v>
      </c>
      <c r="S4632">
        <v>-3.0310670000000002</v>
      </c>
      <c r="T4632">
        <v>-0.11170380000000001</v>
      </c>
      <c r="U4632">
        <v>-0.53164669999999903</v>
      </c>
      <c r="V4632">
        <v>-6.7278859999999996E-2</v>
      </c>
      <c r="W4632">
        <v>0.17754329999999999</v>
      </c>
      <c r="X4632">
        <v>0.98181050000000003</v>
      </c>
      <c r="Y4632">
        <v>-0.16934920000000001</v>
      </c>
      <c r="Z4632">
        <v>-4.0396709999999999E-3</v>
      </c>
      <c r="AA4632">
        <v>0.98554779999999997</v>
      </c>
      <c r="AB4632">
        <v>37</v>
      </c>
      <c r="AC4632">
        <v>-29.913499999999999</v>
      </c>
      <c r="AD4632">
        <v>-1.1101283347869999</v>
      </c>
      <c r="AE4632">
        <v>-5.2827999999999999</v>
      </c>
      <c r="AF4632">
        <v>-5.1767322498600796</v>
      </c>
      <c r="AG4632">
        <v>-1.1101283347869999</v>
      </c>
      <c r="AH4632">
        <v>29.890919366526902</v>
      </c>
      <c r="AI4632">
        <v>92.095778934236094</v>
      </c>
      <c r="AJ4632">
        <v>99.825449340186296</v>
      </c>
      <c r="AK4632">
        <v>30.356185568721401</v>
      </c>
      <c r="AL4632">
        <v>79.773303059459096</v>
      </c>
      <c r="AM4632">
        <v>93.920082333828503</v>
      </c>
      <c r="AN4632">
        <v>0.99999996314401896</v>
      </c>
    </row>
    <row r="4633" spans="1:40" x14ac:dyDescent="0.25">
      <c r="A4633" t="str">
        <f>"20190304155728109"</f>
        <v>20190304155728109</v>
      </c>
      <c r="B4633" t="str">
        <f>"1551686248099800"</f>
        <v>1551686248099800</v>
      </c>
      <c r="C4633" t="s">
        <v>40</v>
      </c>
      <c r="D4633">
        <v>4.7753550000000002</v>
      </c>
      <c r="E4633">
        <v>0.45863710000000002</v>
      </c>
      <c r="F4633" t="s">
        <v>41</v>
      </c>
      <c r="G4633">
        <v>-370.91860000000003</v>
      </c>
      <c r="H4633" s="1">
        <v>-4.3947170000000003E-6</v>
      </c>
      <c r="I4633">
        <v>136.70419999999999</v>
      </c>
      <c r="J4633">
        <v>-341.5258</v>
      </c>
      <c r="K4633">
        <v>1.110115</v>
      </c>
      <c r="L4633">
        <v>141.94309999999999</v>
      </c>
      <c r="M4633">
        <v>-0.99992139999999996</v>
      </c>
      <c r="N4633">
        <v>-1.200728E-2</v>
      </c>
      <c r="O4633">
        <v>-3.6315900000000001E-3</v>
      </c>
      <c r="P4633">
        <v>-0.98359289999999999</v>
      </c>
      <c r="Q4633">
        <v>0.16562660000000001</v>
      </c>
      <c r="R4633">
        <v>-7.1506630000000002E-2</v>
      </c>
      <c r="S4633">
        <v>-3.0306700000000002</v>
      </c>
      <c r="T4633">
        <v>-0.1130666</v>
      </c>
      <c r="U4633">
        <v>-0.53372189999999997</v>
      </c>
      <c r="V4633">
        <v>-6.8062719999999993E-2</v>
      </c>
      <c r="W4633">
        <v>0.1773786</v>
      </c>
      <c r="X4633">
        <v>0.9817863</v>
      </c>
      <c r="Y4633">
        <v>-0.16970879999999999</v>
      </c>
      <c r="Z4633">
        <v>-4.0764809999999999E-3</v>
      </c>
      <c r="AA4633">
        <v>0.98548579999999997</v>
      </c>
      <c r="AB4633">
        <v>37</v>
      </c>
      <c r="AC4633">
        <v>-29.392800000000001</v>
      </c>
      <c r="AD4633">
        <v>-1.1101193947170001</v>
      </c>
      <c r="AE4633">
        <v>-5.2389000000000001</v>
      </c>
      <c r="AF4633">
        <v>-5.1250296465390299</v>
      </c>
      <c r="AG4633">
        <v>-1.1101193947170001</v>
      </c>
      <c r="AH4633">
        <v>29.371026675570398</v>
      </c>
      <c r="AI4633">
        <v>92.132355654937697</v>
      </c>
      <c r="AJ4633">
        <v>99.8980404413945</v>
      </c>
      <c r="AK4633">
        <v>29.835473884714801</v>
      </c>
      <c r="AL4633">
        <v>79.782892459332899</v>
      </c>
      <c r="AM4633">
        <v>93.965707413645305</v>
      </c>
      <c r="AN4633">
        <v>1.0000000202297199</v>
      </c>
    </row>
    <row r="4634" spans="1:40" x14ac:dyDescent="0.25">
      <c r="A4634" t="str">
        <f>"20190304155728132"</f>
        <v>20190304155728132</v>
      </c>
      <c r="B4634" t="str">
        <f>"1551686248119318"</f>
        <v>1551686248119318</v>
      </c>
      <c r="C4634" t="s">
        <v>40</v>
      </c>
      <c r="D4634">
        <v>4.7446029999999997</v>
      </c>
      <c r="E4634">
        <v>0.45887090000000003</v>
      </c>
      <c r="F4634" t="s">
        <v>41</v>
      </c>
      <c r="G4634">
        <v>-371.04239999999999</v>
      </c>
      <c r="H4634" s="1">
        <v>-4.3407249999999998E-6</v>
      </c>
      <c r="I4634">
        <v>136.70939999999999</v>
      </c>
      <c r="J4634">
        <v>-341.8895</v>
      </c>
      <c r="K4634">
        <v>1.110117</v>
      </c>
      <c r="L4634">
        <v>141.94139999999999</v>
      </c>
      <c r="M4634">
        <v>-0.99992009999999998</v>
      </c>
      <c r="N4634">
        <v>-1.2001650000000001E-2</v>
      </c>
      <c r="O4634">
        <v>-3.9493599999999998E-3</v>
      </c>
      <c r="P4634">
        <v>-0.98351880000000003</v>
      </c>
      <c r="Q4634">
        <v>0.16568869999999999</v>
      </c>
      <c r="R4634">
        <v>-7.2374460000000002E-2</v>
      </c>
      <c r="S4634">
        <v>-3.030151</v>
      </c>
      <c r="T4634">
        <v>-0.11396439999999999</v>
      </c>
      <c r="U4634">
        <v>-0.53727720000000001</v>
      </c>
      <c r="V4634">
        <v>-6.8618639999999995E-2</v>
      </c>
      <c r="W4634">
        <v>0.17743399999999901</v>
      </c>
      <c r="X4634">
        <v>0.98173759999999999</v>
      </c>
      <c r="Y4634">
        <v>-0.1705429</v>
      </c>
      <c r="Z4634">
        <v>-4.1126799999999996E-3</v>
      </c>
      <c r="AA4634">
        <v>0.98534169999999999</v>
      </c>
      <c r="AB4634">
        <v>37</v>
      </c>
      <c r="AC4634">
        <v>-29.152899999999899</v>
      </c>
      <c r="AD4634">
        <v>-1.1101213407249999</v>
      </c>
      <c r="AE4634">
        <v>-5.2319999999999904</v>
      </c>
      <c r="AF4634">
        <v>-5.1096376489836404</v>
      </c>
      <c r="AG4634">
        <v>-1.1101213407249999</v>
      </c>
      <c r="AH4634">
        <v>29.1324123727425</v>
      </c>
      <c r="AI4634">
        <v>92.149480127852499</v>
      </c>
      <c r="AJ4634">
        <v>99.948123568768594</v>
      </c>
      <c r="AK4634">
        <v>29.597942782405699</v>
      </c>
      <c r="AL4634">
        <v>79.779667199089602</v>
      </c>
      <c r="AM4634">
        <v>93.998191428059002</v>
      </c>
      <c r="AN4634">
        <v>1.0000000286826001</v>
      </c>
    </row>
    <row r="4635" spans="1:40" x14ac:dyDescent="0.25">
      <c r="A4635" t="str">
        <f>"20190304155728153"</f>
        <v>20190304155728153</v>
      </c>
      <c r="B4635" t="str">
        <f>"1551686248149574"</f>
        <v>1551686248149574</v>
      </c>
      <c r="C4635" t="s">
        <v>40</v>
      </c>
      <c r="D4635">
        <v>4.7919859999999996</v>
      </c>
      <c r="E4635">
        <v>0.45918900000000001</v>
      </c>
      <c r="F4635" t="s">
        <v>41</v>
      </c>
      <c r="G4635">
        <v>-371.68369999999999</v>
      </c>
      <c r="H4635" s="1">
        <v>-4.0760219999999998E-6</v>
      </c>
      <c r="I4635">
        <v>136.65049999999999</v>
      </c>
      <c r="J4635">
        <v>-342.24880000000002</v>
      </c>
      <c r="K4635">
        <v>1.1101099999999999</v>
      </c>
      <c r="L4635">
        <v>141.93969999999999</v>
      </c>
      <c r="M4635">
        <v>-0.999919</v>
      </c>
      <c r="N4635">
        <v>-1.1997000000000001E-2</v>
      </c>
      <c r="O4635">
        <v>-4.2634389999999999E-3</v>
      </c>
      <c r="P4635">
        <v>-0.98339030000000005</v>
      </c>
      <c r="Q4635">
        <v>0.16606969999999999</v>
      </c>
      <c r="R4635">
        <v>-7.3242509999999997E-2</v>
      </c>
      <c r="S4635">
        <v>-3.0296940000000001</v>
      </c>
      <c r="T4635">
        <v>-0.1128852</v>
      </c>
      <c r="U4635">
        <v>-0.53800959999999998</v>
      </c>
      <c r="V4635">
        <v>-6.9178429999999999E-2</v>
      </c>
      <c r="W4635">
        <v>0.17780889999999999</v>
      </c>
      <c r="X4635">
        <v>0.98163040000000001</v>
      </c>
      <c r="Y4635">
        <v>-0.17049259999999999</v>
      </c>
      <c r="Z4635">
        <v>-4.0748520000000003E-3</v>
      </c>
      <c r="AA4635">
        <v>0.98535050000000002</v>
      </c>
      <c r="AB4635">
        <v>37</v>
      </c>
      <c r="AC4635">
        <v>-29.434899999999899</v>
      </c>
      <c r="AD4635">
        <v>-1.1101140760220001</v>
      </c>
      <c r="AE4635">
        <v>-5.2891999999999904</v>
      </c>
      <c r="AF4635">
        <v>-5.1565439405690299</v>
      </c>
      <c r="AG4635">
        <v>-1.1101140760220001</v>
      </c>
      <c r="AH4635">
        <v>29.4166518735042</v>
      </c>
      <c r="AI4635">
        <v>92.128752229570694</v>
      </c>
      <c r="AJ4635">
        <v>99.942553891820793</v>
      </c>
      <c r="AK4635">
        <v>29.8858111169789</v>
      </c>
      <c r="AL4635">
        <v>79.757839131381999</v>
      </c>
      <c r="AM4635">
        <v>94.031140273843405</v>
      </c>
      <c r="AN4635">
        <v>0.99999995115031604</v>
      </c>
    </row>
    <row r="4636" spans="1:40" x14ac:dyDescent="0.25">
      <c r="A4636" t="str">
        <f>"20190304155728167"</f>
        <v>20190304155728167</v>
      </c>
      <c r="B4636" t="str">
        <f>"1551686248159334"</f>
        <v>1551686248159334</v>
      </c>
      <c r="C4636" t="s">
        <v>40</v>
      </c>
      <c r="D4636">
        <v>4.8157069999999997</v>
      </c>
      <c r="E4636">
        <v>0.45914650000000001</v>
      </c>
      <c r="F4636" t="s">
        <v>41</v>
      </c>
      <c r="G4636">
        <v>-372.80840000000001</v>
      </c>
      <c r="H4636" s="1">
        <v>-3.6193370000000002E-6</v>
      </c>
      <c r="I4636">
        <v>136.5051</v>
      </c>
      <c r="J4636">
        <v>-342.49099999999999</v>
      </c>
      <c r="K4636">
        <v>1.110109</v>
      </c>
      <c r="L4636">
        <v>141.9385</v>
      </c>
      <c r="M4636">
        <v>-0.99991810000000003</v>
      </c>
      <c r="N4636">
        <v>-1.199427E-2</v>
      </c>
      <c r="O4636">
        <v>-4.4750140000000002E-3</v>
      </c>
      <c r="P4636">
        <v>-0.98338239999999999</v>
      </c>
      <c r="Q4636">
        <v>0.1660365</v>
      </c>
      <c r="R4636">
        <v>-7.3424429999999999E-2</v>
      </c>
      <c r="S4636">
        <v>-3.0291440000000001</v>
      </c>
      <c r="T4636">
        <v>-0.11003739999999999</v>
      </c>
      <c r="U4636">
        <v>-0.53868099999999997</v>
      </c>
      <c r="V4636">
        <v>-6.9152679999999994E-2</v>
      </c>
      <c r="W4636">
        <v>0.17777319999999999</v>
      </c>
      <c r="X4636">
        <v>0.98163869999999998</v>
      </c>
      <c r="Y4636">
        <v>-0.1705332</v>
      </c>
      <c r="Z4636">
        <v>-3.9954880000000002E-3</v>
      </c>
      <c r="AA4636">
        <v>0.98534379999999999</v>
      </c>
      <c r="AB4636">
        <v>37</v>
      </c>
      <c r="AC4636">
        <v>-30.317399999999999</v>
      </c>
      <c r="AD4636">
        <v>-1.1101126193369999</v>
      </c>
      <c r="AE4636">
        <v>-5.4333999999999998</v>
      </c>
      <c r="AF4636">
        <v>-5.2907921266925397</v>
      </c>
      <c r="AG4636">
        <v>-1.1101126193369999</v>
      </c>
      <c r="AH4636">
        <v>30.3020492908549</v>
      </c>
      <c r="AI4636">
        <v>92.066846538441098</v>
      </c>
      <c r="AJ4636">
        <v>99.904106374519998</v>
      </c>
      <c r="AK4636">
        <v>30.780497438814798</v>
      </c>
      <c r="AL4636">
        <v>79.759917907061094</v>
      </c>
      <c r="AM4636">
        <v>94.029610763856795</v>
      </c>
      <c r="AN4636">
        <v>0.99999997056355505</v>
      </c>
    </row>
    <row r="4637" spans="1:40" x14ac:dyDescent="0.25">
      <c r="A4637" t="str">
        <f>"20190304155728181"</f>
        <v>20190304155728181</v>
      </c>
      <c r="B4637" t="str">
        <f>"1551686248169601"</f>
        <v>1551686248169601</v>
      </c>
      <c r="C4637" t="s">
        <v>40</v>
      </c>
      <c r="D4637">
        <v>4.931387</v>
      </c>
      <c r="E4637">
        <v>0.45911960000000002</v>
      </c>
      <c r="F4637" t="s">
        <v>41</v>
      </c>
      <c r="G4637">
        <v>-372.84769999999997</v>
      </c>
      <c r="H4637" s="1">
        <v>-3.5980359999999998E-6</v>
      </c>
      <c r="I4637">
        <v>136.53020000000001</v>
      </c>
      <c r="J4637">
        <v>-342.7122</v>
      </c>
      <c r="K4637">
        <v>1.110117</v>
      </c>
      <c r="L4637">
        <v>141.93729999999999</v>
      </c>
      <c r="M4637">
        <v>-0.99991730000000001</v>
      </c>
      <c r="N4637">
        <v>-1.199423E-2</v>
      </c>
      <c r="O4637">
        <v>-4.6684880000000002E-3</v>
      </c>
      <c r="P4637">
        <v>-0.98336330000000005</v>
      </c>
      <c r="Q4637">
        <v>0.16599269999999999</v>
      </c>
      <c r="R4637">
        <v>-7.3777999999999996E-2</v>
      </c>
      <c r="S4637">
        <v>-3.0291139999999999</v>
      </c>
      <c r="T4637">
        <v>-0.1107717</v>
      </c>
      <c r="U4637">
        <v>-0.53965759999999996</v>
      </c>
      <c r="V4637">
        <v>-6.9315660000000001E-2</v>
      </c>
      <c r="W4637">
        <v>0.1777291</v>
      </c>
      <c r="X4637">
        <v>0.98163520000000004</v>
      </c>
      <c r="Y4637">
        <v>-0.17065039999999901</v>
      </c>
      <c r="Z4637">
        <v>-4.0129969999999999E-3</v>
      </c>
      <c r="AA4637">
        <v>0.98532350000000002</v>
      </c>
      <c r="AB4637">
        <v>37</v>
      </c>
      <c r="AC4637">
        <v>-30.135499999999901</v>
      </c>
      <c r="AD4637">
        <v>-1.1101205980360001</v>
      </c>
      <c r="AE4637">
        <v>-5.4070999999999803</v>
      </c>
      <c r="AF4637">
        <v>-5.25942924364925</v>
      </c>
      <c r="AG4637">
        <v>-1.1101205980360001</v>
      </c>
      <c r="AH4637">
        <v>30.120816908462398</v>
      </c>
      <c r="AI4637">
        <v>92.079283209037996</v>
      </c>
      <c r="AJ4637">
        <v>99.904624369229694</v>
      </c>
      <c r="AK4637">
        <v>30.596692222268899</v>
      </c>
      <c r="AL4637">
        <v>79.762485634865499</v>
      </c>
      <c r="AM4637">
        <v>94.03909076411</v>
      </c>
      <c r="AN4637">
        <v>0.99999997979354205</v>
      </c>
    </row>
    <row r="4638" spans="1:40" x14ac:dyDescent="0.25">
      <c r="A4638" t="str">
        <f>"20190304155728196"</f>
        <v>20190304155728196</v>
      </c>
      <c r="B4638" t="str">
        <f>"1551686248189121"</f>
        <v>1551686248189121</v>
      </c>
      <c r="C4638" t="s">
        <v>40</v>
      </c>
      <c r="D4638">
        <v>4.8170010000000003</v>
      </c>
      <c r="E4638">
        <v>0.45906259999999999</v>
      </c>
      <c r="F4638" t="s">
        <v>41</v>
      </c>
      <c r="G4638">
        <v>-373.197</v>
      </c>
      <c r="H4638" s="1">
        <v>-3.4550299999999999E-6</v>
      </c>
      <c r="I4638">
        <v>136.49160000000001</v>
      </c>
      <c r="J4638">
        <v>-342.97089999999997</v>
      </c>
      <c r="K4638">
        <v>1.1101190000000001</v>
      </c>
      <c r="L4638">
        <v>141.9359</v>
      </c>
      <c r="M4638">
        <v>-0.99991600000000003</v>
      </c>
      <c r="N4638">
        <v>-1.199746E-2</v>
      </c>
      <c r="O4638">
        <v>-4.8951239999999998E-3</v>
      </c>
      <c r="P4638">
        <v>-0.98331849999999998</v>
      </c>
      <c r="Q4638">
        <v>0.16619610000000001</v>
      </c>
      <c r="R4638">
        <v>-7.3916410000000002E-2</v>
      </c>
      <c r="S4638">
        <v>-3.028778</v>
      </c>
      <c r="T4638">
        <v>-0.1102947</v>
      </c>
      <c r="U4638">
        <v>-0.54104609999999997</v>
      </c>
      <c r="V4638">
        <v>-6.9231600000000004E-2</v>
      </c>
      <c r="W4638">
        <v>0.17793510000000001</v>
      </c>
      <c r="X4638">
        <v>0.98160389999999997</v>
      </c>
      <c r="Y4638">
        <v>-0.1708847</v>
      </c>
      <c r="Z4638">
        <v>-4.001101E-3</v>
      </c>
      <c r="AA4638">
        <v>0.98528289999999996</v>
      </c>
      <c r="AB4638">
        <v>37</v>
      </c>
      <c r="AC4638">
        <v>-30.226099999999899</v>
      </c>
      <c r="AD4638">
        <v>-1.11012245503</v>
      </c>
      <c r="AE4638">
        <v>-5.4442999999999904</v>
      </c>
      <c r="AF4638">
        <v>-5.2893530244188396</v>
      </c>
      <c r="AG4638">
        <v>-1.11012245503</v>
      </c>
      <c r="AH4638">
        <v>30.2129168809753</v>
      </c>
      <c r="AI4638">
        <v>92.072792821188202</v>
      </c>
      <c r="AJ4638">
        <v>99.930095892404395</v>
      </c>
      <c r="AK4638">
        <v>30.692506801152899</v>
      </c>
      <c r="AL4638">
        <v>79.750492414697604</v>
      </c>
      <c r="AM4638">
        <v>94.034336901538396</v>
      </c>
      <c r="AN4638">
        <v>1.00000006537288</v>
      </c>
    </row>
    <row r="4639" spans="1:40" x14ac:dyDescent="0.25">
      <c r="A4639" t="str">
        <f>"20190304155728213"</f>
        <v>20190304155728213</v>
      </c>
      <c r="B4639" t="str">
        <f>"1551686248209618"</f>
        <v>1551686248209618</v>
      </c>
      <c r="C4639" t="s">
        <v>40</v>
      </c>
      <c r="D4639">
        <v>4.8120500000000002</v>
      </c>
      <c r="E4639">
        <v>0.45902080000000001</v>
      </c>
      <c r="F4639" t="s">
        <v>41</v>
      </c>
      <c r="G4639">
        <v>-373.39109999999999</v>
      </c>
      <c r="H4639" s="1">
        <v>-3.3715989999999998E-6</v>
      </c>
      <c r="I4639">
        <v>136.49250000000001</v>
      </c>
      <c r="J4639">
        <v>-343.22579999999999</v>
      </c>
      <c r="K4639">
        <v>1.1101219999999901</v>
      </c>
      <c r="L4639">
        <v>141.93440000000001</v>
      </c>
      <c r="M4639">
        <v>-0.99991490000000005</v>
      </c>
      <c r="N4639">
        <v>-1.2004559999999999E-2</v>
      </c>
      <c r="O4639">
        <v>-5.1190469999999998E-3</v>
      </c>
      <c r="P4639">
        <v>-0.98330580000000001</v>
      </c>
      <c r="Q4639">
        <v>0.16625129999999999</v>
      </c>
      <c r="R4639">
        <v>-7.3963810000000005E-2</v>
      </c>
      <c r="S4639">
        <v>-3.0288390000000001</v>
      </c>
      <c r="T4639">
        <v>-0.11053109999999999</v>
      </c>
      <c r="U4639">
        <v>-0.54197689999999998</v>
      </c>
      <c r="V4639">
        <v>-6.9059490000000001E-2</v>
      </c>
      <c r="W4639">
        <v>0.1779975</v>
      </c>
      <c r="X4639">
        <v>0.98160460000000005</v>
      </c>
      <c r="Y4639">
        <v>-0.17095339999999901</v>
      </c>
      <c r="Z4639">
        <v>-4.0040939999999997E-3</v>
      </c>
      <c r="AA4639">
        <v>0.98527100000000001</v>
      </c>
      <c r="AB4639">
        <v>37</v>
      </c>
      <c r="AC4639">
        <v>-30.165299999999998</v>
      </c>
      <c r="AD4639">
        <v>-1.1101253715989901</v>
      </c>
      <c r="AE4639">
        <v>-5.4419000000000004</v>
      </c>
      <c r="AF4639">
        <v>-5.2804738193854801</v>
      </c>
      <c r="AG4639">
        <v>-1.1101253715989901</v>
      </c>
      <c r="AH4639">
        <v>30.1532134301005</v>
      </c>
      <c r="AI4639">
        <v>92.076880427492597</v>
      </c>
      <c r="AJ4639">
        <v>99.932995988545201</v>
      </c>
      <c r="AK4639">
        <v>30.632206291076699</v>
      </c>
      <c r="AL4639">
        <v>79.746858035459496</v>
      </c>
      <c r="AM4639">
        <v>94.024337659575494</v>
      </c>
      <c r="AN4639">
        <v>0.99999995695323396</v>
      </c>
    </row>
    <row r="4640" spans="1:40" x14ac:dyDescent="0.25">
      <c r="A4640" t="str">
        <f>"20190304155728226"</f>
        <v>20190304155728226</v>
      </c>
      <c r="B4640" t="str">
        <f>"1551686248219377"</f>
        <v>1551686248219377</v>
      </c>
      <c r="C4640" t="s">
        <v>40</v>
      </c>
      <c r="D4640">
        <v>4.8161500000000004</v>
      </c>
      <c r="E4640">
        <v>0.4590052</v>
      </c>
      <c r="F4640" t="s">
        <v>41</v>
      </c>
      <c r="G4640">
        <v>-373.37060000000002</v>
      </c>
      <c r="H4640" s="1">
        <v>-3.3728569999999998E-6</v>
      </c>
      <c r="I4640">
        <v>136.53489999999999</v>
      </c>
      <c r="J4640">
        <v>-343.46319999999997</v>
      </c>
      <c r="K4640">
        <v>1.1101259999999999</v>
      </c>
      <c r="L4640">
        <v>141.93299999999999</v>
      </c>
      <c r="M4640">
        <v>-0.99991359999999996</v>
      </c>
      <c r="N4640">
        <v>-1.201408E-2</v>
      </c>
      <c r="O4640">
        <v>-5.327376E-3</v>
      </c>
      <c r="P4640">
        <v>-0.9832109</v>
      </c>
      <c r="Q4640">
        <v>0.16671859999999999</v>
      </c>
      <c r="R4640">
        <v>-7.4173230000000007E-2</v>
      </c>
      <c r="S4640">
        <v>-3.0289920000000001</v>
      </c>
      <c r="T4640">
        <v>-0.1115469</v>
      </c>
      <c r="U4640">
        <v>-0.54254150000000001</v>
      </c>
      <c r="V4640">
        <v>-6.9065150000000006E-2</v>
      </c>
      <c r="W4640">
        <v>0.17847279999999999</v>
      </c>
      <c r="X4640">
        <v>0.98151790000000005</v>
      </c>
      <c r="Y4640">
        <v>-0.17091519999999999</v>
      </c>
      <c r="Z4640">
        <v>-4.0254499999999999E-3</v>
      </c>
      <c r="AA4640">
        <v>0.98527750000000003</v>
      </c>
      <c r="AB4640">
        <v>37</v>
      </c>
      <c r="AC4640">
        <v>-29.907399999999999</v>
      </c>
      <c r="AD4640">
        <v>-1.1101293728570001</v>
      </c>
      <c r="AE4640">
        <v>-5.3981000000000003</v>
      </c>
      <c r="AF4640">
        <v>-5.2317030376517204</v>
      </c>
      <c r="AG4640">
        <v>-1.1101293728570001</v>
      </c>
      <c r="AH4640">
        <v>29.895844055000101</v>
      </c>
      <c r="AI4640">
        <v>92.094795695127701</v>
      </c>
      <c r="AJ4640">
        <v>99.926115947103995</v>
      </c>
      <c r="AK4640">
        <v>30.370455967264299</v>
      </c>
      <c r="AL4640">
        <v>79.719182251202895</v>
      </c>
      <c r="AM4640">
        <v>94.025020744406206</v>
      </c>
      <c r="AN4640">
        <v>0.99999996165238503</v>
      </c>
    </row>
    <row r="4641" spans="1:40" x14ac:dyDescent="0.25">
      <c r="A4641" t="str">
        <f>"20190304155728241"</f>
        <v>20190304155728241</v>
      </c>
      <c r="B4641" t="str">
        <f>"1551686248239873"</f>
        <v>1551686248239873</v>
      </c>
      <c r="C4641" t="s">
        <v>40</v>
      </c>
      <c r="D4641">
        <v>4.8104180000000003</v>
      </c>
      <c r="E4641">
        <v>0.45907750000000003</v>
      </c>
      <c r="F4641" t="s">
        <v>41</v>
      </c>
      <c r="G4641">
        <v>-373.81819999999999</v>
      </c>
      <c r="H4641" s="1">
        <v>-3.1888939999999999E-6</v>
      </c>
      <c r="I4641">
        <v>136.48949999999999</v>
      </c>
      <c r="J4641">
        <v>-343.70499999999998</v>
      </c>
      <c r="K4641">
        <v>1.1101319999999999</v>
      </c>
      <c r="L4641">
        <v>141.9315</v>
      </c>
      <c r="M4641">
        <v>-0.99991229999999998</v>
      </c>
      <c r="N4641">
        <v>-1.202459E-2</v>
      </c>
      <c r="O4641">
        <v>-5.5392870000000004E-3</v>
      </c>
      <c r="P4641">
        <v>-0.98310819999999999</v>
      </c>
      <c r="Q4641">
        <v>0.16744890000000001</v>
      </c>
      <c r="R4641">
        <v>-7.3885599999999996E-2</v>
      </c>
      <c r="S4641">
        <v>-3.0289609999999998</v>
      </c>
      <c r="T4641">
        <v>-0.1107737</v>
      </c>
      <c r="U4641">
        <v>-0.54316709999999901</v>
      </c>
      <c r="V4641">
        <v>-6.8570889999999995E-2</v>
      </c>
      <c r="W4641">
        <v>0.17921219999999999</v>
      </c>
      <c r="X4641">
        <v>0.98141780000000001</v>
      </c>
      <c r="Y4641">
        <v>-0.17090710000000001</v>
      </c>
      <c r="Z4641">
        <v>-4.0007760000000002E-3</v>
      </c>
      <c r="AA4641">
        <v>0.98527900000000002</v>
      </c>
      <c r="AB4641">
        <v>37</v>
      </c>
      <c r="AC4641">
        <v>-30.113199999999999</v>
      </c>
      <c r="AD4641">
        <v>-1.1101351888940001</v>
      </c>
      <c r="AE4641">
        <v>-5.4420000000000002</v>
      </c>
      <c r="AF4641">
        <v>-5.2681654630062003</v>
      </c>
      <c r="AG4641">
        <v>-1.1101351888940001</v>
      </c>
      <c r="AH4641">
        <v>30.103266731230601</v>
      </c>
      <c r="AI4641">
        <v>92.080383469928407</v>
      </c>
      <c r="AJ4641">
        <v>99.926418704173997</v>
      </c>
      <c r="AK4641">
        <v>30.580919465817999</v>
      </c>
      <c r="AL4641">
        <v>79.676123306583904</v>
      </c>
      <c r="AM4641">
        <v>93.996715909093396</v>
      </c>
      <c r="AN4641">
        <v>0.99999993887053396</v>
      </c>
    </row>
    <row r="4642" spans="1:40" x14ac:dyDescent="0.25">
      <c r="A4642" t="str">
        <f>"20190304155728256"</f>
        <v>20190304155728256</v>
      </c>
      <c r="B4642" t="str">
        <f>"1551686248249634"</f>
        <v>1551686248249634</v>
      </c>
      <c r="C4642" t="s">
        <v>40</v>
      </c>
      <c r="D4642">
        <v>4.8193950000000001</v>
      </c>
      <c r="E4642">
        <v>0.45920420000000001</v>
      </c>
      <c r="F4642" t="s">
        <v>41</v>
      </c>
      <c r="G4642">
        <v>-374.52569999999997</v>
      </c>
      <c r="H4642" s="1">
        <v>-2.8978820000000002E-6</v>
      </c>
      <c r="I4642">
        <v>136.41899999999899</v>
      </c>
      <c r="J4642">
        <v>-343.94850000000002</v>
      </c>
      <c r="K4642">
        <v>1.110136</v>
      </c>
      <c r="L4642">
        <v>141.9299</v>
      </c>
      <c r="M4642">
        <v>-0.9999112</v>
      </c>
      <c r="N4642">
        <v>-1.2037910000000001E-2</v>
      </c>
      <c r="O4642">
        <v>-5.7532449999999997E-3</v>
      </c>
      <c r="P4642">
        <v>-0.98305399999999998</v>
      </c>
      <c r="Q4642">
        <v>0.1678209</v>
      </c>
      <c r="R4642">
        <v>-7.3764759999999999E-2</v>
      </c>
      <c r="S4642">
        <v>-3.0294189999999999</v>
      </c>
      <c r="T4642">
        <v>-0.1091173</v>
      </c>
      <c r="U4642">
        <v>-0.54182430000000004</v>
      </c>
      <c r="V4642">
        <v>-6.8240800000000004E-2</v>
      </c>
      <c r="W4642">
        <v>0.1795969</v>
      </c>
      <c r="X4642">
        <v>0.98137059999999998</v>
      </c>
      <c r="Y4642">
        <v>-0.17025170000000001</v>
      </c>
      <c r="Z4642">
        <v>-3.9375449999999998E-3</v>
      </c>
      <c r="AA4642">
        <v>0.98539270000000001</v>
      </c>
      <c r="AB4642">
        <v>37</v>
      </c>
      <c r="AC4642">
        <v>-30.577199999999898</v>
      </c>
      <c r="AD4642">
        <v>-1.1101388978819999</v>
      </c>
      <c r="AE4642">
        <v>-5.5109000000000199</v>
      </c>
      <c r="AF4642">
        <v>-5.3280757864447601</v>
      </c>
      <c r="AG4642">
        <v>-1.1101388978819999</v>
      </c>
      <c r="AH4642">
        <v>30.569374910356299</v>
      </c>
      <c r="AI4642">
        <v>92.048942613134798</v>
      </c>
      <c r="AJ4642">
        <v>99.887023188970204</v>
      </c>
      <c r="AK4642">
        <v>31.050080231274901</v>
      </c>
      <c r="AL4642">
        <v>79.653719306177393</v>
      </c>
      <c r="AM4642">
        <v>93.977728909779898</v>
      </c>
      <c r="AN4642">
        <v>1.0000000539092999</v>
      </c>
    </row>
    <row r="4643" spans="1:40" x14ac:dyDescent="0.25">
      <c r="A4643" t="str">
        <f>"20190304155728271"</f>
        <v>20190304155728271</v>
      </c>
      <c r="B4643" t="str">
        <f>"1551686248259394"</f>
        <v>1551686248259394</v>
      </c>
      <c r="C4643" t="s">
        <v>40</v>
      </c>
      <c r="D4643">
        <v>4.7747859999999998</v>
      </c>
      <c r="E4643">
        <v>0.45941850000000001</v>
      </c>
      <c r="F4643" t="s">
        <v>41</v>
      </c>
      <c r="G4643">
        <v>-375.14109999999999</v>
      </c>
      <c r="H4643" s="1">
        <v>-2.6433129999999999E-6</v>
      </c>
      <c r="I4643">
        <v>136.36590000000001</v>
      </c>
      <c r="J4643">
        <v>-344.17899999999997</v>
      </c>
      <c r="K4643">
        <v>1.110141</v>
      </c>
      <c r="L4643">
        <v>141.92840000000001</v>
      </c>
      <c r="M4643">
        <v>-0.99990959999999995</v>
      </c>
      <c r="N4643">
        <v>-1.205377E-2</v>
      </c>
      <c r="O4643">
        <v>-5.9562540000000002E-3</v>
      </c>
      <c r="P4643">
        <v>-0.98298110000000005</v>
      </c>
      <c r="Q4643">
        <v>0.1681627</v>
      </c>
      <c r="R4643">
        <v>-7.3956279999999999E-2</v>
      </c>
      <c r="S4643">
        <v>-3.029541</v>
      </c>
      <c r="T4643">
        <v>-0.107820899999999</v>
      </c>
      <c r="U4643">
        <v>-0.54038999999999904</v>
      </c>
      <c r="V4643">
        <v>-6.8233459999999996E-2</v>
      </c>
      <c r="W4643">
        <v>0.179953799999999</v>
      </c>
      <c r="X4643">
        <v>0.98130569999999895</v>
      </c>
      <c r="Y4643">
        <v>-0.169596</v>
      </c>
      <c r="Z4643">
        <v>-3.8849930000000002E-3</v>
      </c>
      <c r="AA4643">
        <v>0.98550599999999999</v>
      </c>
      <c r="AB4643">
        <v>37</v>
      </c>
      <c r="AC4643">
        <v>-30.9620999999999</v>
      </c>
      <c r="AD4643">
        <v>-1.1101436433130001</v>
      </c>
      <c r="AE4643">
        <v>-5.5625</v>
      </c>
      <c r="AF4643">
        <v>-5.3712804989711298</v>
      </c>
      <c r="AG4643">
        <v>-1.1101436433130001</v>
      </c>
      <c r="AH4643">
        <v>30.956132631478798</v>
      </c>
      <c r="AI4643">
        <v>92.023640573933406</v>
      </c>
      <c r="AJ4643">
        <v>99.843537882196003</v>
      </c>
      <c r="AK4643">
        <v>31.438276361866901</v>
      </c>
      <c r="AL4643">
        <v>79.632931474215894</v>
      </c>
      <c r="AM4643">
        <v>93.977564637378293</v>
      </c>
      <c r="AN4643">
        <v>1.00000002602525</v>
      </c>
    </row>
    <row r="4644" spans="1:40" x14ac:dyDescent="0.25">
      <c r="A4644" t="str">
        <f>"20190304155728287"</f>
        <v>20190304155728287</v>
      </c>
      <c r="B4644" t="str">
        <f>"1551686248279421"</f>
        <v>1551686248279421</v>
      </c>
      <c r="C4644" t="s">
        <v>40</v>
      </c>
      <c r="D4644">
        <v>4.8986609999999997</v>
      </c>
      <c r="E4644">
        <v>0.45953119999999997</v>
      </c>
      <c r="F4644" t="s">
        <v>41</v>
      </c>
      <c r="G4644">
        <v>-375.84519999999998</v>
      </c>
      <c r="H4644" s="1">
        <v>-2.3544840000000001E-6</v>
      </c>
      <c r="I4644">
        <v>136.29130000000001</v>
      </c>
      <c r="J4644">
        <v>-344.4402</v>
      </c>
      <c r="K4644">
        <v>1.1101559999999999</v>
      </c>
      <c r="L4644">
        <v>141.92670000000001</v>
      </c>
      <c r="M4644">
        <v>-0.99990800000000002</v>
      </c>
      <c r="N4644">
        <v>-1.207895E-2</v>
      </c>
      <c r="O4644">
        <v>-6.1885369999999896E-3</v>
      </c>
      <c r="P4644">
        <v>-0.98292210000000002</v>
      </c>
      <c r="Q4644">
        <v>0.16847509999999999</v>
      </c>
      <c r="R4644">
        <v>-7.4031890000000003E-2</v>
      </c>
      <c r="S4644">
        <v>-3.0295719999999999</v>
      </c>
      <c r="T4644">
        <v>-0.10620979999999999</v>
      </c>
      <c r="U4644">
        <v>-0.53930659999999997</v>
      </c>
      <c r="V4644">
        <v>-6.8081799999999998E-2</v>
      </c>
      <c r="W4644">
        <v>0.1802897</v>
      </c>
      <c r="X4644">
        <v>0.98125459999999998</v>
      </c>
      <c r="Y4644">
        <v>-0.1690277</v>
      </c>
      <c r="Z4644">
        <v>-3.827118E-3</v>
      </c>
      <c r="AA4644">
        <v>0.98560389999999998</v>
      </c>
      <c r="AB4644">
        <v>37</v>
      </c>
      <c r="AC4644">
        <v>-31.404999999999902</v>
      </c>
      <c r="AD4644">
        <v>-1.1101583544839999</v>
      </c>
      <c r="AE4644">
        <v>-5.6353999999999997</v>
      </c>
      <c r="AF4644">
        <v>-5.4343479662952401</v>
      </c>
      <c r="AG4644">
        <v>-1.1101583544839999</v>
      </c>
      <c r="AH4644">
        <v>31.401260899550302</v>
      </c>
      <c r="AI4644">
        <v>91.995155554026894</v>
      </c>
      <c r="AJ4644">
        <v>99.818440274439993</v>
      </c>
      <c r="AK4644">
        <v>31.8873607479897</v>
      </c>
      <c r="AL4644">
        <v>79.613366050992198</v>
      </c>
      <c r="AM4644">
        <v>93.968958150907994</v>
      </c>
      <c r="AN4644">
        <v>1.00000004871924</v>
      </c>
    </row>
    <row r="4645" spans="1:40" x14ac:dyDescent="0.25">
      <c r="A4645" t="str">
        <f>"20190304155728305"</f>
        <v>20190304155728305</v>
      </c>
      <c r="B4645" t="str">
        <f>"1551686248299916"</f>
        <v>1551686248299916</v>
      </c>
      <c r="C4645" t="s">
        <v>40</v>
      </c>
      <c r="D4645">
        <v>4.8929859999999996</v>
      </c>
      <c r="E4645">
        <v>0.50026400000000004</v>
      </c>
      <c r="F4645" t="s">
        <v>41</v>
      </c>
      <c r="G4645">
        <v>-376.43020000000001</v>
      </c>
      <c r="H4645" s="1">
        <v>-2.1120339999999999E-6</v>
      </c>
      <c r="I4645">
        <v>136.2433</v>
      </c>
      <c r="J4645">
        <v>-344.73099999999999</v>
      </c>
      <c r="K4645">
        <v>1.110169</v>
      </c>
      <c r="L4645">
        <v>141.9246</v>
      </c>
      <c r="M4645">
        <v>-0.99990590000000001</v>
      </c>
      <c r="N4645">
        <v>-1.211631E-2</v>
      </c>
      <c r="O4645">
        <v>-6.4456979999999997E-3</v>
      </c>
      <c r="P4645">
        <v>-0.98286519999999999</v>
      </c>
      <c r="Q4645">
        <v>0.16870009999999999</v>
      </c>
      <c r="R4645">
        <v>-7.4273210000000006E-2</v>
      </c>
      <c r="S4645">
        <v>-3.0295719999999999</v>
      </c>
      <c r="T4645">
        <v>-0.1051362</v>
      </c>
      <c r="U4645">
        <v>-0.53822329999999996</v>
      </c>
      <c r="V4645">
        <v>-6.8071939999999997E-2</v>
      </c>
      <c r="W4645">
        <v>0.1805504</v>
      </c>
      <c r="X4645">
        <v>0.9812073</v>
      </c>
      <c r="Y4645">
        <v>-0.16843529999999901</v>
      </c>
      <c r="Z4645">
        <v>-3.7834909999999999E-3</v>
      </c>
      <c r="AA4645">
        <v>0.98570539999999995</v>
      </c>
      <c r="AB4645">
        <v>37</v>
      </c>
      <c r="AC4645">
        <v>-31.699200000000001</v>
      </c>
      <c r="AD4645">
        <v>-1.1101711120340001</v>
      </c>
      <c r="AE4645">
        <v>-5.6812999999999896</v>
      </c>
      <c r="AF4645">
        <v>-5.47034270703407</v>
      </c>
      <c r="AG4645">
        <v>-1.1101711120340001</v>
      </c>
      <c r="AH4645">
        <v>31.6974956137338</v>
      </c>
      <c r="AI4645">
        <v>91.976706705473106</v>
      </c>
      <c r="AJ4645">
        <v>99.791635356769305</v>
      </c>
      <c r="AK4645">
        <v>32.185219548933802</v>
      </c>
      <c r="AL4645">
        <v>79.598179326464304</v>
      </c>
      <c r="AM4645">
        <v>93.968575868497595</v>
      </c>
      <c r="AN4645">
        <v>1.0000000007644001</v>
      </c>
    </row>
    <row r="4646" spans="1:40" x14ac:dyDescent="0.25">
      <c r="A4646" t="str">
        <f>"20190304155728320"</f>
        <v>20190304155728320</v>
      </c>
      <c r="B4646" t="str">
        <f>"1551686248309676"</f>
        <v>1551686248309676</v>
      </c>
      <c r="C4646" t="s">
        <v>40</v>
      </c>
      <c r="D4646">
        <v>4.8613970000000002</v>
      </c>
      <c r="E4646">
        <v>0.50620200000000004</v>
      </c>
      <c r="F4646" t="s">
        <v>41</v>
      </c>
      <c r="G4646">
        <v>-373.18729999999999</v>
      </c>
      <c r="H4646" s="1">
        <v>-2.9877720000000001E-6</v>
      </c>
      <c r="I4646">
        <v>139.92760000000001</v>
      </c>
      <c r="J4646">
        <v>-344.9873</v>
      </c>
      <c r="K4646">
        <v>1.110182</v>
      </c>
      <c r="L4646">
        <v>141.92269999999999</v>
      </c>
      <c r="M4646">
        <v>-0.99990389999999996</v>
      </c>
      <c r="N4646">
        <v>-1.215844E-2</v>
      </c>
      <c r="O4646">
        <v>-6.6685429999999999E-3</v>
      </c>
      <c r="P4646">
        <v>-0.98268759999999999</v>
      </c>
      <c r="Q4646">
        <v>0.16960639999999999</v>
      </c>
      <c r="R4646">
        <v>-7.4557100000000001E-2</v>
      </c>
      <c r="S4646">
        <v>-3.056549</v>
      </c>
      <c r="T4646">
        <v>-0.1192459</v>
      </c>
      <c r="U4646">
        <v>-0.21449280000000001</v>
      </c>
      <c r="V4646">
        <v>-6.8139420000000006E-2</v>
      </c>
      <c r="W4646">
        <v>0.18149580000000001</v>
      </c>
      <c r="X4646">
        <v>0.98102820000000002</v>
      </c>
      <c r="Y4646">
        <v>-6.3287919999999998E-2</v>
      </c>
      <c r="Z4646">
        <v>-1.4392090000000001E-3</v>
      </c>
      <c r="AA4646">
        <v>0.99799420000000005</v>
      </c>
      <c r="AB4646">
        <v>37</v>
      </c>
      <c r="AC4646">
        <v>-28.1999999999999</v>
      </c>
      <c r="AD4646">
        <v>-1.110184987772</v>
      </c>
      <c r="AE4646">
        <v>-1.9950999999999799</v>
      </c>
      <c r="AF4646">
        <v>-1.80420648751291</v>
      </c>
      <c r="AG4646">
        <v>-1.110184987772</v>
      </c>
      <c r="AH4646">
        <v>28.169237333670399</v>
      </c>
      <c r="AI4646">
        <v>92.252320224317998</v>
      </c>
      <c r="AJ4646">
        <v>93.664721490226995</v>
      </c>
      <c r="AK4646">
        <v>28.248780570447799</v>
      </c>
      <c r="AL4646">
        <v>79.543102130262298</v>
      </c>
      <c r="AM4646">
        <v>93.973220255827499</v>
      </c>
      <c r="AN4646">
        <v>1.0000000175854</v>
      </c>
    </row>
    <row r="4647" spans="1:40" x14ac:dyDescent="0.25">
      <c r="A4647" t="str">
        <f>"20190304155728342"</f>
        <v>20190304155728342</v>
      </c>
      <c r="B4647" t="str">
        <f>"1551686248339932"</f>
        <v>1551686248339932</v>
      </c>
      <c r="C4647" t="s">
        <v>40</v>
      </c>
      <c r="D4647">
        <v>5.1924440000000001</v>
      </c>
      <c r="E4647">
        <v>0.51614199999999999</v>
      </c>
      <c r="F4647" t="s">
        <v>41</v>
      </c>
      <c r="G4647">
        <v>-375.6318</v>
      </c>
      <c r="H4647" s="1">
        <v>-2.0217780000000001E-6</v>
      </c>
      <c r="I4647">
        <v>140.23830000000001</v>
      </c>
      <c r="J4647">
        <v>-345.3535</v>
      </c>
      <c r="K4647">
        <v>1.110195</v>
      </c>
      <c r="L4647">
        <v>141.91990000000001</v>
      </c>
      <c r="M4647">
        <v>-0.99990080000000003</v>
      </c>
      <c r="N4647">
        <v>-1.2235970000000001E-2</v>
      </c>
      <c r="O4647">
        <v>-6.9796800000000003E-3</v>
      </c>
      <c r="P4647">
        <v>-0.982626</v>
      </c>
      <c r="Q4647">
        <v>0.16970759999999999</v>
      </c>
      <c r="R4647">
        <v>-7.5135889999999997E-2</v>
      </c>
      <c r="S4647">
        <v>-3.0592649999999999</v>
      </c>
      <c r="T4647">
        <v>-0.11083079999999999</v>
      </c>
      <c r="U4647">
        <v>-0.16815189999999999</v>
      </c>
      <c r="V4647">
        <v>-6.8412680000000003E-2</v>
      </c>
      <c r="W4647">
        <v>0.1816731</v>
      </c>
      <c r="X4647">
        <v>0.98097630000000002</v>
      </c>
      <c r="Y4647">
        <v>-4.787102E-2</v>
      </c>
      <c r="Z4647">
        <v>-9.9218609999999997E-4</v>
      </c>
      <c r="AA4647">
        <v>0.99885299999999999</v>
      </c>
      <c r="AB4647">
        <v>37</v>
      </c>
      <c r="AC4647">
        <v>-30.278300000000002</v>
      </c>
      <c r="AD4647">
        <v>-1.1101970217779999</v>
      </c>
      <c r="AE4647">
        <v>-1.6816</v>
      </c>
      <c r="AF4647">
        <v>-1.4682424961627101</v>
      </c>
      <c r="AG4647">
        <v>-1.1101970217779999</v>
      </c>
      <c r="AH4647">
        <v>30.248758083745798</v>
      </c>
      <c r="AI4647">
        <v>92.099470148514399</v>
      </c>
      <c r="AJ4647">
        <v>92.778895090025799</v>
      </c>
      <c r="AK4647">
        <v>30.304713149338301</v>
      </c>
      <c r="AL4647">
        <v>79.532771195422399</v>
      </c>
      <c r="AM4647">
        <v>93.989313117962595</v>
      </c>
      <c r="AN4647">
        <v>0.99999995560503996</v>
      </c>
    </row>
    <row r="4648" spans="1:40" x14ac:dyDescent="0.25">
      <c r="A4648" t="str">
        <f>"20190304155728365"</f>
        <v>20190304155728365</v>
      </c>
      <c r="B4648" t="str">
        <f>"1551686248359452"</f>
        <v>1551686248359452</v>
      </c>
      <c r="C4648" t="s">
        <v>40</v>
      </c>
      <c r="D4648">
        <v>4.82057</v>
      </c>
      <c r="E4648">
        <v>0.51796169999999997</v>
      </c>
      <c r="F4648" t="s">
        <v>41</v>
      </c>
      <c r="G4648">
        <v>-380.24650000000003</v>
      </c>
      <c r="H4648" s="1">
        <v>-4.4172139999999998E-6</v>
      </c>
      <c r="I4648">
        <v>140.88499999999999</v>
      </c>
      <c r="J4648">
        <v>-345.714</v>
      </c>
      <c r="K4648">
        <v>1.1102080000000001</v>
      </c>
      <c r="L4648">
        <v>141.9171</v>
      </c>
      <c r="M4648">
        <v>-0.99989749999999999</v>
      </c>
      <c r="N4648">
        <v>-1.2334080000000001E-2</v>
      </c>
      <c r="O4648">
        <v>-7.2828939999999998E-3</v>
      </c>
      <c r="P4648">
        <v>-0.98246659999999997</v>
      </c>
      <c r="Q4648">
        <v>0.17022010000000001</v>
      </c>
      <c r="R4648">
        <v>-7.605837E-2</v>
      </c>
      <c r="S4648">
        <v>-3.0629270000000002</v>
      </c>
      <c r="T4648">
        <v>-9.7454070000000004E-2</v>
      </c>
      <c r="U4648">
        <v>-9.0835570000000004E-2</v>
      </c>
      <c r="V4648">
        <v>-6.9036249999999993E-2</v>
      </c>
      <c r="W4648">
        <v>0.18228030000000001</v>
      </c>
      <c r="X4648">
        <v>0.98082000000000003</v>
      </c>
      <c r="Y4648">
        <v>-2.2348090000000001E-2</v>
      </c>
      <c r="Z4648">
        <v>-3.5146119999999997E-4</v>
      </c>
      <c r="AA4648">
        <v>0.99975020000000003</v>
      </c>
      <c r="AB4648">
        <v>37</v>
      </c>
      <c r="AC4648">
        <v>-34.532499999999999</v>
      </c>
      <c r="AD4648">
        <v>-1.110212417214</v>
      </c>
      <c r="AE4648">
        <v>-1.03210000000001</v>
      </c>
      <c r="AF4648">
        <v>-0.77975173854416802</v>
      </c>
      <c r="AG4648">
        <v>-1.110212417214</v>
      </c>
      <c r="AH4648">
        <v>34.503470028264204</v>
      </c>
      <c r="AI4648">
        <v>91.842490790347497</v>
      </c>
      <c r="AJ4648">
        <v>91.294619937649998</v>
      </c>
      <c r="AK4648">
        <v>34.530132180118102</v>
      </c>
      <c r="AL4648">
        <v>79.497390824310401</v>
      </c>
      <c r="AM4648">
        <v>94.0261954122942</v>
      </c>
      <c r="AN4648">
        <v>0.99999999199107603</v>
      </c>
    </row>
    <row r="4649" spans="1:40" x14ac:dyDescent="0.25">
      <c r="A4649" t="str">
        <f>"20190304155728380"</f>
        <v>20190304155728380</v>
      </c>
      <c r="B4649" t="str">
        <f>"1551686248369212"</f>
        <v>1551686248369212</v>
      </c>
      <c r="C4649" t="s">
        <v>40</v>
      </c>
      <c r="D4649">
        <v>4.8302239999999896</v>
      </c>
      <c r="E4649">
        <v>0.51860890000000004</v>
      </c>
      <c r="F4649" t="s">
        <v>41</v>
      </c>
      <c r="G4649">
        <v>-381.16410000000002</v>
      </c>
      <c r="H4649" s="1">
        <v>-4.1261570000000003E-6</v>
      </c>
      <c r="I4649">
        <v>141.00460000000001</v>
      </c>
      <c r="J4649">
        <v>-345.97820000000002</v>
      </c>
      <c r="K4649">
        <v>1.1102190000000001</v>
      </c>
      <c r="L4649">
        <v>141.91489999999999</v>
      </c>
      <c r="M4649">
        <v>-0.99989490000000003</v>
      </c>
      <c r="N4649">
        <v>-1.24209E-2</v>
      </c>
      <c r="O4649">
        <v>-7.5074619999999899E-3</v>
      </c>
      <c r="P4649">
        <v>-0.98242989999999997</v>
      </c>
      <c r="Q4649">
        <v>0.170123</v>
      </c>
      <c r="R4649">
        <v>-7.6746720000000004E-2</v>
      </c>
      <c r="S4649">
        <v>-3.0640559999999999</v>
      </c>
      <c r="T4649">
        <v>-9.5958950000000001E-2</v>
      </c>
      <c r="U4649">
        <v>-7.8857419999999998E-2</v>
      </c>
      <c r="V4649">
        <v>-6.9501289999999993E-2</v>
      </c>
      <c r="W4649">
        <v>0.18226909999999999</v>
      </c>
      <c r="X4649">
        <v>0.98078920000000003</v>
      </c>
      <c r="Y4649">
        <v>-1.8210359999999998E-2</v>
      </c>
      <c r="Z4649">
        <v>-2.5640660000000003E-4</v>
      </c>
      <c r="AA4649">
        <v>0.99983409999999995</v>
      </c>
      <c r="AB4649">
        <v>37</v>
      </c>
      <c r="AC4649">
        <v>-35.185899999999997</v>
      </c>
      <c r="AD4649">
        <v>-1.1102231261569999</v>
      </c>
      <c r="AE4649">
        <v>-0.91029999999997802</v>
      </c>
      <c r="AF4649">
        <v>-0.64545503305761598</v>
      </c>
      <c r="AG4649">
        <v>-1.1102231261569999</v>
      </c>
      <c r="AH4649">
        <v>35.156764300563701</v>
      </c>
      <c r="AI4649">
        <v>91.808450261650606</v>
      </c>
      <c r="AJ4649">
        <v>91.051794604387496</v>
      </c>
      <c r="AK4649">
        <v>35.180211535392203</v>
      </c>
      <c r="AL4649">
        <v>79.498043072009594</v>
      </c>
      <c r="AM4649">
        <v>94.053353321341604</v>
      </c>
      <c r="AN4649">
        <v>0.99999995448155599</v>
      </c>
    </row>
    <row r="4650" spans="1:40" x14ac:dyDescent="0.25">
      <c r="A4650" t="str">
        <f>"20190304155728394"</f>
        <v>20190304155728394</v>
      </c>
      <c r="B4650" t="str">
        <f>"1551686248389708"</f>
        <v>1551686248389708</v>
      </c>
      <c r="C4650" t="s">
        <v>40</v>
      </c>
      <c r="D4650">
        <v>4.8719960000000002</v>
      </c>
      <c r="E4650">
        <v>0.51955909999999905</v>
      </c>
      <c r="F4650" t="s">
        <v>41</v>
      </c>
      <c r="G4650">
        <v>-380.92790000000002</v>
      </c>
      <c r="H4650" s="1">
        <v>-4.2151370000000001E-6</v>
      </c>
      <c r="I4650">
        <v>141.0531</v>
      </c>
      <c r="J4650">
        <v>-346.18810000000002</v>
      </c>
      <c r="K4650">
        <v>1.1102259999999999</v>
      </c>
      <c r="L4650">
        <v>141.91309999999999</v>
      </c>
      <c r="M4650">
        <v>-0.99989240000000001</v>
      </c>
      <c r="N4650">
        <v>-1.2498209999999999E-2</v>
      </c>
      <c r="O4650">
        <v>-7.687401E-3</v>
      </c>
      <c r="P4650">
        <v>-0.98236270000000003</v>
      </c>
      <c r="Q4650">
        <v>0.170288299999999</v>
      </c>
      <c r="R4650">
        <v>-7.7235970000000001E-2</v>
      </c>
      <c r="S4650">
        <v>-3.0646059999999999</v>
      </c>
      <c r="T4650">
        <v>-9.7351549999999995E-2</v>
      </c>
      <c r="U4650">
        <v>-7.5561519999999993E-2</v>
      </c>
      <c r="V4650">
        <v>-6.9811429999999994E-2</v>
      </c>
      <c r="W4650">
        <v>0.18251000000000001</v>
      </c>
      <c r="X4650">
        <v>0.98072239999999999</v>
      </c>
      <c r="Y4650">
        <v>-1.6951830000000001E-2</v>
      </c>
      <c r="Z4650">
        <v>-2.2709299999999999E-4</v>
      </c>
      <c r="AA4650">
        <v>0.99985630000000003</v>
      </c>
      <c r="AB4650">
        <v>37</v>
      </c>
      <c r="AC4650">
        <v>-34.739800000000002</v>
      </c>
      <c r="AD4650">
        <v>-1.110230215137</v>
      </c>
      <c r="AE4650">
        <v>-0.859999999999985</v>
      </c>
      <c r="AF4650">
        <v>-0.592290404769928</v>
      </c>
      <c r="AG4650">
        <v>-1.110230215137</v>
      </c>
      <c r="AH4650">
        <v>34.709955966072101</v>
      </c>
      <c r="AI4650">
        <v>91.8317676818058</v>
      </c>
      <c r="AJ4650">
        <v>90.9775998346704</v>
      </c>
      <c r="AK4650">
        <v>34.7327577687239</v>
      </c>
      <c r="AL4650">
        <v>79.484005329686198</v>
      </c>
      <c r="AM4650">
        <v>94.071656546213603</v>
      </c>
      <c r="AN4650">
        <v>0.99999998086020203</v>
      </c>
    </row>
    <row r="4651" spans="1:40" x14ac:dyDescent="0.25">
      <c r="A4651" t="str">
        <f>"20190304155728409"</f>
        <v>20190304155728409</v>
      </c>
      <c r="B4651" t="str">
        <f>"1551686248399468"</f>
        <v>1551686248399468</v>
      </c>
      <c r="C4651" t="s">
        <v>40</v>
      </c>
      <c r="D4651">
        <v>4.9027469999999997</v>
      </c>
      <c r="E4651">
        <v>0.51980689999999996</v>
      </c>
      <c r="F4651" t="s">
        <v>41</v>
      </c>
      <c r="G4651">
        <v>-381.1771</v>
      </c>
      <c r="H4651" s="1">
        <v>-4.1419860000000004E-6</v>
      </c>
      <c r="I4651">
        <v>141.11879999999999</v>
      </c>
      <c r="J4651">
        <v>-346.44330000000002</v>
      </c>
      <c r="K4651">
        <v>1.1102369999999999</v>
      </c>
      <c r="L4651">
        <v>141.911</v>
      </c>
      <c r="M4651">
        <v>-0.99988929999999998</v>
      </c>
      <c r="N4651">
        <v>-1.2604519999999999E-2</v>
      </c>
      <c r="O4651">
        <v>-7.9080439999999995E-3</v>
      </c>
      <c r="P4651">
        <v>-0.98231210000000002</v>
      </c>
      <c r="Q4651">
        <v>0.17035520000000001</v>
      </c>
      <c r="R4651">
        <v>-7.7730919999999995E-2</v>
      </c>
      <c r="S4651">
        <v>-3.0652469999999998</v>
      </c>
      <c r="T4651">
        <v>-9.7262979999999999E-2</v>
      </c>
      <c r="U4651">
        <v>-6.9580080000000002E-2</v>
      </c>
      <c r="V4651">
        <v>-7.0086960000000004E-2</v>
      </c>
      <c r="W4651">
        <v>0.1826816</v>
      </c>
      <c r="X4651">
        <v>0.98067079999999995</v>
      </c>
      <c r="Y4651">
        <v>-1.4777530000000001E-2</v>
      </c>
      <c r="Z4651">
        <v>-1.7637309999999999E-4</v>
      </c>
      <c r="AA4651">
        <v>0.99989079999999997</v>
      </c>
      <c r="AB4651">
        <v>36</v>
      </c>
      <c r="AC4651">
        <v>-34.733799999999903</v>
      </c>
      <c r="AD4651">
        <v>-1.1102411419859901</v>
      </c>
      <c r="AE4651">
        <v>-0.79220000000000801</v>
      </c>
      <c r="AF4651">
        <v>-0.51694908681729701</v>
      </c>
      <c r="AG4651">
        <v>-1.1102411419859901</v>
      </c>
      <c r="AH4651">
        <v>34.703540269603103</v>
      </c>
      <c r="AI4651">
        <v>91.832187522510495</v>
      </c>
      <c r="AJ4651">
        <v>90.853423316110195</v>
      </c>
      <c r="AK4651">
        <v>34.725143325776003</v>
      </c>
      <c r="AL4651">
        <v>79.474005280730594</v>
      </c>
      <c r="AM4651">
        <v>94.087886442967402</v>
      </c>
      <c r="AN4651">
        <v>0.99999998345662</v>
      </c>
    </row>
    <row r="4652" spans="1:40" x14ac:dyDescent="0.25">
      <c r="A4652" t="str">
        <f>"20190304155728424"</f>
        <v>20190304155728424</v>
      </c>
      <c r="B4652" t="str">
        <f>"1551686248419964"</f>
        <v>1551686248419964</v>
      </c>
      <c r="C4652" t="s">
        <v>40</v>
      </c>
      <c r="D4652">
        <v>4.9198019999999998</v>
      </c>
      <c r="E4652">
        <v>0.52024040000000005</v>
      </c>
      <c r="F4652" t="s">
        <v>41</v>
      </c>
      <c r="G4652">
        <v>-381.59190000000001</v>
      </c>
      <c r="H4652" s="1">
        <v>-3.9889159999999996E-6</v>
      </c>
      <c r="I4652">
        <v>141.11789999999999</v>
      </c>
      <c r="J4652">
        <v>-346.69029999999998</v>
      </c>
      <c r="K4652">
        <v>1.1102529999999999</v>
      </c>
      <c r="L4652">
        <v>141.90880000000001</v>
      </c>
      <c r="M4652">
        <v>-0.9998861</v>
      </c>
      <c r="N4652">
        <v>-1.272738E-2</v>
      </c>
      <c r="O4652">
        <v>-8.1216810000000004E-3</v>
      </c>
      <c r="P4652">
        <v>-0.98228910000000003</v>
      </c>
      <c r="Q4652">
        <v>0.1702399</v>
      </c>
      <c r="R4652">
        <v>-7.8274469999999999E-2</v>
      </c>
      <c r="S4652">
        <v>-3.0653079999999999</v>
      </c>
      <c r="T4652">
        <v>-9.6824049999999995E-2</v>
      </c>
      <c r="U4652">
        <v>-6.9152829999999998E-2</v>
      </c>
      <c r="V4652">
        <v>-7.0418880000000003E-2</v>
      </c>
      <c r="W4652">
        <v>0.18268770000000001</v>
      </c>
      <c r="X4652">
        <v>0.98064589999999996</v>
      </c>
      <c r="Y4652">
        <v>-1.442443E-2</v>
      </c>
      <c r="Z4652">
        <v>-1.664782E-4</v>
      </c>
      <c r="AA4652">
        <v>0.99989589999999995</v>
      </c>
      <c r="AB4652">
        <v>36</v>
      </c>
      <c r="AC4652">
        <v>-34.901600000000002</v>
      </c>
      <c r="AD4652">
        <v>-1.1102569889159899</v>
      </c>
      <c r="AE4652">
        <v>-0.79090000000002103</v>
      </c>
      <c r="AF4652">
        <v>-0.50687864155040596</v>
      </c>
      <c r="AG4652">
        <v>-1.1102569889159899</v>
      </c>
      <c r="AH4652">
        <v>34.871602679993302</v>
      </c>
      <c r="AI4652">
        <v>91.823399011698498</v>
      </c>
      <c r="AJ4652">
        <v>90.832768199756799</v>
      </c>
      <c r="AK4652">
        <v>34.892954446564303</v>
      </c>
      <c r="AL4652">
        <v>79.4736499467773</v>
      </c>
      <c r="AM4652">
        <v>94.107283815888294</v>
      </c>
      <c r="AN4652">
        <v>0.99999999778927695</v>
      </c>
    </row>
    <row r="4653" spans="1:40" x14ac:dyDescent="0.25">
      <c r="A4653" t="str">
        <f>"20190304155728443"</f>
        <v>20190304155728443</v>
      </c>
      <c r="B4653" t="str">
        <f>"1551686248439484"</f>
        <v>1551686248439484</v>
      </c>
      <c r="C4653" t="s">
        <v>40</v>
      </c>
      <c r="D4653">
        <v>4.8676069999999996</v>
      </c>
      <c r="E4653">
        <v>0.52070059999999996</v>
      </c>
      <c r="F4653" t="s">
        <v>41</v>
      </c>
      <c r="G4653">
        <v>-381.78820000000002</v>
      </c>
      <c r="H4653" s="1">
        <v>-3.9097539999999901E-6</v>
      </c>
      <c r="I4653">
        <v>141.1369</v>
      </c>
      <c r="J4653">
        <v>-346.98390000000001</v>
      </c>
      <c r="K4653">
        <v>1.110268</v>
      </c>
      <c r="L4653">
        <v>141.90620000000001</v>
      </c>
      <c r="M4653">
        <v>-0.99988200000000005</v>
      </c>
      <c r="N4653">
        <v>-1.288458E-2</v>
      </c>
      <c r="O4653">
        <v>-8.3738409999999999E-3</v>
      </c>
      <c r="P4653">
        <v>-0.98230640000000002</v>
      </c>
      <c r="Q4653">
        <v>0.1699224</v>
      </c>
      <c r="R4653">
        <v>-7.8745129999999997E-2</v>
      </c>
      <c r="S4653">
        <v>-3.0655519999999998</v>
      </c>
      <c r="T4653">
        <v>-9.697306E-2</v>
      </c>
      <c r="U4653">
        <v>-6.7413329999999994E-2</v>
      </c>
      <c r="V4653">
        <v>-7.0639869999999993E-2</v>
      </c>
      <c r="W4653">
        <v>0.18252499999999999</v>
      </c>
      <c r="X4653">
        <v>0.98066030000000004</v>
      </c>
      <c r="Y4653">
        <v>-1.36039E-2</v>
      </c>
      <c r="Z4653">
        <v>-1.458606E-4</v>
      </c>
      <c r="AA4653">
        <v>0.9999074</v>
      </c>
      <c r="AB4653">
        <v>36</v>
      </c>
      <c r="AC4653">
        <v>-34.804299999999998</v>
      </c>
      <c r="AD4653">
        <v>-1.1102719097539999</v>
      </c>
      <c r="AE4653">
        <v>-0.76930000000001497</v>
      </c>
      <c r="AF4653">
        <v>-0.47731767636800398</v>
      </c>
      <c r="AG4653">
        <v>-1.1102719097539999</v>
      </c>
      <c r="AH4653">
        <v>34.774151862998501</v>
      </c>
      <c r="AI4653">
        <v>91.828550878293598</v>
      </c>
      <c r="AJ4653">
        <v>90.786405117485501</v>
      </c>
      <c r="AK4653">
        <v>34.795145834852399</v>
      </c>
      <c r="AL4653">
        <v>79.483131364988296</v>
      </c>
      <c r="AM4653">
        <v>94.120068768353505</v>
      </c>
      <c r="AN4653">
        <v>0.99999999542735296</v>
      </c>
    </row>
    <row r="4654" spans="1:40" x14ac:dyDescent="0.25">
      <c r="A4654" t="str">
        <f>"20190304155728458"</f>
        <v>20190304155728458</v>
      </c>
      <c r="B4654" t="str">
        <f>"1551686248449244"</f>
        <v>1551686248449244</v>
      </c>
      <c r="C4654" t="s">
        <v>40</v>
      </c>
      <c r="D4654">
        <v>4.9071629999999997</v>
      </c>
      <c r="E4654">
        <v>0.52099139999999999</v>
      </c>
      <c r="F4654" t="s">
        <v>41</v>
      </c>
      <c r="G4654">
        <v>-382.3492</v>
      </c>
      <c r="H4654" s="1">
        <v>-3.6737099999999999E-6</v>
      </c>
      <c r="I4654">
        <v>141.1542</v>
      </c>
      <c r="J4654">
        <v>-347.23219999999998</v>
      </c>
      <c r="K4654">
        <v>1.11029</v>
      </c>
      <c r="L4654">
        <v>141.90389999999999</v>
      </c>
      <c r="M4654">
        <v>-0.99987839999999995</v>
      </c>
      <c r="N4654">
        <v>-1.302128E-2</v>
      </c>
      <c r="O4654">
        <v>-8.5850240000000001E-3</v>
      </c>
      <c r="P4654">
        <v>-0.98233680000000001</v>
      </c>
      <c r="Q4654">
        <v>0.1696976</v>
      </c>
      <c r="R4654">
        <v>-7.8849799999999998E-2</v>
      </c>
      <c r="S4654">
        <v>-3.0654599999999999</v>
      </c>
      <c r="T4654">
        <v>-9.6238370000000004E-2</v>
      </c>
      <c r="U4654">
        <v>-6.5170290000000006E-2</v>
      </c>
      <c r="V4654">
        <v>-7.0535870000000001E-2</v>
      </c>
      <c r="W4654">
        <v>0.18243500000000001</v>
      </c>
      <c r="X4654">
        <v>0.98068449999999996</v>
      </c>
      <c r="Y4654">
        <v>-1.266277E-2</v>
      </c>
      <c r="Z4654">
        <v>-1.2353430000000001E-4</v>
      </c>
      <c r="AA4654">
        <v>0.99991980000000003</v>
      </c>
      <c r="AB4654">
        <v>36</v>
      </c>
      <c r="AC4654">
        <v>-35.116999999999997</v>
      </c>
      <c r="AD4654">
        <v>-1.11029367371</v>
      </c>
      <c r="AE4654">
        <v>-0.74969999999999004</v>
      </c>
      <c r="AF4654">
        <v>-0.44771917717193599</v>
      </c>
      <c r="AG4654">
        <v>-1.11029367371</v>
      </c>
      <c r="AH4654">
        <v>35.087084131420703</v>
      </c>
      <c r="AI4654">
        <v>91.8123121142157</v>
      </c>
      <c r="AJ4654">
        <v>90.731067506992403</v>
      </c>
      <c r="AK4654">
        <v>35.107501724686699</v>
      </c>
      <c r="AL4654">
        <v>79.488375704734693</v>
      </c>
      <c r="AM4654">
        <v>94.113922641827997</v>
      </c>
      <c r="AN4654">
        <v>0.99999996336095198</v>
      </c>
    </row>
    <row r="4655" spans="1:40" x14ac:dyDescent="0.25">
      <c r="A4655" t="str">
        <f>"20190304155728472"</f>
        <v>20190304155728472</v>
      </c>
      <c r="B4655" t="str">
        <f>"1551686248469740"</f>
        <v>1551686248469740</v>
      </c>
      <c r="C4655" t="s">
        <v>40</v>
      </c>
      <c r="D4655">
        <v>4.8738250000000001</v>
      </c>
      <c r="E4655">
        <v>0.52150169999999996</v>
      </c>
      <c r="F4655" t="s">
        <v>41</v>
      </c>
      <c r="G4655">
        <v>-382.44529999999997</v>
      </c>
      <c r="H4655" s="1">
        <v>-3.6388479999999998E-6</v>
      </c>
      <c r="I4655">
        <v>141.1782</v>
      </c>
      <c r="J4655">
        <v>-347.46159999999998</v>
      </c>
      <c r="K4655">
        <v>1.1103080000000001</v>
      </c>
      <c r="L4655">
        <v>141.90180000000001</v>
      </c>
      <c r="M4655">
        <v>-0.99987510000000002</v>
      </c>
      <c r="N4655">
        <v>-1.31466E-2</v>
      </c>
      <c r="O4655">
        <v>-8.7791099999999997E-3</v>
      </c>
      <c r="P4655">
        <v>-0.98239759999999998</v>
      </c>
      <c r="Q4655">
        <v>0.16925989999999999</v>
      </c>
      <c r="R4655">
        <v>-7.9034090000000001E-2</v>
      </c>
      <c r="S4655">
        <v>-3.065582</v>
      </c>
      <c r="T4655">
        <v>-9.6660140000000006E-2</v>
      </c>
      <c r="U4655">
        <v>-6.3171389999999994E-2</v>
      </c>
      <c r="V4655">
        <v>-7.0528809999999997E-2</v>
      </c>
      <c r="W4655">
        <v>0.18212139999999999</v>
      </c>
      <c r="X4655">
        <v>0.98074329999999998</v>
      </c>
      <c r="Y4655">
        <v>-1.181664E-2</v>
      </c>
      <c r="Z4655">
        <v>-1.0263129999999999E-4</v>
      </c>
      <c r="AA4655">
        <v>0.99993019999999999</v>
      </c>
      <c r="AB4655">
        <v>36</v>
      </c>
      <c r="AC4655">
        <v>-34.983699999999999</v>
      </c>
      <c r="AD4655">
        <v>-1.1103116388480001</v>
      </c>
      <c r="AE4655">
        <v>-0.72360000000000402</v>
      </c>
      <c r="AF4655">
        <v>-0.416000975605332</v>
      </c>
      <c r="AG4655">
        <v>-1.1103116388480001</v>
      </c>
      <c r="AH4655">
        <v>34.953511136236401</v>
      </c>
      <c r="AI4655">
        <v>91.819281787558893</v>
      </c>
      <c r="AJ4655">
        <v>90.681876415472999</v>
      </c>
      <c r="AK4655">
        <v>34.973615619464802</v>
      </c>
      <c r="AL4655">
        <v>79.506649867224695</v>
      </c>
      <c r="AM4655">
        <v>94.113266511930703</v>
      </c>
      <c r="AN4655">
        <v>0.99999996893643195</v>
      </c>
    </row>
    <row r="4656" spans="1:40" x14ac:dyDescent="0.25">
      <c r="A4656" t="str">
        <f>"20190304155728487"</f>
        <v>20190304155728487</v>
      </c>
      <c r="B4656" t="str">
        <f>"1551686248479500"</f>
        <v>1551686248479500</v>
      </c>
      <c r="C4656" t="s">
        <v>40</v>
      </c>
      <c r="D4656">
        <v>4.8662999999999998</v>
      </c>
      <c r="E4656">
        <v>0.52173930000000002</v>
      </c>
      <c r="F4656" t="s">
        <v>41</v>
      </c>
      <c r="G4656">
        <v>-382.4366</v>
      </c>
      <c r="H4656" s="1">
        <v>-3.6541470000000001E-6</v>
      </c>
      <c r="I4656">
        <v>141.2217</v>
      </c>
      <c r="J4656">
        <v>-347.70870000000002</v>
      </c>
      <c r="K4656">
        <v>1.110328</v>
      </c>
      <c r="L4656">
        <v>141.89940000000001</v>
      </c>
      <c r="M4656">
        <v>-0.99987170000000003</v>
      </c>
      <c r="N4656">
        <v>-1.327565E-2</v>
      </c>
      <c r="O4656">
        <v>-8.9862420000000002E-3</v>
      </c>
      <c r="P4656">
        <v>-0.98251619999999995</v>
      </c>
      <c r="Q4656">
        <v>0.16853599999999999</v>
      </c>
      <c r="R4656">
        <v>-7.9108230000000002E-2</v>
      </c>
      <c r="S4656">
        <v>-3.0657350000000001</v>
      </c>
      <c r="T4656">
        <v>-9.7324369999999993E-2</v>
      </c>
      <c r="U4656">
        <v>-5.960083E-2</v>
      </c>
      <c r="V4656">
        <v>-7.0398269999999999E-2</v>
      </c>
      <c r="W4656">
        <v>0.18152589999999999</v>
      </c>
      <c r="X4656">
        <v>0.98086309999999999</v>
      </c>
      <c r="Y4656">
        <v>-1.044524E-2</v>
      </c>
      <c r="Z4656" s="1">
        <v>-6.9217549999999996E-5</v>
      </c>
      <c r="AA4656">
        <v>0.99994550000000004</v>
      </c>
      <c r="AB4656">
        <v>36</v>
      </c>
      <c r="AC4656">
        <v>-34.727899999999899</v>
      </c>
      <c r="AD4656">
        <v>-1.1103316541470001</v>
      </c>
      <c r="AE4656">
        <v>-0.67770000000001496</v>
      </c>
      <c r="AF4656">
        <v>-0.36519870361845402</v>
      </c>
      <c r="AG4656">
        <v>-1.1103316541470001</v>
      </c>
      <c r="AH4656">
        <v>34.6971331234407</v>
      </c>
      <c r="AI4656">
        <v>91.832776649771304</v>
      </c>
      <c r="AJ4656">
        <v>90.603034599255807</v>
      </c>
      <c r="AK4656">
        <v>34.7168151399447</v>
      </c>
      <c r="AL4656">
        <v>79.541348155655697</v>
      </c>
      <c r="AM4656">
        <v>94.105179686860595</v>
      </c>
      <c r="AN4656">
        <v>0.99999999486570601</v>
      </c>
    </row>
    <row r="4657" spans="1:40" x14ac:dyDescent="0.25">
      <c r="A4657" t="str">
        <f>"20190304155728505"</f>
        <v>20190304155728505</v>
      </c>
      <c r="B4657" t="str">
        <f>"1551686248499996"</f>
        <v>1551686248499996</v>
      </c>
      <c r="C4657" t="s">
        <v>40</v>
      </c>
      <c r="D4657">
        <v>4.870844</v>
      </c>
      <c r="E4657">
        <v>0.52216809999999902</v>
      </c>
      <c r="F4657" t="s">
        <v>41</v>
      </c>
      <c r="G4657">
        <v>-382.10160000000002</v>
      </c>
      <c r="H4657" s="1">
        <v>-3.8053370000000002E-6</v>
      </c>
      <c r="I4657">
        <v>141.24969999999999</v>
      </c>
      <c r="J4657">
        <v>-347.99619999999999</v>
      </c>
      <c r="K4657">
        <v>1.1103449999999999</v>
      </c>
      <c r="L4657">
        <v>141.89660000000001</v>
      </c>
      <c r="M4657">
        <v>-0.99986739999999996</v>
      </c>
      <c r="N4657">
        <v>-1.341614E-2</v>
      </c>
      <c r="O4657">
        <v>-9.2260139999999994E-3</v>
      </c>
      <c r="P4657">
        <v>-0.98256500000000002</v>
      </c>
      <c r="Q4657">
        <v>0.1682806</v>
      </c>
      <c r="R4657">
        <v>-7.9041630000000002E-2</v>
      </c>
      <c r="S4657">
        <v>-3.0657040000000002</v>
      </c>
      <c r="T4657">
        <v>-9.8972679999999993E-2</v>
      </c>
      <c r="U4657">
        <v>-5.7907100000000003E-2</v>
      </c>
      <c r="V4657">
        <v>-7.0096259999999994E-2</v>
      </c>
      <c r="W4657">
        <v>0.18140909999999999</v>
      </c>
      <c r="X4657">
        <v>0.98090639999999996</v>
      </c>
      <c r="Y4657">
        <v>-9.6538289999999992E-3</v>
      </c>
      <c r="Z4657" s="1">
        <v>-4.6587879999999899E-5</v>
      </c>
      <c r="AA4657">
        <v>0.99995339999999999</v>
      </c>
      <c r="AB4657">
        <v>36</v>
      </c>
      <c r="AC4657">
        <v>-34.105400000000003</v>
      </c>
      <c r="AD4657">
        <v>-1.1103488053370001</v>
      </c>
      <c r="AE4657">
        <v>-0.64690000000001602</v>
      </c>
      <c r="AF4657">
        <v>-0.33183563954490802</v>
      </c>
      <c r="AG4657">
        <v>-1.1103488053370001</v>
      </c>
      <c r="AH4657">
        <v>34.073814553711799</v>
      </c>
      <c r="AI4657">
        <v>91.866324144044995</v>
      </c>
      <c r="AJ4657">
        <v>90.557970419390003</v>
      </c>
      <c r="AK4657">
        <v>34.093515917281501</v>
      </c>
      <c r="AL4657">
        <v>79.548153939082198</v>
      </c>
      <c r="AM4657">
        <v>94.087448380493797</v>
      </c>
      <c r="AN4657">
        <v>1.0000000563948701</v>
      </c>
    </row>
    <row r="4658" spans="1:40" x14ac:dyDescent="0.25">
      <c r="A4658" t="str">
        <f>"20190304155728523"</f>
        <v>20190304155728523</v>
      </c>
      <c r="B4658" t="str">
        <f>"1551686248509756"</f>
        <v>1551686248509756</v>
      </c>
      <c r="C4658" t="s">
        <v>40</v>
      </c>
      <c r="D4658">
        <v>4.8978789999999996</v>
      </c>
      <c r="E4658">
        <v>0.52237829999999996</v>
      </c>
      <c r="F4658" t="s">
        <v>41</v>
      </c>
      <c r="G4658">
        <v>-382.42439999999999</v>
      </c>
      <c r="H4658" s="1">
        <v>-3.6764180000000001E-6</v>
      </c>
      <c r="I4658">
        <v>141.28559999999999</v>
      </c>
      <c r="J4658">
        <v>-348.27609999999999</v>
      </c>
      <c r="K4658">
        <v>1.1103590000000001</v>
      </c>
      <c r="L4658">
        <v>141.8938</v>
      </c>
      <c r="M4658">
        <v>-0.99986359999999996</v>
      </c>
      <c r="N4658">
        <v>-1.354324E-2</v>
      </c>
      <c r="O4658">
        <v>-9.4598570000000003E-3</v>
      </c>
      <c r="P4658">
        <v>-0.98256180000000004</v>
      </c>
      <c r="Q4658">
        <v>0.168355</v>
      </c>
      <c r="R4658">
        <v>-7.8924549999999996E-2</v>
      </c>
      <c r="S4658">
        <v>-3.0657960000000002</v>
      </c>
      <c r="T4658">
        <v>-9.8875519999999995E-2</v>
      </c>
      <c r="U4658">
        <v>-5.4397580000000001E-2</v>
      </c>
      <c r="V4658">
        <v>-6.9750320000000005E-2</v>
      </c>
      <c r="W4658">
        <v>0.18160789999999999</v>
      </c>
      <c r="X4658">
        <v>0.98089420000000005</v>
      </c>
      <c r="Y4658">
        <v>-8.2761050000000006E-3</v>
      </c>
      <c r="Z4658" s="1">
        <v>-1.26015E-5</v>
      </c>
      <c r="AA4658">
        <v>0.99996569999999996</v>
      </c>
      <c r="AB4658">
        <v>36</v>
      </c>
      <c r="AC4658">
        <v>-34.148299999999999</v>
      </c>
      <c r="AD4658">
        <v>-1.1103626764179999</v>
      </c>
      <c r="AE4658">
        <v>-0.60820000000000995</v>
      </c>
      <c r="AF4658">
        <v>-0.28480411348553503</v>
      </c>
      <c r="AG4658">
        <v>-1.1103626764179999</v>
      </c>
      <c r="AH4658">
        <v>34.116466406272899</v>
      </c>
      <c r="AI4658">
        <v>91.8640392376969</v>
      </c>
      <c r="AJ4658">
        <v>90.478293808292804</v>
      </c>
      <c r="AK4658">
        <v>34.135718810457</v>
      </c>
      <c r="AL4658">
        <v>79.536570375625303</v>
      </c>
      <c r="AM4658">
        <v>94.067394238552296</v>
      </c>
      <c r="AN4658">
        <v>0.999999984038076</v>
      </c>
    </row>
    <row r="4659" spans="1:40" x14ac:dyDescent="0.25">
      <c r="A4659" t="str">
        <f>"20190304155728544"</f>
        <v>20190304155728544</v>
      </c>
      <c r="B4659" t="str">
        <f>"1551686248539037"</f>
        <v>1551686248539037</v>
      </c>
      <c r="C4659" t="s">
        <v>40</v>
      </c>
      <c r="D4659">
        <v>4.9218419999999998</v>
      </c>
      <c r="E4659">
        <v>0.52280389999999999</v>
      </c>
      <c r="F4659" t="s">
        <v>41</v>
      </c>
      <c r="G4659">
        <v>-383.01010000000002</v>
      </c>
      <c r="H4659" s="1">
        <v>-3.4283560000000001E-6</v>
      </c>
      <c r="I4659">
        <v>141.29759999999999</v>
      </c>
      <c r="J4659">
        <v>-348.63369999999998</v>
      </c>
      <c r="K4659">
        <v>1.1103780000000001</v>
      </c>
      <c r="L4659">
        <v>141.89009999999999</v>
      </c>
      <c r="M4659">
        <v>-0.99985869999999999</v>
      </c>
      <c r="N4659">
        <v>-1.3692279999999999E-2</v>
      </c>
      <c r="O4659">
        <v>-9.7593009999999997E-3</v>
      </c>
      <c r="P4659">
        <v>-0.98245930000000004</v>
      </c>
      <c r="Q4659">
        <v>0.16880919999999999</v>
      </c>
      <c r="R4659">
        <v>-7.9231679999999999E-2</v>
      </c>
      <c r="S4659">
        <v>-3.0658569999999998</v>
      </c>
      <c r="T4659">
        <v>-9.8008390000000001E-2</v>
      </c>
      <c r="U4659">
        <v>-5.2612300000000001E-2</v>
      </c>
      <c r="V4659">
        <v>-6.976446E-2</v>
      </c>
      <c r="W4659">
        <v>0.18220720000000001</v>
      </c>
      <c r="X4659">
        <v>0.98078209999999999</v>
      </c>
      <c r="Y4659">
        <v>-7.3948269999999997E-3</v>
      </c>
      <c r="Z4659" s="1">
        <v>9.4516799999999999E-6</v>
      </c>
      <c r="AA4659">
        <v>0.99997259999999999</v>
      </c>
      <c r="AB4659">
        <v>36</v>
      </c>
      <c r="AC4659">
        <v>-34.376399999999997</v>
      </c>
      <c r="AD4659">
        <v>-1.1103814283560001</v>
      </c>
      <c r="AE4659">
        <v>-0.59250000000000103</v>
      </c>
      <c r="AF4659">
        <v>-0.25668298735359102</v>
      </c>
      <c r="AG4659">
        <v>-1.1103814283560001</v>
      </c>
      <c r="AH4659">
        <v>34.3447231149866</v>
      </c>
      <c r="AI4659">
        <v>91.851703441052294</v>
      </c>
      <c r="AJ4659">
        <v>90.428204879783806</v>
      </c>
      <c r="AK4659">
        <v>34.3636266845851</v>
      </c>
      <c r="AL4659">
        <v>79.501650944161099</v>
      </c>
      <c r="AM4659">
        <v>94.068679446485405</v>
      </c>
      <c r="AN4659">
        <v>1.00000003564567</v>
      </c>
    </row>
    <row r="4660" spans="1:40" x14ac:dyDescent="0.25">
      <c r="A4660" t="str">
        <f>"20190304155728567"</f>
        <v>20190304155728567</v>
      </c>
      <c r="B4660" t="str">
        <f>"1551686248559533"</f>
        <v>1551686248559533</v>
      </c>
      <c r="C4660" t="s">
        <v>40</v>
      </c>
      <c r="D4660">
        <v>4.8451120000000003</v>
      </c>
      <c r="E4660">
        <v>0.52316169999999995</v>
      </c>
      <c r="F4660" t="s">
        <v>41</v>
      </c>
      <c r="G4660">
        <v>-384.0872</v>
      </c>
      <c r="H4660" s="1">
        <v>-2.9695920000000001E-6</v>
      </c>
      <c r="I4660">
        <v>141.31</v>
      </c>
      <c r="J4660">
        <v>-348.995</v>
      </c>
      <c r="K4660">
        <v>1.110392</v>
      </c>
      <c r="L4660">
        <v>141.88630000000001</v>
      </c>
      <c r="M4660">
        <v>-0.99985380000000001</v>
      </c>
      <c r="N4660">
        <v>-1.3827259999999999E-2</v>
      </c>
      <c r="O4660">
        <v>-1.0063880000000001E-2</v>
      </c>
      <c r="P4660">
        <v>-0.98241619999999996</v>
      </c>
      <c r="Q4660">
        <v>0.16912769999999999</v>
      </c>
      <c r="R4660">
        <v>-7.908511E-2</v>
      </c>
      <c r="S4660">
        <v>-3.0660099999999999</v>
      </c>
      <c r="T4660">
        <v>-9.6025819999999998E-2</v>
      </c>
      <c r="U4660">
        <v>-5.0155640000000001E-2</v>
      </c>
      <c r="V4660">
        <v>-6.9319399999999906E-2</v>
      </c>
      <c r="W4660">
        <v>0.18265819999999999</v>
      </c>
      <c r="X4660">
        <v>0.98072979999999998</v>
      </c>
      <c r="Y4660">
        <v>-6.2891819999999999E-3</v>
      </c>
      <c r="Z4660" s="1">
        <v>3.3990269999999997E-5</v>
      </c>
      <c r="AA4660">
        <v>0.99998019999999999</v>
      </c>
      <c r="AB4660">
        <v>36</v>
      </c>
      <c r="AC4660">
        <v>-35.092199999999899</v>
      </c>
      <c r="AD4660">
        <v>-1.1103949695919999</v>
      </c>
      <c r="AE4660">
        <v>-0.57630000000000303</v>
      </c>
      <c r="AF4660">
        <v>-0.22285030632793501</v>
      </c>
      <c r="AG4660">
        <v>-1.1103949695919999</v>
      </c>
      <c r="AH4660">
        <v>35.061128102789802</v>
      </c>
      <c r="AI4660">
        <v>91.813929188038898</v>
      </c>
      <c r="AJ4660">
        <v>90.364169973014398</v>
      </c>
      <c r="AK4660">
        <v>35.079414805377901</v>
      </c>
      <c r="AL4660">
        <v>79.475369856412499</v>
      </c>
      <c r="AM4660">
        <v>94.043024664444204</v>
      </c>
      <c r="AN4660">
        <v>1.0000000689258099</v>
      </c>
    </row>
    <row r="4661" spans="1:40" x14ac:dyDescent="0.25">
      <c r="A4661" t="str">
        <f>"20190304155728587"</f>
        <v>20190304155728587</v>
      </c>
      <c r="B4661" t="str">
        <f>"1551686248579052"</f>
        <v>1551686248579052</v>
      </c>
      <c r="C4661" t="s">
        <v>40</v>
      </c>
      <c r="D4661">
        <v>4.9398160000000004</v>
      </c>
      <c r="E4661">
        <v>0.52338739999999995</v>
      </c>
      <c r="F4661" t="s">
        <v>41</v>
      </c>
      <c r="G4661">
        <v>-384.19479999999999</v>
      </c>
      <c r="H4661" s="1">
        <v>-2.932288E-6</v>
      </c>
      <c r="I4661">
        <v>141.3434</v>
      </c>
      <c r="J4661">
        <v>-349.33190000000002</v>
      </c>
      <c r="K4661">
        <v>1.1103970000000001</v>
      </c>
      <c r="L4661">
        <v>141.8826</v>
      </c>
      <c r="M4661">
        <v>-0.99984930000000005</v>
      </c>
      <c r="N4661">
        <v>-1.393922E-2</v>
      </c>
      <c r="O4661">
        <v>-1.034887E-2</v>
      </c>
      <c r="P4661">
        <v>-0.98236089999999998</v>
      </c>
      <c r="Q4661">
        <v>0.16936760000000001</v>
      </c>
      <c r="R4661">
        <v>-7.9256209999999994E-2</v>
      </c>
      <c r="S4661">
        <v>-3.0664980000000002</v>
      </c>
      <c r="T4661">
        <v>-9.6734399999999998E-2</v>
      </c>
      <c r="U4661">
        <v>-4.7286990000000001E-2</v>
      </c>
      <c r="V4661">
        <v>-6.9211010000000003E-2</v>
      </c>
      <c r="W4661">
        <v>0.18300739999999999</v>
      </c>
      <c r="X4661">
        <v>0.98067230000000005</v>
      </c>
      <c r="Y4661">
        <v>-5.0671850000000001E-3</v>
      </c>
      <c r="Z4661" s="1">
        <v>6.6879249999999998E-5</v>
      </c>
      <c r="AA4661">
        <v>0.99998719999999996</v>
      </c>
      <c r="AB4661">
        <v>36</v>
      </c>
      <c r="AC4661">
        <v>-34.862899999999897</v>
      </c>
      <c r="AD4661">
        <v>-1.1103999322879901</v>
      </c>
      <c r="AE4661">
        <v>-0.53919999999999302</v>
      </c>
      <c r="AF4661">
        <v>-0.17816375220713901</v>
      </c>
      <c r="AG4661">
        <v>-1.1103999322879901</v>
      </c>
      <c r="AH4661">
        <v>34.831287101805103</v>
      </c>
      <c r="AI4661">
        <v>91.825911817980696</v>
      </c>
      <c r="AJ4661">
        <v>90.293068183455901</v>
      </c>
      <c r="AK4661">
        <v>34.849437463187201</v>
      </c>
      <c r="AL4661">
        <v>79.455018577648303</v>
      </c>
      <c r="AM4661">
        <v>94.036959682810902</v>
      </c>
      <c r="AN4661">
        <v>1.00000001617363</v>
      </c>
    </row>
    <row r="4662" spans="1:40" x14ac:dyDescent="0.25">
      <c r="A4662" t="str">
        <f>"20190304155728603"</f>
        <v>20190304155728603</v>
      </c>
      <c r="B4662" t="str">
        <f>"1551686248599549"</f>
        <v>1551686248599549</v>
      </c>
      <c r="C4662" t="s">
        <v>40</v>
      </c>
      <c r="D4662">
        <v>5.4228129999999997</v>
      </c>
      <c r="E4662">
        <v>0.52358679999999902</v>
      </c>
      <c r="F4662" t="s">
        <v>41</v>
      </c>
      <c r="G4662">
        <v>-385.15280000000001</v>
      </c>
      <c r="H4662" s="1">
        <v>-2.5220070000000001E-6</v>
      </c>
      <c r="I4662">
        <v>141.346</v>
      </c>
      <c r="J4662">
        <v>-349.56950000000001</v>
      </c>
      <c r="K4662">
        <v>1.110401</v>
      </c>
      <c r="L4662">
        <v>141.88</v>
      </c>
      <c r="M4662">
        <v>-0.99984620000000002</v>
      </c>
      <c r="N4662">
        <v>-1.4009840000000001E-2</v>
      </c>
      <c r="O4662">
        <v>-1.055035E-2</v>
      </c>
      <c r="P4662">
        <v>-0.98236889999999999</v>
      </c>
      <c r="Q4662">
        <v>0.16926229999999901</v>
      </c>
      <c r="R4662">
        <v>-7.9383889999999999E-2</v>
      </c>
      <c r="S4662">
        <v>-3.0665589999999998</v>
      </c>
      <c r="T4662">
        <v>-9.5059389999999994E-2</v>
      </c>
      <c r="U4662">
        <v>-4.5928959999999998E-2</v>
      </c>
      <c r="V4662">
        <v>-6.9140400000000005E-2</v>
      </c>
      <c r="W4662">
        <v>0.18297179999999999</v>
      </c>
      <c r="X4662">
        <v>0.98068390000000005</v>
      </c>
      <c r="Y4662">
        <v>-4.4230809999999997E-3</v>
      </c>
      <c r="Z4662" s="1">
        <v>7.9614309999999995E-5</v>
      </c>
      <c r="AA4662">
        <v>0.99999020000000005</v>
      </c>
      <c r="AB4662">
        <v>36</v>
      </c>
      <c r="AC4662">
        <v>-35.583300000000001</v>
      </c>
      <c r="AD4662">
        <v>-1.1104035220070001</v>
      </c>
      <c r="AE4662">
        <v>-0.53399999999999104</v>
      </c>
      <c r="AF4662">
        <v>-0.15836297925920401</v>
      </c>
      <c r="AG4662">
        <v>-1.1104035220070001</v>
      </c>
      <c r="AH4662">
        <v>35.552340579533201</v>
      </c>
      <c r="AI4662">
        <v>91.788915396665999</v>
      </c>
      <c r="AJ4662">
        <v>90.2552144299124</v>
      </c>
      <c r="AK4662">
        <v>35.570029455962</v>
      </c>
      <c r="AL4662">
        <v>79.457093094136695</v>
      </c>
      <c r="AM4662">
        <v>94.032807173701499</v>
      </c>
      <c r="AN4662">
        <v>0.99999999311330501</v>
      </c>
    </row>
    <row r="4663" spans="1:40" x14ac:dyDescent="0.25">
      <c r="A4663" t="str">
        <f>"20190304155728621"</f>
        <v>20190304155728621</v>
      </c>
      <c r="B4663" t="str">
        <f>"1551686248619068"</f>
        <v>1551686248619068</v>
      </c>
      <c r="C4663" t="s">
        <v>40</v>
      </c>
      <c r="D4663">
        <v>5.0374420000000004</v>
      </c>
      <c r="E4663">
        <v>0.52652369999999904</v>
      </c>
      <c r="F4663" t="s">
        <v>41</v>
      </c>
      <c r="G4663">
        <v>-385.52789999999999</v>
      </c>
      <c r="H4663" s="1">
        <v>-2.3635849999999999E-6</v>
      </c>
      <c r="I4663">
        <v>141.3554</v>
      </c>
      <c r="J4663">
        <v>-349.87990000000002</v>
      </c>
      <c r="K4663">
        <v>1.1104069999999999</v>
      </c>
      <c r="L4663">
        <v>141.87639999999999</v>
      </c>
      <c r="M4663">
        <v>-0.99984229999999996</v>
      </c>
      <c r="N4663">
        <v>-1.4094209999999999E-2</v>
      </c>
      <c r="O4663">
        <v>-1.08137999999999E-2</v>
      </c>
      <c r="P4663">
        <v>-0.98241619999999996</v>
      </c>
      <c r="Q4663">
        <v>0.16898829999999901</v>
      </c>
      <c r="R4663">
        <v>-7.9383090000000003E-2</v>
      </c>
      <c r="S4663">
        <v>-3.0664980000000002</v>
      </c>
      <c r="T4663">
        <v>-9.4694260000000002E-2</v>
      </c>
      <c r="U4663">
        <v>-4.4723510000000001E-2</v>
      </c>
      <c r="V4663">
        <v>-6.8879599999999999E-2</v>
      </c>
      <c r="W4663">
        <v>0.1827819</v>
      </c>
      <c r="X4663">
        <v>0.98073770000000005</v>
      </c>
      <c r="Y4663">
        <v>-3.767336E-3</v>
      </c>
      <c r="Z4663" s="1">
        <v>9.6715300000000006E-5</v>
      </c>
      <c r="AA4663">
        <v>0.99999289999999996</v>
      </c>
      <c r="AB4663">
        <v>36</v>
      </c>
      <c r="AC4663">
        <v>-35.647999999999897</v>
      </c>
      <c r="AD4663">
        <v>-1.1104093635850001</v>
      </c>
      <c r="AE4663">
        <v>-0.52099999999998603</v>
      </c>
      <c r="AF4663">
        <v>-0.13530967492849399</v>
      </c>
      <c r="AG4663">
        <v>-1.1104093635850001</v>
      </c>
      <c r="AH4663">
        <v>35.6169987795476</v>
      </c>
      <c r="AI4663">
        <v>91.785684163149597</v>
      </c>
      <c r="AJ4663">
        <v>90.217666739751095</v>
      </c>
      <c r="AK4663">
        <v>35.634560748312303</v>
      </c>
      <c r="AL4663">
        <v>79.468160585081804</v>
      </c>
      <c r="AM4663">
        <v>94.017425520571095</v>
      </c>
      <c r="AN4663">
        <v>1.00000002923252</v>
      </c>
    </row>
    <row r="4664" spans="1:40" x14ac:dyDescent="0.25">
      <c r="A4664" t="str">
        <f>"20190304155728637"</f>
        <v>20190304155728637</v>
      </c>
      <c r="B4664" t="str">
        <f>"1551686248629805"</f>
        <v>1551686248629805</v>
      </c>
      <c r="C4664" t="s">
        <v>40</v>
      </c>
      <c r="D4664">
        <v>4.9755479999999999</v>
      </c>
      <c r="E4664">
        <v>0.52785680000000001</v>
      </c>
      <c r="F4664" t="s">
        <v>41</v>
      </c>
      <c r="G4664">
        <v>-388.50760000000002</v>
      </c>
      <c r="H4664" s="1">
        <v>-1.151811E-6</v>
      </c>
      <c r="I4664">
        <v>141.6054</v>
      </c>
      <c r="J4664">
        <v>-350.12709999999998</v>
      </c>
      <c r="K4664">
        <v>1.110411</v>
      </c>
      <c r="L4664">
        <v>141.87350000000001</v>
      </c>
      <c r="M4664">
        <v>-0.99983920000000004</v>
      </c>
      <c r="N4664">
        <v>-1.415482E-2</v>
      </c>
      <c r="O4664">
        <v>-1.102356E-2</v>
      </c>
      <c r="P4664">
        <v>-0.9824309</v>
      </c>
      <c r="Q4664">
        <v>0.16883970000000001</v>
      </c>
      <c r="R4664">
        <v>-7.9518240000000004E-2</v>
      </c>
      <c r="S4664">
        <v>-3.0671390000000001</v>
      </c>
      <c r="T4664">
        <v>-8.8169220000000006E-2</v>
      </c>
      <c r="U4664">
        <v>-2.1514889999999998E-2</v>
      </c>
      <c r="V4664">
        <v>-6.8807800000000002E-2</v>
      </c>
      <c r="W4664">
        <v>0.1826933</v>
      </c>
      <c r="X4664">
        <v>0.98075919999999905</v>
      </c>
      <c r="Y4664">
        <v>4.006702E-3</v>
      </c>
      <c r="Z4664">
        <v>2.4672479999999998E-4</v>
      </c>
      <c r="AA4664">
        <v>0.99999199999999999</v>
      </c>
      <c r="AB4664">
        <v>36</v>
      </c>
      <c r="AC4664">
        <v>-38.380499999999998</v>
      </c>
      <c r="AD4664">
        <v>-1.1104121518109999</v>
      </c>
      <c r="AE4664">
        <v>-0.268100000000004</v>
      </c>
      <c r="AF4664">
        <v>0.15491869785551199</v>
      </c>
      <c r="AG4664">
        <v>-1.1104121518109999</v>
      </c>
      <c r="AH4664">
        <v>38.3490250256284</v>
      </c>
      <c r="AI4664">
        <v>91.658546455114305</v>
      </c>
      <c r="AJ4664">
        <v>89.768543287209596</v>
      </c>
      <c r="AK4664">
        <v>38.365410663332</v>
      </c>
      <c r="AL4664">
        <v>79.473323427833094</v>
      </c>
      <c r="AM4664">
        <v>94.013163762611796</v>
      </c>
      <c r="AN4664">
        <v>0.99999998179518401</v>
      </c>
    </row>
    <row r="4665" spans="1:40" x14ac:dyDescent="0.25">
      <c r="A4665" t="str">
        <f>"20190304155728650"</f>
        <v>20190304155728650</v>
      </c>
      <c r="B4665" t="str">
        <f>"1551686248639564"</f>
        <v>1551686248639564</v>
      </c>
      <c r="C4665" t="s">
        <v>40</v>
      </c>
      <c r="D4665">
        <v>5.0248140000000001</v>
      </c>
      <c r="E4665">
        <v>0.52929359999999903</v>
      </c>
      <c r="F4665" t="s">
        <v>41</v>
      </c>
      <c r="G4665">
        <v>-389.33730000000003</v>
      </c>
      <c r="H4665" s="1">
        <v>-8.2865949999999899E-7</v>
      </c>
      <c r="I4665">
        <v>141.7285</v>
      </c>
      <c r="J4665">
        <v>-350.33609999999999</v>
      </c>
      <c r="K4665">
        <v>1.110417</v>
      </c>
      <c r="L4665">
        <v>141.87110000000001</v>
      </c>
      <c r="M4665">
        <v>-0.99983639999999996</v>
      </c>
      <c r="N4665">
        <v>-1.4202650000000001E-2</v>
      </c>
      <c r="O4665">
        <v>-1.1200689999999999E-2</v>
      </c>
      <c r="P4665">
        <v>-0.98237609999999997</v>
      </c>
      <c r="Q4665">
        <v>0.16909549999999901</v>
      </c>
      <c r="R4665">
        <v>-7.9647469999999998E-2</v>
      </c>
      <c r="S4665">
        <v>-3.067688</v>
      </c>
      <c r="T4665">
        <v>-8.6875320000000006E-2</v>
      </c>
      <c r="U4665">
        <v>-1.133728E-2</v>
      </c>
      <c r="V4665">
        <v>-6.8763649999999996E-2</v>
      </c>
      <c r="W4665">
        <v>0.1829952</v>
      </c>
      <c r="X4665">
        <v>0.98070599999999997</v>
      </c>
      <c r="Y4665">
        <v>7.5006569999999896E-3</v>
      </c>
      <c r="Z4665">
        <v>3.1752119999999998E-4</v>
      </c>
      <c r="AA4665">
        <v>0.99997179999999997</v>
      </c>
      <c r="AB4665">
        <v>36</v>
      </c>
      <c r="AC4665">
        <v>-39.001199999999997</v>
      </c>
      <c r="AD4665">
        <v>-1.1104178286594999</v>
      </c>
      <c r="AE4665">
        <v>-0.14260000000001499</v>
      </c>
      <c r="AF4665">
        <v>0.29405500032955401</v>
      </c>
      <c r="AG4665">
        <v>-1.1104178286594999</v>
      </c>
      <c r="AH4665">
        <v>38.968761946190199</v>
      </c>
      <c r="AI4665">
        <v>91.632159470988</v>
      </c>
      <c r="AJ4665">
        <v>89.567659072261506</v>
      </c>
      <c r="AK4665">
        <v>38.9856884473812</v>
      </c>
      <c r="AL4665">
        <v>79.455729107370203</v>
      </c>
      <c r="AM4665">
        <v>94.010814003783196</v>
      </c>
      <c r="AN4665">
        <v>0.99999997061017998</v>
      </c>
    </row>
    <row r="4666" spans="1:40" x14ac:dyDescent="0.25">
      <c r="A4666" t="str">
        <f>"20190304155728662"</f>
        <v>20190304155728662</v>
      </c>
      <c r="B4666" t="str">
        <f>"1551686248659084"</f>
        <v>1551686248659084</v>
      </c>
      <c r="C4666" t="s">
        <v>40</v>
      </c>
      <c r="D4666">
        <v>5.0024170000000003</v>
      </c>
      <c r="E4666">
        <v>0.53195709999999996</v>
      </c>
      <c r="F4666" t="s">
        <v>41</v>
      </c>
      <c r="G4666">
        <v>-390.66129999999998</v>
      </c>
      <c r="H4666" s="1">
        <v>-4.450461E-6</v>
      </c>
      <c r="I4666">
        <v>141.8682</v>
      </c>
      <c r="J4666">
        <v>-350.54390000000001</v>
      </c>
      <c r="K4666">
        <v>1.110419</v>
      </c>
      <c r="L4666">
        <v>141.86859999999999</v>
      </c>
      <c r="M4666">
        <v>-0.99983390000000005</v>
      </c>
      <c r="N4666">
        <v>-1.424457E-2</v>
      </c>
      <c r="O4666">
        <v>-1.137693E-2</v>
      </c>
      <c r="P4666">
        <v>-0.98235749999999999</v>
      </c>
      <c r="Q4666">
        <v>0.16914949999999901</v>
      </c>
      <c r="R4666">
        <v>-7.9762730000000004E-2</v>
      </c>
      <c r="S4666">
        <v>-3.0683289999999999</v>
      </c>
      <c r="T4666">
        <v>-8.4491730000000001E-2</v>
      </c>
      <c r="U4666">
        <v>-2.13623E-4</v>
      </c>
      <c r="V4666">
        <v>-6.8705820000000001E-2</v>
      </c>
      <c r="W4666">
        <v>0.1830909</v>
      </c>
      <c r="X4666">
        <v>0.98069220000000001</v>
      </c>
      <c r="Y4666">
        <v>1.130097E-2</v>
      </c>
      <c r="Z4666">
        <v>3.8724560000000002E-4</v>
      </c>
      <c r="AA4666">
        <v>0.99993600000000005</v>
      </c>
      <c r="AB4666">
        <v>36</v>
      </c>
      <c r="AC4666">
        <v>-40.117399999999897</v>
      </c>
      <c r="AD4666">
        <v>-1.110423450461</v>
      </c>
      <c r="AE4666">
        <v>-3.9999999998485599E-4</v>
      </c>
      <c r="AF4666">
        <v>0.45571001007190298</v>
      </c>
      <c r="AG4666">
        <v>-1.110423450461</v>
      </c>
      <c r="AH4666">
        <v>40.084097370444603</v>
      </c>
      <c r="AI4666">
        <v>91.586719065390497</v>
      </c>
      <c r="AJ4666">
        <v>89.348641053788896</v>
      </c>
      <c r="AK4666">
        <v>40.102064458776901</v>
      </c>
      <c r="AL4666">
        <v>79.450151761950195</v>
      </c>
      <c r="AM4666">
        <v>94.007508125207394</v>
      </c>
      <c r="AN4666">
        <v>0.99999997925276096</v>
      </c>
    </row>
    <row r="4667" spans="1:40" x14ac:dyDescent="0.25">
      <c r="A4667" t="str">
        <f>"20190304155728677"</f>
        <v>20190304155728677</v>
      </c>
      <c r="B4667" t="str">
        <f>"1551686248669820"</f>
        <v>1551686248669820</v>
      </c>
      <c r="C4667" t="s">
        <v>40</v>
      </c>
      <c r="D4667">
        <v>4.9607510000000001</v>
      </c>
      <c r="E4667">
        <v>0.53322119999999995</v>
      </c>
      <c r="F4667" t="s">
        <v>41</v>
      </c>
      <c r="G4667">
        <v>-392.5052</v>
      </c>
      <c r="H4667" s="1">
        <v>-3.8708460000000003E-6</v>
      </c>
      <c r="I4667">
        <v>142.14660000000001</v>
      </c>
      <c r="J4667">
        <v>-350.76830000000001</v>
      </c>
      <c r="K4667">
        <v>1.1104179999999999</v>
      </c>
      <c r="L4667">
        <v>141.86590000000001</v>
      </c>
      <c r="M4667">
        <v>-0.99983109999999997</v>
      </c>
      <c r="N4667">
        <v>-1.428694E-2</v>
      </c>
      <c r="O4667">
        <v>-1.1567249999999999E-2</v>
      </c>
      <c r="P4667">
        <v>-0.98228329999999997</v>
      </c>
      <c r="Q4667">
        <v>0.16946310000000001</v>
      </c>
      <c r="R4667">
        <v>-8.0012369999999999E-2</v>
      </c>
      <c r="S4667">
        <v>-3.0695190000000001</v>
      </c>
      <c r="T4667">
        <v>-8.1228969999999998E-2</v>
      </c>
      <c r="U4667">
        <v>2.0339969999999999E-2</v>
      </c>
      <c r="V4667">
        <v>-6.8768999999999997E-2</v>
      </c>
      <c r="W4667">
        <v>0.1834452</v>
      </c>
      <c r="X4667">
        <v>0.98062159999999998</v>
      </c>
      <c r="Y4667">
        <v>1.8183359999999999E-2</v>
      </c>
      <c r="Z4667">
        <v>5.1127569999999997E-4</v>
      </c>
      <c r="AA4667">
        <v>0.99983449999999996</v>
      </c>
      <c r="AB4667">
        <v>36</v>
      </c>
      <c r="AC4667">
        <v>-41.736899999999899</v>
      </c>
      <c r="AD4667">
        <v>-1.1104218708460001</v>
      </c>
      <c r="AE4667">
        <v>0.28069999999999501</v>
      </c>
      <c r="AF4667">
        <v>0.76297157903315704</v>
      </c>
      <c r="AG4667">
        <v>-1.1104218708460001</v>
      </c>
      <c r="AH4667">
        <v>41.701343273343703</v>
      </c>
      <c r="AI4667">
        <v>91.525054409188598</v>
      </c>
      <c r="AJ4667">
        <v>88.951828140564999</v>
      </c>
      <c r="AK4667">
        <v>41.723101432694499</v>
      </c>
      <c r="AL4667">
        <v>79.429502554493297</v>
      </c>
      <c r="AM4667">
        <v>94.0114691394473</v>
      </c>
      <c r="AN4667">
        <v>1.0000000195752901</v>
      </c>
    </row>
    <row r="4668" spans="1:40" x14ac:dyDescent="0.25">
      <c r="A4668" t="str">
        <f>"20190304155728694"</f>
        <v>20190304155728694</v>
      </c>
      <c r="B4668" t="str">
        <f>"1551686248689341"</f>
        <v>1551686248689341</v>
      </c>
      <c r="C4668" t="s">
        <v>40</v>
      </c>
      <c r="D4668">
        <v>5.0016470000000002</v>
      </c>
      <c r="E4668">
        <v>0.53554409999999997</v>
      </c>
      <c r="F4668" t="s">
        <v>41</v>
      </c>
      <c r="G4668">
        <v>-394.06029999999998</v>
      </c>
      <c r="H4668" s="1">
        <v>-3.2393660000000002E-6</v>
      </c>
      <c r="I4668">
        <v>142.28059999999999</v>
      </c>
      <c r="J4668">
        <v>-351.03190000000001</v>
      </c>
      <c r="K4668">
        <v>1.1104229999999999</v>
      </c>
      <c r="L4668">
        <v>141.86259999999999</v>
      </c>
      <c r="M4668">
        <v>-0.99982769999999999</v>
      </c>
      <c r="N4668">
        <v>-1.433223E-2</v>
      </c>
      <c r="O4668">
        <v>-1.179061E-2</v>
      </c>
      <c r="P4668">
        <v>-0.98229160000000004</v>
      </c>
      <c r="Q4668">
        <v>0.1693886</v>
      </c>
      <c r="R4668">
        <v>-8.0065529999999996E-2</v>
      </c>
      <c r="S4668">
        <v>-3.0700989999999999</v>
      </c>
      <c r="T4668">
        <v>-7.8746800000000006E-2</v>
      </c>
      <c r="U4668">
        <v>2.9418949999999999E-2</v>
      </c>
      <c r="V4668">
        <v>-6.8602469999999999E-2</v>
      </c>
      <c r="W4668">
        <v>0.1834152</v>
      </c>
      <c r="X4668">
        <v>0.98063889999999998</v>
      </c>
      <c r="Y4668">
        <v>2.1360879999999999E-2</v>
      </c>
      <c r="Z4668">
        <v>5.6041070000000003E-4</v>
      </c>
      <c r="AA4668">
        <v>0.99977169999999904</v>
      </c>
      <c r="AB4668">
        <v>36</v>
      </c>
      <c r="AC4668">
        <v>-43.028399999999898</v>
      </c>
      <c r="AD4668">
        <v>-1.110426239366</v>
      </c>
      <c r="AE4668">
        <v>0.41800000000000598</v>
      </c>
      <c r="AF4668">
        <v>0.92473836066298698</v>
      </c>
      <c r="AG4668">
        <v>-1.110426239366</v>
      </c>
      <c r="AH4668">
        <v>42.991849900156602</v>
      </c>
      <c r="AI4668">
        <v>91.479208073720997</v>
      </c>
      <c r="AJ4668">
        <v>88.767779557929103</v>
      </c>
      <c r="AK4668">
        <v>43.016128897267699</v>
      </c>
      <c r="AL4668">
        <v>79.431251349825402</v>
      </c>
      <c r="AM4668">
        <v>94.001716255437302</v>
      </c>
      <c r="AN4668">
        <v>1.0000000433371701</v>
      </c>
    </row>
    <row r="4669" spans="1:40" x14ac:dyDescent="0.25">
      <c r="A4669" t="str">
        <f>"20190304155728710"</f>
        <v>20190304155728710</v>
      </c>
      <c r="B4669" t="str">
        <f>"1551686248699100"</f>
        <v>1551686248699100</v>
      </c>
      <c r="C4669" t="s">
        <v>40</v>
      </c>
      <c r="D4669">
        <v>4.9964409999999999</v>
      </c>
      <c r="E4669">
        <v>0.53664109999999998</v>
      </c>
      <c r="F4669" t="s">
        <v>41</v>
      </c>
      <c r="G4669">
        <v>-395.50880000000001</v>
      </c>
      <c r="H4669" s="1">
        <v>-2.689945E-6</v>
      </c>
      <c r="I4669">
        <v>142.55109999999999</v>
      </c>
      <c r="J4669">
        <v>-351.29309999999998</v>
      </c>
      <c r="K4669">
        <v>1.110425</v>
      </c>
      <c r="L4669">
        <v>141.85929999999999</v>
      </c>
      <c r="M4669">
        <v>-0.99982459999999995</v>
      </c>
      <c r="N4669">
        <v>-1.437255E-2</v>
      </c>
      <c r="O4669">
        <v>-1.2012139999999999E-2</v>
      </c>
      <c r="P4669">
        <v>-0.9822398</v>
      </c>
      <c r="Q4669">
        <v>0.16962579999999999</v>
      </c>
      <c r="R4669">
        <v>-8.0201480000000006E-2</v>
      </c>
      <c r="S4669">
        <v>-3.0711979999999999</v>
      </c>
      <c r="T4669">
        <v>-7.6676610000000006E-2</v>
      </c>
      <c r="U4669">
        <v>4.7546390000000001E-2</v>
      </c>
      <c r="V4669">
        <v>-6.8520780000000003E-2</v>
      </c>
      <c r="W4669">
        <v>0.18369179999999999</v>
      </c>
      <c r="X4669">
        <v>0.98059280000000004</v>
      </c>
      <c r="Y4669">
        <v>2.7476190000000001E-2</v>
      </c>
      <c r="Z4669">
        <v>6.6764310000000002E-4</v>
      </c>
      <c r="AA4669">
        <v>0.99962220000000002</v>
      </c>
      <c r="AB4669">
        <v>36</v>
      </c>
      <c r="AC4669">
        <v>-44.215699999999998</v>
      </c>
      <c r="AD4669">
        <v>-1.1104276899450001</v>
      </c>
      <c r="AE4669">
        <v>0.69179999999999997</v>
      </c>
      <c r="AF4669">
        <v>1.2221594616008999</v>
      </c>
      <c r="AG4669">
        <v>-1.1104276899450001</v>
      </c>
      <c r="AH4669">
        <v>44.176342890956697</v>
      </c>
      <c r="AI4669">
        <v>91.439347463755794</v>
      </c>
      <c r="AJ4669">
        <v>88.415289325488203</v>
      </c>
      <c r="AK4669">
        <v>44.207193923880297</v>
      </c>
      <c r="AL4669">
        <v>79.415129033244995</v>
      </c>
      <c r="AM4669">
        <v>93.997153869562794</v>
      </c>
      <c r="AN4669">
        <v>1.00000000704544</v>
      </c>
    </row>
    <row r="4670" spans="1:40" x14ac:dyDescent="0.25">
      <c r="A4670" t="str">
        <f>"20190304155728726"</f>
        <v>20190304155728726</v>
      </c>
      <c r="B4670" t="str">
        <f>"1551686248719597"</f>
        <v>1551686248719597</v>
      </c>
      <c r="C4670" t="s">
        <v>40</v>
      </c>
      <c r="D4670">
        <v>4.8026869999999997</v>
      </c>
      <c r="E4670">
        <v>0.53862860000000001</v>
      </c>
      <c r="F4670" t="s">
        <v>41</v>
      </c>
      <c r="G4670">
        <v>-396.89080000000001</v>
      </c>
      <c r="H4670" s="1">
        <v>-2.133493E-6</v>
      </c>
      <c r="I4670">
        <v>142.68799999999999</v>
      </c>
      <c r="J4670">
        <v>-351.55169999999998</v>
      </c>
      <c r="K4670">
        <v>1.11043</v>
      </c>
      <c r="L4670">
        <v>141.85599999999999</v>
      </c>
      <c r="M4670">
        <v>-0.99982139999999997</v>
      </c>
      <c r="N4670">
        <v>-1.4407390000000001E-2</v>
      </c>
      <c r="O4670">
        <v>-1.223137E-2</v>
      </c>
      <c r="P4670">
        <v>-0.982124</v>
      </c>
      <c r="Q4670">
        <v>0.170153</v>
      </c>
      <c r="R4670">
        <v>-8.0501039999999996E-2</v>
      </c>
      <c r="S4670">
        <v>-3.0716860000000001</v>
      </c>
      <c r="T4670">
        <v>-7.4803830000000002E-2</v>
      </c>
      <c r="U4670">
        <v>5.5831909999999998E-2</v>
      </c>
      <c r="V4670">
        <v>-6.8606520000000004E-2</v>
      </c>
      <c r="W4670">
        <v>0.18425140000000001</v>
      </c>
      <c r="X4670">
        <v>0.98048179999999996</v>
      </c>
      <c r="Y4670">
        <v>3.0387629999999999E-2</v>
      </c>
      <c r="Z4670">
        <v>7.1050559999999896E-4</v>
      </c>
      <c r="AA4670">
        <v>0.99953789999999998</v>
      </c>
      <c r="AB4670">
        <v>36</v>
      </c>
      <c r="AC4670">
        <v>-45.339100000000002</v>
      </c>
      <c r="AD4670">
        <v>-1.1104321334930001</v>
      </c>
      <c r="AE4670">
        <v>0.83199999999999297</v>
      </c>
      <c r="AF4670">
        <v>1.3857236795526899</v>
      </c>
      <c r="AG4670">
        <v>-1.1104321334930001</v>
      </c>
      <c r="AH4670">
        <v>45.298367300139503</v>
      </c>
      <c r="AI4670">
        <v>91.403595935589095</v>
      </c>
      <c r="AJ4670">
        <v>88.247809569123007</v>
      </c>
      <c r="AK4670">
        <v>45.333159714468501</v>
      </c>
      <c r="AL4670">
        <v>79.382509438467196</v>
      </c>
      <c r="AM4670">
        <v>94.002590870391202</v>
      </c>
      <c r="AN4670">
        <v>0.99999999655985505</v>
      </c>
    </row>
    <row r="4671" spans="1:40" x14ac:dyDescent="0.25">
      <c r="A4671" t="str">
        <f>"20190304155728745"</f>
        <v>20190304155728745</v>
      </c>
      <c r="B4671" t="str">
        <f>"1551686248739117"</f>
        <v>1551686248739117</v>
      </c>
      <c r="C4671" t="s">
        <v>40</v>
      </c>
      <c r="D4671">
        <v>5.0147740000000001</v>
      </c>
      <c r="E4671">
        <v>0.54043359999999996</v>
      </c>
      <c r="F4671" t="s">
        <v>41</v>
      </c>
      <c r="G4671">
        <v>-399.53969999999998</v>
      </c>
      <c r="H4671" s="1">
        <v>-1.0683439999999999E-6</v>
      </c>
      <c r="I4671">
        <v>142.95570000000001</v>
      </c>
      <c r="J4671">
        <v>-351.8664</v>
      </c>
      <c r="K4671">
        <v>1.11043</v>
      </c>
      <c r="L4671">
        <v>141.8519</v>
      </c>
      <c r="M4671">
        <v>-0.99981770000000003</v>
      </c>
      <c r="N4671">
        <v>-1.4445380000000001E-2</v>
      </c>
      <c r="O4671">
        <v>-1.249842E-2</v>
      </c>
      <c r="P4671">
        <v>-0.98200209999999999</v>
      </c>
      <c r="Q4671">
        <v>0.17075960000000001</v>
      </c>
      <c r="R4671">
        <v>-8.0705810000000003E-2</v>
      </c>
      <c r="S4671">
        <v>-3.0726930000000001</v>
      </c>
      <c r="T4671">
        <v>-7.1101429999999993E-2</v>
      </c>
      <c r="U4671">
        <v>7.0419309999999999E-2</v>
      </c>
      <c r="V4671">
        <v>-6.8550860000000005E-2</v>
      </c>
      <c r="W4671">
        <v>0.18489439999999999</v>
      </c>
      <c r="X4671">
        <v>0.98036460000000003</v>
      </c>
      <c r="Y4671">
        <v>3.5390570000000003E-2</v>
      </c>
      <c r="Z4671">
        <v>7.7369449999999996E-4</v>
      </c>
      <c r="AA4671">
        <v>0.99937330000000002</v>
      </c>
      <c r="AB4671">
        <v>36</v>
      </c>
      <c r="AC4671">
        <v>-47.673299999999898</v>
      </c>
      <c r="AD4671">
        <v>-1.110431068344</v>
      </c>
      <c r="AE4671">
        <v>1.1037999999999999</v>
      </c>
      <c r="AF4671">
        <v>1.69869565686999</v>
      </c>
      <c r="AG4671">
        <v>-1.110431068344</v>
      </c>
      <c r="AH4671">
        <v>47.629950981591797</v>
      </c>
      <c r="AI4671">
        <v>91.334687248128006</v>
      </c>
      <c r="AJ4671">
        <v>87.957443673444402</v>
      </c>
      <c r="AK4671">
        <v>47.673167029273898</v>
      </c>
      <c r="AL4671">
        <v>79.345023755039605</v>
      </c>
      <c r="AM4671">
        <v>93.999830698069104</v>
      </c>
      <c r="AN4671">
        <v>0.99999995424562804</v>
      </c>
    </row>
    <row r="4672" spans="1:40" x14ac:dyDescent="0.25">
      <c r="A4672" t="str">
        <f>"20190304155728767"</f>
        <v>20190304155728767</v>
      </c>
      <c r="B4672" t="str">
        <f>"1551686248759612"</f>
        <v>1551686248759612</v>
      </c>
      <c r="C4672" t="s">
        <v>40</v>
      </c>
      <c r="D4672">
        <v>4.9773050000000003</v>
      </c>
      <c r="E4672">
        <v>0.54219649999999997</v>
      </c>
      <c r="F4672" t="s">
        <v>78</v>
      </c>
      <c r="G4672">
        <v>-402.41410000000002</v>
      </c>
      <c r="H4672" s="1">
        <v>-7.9226480000000007E-6</v>
      </c>
      <c r="I4672">
        <v>143.2321</v>
      </c>
      <c r="J4672">
        <v>-352.20800000000003</v>
      </c>
      <c r="K4672">
        <v>1.110436</v>
      </c>
      <c r="L4672">
        <v>141.84729999999999</v>
      </c>
      <c r="M4672">
        <v>-0.99981339999999996</v>
      </c>
      <c r="N4672">
        <v>-1.4481290000000001E-2</v>
      </c>
      <c r="O4672">
        <v>-1.2788580000000001E-2</v>
      </c>
      <c r="P4672">
        <v>-0.98193799999999998</v>
      </c>
      <c r="Q4672">
        <v>0.17102829999999999</v>
      </c>
      <c r="R4672">
        <v>-8.0916489999999994E-2</v>
      </c>
      <c r="S4672">
        <v>-3.073639</v>
      </c>
      <c r="T4672">
        <v>-6.752205E-2</v>
      </c>
      <c r="U4672">
        <v>8.3923339999999999E-2</v>
      </c>
      <c r="V4672">
        <v>-6.8476759999999998E-2</v>
      </c>
      <c r="W4672">
        <v>0.18519759999999999</v>
      </c>
      <c r="X4672">
        <v>0.98031259999999998</v>
      </c>
      <c r="Y4672">
        <v>4.0060579999999998E-2</v>
      </c>
      <c r="Z4672">
        <v>8.2578739999999995E-4</v>
      </c>
      <c r="AA4672">
        <v>0.99919690000000005</v>
      </c>
      <c r="AB4672">
        <v>36</v>
      </c>
      <c r="AC4672">
        <v>-50.2060999999999</v>
      </c>
      <c r="AD4672">
        <v>-1.1104439226480001</v>
      </c>
      <c r="AE4672">
        <v>1.38480000000001</v>
      </c>
      <c r="AF4672">
        <v>2.02582849416694</v>
      </c>
      <c r="AG4672">
        <v>-1.1104439226480001</v>
      </c>
      <c r="AH4672">
        <v>50.1597627870078</v>
      </c>
      <c r="AI4672">
        <v>91.267182189381501</v>
      </c>
      <c r="AJ4672">
        <v>87.687222428084098</v>
      </c>
      <c r="AK4672">
        <v>50.2129352820766</v>
      </c>
      <c r="AL4672">
        <v>79.3273469388336</v>
      </c>
      <c r="AM4672">
        <v>93.995732348244601</v>
      </c>
      <c r="AN4672">
        <v>1.0000000057123</v>
      </c>
    </row>
    <row r="4673" spans="1:40" x14ac:dyDescent="0.25">
      <c r="A4673" t="str">
        <f>"20190304155728784"</f>
        <v>20190304155728784</v>
      </c>
      <c r="B4673" t="str">
        <f>"1551686248779132"</f>
        <v>1551686248779132</v>
      </c>
      <c r="C4673" t="s">
        <v>40</v>
      </c>
      <c r="D4673">
        <v>4.9506940000000004</v>
      </c>
      <c r="E4673">
        <v>0.54389540000000003</v>
      </c>
      <c r="F4673" t="s">
        <v>78</v>
      </c>
      <c r="G4673">
        <v>-405.09010000000001</v>
      </c>
      <c r="H4673" s="1">
        <v>-9.2513799999999995E-6</v>
      </c>
      <c r="I4673">
        <v>143.52000000000001</v>
      </c>
      <c r="J4673">
        <v>-352.4819</v>
      </c>
      <c r="K4673">
        <v>1.1104369999999999</v>
      </c>
      <c r="L4673">
        <v>141.84360000000001</v>
      </c>
      <c r="M4673">
        <v>-0.99980999999999998</v>
      </c>
      <c r="N4673">
        <v>-1.4506130000000001E-2</v>
      </c>
      <c r="O4673">
        <v>-1.30212E-2</v>
      </c>
      <c r="P4673">
        <v>-0.98184669999999996</v>
      </c>
      <c r="Q4673">
        <v>0.17138499999999901</v>
      </c>
      <c r="R4673">
        <v>-8.126688E-2</v>
      </c>
      <c r="S4673">
        <v>-3.0744319999999998</v>
      </c>
      <c r="T4673">
        <v>-6.455851E-2</v>
      </c>
      <c r="U4673">
        <v>9.7244259999999999E-2</v>
      </c>
      <c r="V4673">
        <v>-6.8599839999999995E-2</v>
      </c>
      <c r="W4673">
        <v>0.18557760000000001</v>
      </c>
      <c r="X4673">
        <v>0.98023210000000005</v>
      </c>
      <c r="Y4673">
        <v>4.4610669999999998E-2</v>
      </c>
      <c r="Z4673">
        <v>8.7643020000000005E-4</v>
      </c>
      <c r="AA4673">
        <v>0.99900409999999995</v>
      </c>
      <c r="AB4673">
        <v>36</v>
      </c>
      <c r="AC4673">
        <v>-52.608199999999997</v>
      </c>
      <c r="AD4673">
        <v>-1.11044625138</v>
      </c>
      <c r="AE4673">
        <v>1.6763999999999999</v>
      </c>
      <c r="AF4673">
        <v>2.36030127407694</v>
      </c>
      <c r="AG4673">
        <v>-1.11044625138</v>
      </c>
      <c r="AH4673">
        <v>52.558514684799697</v>
      </c>
      <c r="AI4673">
        <v>91.209135927579894</v>
      </c>
      <c r="AJ4673">
        <v>87.428684946433407</v>
      </c>
      <c r="AK4673">
        <v>52.623203806438099</v>
      </c>
      <c r="AL4673">
        <v>79.305190157593302</v>
      </c>
      <c r="AM4673">
        <v>94.003218606372002</v>
      </c>
      <c r="AN4673">
        <v>0.999999976770097</v>
      </c>
    </row>
    <row r="4674" spans="1:40" x14ac:dyDescent="0.25">
      <c r="A4674" t="str">
        <f>"20190304155728800"</f>
        <v>20190304155728800</v>
      </c>
      <c r="B4674" t="str">
        <f>"1551686248789869"</f>
        <v>1551686248789869</v>
      </c>
      <c r="C4674" t="s">
        <v>40</v>
      </c>
      <c r="D4674">
        <v>4.9664580000000003</v>
      </c>
      <c r="E4674">
        <v>0.54472219999999905</v>
      </c>
      <c r="F4674" t="s">
        <v>78</v>
      </c>
      <c r="G4674">
        <v>-407.93610000000001</v>
      </c>
      <c r="H4674" s="1">
        <v>-1.1138559999999999E-5</v>
      </c>
      <c r="I4674">
        <v>143.8203</v>
      </c>
      <c r="J4674">
        <v>-352.73320000000001</v>
      </c>
      <c r="K4674">
        <v>1.110444</v>
      </c>
      <c r="L4674">
        <v>141.84010000000001</v>
      </c>
      <c r="M4674">
        <v>-0.999807</v>
      </c>
      <c r="N4674">
        <v>-1.452635E-2</v>
      </c>
      <c r="O4674">
        <v>-1.323483E-2</v>
      </c>
      <c r="P4674">
        <v>-0.98170230000000003</v>
      </c>
      <c r="Q4674">
        <v>0.17222939999999901</v>
      </c>
      <c r="R4674">
        <v>-8.1225160000000005E-2</v>
      </c>
      <c r="S4674">
        <v>-3.0752869999999999</v>
      </c>
      <c r="T4674">
        <v>-6.1581370000000003E-2</v>
      </c>
      <c r="U4674">
        <v>0.1096191</v>
      </c>
      <c r="V4674">
        <v>-6.8350090000000002E-2</v>
      </c>
      <c r="W4674">
        <v>0.1864401</v>
      </c>
      <c r="X4674">
        <v>0.98008589999999995</v>
      </c>
      <c r="Y4674">
        <v>4.8830180000000001E-2</v>
      </c>
      <c r="Z4674">
        <v>9.162838E-4</v>
      </c>
      <c r="AA4674">
        <v>0.99880670000000005</v>
      </c>
      <c r="AB4674">
        <v>36</v>
      </c>
      <c r="AC4674">
        <v>-55.2029</v>
      </c>
      <c r="AD4674">
        <v>-1.1104551385600001</v>
      </c>
      <c r="AE4674">
        <v>1.98019999999999</v>
      </c>
      <c r="AF4674">
        <v>2.7096095132825799</v>
      </c>
      <c r="AG4674">
        <v>-1.1104551385600001</v>
      </c>
      <c r="AH4674">
        <v>55.149566178777199</v>
      </c>
      <c r="AI4674">
        <v>91.152124620054806</v>
      </c>
      <c r="AJ4674">
        <v>87.187204558849103</v>
      </c>
      <c r="AK4674">
        <v>55.227255445445998</v>
      </c>
      <c r="AL4674">
        <v>79.254895138964997</v>
      </c>
      <c r="AM4674">
        <v>93.989284375313801</v>
      </c>
      <c r="AN4674">
        <v>1.0000000085349099</v>
      </c>
    </row>
    <row r="4675" spans="1:40" x14ac:dyDescent="0.25">
      <c r="A4675" t="str">
        <f>"20190304155728817"</f>
        <v>20190304155728817</v>
      </c>
      <c r="B4675" t="str">
        <f>"1551686248809389"</f>
        <v>1551686248809389</v>
      </c>
      <c r="C4675" t="s">
        <v>40</v>
      </c>
      <c r="D4675">
        <v>4.9231600000000002</v>
      </c>
      <c r="E4675">
        <v>0.54636569999999995</v>
      </c>
      <c r="F4675" t="s">
        <v>78</v>
      </c>
      <c r="G4675">
        <v>-411.4119</v>
      </c>
      <c r="H4675" s="1">
        <v>-1.213769E-5</v>
      </c>
      <c r="I4675">
        <v>144.05369999999999</v>
      </c>
      <c r="J4675">
        <v>-353.0059</v>
      </c>
      <c r="K4675">
        <v>1.1104540000000001</v>
      </c>
      <c r="L4675">
        <v>141.83629999999999</v>
      </c>
      <c r="M4675">
        <v>-0.99980360000000001</v>
      </c>
      <c r="N4675">
        <v>-1.4545809999999999E-2</v>
      </c>
      <c r="O4675">
        <v>-1.346646E-2</v>
      </c>
      <c r="P4675">
        <v>-0.98164200000000001</v>
      </c>
      <c r="Q4675">
        <v>0.1726096</v>
      </c>
      <c r="R4675">
        <v>-8.1147960000000005E-2</v>
      </c>
      <c r="S4675">
        <v>-3.0757140000000001</v>
      </c>
      <c r="T4675">
        <v>-5.8205840000000002E-2</v>
      </c>
      <c r="U4675">
        <v>0.1160278</v>
      </c>
      <c r="V4675">
        <v>-6.8046220000000004E-2</v>
      </c>
      <c r="W4675">
        <v>0.18683930000000001</v>
      </c>
      <c r="X4675">
        <v>0.98003099999999999</v>
      </c>
      <c r="Y4675">
        <v>5.1135640000000003E-2</v>
      </c>
      <c r="Z4675">
        <v>9.1468560000000003E-4</v>
      </c>
      <c r="AA4675">
        <v>0.99869129999999995</v>
      </c>
      <c r="AB4675">
        <v>36</v>
      </c>
      <c r="AC4675">
        <v>-58.405999999999999</v>
      </c>
      <c r="AD4675">
        <v>-1.11046613769</v>
      </c>
      <c r="AE4675">
        <v>2.2173999999999898</v>
      </c>
      <c r="AF4675">
        <v>3.0027202185183501</v>
      </c>
      <c r="AG4675">
        <v>-1.11046613769</v>
      </c>
      <c r="AH4675">
        <v>58.349776646465401</v>
      </c>
      <c r="AI4675">
        <v>91.088835266974598</v>
      </c>
      <c r="AJ4675">
        <v>87.054117807276299</v>
      </c>
      <c r="AK4675">
        <v>58.437538435889401</v>
      </c>
      <c r="AL4675">
        <v>79.231613330235305</v>
      </c>
      <c r="AM4675">
        <v>93.971827518598502</v>
      </c>
      <c r="AN4675">
        <v>0.99999998652088895</v>
      </c>
    </row>
    <row r="4676" spans="1:40" x14ac:dyDescent="0.25">
      <c r="A4676" t="str">
        <f>"20190304155728833"</f>
        <v>20190304155728833</v>
      </c>
      <c r="B4676" t="str">
        <f>"1551686248829886"</f>
        <v>1551686248829886</v>
      </c>
      <c r="C4676" t="s">
        <v>40</v>
      </c>
      <c r="D4676">
        <v>5.0940070000000004</v>
      </c>
      <c r="E4676">
        <v>0.54628840000000001</v>
      </c>
      <c r="F4676" t="s">
        <v>78</v>
      </c>
      <c r="G4676">
        <v>-414.96769999999998</v>
      </c>
      <c r="H4676" s="1">
        <v>-1.192931E-5</v>
      </c>
      <c r="I4676">
        <v>144.43530000000001</v>
      </c>
      <c r="J4676">
        <v>-353.26850000000002</v>
      </c>
      <c r="K4676">
        <v>1.110455</v>
      </c>
      <c r="L4676">
        <v>141.83260000000001</v>
      </c>
      <c r="M4676">
        <v>-0.99980029999999998</v>
      </c>
      <c r="N4676">
        <v>-1.456233E-2</v>
      </c>
      <c r="O4676">
        <v>-1.3689730000000001E-2</v>
      </c>
      <c r="P4676">
        <v>-0.98163389999999995</v>
      </c>
      <c r="Q4676">
        <v>0.17270629999999901</v>
      </c>
      <c r="R4676">
        <v>-8.1041650000000007E-2</v>
      </c>
      <c r="S4676">
        <v>-3.0764469999999999</v>
      </c>
      <c r="T4676">
        <v>-5.5135370000000003E-2</v>
      </c>
      <c r="U4676">
        <v>0.12904360000000001</v>
      </c>
      <c r="V4676">
        <v>-6.7720409999999995E-2</v>
      </c>
      <c r="W4676">
        <v>0.18695220000000001</v>
      </c>
      <c r="X4676">
        <v>0.98003209999999996</v>
      </c>
      <c r="Y4676">
        <v>5.5567800000000001E-2</v>
      </c>
      <c r="Z4676">
        <v>9.4849829999999998E-4</v>
      </c>
      <c r="AA4676">
        <v>0.99845450000000002</v>
      </c>
      <c r="AB4676">
        <v>36</v>
      </c>
      <c r="AC4676">
        <v>-61.699199999999898</v>
      </c>
      <c r="AD4676">
        <v>-1.11046692931</v>
      </c>
      <c r="AE4676">
        <v>2.6026999999999898</v>
      </c>
      <c r="AF4676">
        <v>3.4460766605131501</v>
      </c>
      <c r="AG4676">
        <v>-1.11046692931</v>
      </c>
      <c r="AH4676">
        <v>61.637852052828201</v>
      </c>
      <c r="AI4676">
        <v>91.030519564123296</v>
      </c>
      <c r="AJ4676">
        <v>86.800013227160605</v>
      </c>
      <c r="AK4676">
        <v>61.744095967449098</v>
      </c>
      <c r="AL4676">
        <v>79.225029282882304</v>
      </c>
      <c r="AM4676">
        <v>93.952866143107897</v>
      </c>
      <c r="AN4676">
        <v>1.0000000480229001</v>
      </c>
    </row>
    <row r="4677" spans="1:40" x14ac:dyDescent="0.25">
      <c r="A4677" t="str">
        <f>"20190304155728849"</f>
        <v>20190304155728849</v>
      </c>
      <c r="B4677" t="str">
        <f>"1551686248839645"</f>
        <v>1551686248839645</v>
      </c>
      <c r="C4677" t="s">
        <v>40</v>
      </c>
      <c r="D4677">
        <v>5.0087849999999996</v>
      </c>
      <c r="E4677">
        <v>0.54570030000000003</v>
      </c>
      <c r="F4677" t="s">
        <v>78</v>
      </c>
      <c r="G4677">
        <v>-415.12389999999999</v>
      </c>
      <c r="H4677" s="1">
        <v>-1.190764E-5</v>
      </c>
      <c r="I4677">
        <v>144.4127</v>
      </c>
      <c r="J4677">
        <v>-353.50900000000001</v>
      </c>
      <c r="K4677">
        <v>1.1104609999999999</v>
      </c>
      <c r="L4677">
        <v>141.82910000000001</v>
      </c>
      <c r="M4677">
        <v>-0.9997973</v>
      </c>
      <c r="N4677">
        <v>-1.457571E-2</v>
      </c>
      <c r="O4677">
        <v>-1.389437E-2</v>
      </c>
      <c r="P4677">
        <v>-0.981684</v>
      </c>
      <c r="Q4677">
        <v>0.17243559999999999</v>
      </c>
      <c r="R4677">
        <v>-8.1011059999999996E-2</v>
      </c>
      <c r="S4677">
        <v>-3.0764770000000001</v>
      </c>
      <c r="T4677">
        <v>-5.523086E-2</v>
      </c>
      <c r="U4677">
        <v>0.12832639999999901</v>
      </c>
      <c r="V4677">
        <v>-6.7487759999999994E-2</v>
      </c>
      <c r="W4677">
        <v>0.1866959</v>
      </c>
      <c r="X4677">
        <v>0.98009690000000005</v>
      </c>
      <c r="Y4677">
        <v>5.5539360000000003E-2</v>
      </c>
      <c r="Z4677">
        <v>9.5019509999999996E-4</v>
      </c>
      <c r="AA4677">
        <v>0.99845609999999996</v>
      </c>
      <c r="AB4677">
        <v>36</v>
      </c>
      <c r="AC4677">
        <v>-61.614899999999899</v>
      </c>
      <c r="AD4677">
        <v>-1.11047290764</v>
      </c>
      <c r="AE4677">
        <v>2.5835999999999899</v>
      </c>
      <c r="AF4677">
        <v>3.4384267446015202</v>
      </c>
      <c r="AG4677">
        <v>-1.11047290764</v>
      </c>
      <c r="AH4677">
        <v>61.553090997669301</v>
      </c>
      <c r="AI4677">
        <v>91.031946596604797</v>
      </c>
      <c r="AJ4677">
        <v>86.802714504751705</v>
      </c>
      <c r="AK4677">
        <v>61.659053997964897</v>
      </c>
      <c r="AL4677">
        <v>79.239976255145294</v>
      </c>
      <c r="AM4677">
        <v>93.939069470462201</v>
      </c>
      <c r="AN4677">
        <v>0.99999994510811696</v>
      </c>
    </row>
    <row r="4678" spans="1:40" x14ac:dyDescent="0.25">
      <c r="A4678" t="str">
        <f>"20190304155728863"</f>
        <v>20190304155728863</v>
      </c>
      <c r="B4678" t="str">
        <f>"1551686248859165"</f>
        <v>1551686248859165</v>
      </c>
      <c r="C4678" t="s">
        <v>40</v>
      </c>
      <c r="D4678">
        <v>4.921462</v>
      </c>
      <c r="E4678">
        <v>0.54459239999999998</v>
      </c>
      <c r="F4678" t="s">
        <v>78</v>
      </c>
      <c r="G4678">
        <v>-413.17559999999997</v>
      </c>
      <c r="H4678" s="1">
        <v>-1.2030789999999999E-5</v>
      </c>
      <c r="I4678">
        <v>144.23580000000001</v>
      </c>
      <c r="J4678">
        <v>-353.72680000000003</v>
      </c>
      <c r="K4678">
        <v>1.110465</v>
      </c>
      <c r="L4678">
        <v>141.82579999999999</v>
      </c>
      <c r="M4678">
        <v>-0.99979450000000003</v>
      </c>
      <c r="N4678">
        <v>-1.4586160000000001E-2</v>
      </c>
      <c r="O4678">
        <v>-1.407945E-2</v>
      </c>
      <c r="P4678">
        <v>-0.98168120000000003</v>
      </c>
      <c r="Q4678">
        <v>0.1722823</v>
      </c>
      <c r="R4678">
        <v>-8.1369140000000006E-2</v>
      </c>
      <c r="S4678">
        <v>-3.0762330000000002</v>
      </c>
      <c r="T4678">
        <v>-5.725276E-2</v>
      </c>
      <c r="U4678">
        <v>0.1240845</v>
      </c>
      <c r="V4678">
        <v>-6.7663479999999998E-2</v>
      </c>
      <c r="W4678">
        <v>0.186553</v>
      </c>
      <c r="X4678">
        <v>0.98011210000000004</v>
      </c>
      <c r="Y4678">
        <v>5.4352360000000002E-2</v>
      </c>
      <c r="Z4678">
        <v>9.588156E-4</v>
      </c>
      <c r="AA4678">
        <v>0.9985214</v>
      </c>
      <c r="AB4678">
        <v>36</v>
      </c>
      <c r="AC4678">
        <v>-59.448799999999899</v>
      </c>
      <c r="AD4678">
        <v>-1.11047703079</v>
      </c>
      <c r="AE4678">
        <v>2.4100000000000201</v>
      </c>
      <c r="AF4678">
        <v>3.2457258582551001</v>
      </c>
      <c r="AG4678">
        <v>-1.11047703079</v>
      </c>
      <c r="AH4678">
        <v>59.3882829752459</v>
      </c>
      <c r="AI4678">
        <v>91.069629455041294</v>
      </c>
      <c r="AJ4678">
        <v>86.871747085660004</v>
      </c>
      <c r="AK4678">
        <v>59.487276373446001</v>
      </c>
      <c r="AL4678">
        <v>79.248311363882095</v>
      </c>
      <c r="AM4678">
        <v>93.949232282900397</v>
      </c>
      <c r="AN4678">
        <v>1.00000004845055</v>
      </c>
    </row>
    <row r="4679" spans="1:40" x14ac:dyDescent="0.25">
      <c r="A4679" t="str">
        <f>"20190304155728878"</f>
        <v>20190304155728878</v>
      </c>
      <c r="B4679" t="str">
        <f>"1551686248869900"</f>
        <v>1551686248869900</v>
      </c>
      <c r="C4679" t="s">
        <v>40</v>
      </c>
      <c r="D4679">
        <v>4.919454</v>
      </c>
      <c r="E4679">
        <v>0.54405990000000004</v>
      </c>
      <c r="F4679" t="s">
        <v>78</v>
      </c>
      <c r="G4679">
        <v>-411.37509999999997</v>
      </c>
      <c r="H4679" s="1">
        <v>-1.2109970000000001E-5</v>
      </c>
      <c r="I4679">
        <v>143.96700000000001</v>
      </c>
      <c r="J4679">
        <v>-353.97230000000002</v>
      </c>
      <c r="K4679">
        <v>1.1104670000000001</v>
      </c>
      <c r="L4679">
        <v>141.82220000000001</v>
      </c>
      <c r="M4679">
        <v>-0.9997914</v>
      </c>
      <c r="N4679">
        <v>-1.459684E-2</v>
      </c>
      <c r="O4679">
        <v>-1.428812E-2</v>
      </c>
      <c r="P4679">
        <v>-0.98170449999999998</v>
      </c>
      <c r="Q4679">
        <v>0.1722776</v>
      </c>
      <c r="R4679">
        <v>-8.1099249999999998E-2</v>
      </c>
      <c r="S4679">
        <v>-3.0758670000000001</v>
      </c>
      <c r="T4679">
        <v>-5.925035E-2</v>
      </c>
      <c r="U4679">
        <v>0.1142426</v>
      </c>
      <c r="V4679">
        <v>-6.7187629999999998E-2</v>
      </c>
      <c r="W4679">
        <v>0.18655959999999999</v>
      </c>
      <c r="X4679">
        <v>0.98014349999999995</v>
      </c>
      <c r="Y4679">
        <v>5.13751E-2</v>
      </c>
      <c r="Z4679">
        <v>9.3640490000000004E-4</v>
      </c>
      <c r="AA4679">
        <v>0.99867899999999998</v>
      </c>
      <c r="AB4679">
        <v>36</v>
      </c>
      <c r="AC4679">
        <v>-57.4027999999999</v>
      </c>
      <c r="AD4679">
        <v>-1.11047910997</v>
      </c>
      <c r="AE4679">
        <v>2.1448</v>
      </c>
      <c r="AF4679">
        <v>2.96373885685419</v>
      </c>
      <c r="AG4679">
        <v>-1.11047910997</v>
      </c>
      <c r="AH4679">
        <v>57.3448595870113</v>
      </c>
      <c r="AI4679">
        <v>91.107911699896206</v>
      </c>
      <c r="AJ4679">
        <v>87.041430078093995</v>
      </c>
      <c r="AK4679">
        <v>57.432132407906899</v>
      </c>
      <c r="AL4679">
        <v>79.2479256148183</v>
      </c>
      <c r="AM4679">
        <v>93.921420645351205</v>
      </c>
      <c r="AN4679">
        <v>0.99999997128471296</v>
      </c>
    </row>
    <row r="4680" spans="1:40" x14ac:dyDescent="0.25">
      <c r="A4680" t="str">
        <f>"20190304155728893"</f>
        <v>20190304155728893</v>
      </c>
      <c r="B4680" t="str">
        <f>"1551686248889420"</f>
        <v>1551686248889420</v>
      </c>
      <c r="C4680" t="s">
        <v>40</v>
      </c>
      <c r="D4680">
        <v>4.9146879999999999</v>
      </c>
      <c r="E4680">
        <v>0.54306339999999997</v>
      </c>
      <c r="F4680" t="s">
        <v>78</v>
      </c>
      <c r="G4680">
        <v>-410.92090000000002</v>
      </c>
      <c r="H4680" s="1">
        <v>-1.212185E-5</v>
      </c>
      <c r="I4680">
        <v>143.8768</v>
      </c>
      <c r="J4680">
        <v>-354.20240000000001</v>
      </c>
      <c r="K4680">
        <v>1.110468</v>
      </c>
      <c r="L4680">
        <v>141.81870000000001</v>
      </c>
      <c r="M4680">
        <v>-0.99978849999999997</v>
      </c>
      <c r="N4680">
        <v>-1.460579E-2</v>
      </c>
      <c r="O4680">
        <v>-1.44838E-2</v>
      </c>
      <c r="P4680">
        <v>-0.98170659999999998</v>
      </c>
      <c r="Q4680">
        <v>0.17213999999999999</v>
      </c>
      <c r="R4680">
        <v>-8.1364190000000003E-2</v>
      </c>
      <c r="S4680">
        <v>-3.0755919999999999</v>
      </c>
      <c r="T4680">
        <v>-5.9972999999999999E-2</v>
      </c>
      <c r="U4680">
        <v>0.1109619</v>
      </c>
      <c r="V4680">
        <v>-6.7260340000000002E-2</v>
      </c>
      <c r="W4680">
        <v>0.18643080000000001</v>
      </c>
      <c r="X4680">
        <v>0.98016300000000001</v>
      </c>
      <c r="Y4680">
        <v>5.050996E-2</v>
      </c>
      <c r="Z4680">
        <v>9.3217159999999996E-4</v>
      </c>
      <c r="AA4680">
        <v>0.99872309999999997</v>
      </c>
      <c r="AB4680">
        <v>36</v>
      </c>
      <c r="AC4680">
        <v>-56.718499999999999</v>
      </c>
      <c r="AD4680">
        <v>-1.11048012185</v>
      </c>
      <c r="AE4680">
        <v>2.0580999999999898</v>
      </c>
      <c r="AF4680">
        <v>2.8783691412743302</v>
      </c>
      <c r="AG4680">
        <v>-1.11048012185</v>
      </c>
      <c r="AH4680">
        <v>56.661045633517503</v>
      </c>
      <c r="AI4680">
        <v>91.121330748286098</v>
      </c>
      <c r="AJ4680">
        <v>87.091886369939203</v>
      </c>
      <c r="AK4680">
        <v>56.744975700920101</v>
      </c>
      <c r="AL4680">
        <v>79.255436879202193</v>
      </c>
      <c r="AM4680">
        <v>93.925573263516597</v>
      </c>
      <c r="AN4680">
        <v>0.99999995154727594</v>
      </c>
    </row>
    <row r="4681" spans="1:40" x14ac:dyDescent="0.25">
      <c r="A4681" t="str">
        <f>"20190304155728908"</f>
        <v>20190304155728908</v>
      </c>
      <c r="B4681" t="str">
        <f>"1551686248899181"</f>
        <v>1551686248899181</v>
      </c>
      <c r="C4681" t="s">
        <v>40</v>
      </c>
      <c r="D4681">
        <v>4.9131030000000004</v>
      </c>
      <c r="E4681">
        <v>0.54259199999999996</v>
      </c>
      <c r="F4681" t="s">
        <v>78</v>
      </c>
      <c r="G4681">
        <v>-409.25630000000001</v>
      </c>
      <c r="H4681" s="1">
        <v>-1.176723E-5</v>
      </c>
      <c r="I4681">
        <v>143.64949999999999</v>
      </c>
      <c r="J4681">
        <v>-354.459</v>
      </c>
      <c r="K4681">
        <v>1.1104689999999999</v>
      </c>
      <c r="L4681">
        <v>141.81479999999999</v>
      </c>
      <c r="M4681">
        <v>-0.99978509999999998</v>
      </c>
      <c r="N4681">
        <v>-1.4614479999999999E-2</v>
      </c>
      <c r="O4681">
        <v>-1.470223E-2</v>
      </c>
      <c r="P4681">
        <v>-0.9817266</v>
      </c>
      <c r="Q4681">
        <v>0.17206009999999999</v>
      </c>
      <c r="R4681">
        <v>-8.1290459999999995E-2</v>
      </c>
      <c r="S4681">
        <v>-3.075256</v>
      </c>
      <c r="T4681">
        <v>-6.203032E-2</v>
      </c>
      <c r="U4681">
        <v>0.10226440000000001</v>
      </c>
      <c r="V4681">
        <v>-6.6971470000000005E-2</v>
      </c>
      <c r="W4681">
        <v>0.18636050000000001</v>
      </c>
      <c r="X4681">
        <v>0.98019619999999996</v>
      </c>
      <c r="Y4681">
        <v>4.7910630000000003E-2</v>
      </c>
      <c r="Z4681">
        <v>9.1493529999999996E-4</v>
      </c>
      <c r="AA4681">
        <v>0.99885119999999905</v>
      </c>
      <c r="AB4681">
        <v>35</v>
      </c>
      <c r="AC4681">
        <v>-54.7973</v>
      </c>
      <c r="AD4681">
        <v>-1.1104807672299899</v>
      </c>
      <c r="AE4681">
        <v>1.83469999999999</v>
      </c>
      <c r="AF4681">
        <v>2.6391475882819302</v>
      </c>
      <c r="AG4681">
        <v>-1.1104807672299899</v>
      </c>
      <c r="AH4681">
        <v>54.741942723107996</v>
      </c>
      <c r="AI4681">
        <v>91.160780010212804</v>
      </c>
      <c r="AJ4681">
        <v>87.239867251832493</v>
      </c>
      <c r="AK4681">
        <v>54.816772621408099</v>
      </c>
      <c r="AL4681">
        <v>79.259537171334301</v>
      </c>
      <c r="AM4681">
        <v>93.908634085927602</v>
      </c>
      <c r="AN4681">
        <v>1.0000000021243201</v>
      </c>
    </row>
    <row r="4682" spans="1:40" x14ac:dyDescent="0.25">
      <c r="A4682" t="str">
        <f>"20190304155728924"</f>
        <v>20190304155728924</v>
      </c>
      <c r="B4682" t="str">
        <f>"1551686248919677"</f>
        <v>1551686248919677</v>
      </c>
      <c r="C4682" t="s">
        <v>40</v>
      </c>
      <c r="D4682">
        <v>4.9348049999999999</v>
      </c>
      <c r="E4682">
        <v>0.54151119999999997</v>
      </c>
      <c r="F4682" t="s">
        <v>78</v>
      </c>
      <c r="G4682">
        <v>-408.55110000000002</v>
      </c>
      <c r="H4682" s="1">
        <v>-1.1362729999999999E-5</v>
      </c>
      <c r="I4682">
        <v>143.5506</v>
      </c>
      <c r="J4682">
        <v>-354.7056</v>
      </c>
      <c r="K4682">
        <v>1.110466</v>
      </c>
      <c r="L4682">
        <v>141.8109</v>
      </c>
      <c r="M4682">
        <v>-0.9997819</v>
      </c>
      <c r="N4682">
        <v>-1.4621550000000001E-2</v>
      </c>
      <c r="O4682">
        <v>-1.491195E-2</v>
      </c>
      <c r="P4682">
        <v>-0.98176980000000003</v>
      </c>
      <c r="Q4682">
        <v>0.17187439999999901</v>
      </c>
      <c r="R4682">
        <v>-8.1162780000000004E-2</v>
      </c>
      <c r="S4682">
        <v>-3.0750730000000002</v>
      </c>
      <c r="T4682">
        <v>-6.3129539999999998E-2</v>
      </c>
      <c r="U4682">
        <v>9.8678589999999997E-2</v>
      </c>
      <c r="V4682">
        <v>-6.6636299999999996E-2</v>
      </c>
      <c r="W4682">
        <v>0.18618290000000001</v>
      </c>
      <c r="X4682">
        <v>0.98025280000000004</v>
      </c>
      <c r="Y4682">
        <v>4.6958439999999997E-2</v>
      </c>
      <c r="Z4682">
        <v>9.1336689999999996E-4</v>
      </c>
      <c r="AA4682">
        <v>0.99889640000000002</v>
      </c>
      <c r="AB4682">
        <v>35</v>
      </c>
      <c r="AC4682">
        <v>-53.845500000000001</v>
      </c>
      <c r="AD4682">
        <v>-1.11047736273</v>
      </c>
      <c r="AE4682">
        <v>1.73969999999999</v>
      </c>
      <c r="AF4682">
        <v>2.5414539530611999</v>
      </c>
      <c r="AG4682">
        <v>-1.11047736273</v>
      </c>
      <c r="AH4682">
        <v>53.790711922668798</v>
      </c>
      <c r="AI4682">
        <v>91.181351961171501</v>
      </c>
      <c r="AJ4682">
        <v>87.294953461727204</v>
      </c>
      <c r="AK4682">
        <v>53.862165174788601</v>
      </c>
      <c r="AL4682">
        <v>79.269894256067204</v>
      </c>
      <c r="AM4682">
        <v>93.888908978477104</v>
      </c>
      <c r="AN4682">
        <v>1.0000000103189699</v>
      </c>
    </row>
    <row r="4683" spans="1:40" x14ac:dyDescent="0.25">
      <c r="A4683" t="str">
        <f>"20190304155728947"</f>
        <v>20190304155728947</v>
      </c>
      <c r="B4683" t="str">
        <f>"1551686248939196"</f>
        <v>1551686248939196</v>
      </c>
      <c r="C4683" t="s">
        <v>40</v>
      </c>
      <c r="D4683">
        <v>4.9313269999999996</v>
      </c>
      <c r="E4683">
        <v>0.54069440000000002</v>
      </c>
      <c r="F4683" t="s">
        <v>78</v>
      </c>
      <c r="G4683">
        <v>-406.32279999999997</v>
      </c>
      <c r="H4683" s="1">
        <v>-9.9406439999999997E-6</v>
      </c>
      <c r="I4683">
        <v>143.32990000000001</v>
      </c>
      <c r="J4683">
        <v>-355.05239999999998</v>
      </c>
      <c r="K4683">
        <v>1.1104639999999999</v>
      </c>
      <c r="L4683">
        <v>141.80549999999999</v>
      </c>
      <c r="M4683">
        <v>-0.99977740000000004</v>
      </c>
      <c r="N4683">
        <v>-1.4629990000000001E-2</v>
      </c>
      <c r="O4683">
        <v>-1.520619E-2</v>
      </c>
      <c r="P4683">
        <v>-0.98185109999999998</v>
      </c>
      <c r="Q4683">
        <v>0.17141609999999999</v>
      </c>
      <c r="R4683">
        <v>-8.1148280000000003E-2</v>
      </c>
      <c r="S4683">
        <v>-3.0747990000000001</v>
      </c>
      <c r="T4683">
        <v>-6.6150310000000004E-2</v>
      </c>
      <c r="U4683">
        <v>9.0484620000000002E-2</v>
      </c>
      <c r="V4683">
        <v>-6.6330719999999996E-2</v>
      </c>
      <c r="W4683">
        <v>0.1857346</v>
      </c>
      <c r="X4683">
        <v>0.98035850000000002</v>
      </c>
      <c r="Y4683">
        <v>4.459523E-2</v>
      </c>
      <c r="Z4683">
        <v>9.1053620000000005E-4</v>
      </c>
      <c r="AA4683">
        <v>0.99900469999999997</v>
      </c>
      <c r="AB4683">
        <v>35</v>
      </c>
      <c r="AC4683">
        <v>-51.270400000000002</v>
      </c>
      <c r="AD4683">
        <v>-1.1104739406439901</v>
      </c>
      <c r="AE4683">
        <v>1.52440000000001</v>
      </c>
      <c r="AF4683">
        <v>2.3028551972172799</v>
      </c>
      <c r="AG4683">
        <v>-1.1104739406439901</v>
      </c>
      <c r="AH4683">
        <v>51.217282215927497</v>
      </c>
      <c r="AI4683">
        <v>91.240817831201795</v>
      </c>
      <c r="AJ4683">
        <v>87.425574493281701</v>
      </c>
      <c r="AK4683">
        <v>51.281051978466301</v>
      </c>
      <c r="AL4683">
        <v>79.296035246111302</v>
      </c>
      <c r="AM4683">
        <v>93.870713503034693</v>
      </c>
      <c r="AN4683">
        <v>0.99999994728756203</v>
      </c>
    </row>
    <row r="4684" spans="1:40" x14ac:dyDescent="0.25">
      <c r="A4684" t="str">
        <f>"20190304155728968"</f>
        <v>20190304155728968</v>
      </c>
      <c r="B4684" t="str">
        <f>"1551686248959696"</f>
        <v>1551686248959696</v>
      </c>
      <c r="C4684" t="s">
        <v>40</v>
      </c>
      <c r="D4684">
        <v>4.9213500000000003</v>
      </c>
      <c r="E4684">
        <v>0.53981919999999906</v>
      </c>
      <c r="F4684" t="s">
        <v>78</v>
      </c>
      <c r="G4684">
        <v>-404.53320000000002</v>
      </c>
      <c r="H4684" s="1">
        <v>-8.8307050000000004E-6</v>
      </c>
      <c r="I4684">
        <v>143.1549</v>
      </c>
      <c r="J4684">
        <v>-355.39350000000002</v>
      </c>
      <c r="K4684">
        <v>1.110463</v>
      </c>
      <c r="L4684">
        <v>141.80000000000001</v>
      </c>
      <c r="M4684">
        <v>-0.99977280000000002</v>
      </c>
      <c r="N4684">
        <v>-1.4636730000000001E-2</v>
      </c>
      <c r="O4684">
        <v>-1.5491919999999999E-2</v>
      </c>
      <c r="P4684">
        <v>-0.98186220000000002</v>
      </c>
      <c r="Q4684">
        <v>0.17120070000000001</v>
      </c>
      <c r="R4684">
        <v>-8.1467269999999994E-2</v>
      </c>
      <c r="S4684">
        <v>-3.0744319999999998</v>
      </c>
      <c r="T4684">
        <v>-6.8997859999999994E-2</v>
      </c>
      <c r="U4684">
        <v>8.3847050000000006E-2</v>
      </c>
      <c r="V4684">
        <v>-6.6367049999999997E-2</v>
      </c>
      <c r="W4684">
        <v>0.18552650000000001</v>
      </c>
      <c r="X4684">
        <v>0.98039549999999998</v>
      </c>
      <c r="Y4684">
        <v>4.2728530000000001E-2</v>
      </c>
      <c r="Z4684">
        <v>9.1303089999999999E-4</v>
      </c>
      <c r="AA4684">
        <v>0.99908629999999998</v>
      </c>
      <c r="AB4684">
        <v>35</v>
      </c>
      <c r="AC4684">
        <v>-49.139699999999998</v>
      </c>
      <c r="AD4684">
        <v>-1.1104718307050001</v>
      </c>
      <c r="AE4684">
        <v>1.35489999999998</v>
      </c>
      <c r="AF4684">
        <v>2.1150079956116401</v>
      </c>
      <c r="AG4684">
        <v>-1.1104718307050001</v>
      </c>
      <c r="AH4684">
        <v>49.087760209884301</v>
      </c>
      <c r="AI4684">
        <v>91.294733206444903</v>
      </c>
      <c r="AJ4684">
        <v>87.532865080463907</v>
      </c>
      <c r="AK4684">
        <v>49.145850373468797</v>
      </c>
      <c r="AL4684">
        <v>79.308169986314994</v>
      </c>
      <c r="AM4684">
        <v>93.872681366571697</v>
      </c>
      <c r="AN4684">
        <v>1.0000000019741</v>
      </c>
    </row>
    <row r="4685" spans="1:40" x14ac:dyDescent="0.25">
      <c r="A4685" t="str">
        <f>"20190304155728983"</f>
        <v>20190304155728983</v>
      </c>
      <c r="B4685" t="str">
        <f>"1551686248979213"</f>
        <v>1551686248979213</v>
      </c>
      <c r="C4685" t="s">
        <v>40</v>
      </c>
      <c r="D4685">
        <v>4.9197069999999998</v>
      </c>
      <c r="E4685">
        <v>0.53893449999999998</v>
      </c>
      <c r="F4685" t="s">
        <v>78</v>
      </c>
      <c r="G4685">
        <v>-403.69670000000002</v>
      </c>
      <c r="H4685" s="1">
        <v>-8.3942750000000002E-6</v>
      </c>
      <c r="I4685">
        <v>142.9957</v>
      </c>
      <c r="J4685">
        <v>-355.6275</v>
      </c>
      <c r="K4685">
        <v>1.1104620000000001</v>
      </c>
      <c r="L4685">
        <v>141.7962</v>
      </c>
      <c r="M4685">
        <v>-0.99976989999999999</v>
      </c>
      <c r="N4685">
        <v>-1.4640459999999999E-2</v>
      </c>
      <c r="O4685">
        <v>-1.5682479999999999E-2</v>
      </c>
      <c r="P4685">
        <v>-0.98184760000000004</v>
      </c>
      <c r="Q4685">
        <v>0.17117779999999999</v>
      </c>
      <c r="R4685">
        <v>-8.1691330000000006E-2</v>
      </c>
      <c r="S4685">
        <v>-3.0740660000000002</v>
      </c>
      <c r="T4685">
        <v>-7.0671559999999994E-2</v>
      </c>
      <c r="U4685">
        <v>7.6095579999999996E-2</v>
      </c>
      <c r="V4685">
        <v>-6.6401849999999998E-2</v>
      </c>
      <c r="W4685">
        <v>0.18550829999999999</v>
      </c>
      <c r="X4685">
        <v>0.98039659999999995</v>
      </c>
      <c r="Y4685">
        <v>4.0404759999999998E-2</v>
      </c>
      <c r="Z4685">
        <v>8.9108619999999999E-4</v>
      </c>
      <c r="AA4685">
        <v>0.99918300000000004</v>
      </c>
      <c r="AB4685">
        <v>35</v>
      </c>
      <c r="AC4685">
        <v>-48.069200000000002</v>
      </c>
      <c r="AD4685">
        <v>-1.1104703942750001</v>
      </c>
      <c r="AE4685">
        <v>1.1995</v>
      </c>
      <c r="AF4685">
        <v>1.95223625729873</v>
      </c>
      <c r="AG4685">
        <v>-1.1104703942750001</v>
      </c>
      <c r="AH4685">
        <v>48.018863430656602</v>
      </c>
      <c r="AI4685">
        <v>91.323676456433404</v>
      </c>
      <c r="AJ4685">
        <v>87.6718871775319</v>
      </c>
      <c r="AK4685">
        <v>48.071359623718998</v>
      </c>
      <c r="AL4685">
        <v>79.309231322912595</v>
      </c>
      <c r="AM4685">
        <v>93.874701514415705</v>
      </c>
      <c r="AN4685">
        <v>1.0000000141719301</v>
      </c>
    </row>
    <row r="4686" spans="1:40" x14ac:dyDescent="0.25">
      <c r="A4686" t="str">
        <f>"20190304155728995"</f>
        <v>20190304155728995</v>
      </c>
      <c r="B4686" t="str">
        <f>"1551686248988973"</f>
        <v>1551686248988973</v>
      </c>
      <c r="C4686" t="s">
        <v>40</v>
      </c>
      <c r="D4686">
        <v>4.8217429999999997</v>
      </c>
      <c r="E4686">
        <v>0.5385607</v>
      </c>
      <c r="F4686" t="s">
        <v>78</v>
      </c>
      <c r="G4686">
        <v>-402.97210000000001</v>
      </c>
      <c r="H4686" s="1">
        <v>-8.0146600000000003E-6</v>
      </c>
      <c r="I4686">
        <v>142.85380000000001</v>
      </c>
      <c r="J4686">
        <v>-355.83749999999998</v>
      </c>
      <c r="K4686">
        <v>1.1104590000000001</v>
      </c>
      <c r="L4686">
        <v>141.7927</v>
      </c>
      <c r="M4686">
        <v>-0.99976710000000002</v>
      </c>
      <c r="N4686">
        <v>-1.4643369999999999E-2</v>
      </c>
      <c r="O4686">
        <v>-1.5848939999999999E-2</v>
      </c>
      <c r="P4686">
        <v>-0.98174700000000004</v>
      </c>
      <c r="Q4686">
        <v>0.171648</v>
      </c>
      <c r="R4686">
        <v>-8.1912689999999996E-2</v>
      </c>
      <c r="S4686">
        <v>-3.0737610000000002</v>
      </c>
      <c r="T4686">
        <v>-7.2095160000000005E-2</v>
      </c>
      <c r="U4686">
        <v>6.8664550000000005E-2</v>
      </c>
      <c r="V4686">
        <v>-6.6459389999999993E-2</v>
      </c>
      <c r="W4686">
        <v>0.18598100000000001</v>
      </c>
      <c r="X4686">
        <v>0.98030309999999998</v>
      </c>
      <c r="Y4686">
        <v>3.815959E-2</v>
      </c>
      <c r="Z4686">
        <v>8.664988E-4</v>
      </c>
      <c r="AA4686">
        <v>0.99927129999999997</v>
      </c>
      <c r="AB4686">
        <v>35</v>
      </c>
      <c r="AC4686">
        <v>-47.134599999999999</v>
      </c>
      <c r="AD4686">
        <v>-1.11046701466</v>
      </c>
      <c r="AE4686">
        <v>1.0611000000000099</v>
      </c>
      <c r="AF4686">
        <v>1.8070777860962099</v>
      </c>
      <c r="AG4686">
        <v>-1.11046701466</v>
      </c>
      <c r="AH4686">
        <v>47.085737724523099</v>
      </c>
      <c r="AI4686">
        <v>91.350016054457996</v>
      </c>
      <c r="AJ4686">
        <v>87.802155251150495</v>
      </c>
      <c r="AK4686">
        <v>47.133484532529799</v>
      </c>
      <c r="AL4686">
        <v>79.281667530836103</v>
      </c>
      <c r="AM4686">
        <v>93.878417620026894</v>
      </c>
      <c r="AN4686">
        <v>0.99999997537489005</v>
      </c>
    </row>
    <row r="4687" spans="1:40" x14ac:dyDescent="0.25">
      <c r="A4687" t="str">
        <f>"20190304155729013"</f>
        <v>20190304155729013</v>
      </c>
      <c r="B4687" t="str">
        <f>"1551686249009469"</f>
        <v>1551686249009469</v>
      </c>
      <c r="C4687" t="s">
        <v>40</v>
      </c>
      <c r="D4687">
        <v>4.9165989999999997</v>
      </c>
      <c r="E4687">
        <v>0.53782489999999905</v>
      </c>
      <c r="F4687" t="s">
        <v>78</v>
      </c>
      <c r="G4687">
        <v>-403.98829999999998</v>
      </c>
      <c r="H4687" s="1">
        <v>-8.4490679999999992E-6</v>
      </c>
      <c r="I4687">
        <v>142.81440000000001</v>
      </c>
      <c r="J4687">
        <v>-356.1028</v>
      </c>
      <c r="K4687">
        <v>1.1104560000000001</v>
      </c>
      <c r="L4687">
        <v>141.78829999999999</v>
      </c>
      <c r="M4687">
        <v>-0.99976399999999999</v>
      </c>
      <c r="N4687">
        <v>-1.464643E-2</v>
      </c>
      <c r="O4687">
        <v>-1.605181E-2</v>
      </c>
      <c r="P4687">
        <v>-0.98159549999999995</v>
      </c>
      <c r="Q4687">
        <v>0.17219960000000001</v>
      </c>
      <c r="R4687">
        <v>-8.2570019999999994E-2</v>
      </c>
      <c r="S4687">
        <v>-3.0736080000000001</v>
      </c>
      <c r="T4687">
        <v>-7.0884470000000005E-2</v>
      </c>
      <c r="U4687">
        <v>6.5216060000000006E-2</v>
      </c>
      <c r="V4687">
        <v>-6.6916400000000001E-2</v>
      </c>
      <c r="W4687">
        <v>0.1865348</v>
      </c>
      <c r="X4687">
        <v>0.9801668</v>
      </c>
      <c r="Y4687">
        <v>3.7243730000000003E-2</v>
      </c>
      <c r="Z4687">
        <v>8.3723649999999897E-4</v>
      </c>
      <c r="AA4687">
        <v>0.99930580000000002</v>
      </c>
      <c r="AB4687">
        <v>35</v>
      </c>
      <c r="AC4687">
        <v>-47.885499999999901</v>
      </c>
      <c r="AD4687">
        <v>-1.11046444906799</v>
      </c>
      <c r="AE4687">
        <v>1.02610000000001</v>
      </c>
      <c r="AF4687">
        <v>1.7937349013139801</v>
      </c>
      <c r="AG4687">
        <v>-1.11046444906799</v>
      </c>
      <c r="AH4687">
        <v>47.837142798099499</v>
      </c>
      <c r="AI4687">
        <v>91.328859555153798</v>
      </c>
      <c r="AJ4687">
        <v>87.852603491174406</v>
      </c>
      <c r="AK4687">
        <v>47.883638617742903</v>
      </c>
      <c r="AL4687">
        <v>79.249372207955702</v>
      </c>
      <c r="AM4687">
        <v>93.905546783958201</v>
      </c>
      <c r="AN4687">
        <v>0.99999999601112</v>
      </c>
    </row>
    <row r="4688" spans="1:40" x14ac:dyDescent="0.25">
      <c r="A4688" t="str">
        <f>"20190304155729028"</f>
        <v>20190304155729028</v>
      </c>
      <c r="B4688" t="str">
        <f>"1551686249020206"</f>
        <v>1551686249020206</v>
      </c>
      <c r="C4688" t="s">
        <v>40</v>
      </c>
      <c r="D4688">
        <v>4.9318850000000003</v>
      </c>
      <c r="E4688">
        <v>0.53745830000000006</v>
      </c>
      <c r="F4688" t="s">
        <v>78</v>
      </c>
      <c r="G4688">
        <v>-404.63670000000002</v>
      </c>
      <c r="H4688" s="1">
        <v>-8.6889799999999996E-6</v>
      </c>
      <c r="I4688">
        <v>142.69839999999999</v>
      </c>
      <c r="J4688">
        <v>-356.35610000000003</v>
      </c>
      <c r="K4688">
        <v>1.1104529999999999</v>
      </c>
      <c r="L4688">
        <v>141.7841</v>
      </c>
      <c r="M4688">
        <v>-0.99976100000000001</v>
      </c>
      <c r="N4688">
        <v>-1.464876E-2</v>
      </c>
      <c r="O4688">
        <v>-1.6235800000000002E-2</v>
      </c>
      <c r="P4688">
        <v>-0.98159240000000003</v>
      </c>
      <c r="Q4688">
        <v>0.17206179999999999</v>
      </c>
      <c r="R4688">
        <v>-8.2893620000000001E-2</v>
      </c>
      <c r="S4688">
        <v>-3.0733950000000001</v>
      </c>
      <c r="T4688">
        <v>-7.0319889999999996E-2</v>
      </c>
      <c r="U4688">
        <v>5.7632450000000002E-2</v>
      </c>
      <c r="V4688">
        <v>-6.7054619999999995E-2</v>
      </c>
      <c r="W4688">
        <v>0.18640080000000001</v>
      </c>
      <c r="X4688">
        <v>0.98018280000000002</v>
      </c>
      <c r="Y4688">
        <v>3.4965410000000002E-2</v>
      </c>
      <c r="Z4688">
        <v>7.8969679999999897E-4</v>
      </c>
      <c r="AA4688">
        <v>0.99938819999999995</v>
      </c>
      <c r="AB4688">
        <v>35</v>
      </c>
      <c r="AC4688">
        <v>-48.2805999999999</v>
      </c>
      <c r="AD4688">
        <v>-1.1104616889799901</v>
      </c>
      <c r="AE4688">
        <v>0.914299999999997</v>
      </c>
      <c r="AF4688">
        <v>1.69724011746063</v>
      </c>
      <c r="AG4688">
        <v>-1.1104616889799901</v>
      </c>
      <c r="AH4688">
        <v>48.233881882196798</v>
      </c>
      <c r="AI4688">
        <v>91.318040269144106</v>
      </c>
      <c r="AJ4688">
        <v>87.984723886603803</v>
      </c>
      <c r="AK4688">
        <v>48.2765068185833</v>
      </c>
      <c r="AL4688">
        <v>79.257186413014693</v>
      </c>
      <c r="AM4688">
        <v>93.913525206841598</v>
      </c>
      <c r="AN4688">
        <v>0.999999950859911</v>
      </c>
    </row>
    <row r="4689" spans="1:40" x14ac:dyDescent="0.25">
      <c r="A4689" t="str">
        <f>"20190304155729042"</f>
        <v>20190304155729042</v>
      </c>
      <c r="B4689" t="str">
        <f>"1551686249039725"</f>
        <v>1551686249039725</v>
      </c>
      <c r="C4689" t="s">
        <v>40</v>
      </c>
      <c r="D4689">
        <v>4.9386489999999998</v>
      </c>
      <c r="E4689">
        <v>0.53671740000000001</v>
      </c>
      <c r="F4689" t="s">
        <v>78</v>
      </c>
      <c r="G4689">
        <v>-404.32940000000002</v>
      </c>
      <c r="H4689" s="1">
        <v>-8.5229439999999997E-6</v>
      </c>
      <c r="I4689">
        <v>142.62610000000001</v>
      </c>
      <c r="J4689">
        <v>-356.55889999999999</v>
      </c>
      <c r="K4689">
        <v>1.1104449999999999</v>
      </c>
      <c r="L4689">
        <v>141.78059999999999</v>
      </c>
      <c r="M4689">
        <v>-0.99975879999999995</v>
      </c>
      <c r="N4689">
        <v>-1.4650150000000001E-2</v>
      </c>
      <c r="O4689">
        <v>-1.6372950000000001E-2</v>
      </c>
      <c r="P4689">
        <v>-0.98151860000000002</v>
      </c>
      <c r="Q4689">
        <v>0.17218310000000001</v>
      </c>
      <c r="R4689">
        <v>-8.3515549999999994E-2</v>
      </c>
      <c r="S4689">
        <v>-3.0732729999999999</v>
      </c>
      <c r="T4689">
        <v>-7.1138499999999993E-2</v>
      </c>
      <c r="U4689">
        <v>5.3939819999999999E-2</v>
      </c>
      <c r="V4689">
        <v>-6.7537680000000003E-2</v>
      </c>
      <c r="W4689">
        <v>0.186524</v>
      </c>
      <c r="X4689">
        <v>0.98012630000000001</v>
      </c>
      <c r="Y4689">
        <v>3.3902979999999999E-2</v>
      </c>
      <c r="Z4689">
        <v>7.797953E-4</v>
      </c>
      <c r="AA4689">
        <v>0.9994248</v>
      </c>
      <c r="AB4689">
        <v>35</v>
      </c>
      <c r="AC4689">
        <v>-47.770499999999998</v>
      </c>
      <c r="AD4689">
        <v>-1.110453522944</v>
      </c>
      <c r="AE4689">
        <v>0.84550000000001502</v>
      </c>
      <c r="AF4689">
        <v>1.6267357122371999</v>
      </c>
      <c r="AG4689">
        <v>-1.110453522944</v>
      </c>
      <c r="AH4689">
        <v>47.724470183134798</v>
      </c>
      <c r="AI4689">
        <v>91.3321449704288</v>
      </c>
      <c r="AJ4689">
        <v>88.047772587952096</v>
      </c>
      <c r="AK4689">
        <v>47.765096360888997</v>
      </c>
      <c r="AL4689">
        <v>79.250002669721098</v>
      </c>
      <c r="AM4689">
        <v>93.941856105759996</v>
      </c>
      <c r="AN4689">
        <v>1.00000005237373</v>
      </c>
    </row>
    <row r="4690" spans="1:40" x14ac:dyDescent="0.25">
      <c r="A4690" t="str">
        <f>"20190304155729058"</f>
        <v>20190304155729058</v>
      </c>
      <c r="B4690" t="str">
        <f>"1551686249049485"</f>
        <v>1551686249049485</v>
      </c>
      <c r="C4690" t="s">
        <v>40</v>
      </c>
      <c r="D4690">
        <v>4.84884</v>
      </c>
      <c r="E4690">
        <v>0.53640279999999996</v>
      </c>
      <c r="F4690" t="s">
        <v>78</v>
      </c>
      <c r="G4690">
        <v>-403.80220000000003</v>
      </c>
      <c r="H4690" s="1">
        <v>-8.2359179999999994E-6</v>
      </c>
      <c r="I4690">
        <v>142.4966</v>
      </c>
      <c r="J4690">
        <v>-356.79759999999999</v>
      </c>
      <c r="K4690">
        <v>1.1104350000000001</v>
      </c>
      <c r="L4690">
        <v>141.7766</v>
      </c>
      <c r="M4690">
        <v>-0.99975619999999998</v>
      </c>
      <c r="N4690">
        <v>-1.465149E-2</v>
      </c>
      <c r="O4690">
        <v>-1.6524830000000001E-2</v>
      </c>
      <c r="P4690">
        <v>-0.98140190000000005</v>
      </c>
      <c r="Q4690">
        <v>0.17236570000000001</v>
      </c>
      <c r="R4690">
        <v>-8.4502750000000001E-2</v>
      </c>
      <c r="S4690">
        <v>-3.0731199999999999</v>
      </c>
      <c r="T4690">
        <v>-7.2233679999999995E-2</v>
      </c>
      <c r="U4690">
        <v>4.6569819999999998E-2</v>
      </c>
      <c r="V4690">
        <v>-6.8371790000000002E-2</v>
      </c>
      <c r="W4690">
        <v>0.18670809999999999</v>
      </c>
      <c r="X4690">
        <v>0.9800333</v>
      </c>
      <c r="Y4690">
        <v>3.1659970000000003E-2</v>
      </c>
      <c r="Z4690">
        <v>7.5026019999999995E-4</v>
      </c>
      <c r="AA4690">
        <v>0.99949840000000001</v>
      </c>
      <c r="AB4690">
        <v>35</v>
      </c>
      <c r="AC4690">
        <v>-47.004600000000003</v>
      </c>
      <c r="AD4690">
        <v>-1.1104432359180001</v>
      </c>
      <c r="AE4690">
        <v>0.71999999999999797</v>
      </c>
      <c r="AF4690">
        <v>1.4958933366695</v>
      </c>
      <c r="AG4690">
        <v>-1.1104432359180001</v>
      </c>
      <c r="AH4690">
        <v>46.960078986931698</v>
      </c>
      <c r="AI4690">
        <v>91.353907834083898</v>
      </c>
      <c r="AJ4690">
        <v>88.175484274061304</v>
      </c>
      <c r="AK4690">
        <v>46.997019049230701</v>
      </c>
      <c r="AL4690">
        <v>79.239264709340603</v>
      </c>
      <c r="AM4690">
        <v>93.990760301736799</v>
      </c>
      <c r="AN4690">
        <v>0.99999994269115</v>
      </c>
    </row>
    <row r="4691" spans="1:40" x14ac:dyDescent="0.25">
      <c r="A4691" t="str">
        <f>"20190304155729075"</f>
        <v>20190304155729075</v>
      </c>
      <c r="B4691" t="str">
        <f>"1551686249069005"</f>
        <v>1551686249069005</v>
      </c>
      <c r="C4691" t="s">
        <v>40</v>
      </c>
      <c r="D4691">
        <v>4.9120049999999997</v>
      </c>
      <c r="E4691">
        <v>0.53567339999999997</v>
      </c>
      <c r="F4691" t="s">
        <v>78</v>
      </c>
      <c r="G4691">
        <v>-403.90370000000001</v>
      </c>
      <c r="H4691" s="1">
        <v>-8.2464049999999999E-6</v>
      </c>
      <c r="I4691">
        <v>142.41249999999999</v>
      </c>
      <c r="J4691">
        <v>-357.08390000000003</v>
      </c>
      <c r="K4691">
        <v>1.110419</v>
      </c>
      <c r="L4691">
        <v>141.77160000000001</v>
      </c>
      <c r="M4691">
        <v>-0.99975349999999996</v>
      </c>
      <c r="N4691">
        <v>-1.465261E-2</v>
      </c>
      <c r="O4691">
        <v>-1.6688999999999999E-2</v>
      </c>
      <c r="P4691">
        <v>-0.98136780000000001</v>
      </c>
      <c r="Q4691">
        <v>0.17231359999999901</v>
      </c>
      <c r="R4691">
        <v>-8.5002590000000003E-2</v>
      </c>
      <c r="S4691">
        <v>-3.0731510000000002</v>
      </c>
      <c r="T4691">
        <v>-7.2444079999999994E-2</v>
      </c>
      <c r="U4691">
        <v>4.1488650000000002E-2</v>
      </c>
      <c r="V4691">
        <v>-6.8702360000000004E-2</v>
      </c>
      <c r="W4691">
        <v>0.18665989999999999</v>
      </c>
      <c r="X4691">
        <v>0.98001950000000004</v>
      </c>
      <c r="Y4691">
        <v>3.0172259999999999E-2</v>
      </c>
      <c r="Z4691">
        <v>7.2549649999999904E-4</v>
      </c>
      <c r="AA4691">
        <v>0.9995444</v>
      </c>
      <c r="AB4691">
        <v>35</v>
      </c>
      <c r="AC4691">
        <v>-46.819800000000001</v>
      </c>
      <c r="AD4691">
        <v>-1.110427246405</v>
      </c>
      <c r="AE4691">
        <v>0.64089999999998704</v>
      </c>
      <c r="AF4691">
        <v>1.4214707227513099</v>
      </c>
      <c r="AG4691">
        <v>-1.110427246405</v>
      </c>
      <c r="AH4691">
        <v>46.776274192258803</v>
      </c>
      <c r="AI4691">
        <v>91.359268309249302</v>
      </c>
      <c r="AJ4691">
        <v>88.259390730623906</v>
      </c>
      <c r="AK4691">
        <v>46.8110398837131</v>
      </c>
      <c r="AL4691">
        <v>79.242077240959603</v>
      </c>
      <c r="AM4691">
        <v>94.010048670606494</v>
      </c>
      <c r="AN4691">
        <v>1.0000000764589101</v>
      </c>
    </row>
    <row r="4692" spans="1:40" x14ac:dyDescent="0.25">
      <c r="A4692" t="str">
        <f>"20190304155729091"</f>
        <v>20190304155729091</v>
      </c>
      <c r="B4692" t="str">
        <f>"1551686249079742"</f>
        <v>1551686249079742</v>
      </c>
      <c r="C4692" t="s">
        <v>40</v>
      </c>
      <c r="D4692">
        <v>4.8587579999999999</v>
      </c>
      <c r="E4692">
        <v>0.53540650000000001</v>
      </c>
      <c r="F4692" t="s">
        <v>78</v>
      </c>
      <c r="G4692">
        <v>-402.78230000000002</v>
      </c>
      <c r="H4692" s="1">
        <v>-7.6939549999999998E-6</v>
      </c>
      <c r="I4692">
        <v>142.2783</v>
      </c>
      <c r="J4692">
        <v>-357.327</v>
      </c>
      <c r="K4692">
        <v>1.1104019999999999</v>
      </c>
      <c r="L4692">
        <v>141.76740000000001</v>
      </c>
      <c r="M4692">
        <v>-0.99975130000000001</v>
      </c>
      <c r="N4692">
        <v>-1.465319E-2</v>
      </c>
      <c r="O4692">
        <v>-1.681421E-2</v>
      </c>
      <c r="P4692">
        <v>-0.98135830000000002</v>
      </c>
      <c r="Q4692">
        <v>0.17194200000000001</v>
      </c>
      <c r="R4692">
        <v>-8.5861399999999893E-2</v>
      </c>
      <c r="S4692">
        <v>-3.0729980000000001</v>
      </c>
      <c r="T4692">
        <v>-7.4670909999999993E-2</v>
      </c>
      <c r="U4692">
        <v>3.407288E-2</v>
      </c>
      <c r="V4692">
        <v>-6.943067E-2</v>
      </c>
      <c r="W4692">
        <v>0.1862917</v>
      </c>
      <c r="X4692">
        <v>0.98003819999999997</v>
      </c>
      <c r="Y4692">
        <v>2.7886580000000001E-2</v>
      </c>
      <c r="Z4692">
        <v>7.0524300000000004E-4</v>
      </c>
      <c r="AA4692">
        <v>0.99961080000000002</v>
      </c>
      <c r="AB4692">
        <v>35</v>
      </c>
      <c r="AC4692">
        <v>-45.455300000000001</v>
      </c>
      <c r="AD4692">
        <v>-1.1104096939550001</v>
      </c>
      <c r="AE4692">
        <v>0.51089999999999203</v>
      </c>
      <c r="AF4692">
        <v>1.2744443115186901</v>
      </c>
      <c r="AG4692">
        <v>-1.1104096939550001</v>
      </c>
      <c r="AH4692">
        <v>45.413184149622701</v>
      </c>
      <c r="AI4692">
        <v>91.400124055542705</v>
      </c>
      <c r="AJ4692">
        <v>88.392512622321206</v>
      </c>
      <c r="AK4692">
        <v>45.444631284664801</v>
      </c>
      <c r="AL4692">
        <v>79.263549842721801</v>
      </c>
      <c r="AM4692">
        <v>94.052341023462901</v>
      </c>
      <c r="AN4692">
        <v>1.00000004444238</v>
      </c>
    </row>
    <row r="4693" spans="1:40" x14ac:dyDescent="0.25">
      <c r="A4693" t="str">
        <f>"20190304155729113"</f>
        <v>20190304155729113</v>
      </c>
      <c r="B4693" t="str">
        <f>"1551686249109020"</f>
        <v>1551686249109020</v>
      </c>
      <c r="C4693" t="s">
        <v>40</v>
      </c>
      <c r="D4693">
        <v>4.9029780000000001</v>
      </c>
      <c r="E4693">
        <v>0.53454269999999904</v>
      </c>
      <c r="F4693" t="s">
        <v>78</v>
      </c>
      <c r="G4693">
        <v>-401.78879999999998</v>
      </c>
      <c r="H4693" s="1">
        <v>-7.2182719999999899E-6</v>
      </c>
      <c r="I4693">
        <v>142.19290000000001</v>
      </c>
      <c r="J4693">
        <v>-357.67790000000002</v>
      </c>
      <c r="K4693">
        <v>1.110376</v>
      </c>
      <c r="L4693">
        <v>141.76140000000001</v>
      </c>
      <c r="M4693">
        <v>-0.99974870000000005</v>
      </c>
      <c r="N4693">
        <v>-1.465346E-2</v>
      </c>
      <c r="O4693">
        <v>-1.6967280000000001E-2</v>
      </c>
      <c r="P4693">
        <v>-0.9813442</v>
      </c>
      <c r="Q4693">
        <v>0.1716664</v>
      </c>
      <c r="R4693">
        <v>-8.6570969999999997E-2</v>
      </c>
      <c r="S4693">
        <v>-3.0729980000000001</v>
      </c>
      <c r="T4693">
        <v>-7.6746339999999996E-2</v>
      </c>
      <c r="U4693">
        <v>2.940369E-2</v>
      </c>
      <c r="V4693">
        <v>-6.9978280000000004E-2</v>
      </c>
      <c r="W4693">
        <v>0.1860204</v>
      </c>
      <c r="X4693">
        <v>0.98005070000000005</v>
      </c>
      <c r="Y4693">
        <v>2.6520889999999998E-2</v>
      </c>
      <c r="Z4693">
        <v>7.005278E-4</v>
      </c>
      <c r="AA4693">
        <v>0.99964799999999998</v>
      </c>
      <c r="AB4693">
        <v>35</v>
      </c>
      <c r="AC4693">
        <v>-44.110899999999901</v>
      </c>
      <c r="AD4693">
        <v>-1.1103832182719999</v>
      </c>
      <c r="AE4693">
        <v>0.431499999999999</v>
      </c>
      <c r="AF4693">
        <v>1.17921305579507</v>
      </c>
      <c r="AG4693">
        <v>-1.1103832182719999</v>
      </c>
      <c r="AH4693">
        <v>44.069304367620298</v>
      </c>
      <c r="AI4693">
        <v>91.442819793858504</v>
      </c>
      <c r="AJ4693">
        <v>88.467236687521904</v>
      </c>
      <c r="AK4693">
        <v>44.0990598739739</v>
      </c>
      <c r="AL4693">
        <v>79.279369835959102</v>
      </c>
      <c r="AM4693">
        <v>94.084142785600307</v>
      </c>
      <c r="AN4693">
        <v>0.99999996172920302</v>
      </c>
    </row>
    <row r="4694" spans="1:40" x14ac:dyDescent="0.25">
      <c r="A4694" t="str">
        <f>"20190304155729136"</f>
        <v>20190304155729136</v>
      </c>
      <c r="B4694" t="str">
        <f>"1551686249129516"</f>
        <v>1551686249129516</v>
      </c>
      <c r="C4694" t="s">
        <v>40</v>
      </c>
      <c r="D4694">
        <v>5.0418560000000001</v>
      </c>
      <c r="E4694">
        <v>0.534474</v>
      </c>
      <c r="F4694" t="s">
        <v>78</v>
      </c>
      <c r="G4694">
        <v>-400.42809999999997</v>
      </c>
      <c r="H4694" s="1">
        <v>-6.5565769999999996E-6</v>
      </c>
      <c r="I4694">
        <v>142.05109999999999</v>
      </c>
      <c r="J4694">
        <v>-358.03550000000001</v>
      </c>
      <c r="K4694">
        <v>1.110349</v>
      </c>
      <c r="L4694">
        <v>141.7551</v>
      </c>
      <c r="M4694">
        <v>-0.99974649999999998</v>
      </c>
      <c r="N4694">
        <v>-1.465317E-2</v>
      </c>
      <c r="O4694">
        <v>-1.709569E-2</v>
      </c>
      <c r="P4694">
        <v>-0.981379</v>
      </c>
      <c r="Q4694">
        <v>0.17117889999999999</v>
      </c>
      <c r="R4694">
        <v>-8.7139300000000003E-2</v>
      </c>
      <c r="S4694">
        <v>-3.0728149999999999</v>
      </c>
      <c r="T4694">
        <v>-7.981241E-2</v>
      </c>
      <c r="U4694">
        <v>2.082825E-2</v>
      </c>
      <c r="V4694">
        <v>-7.0408670000000007E-2</v>
      </c>
      <c r="W4694">
        <v>0.1855378</v>
      </c>
      <c r="X4694">
        <v>0.98011139999999997</v>
      </c>
      <c r="Y4694">
        <v>2.3860530000000001E-2</v>
      </c>
      <c r="Z4694">
        <v>6.7813619999999896E-4</v>
      </c>
      <c r="AA4694">
        <v>0.99971509999999997</v>
      </c>
      <c r="AB4694">
        <v>35</v>
      </c>
      <c r="AC4694">
        <v>-42.392599999999902</v>
      </c>
      <c r="AD4694">
        <v>-1.110355556577</v>
      </c>
      <c r="AE4694">
        <v>0.29599999999999199</v>
      </c>
      <c r="AF4694">
        <v>1.0200655202839399</v>
      </c>
      <c r="AG4694">
        <v>-1.110355556577</v>
      </c>
      <c r="AH4694">
        <v>42.352288877116102</v>
      </c>
      <c r="AI4694">
        <v>91.501351806667699</v>
      </c>
      <c r="AJ4694">
        <v>88.620283502222506</v>
      </c>
      <c r="AK4694">
        <v>42.379119814578303</v>
      </c>
      <c r="AL4694">
        <v>79.307511150619803</v>
      </c>
      <c r="AM4694">
        <v>94.108922239582398</v>
      </c>
      <c r="AN4694">
        <v>1.0000000062249801</v>
      </c>
    </row>
    <row r="4695" spans="1:40" x14ac:dyDescent="0.25">
      <c r="A4695" t="str">
        <f>"20190304155729157"</f>
        <v>20190304155729157</v>
      </c>
      <c r="B4695" t="str">
        <f>"1551686249149037"</f>
        <v>1551686249149037</v>
      </c>
      <c r="C4695" t="s">
        <v>40</v>
      </c>
      <c r="D4695">
        <v>4.9566949999999999</v>
      </c>
      <c r="E4695">
        <v>0.53477819999999898</v>
      </c>
      <c r="F4695" t="s">
        <v>41</v>
      </c>
      <c r="G4695">
        <v>-399.5351</v>
      </c>
      <c r="H4695" s="1">
        <v>-8.1930300000000001E-7</v>
      </c>
      <c r="I4695">
        <v>142.01220000000001</v>
      </c>
      <c r="J4695">
        <v>-358.36380000000003</v>
      </c>
      <c r="K4695">
        <v>1.11032999999999</v>
      </c>
      <c r="L4695">
        <v>141.74940000000001</v>
      </c>
      <c r="M4695">
        <v>-0.99974479999999999</v>
      </c>
      <c r="N4695">
        <v>-1.4652439999999999E-2</v>
      </c>
      <c r="O4695">
        <v>-1.7191979999999999E-2</v>
      </c>
      <c r="P4695">
        <v>-0.98145970000000005</v>
      </c>
      <c r="Q4695">
        <v>0.17063510000000001</v>
      </c>
      <c r="R4695">
        <v>-8.7294999999999998E-2</v>
      </c>
      <c r="S4695">
        <v>-3.0729679999999999</v>
      </c>
      <c r="T4695">
        <v>-8.2219360000000005E-2</v>
      </c>
      <c r="U4695">
        <v>1.9042969999999999E-2</v>
      </c>
      <c r="V4695">
        <v>-7.0458969999999996E-2</v>
      </c>
      <c r="W4695">
        <v>0.184998</v>
      </c>
      <c r="X4695">
        <v>0.98020980000000002</v>
      </c>
      <c r="Y4695">
        <v>2.3375190000000001E-2</v>
      </c>
      <c r="Z4695">
        <v>6.9194519999999998E-4</v>
      </c>
      <c r="AA4695">
        <v>0.99972649999999996</v>
      </c>
      <c r="AB4695">
        <v>35</v>
      </c>
      <c r="AC4695">
        <v>-41.171299999999903</v>
      </c>
      <c r="AD4695">
        <v>-1.1103308193029999</v>
      </c>
      <c r="AE4695">
        <v>0.26279999999999798</v>
      </c>
      <c r="AF4695">
        <v>0.96994792146057196</v>
      </c>
      <c r="AG4695">
        <v>-1.1103308193029999</v>
      </c>
      <c r="AH4695">
        <v>41.130781985294398</v>
      </c>
      <c r="AI4695">
        <v>91.545901904375498</v>
      </c>
      <c r="AJ4695">
        <v>88.649098771985393</v>
      </c>
      <c r="AK4695">
        <v>41.157196943189099</v>
      </c>
      <c r="AL4695">
        <v>79.338984090508504</v>
      </c>
      <c r="AM4695">
        <v>94.111436232405893</v>
      </c>
      <c r="AN4695">
        <v>0.99999998923675004</v>
      </c>
    </row>
    <row r="4696" spans="1:40" x14ac:dyDescent="0.25">
      <c r="A4696" t="str">
        <f>"20190304155729174"</f>
        <v>20190304155729174</v>
      </c>
      <c r="B4696" t="str">
        <f>"1551686249169533"</f>
        <v>1551686249169533</v>
      </c>
      <c r="C4696" t="s">
        <v>40</v>
      </c>
      <c r="D4696">
        <v>4.8703859999999999</v>
      </c>
      <c r="E4696">
        <v>0.53506569999999998</v>
      </c>
      <c r="F4696" t="s">
        <v>41</v>
      </c>
      <c r="G4696">
        <v>-398.73500000000001</v>
      </c>
      <c r="H4696" s="1">
        <v>-1.166124E-6</v>
      </c>
      <c r="I4696">
        <v>142.0257</v>
      </c>
      <c r="J4696">
        <v>-358.62740000000002</v>
      </c>
      <c r="K4696">
        <v>1.1103149999999999</v>
      </c>
      <c r="L4696">
        <v>141.7448</v>
      </c>
      <c r="M4696">
        <v>-0.99974390000000002</v>
      </c>
      <c r="N4696">
        <v>-1.4651519999999999E-2</v>
      </c>
      <c r="O4696">
        <v>-1.7256540000000001E-2</v>
      </c>
      <c r="P4696">
        <v>-0.9815045</v>
      </c>
      <c r="Q4696">
        <v>0.1703132</v>
      </c>
      <c r="R4696">
        <v>-8.7422299999999994E-2</v>
      </c>
      <c r="S4696">
        <v>-3.073242</v>
      </c>
      <c r="T4696">
        <v>-8.4523559999999998E-2</v>
      </c>
      <c r="U4696">
        <v>2.1041870000000001E-2</v>
      </c>
      <c r="V4696">
        <v>-7.0514709999999994E-2</v>
      </c>
      <c r="W4696">
        <v>0.18467890000000001</v>
      </c>
      <c r="X4696">
        <v>0.98026599999999997</v>
      </c>
      <c r="Y4696">
        <v>2.408822E-2</v>
      </c>
      <c r="Z4696">
        <v>7.2938379999999995E-4</v>
      </c>
      <c r="AA4696">
        <v>0.99970950000000003</v>
      </c>
      <c r="AB4696">
        <v>35</v>
      </c>
      <c r="AC4696">
        <v>-40.107599999999898</v>
      </c>
      <c r="AD4696">
        <v>-1.110316166124</v>
      </c>
      <c r="AE4696">
        <v>0.28090000000000198</v>
      </c>
      <c r="AF4696">
        <v>0.97230564382029405</v>
      </c>
      <c r="AG4696">
        <v>-1.110316166124</v>
      </c>
      <c r="AH4696">
        <v>40.066074572539797</v>
      </c>
      <c r="AI4696">
        <v>91.586914708912602</v>
      </c>
      <c r="AJ4696">
        <v>88.609844405716601</v>
      </c>
      <c r="AK4696">
        <v>40.093247709634198</v>
      </c>
      <c r="AL4696">
        <v>79.357588126393907</v>
      </c>
      <c r="AM4696">
        <v>94.114442527222295</v>
      </c>
      <c r="AN4696">
        <v>1.00000002559379</v>
      </c>
    </row>
    <row r="4697" spans="1:40" x14ac:dyDescent="0.25">
      <c r="A4697" t="str">
        <f>"20190304155729187"</f>
        <v>20190304155729187</v>
      </c>
      <c r="B4697" t="str">
        <f>"1551686249179293"</f>
        <v>1551686249179293</v>
      </c>
      <c r="C4697" t="s">
        <v>40</v>
      </c>
      <c r="D4697">
        <v>4.9459299999999997</v>
      </c>
      <c r="E4697">
        <v>0.53521450000000004</v>
      </c>
      <c r="F4697" t="s">
        <v>41</v>
      </c>
      <c r="G4697">
        <v>-398.18959999999998</v>
      </c>
      <c r="H4697" s="1">
        <v>-1.403937E-6</v>
      </c>
      <c r="I4697">
        <v>142.0401</v>
      </c>
      <c r="J4697">
        <v>-358.84429999999998</v>
      </c>
      <c r="K4697">
        <v>1.110303</v>
      </c>
      <c r="L4697">
        <v>141.74100000000001</v>
      </c>
      <c r="M4697">
        <v>-0.9997431</v>
      </c>
      <c r="N4697">
        <v>-1.465051E-2</v>
      </c>
      <c r="O4697">
        <v>-1.730187E-2</v>
      </c>
      <c r="P4697">
        <v>-0.98154079999999999</v>
      </c>
      <c r="Q4697">
        <v>0.17017209999999999</v>
      </c>
      <c r="R4697">
        <v>-8.7290240000000005E-2</v>
      </c>
      <c r="S4697">
        <v>-3.0735779999999999</v>
      </c>
      <c r="T4697">
        <v>-8.6260320000000001E-2</v>
      </c>
      <c r="U4697">
        <v>2.2949219999999999E-2</v>
      </c>
      <c r="V4697">
        <v>-7.0332409999999998E-2</v>
      </c>
      <c r="W4697">
        <v>0.1845387</v>
      </c>
      <c r="X4697">
        <v>0.98030550000000005</v>
      </c>
      <c r="Y4697">
        <v>2.4752139999999999E-2</v>
      </c>
      <c r="Z4697">
        <v>7.606383E-4</v>
      </c>
      <c r="AA4697">
        <v>0.99969330000000001</v>
      </c>
      <c r="AB4697">
        <v>35</v>
      </c>
      <c r="AC4697">
        <v>-39.345300000000002</v>
      </c>
      <c r="AD4697">
        <v>-1.110304403937</v>
      </c>
      <c r="AE4697">
        <v>0.29909999999998099</v>
      </c>
      <c r="AF4697">
        <v>0.97909581717961103</v>
      </c>
      <c r="AG4697">
        <v>-1.110304403937</v>
      </c>
      <c r="AH4697">
        <v>39.302936968800502</v>
      </c>
      <c r="AI4697">
        <v>91.617668596152598</v>
      </c>
      <c r="AJ4697">
        <v>88.572970312296405</v>
      </c>
      <c r="AK4697">
        <v>39.330805469277202</v>
      </c>
      <c r="AL4697">
        <v>79.365761487232305</v>
      </c>
      <c r="AM4697">
        <v>94.103677153027405</v>
      </c>
      <c r="AN4697">
        <v>1.00000002651217</v>
      </c>
    </row>
    <row r="4698" spans="1:40" x14ac:dyDescent="0.25">
      <c r="A4698" t="str">
        <f>"20190304155729203"</f>
        <v>20190304155729203</v>
      </c>
      <c r="B4698" t="str">
        <f>"1551686249199789"</f>
        <v>1551686249199789</v>
      </c>
      <c r="C4698" t="s">
        <v>40</v>
      </c>
      <c r="D4698">
        <v>4.9768359999999996</v>
      </c>
      <c r="E4698">
        <v>0.53551919999999897</v>
      </c>
      <c r="F4698" t="s">
        <v>41</v>
      </c>
      <c r="G4698">
        <v>-398.06560000000002</v>
      </c>
      <c r="H4698" s="1">
        <v>-1.460714E-6</v>
      </c>
      <c r="I4698">
        <v>142.05359999999999</v>
      </c>
      <c r="J4698">
        <v>-359.07490000000001</v>
      </c>
      <c r="K4698">
        <v>1.1102959999999999</v>
      </c>
      <c r="L4698">
        <v>141.73699999999999</v>
      </c>
      <c r="M4698">
        <v>-0.99974240000000003</v>
      </c>
      <c r="N4698">
        <v>-1.464936E-2</v>
      </c>
      <c r="O4698">
        <v>-1.7342679999999999E-2</v>
      </c>
      <c r="P4698">
        <v>-0.98167939999999998</v>
      </c>
      <c r="Q4698">
        <v>0.169479399999999</v>
      </c>
      <c r="R4698">
        <v>-8.7078580000000003E-2</v>
      </c>
      <c r="S4698">
        <v>-3.073639</v>
      </c>
      <c r="T4698">
        <v>-8.7010859999999995E-2</v>
      </c>
      <c r="U4698">
        <v>2.4505619999999999E-2</v>
      </c>
      <c r="V4698">
        <v>-7.0073289999999996E-2</v>
      </c>
      <c r="W4698">
        <v>0.18384880000000001</v>
      </c>
      <c r="X4698">
        <v>0.98045369999999998</v>
      </c>
      <c r="Y4698">
        <v>2.5298370000000001E-2</v>
      </c>
      <c r="Z4698">
        <v>7.8016089999999999E-4</v>
      </c>
      <c r="AA4698">
        <v>0.9996796</v>
      </c>
      <c r="AB4698">
        <v>35</v>
      </c>
      <c r="AC4698">
        <v>-38.990699999999997</v>
      </c>
      <c r="AD4698">
        <v>-1.1102974607139999</v>
      </c>
      <c r="AE4698">
        <v>0.316599999999993</v>
      </c>
      <c r="AF4698">
        <v>0.99202373721425996</v>
      </c>
      <c r="AG4698">
        <v>-1.1102974607139999</v>
      </c>
      <c r="AH4698">
        <v>38.947763549126101</v>
      </c>
      <c r="AI4698">
        <v>91.632379367399906</v>
      </c>
      <c r="AJ4698">
        <v>88.540956360776093</v>
      </c>
      <c r="AK4698">
        <v>38.9762127075617</v>
      </c>
      <c r="AL4698">
        <v>79.405978229763704</v>
      </c>
      <c r="AM4698">
        <v>94.087993758948002</v>
      </c>
      <c r="AN4698">
        <v>1.00000005253827</v>
      </c>
    </row>
    <row r="4699" spans="1:40" x14ac:dyDescent="0.25">
      <c r="A4699" t="str">
        <f>"20190304155729225"</f>
        <v>20190304155729225</v>
      </c>
      <c r="B4699" t="str">
        <f>"1551686249219309"</f>
        <v>1551686249219309</v>
      </c>
      <c r="C4699" t="s">
        <v>40</v>
      </c>
      <c r="D4699">
        <v>4.9705539999999999</v>
      </c>
      <c r="E4699">
        <v>0.53578149999999902</v>
      </c>
      <c r="F4699" t="s">
        <v>41</v>
      </c>
      <c r="G4699">
        <v>-397.1617</v>
      </c>
      <c r="H4699" s="1">
        <v>-1.8557939999999999E-6</v>
      </c>
      <c r="I4699">
        <v>142.0812</v>
      </c>
      <c r="J4699">
        <v>-359.41919999999999</v>
      </c>
      <c r="K4699">
        <v>1.110282</v>
      </c>
      <c r="L4699">
        <v>141.73089999999999</v>
      </c>
      <c r="M4699">
        <v>-0.9997414</v>
      </c>
      <c r="N4699">
        <v>-1.464761E-2</v>
      </c>
      <c r="O4699">
        <v>-1.7395230000000001E-2</v>
      </c>
      <c r="P4699">
        <v>-0.98178770000000004</v>
      </c>
      <c r="Q4699">
        <v>0.16905580000000001</v>
      </c>
      <c r="R4699">
        <v>-8.6679290000000006E-2</v>
      </c>
      <c r="S4699">
        <v>-3.073944</v>
      </c>
      <c r="T4699">
        <v>-8.9610819999999994E-2</v>
      </c>
      <c r="U4699">
        <v>2.7786249999999998E-2</v>
      </c>
      <c r="V4699">
        <v>-6.9614640000000005E-2</v>
      </c>
      <c r="W4699">
        <v>0.18342739999999999</v>
      </c>
      <c r="X4699">
        <v>0.98056520000000003</v>
      </c>
      <c r="Y4699">
        <v>2.641524E-2</v>
      </c>
      <c r="Z4699">
        <v>8.3066089999999997E-4</v>
      </c>
      <c r="AA4699">
        <v>0.9996507</v>
      </c>
      <c r="AB4699">
        <v>35</v>
      </c>
      <c r="AC4699">
        <v>-37.7425</v>
      </c>
      <c r="AD4699">
        <v>-1.110283855794</v>
      </c>
      <c r="AE4699">
        <v>0.350300000000004</v>
      </c>
      <c r="AF4699">
        <v>1.0059864063069699</v>
      </c>
      <c r="AG4699">
        <v>-1.110283855794</v>
      </c>
      <c r="AH4699">
        <v>37.698073473123998</v>
      </c>
      <c r="AI4699">
        <v>91.686387941110198</v>
      </c>
      <c r="AJ4699">
        <v>88.471404658553894</v>
      </c>
      <c r="AK4699">
        <v>37.727834319970697</v>
      </c>
      <c r="AL4699">
        <v>79.430539389955499</v>
      </c>
      <c r="AM4699">
        <v>94.060866216721493</v>
      </c>
      <c r="AN4699">
        <v>0.99999996031206395</v>
      </c>
    </row>
    <row r="4700" spans="1:40" x14ac:dyDescent="0.25">
      <c r="A4700" t="str">
        <f>"20190304155729246"</f>
        <v>20190304155729246</v>
      </c>
      <c r="B4700" t="str">
        <f>"1551686249239808"</f>
        <v>1551686249239808</v>
      </c>
      <c r="C4700" t="s">
        <v>40</v>
      </c>
      <c r="D4700">
        <v>4.9530859999999999</v>
      </c>
      <c r="E4700">
        <v>0.536027699999999</v>
      </c>
      <c r="F4700" t="s">
        <v>41</v>
      </c>
      <c r="G4700">
        <v>-396.7303</v>
      </c>
      <c r="H4700" s="1">
        <v>-2.0487369999999999E-6</v>
      </c>
      <c r="I4700">
        <v>142.11070000000001</v>
      </c>
      <c r="J4700">
        <v>-359.755</v>
      </c>
      <c r="K4700">
        <v>1.110271</v>
      </c>
      <c r="L4700">
        <v>141.72499999999999</v>
      </c>
      <c r="M4700">
        <v>-0.99974070000000004</v>
      </c>
      <c r="N4700">
        <v>-1.4645760000000001E-2</v>
      </c>
      <c r="O4700">
        <v>-1.7438149999999999E-2</v>
      </c>
      <c r="P4700">
        <v>-0.98192869999999999</v>
      </c>
      <c r="Q4700">
        <v>0.1684205</v>
      </c>
      <c r="R4700">
        <v>-8.6317420000000006E-2</v>
      </c>
      <c r="S4700">
        <v>-3.0741879999999999</v>
      </c>
      <c r="T4700">
        <v>-9.1480019999999995E-2</v>
      </c>
      <c r="U4700">
        <v>3.1295780000000002E-2</v>
      </c>
      <c r="V4700">
        <v>-6.9203039999999993E-2</v>
      </c>
      <c r="W4700">
        <v>0.18279500000000001</v>
      </c>
      <c r="X4700">
        <v>0.98071249999999999</v>
      </c>
      <c r="Y4700">
        <v>2.7597E-2</v>
      </c>
      <c r="Z4700">
        <v>8.7608039999999905E-4</v>
      </c>
      <c r="AA4700">
        <v>0.99961880000000003</v>
      </c>
      <c r="AB4700">
        <v>35</v>
      </c>
      <c r="AC4700">
        <v>-36.975299999999997</v>
      </c>
      <c r="AD4700">
        <v>-1.1102730487369901</v>
      </c>
      <c r="AE4700">
        <v>0.38570000000001398</v>
      </c>
      <c r="AF4700">
        <v>1.0295631120639499</v>
      </c>
      <c r="AG4700">
        <v>-1.1102730487369901</v>
      </c>
      <c r="AH4700">
        <v>36.929655995171103</v>
      </c>
      <c r="AI4700">
        <v>91.721383996678298</v>
      </c>
      <c r="AJ4700">
        <v>88.4030626997002</v>
      </c>
      <c r="AK4700">
        <v>36.960684495368199</v>
      </c>
      <c r="AL4700">
        <v>79.467397265189504</v>
      </c>
      <c r="AM4700">
        <v>94.036331431574993</v>
      </c>
      <c r="AN4700">
        <v>1.0000000402132401</v>
      </c>
    </row>
    <row r="4701" spans="1:40" x14ac:dyDescent="0.25">
      <c r="A4701" t="str">
        <f>"20190304155729262"</f>
        <v>20190304155729262</v>
      </c>
      <c r="B4701" t="str">
        <f>"1551686249259326"</f>
        <v>1551686249259326</v>
      </c>
      <c r="C4701" t="s">
        <v>40</v>
      </c>
      <c r="D4701">
        <v>4.9620739999999897</v>
      </c>
      <c r="E4701">
        <v>0.53625219999999996</v>
      </c>
      <c r="F4701" t="s">
        <v>41</v>
      </c>
      <c r="G4701">
        <v>-395.95049999999998</v>
      </c>
      <c r="H4701" s="1">
        <v>-2.3882770000000001E-6</v>
      </c>
      <c r="I4701">
        <v>142.12950000000001</v>
      </c>
      <c r="J4701">
        <v>-359.99880000000002</v>
      </c>
      <c r="K4701">
        <v>1.1102639999999999</v>
      </c>
      <c r="L4701">
        <v>141.72069999999999</v>
      </c>
      <c r="M4701">
        <v>-0.99974019999999997</v>
      </c>
      <c r="N4701">
        <v>-1.4644249999999999E-2</v>
      </c>
      <c r="O4701">
        <v>-1.7464469999999999E-2</v>
      </c>
      <c r="P4701">
        <v>-0.98197159999999994</v>
      </c>
      <c r="Q4701">
        <v>0.16818029999999901</v>
      </c>
      <c r="R4701">
        <v>-8.6298479999999997E-2</v>
      </c>
      <c r="S4701">
        <v>-3.0744020000000001</v>
      </c>
      <c r="T4701">
        <v>-9.4305280000000005E-2</v>
      </c>
      <c r="U4701">
        <v>3.4362789999999997E-2</v>
      </c>
      <c r="V4701">
        <v>-6.9153790000000007E-2</v>
      </c>
      <c r="W4701">
        <v>0.182555</v>
      </c>
      <c r="X4701">
        <v>0.98076059999999998</v>
      </c>
      <c r="Y4701">
        <v>2.8617790000000001E-2</v>
      </c>
      <c r="Z4701">
        <v>9.2826219999999997E-4</v>
      </c>
      <c r="AA4701">
        <v>0.99958999999999998</v>
      </c>
      <c r="AB4701">
        <v>35</v>
      </c>
      <c r="AC4701">
        <v>-35.951699999999903</v>
      </c>
      <c r="AD4701">
        <v>-1.1102663882770001</v>
      </c>
      <c r="AE4701">
        <v>0.40880000000001299</v>
      </c>
      <c r="AF4701">
        <v>1.0356947599559201</v>
      </c>
      <c r="AG4701">
        <v>-1.1102663882770001</v>
      </c>
      <c r="AH4701">
        <v>35.9048370799525</v>
      </c>
      <c r="AI4701">
        <v>91.770426929728202</v>
      </c>
      <c r="AJ4701">
        <v>88.347729912587695</v>
      </c>
      <c r="AK4701">
        <v>35.936926424315502</v>
      </c>
      <c r="AL4701">
        <v>79.481382790394306</v>
      </c>
      <c r="AM4701">
        <v>94.033271201312203</v>
      </c>
      <c r="AN4701">
        <v>0.99999996460436102</v>
      </c>
    </row>
    <row r="4702" spans="1:40" x14ac:dyDescent="0.25">
      <c r="A4702" t="str">
        <f>"20190304155729280"</f>
        <v>20190304155729280</v>
      </c>
      <c r="B4702" t="str">
        <f>"1551686249269085"</f>
        <v>1551686249269085</v>
      </c>
      <c r="C4702" t="s">
        <v>40</v>
      </c>
      <c r="D4702">
        <v>4.9222250000000001</v>
      </c>
      <c r="E4702">
        <v>0.53633920000000002</v>
      </c>
      <c r="F4702" t="s">
        <v>41</v>
      </c>
      <c r="G4702">
        <v>-395.69029999999998</v>
      </c>
      <c r="H4702" s="1">
        <v>-2.5033869999999999E-6</v>
      </c>
      <c r="I4702">
        <v>142.14259999999999</v>
      </c>
      <c r="J4702">
        <v>-360.28550000000001</v>
      </c>
      <c r="K4702">
        <v>1.110255</v>
      </c>
      <c r="L4702">
        <v>141.7157</v>
      </c>
      <c r="M4702">
        <v>-0.99973990000000001</v>
      </c>
      <c r="N4702">
        <v>-1.464235E-2</v>
      </c>
      <c r="O4702">
        <v>-1.7491130000000001E-2</v>
      </c>
      <c r="P4702">
        <v>-0.9820702</v>
      </c>
      <c r="Q4702">
        <v>0.1676531</v>
      </c>
      <c r="R4702">
        <v>-8.6202390000000004E-2</v>
      </c>
      <c r="S4702">
        <v>-3.074646</v>
      </c>
      <c r="T4702">
        <v>-9.5644240000000005E-2</v>
      </c>
      <c r="U4702">
        <v>3.6346440000000001E-2</v>
      </c>
      <c r="V4702">
        <v>-6.9025959999999997E-2</v>
      </c>
      <c r="W4702">
        <v>0.18202850000000001</v>
      </c>
      <c r="X4702">
        <v>0.9808675</v>
      </c>
      <c r="Y4702">
        <v>2.9287290000000001E-2</v>
      </c>
      <c r="Z4702">
        <v>9.577721E-4</v>
      </c>
      <c r="AA4702">
        <v>0.99957050000000003</v>
      </c>
      <c r="AB4702">
        <v>35</v>
      </c>
      <c r="AC4702">
        <v>-35.404799999999902</v>
      </c>
      <c r="AD4702">
        <v>-1.1102575033869999</v>
      </c>
      <c r="AE4702">
        <v>0.42689999999998901</v>
      </c>
      <c r="AF4702">
        <v>1.04514334198892</v>
      </c>
      <c r="AG4702">
        <v>-1.1102575033869999</v>
      </c>
      <c r="AH4702">
        <v>35.3571501945001</v>
      </c>
      <c r="AI4702">
        <v>91.797781405095407</v>
      </c>
      <c r="AJ4702">
        <v>88.306852498919397</v>
      </c>
      <c r="AK4702">
        <v>35.390013650824898</v>
      </c>
      <c r="AL4702">
        <v>79.512063515152704</v>
      </c>
      <c r="AM4702">
        <v>94.025402967663396</v>
      </c>
      <c r="AN4702">
        <v>1.0000000052612099</v>
      </c>
    </row>
    <row r="4703" spans="1:40" x14ac:dyDescent="0.25">
      <c r="A4703" t="str">
        <f>"20190304155729297"</f>
        <v>20190304155729297</v>
      </c>
      <c r="B4703" t="str">
        <f>"1551686249289581"</f>
        <v>1551686249289581</v>
      </c>
      <c r="C4703" t="s">
        <v>40</v>
      </c>
      <c r="D4703">
        <v>4.9401799999999998</v>
      </c>
      <c r="E4703">
        <v>0.53653499999999998</v>
      </c>
      <c r="F4703" t="s">
        <v>41</v>
      </c>
      <c r="G4703">
        <v>-395.30040000000002</v>
      </c>
      <c r="H4703" s="1">
        <v>-2.6711149999999999E-6</v>
      </c>
      <c r="I4703">
        <v>142.14429999999999</v>
      </c>
      <c r="J4703">
        <v>-360.54180000000002</v>
      </c>
      <c r="K4703">
        <v>1.11025</v>
      </c>
      <c r="L4703">
        <v>141.71119999999999</v>
      </c>
      <c r="M4703">
        <v>-0.99973959999999995</v>
      </c>
      <c r="N4703">
        <v>-1.4640530000000001E-2</v>
      </c>
      <c r="O4703">
        <v>-1.7510410000000001E-2</v>
      </c>
      <c r="P4703">
        <v>-0.98209400000000002</v>
      </c>
      <c r="Q4703">
        <v>0.1674206</v>
      </c>
      <c r="R4703">
        <v>-8.6379620000000004E-2</v>
      </c>
      <c r="S4703">
        <v>-3.0747070000000001</v>
      </c>
      <c r="T4703">
        <v>-9.7493529999999995E-2</v>
      </c>
      <c r="U4703">
        <v>3.7643429999999999E-2</v>
      </c>
      <c r="V4703">
        <v>-6.9180999999999895E-2</v>
      </c>
      <c r="W4703">
        <v>0.18179600000000001</v>
      </c>
      <c r="X4703">
        <v>0.98089970000000004</v>
      </c>
      <c r="Y4703">
        <v>2.9726720000000002E-2</v>
      </c>
      <c r="Z4703">
        <v>9.8758549999999998E-4</v>
      </c>
      <c r="AA4703">
        <v>0.99955760000000005</v>
      </c>
      <c r="AB4703">
        <v>35</v>
      </c>
      <c r="AC4703">
        <v>-34.758600000000001</v>
      </c>
      <c r="AD4703">
        <v>-1.110252671115</v>
      </c>
      <c r="AE4703">
        <v>0.43309999999999599</v>
      </c>
      <c r="AF4703">
        <v>1.0406744769735601</v>
      </c>
      <c r="AG4703">
        <v>-1.110252671115</v>
      </c>
      <c r="AH4703">
        <v>34.7102764535381</v>
      </c>
      <c r="AI4703">
        <v>91.831231987402901</v>
      </c>
      <c r="AJ4703">
        <v>88.282687290617105</v>
      </c>
      <c r="AK4703">
        <v>34.743617483529</v>
      </c>
      <c r="AL4703">
        <v>79.525610862578205</v>
      </c>
      <c r="AM4703">
        <v>94.034282648042804</v>
      </c>
      <c r="AN4703">
        <v>1.0000000089185399</v>
      </c>
    </row>
    <row r="4704" spans="1:40" x14ac:dyDescent="0.25">
      <c r="A4704" t="str">
        <f>"20190304155729312"</f>
        <v>20190304155729312</v>
      </c>
      <c r="B4704" t="str">
        <f>"1551686249309101"</f>
        <v>1551686249309101</v>
      </c>
      <c r="C4704" t="s">
        <v>40</v>
      </c>
      <c r="D4704">
        <v>4.9853139999999998</v>
      </c>
      <c r="E4704">
        <v>0.53675299999999904</v>
      </c>
      <c r="F4704" t="s">
        <v>41</v>
      </c>
      <c r="G4704">
        <v>-395.10500000000002</v>
      </c>
      <c r="H4704" s="1">
        <v>-2.7550829999999998E-6</v>
      </c>
      <c r="I4704">
        <v>142.14490000000001</v>
      </c>
      <c r="J4704">
        <v>-360.77019999999999</v>
      </c>
      <c r="K4704">
        <v>1.1102449999999999</v>
      </c>
      <c r="L4704">
        <v>141.7072</v>
      </c>
      <c r="M4704">
        <v>-0.99973920000000005</v>
      </c>
      <c r="N4704">
        <v>-1.463883E-2</v>
      </c>
      <c r="O4704">
        <v>-1.752387E-2</v>
      </c>
      <c r="P4704">
        <v>-0.9821069</v>
      </c>
      <c r="Q4704">
        <v>0.16740099999999999</v>
      </c>
      <c r="R4704">
        <v>-8.6274580000000003E-2</v>
      </c>
      <c r="S4704">
        <v>-3.074951</v>
      </c>
      <c r="T4704">
        <v>-9.877503E-2</v>
      </c>
      <c r="U4704">
        <v>3.8589480000000002E-2</v>
      </c>
      <c r="V4704">
        <v>-6.9058690000000006E-2</v>
      </c>
      <c r="W4704">
        <v>0.1817762</v>
      </c>
      <c r="X4704">
        <v>0.98091200000000001</v>
      </c>
      <c r="Y4704">
        <v>3.0045840000000001E-2</v>
      </c>
      <c r="Z4704">
        <v>1.008688E-3</v>
      </c>
      <c r="AA4704">
        <v>0.99954799999999999</v>
      </c>
      <c r="AB4704">
        <v>35</v>
      </c>
      <c r="AC4704">
        <v>-34.334800000000001</v>
      </c>
      <c r="AD4704">
        <v>-1.1102477550830001</v>
      </c>
      <c r="AE4704">
        <v>0.43770000000000597</v>
      </c>
      <c r="AF4704">
        <v>1.0382903974625499</v>
      </c>
      <c r="AG4704">
        <v>-1.1102477550830001</v>
      </c>
      <c r="AH4704">
        <v>34.2860115183733</v>
      </c>
      <c r="AI4704">
        <v>91.853851444765496</v>
      </c>
      <c r="AJ4704">
        <v>88.265430138890196</v>
      </c>
      <c r="AK4704">
        <v>34.319692348055199</v>
      </c>
      <c r="AL4704">
        <v>79.526764665714197</v>
      </c>
      <c r="AM4704">
        <v>94.027123310120203</v>
      </c>
      <c r="AN4704">
        <v>1.00000002064747</v>
      </c>
    </row>
    <row r="4705" spans="1:40" x14ac:dyDescent="0.25">
      <c r="A4705" t="str">
        <f>"20190304155729327"</f>
        <v>20190304155729327</v>
      </c>
      <c r="B4705" t="str">
        <f>"1551686249319837"</f>
        <v>1551686249319837</v>
      </c>
      <c r="C4705" t="s">
        <v>40</v>
      </c>
      <c r="D4705">
        <v>4.9731860000000001</v>
      </c>
      <c r="E4705">
        <v>0.53684960000000004</v>
      </c>
      <c r="F4705" t="s">
        <v>41</v>
      </c>
      <c r="G4705">
        <v>-395.08150000000001</v>
      </c>
      <c r="H4705" s="1">
        <v>-2.7697369999999999E-6</v>
      </c>
      <c r="I4705">
        <v>142.16200000000001</v>
      </c>
      <c r="J4705">
        <v>-361.0154</v>
      </c>
      <c r="K4705">
        <v>1.110239</v>
      </c>
      <c r="L4705">
        <v>141.7029</v>
      </c>
      <c r="M4705">
        <v>-0.99973920000000005</v>
      </c>
      <c r="N4705">
        <v>-1.4636929999999999E-2</v>
      </c>
      <c r="O4705">
        <v>-1.75347E-2</v>
      </c>
      <c r="P4705">
        <v>-0.98207619999999896</v>
      </c>
      <c r="Q4705">
        <v>0.1674321</v>
      </c>
      <c r="R4705">
        <v>-8.6562849999999997E-2</v>
      </c>
      <c r="S4705">
        <v>-3.0751650000000001</v>
      </c>
      <c r="T4705">
        <v>-9.9506739999999996E-2</v>
      </c>
      <c r="U4705">
        <v>4.0771479999999999E-2</v>
      </c>
      <c r="V4705">
        <v>-6.9333809999999996E-2</v>
      </c>
      <c r="W4705">
        <v>0.1818063</v>
      </c>
      <c r="X4705">
        <v>0.98088699999999995</v>
      </c>
      <c r="Y4705">
        <v>3.0764E-2</v>
      </c>
      <c r="Z4705">
        <v>1.033424E-3</v>
      </c>
      <c r="AA4705">
        <v>0.99952609999999997</v>
      </c>
      <c r="AB4705">
        <v>35</v>
      </c>
      <c r="AC4705">
        <v>-34.066099999999999</v>
      </c>
      <c r="AD4705">
        <v>-1.110241769737</v>
      </c>
      <c r="AE4705">
        <v>0.459100000000006</v>
      </c>
      <c r="AF4705">
        <v>1.0553114826972201</v>
      </c>
      <c r="AG4705">
        <v>-1.110241769737</v>
      </c>
      <c r="AH4705">
        <v>34.016685723761299</v>
      </c>
      <c r="AI4705">
        <v>91.868466490133898</v>
      </c>
      <c r="AJ4705">
        <v>88.223063010688506</v>
      </c>
      <c r="AK4705">
        <v>34.051156026512899</v>
      </c>
      <c r="AL4705">
        <v>79.525010698152997</v>
      </c>
      <c r="AM4705">
        <v>94.043216401196005</v>
      </c>
      <c r="AN4705">
        <v>1.0000000073488999</v>
      </c>
    </row>
    <row r="4706" spans="1:40" x14ac:dyDescent="0.25">
      <c r="A4706" t="str">
        <f>"20190304155729348"</f>
        <v>20190304155729348</v>
      </c>
      <c r="B4706" t="str">
        <f>"1551686249339356"</f>
        <v>1551686249339356</v>
      </c>
      <c r="C4706" t="s">
        <v>40</v>
      </c>
      <c r="D4706">
        <v>5.0082940000000002</v>
      </c>
      <c r="E4706">
        <v>0.53703449999999997</v>
      </c>
      <c r="F4706" t="s">
        <v>41</v>
      </c>
      <c r="G4706">
        <v>-395.30549999999999</v>
      </c>
      <c r="H4706" s="1">
        <v>-2.6720399999999998E-6</v>
      </c>
      <c r="I4706">
        <v>142.15600000000001</v>
      </c>
      <c r="J4706">
        <v>-361.3236</v>
      </c>
      <c r="K4706">
        <v>1.1102289999999999</v>
      </c>
      <c r="L4706">
        <v>141.69739999999999</v>
      </c>
      <c r="M4706">
        <v>-0.99973909999999999</v>
      </c>
      <c r="N4706">
        <v>-1.463446E-2</v>
      </c>
      <c r="O4706">
        <v>-1.7543599999999999E-2</v>
      </c>
      <c r="P4706">
        <v>-0.98197690000000004</v>
      </c>
      <c r="Q4706">
        <v>0.16771739999999999</v>
      </c>
      <c r="R4706">
        <v>-8.7135560000000001E-2</v>
      </c>
      <c r="S4706">
        <v>-3.0752869999999999</v>
      </c>
      <c r="T4706">
        <v>-9.9571590000000001E-2</v>
      </c>
      <c r="U4706">
        <v>4.0649409999999997E-2</v>
      </c>
      <c r="V4706">
        <v>-6.9896490000000006E-2</v>
      </c>
      <c r="W4706">
        <v>0.182089</v>
      </c>
      <c r="X4706">
        <v>0.98079459999999996</v>
      </c>
      <c r="Y4706">
        <v>3.0732700000000002E-2</v>
      </c>
      <c r="Z4706">
        <v>1.0335030000000001E-3</v>
      </c>
      <c r="AA4706">
        <v>0.9995271</v>
      </c>
      <c r="AB4706">
        <v>35</v>
      </c>
      <c r="AC4706">
        <v>-33.981900000000003</v>
      </c>
      <c r="AD4706">
        <v>-1.1102316720400001</v>
      </c>
      <c r="AE4706">
        <v>0.45860000000001799</v>
      </c>
      <c r="AF4706">
        <v>1.0536335970950099</v>
      </c>
      <c r="AG4706">
        <v>-1.1102316720400001</v>
      </c>
      <c r="AH4706">
        <v>33.932409432216701</v>
      </c>
      <c r="AI4706">
        <v>91.873085182866603</v>
      </c>
      <c r="AJ4706">
        <v>88.2214829790517</v>
      </c>
      <c r="AK4706">
        <v>33.966912841736402</v>
      </c>
      <c r="AL4706">
        <v>79.508537992632697</v>
      </c>
      <c r="AM4706">
        <v>94.076301756672095</v>
      </c>
      <c r="AN4706">
        <v>0.99999998531223899</v>
      </c>
    </row>
    <row r="4707" spans="1:40" x14ac:dyDescent="0.25">
      <c r="A4707" t="str">
        <f>"20190304155729370"</f>
        <v>20190304155729370</v>
      </c>
      <c r="B4707" t="str">
        <f>"1551686249359853"</f>
        <v>1551686249359853</v>
      </c>
      <c r="C4707" t="s">
        <v>40</v>
      </c>
      <c r="D4707">
        <v>4.9827640000000004</v>
      </c>
      <c r="E4707">
        <v>0.53723859999999901</v>
      </c>
      <c r="F4707" t="s">
        <v>41</v>
      </c>
      <c r="G4707">
        <v>-395.79629999999997</v>
      </c>
      <c r="H4707" s="1">
        <v>-2.4599669999999999E-6</v>
      </c>
      <c r="I4707">
        <v>142.15039999999999</v>
      </c>
      <c r="J4707">
        <v>-361.66140000000001</v>
      </c>
      <c r="K4707">
        <v>1.1102179999999999</v>
      </c>
      <c r="L4707">
        <v>141.69149999999999</v>
      </c>
      <c r="M4707">
        <v>-0.99973889999999999</v>
      </c>
      <c r="N4707">
        <v>-1.4631470000000001E-2</v>
      </c>
      <c r="O4707">
        <v>-1.754942E-2</v>
      </c>
      <c r="P4707">
        <v>-0.98190089999999997</v>
      </c>
      <c r="Q4707">
        <v>0.16787550000000001</v>
      </c>
      <c r="R4707">
        <v>-8.7685760000000001E-2</v>
      </c>
      <c r="S4707">
        <v>-3.0755309999999998</v>
      </c>
      <c r="T4707">
        <v>-9.9050879999999994E-2</v>
      </c>
      <c r="U4707">
        <v>4.0420530000000003E-2</v>
      </c>
      <c r="V4707">
        <v>-7.0438799999999996E-2</v>
      </c>
      <c r="W4707">
        <v>0.18224470000000001</v>
      </c>
      <c r="X4707">
        <v>0.98072689999999996</v>
      </c>
      <c r="Y4707">
        <v>3.0663409999999999E-2</v>
      </c>
      <c r="Z4707">
        <v>1.0263360000000001E-3</v>
      </c>
      <c r="AA4707">
        <v>0.99952920000000001</v>
      </c>
      <c r="AB4707">
        <v>35</v>
      </c>
      <c r="AC4707">
        <v>-34.134899999999902</v>
      </c>
      <c r="AD4707">
        <v>-1.110220459967</v>
      </c>
      <c r="AE4707">
        <v>0.45889999999999898</v>
      </c>
      <c r="AF4707">
        <v>1.0568234117687401</v>
      </c>
      <c r="AG4707">
        <v>-1.110220459967</v>
      </c>
      <c r="AH4707">
        <v>34.085537079532898</v>
      </c>
      <c r="AI4707">
        <v>91.864660225076506</v>
      </c>
      <c r="AJ4707">
        <v>88.224111028371993</v>
      </c>
      <c r="AK4707">
        <v>34.119983927217802</v>
      </c>
      <c r="AL4707">
        <v>79.499465427212002</v>
      </c>
      <c r="AM4707">
        <v>94.108103539126404</v>
      </c>
      <c r="AN4707">
        <v>1.0000000038035699</v>
      </c>
    </row>
    <row r="4708" spans="1:40" x14ac:dyDescent="0.25">
      <c r="A4708" t="str">
        <f>"20190304155729386"</f>
        <v>20190304155729386</v>
      </c>
      <c r="B4708" t="str">
        <f>"1551686249379374"</f>
        <v>1551686249379374</v>
      </c>
      <c r="C4708" t="s">
        <v>40</v>
      </c>
      <c r="D4708">
        <v>4.9838459999999998</v>
      </c>
      <c r="E4708">
        <v>0.53744959999999997</v>
      </c>
      <c r="F4708" t="s">
        <v>41</v>
      </c>
      <c r="G4708">
        <v>-396.16309999999999</v>
      </c>
      <c r="H4708" s="1">
        <v>-2.30106E-6</v>
      </c>
      <c r="I4708">
        <v>142.14439999999999</v>
      </c>
      <c r="J4708">
        <v>-361.91269999999997</v>
      </c>
      <c r="K4708">
        <v>1.110215</v>
      </c>
      <c r="L4708">
        <v>141.68700000000001</v>
      </c>
      <c r="M4708">
        <v>-0.99973900000000004</v>
      </c>
      <c r="N4708">
        <v>-1.4629140000000001E-2</v>
      </c>
      <c r="O4708">
        <v>-1.7551009999999999E-2</v>
      </c>
      <c r="P4708">
        <v>-0.98181750000000001</v>
      </c>
      <c r="Q4708">
        <v>0.168128</v>
      </c>
      <c r="R4708">
        <v>-8.8133779999999995E-2</v>
      </c>
      <c r="S4708">
        <v>-3.0758359999999998</v>
      </c>
      <c r="T4708">
        <v>-9.8976729999999999E-2</v>
      </c>
      <c r="U4708">
        <v>4.0390009999999997E-2</v>
      </c>
      <c r="V4708">
        <v>-7.0885799999999999E-2</v>
      </c>
      <c r="W4708">
        <v>0.18249409999999999</v>
      </c>
      <c r="X4708">
        <v>0.98064830000000003</v>
      </c>
      <c r="Y4708">
        <v>3.0653840000000002E-2</v>
      </c>
      <c r="Z4708">
        <v>1.0252480000000001E-3</v>
      </c>
      <c r="AA4708">
        <v>0.99952949999999996</v>
      </c>
      <c r="AB4708">
        <v>35</v>
      </c>
      <c r="AC4708">
        <v>-34.250399999999999</v>
      </c>
      <c r="AD4708">
        <v>-1.1102173010600001</v>
      </c>
      <c r="AE4708">
        <v>0.45739999999997799</v>
      </c>
      <c r="AF4708">
        <v>1.0574121033572901</v>
      </c>
      <c r="AG4708">
        <v>-1.1102173010600001</v>
      </c>
      <c r="AH4708">
        <v>34.201165313511503</v>
      </c>
      <c r="AI4708">
        <v>91.858360307255495</v>
      </c>
      <c r="AJ4708">
        <v>88.229125908111101</v>
      </c>
      <c r="AK4708">
        <v>34.235513894405599</v>
      </c>
      <c r="AL4708">
        <v>79.484931998817103</v>
      </c>
      <c r="AM4708">
        <v>94.134413392909707</v>
      </c>
      <c r="AN4708">
        <v>0.99999999073467005</v>
      </c>
    </row>
    <row r="4709" spans="1:40" x14ac:dyDescent="0.25">
      <c r="A4709" t="str">
        <f>"20190304155729400"</f>
        <v>20190304155729400</v>
      </c>
      <c r="B4709" t="str">
        <f>"1551686249389134"</f>
        <v>1551686249389134</v>
      </c>
      <c r="C4709" t="s">
        <v>40</v>
      </c>
      <c r="D4709">
        <v>4.9435729999999998</v>
      </c>
      <c r="E4709">
        <v>0.53753580000000001</v>
      </c>
      <c r="F4709" t="s">
        <v>41</v>
      </c>
      <c r="G4709">
        <v>-396.53719999999998</v>
      </c>
      <c r="H4709" s="1">
        <v>-2.140174E-6</v>
      </c>
      <c r="I4709">
        <v>142.1429</v>
      </c>
      <c r="J4709">
        <v>-362.12220000000002</v>
      </c>
      <c r="K4709">
        <v>1.110212</v>
      </c>
      <c r="L4709">
        <v>141.68340000000001</v>
      </c>
      <c r="M4709">
        <v>-0.99973920000000005</v>
      </c>
      <c r="N4709">
        <v>-1.46272E-2</v>
      </c>
      <c r="O4709">
        <v>-1.755143E-2</v>
      </c>
      <c r="P4709">
        <v>-0.98175219999999996</v>
      </c>
      <c r="Q4709">
        <v>0.16831670000000001</v>
      </c>
      <c r="R4709">
        <v>-8.8502419999999998E-2</v>
      </c>
      <c r="S4709">
        <v>-3.0761409999999998</v>
      </c>
      <c r="T4709">
        <v>-9.863508E-2</v>
      </c>
      <c r="U4709">
        <v>4.0512079999999999E-2</v>
      </c>
      <c r="V4709">
        <v>-7.1253620000000004E-2</v>
      </c>
      <c r="W4709">
        <v>0.18268019999999999</v>
      </c>
      <c r="X4709">
        <v>0.98058699999999999</v>
      </c>
      <c r="Y4709">
        <v>3.0692759999999999E-2</v>
      </c>
      <c r="Z4709">
        <v>1.0224139999999999E-3</v>
      </c>
      <c r="AA4709">
        <v>0.99952830000000004</v>
      </c>
      <c r="AB4709">
        <v>35</v>
      </c>
      <c r="AC4709">
        <v>-34.4149999999999</v>
      </c>
      <c r="AD4709">
        <v>-1.110214140174</v>
      </c>
      <c r="AE4709">
        <v>0.45949999999999103</v>
      </c>
      <c r="AF4709">
        <v>1.0624207074804499</v>
      </c>
      <c r="AG4709">
        <v>-1.110214140174</v>
      </c>
      <c r="AH4709">
        <v>34.365874334229602</v>
      </c>
      <c r="AI4709">
        <v>91.849454621740506</v>
      </c>
      <c r="AJ4709">
        <v>88.229265447416196</v>
      </c>
      <c r="AK4709">
        <v>34.400212673074897</v>
      </c>
      <c r="AL4709">
        <v>79.474087035373898</v>
      </c>
      <c r="AM4709">
        <v>94.156050402810607</v>
      </c>
      <c r="AN4709">
        <v>0.99999999920207205</v>
      </c>
    </row>
    <row r="4710" spans="1:40" x14ac:dyDescent="0.25">
      <c r="A4710" t="str">
        <f>"20190304155729414"</f>
        <v>20190304155729414</v>
      </c>
      <c r="B4710" t="str">
        <f>"1551686249409629"</f>
        <v>1551686249409629</v>
      </c>
      <c r="C4710" t="s">
        <v>40</v>
      </c>
      <c r="D4710">
        <v>4.9585150000000002</v>
      </c>
      <c r="E4710">
        <v>0.53770869999999904</v>
      </c>
      <c r="F4710" t="s">
        <v>41</v>
      </c>
      <c r="G4710">
        <v>-396.96269999999998</v>
      </c>
      <c r="H4710" s="1">
        <v>-1.956807E-6</v>
      </c>
      <c r="I4710">
        <v>142.13990000000001</v>
      </c>
      <c r="J4710">
        <v>-362.34780000000001</v>
      </c>
      <c r="K4710">
        <v>1.110212</v>
      </c>
      <c r="L4710">
        <v>141.67939999999999</v>
      </c>
      <c r="M4710">
        <v>-0.99973909999999999</v>
      </c>
      <c r="N4710">
        <v>-1.46251E-2</v>
      </c>
      <c r="O4710">
        <v>-1.755114E-2</v>
      </c>
      <c r="P4710">
        <v>-0.98162289999999996</v>
      </c>
      <c r="Q4710">
        <v>0.16877729999999999</v>
      </c>
      <c r="R4710">
        <v>-8.9056490000000002E-2</v>
      </c>
      <c r="S4710">
        <v>-3.0762019999999999</v>
      </c>
      <c r="T4710">
        <v>-9.8025080000000001E-2</v>
      </c>
      <c r="U4710">
        <v>4.0313719999999997E-2</v>
      </c>
      <c r="V4710">
        <v>-7.1808960000000005E-2</v>
      </c>
      <c r="W4710">
        <v>0.1831373</v>
      </c>
      <c r="X4710">
        <v>0.98046120000000003</v>
      </c>
      <c r="Y4710">
        <v>3.0628099999999998E-2</v>
      </c>
      <c r="Z4710">
        <v>1.0143699999999999E-3</v>
      </c>
      <c r="AA4710">
        <v>0.99953029999999998</v>
      </c>
      <c r="AB4710">
        <v>34</v>
      </c>
      <c r="AC4710">
        <v>-34.614899999999899</v>
      </c>
      <c r="AD4710">
        <v>-1.110213956807</v>
      </c>
      <c r="AE4710">
        <v>0.460500000000024</v>
      </c>
      <c r="AF4710">
        <v>1.06692758014054</v>
      </c>
      <c r="AG4710">
        <v>-1.110213956807</v>
      </c>
      <c r="AH4710">
        <v>34.565932298918398</v>
      </c>
      <c r="AI4710">
        <v>91.838760313481799</v>
      </c>
      <c r="AJ4710">
        <v>88.232044077676903</v>
      </c>
      <c r="AK4710">
        <v>34.600210767921098</v>
      </c>
      <c r="AL4710">
        <v>79.447447532534696</v>
      </c>
      <c r="AM4710">
        <v>94.188862687511701</v>
      </c>
      <c r="AN4710">
        <v>0.999999981046505</v>
      </c>
    </row>
    <row r="4711" spans="1:40" x14ac:dyDescent="0.25">
      <c r="A4711" t="str">
        <f>"20190304155729432"</f>
        <v>20190304155729432</v>
      </c>
      <c r="B4711" t="str">
        <f>"1551686249419389"</f>
        <v>1551686249419389</v>
      </c>
      <c r="C4711" t="s">
        <v>40</v>
      </c>
      <c r="D4711">
        <v>4.9752559999999999</v>
      </c>
      <c r="E4711">
        <v>0.53782759999999996</v>
      </c>
      <c r="F4711" t="s">
        <v>41</v>
      </c>
      <c r="G4711">
        <v>-397.52820000000003</v>
      </c>
      <c r="H4711" s="1">
        <v>-1.713752E-6</v>
      </c>
      <c r="I4711">
        <v>142.13820000000001</v>
      </c>
      <c r="J4711">
        <v>-362.60520000000002</v>
      </c>
      <c r="K4711">
        <v>1.110214</v>
      </c>
      <c r="L4711">
        <v>141.67490000000001</v>
      </c>
      <c r="M4711">
        <v>-0.99973920000000005</v>
      </c>
      <c r="N4711">
        <v>-1.4622680000000001E-2</v>
      </c>
      <c r="O4711">
        <v>-1.754905E-2</v>
      </c>
      <c r="P4711">
        <v>-0.98160740000000002</v>
      </c>
      <c r="Q4711">
        <v>0.16883779999999901</v>
      </c>
      <c r="R4711">
        <v>-8.9111549999999998E-2</v>
      </c>
      <c r="S4711">
        <v>-3.076508</v>
      </c>
      <c r="T4711">
        <v>-9.7087619999999999E-2</v>
      </c>
      <c r="U4711">
        <v>4.0130619999999999E-2</v>
      </c>
      <c r="V4711">
        <v>-7.1865189999999995E-2</v>
      </c>
      <c r="W4711">
        <v>0.18319589999999999</v>
      </c>
      <c r="X4711">
        <v>0.98044620000000005</v>
      </c>
      <c r="Y4711">
        <v>3.0565749999999999E-2</v>
      </c>
      <c r="Z4711">
        <v>1.0027879999999999E-3</v>
      </c>
      <c r="AA4711">
        <v>0.99953230000000004</v>
      </c>
      <c r="AB4711">
        <v>34</v>
      </c>
      <c r="AC4711">
        <v>-34.923000000000002</v>
      </c>
      <c r="AD4711">
        <v>-1.1102157137519999</v>
      </c>
      <c r="AE4711">
        <v>0.46330000000000299</v>
      </c>
      <c r="AF4711">
        <v>1.0750732557223599</v>
      </c>
      <c r="AG4711">
        <v>-1.1102157137519999</v>
      </c>
      <c r="AH4711">
        <v>34.8742507715464</v>
      </c>
      <c r="AI4711">
        <v>91.822520186338593</v>
      </c>
      <c r="AJ4711">
        <v>88.234294420765295</v>
      </c>
      <c r="AK4711">
        <v>34.908476453619897</v>
      </c>
      <c r="AL4711">
        <v>79.444032925481395</v>
      </c>
      <c r="AM4711">
        <v>94.192194994296997</v>
      </c>
      <c r="AN4711">
        <v>1.0000000472024899</v>
      </c>
    </row>
    <row r="4712" spans="1:40" x14ac:dyDescent="0.25">
      <c r="A4712" t="str">
        <f>"20190304155729445"</f>
        <v>20190304155729445</v>
      </c>
      <c r="B4712" t="str">
        <f>"1551686249439885"</f>
        <v>1551686249439885</v>
      </c>
      <c r="C4712" t="s">
        <v>40</v>
      </c>
      <c r="D4712">
        <v>4.9249460000000003</v>
      </c>
      <c r="E4712">
        <v>0.5376379</v>
      </c>
      <c r="F4712" t="s">
        <v>41</v>
      </c>
      <c r="G4712">
        <v>-397.74</v>
      </c>
      <c r="H4712" s="1">
        <v>-1.62396E-6</v>
      </c>
      <c r="I4712">
        <v>142.1421</v>
      </c>
      <c r="J4712">
        <v>-362.83300000000003</v>
      </c>
      <c r="K4712">
        <v>1.1102160000000001</v>
      </c>
      <c r="L4712">
        <v>141.67089999999999</v>
      </c>
      <c r="M4712">
        <v>-0.99973920000000005</v>
      </c>
      <c r="N4712">
        <v>-1.462047E-2</v>
      </c>
      <c r="O4712">
        <v>-1.75447E-2</v>
      </c>
      <c r="P4712">
        <v>-0.98158230000000002</v>
      </c>
      <c r="Q4712">
        <v>0.1689339</v>
      </c>
      <c r="R4712">
        <v>-8.9204710000000006E-2</v>
      </c>
      <c r="S4712">
        <v>-3.0766909999999998</v>
      </c>
      <c r="T4712">
        <v>-9.7219710000000001E-2</v>
      </c>
      <c r="U4712">
        <v>4.092407E-2</v>
      </c>
      <c r="V4712">
        <v>-7.1962100000000001E-2</v>
      </c>
      <c r="W4712">
        <v>0.1832896</v>
      </c>
      <c r="X4712">
        <v>0.98042149999999995</v>
      </c>
      <c r="Y4712">
        <v>3.0818109999999999E-2</v>
      </c>
      <c r="Z4712">
        <v>1.0098970000000001E-3</v>
      </c>
      <c r="AA4712">
        <v>0.99952450000000004</v>
      </c>
      <c r="AB4712">
        <v>34</v>
      </c>
      <c r="AC4712">
        <v>-34.906999999999897</v>
      </c>
      <c r="AD4712">
        <v>-1.1102176239599999</v>
      </c>
      <c r="AE4712">
        <v>0.47120000000001</v>
      </c>
      <c r="AF4712">
        <v>1.0825309096335101</v>
      </c>
      <c r="AG4712">
        <v>-1.1102176239599999</v>
      </c>
      <c r="AH4712">
        <v>34.8581034151008</v>
      </c>
      <c r="AI4712">
        <v>91.823354144977998</v>
      </c>
      <c r="AJ4712">
        <v>88.221230696852004</v>
      </c>
      <c r="AK4712">
        <v>34.892575571899599</v>
      </c>
      <c r="AL4712">
        <v>79.438571012233197</v>
      </c>
      <c r="AM4712">
        <v>94.197933340762802</v>
      </c>
      <c r="AN4712">
        <v>0.99999996948340897</v>
      </c>
    </row>
    <row r="4713" spans="1:40" x14ac:dyDescent="0.25">
      <c r="A4713" t="str">
        <f>"20190304155729459"</f>
        <v>20190304155729459</v>
      </c>
      <c r="B4713" t="str">
        <f>"1551686249449645"</f>
        <v>1551686249449645</v>
      </c>
      <c r="C4713" t="s">
        <v>40</v>
      </c>
      <c r="D4713">
        <v>5.1294820000000003</v>
      </c>
      <c r="E4713">
        <v>0.53744879999999995</v>
      </c>
      <c r="F4713" t="s">
        <v>41</v>
      </c>
      <c r="G4713">
        <v>-397.72649999999999</v>
      </c>
      <c r="H4713" s="1">
        <v>-1.6218310000000001E-6</v>
      </c>
      <c r="I4713">
        <v>142.11240000000001</v>
      </c>
      <c r="J4713">
        <v>-363.03089999999997</v>
      </c>
      <c r="K4713">
        <v>1.110215</v>
      </c>
      <c r="L4713">
        <v>141.66739999999999</v>
      </c>
      <c r="M4713">
        <v>-0.99973939999999994</v>
      </c>
      <c r="N4713">
        <v>-1.4618529999999999E-2</v>
      </c>
      <c r="O4713">
        <v>-1.7539030000000001E-2</v>
      </c>
      <c r="P4713">
        <v>-0.98152850000000003</v>
      </c>
      <c r="Q4713">
        <v>0.16905300000000001</v>
      </c>
      <c r="R4713">
        <v>-8.9571360000000003E-2</v>
      </c>
      <c r="S4713">
        <v>-3.0766300000000002</v>
      </c>
      <c r="T4713">
        <v>-9.7890260000000007E-2</v>
      </c>
      <c r="U4713">
        <v>3.8940429999999998E-2</v>
      </c>
      <c r="V4713">
        <v>-7.2334040000000002E-2</v>
      </c>
      <c r="W4713">
        <v>0.18340680000000001</v>
      </c>
      <c r="X4713">
        <v>0.98037229999999997</v>
      </c>
      <c r="Y4713">
        <v>3.0168509999999999E-2</v>
      </c>
      <c r="Z4713">
        <v>1.001923E-3</v>
      </c>
      <c r="AA4713">
        <v>0.99954430000000005</v>
      </c>
      <c r="AB4713">
        <v>34</v>
      </c>
      <c r="AC4713">
        <v>-34.695599999999999</v>
      </c>
      <c r="AD4713">
        <v>-1.1102166218309999</v>
      </c>
      <c r="AE4713">
        <v>0.44500000000002099</v>
      </c>
      <c r="AF4713">
        <v>1.05244623452618</v>
      </c>
      <c r="AG4713">
        <v>-1.1102166218309999</v>
      </c>
      <c r="AH4713">
        <v>34.646986301891303</v>
      </c>
      <c r="AI4713">
        <v>91.834493506818703</v>
      </c>
      <c r="AJ4713">
        <v>88.260102905143398</v>
      </c>
      <c r="AK4713">
        <v>34.680742261771201</v>
      </c>
      <c r="AL4713">
        <v>79.431741086911302</v>
      </c>
      <c r="AM4713">
        <v>94.219763413302402</v>
      </c>
      <c r="AN4713">
        <v>1.00000005711812</v>
      </c>
    </row>
    <row r="4714" spans="1:40" x14ac:dyDescent="0.25">
      <c r="A4714" t="str">
        <f>"20190304155729475"</f>
        <v>20190304155729475</v>
      </c>
      <c r="B4714" t="str">
        <f>"1551686249469165"</f>
        <v>1551686249469165</v>
      </c>
      <c r="C4714" t="s">
        <v>40</v>
      </c>
      <c r="D4714">
        <v>4.9620449999999998</v>
      </c>
      <c r="E4714">
        <v>0.53701080000000001</v>
      </c>
      <c r="F4714" t="s">
        <v>41</v>
      </c>
      <c r="G4714">
        <v>-397.95389999999998</v>
      </c>
      <c r="H4714" s="1">
        <v>-1.5153130000000001E-6</v>
      </c>
      <c r="I4714">
        <v>142.0787</v>
      </c>
      <c r="J4714">
        <v>-363.27789999999999</v>
      </c>
      <c r="K4714">
        <v>1.1102110000000001</v>
      </c>
      <c r="L4714">
        <v>141.66309999999999</v>
      </c>
      <c r="M4714">
        <v>-0.9997395</v>
      </c>
      <c r="N4714">
        <v>-1.461607E-2</v>
      </c>
      <c r="O4714">
        <v>-1.752952E-2</v>
      </c>
      <c r="P4714">
        <v>-0.98159689999999999</v>
      </c>
      <c r="Q4714">
        <v>0.1687582</v>
      </c>
      <c r="R4714">
        <v>-8.9376609999999995E-2</v>
      </c>
      <c r="S4714">
        <v>-3.0765989999999999</v>
      </c>
      <c r="T4714">
        <v>-9.7806329999999997E-2</v>
      </c>
      <c r="U4714">
        <v>3.623962E-2</v>
      </c>
      <c r="V4714">
        <v>-7.214545E-2</v>
      </c>
      <c r="W4714">
        <v>0.18311150000000001</v>
      </c>
      <c r="X4714">
        <v>0.98044129999999996</v>
      </c>
      <c r="Y4714">
        <v>2.9282490000000001E-2</v>
      </c>
      <c r="Z4714">
        <v>9.803304000000001E-4</v>
      </c>
      <c r="AA4714">
        <v>0.99957070000000003</v>
      </c>
      <c r="AB4714">
        <v>34</v>
      </c>
      <c r="AC4714">
        <v>-34.675999999999902</v>
      </c>
      <c r="AD4714">
        <v>-1.110212515313</v>
      </c>
      <c r="AE4714">
        <v>0.41560000000001202</v>
      </c>
      <c r="AF4714">
        <v>1.0224068173387599</v>
      </c>
      <c r="AG4714">
        <v>-1.110212515313</v>
      </c>
      <c r="AH4714">
        <v>34.627893737681902</v>
      </c>
      <c r="AI4714">
        <v>91.835544199833706</v>
      </c>
      <c r="AJ4714">
        <v>88.308803228559199</v>
      </c>
      <c r="AK4714">
        <v>34.660769065868898</v>
      </c>
      <c r="AL4714">
        <v>79.448951020381699</v>
      </c>
      <c r="AM4714">
        <v>94.208506055333601</v>
      </c>
      <c r="AN4714">
        <v>0.99999996506681998</v>
      </c>
    </row>
    <row r="4715" spans="1:40" x14ac:dyDescent="0.25">
      <c r="A4715" t="str">
        <f>"20190304155729488"</f>
        <v>20190304155729488</v>
      </c>
      <c r="B4715" t="str">
        <f>"1551686249478925"</f>
        <v>1551686249478925</v>
      </c>
      <c r="C4715" t="s">
        <v>40</v>
      </c>
      <c r="D4715">
        <v>5.0271619999999997</v>
      </c>
      <c r="E4715">
        <v>0.53673230000000005</v>
      </c>
      <c r="F4715" t="s">
        <v>41</v>
      </c>
      <c r="G4715">
        <v>-397.70100000000002</v>
      </c>
      <c r="H4715" s="1">
        <v>-1.6129259999999999E-6</v>
      </c>
      <c r="I4715">
        <v>142.0378</v>
      </c>
      <c r="J4715">
        <v>-363.48399999999998</v>
      </c>
      <c r="K4715">
        <v>1.1102069999999999</v>
      </c>
      <c r="L4715">
        <v>141.65950000000001</v>
      </c>
      <c r="M4715">
        <v>-0.99973979999999996</v>
      </c>
      <c r="N4715">
        <v>-1.461397E-2</v>
      </c>
      <c r="O4715">
        <v>-1.752014E-2</v>
      </c>
      <c r="P4715">
        <v>-0.9815836</v>
      </c>
      <c r="Q4715">
        <v>0.1687332</v>
      </c>
      <c r="R4715">
        <v>-8.9572600000000002E-2</v>
      </c>
      <c r="S4715">
        <v>-3.076355</v>
      </c>
      <c r="T4715">
        <v>-9.9218609999999999E-2</v>
      </c>
      <c r="U4715">
        <v>3.3493040000000002E-2</v>
      </c>
      <c r="V4715">
        <v>-7.2348739999999995E-2</v>
      </c>
      <c r="W4715">
        <v>0.18308479999999999</v>
      </c>
      <c r="X4715">
        <v>0.98043130000000001</v>
      </c>
      <c r="Y4715">
        <v>2.8381730000000001E-2</v>
      </c>
      <c r="Z4715">
        <v>9.7390740000000001E-4</v>
      </c>
      <c r="AA4715">
        <v>0.9995967</v>
      </c>
      <c r="AB4715">
        <v>34</v>
      </c>
      <c r="AC4715">
        <v>-34.216999999999899</v>
      </c>
      <c r="AD4715">
        <v>-1.110208612926</v>
      </c>
      <c r="AE4715">
        <v>0.37829999999999497</v>
      </c>
      <c r="AF4715">
        <v>0.97676435831838704</v>
      </c>
      <c r="AG4715">
        <v>-1.110208612926</v>
      </c>
      <c r="AH4715">
        <v>34.169151171221699</v>
      </c>
      <c r="AI4715">
        <v>91.860214508987497</v>
      </c>
      <c r="AJ4715">
        <v>88.362580376136407</v>
      </c>
      <c r="AK4715">
        <v>34.201133366274497</v>
      </c>
      <c r="AL4715">
        <v>79.450507060529404</v>
      </c>
      <c r="AM4715">
        <v>94.220364802254295</v>
      </c>
      <c r="AN4715">
        <v>0.99999995909515704</v>
      </c>
    </row>
    <row r="4716" spans="1:40" x14ac:dyDescent="0.25">
      <c r="A4716" t="str">
        <f>"20190304155729504"</f>
        <v>20190304155729504</v>
      </c>
      <c r="B4716" t="str">
        <f>"1551686249499422"</f>
        <v>1551686249499422</v>
      </c>
      <c r="C4716" t="s">
        <v>40</v>
      </c>
      <c r="D4716">
        <v>5.11294</v>
      </c>
      <c r="E4716">
        <v>0.53636219999999901</v>
      </c>
      <c r="F4716" t="s">
        <v>41</v>
      </c>
      <c r="G4716">
        <v>-397.6934</v>
      </c>
      <c r="H4716" s="1">
        <v>-1.6056219999999999E-6</v>
      </c>
      <c r="I4716">
        <v>141.99799999999999</v>
      </c>
      <c r="J4716">
        <v>-363.71949999999998</v>
      </c>
      <c r="K4716">
        <v>1.1102019999999999</v>
      </c>
      <c r="L4716">
        <v>141.65530000000001</v>
      </c>
      <c r="M4716">
        <v>-0.99973990000000001</v>
      </c>
      <c r="N4716">
        <v>-1.4611580000000001E-2</v>
      </c>
      <c r="O4716">
        <v>-1.75060999999999E-2</v>
      </c>
      <c r="P4716">
        <v>-0.98158210000000001</v>
      </c>
      <c r="Q4716">
        <v>0.1687776</v>
      </c>
      <c r="R4716">
        <v>-8.9503040000000006E-2</v>
      </c>
      <c r="S4716">
        <v>-3.0762330000000002</v>
      </c>
      <c r="T4716">
        <v>-9.9834199999999998E-2</v>
      </c>
      <c r="U4716">
        <v>3.0456540000000001E-2</v>
      </c>
      <c r="V4716">
        <v>-7.2291110000000006E-2</v>
      </c>
      <c r="W4716">
        <v>0.18312790000000001</v>
      </c>
      <c r="X4716">
        <v>0.98042759999999995</v>
      </c>
      <c r="Y4716">
        <v>2.738202E-2</v>
      </c>
      <c r="Z4716">
        <v>9.5652420000000001E-4</v>
      </c>
      <c r="AA4716">
        <v>0.99962459999999997</v>
      </c>
      <c r="AB4716">
        <v>34</v>
      </c>
      <c r="AC4716">
        <v>-33.9739</v>
      </c>
      <c r="AD4716">
        <v>-1.1102036056219999</v>
      </c>
      <c r="AE4716">
        <v>0.34269999999997902</v>
      </c>
      <c r="AF4716">
        <v>0.93646160454449201</v>
      </c>
      <c r="AG4716">
        <v>-1.1102036056219999</v>
      </c>
      <c r="AH4716">
        <v>33.926467582649302</v>
      </c>
      <c r="AI4716">
        <v>91.873554832314497</v>
      </c>
      <c r="AJ4716">
        <v>88.418884108475893</v>
      </c>
      <c r="AK4716">
        <v>33.957542829528698</v>
      </c>
      <c r="AL4716">
        <v>79.447996173538797</v>
      </c>
      <c r="AM4716">
        <v>94.217031024344493</v>
      </c>
      <c r="AN4716">
        <v>1.0000000555925901</v>
      </c>
    </row>
    <row r="4717" spans="1:40" x14ac:dyDescent="0.25">
      <c r="A4717" t="str">
        <f>"20190304155729521"</f>
        <v>20190304155729521</v>
      </c>
      <c r="B4717" t="str">
        <f>"1551686249509182"</f>
        <v>1551686249509182</v>
      </c>
      <c r="C4717" t="s">
        <v>40</v>
      </c>
      <c r="D4717">
        <v>5.0610670000000004</v>
      </c>
      <c r="E4717">
        <v>0.53636219999999901</v>
      </c>
      <c r="F4717" t="s">
        <v>41</v>
      </c>
      <c r="G4717">
        <v>-397.87040000000002</v>
      </c>
      <c r="H4717" s="1">
        <v>-1.520795E-6</v>
      </c>
      <c r="I4717">
        <v>141.96469999999999</v>
      </c>
      <c r="J4717">
        <v>-363.98059999999998</v>
      </c>
      <c r="K4717">
        <v>1.1101970000000001</v>
      </c>
      <c r="L4717">
        <v>141.6508</v>
      </c>
      <c r="M4717">
        <v>-0.99974039999999997</v>
      </c>
      <c r="N4717">
        <v>-1.4608889999999999E-2</v>
      </c>
      <c r="O4717">
        <v>-1.7488839999999999E-2</v>
      </c>
      <c r="P4717">
        <v>-0.98156790000000005</v>
      </c>
      <c r="Q4717">
        <v>0.16882150000000001</v>
      </c>
      <c r="R4717">
        <v>-8.9578309999999994E-2</v>
      </c>
      <c r="S4717">
        <v>-3.0759889999999999</v>
      </c>
      <c r="T4717">
        <v>-9.9996689999999999E-2</v>
      </c>
      <c r="U4717">
        <v>2.7877809999999999E-2</v>
      </c>
      <c r="V4717">
        <v>-7.2382169999999996E-2</v>
      </c>
      <c r="W4717">
        <v>0.1831692</v>
      </c>
      <c r="X4717">
        <v>0.98041310000000004</v>
      </c>
      <c r="Y4717">
        <v>2.6528159999999999E-2</v>
      </c>
      <c r="Z4717">
        <v>9.3783889999999996E-4</v>
      </c>
      <c r="AA4717">
        <v>0.99964759999999997</v>
      </c>
      <c r="AB4717">
        <v>34</v>
      </c>
      <c r="AC4717">
        <v>-33.889800000000001</v>
      </c>
      <c r="AD4717">
        <v>-1.11019852079499</v>
      </c>
      <c r="AE4717">
        <v>0.31389999999998902</v>
      </c>
      <c r="AF4717">
        <v>0.90563667714205198</v>
      </c>
      <c r="AG4717">
        <v>-1.11019852079499</v>
      </c>
      <c r="AH4717">
        <v>33.842809872519297</v>
      </c>
      <c r="AI4717">
        <v>91.878217209359605</v>
      </c>
      <c r="AJ4717">
        <v>88.467125545965303</v>
      </c>
      <c r="AK4717">
        <v>33.873123543807502</v>
      </c>
      <c r="AL4717">
        <v>79.445588448856</v>
      </c>
      <c r="AM4717">
        <v>94.222385942414206</v>
      </c>
      <c r="AN4717">
        <v>0.999999990507079</v>
      </c>
    </row>
    <row r="4718" spans="1:40" x14ac:dyDescent="0.25">
      <c r="A4718" t="str">
        <f>"20190304155729538"</f>
        <v>20190304155729538</v>
      </c>
      <c r="B4718" t="str">
        <f>"1551686249529677"</f>
        <v>1551686249529677</v>
      </c>
      <c r="C4718" t="s">
        <v>40</v>
      </c>
      <c r="D4718">
        <v>4.9929079999999999</v>
      </c>
      <c r="E4718">
        <v>0.51083210000000001</v>
      </c>
      <c r="F4718" t="s">
        <v>41</v>
      </c>
      <c r="G4718">
        <v>-398.20679999999999</v>
      </c>
      <c r="H4718" s="1">
        <v>-1.3752709999999901E-6</v>
      </c>
      <c r="I4718">
        <v>141.96019999999999</v>
      </c>
      <c r="J4718">
        <v>-364.24259999999998</v>
      </c>
      <c r="K4718">
        <v>1.110193</v>
      </c>
      <c r="L4718">
        <v>141.64619999999999</v>
      </c>
      <c r="M4718">
        <v>-0.99974070000000004</v>
      </c>
      <c r="N4718">
        <v>-1.460616E-2</v>
      </c>
      <c r="O4718">
        <v>-1.7469209999999999E-2</v>
      </c>
      <c r="P4718">
        <v>-0.98155040000000005</v>
      </c>
      <c r="Q4718">
        <v>0.1689097</v>
      </c>
      <c r="R4718">
        <v>-8.9600650000000004E-2</v>
      </c>
      <c r="S4718">
        <v>-3.0759889999999999</v>
      </c>
      <c r="T4718">
        <v>-9.9776030000000002E-2</v>
      </c>
      <c r="U4718">
        <v>2.7816770000000001E-2</v>
      </c>
      <c r="V4718">
        <v>-7.2422130000000001E-2</v>
      </c>
      <c r="W4718">
        <v>0.1832549</v>
      </c>
      <c r="X4718">
        <v>0.98039410000000005</v>
      </c>
      <c r="Y4718">
        <v>2.6488830000000001E-2</v>
      </c>
      <c r="Z4718">
        <v>9.343709E-4</v>
      </c>
      <c r="AA4718">
        <v>0.99964869999999995</v>
      </c>
      <c r="AB4718">
        <v>34</v>
      </c>
      <c r="AC4718">
        <v>-33.964199999999998</v>
      </c>
      <c r="AD4718">
        <v>-1.110194375271</v>
      </c>
      <c r="AE4718">
        <v>0.31399999999999201</v>
      </c>
      <c r="AF4718">
        <v>0.90637478662093995</v>
      </c>
      <c r="AG4718">
        <v>-1.110194375271</v>
      </c>
      <c r="AH4718">
        <v>33.917294173205001</v>
      </c>
      <c r="AI4718">
        <v>91.874090341384999</v>
      </c>
      <c r="AJ4718">
        <v>88.469244240446997</v>
      </c>
      <c r="AK4718">
        <v>33.947560896718798</v>
      </c>
      <c r="AL4718">
        <v>79.440593301067196</v>
      </c>
      <c r="AM4718">
        <v>94.224790134259194</v>
      </c>
      <c r="AN4718">
        <v>0.999999957301277</v>
      </c>
    </row>
    <row r="4719" spans="1:40" x14ac:dyDescent="0.25">
      <c r="A4719" t="str">
        <f>"20190304155729560"</f>
        <v>20190304155729560</v>
      </c>
      <c r="B4719" t="str">
        <f>"1551686249549198"</f>
        <v>1551686249549198</v>
      </c>
      <c r="C4719" t="s">
        <v>40</v>
      </c>
      <c r="D4719">
        <v>4.9756269999999896</v>
      </c>
      <c r="E4719">
        <v>0.51141510000000001</v>
      </c>
      <c r="F4719" t="s">
        <v>41</v>
      </c>
      <c r="G4719">
        <v>-390.47930000000002</v>
      </c>
      <c r="H4719" s="1">
        <v>-4.2074770000000004E-6</v>
      </c>
      <c r="I4719">
        <v>140.14930000000001</v>
      </c>
      <c r="J4719">
        <v>-364.57900000000001</v>
      </c>
      <c r="K4719">
        <v>1.110193</v>
      </c>
      <c r="L4719">
        <v>141.6404</v>
      </c>
      <c r="M4719">
        <v>-0.99974130000000005</v>
      </c>
      <c r="N4719">
        <v>-1.4602520000000001E-2</v>
      </c>
      <c r="O4719">
        <v>-1.7441599999999901E-2</v>
      </c>
      <c r="P4719">
        <v>-0.98152759999999994</v>
      </c>
      <c r="Q4719">
        <v>0.16906009999999999</v>
      </c>
      <c r="R4719">
        <v>-8.9567880000000002E-2</v>
      </c>
      <c r="S4719">
        <v>-3.0627439999999999</v>
      </c>
      <c r="T4719">
        <v>-0.12959899999999999</v>
      </c>
      <c r="U4719">
        <v>-0.17472839999999901</v>
      </c>
      <c r="V4719">
        <v>-7.241591E-2</v>
      </c>
      <c r="W4719">
        <v>0.18340210000000001</v>
      </c>
      <c r="X4719">
        <v>0.98036710000000005</v>
      </c>
      <c r="Y4719">
        <v>-3.949246E-2</v>
      </c>
      <c r="Z4719">
        <v>-6.4074889999999999E-4</v>
      </c>
      <c r="AA4719">
        <v>0.99921970000000004</v>
      </c>
      <c r="AB4719">
        <v>34</v>
      </c>
      <c r="AC4719">
        <v>-25.900300000000001</v>
      </c>
      <c r="AD4719">
        <v>-1.1101972074769999</v>
      </c>
      <c r="AE4719">
        <v>-1.4910999999999801</v>
      </c>
      <c r="AF4719">
        <v>-1.03718294489042</v>
      </c>
      <c r="AG4719">
        <v>-1.1101972074769999</v>
      </c>
      <c r="AH4719">
        <v>25.874985024385801</v>
      </c>
      <c r="AI4719">
        <v>92.454868133503098</v>
      </c>
      <c r="AJ4719">
        <v>92.295437391390394</v>
      </c>
      <c r="AK4719">
        <v>25.9195512367181</v>
      </c>
      <c r="AL4719">
        <v>79.432014654013997</v>
      </c>
      <c r="AM4719">
        <v>94.224544522836993</v>
      </c>
      <c r="AN4719">
        <v>1.00000002253397</v>
      </c>
    </row>
    <row r="4720" spans="1:40" x14ac:dyDescent="0.25">
      <c r="A4720" t="str">
        <f>"20190304155729577"</f>
        <v>20190304155729577</v>
      </c>
      <c r="B4720" t="str">
        <f>"1551686249569693"</f>
        <v>1551686249569693</v>
      </c>
      <c r="C4720" t="s">
        <v>40</v>
      </c>
      <c r="D4720">
        <v>5.15998</v>
      </c>
      <c r="E4720">
        <v>0.51236949999999903</v>
      </c>
      <c r="F4720" t="s">
        <v>41</v>
      </c>
      <c r="G4720">
        <v>-390.5829</v>
      </c>
      <c r="H4720" s="1">
        <v>-4.1771979999999999E-6</v>
      </c>
      <c r="I4720">
        <v>140.1987</v>
      </c>
      <c r="J4720">
        <v>-364.83249999999998</v>
      </c>
      <c r="K4720">
        <v>1.110196</v>
      </c>
      <c r="L4720">
        <v>141.63589999999999</v>
      </c>
      <c r="M4720">
        <v>-0.99974169999999996</v>
      </c>
      <c r="N4720">
        <v>-1.459974E-2</v>
      </c>
      <c r="O4720">
        <v>-1.741902E-2</v>
      </c>
      <c r="P4720">
        <v>-0.9815043</v>
      </c>
      <c r="Q4720">
        <v>0.16929050000000001</v>
      </c>
      <c r="R4720">
        <v>-8.9387560000000005E-2</v>
      </c>
      <c r="S4720">
        <v>-3.063507</v>
      </c>
      <c r="T4720">
        <v>-0.13079189999999999</v>
      </c>
      <c r="U4720">
        <v>-0.16983029999999999</v>
      </c>
      <c r="V4720">
        <v>-7.2258030000000001E-2</v>
      </c>
      <c r="W4720">
        <v>0.1836295</v>
      </c>
      <c r="X4720">
        <v>0.98033619999999999</v>
      </c>
      <c r="Y4720">
        <v>-3.7909619999999998E-2</v>
      </c>
      <c r="Z4720">
        <v>-5.9683309999999999E-4</v>
      </c>
      <c r="AA4720">
        <v>0.99928099999999997</v>
      </c>
      <c r="AB4720">
        <v>34</v>
      </c>
      <c r="AC4720">
        <v>-25.750399999999999</v>
      </c>
      <c r="AD4720">
        <v>-1.1102001771979999</v>
      </c>
      <c r="AE4720">
        <v>-1.43719999999998</v>
      </c>
      <c r="AF4720">
        <v>-0.986559232515548</v>
      </c>
      <c r="AG4720">
        <v>-1.1102001771979999</v>
      </c>
      <c r="AH4720">
        <v>25.7238622872208</v>
      </c>
      <c r="AI4720">
        <v>92.469446123829997</v>
      </c>
      <c r="AJ4720">
        <v>92.196326123525907</v>
      </c>
      <c r="AK4720">
        <v>25.766702049828101</v>
      </c>
      <c r="AL4720">
        <v>79.418760688838901</v>
      </c>
      <c r="AM4720">
        <v>94.215499863511397</v>
      </c>
      <c r="AN4720">
        <v>1.00000004060008</v>
      </c>
    </row>
    <row r="4721" spans="1:40" x14ac:dyDescent="0.25">
      <c r="A4721" t="str">
        <f>"20190304155729590"</f>
        <v>20190304155729590</v>
      </c>
      <c r="B4721" t="str">
        <f>"1551686249578985"</f>
        <v>1551686249578985</v>
      </c>
      <c r="C4721" t="s">
        <v>40</v>
      </c>
      <c r="D4721">
        <v>5.0109949999999897</v>
      </c>
      <c r="E4721">
        <v>0.5114474</v>
      </c>
      <c r="F4721" t="s">
        <v>41</v>
      </c>
      <c r="G4721">
        <v>-391.25400000000002</v>
      </c>
      <c r="H4721" s="1">
        <v>-3.9005449999999999E-6</v>
      </c>
      <c r="I4721">
        <v>140.24080000000001</v>
      </c>
      <c r="J4721">
        <v>-365.04090000000002</v>
      </c>
      <c r="K4721">
        <v>1.1101970000000001</v>
      </c>
      <c r="L4721">
        <v>141.63229999999999</v>
      </c>
      <c r="M4721">
        <v>-0.99974220000000003</v>
      </c>
      <c r="N4721">
        <v>-1.4597529999999999E-2</v>
      </c>
      <c r="O4721">
        <v>-1.7400039999999999E-2</v>
      </c>
      <c r="P4721">
        <v>-0.98151200000000005</v>
      </c>
      <c r="Q4721">
        <v>0.1693182</v>
      </c>
      <c r="R4721">
        <v>-8.9252230000000002E-2</v>
      </c>
      <c r="S4721">
        <v>-3.0639949999999998</v>
      </c>
      <c r="T4721">
        <v>-0.1287459</v>
      </c>
      <c r="U4721">
        <v>-0.16177369999999999</v>
      </c>
      <c r="V4721">
        <v>-7.2140339999999997E-2</v>
      </c>
      <c r="W4721">
        <v>0.18365570000000001</v>
      </c>
      <c r="X4721">
        <v>0.98033990000000004</v>
      </c>
      <c r="Y4721">
        <v>-3.5303800000000003E-2</v>
      </c>
      <c r="Z4721">
        <v>-5.2250259999999998E-4</v>
      </c>
      <c r="AA4721">
        <v>0.9993765</v>
      </c>
      <c r="AB4721">
        <v>34</v>
      </c>
      <c r="AC4721">
        <v>-26.213100000000001</v>
      </c>
      <c r="AD4721">
        <v>-1.110200900545</v>
      </c>
      <c r="AE4721">
        <v>-1.39149999999997</v>
      </c>
      <c r="AF4721">
        <v>-0.93346206338315996</v>
      </c>
      <c r="AG4721">
        <v>-1.110200900545</v>
      </c>
      <c r="AH4721">
        <v>26.186504896350101</v>
      </c>
      <c r="AI4721">
        <v>92.426114254736902</v>
      </c>
      <c r="AJ4721">
        <v>92.0415401170183</v>
      </c>
      <c r="AK4721">
        <v>26.226645537504702</v>
      </c>
      <c r="AL4721">
        <v>79.417232942318805</v>
      </c>
      <c r="AM4721">
        <v>94.208642747292302</v>
      </c>
      <c r="AN4721">
        <v>0.99999998216490704</v>
      </c>
    </row>
    <row r="4722" spans="1:40" x14ac:dyDescent="0.25">
      <c r="A4722" t="str">
        <f>"20190304155729604"</f>
        <v>20190304155729604</v>
      </c>
      <c r="B4722" t="str">
        <f>"1551686249599480"</f>
        <v>1551686249599480</v>
      </c>
      <c r="C4722" t="s">
        <v>40</v>
      </c>
      <c r="D4722">
        <v>4.9961159999999998</v>
      </c>
      <c r="E4722">
        <v>0.51147399999999998</v>
      </c>
      <c r="F4722" t="s">
        <v>41</v>
      </c>
      <c r="G4722">
        <v>-391.05939999999998</v>
      </c>
      <c r="H4722" s="1">
        <v>-3.972795E-6</v>
      </c>
      <c r="I4722">
        <v>140.19880000000001</v>
      </c>
      <c r="J4722">
        <v>-365.2482</v>
      </c>
      <c r="K4722">
        <v>1.1101970000000001</v>
      </c>
      <c r="L4722">
        <v>141.62870000000001</v>
      </c>
      <c r="M4722">
        <v>-0.99974249999999998</v>
      </c>
      <c r="N4722">
        <v>-1.459532E-2</v>
      </c>
      <c r="O4722">
        <v>-1.7380940000000001E-2</v>
      </c>
      <c r="P4722">
        <v>-0.98153710000000005</v>
      </c>
      <c r="Q4722">
        <v>0.1692217</v>
      </c>
      <c r="R4722">
        <v>-8.9156840000000001E-2</v>
      </c>
      <c r="S4722">
        <v>-3.0636899999999998</v>
      </c>
      <c r="T4722">
        <v>-0.1307267</v>
      </c>
      <c r="U4722">
        <v>-0.16879269999999999</v>
      </c>
      <c r="V4722">
        <v>-7.2063160000000001E-2</v>
      </c>
      <c r="W4722">
        <v>0.18355730000000001</v>
      </c>
      <c r="X4722">
        <v>0.98036400000000001</v>
      </c>
      <c r="Y4722">
        <v>-3.7607370000000001E-2</v>
      </c>
      <c r="Z4722">
        <v>-5.8905269999999998E-4</v>
      </c>
      <c r="AA4722">
        <v>0.99929239999999997</v>
      </c>
      <c r="AB4722">
        <v>34</v>
      </c>
      <c r="AC4722">
        <v>-25.8111999999999</v>
      </c>
      <c r="AD4722">
        <v>-1.110200972795</v>
      </c>
      <c r="AE4722">
        <v>-1.4298999999999999</v>
      </c>
      <c r="AF4722">
        <v>-0.979207231996153</v>
      </c>
      <c r="AG4722">
        <v>-1.110200972795</v>
      </c>
      <c r="AH4722">
        <v>25.7845985707072</v>
      </c>
      <c r="AI4722">
        <v>92.463673427216904</v>
      </c>
      <c r="AJ4722">
        <v>92.174844543837807</v>
      </c>
      <c r="AK4722">
        <v>25.827057835837699</v>
      </c>
      <c r="AL4722">
        <v>79.422968294325102</v>
      </c>
      <c r="AM4722">
        <v>94.204053266522493</v>
      </c>
      <c r="AN4722">
        <v>0.99999997695423704</v>
      </c>
    </row>
    <row r="4723" spans="1:40" x14ac:dyDescent="0.25">
      <c r="A4723" t="str">
        <f>"20190304155729620"</f>
        <v>20190304155729620</v>
      </c>
      <c r="B4723" t="str">
        <f>"1551686249609240"</f>
        <v>1551686249609240</v>
      </c>
      <c r="C4723" t="s">
        <v>40</v>
      </c>
      <c r="D4723">
        <v>4.8770600000000002</v>
      </c>
      <c r="E4723">
        <v>0.51144020000000001</v>
      </c>
      <c r="F4723" t="s">
        <v>41</v>
      </c>
      <c r="G4723">
        <v>-391.50569999999999</v>
      </c>
      <c r="H4723" s="1">
        <v>-3.779532E-6</v>
      </c>
      <c r="I4723">
        <v>140.1919</v>
      </c>
      <c r="J4723">
        <v>-365.49149999999997</v>
      </c>
      <c r="K4723">
        <v>1.1101970000000001</v>
      </c>
      <c r="L4723">
        <v>141.62450000000001</v>
      </c>
      <c r="M4723">
        <v>-0.99974289999999999</v>
      </c>
      <c r="N4723">
        <v>-1.459273E-2</v>
      </c>
      <c r="O4723">
        <v>-1.7358499999999999E-2</v>
      </c>
      <c r="P4723">
        <v>-0.98153869999999999</v>
      </c>
      <c r="Q4723">
        <v>0.16911579999999901</v>
      </c>
      <c r="R4723">
        <v>-8.9341499999999893E-2</v>
      </c>
      <c r="S4723">
        <v>-3.0635379999999999</v>
      </c>
      <c r="T4723">
        <v>-0.12953039999999999</v>
      </c>
      <c r="U4723">
        <v>-0.16763310000000001</v>
      </c>
      <c r="V4723">
        <v>-7.226987E-2</v>
      </c>
      <c r="W4723">
        <v>0.183449</v>
      </c>
      <c r="X4723">
        <v>0.98036909999999999</v>
      </c>
      <c r="Y4723">
        <v>-3.7256360000000002E-2</v>
      </c>
      <c r="Z4723">
        <v>-5.7904859999999996E-4</v>
      </c>
      <c r="AA4723">
        <v>0.99930549999999996</v>
      </c>
      <c r="AB4723">
        <v>34</v>
      </c>
      <c r="AC4723">
        <v>-26.014199999999999</v>
      </c>
      <c r="AD4723">
        <v>-1.1102007795319999</v>
      </c>
      <c r="AE4723">
        <v>-1.4326000000000001</v>
      </c>
      <c r="AF4723">
        <v>-0.97899090758431695</v>
      </c>
      <c r="AG4723">
        <v>-1.1102007795319999</v>
      </c>
      <c r="AH4723">
        <v>25.987961205084801</v>
      </c>
      <c r="AI4723">
        <v>92.444445757641105</v>
      </c>
      <c r="AJ4723">
        <v>92.157365709118494</v>
      </c>
      <c r="AK4723">
        <v>26.030080610036499</v>
      </c>
      <c r="AL4723">
        <v>79.429281086825995</v>
      </c>
      <c r="AM4723">
        <v>94.216047132984897</v>
      </c>
      <c r="AN4723">
        <v>1.0000000209728099</v>
      </c>
    </row>
    <row r="4724" spans="1:40" x14ac:dyDescent="0.25">
      <c r="A4724" t="str">
        <f>"20190304155729637"</f>
        <v>20190304155729637</v>
      </c>
      <c r="B4724" t="str">
        <f>"1551686249629742"</f>
        <v>1551686249629742</v>
      </c>
      <c r="C4724" t="s">
        <v>40</v>
      </c>
      <c r="D4724">
        <v>5.0069429999999997</v>
      </c>
      <c r="E4724">
        <v>0.51029530000000001</v>
      </c>
      <c r="F4724" t="s">
        <v>41</v>
      </c>
      <c r="G4724">
        <v>-391.07870000000003</v>
      </c>
      <c r="H4724" s="1">
        <v>-3.9699779999999999E-6</v>
      </c>
      <c r="I4724">
        <v>140.2192</v>
      </c>
      <c r="J4724">
        <v>-365.75549999999998</v>
      </c>
      <c r="K4724">
        <v>1.110195</v>
      </c>
      <c r="L4724">
        <v>141.62</v>
      </c>
      <c r="M4724">
        <v>-0.99974350000000001</v>
      </c>
      <c r="N4724">
        <v>-1.4589960000000001E-2</v>
      </c>
      <c r="O4724">
        <v>-1.7334269999999999E-2</v>
      </c>
      <c r="P4724">
        <v>-0.98148170000000001</v>
      </c>
      <c r="Q4724">
        <v>0.16914699999999999</v>
      </c>
      <c r="R4724">
        <v>-8.9909429999999999E-2</v>
      </c>
      <c r="S4724">
        <v>-3.0640260000000001</v>
      </c>
      <c r="T4724">
        <v>-0.13294510000000001</v>
      </c>
      <c r="U4724">
        <v>-0.1682739</v>
      </c>
      <c r="V4724">
        <v>-7.2861780000000001E-2</v>
      </c>
      <c r="W4724">
        <v>0.18347669999999999</v>
      </c>
      <c r="X4724">
        <v>0.98032010000000003</v>
      </c>
      <c r="Y4724">
        <v>-3.747847E-2</v>
      </c>
      <c r="Z4724">
        <v>-5.8748989999999896E-4</v>
      </c>
      <c r="AA4724">
        <v>0.99929730000000005</v>
      </c>
      <c r="AB4724">
        <v>34</v>
      </c>
      <c r="AC4724">
        <v>-25.3232</v>
      </c>
      <c r="AD4724">
        <v>-1.1101989699779999</v>
      </c>
      <c r="AE4724">
        <v>-1.4008</v>
      </c>
      <c r="AF4724">
        <v>-0.95974461306255199</v>
      </c>
      <c r="AG4724">
        <v>-1.1101989699779999</v>
      </c>
      <c r="AH4724">
        <v>25.295208497440999</v>
      </c>
      <c r="AI4724">
        <v>92.511276803525305</v>
      </c>
      <c r="AJ4724">
        <v>92.172860184109496</v>
      </c>
      <c r="AK4724">
        <v>25.337743080319001</v>
      </c>
      <c r="AL4724">
        <v>79.427666563320798</v>
      </c>
      <c r="AM4724">
        <v>94.2506633483695</v>
      </c>
      <c r="AN4724">
        <v>1.00000001844583</v>
      </c>
    </row>
    <row r="4725" spans="1:40" x14ac:dyDescent="0.25">
      <c r="A4725" t="str">
        <f>"20190304155729654"</f>
        <v>20190304155729654</v>
      </c>
      <c r="B4725" t="str">
        <f>"1551686249649258"</f>
        <v>1551686249649258</v>
      </c>
      <c r="C4725" t="s">
        <v>40</v>
      </c>
      <c r="D4725">
        <v>4.9773740000000002</v>
      </c>
      <c r="E4725">
        <v>0.50982910000000004</v>
      </c>
      <c r="F4725" t="s">
        <v>41</v>
      </c>
      <c r="G4725">
        <v>-390.81689999999998</v>
      </c>
      <c r="H4725" s="1">
        <v>-4.064954E-6</v>
      </c>
      <c r="I4725">
        <v>140.1541</v>
      </c>
      <c r="J4725">
        <v>-365.99889999999999</v>
      </c>
      <c r="K4725">
        <v>1.110195</v>
      </c>
      <c r="L4725">
        <v>141.61580000000001</v>
      </c>
      <c r="M4725">
        <v>-0.99974370000000001</v>
      </c>
      <c r="N4725">
        <v>-1.458744E-2</v>
      </c>
      <c r="O4725">
        <v>-1.7312190000000002E-2</v>
      </c>
      <c r="P4725">
        <v>-0.98150000000000004</v>
      </c>
      <c r="Q4725">
        <v>0.16894429999999999</v>
      </c>
      <c r="R4725">
        <v>-9.0088310000000005E-2</v>
      </c>
      <c r="S4725">
        <v>-3.0635680000000001</v>
      </c>
      <c r="T4725">
        <v>-0.13571349999999999</v>
      </c>
      <c r="U4725">
        <v>-0.17918399999999901</v>
      </c>
      <c r="V4725">
        <v>-7.3061870000000001E-2</v>
      </c>
      <c r="W4725">
        <v>0.1832723</v>
      </c>
      <c r="X4725">
        <v>0.98034339999999998</v>
      </c>
      <c r="Y4725">
        <v>-4.1049849999999999E-2</v>
      </c>
      <c r="Z4725">
        <v>-6.9442509999999996E-4</v>
      </c>
      <c r="AA4725">
        <v>0.99915679999999996</v>
      </c>
      <c r="AB4725">
        <v>34</v>
      </c>
      <c r="AC4725">
        <v>-24.817999999999898</v>
      </c>
      <c r="AD4725">
        <v>-1.1101990649539999</v>
      </c>
      <c r="AE4725">
        <v>-1.4617</v>
      </c>
      <c r="AF4725">
        <v>-1.0297277716778199</v>
      </c>
      <c r="AG4725">
        <v>-1.1101990649539999</v>
      </c>
      <c r="AH4725">
        <v>24.790151710939</v>
      </c>
      <c r="AI4725">
        <v>92.562007380265399</v>
      </c>
      <c r="AJ4725">
        <v>92.378571905156903</v>
      </c>
      <c r="AK4725">
        <v>24.8363544647551</v>
      </c>
      <c r="AL4725">
        <v>79.439579393350002</v>
      </c>
      <c r="AM4725">
        <v>94.262192454876597</v>
      </c>
      <c r="AN4725">
        <v>0.99999997735937296</v>
      </c>
    </row>
    <row r="4726" spans="1:40" x14ac:dyDescent="0.25">
      <c r="A4726" t="str">
        <f>"20190304155729671"</f>
        <v>20190304155729671</v>
      </c>
      <c r="B4726" t="str">
        <f>"1551686249659016"</f>
        <v>1551686249659016</v>
      </c>
      <c r="C4726" t="s">
        <v>40</v>
      </c>
      <c r="D4726">
        <v>5.0149160000000004</v>
      </c>
      <c r="E4726">
        <v>0.50940540000000001</v>
      </c>
      <c r="F4726" t="s">
        <v>41</v>
      </c>
      <c r="G4726">
        <v>-390.85469999999998</v>
      </c>
      <c r="H4726" s="1">
        <v>-4.0416079999999998E-6</v>
      </c>
      <c r="I4726">
        <v>140.12729999999999</v>
      </c>
      <c r="J4726">
        <v>-366.27210000000002</v>
      </c>
      <c r="K4726">
        <v>1.1101939999999999</v>
      </c>
      <c r="L4726">
        <v>141.61109999999999</v>
      </c>
      <c r="M4726">
        <v>-0.99974430000000003</v>
      </c>
      <c r="N4726">
        <v>-1.45845E-2</v>
      </c>
      <c r="O4726">
        <v>-1.7287839999999999E-2</v>
      </c>
      <c r="P4726">
        <v>-0.98147430000000002</v>
      </c>
      <c r="Q4726">
        <v>0.16867179999999901</v>
      </c>
      <c r="R4726">
        <v>-9.0874280000000002E-2</v>
      </c>
      <c r="S4726">
        <v>-3.0632630000000001</v>
      </c>
      <c r="T4726">
        <v>-0.13682230000000001</v>
      </c>
      <c r="U4726">
        <v>-0.1834259</v>
      </c>
      <c r="V4726">
        <v>-7.3872069999999998E-2</v>
      </c>
      <c r="W4726">
        <v>0.1829971</v>
      </c>
      <c r="X4726">
        <v>0.98033409999999999</v>
      </c>
      <c r="Y4726">
        <v>-4.2456269999999997E-2</v>
      </c>
      <c r="Z4726">
        <v>-7.3785889999999996E-4</v>
      </c>
      <c r="AA4726">
        <v>0.99909809999999999</v>
      </c>
      <c r="AB4726">
        <v>34</v>
      </c>
      <c r="AC4726">
        <v>-24.5825999999999</v>
      </c>
      <c r="AD4726">
        <v>-1.110198041608</v>
      </c>
      <c r="AE4726">
        <v>-1.4838</v>
      </c>
      <c r="AF4726">
        <v>-1.0564061696833</v>
      </c>
      <c r="AG4726">
        <v>-1.110198041608</v>
      </c>
      <c r="AH4726">
        <v>24.554679916551301</v>
      </c>
      <c r="AI4726">
        <v>92.586378785731299</v>
      </c>
      <c r="AJ4726">
        <v>92.463494217316494</v>
      </c>
      <c r="AK4726">
        <v>24.6024559646232</v>
      </c>
      <c r="AL4726">
        <v>79.455618523435007</v>
      </c>
      <c r="AM4726">
        <v>94.309320551686895</v>
      </c>
      <c r="AN4726">
        <v>0.99999998447865202</v>
      </c>
    </row>
    <row r="4727" spans="1:40" x14ac:dyDescent="0.25">
      <c r="A4727" t="str">
        <f>"20190304155729688"</f>
        <v>20190304155729688</v>
      </c>
      <c r="B4727" t="str">
        <f>"1551686249679512"</f>
        <v>1551686249679512</v>
      </c>
      <c r="C4727" t="s">
        <v>40</v>
      </c>
      <c r="D4727">
        <v>5.0185279999999999</v>
      </c>
      <c r="E4727">
        <v>0.50924269999999905</v>
      </c>
      <c r="F4727" t="s">
        <v>41</v>
      </c>
      <c r="G4727">
        <v>-390.74270000000001</v>
      </c>
      <c r="H4727" s="1">
        <v>-4.0807380000000004E-6</v>
      </c>
      <c r="I4727">
        <v>140.09370000000001</v>
      </c>
      <c r="J4727">
        <v>-366.52460000000002</v>
      </c>
      <c r="K4727">
        <v>1.110193</v>
      </c>
      <c r="L4727">
        <v>141.60669999999999</v>
      </c>
      <c r="M4727">
        <v>-0.99974470000000004</v>
      </c>
      <c r="N4727">
        <v>-1.4581780000000001E-2</v>
      </c>
      <c r="O4727">
        <v>-1.7265530000000001E-2</v>
      </c>
      <c r="P4727">
        <v>-0.98145959999999999</v>
      </c>
      <c r="Q4727">
        <v>0.168488</v>
      </c>
      <c r="R4727">
        <v>-9.1374070000000002E-2</v>
      </c>
      <c r="S4727">
        <v>-3.0629270000000002</v>
      </c>
      <c r="T4727">
        <v>-0.13896129999999901</v>
      </c>
      <c r="U4727">
        <v>-0.18991089999999999</v>
      </c>
      <c r="V4727">
        <v>-7.439403E-2</v>
      </c>
      <c r="W4727">
        <v>0.18281049999999999</v>
      </c>
      <c r="X4727">
        <v>0.98032949999999996</v>
      </c>
      <c r="Y4727">
        <v>-4.4588450000000002E-2</v>
      </c>
      <c r="Z4727">
        <v>-8.0507240000000002E-4</v>
      </c>
      <c r="AA4727">
        <v>0.99900509999999998</v>
      </c>
      <c r="AB4727">
        <v>34</v>
      </c>
      <c r="AC4727">
        <v>-24.2181</v>
      </c>
      <c r="AD4727">
        <v>-1.1101970807379999</v>
      </c>
      <c r="AE4727">
        <v>-1.5129999999999699</v>
      </c>
      <c r="AF4727">
        <v>-1.0923051651092901</v>
      </c>
      <c r="AG4727">
        <v>-1.1101970807379999</v>
      </c>
      <c r="AH4727">
        <v>24.189978287071899</v>
      </c>
      <c r="AI4727">
        <v>92.625070040720502</v>
      </c>
      <c r="AJ4727">
        <v>92.585450493617898</v>
      </c>
      <c r="AK4727">
        <v>24.2400643080998</v>
      </c>
      <c r="AL4727">
        <v>79.466493952952703</v>
      </c>
      <c r="AM4727">
        <v>94.339673415621206</v>
      </c>
      <c r="AN4727">
        <v>1.0000000395900599</v>
      </c>
    </row>
    <row r="4728" spans="1:40" x14ac:dyDescent="0.25">
      <c r="A4728" t="str">
        <f>"20190304155729705"</f>
        <v>20190304155729705</v>
      </c>
      <c r="B4728" t="str">
        <f>"1551686249699034"</f>
        <v>1551686249699034</v>
      </c>
      <c r="C4728" t="s">
        <v>40</v>
      </c>
      <c r="D4728">
        <v>4.9962280000000003</v>
      </c>
      <c r="E4728">
        <v>0.50869109999999995</v>
      </c>
      <c r="F4728" t="s">
        <v>41</v>
      </c>
      <c r="G4728">
        <v>-391.03289999999998</v>
      </c>
      <c r="H4728" s="1">
        <v>-3.9484229999999998E-6</v>
      </c>
      <c r="I4728">
        <v>140.06440000000001</v>
      </c>
      <c r="J4728">
        <v>-366.78289999999998</v>
      </c>
      <c r="K4728">
        <v>1.1101939999999999</v>
      </c>
      <c r="L4728">
        <v>141.60230000000001</v>
      </c>
      <c r="M4728">
        <v>-0.99974510000000005</v>
      </c>
      <c r="N4728">
        <v>-1.457899E-2</v>
      </c>
      <c r="O4728">
        <v>-1.7242739999999999E-2</v>
      </c>
      <c r="P4728">
        <v>-0.98141520000000004</v>
      </c>
      <c r="Q4728">
        <v>0.1683452</v>
      </c>
      <c r="R4728">
        <v>-9.2111479999999996E-2</v>
      </c>
      <c r="S4728">
        <v>-3.062592</v>
      </c>
      <c r="T4728">
        <v>-0.13873179999999999</v>
      </c>
      <c r="U4728">
        <v>-0.19271849999999999</v>
      </c>
      <c r="V4728">
        <v>-7.5154299999999993E-2</v>
      </c>
      <c r="W4728">
        <v>0.1826643</v>
      </c>
      <c r="X4728">
        <v>0.98029880000000003</v>
      </c>
      <c r="Y4728">
        <v>-4.5529090000000001E-2</v>
      </c>
      <c r="Z4728">
        <v>-8.3344850000000004E-4</v>
      </c>
      <c r="AA4728">
        <v>0.99896260000000003</v>
      </c>
      <c r="AB4728">
        <v>34</v>
      </c>
      <c r="AC4728">
        <v>-24.25</v>
      </c>
      <c r="AD4728">
        <v>-1.110197948423</v>
      </c>
      <c r="AE4728">
        <v>-1.5379</v>
      </c>
      <c r="AF4728">
        <v>-1.1171583440542201</v>
      </c>
      <c r="AG4728">
        <v>-1.110197948423</v>
      </c>
      <c r="AH4728">
        <v>24.2223494352051</v>
      </c>
      <c r="AI4728">
        <v>92.621453661494101</v>
      </c>
      <c r="AJ4728">
        <v>92.640665848524193</v>
      </c>
      <c r="AK4728">
        <v>24.273499838538999</v>
      </c>
      <c r="AL4728">
        <v>79.475014449886501</v>
      </c>
      <c r="AM4728">
        <v>94.383987459791001</v>
      </c>
      <c r="AN4728">
        <v>1.0000000762921999</v>
      </c>
    </row>
    <row r="4729" spans="1:40" x14ac:dyDescent="0.25">
      <c r="A4729" t="str">
        <f>"20190304155729728"</f>
        <v>20190304155729728</v>
      </c>
      <c r="B4729" t="str">
        <f>"1551686249719528"</f>
        <v>1551686249719528</v>
      </c>
      <c r="C4729" t="s">
        <v>40</v>
      </c>
      <c r="D4729">
        <v>5.0180850000000001</v>
      </c>
      <c r="E4729">
        <v>0.50824559999999996</v>
      </c>
      <c r="F4729" t="s">
        <v>41</v>
      </c>
      <c r="G4729">
        <v>-391.12889999999999</v>
      </c>
      <c r="H4729" s="1">
        <v>-3.8939299999999997E-6</v>
      </c>
      <c r="I4729">
        <v>140.01439999999999</v>
      </c>
      <c r="J4729">
        <v>-367.12670000000003</v>
      </c>
      <c r="K4729">
        <v>1.1101920000000001</v>
      </c>
      <c r="L4729">
        <v>141.59639999999999</v>
      </c>
      <c r="M4729">
        <v>-0.99974549999999995</v>
      </c>
      <c r="N4729">
        <v>-1.457527E-2</v>
      </c>
      <c r="O4729">
        <v>-1.7212189999999999E-2</v>
      </c>
      <c r="P4729">
        <v>-0.98141959999999995</v>
      </c>
      <c r="Q4729">
        <v>0.16831550000000001</v>
      </c>
      <c r="R4729">
        <v>-9.2117130000000005E-2</v>
      </c>
      <c r="S4729">
        <v>-3.0620120000000002</v>
      </c>
      <c r="T4729">
        <v>-0.13963010000000001</v>
      </c>
      <c r="U4729">
        <v>-0.1996918</v>
      </c>
      <c r="V4729">
        <v>-7.5189359999999997E-2</v>
      </c>
      <c r="W4729">
        <v>0.1826314</v>
      </c>
      <c r="X4729">
        <v>0.98030220000000001</v>
      </c>
      <c r="Y4729">
        <v>-4.7833319999999999E-2</v>
      </c>
      <c r="Z4729">
        <v>-9.0517950000000005E-4</v>
      </c>
      <c r="AA4729">
        <v>0.99885489999999999</v>
      </c>
      <c r="AB4729">
        <v>34</v>
      </c>
      <c r="AC4729">
        <v>-24.002199999999899</v>
      </c>
      <c r="AD4729">
        <v>-1.1101958939299901</v>
      </c>
      <c r="AE4729">
        <v>-1.5819999999999901</v>
      </c>
      <c r="AF4729">
        <v>-1.1661072180313501</v>
      </c>
      <c r="AG4729">
        <v>-1.1101958939299901</v>
      </c>
      <c r="AH4729">
        <v>23.974805675343902</v>
      </c>
      <c r="AI4729">
        <v>92.648162578032299</v>
      </c>
      <c r="AJ4729">
        <v>92.784606900821004</v>
      </c>
      <c r="AK4729">
        <v>24.028808712404899</v>
      </c>
      <c r="AL4729">
        <v>79.476931300883095</v>
      </c>
      <c r="AM4729">
        <v>94.386009488909593</v>
      </c>
      <c r="AN4729">
        <v>1.000000035724</v>
      </c>
    </row>
    <row r="4730" spans="1:40" x14ac:dyDescent="0.25">
      <c r="A4730" t="str">
        <f>"20190304155729751"</f>
        <v>20190304155729751</v>
      </c>
      <c r="B4730" t="str">
        <f>"1551686249739049"</f>
        <v>1551686249739049</v>
      </c>
      <c r="C4730" t="s">
        <v>40</v>
      </c>
      <c r="D4730">
        <v>4.9540009999999999</v>
      </c>
      <c r="E4730">
        <v>0.50853779999999904</v>
      </c>
      <c r="F4730" t="s">
        <v>41</v>
      </c>
      <c r="G4730">
        <v>-391.29750000000001</v>
      </c>
      <c r="H4730" s="1">
        <v>-3.8155659999999998E-6</v>
      </c>
      <c r="I4730">
        <v>139.99160000000001</v>
      </c>
      <c r="J4730">
        <v>-367.4751</v>
      </c>
      <c r="K4730">
        <v>1.110195</v>
      </c>
      <c r="L4730">
        <v>141.59039999999999</v>
      </c>
      <c r="M4730">
        <v>-0.99974609999999997</v>
      </c>
      <c r="N4730">
        <v>-1.4571499999999999E-2</v>
      </c>
      <c r="O4730">
        <v>-1.7181289999999998E-2</v>
      </c>
      <c r="P4730">
        <v>-0.98137929999999995</v>
      </c>
      <c r="Q4730">
        <v>0.16847790000000001</v>
      </c>
      <c r="R4730">
        <v>-9.2248250000000004E-2</v>
      </c>
      <c r="S4730">
        <v>-3.0618590000000001</v>
      </c>
      <c r="T4730">
        <v>-0.1406355</v>
      </c>
      <c r="U4730">
        <v>-0.2032776</v>
      </c>
      <c r="V4730">
        <v>-7.5351669999999996E-2</v>
      </c>
      <c r="W4730">
        <v>0.18278900000000001</v>
      </c>
      <c r="X4730">
        <v>0.98026029999999997</v>
      </c>
      <c r="Y4730">
        <v>-4.9029820000000002E-2</v>
      </c>
      <c r="Z4730">
        <v>-9.4436629999999997E-4</v>
      </c>
      <c r="AA4730">
        <v>0.99879689999999999</v>
      </c>
      <c r="AB4730">
        <v>34</v>
      </c>
      <c r="AC4730">
        <v>-23.822399999999998</v>
      </c>
      <c r="AD4730">
        <v>-1.1101988155660001</v>
      </c>
      <c r="AE4730">
        <v>-1.59879999999998</v>
      </c>
      <c r="AF4730">
        <v>-1.1866552015832901</v>
      </c>
      <c r="AG4730">
        <v>-1.1101988155660001</v>
      </c>
      <c r="AH4730">
        <v>23.7949078904531</v>
      </c>
      <c r="AI4730">
        <v>92.668000613470497</v>
      </c>
      <c r="AJ4730">
        <v>92.854982855602799</v>
      </c>
      <c r="AK4730">
        <v>23.850331936739899</v>
      </c>
      <c r="AL4730">
        <v>79.467746228215105</v>
      </c>
      <c r="AM4730">
        <v>94.395627570875405</v>
      </c>
      <c r="AN4730">
        <v>0.99999997422443898</v>
      </c>
    </row>
    <row r="4731" spans="1:40" x14ac:dyDescent="0.25">
      <c r="A4731" t="str">
        <f>"20190304155729772"</f>
        <v>20190304155729772</v>
      </c>
      <c r="B4731" t="str">
        <f>"1551686249759545"</f>
        <v>1551686249759545</v>
      </c>
      <c r="C4731" t="s">
        <v>40</v>
      </c>
      <c r="D4731">
        <v>5.069483</v>
      </c>
      <c r="E4731">
        <v>0.50821269999999996</v>
      </c>
      <c r="F4731" t="s">
        <v>41</v>
      </c>
      <c r="G4731">
        <v>-391.6456</v>
      </c>
      <c r="H4731" s="1">
        <v>-3.6689179999999998E-6</v>
      </c>
      <c r="I4731">
        <v>140.0018</v>
      </c>
      <c r="J4731">
        <v>-367.78750000000002</v>
      </c>
      <c r="K4731">
        <v>1.1101989999999999</v>
      </c>
      <c r="L4731">
        <v>141.58510000000001</v>
      </c>
      <c r="M4731">
        <v>-0.99974680000000005</v>
      </c>
      <c r="N4731">
        <v>-1.4568090000000001E-2</v>
      </c>
      <c r="O4731">
        <v>-1.715349E-2</v>
      </c>
      <c r="P4731">
        <v>-0.98136290000000004</v>
      </c>
      <c r="Q4731">
        <v>0.16876269999999999</v>
      </c>
      <c r="R4731">
        <v>-9.1903979999999996E-2</v>
      </c>
      <c r="S4731">
        <v>-3.0621640000000001</v>
      </c>
      <c r="T4731">
        <v>-0.1406512</v>
      </c>
      <c r="U4731">
        <v>-0.20124819999999999</v>
      </c>
      <c r="V4731">
        <v>-7.5035420000000005E-2</v>
      </c>
      <c r="W4731">
        <v>0.18307029999999999</v>
      </c>
      <c r="X4731">
        <v>0.98023210000000005</v>
      </c>
      <c r="Y4731">
        <v>-4.83928E-2</v>
      </c>
      <c r="Z4731">
        <v>-9.2584630000000002E-4</v>
      </c>
      <c r="AA4731">
        <v>0.99882789999999999</v>
      </c>
      <c r="AB4731">
        <v>34</v>
      </c>
      <c r="AC4731">
        <v>-23.858099999999901</v>
      </c>
      <c r="AD4731">
        <v>-1.110202668918</v>
      </c>
      <c r="AE4731">
        <v>-1.5832999999999999</v>
      </c>
      <c r="AF4731">
        <v>-1.17124883963867</v>
      </c>
      <c r="AG4731">
        <v>-1.110202668918</v>
      </c>
      <c r="AH4731">
        <v>23.8303755647236</v>
      </c>
      <c r="AI4731">
        <v>92.664139375997095</v>
      </c>
      <c r="AJ4731">
        <v>92.8137893498604</v>
      </c>
      <c r="AK4731">
        <v>23.884957051797301</v>
      </c>
      <c r="AL4731">
        <v>79.451352669454593</v>
      </c>
      <c r="AM4731">
        <v>94.377376466224405</v>
      </c>
      <c r="AN4731">
        <v>1.00000000943353</v>
      </c>
    </row>
    <row r="4732" spans="1:40" x14ac:dyDescent="0.25">
      <c r="A4732" t="str">
        <f>"20190304155729794"</f>
        <v>20190304155729794</v>
      </c>
      <c r="B4732" t="str">
        <f>"1551686249789801"</f>
        <v>1551686249789801</v>
      </c>
      <c r="C4732" t="s">
        <v>40</v>
      </c>
      <c r="D4732">
        <v>5.0267970000000002</v>
      </c>
      <c r="E4732">
        <v>0.50794919999999999</v>
      </c>
      <c r="F4732" t="s">
        <v>41</v>
      </c>
      <c r="G4732">
        <v>-391.97660000000002</v>
      </c>
      <c r="H4732" s="1">
        <v>-3.5217059999999998E-6</v>
      </c>
      <c r="I4732">
        <v>139.9821</v>
      </c>
      <c r="J4732">
        <v>-368.12720000000002</v>
      </c>
      <c r="K4732">
        <v>1.110201</v>
      </c>
      <c r="L4732">
        <v>141.57929999999999</v>
      </c>
      <c r="M4732">
        <v>-0.99974750000000001</v>
      </c>
      <c r="N4732">
        <v>-1.456438E-2</v>
      </c>
      <c r="O4732">
        <v>-1.7123550000000001E-2</v>
      </c>
      <c r="P4732">
        <v>-0.98132050000000004</v>
      </c>
      <c r="Q4732">
        <v>0.1691349</v>
      </c>
      <c r="R4732">
        <v>-9.1673290000000004E-2</v>
      </c>
      <c r="S4732">
        <v>-3.062103</v>
      </c>
      <c r="T4732">
        <v>-0.14054129999999901</v>
      </c>
      <c r="U4732">
        <v>-0.20291139999999999</v>
      </c>
      <c r="V4732">
        <v>-7.4834349999999994E-2</v>
      </c>
      <c r="W4732">
        <v>0.18343770000000001</v>
      </c>
      <c r="X4732">
        <v>0.98017880000000002</v>
      </c>
      <c r="Y4732">
        <v>-4.8963449999999999E-2</v>
      </c>
      <c r="Z4732">
        <v>-9.4361759999999999E-4</v>
      </c>
      <c r="AA4732">
        <v>0.99880009999999997</v>
      </c>
      <c r="AB4732">
        <v>34</v>
      </c>
      <c r="AC4732">
        <v>-23.849399999999999</v>
      </c>
      <c r="AD4732">
        <v>-1.1102045217059999</v>
      </c>
      <c r="AE4732">
        <v>-1.59719999999998</v>
      </c>
      <c r="AF4732">
        <v>-1.18597764661336</v>
      </c>
      <c r="AG4732">
        <v>-1.1102045217059999</v>
      </c>
      <c r="AH4732">
        <v>23.821864559508999</v>
      </c>
      <c r="AI4732">
        <v>92.665010780249602</v>
      </c>
      <c r="AJ4732">
        <v>92.850131903748903</v>
      </c>
      <c r="AK4732">
        <v>23.877192635439201</v>
      </c>
      <c r="AL4732">
        <v>79.429939747099795</v>
      </c>
      <c r="AM4732">
        <v>94.365928439167206</v>
      </c>
      <c r="AN4732">
        <v>1.00000002484532</v>
      </c>
    </row>
    <row r="4733" spans="1:40" x14ac:dyDescent="0.25">
      <c r="A4733" t="str">
        <f>"20190304155729807"</f>
        <v>20190304155729807</v>
      </c>
      <c r="B4733" t="str">
        <f>"1551686249799561"</f>
        <v>1551686249799561</v>
      </c>
      <c r="C4733" t="s">
        <v>40</v>
      </c>
      <c r="D4733">
        <v>5.0517570000000003</v>
      </c>
      <c r="E4733">
        <v>0.50780909999999901</v>
      </c>
      <c r="F4733" t="s">
        <v>41</v>
      </c>
      <c r="G4733">
        <v>-392.51900000000001</v>
      </c>
      <c r="H4733" s="1">
        <v>-3.2814649999999999E-6</v>
      </c>
      <c r="I4733">
        <v>139.9539</v>
      </c>
      <c r="J4733">
        <v>-368.3331</v>
      </c>
      <c r="K4733">
        <v>1.110201</v>
      </c>
      <c r="L4733">
        <v>141.57579999999999</v>
      </c>
      <c r="M4733">
        <v>-0.99974759999999996</v>
      </c>
      <c r="N4733">
        <v>-1.4562149999999999E-2</v>
      </c>
      <c r="O4733">
        <v>-1.7105180000000001E-2</v>
      </c>
      <c r="P4733">
        <v>-0.98125879999999999</v>
      </c>
      <c r="Q4733">
        <v>0.16955490000000001</v>
      </c>
      <c r="R4733">
        <v>-9.1556299999999993E-2</v>
      </c>
      <c r="S4733">
        <v>-3.0620729999999998</v>
      </c>
      <c r="T4733">
        <v>-0.13937160000000001</v>
      </c>
      <c r="U4733">
        <v>-0.20404050000000001</v>
      </c>
      <c r="V4733">
        <v>-7.4736830000000004E-2</v>
      </c>
      <c r="W4733">
        <v>0.1838544</v>
      </c>
      <c r="X4733">
        <v>0.98010810000000004</v>
      </c>
      <c r="Y4733">
        <v>-4.9349400000000002E-2</v>
      </c>
      <c r="Z4733">
        <v>-9.5287170000000001E-4</v>
      </c>
      <c r="AA4733">
        <v>0.99878109999999998</v>
      </c>
      <c r="AB4733">
        <v>34</v>
      </c>
      <c r="AC4733">
        <v>-24.1859</v>
      </c>
      <c r="AD4733">
        <v>-1.1102042814649999</v>
      </c>
      <c r="AE4733">
        <v>-1.6218999999999799</v>
      </c>
      <c r="AF4733">
        <v>-1.20538611932026</v>
      </c>
      <c r="AG4733">
        <v>-1.1102042814649999</v>
      </c>
      <c r="AH4733">
        <v>24.1594286021903</v>
      </c>
      <c r="AI4733">
        <v>92.627812254240595</v>
      </c>
      <c r="AJ4733">
        <v>92.856289237507994</v>
      </c>
      <c r="AK4733">
        <v>24.214943725467698</v>
      </c>
      <c r="AL4733">
        <v>79.405650827422605</v>
      </c>
      <c r="AM4733">
        <v>94.360574270925696</v>
      </c>
      <c r="AN4733">
        <v>0.99999996092170795</v>
      </c>
    </row>
    <row r="4734" spans="1:40" x14ac:dyDescent="0.25">
      <c r="A4734" t="str">
        <f>"20190304155729823"</f>
        <v>20190304155729823</v>
      </c>
      <c r="B4734" t="str">
        <f>"1551686249819081"</f>
        <v>1551686249819081</v>
      </c>
      <c r="C4734" t="s">
        <v>40</v>
      </c>
      <c r="D4734">
        <v>5.1677549999999997</v>
      </c>
      <c r="E4734">
        <v>0.50787340000000003</v>
      </c>
      <c r="F4734" t="s">
        <v>41</v>
      </c>
      <c r="G4734">
        <v>-392.80259999999998</v>
      </c>
      <c r="H4734" s="1">
        <v>-3.1559300000000001E-6</v>
      </c>
      <c r="I4734">
        <v>139.9393</v>
      </c>
      <c r="J4734">
        <v>-368.56200000000001</v>
      </c>
      <c r="K4734">
        <v>1.1102030000000001</v>
      </c>
      <c r="L4734">
        <v>141.5719</v>
      </c>
      <c r="M4734">
        <v>-0.99974810000000003</v>
      </c>
      <c r="N4734">
        <v>-1.455968E-2</v>
      </c>
      <c r="O4734">
        <v>-1.7085010000000001E-2</v>
      </c>
      <c r="P4734">
        <v>-0.98123369999999999</v>
      </c>
      <c r="Q4734">
        <v>0.16979849999999999</v>
      </c>
      <c r="R4734">
        <v>-9.1374700000000003E-2</v>
      </c>
      <c r="S4734">
        <v>-3.0621640000000001</v>
      </c>
      <c r="T4734">
        <v>-0.13893339999999901</v>
      </c>
      <c r="U4734">
        <v>-0.2047882</v>
      </c>
      <c r="V4734">
        <v>-7.4575450000000001E-2</v>
      </c>
      <c r="W4734">
        <v>0.18409539999999999</v>
      </c>
      <c r="X4734">
        <v>0.98007520000000004</v>
      </c>
      <c r="Y4734">
        <v>-4.9610300000000003E-2</v>
      </c>
      <c r="Z4734">
        <v>-9.6010680000000001E-4</v>
      </c>
      <c r="AA4734">
        <v>0.99876819999999999</v>
      </c>
      <c r="AB4734">
        <v>34</v>
      </c>
      <c r="AC4734">
        <v>-24.240600000000001</v>
      </c>
      <c r="AD4734">
        <v>-1.11020615593</v>
      </c>
      <c r="AE4734">
        <v>-1.6325999999999901</v>
      </c>
      <c r="AF4734">
        <v>-1.21562851338086</v>
      </c>
      <c r="AG4734">
        <v>-1.11020615593</v>
      </c>
      <c r="AH4734">
        <v>24.2143945362415</v>
      </c>
      <c r="AI4734">
        <v>92.621819470380103</v>
      </c>
      <c r="AJ4734">
        <v>92.873991249196806</v>
      </c>
      <c r="AK4734">
        <v>24.2702948714672</v>
      </c>
      <c r="AL4734">
        <v>79.391603238757199</v>
      </c>
      <c r="AM4734">
        <v>94.351340141723796</v>
      </c>
      <c r="AN4734">
        <v>1.00000000584945</v>
      </c>
    </row>
    <row r="4735" spans="1:40" x14ac:dyDescent="0.25">
      <c r="A4735" t="str">
        <f>"20190304155729838"</f>
        <v>20190304155729838</v>
      </c>
      <c r="B4735" t="str">
        <f>"1551686249829817"</f>
        <v>1551686249829817</v>
      </c>
      <c r="C4735" t="s">
        <v>40</v>
      </c>
      <c r="D4735">
        <v>5.1277710000000001</v>
      </c>
      <c r="E4735">
        <v>0.50804129999999903</v>
      </c>
      <c r="F4735" t="s">
        <v>41</v>
      </c>
      <c r="G4735">
        <v>-393.2432</v>
      </c>
      <c r="H4735" s="1">
        <v>-2.9636509999999998E-6</v>
      </c>
      <c r="I4735">
        <v>139.92689999999999</v>
      </c>
      <c r="J4735">
        <v>-368.78789999999998</v>
      </c>
      <c r="K4735">
        <v>1.110204</v>
      </c>
      <c r="L4735">
        <v>141.56809999999999</v>
      </c>
      <c r="M4735">
        <v>-0.99974850000000004</v>
      </c>
      <c r="N4735">
        <v>-1.455714E-2</v>
      </c>
      <c r="O4735">
        <v>-1.7064849999999999E-2</v>
      </c>
      <c r="P4735">
        <v>-0.98124619999999996</v>
      </c>
      <c r="Q4735">
        <v>0.17002799999999901</v>
      </c>
      <c r="R4735">
        <v>-9.0810680000000005E-2</v>
      </c>
      <c r="S4735">
        <v>-3.0622250000000002</v>
      </c>
      <c r="T4735">
        <v>-0.13774510000000001</v>
      </c>
      <c r="U4735">
        <v>-0.2040863</v>
      </c>
      <c r="V4735">
        <v>-7.4031050000000001E-2</v>
      </c>
      <c r="W4735">
        <v>0.18432270000000001</v>
      </c>
      <c r="X4735">
        <v>0.98007379999999999</v>
      </c>
      <c r="Y4735">
        <v>-4.940228E-2</v>
      </c>
      <c r="Z4735">
        <v>-9.5142779999999997E-4</v>
      </c>
      <c r="AA4735">
        <v>0.99877850000000001</v>
      </c>
      <c r="AB4735">
        <v>34</v>
      </c>
      <c r="AC4735">
        <v>-24.455300000000001</v>
      </c>
      <c r="AD4735">
        <v>-1.1102069636509999</v>
      </c>
      <c r="AE4735">
        <v>-1.64119999999999</v>
      </c>
      <c r="AF4735">
        <v>-1.2210854721371001</v>
      </c>
      <c r="AG4735">
        <v>-1.1102069636509999</v>
      </c>
      <c r="AH4735">
        <v>24.4296261240432</v>
      </c>
      <c r="AI4735">
        <v>92.598782619501307</v>
      </c>
      <c r="AJ4735">
        <v>92.861479175020193</v>
      </c>
      <c r="AK4735">
        <v>24.485306650988399</v>
      </c>
      <c r="AL4735">
        <v>79.378353675626698</v>
      </c>
      <c r="AM4735">
        <v>94.319702223414296</v>
      </c>
      <c r="AN4735">
        <v>1.0000000537729099</v>
      </c>
    </row>
    <row r="4736" spans="1:40" x14ac:dyDescent="0.25">
      <c r="A4736" t="str">
        <f>"20190304155729853"</f>
        <v>20190304155729853</v>
      </c>
      <c r="B4736" t="str">
        <f>"1551686249849337"</f>
        <v>1551686249849337</v>
      </c>
      <c r="C4736" t="s">
        <v>40</v>
      </c>
      <c r="D4736">
        <v>5.0698569999999998</v>
      </c>
      <c r="E4736">
        <v>0.50795219999999996</v>
      </c>
      <c r="F4736" t="s">
        <v>41</v>
      </c>
      <c r="G4736">
        <v>-393.642</v>
      </c>
      <c r="H4736" s="1">
        <v>-2.794119E-6</v>
      </c>
      <c r="I4736">
        <v>139.93279999999999</v>
      </c>
      <c r="J4736">
        <v>-368.99849999999998</v>
      </c>
      <c r="K4736">
        <v>1.1102050000000001</v>
      </c>
      <c r="L4736">
        <v>141.56450000000001</v>
      </c>
      <c r="M4736">
        <v>-0.99974890000000005</v>
      </c>
      <c r="N4736">
        <v>-1.455472E-2</v>
      </c>
      <c r="O4736">
        <v>-1.7046349999999998E-2</v>
      </c>
      <c r="P4736">
        <v>-0.98124869999999997</v>
      </c>
      <c r="Q4736">
        <v>0.170023799999999</v>
      </c>
      <c r="R4736">
        <v>-9.0791650000000002E-2</v>
      </c>
      <c r="S4736">
        <v>-3.0624389999999999</v>
      </c>
      <c r="T4736">
        <v>-0.13679620000000001</v>
      </c>
      <c r="U4736">
        <v>-0.20147709999999999</v>
      </c>
      <c r="V4736">
        <v>-7.4030209999999999E-2</v>
      </c>
      <c r="W4736">
        <v>0.18431610000000001</v>
      </c>
      <c r="X4736">
        <v>0.98007509999999998</v>
      </c>
      <c r="Y4736">
        <v>-4.8570589999999997E-2</v>
      </c>
      <c r="Z4736">
        <v>-9.2489099999999995E-4</v>
      </c>
      <c r="AA4736">
        <v>0.99881940000000002</v>
      </c>
      <c r="AB4736">
        <v>34</v>
      </c>
      <c r="AC4736">
        <v>-24.6435</v>
      </c>
      <c r="AD4736">
        <v>-1.1102077941189901</v>
      </c>
      <c r="AE4736">
        <v>-1.6317000000000199</v>
      </c>
      <c r="AF4736">
        <v>-1.2088938714631501</v>
      </c>
      <c r="AG4736">
        <v>-1.1102077941189901</v>
      </c>
      <c r="AH4736">
        <v>24.617990208809701</v>
      </c>
      <c r="AI4736">
        <v>92.579038680037399</v>
      </c>
      <c r="AJ4736">
        <v>92.811314874972894</v>
      </c>
      <c r="AK4736">
        <v>24.672645331614401</v>
      </c>
      <c r="AL4736">
        <v>79.378738370410701</v>
      </c>
      <c r="AM4736">
        <v>94.319647687015603</v>
      </c>
      <c r="AN4736">
        <v>1.00000004917593</v>
      </c>
    </row>
    <row r="4737" spans="1:40" x14ac:dyDescent="0.25">
      <c r="A4737" t="str">
        <f>"20190304155729866"</f>
        <v>20190304155729866</v>
      </c>
      <c r="B4737" t="str">
        <f>"1551686249859097"</f>
        <v>1551686249859097</v>
      </c>
      <c r="C4737" t="s">
        <v>40</v>
      </c>
      <c r="D4737">
        <v>5.1749939999999999</v>
      </c>
      <c r="E4737">
        <v>0.50816450000000002</v>
      </c>
      <c r="F4737" t="s">
        <v>41</v>
      </c>
      <c r="G4737">
        <v>-393.9187</v>
      </c>
      <c r="H4737" s="1">
        <v>-2.6717120000000001E-6</v>
      </c>
      <c r="I4737">
        <v>139.9188</v>
      </c>
      <c r="J4737">
        <v>-369.21390000000002</v>
      </c>
      <c r="K4737">
        <v>1.1102080000000001</v>
      </c>
      <c r="L4737">
        <v>141.5608</v>
      </c>
      <c r="M4737">
        <v>-0.99974909999999995</v>
      </c>
      <c r="N4737">
        <v>-1.4552320000000001E-2</v>
      </c>
      <c r="O4737">
        <v>-1.702774E-2</v>
      </c>
      <c r="P4737">
        <v>-0.98126389999999997</v>
      </c>
      <c r="Q4737">
        <v>0.16995850000000001</v>
      </c>
      <c r="R4737">
        <v>-9.0748209999999996E-2</v>
      </c>
      <c r="S4737">
        <v>-3.0622560000000001</v>
      </c>
      <c r="T4737">
        <v>-0.13642550000000001</v>
      </c>
      <c r="U4737">
        <v>-0.20220949999999999</v>
      </c>
      <c r="V4737">
        <v>-7.4005000000000001E-2</v>
      </c>
      <c r="W4737">
        <v>0.1842481</v>
      </c>
      <c r="X4737">
        <v>0.98008969999999995</v>
      </c>
      <c r="Y4737">
        <v>-4.883084E-2</v>
      </c>
      <c r="Z4737">
        <v>-9.3217690000000004E-4</v>
      </c>
      <c r="AA4737">
        <v>0.99880670000000005</v>
      </c>
      <c r="AB4737">
        <v>34</v>
      </c>
      <c r="AC4737">
        <v>-24.704799999999899</v>
      </c>
      <c r="AD4737">
        <v>-1.1102106717119999</v>
      </c>
      <c r="AE4737">
        <v>-1.6419999999999899</v>
      </c>
      <c r="AF4737">
        <v>-1.21860025938425</v>
      </c>
      <c r="AG4737">
        <v>-1.1102106717119999</v>
      </c>
      <c r="AH4737">
        <v>24.679558339574399</v>
      </c>
      <c r="AI4737">
        <v>92.572585887676496</v>
      </c>
      <c r="AJ4737">
        <v>92.826792559419701</v>
      </c>
      <c r="AK4737">
        <v>24.734553850114398</v>
      </c>
      <c r="AL4737">
        <v>79.382701428360505</v>
      </c>
      <c r="AM4737">
        <v>94.318118170640602</v>
      </c>
      <c r="AN4737">
        <v>0.99999996121234902</v>
      </c>
    </row>
    <row r="4738" spans="1:40" x14ac:dyDescent="0.25">
      <c r="A4738" t="str">
        <f>"20190304155729881"</f>
        <v>20190304155729881</v>
      </c>
      <c r="B4738" t="str">
        <f>"1551686249869833"</f>
        <v>1551686249869833</v>
      </c>
      <c r="C4738" t="s">
        <v>40</v>
      </c>
      <c r="D4738">
        <v>5.0881350000000003</v>
      </c>
      <c r="E4738">
        <v>0.50801160000000001</v>
      </c>
      <c r="F4738" t="s">
        <v>41</v>
      </c>
      <c r="G4738">
        <v>-394.18729999999999</v>
      </c>
      <c r="H4738" s="1">
        <v>-2.5585480000000002E-6</v>
      </c>
      <c r="I4738">
        <v>139.92660000000001</v>
      </c>
      <c r="J4738">
        <v>-369.42290000000003</v>
      </c>
      <c r="K4738">
        <v>1.1102099999999999</v>
      </c>
      <c r="L4738">
        <v>141.5573</v>
      </c>
      <c r="M4738">
        <v>-0.99974949999999996</v>
      </c>
      <c r="N4738">
        <v>-1.455009E-2</v>
      </c>
      <c r="O4738">
        <v>-1.7010089999999999E-2</v>
      </c>
      <c r="P4738">
        <v>-0.98125209999999996</v>
      </c>
      <c r="Q4738">
        <v>0.17008239999999999</v>
      </c>
      <c r="R4738">
        <v>-9.0644870000000002E-2</v>
      </c>
      <c r="S4738">
        <v>-3.0622859999999998</v>
      </c>
      <c r="T4738">
        <v>-0.13613620000000001</v>
      </c>
      <c r="U4738">
        <v>-0.20037840000000001</v>
      </c>
      <c r="V4738">
        <v>-7.3919159999999998E-2</v>
      </c>
      <c r="W4738">
        <v>0.18437000000000001</v>
      </c>
      <c r="X4738">
        <v>0.98007330000000004</v>
      </c>
      <c r="Y4738">
        <v>-4.8254100000000001E-2</v>
      </c>
      <c r="Z4738">
        <v>-9.1491089999999999E-4</v>
      </c>
      <c r="AA4738">
        <v>0.99883469999999996</v>
      </c>
      <c r="AB4738">
        <v>34</v>
      </c>
      <c r="AC4738">
        <v>-24.764399999999899</v>
      </c>
      <c r="AD4738">
        <v>-1.1102125585480001</v>
      </c>
      <c r="AE4738">
        <v>-1.63069999999999</v>
      </c>
      <c r="AF4738">
        <v>-1.2067598745385799</v>
      </c>
      <c r="AG4738">
        <v>-1.1102125585480001</v>
      </c>
      <c r="AH4738">
        <v>24.739051246151899</v>
      </c>
      <c r="AI4738">
        <v>92.566486884818204</v>
      </c>
      <c r="AJ4738">
        <v>92.792648962767203</v>
      </c>
      <c r="AK4738">
        <v>24.793335755393699</v>
      </c>
      <c r="AL4738">
        <v>79.375595817344504</v>
      </c>
      <c r="AM4738">
        <v>94.313200304776203</v>
      </c>
      <c r="AN4738">
        <v>1.00000000624399</v>
      </c>
    </row>
    <row r="4739" spans="1:40" x14ac:dyDescent="0.25">
      <c r="A4739" t="str">
        <f>"20190304155729895"</f>
        <v>20190304155729895</v>
      </c>
      <c r="B4739" t="str">
        <f>"1551686249889353"</f>
        <v>1551686249889353</v>
      </c>
      <c r="C4739" t="s">
        <v>40</v>
      </c>
      <c r="D4739">
        <v>5.0766349999999996</v>
      </c>
      <c r="E4739">
        <v>0.5080848</v>
      </c>
      <c r="F4739" t="s">
        <v>41</v>
      </c>
      <c r="G4739">
        <v>-394.43259999999998</v>
      </c>
      <c r="H4739" s="1">
        <v>-2.4501949999999999E-6</v>
      </c>
      <c r="I4739">
        <v>139.91499999999999</v>
      </c>
      <c r="J4739">
        <v>-369.63619999999997</v>
      </c>
      <c r="K4739">
        <v>1.1102080000000001</v>
      </c>
      <c r="L4739">
        <v>141.55369999999999</v>
      </c>
      <c r="M4739">
        <v>-0.99974980000000002</v>
      </c>
      <c r="N4739">
        <v>-1.4547849999999999E-2</v>
      </c>
      <c r="O4739">
        <v>-1.6991840000000001E-2</v>
      </c>
      <c r="P4739">
        <v>-0.98127030000000004</v>
      </c>
      <c r="Q4739">
        <v>0.1699746</v>
      </c>
      <c r="R4739">
        <v>-9.0650659999999994E-2</v>
      </c>
      <c r="S4739">
        <v>-3.0623170000000002</v>
      </c>
      <c r="T4739">
        <v>-0.13594020000000001</v>
      </c>
      <c r="U4739">
        <v>-0.20108029999999999</v>
      </c>
      <c r="V4739">
        <v>-7.3942679999999997E-2</v>
      </c>
      <c r="W4739">
        <v>0.18426039999999999</v>
      </c>
      <c r="X4739">
        <v>0.98009219999999997</v>
      </c>
      <c r="Y4739">
        <v>-4.849945E-2</v>
      </c>
      <c r="Z4739">
        <v>-9.2212800000000003E-4</v>
      </c>
      <c r="AA4739">
        <v>0.99882280000000001</v>
      </c>
      <c r="AB4739">
        <v>34</v>
      </c>
      <c r="AC4739">
        <v>-24.796399999999998</v>
      </c>
      <c r="AD4739">
        <v>-1.1102104501950001</v>
      </c>
      <c r="AE4739">
        <v>-1.6387</v>
      </c>
      <c r="AF4739">
        <v>-1.21465797212737</v>
      </c>
      <c r="AG4739">
        <v>-1.1102104501950001</v>
      </c>
      <c r="AH4739">
        <v>24.771225703589</v>
      </c>
      <c r="AI4739">
        <v>92.563121047106307</v>
      </c>
      <c r="AJ4739">
        <v>92.807252164962094</v>
      </c>
      <c r="AK4739">
        <v>24.825824942811501</v>
      </c>
      <c r="AL4739">
        <v>79.381985557961798</v>
      </c>
      <c r="AM4739">
        <v>94.314484633253798</v>
      </c>
      <c r="AN4739">
        <v>1.00000006771728</v>
      </c>
    </row>
    <row r="4740" spans="1:40" x14ac:dyDescent="0.25">
      <c r="A4740" t="str">
        <f>"20190304155729909"</f>
        <v>20190304155729909</v>
      </c>
      <c r="B4740" t="str">
        <f>"1551686249899113"</f>
        <v>1551686249899113</v>
      </c>
      <c r="C4740" t="s">
        <v>40</v>
      </c>
      <c r="D4740">
        <v>5.0738750000000001</v>
      </c>
      <c r="E4740">
        <v>0.50808759999999997</v>
      </c>
      <c r="F4740" t="s">
        <v>41</v>
      </c>
      <c r="G4740">
        <v>-394.69749999999999</v>
      </c>
      <c r="H4740" s="1">
        <v>-2.335051E-6</v>
      </c>
      <c r="I4740">
        <v>139.9093</v>
      </c>
      <c r="J4740">
        <v>-369.8553</v>
      </c>
      <c r="K4740">
        <v>1.110209</v>
      </c>
      <c r="L4740">
        <v>141.55000000000001</v>
      </c>
      <c r="M4740">
        <v>-0.99975009999999997</v>
      </c>
      <c r="N4740">
        <v>-1.4545600000000001E-2</v>
      </c>
      <c r="O4740">
        <v>-1.6973350000000002E-2</v>
      </c>
      <c r="P4740">
        <v>-0.98125079999999998</v>
      </c>
      <c r="Q4740">
        <v>0.170039</v>
      </c>
      <c r="R4740">
        <v>-9.0739650000000005E-2</v>
      </c>
      <c r="S4740">
        <v>-3.062195</v>
      </c>
      <c r="T4740">
        <v>-0.13565469999999999</v>
      </c>
      <c r="U4740">
        <v>-0.20091249999999999</v>
      </c>
      <c r="V4740">
        <v>-7.4050210000000005E-2</v>
      </c>
      <c r="W4740">
        <v>0.18432219999999999</v>
      </c>
      <c r="X4740">
        <v>0.98007239999999995</v>
      </c>
      <c r="Y4740">
        <v>-4.8466229999999999E-2</v>
      </c>
      <c r="Z4740">
        <v>-9.2094430000000003E-4</v>
      </c>
      <c r="AA4740">
        <v>0.99882439999999995</v>
      </c>
      <c r="AB4740">
        <v>33</v>
      </c>
      <c r="AC4740">
        <v>-24.842199999999899</v>
      </c>
      <c r="AD4740">
        <v>-1.1102113350509999</v>
      </c>
      <c r="AE4740">
        <v>-1.6407</v>
      </c>
      <c r="AF4740">
        <v>-1.2163448245942901</v>
      </c>
      <c r="AG4740">
        <v>-1.1102113350509999</v>
      </c>
      <c r="AH4740">
        <v>24.817121063583901</v>
      </c>
      <c r="AI4740">
        <v>92.558392136249793</v>
      </c>
      <c r="AJ4740">
        <v>92.805954025173804</v>
      </c>
      <c r="AK4740">
        <v>24.871702029120801</v>
      </c>
      <c r="AL4740">
        <v>79.378382332473706</v>
      </c>
      <c r="AM4740">
        <v>94.320822122393196</v>
      </c>
      <c r="AN4740">
        <v>1.00000000812782</v>
      </c>
    </row>
    <row r="4741" spans="1:40" x14ac:dyDescent="0.25">
      <c r="A4741" t="str">
        <f>"20190304155729929"</f>
        <v>20190304155729929</v>
      </c>
      <c r="B4741" t="str">
        <f>"1551686249919609"</f>
        <v>1551686249919609</v>
      </c>
      <c r="C4741" t="s">
        <v>40</v>
      </c>
      <c r="D4741">
        <v>5.1136910000000002</v>
      </c>
      <c r="E4741">
        <v>0.508081</v>
      </c>
      <c r="F4741" t="s">
        <v>41</v>
      </c>
      <c r="G4741">
        <v>-394.97579999999999</v>
      </c>
      <c r="H4741" s="1">
        <v>-2.2129020000000001E-6</v>
      </c>
      <c r="I4741">
        <v>139.8989</v>
      </c>
      <c r="J4741">
        <v>-370.1379</v>
      </c>
      <c r="K4741">
        <v>1.1102080000000001</v>
      </c>
      <c r="L4741">
        <v>141.54519999999999</v>
      </c>
      <c r="M4741">
        <v>-0.99975060000000004</v>
      </c>
      <c r="N4741">
        <v>-1.4542660000000001E-2</v>
      </c>
      <c r="O4741">
        <v>-1.6949860000000001E-2</v>
      </c>
      <c r="P4741">
        <v>-0.98129860000000002</v>
      </c>
      <c r="Q4741">
        <v>0.16973840000000001</v>
      </c>
      <c r="R4741">
        <v>-9.0785790000000005E-2</v>
      </c>
      <c r="S4741">
        <v>-3.0621640000000001</v>
      </c>
      <c r="T4741">
        <v>-0.1353337</v>
      </c>
      <c r="U4741">
        <v>-0.20124819999999999</v>
      </c>
      <c r="V4741">
        <v>-7.4118989999999996E-2</v>
      </c>
      <c r="W4741">
        <v>0.18401899999999999</v>
      </c>
      <c r="X4741">
        <v>0.9801242</v>
      </c>
      <c r="Y4741">
        <v>-4.8599400000000001E-2</v>
      </c>
      <c r="Z4741">
        <v>-9.2466900000000003E-4</v>
      </c>
      <c r="AA4741">
        <v>0.99881790000000004</v>
      </c>
      <c r="AB4741">
        <v>33</v>
      </c>
      <c r="AC4741">
        <v>-24.837899999999902</v>
      </c>
      <c r="AD4741">
        <v>-1.1102102129019999</v>
      </c>
      <c r="AE4741">
        <v>-1.6462999999999901</v>
      </c>
      <c r="AF4741">
        <v>-1.22258803767608</v>
      </c>
      <c r="AG4741">
        <v>-1.1102102129019999</v>
      </c>
      <c r="AH4741">
        <v>24.812880951938901</v>
      </c>
      <c r="AI4741">
        <v>92.558793589080693</v>
      </c>
      <c r="AJ4741">
        <v>92.820814305834404</v>
      </c>
      <c r="AK4741">
        <v>24.867777330549501</v>
      </c>
      <c r="AL4741">
        <v>79.396057004667995</v>
      </c>
      <c r="AM4741">
        <v>94.324592507050298</v>
      </c>
      <c r="AN4741">
        <v>1.0000000322326199</v>
      </c>
    </row>
    <row r="4742" spans="1:40" x14ac:dyDescent="0.25">
      <c r="A4742" t="str">
        <f>"20190304155729953"</f>
        <v>20190304155729953</v>
      </c>
      <c r="B4742" t="str">
        <f>"1551686249949864"</f>
        <v>1551686249949864</v>
      </c>
      <c r="C4742" t="s">
        <v>40</v>
      </c>
      <c r="D4742">
        <v>5.2347270000000004</v>
      </c>
      <c r="E4742">
        <v>0.50841590000000003</v>
      </c>
      <c r="F4742" t="s">
        <v>41</v>
      </c>
      <c r="G4742">
        <v>-395.16219999999998</v>
      </c>
      <c r="H4742" s="1">
        <v>-2.1317970000000002E-6</v>
      </c>
      <c r="I4742">
        <v>139.89449999999999</v>
      </c>
      <c r="J4742">
        <v>-370.49189999999999</v>
      </c>
      <c r="K4742">
        <v>1.110204</v>
      </c>
      <c r="L4742">
        <v>141.53919999999999</v>
      </c>
      <c r="M4742">
        <v>-0.99975119999999895</v>
      </c>
      <c r="N4742">
        <v>-1.453896E-2</v>
      </c>
      <c r="O4742">
        <v>-1.6921479999999999E-2</v>
      </c>
      <c r="P4742">
        <v>-0.98138300000000001</v>
      </c>
      <c r="Q4742">
        <v>0.16925870000000001</v>
      </c>
      <c r="R4742">
        <v>-9.0771299999999999E-2</v>
      </c>
      <c r="S4742">
        <v>-3.0619809999999998</v>
      </c>
      <c r="T4742">
        <v>-0.1358463</v>
      </c>
      <c r="U4742">
        <v>-0.20196529999999999</v>
      </c>
      <c r="V4742">
        <v>-7.41314E-2</v>
      </c>
      <c r="W4742">
        <v>0.18353659999999999</v>
      </c>
      <c r="X4742">
        <v>0.98021360000000002</v>
      </c>
      <c r="Y4742">
        <v>-4.8863910000000003E-2</v>
      </c>
      <c r="Z4742">
        <v>-9.3439170000000004E-4</v>
      </c>
      <c r="AA4742">
        <v>0.99880500000000005</v>
      </c>
      <c r="AB4742">
        <v>33</v>
      </c>
      <c r="AC4742">
        <v>-24.670300000000001</v>
      </c>
      <c r="AD4742">
        <v>-1.110206131797</v>
      </c>
      <c r="AE4742">
        <v>-1.6447000000000001</v>
      </c>
      <c r="AF4742">
        <v>-1.22449356843468</v>
      </c>
      <c r="AG4742">
        <v>-1.110206131797</v>
      </c>
      <c r="AH4742">
        <v>24.644911758970999</v>
      </c>
      <c r="AI4742">
        <v>92.576147897889498</v>
      </c>
      <c r="AJ4742">
        <v>92.844427587746594</v>
      </c>
      <c r="AK4742">
        <v>24.700275661653698</v>
      </c>
      <c r="AL4742">
        <v>79.424174256867701</v>
      </c>
      <c r="AM4742">
        <v>94.324920849274903</v>
      </c>
      <c r="AN4742">
        <v>0.99999992481523703</v>
      </c>
    </row>
    <row r="4743" spans="1:40" x14ac:dyDescent="0.25">
      <c r="A4743" t="str">
        <f>"20190304155729973"</f>
        <v>20190304155729973</v>
      </c>
      <c r="B4743" t="str">
        <f>"1551686249969385"</f>
        <v>1551686249969385</v>
      </c>
      <c r="C4743" t="s">
        <v>40</v>
      </c>
      <c r="D4743">
        <v>5.1039300000000001</v>
      </c>
      <c r="E4743">
        <v>0.50841099999999995</v>
      </c>
      <c r="F4743" t="s">
        <v>41</v>
      </c>
      <c r="G4743">
        <v>-395.28030000000001</v>
      </c>
      <c r="H4743" s="1">
        <v>-2.0887910000000002E-6</v>
      </c>
      <c r="I4743">
        <v>139.92330000000001</v>
      </c>
      <c r="J4743">
        <v>-370.80009999999999</v>
      </c>
      <c r="K4743">
        <v>1.1102069999999999</v>
      </c>
      <c r="L4743">
        <v>141.53399999999999</v>
      </c>
      <c r="M4743">
        <v>-0.99975159999999996</v>
      </c>
      <c r="N4743">
        <v>-1.453572E-2</v>
      </c>
      <c r="O4743">
        <v>-1.689703E-2</v>
      </c>
      <c r="P4743">
        <v>-0.98153489999999999</v>
      </c>
      <c r="Q4743">
        <v>0.1684272</v>
      </c>
      <c r="R4743">
        <v>-9.0673610000000002E-2</v>
      </c>
      <c r="S4743">
        <v>-3.062103</v>
      </c>
      <c r="T4743">
        <v>-0.1371435</v>
      </c>
      <c r="U4743">
        <v>-0.19960020000000001</v>
      </c>
      <c r="V4743">
        <v>-7.4055200000000002E-2</v>
      </c>
      <c r="W4743">
        <v>0.18270410000000001</v>
      </c>
      <c r="X4743">
        <v>0.98037490000000005</v>
      </c>
      <c r="Y4743">
        <v>-4.8117670000000001E-2</v>
      </c>
      <c r="Z4743">
        <v>-9.1604519999999995E-4</v>
      </c>
      <c r="AA4743">
        <v>0.99884119999999998</v>
      </c>
      <c r="AB4743">
        <v>33</v>
      </c>
      <c r="AC4743">
        <v>-24.4802</v>
      </c>
      <c r="AD4743">
        <v>-1.1102090887910001</v>
      </c>
      <c r="AE4743">
        <v>-1.61069999999998</v>
      </c>
      <c r="AF4743">
        <v>-1.1943377772623001</v>
      </c>
      <c r="AG4743">
        <v>-1.1102090887910001</v>
      </c>
      <c r="AH4743">
        <v>24.453844833750999</v>
      </c>
      <c r="AI4743">
        <v>92.596363426865693</v>
      </c>
      <c r="AJ4743">
        <v>92.796132097964104</v>
      </c>
      <c r="AK4743">
        <v>24.508152400786901</v>
      </c>
      <c r="AL4743">
        <v>79.472693730113903</v>
      </c>
      <c r="AM4743">
        <v>94.319783930619906</v>
      </c>
      <c r="AN4743">
        <v>0.99999995267692898</v>
      </c>
    </row>
    <row r="4744" spans="1:40" x14ac:dyDescent="0.25">
      <c r="A4744" t="str">
        <f>"20190304155729986"</f>
        <v>20190304155729986</v>
      </c>
      <c r="B4744" t="str">
        <f>"1551686249979145"</f>
        <v>1551686249979145</v>
      </c>
      <c r="C4744" t="s">
        <v>40</v>
      </c>
      <c r="D4744">
        <v>5.0442980000000004</v>
      </c>
      <c r="E4744">
        <v>0.50841099999999995</v>
      </c>
      <c r="F4744" t="s">
        <v>41</v>
      </c>
      <c r="G4744">
        <v>-395.03969999999998</v>
      </c>
      <c r="H4744" s="1">
        <v>-2.2004510000000001E-6</v>
      </c>
      <c r="I4744">
        <v>139.95509999999999</v>
      </c>
      <c r="J4744">
        <v>-371.0147</v>
      </c>
      <c r="K4744">
        <v>1.1102080000000001</v>
      </c>
      <c r="L4744">
        <v>141.53039999999999</v>
      </c>
      <c r="M4744">
        <v>-0.99975190000000003</v>
      </c>
      <c r="N4744">
        <v>-1.453347E-2</v>
      </c>
      <c r="O4744">
        <v>-1.6880450000000002E-2</v>
      </c>
      <c r="P4744">
        <v>-0.98158299999999998</v>
      </c>
      <c r="Q4744">
        <v>0.1682032</v>
      </c>
      <c r="R4744">
        <v>-9.0568940000000001E-2</v>
      </c>
      <c r="S4744">
        <v>-3.0620729999999998</v>
      </c>
      <c r="T4744">
        <v>-0.1402477</v>
      </c>
      <c r="U4744">
        <v>-0.1994476</v>
      </c>
      <c r="V4744">
        <v>-7.3966740000000003E-2</v>
      </c>
      <c r="W4744">
        <v>0.18247910000000001</v>
      </c>
      <c r="X4744">
        <v>0.9804235</v>
      </c>
      <c r="Y4744">
        <v>-4.8083330000000001E-2</v>
      </c>
      <c r="Z4744">
        <v>-9.2268790000000003E-4</v>
      </c>
      <c r="AA4744">
        <v>0.99884289999999998</v>
      </c>
      <c r="AB4744">
        <v>33</v>
      </c>
      <c r="AC4744">
        <v>-24.024999999999899</v>
      </c>
      <c r="AD4744">
        <v>-1.1102102004509999</v>
      </c>
      <c r="AE4744">
        <v>-1.5752999999999899</v>
      </c>
      <c r="AF4744">
        <v>-1.1669984882869</v>
      </c>
      <c r="AG4744">
        <v>-1.1102102004509999</v>
      </c>
      <c r="AH4744">
        <v>23.997146004366599</v>
      </c>
      <c r="AI4744">
        <v>92.645735843938397</v>
      </c>
      <c r="AJ4744">
        <v>92.784141611088501</v>
      </c>
      <c r="AK4744">
        <v>24.051142769434801</v>
      </c>
      <c r="AL4744">
        <v>79.485805892412301</v>
      </c>
      <c r="AM4744">
        <v>94.314430312804603</v>
      </c>
      <c r="AN4744">
        <v>0.99999996995764295</v>
      </c>
    </row>
    <row r="4745" spans="1:40" x14ac:dyDescent="0.25">
      <c r="A4745" t="str">
        <f>"20190304155730006"</f>
        <v>20190304155730006</v>
      </c>
      <c r="B4745" t="str">
        <f>"1551686249999641"</f>
        <v>1551686249999641</v>
      </c>
      <c r="C4745" t="s">
        <v>40</v>
      </c>
      <c r="D4745">
        <v>5.0337350000000001</v>
      </c>
      <c r="E4745">
        <v>0.52286480000000002</v>
      </c>
      <c r="F4745" t="s">
        <v>41</v>
      </c>
      <c r="G4745">
        <v>-395.1345</v>
      </c>
      <c r="H4745" s="1">
        <v>-2.161707E-6</v>
      </c>
      <c r="I4745">
        <v>139.9623</v>
      </c>
      <c r="J4745">
        <v>-371.29539999999997</v>
      </c>
      <c r="K4745">
        <v>1.1102099999999999</v>
      </c>
      <c r="L4745">
        <v>141.5257</v>
      </c>
      <c r="M4745">
        <v>-0.99975230000000004</v>
      </c>
      <c r="N4745">
        <v>-1.453052E-2</v>
      </c>
      <c r="O4745">
        <v>-1.6858850000000002E-2</v>
      </c>
      <c r="P4745">
        <v>-0.98171730000000001</v>
      </c>
      <c r="Q4745">
        <v>0.1676107</v>
      </c>
      <c r="R4745">
        <v>-9.0209800000000007E-2</v>
      </c>
      <c r="S4745">
        <v>-3.0621339999999999</v>
      </c>
      <c r="T4745">
        <v>-0.1409473</v>
      </c>
      <c r="U4745">
        <v>-0.1990662</v>
      </c>
      <c r="V4745">
        <v>-7.3626689999999995E-2</v>
      </c>
      <c r="W4745">
        <v>0.18188499999999999</v>
      </c>
      <c r="X4745">
        <v>0.98055950000000003</v>
      </c>
      <c r="Y4745">
        <v>-4.7979399999999998E-2</v>
      </c>
      <c r="Z4745">
        <v>-9.2172840000000005E-4</v>
      </c>
      <c r="AA4745">
        <v>0.99884790000000001</v>
      </c>
      <c r="AB4745">
        <v>33</v>
      </c>
      <c r="AC4745">
        <v>-23.839099999999998</v>
      </c>
      <c r="AD4745">
        <v>-1.110212161707</v>
      </c>
      <c r="AE4745">
        <v>-1.5633999999999999</v>
      </c>
      <c r="AF4745">
        <v>-1.1587331482857</v>
      </c>
      <c r="AG4745">
        <v>-1.110212161707</v>
      </c>
      <c r="AH4745">
        <v>23.810650271086399</v>
      </c>
      <c r="AI4745">
        <v>92.666428986557193</v>
      </c>
      <c r="AJ4745">
        <v>92.786071912012105</v>
      </c>
      <c r="AK4745">
        <v>23.8646663476556</v>
      </c>
      <c r="AL4745">
        <v>79.520424858057595</v>
      </c>
      <c r="AM4745">
        <v>94.294076378423</v>
      </c>
      <c r="AN4745">
        <v>0.99999998787280298</v>
      </c>
    </row>
    <row r="4746" spans="1:40" x14ac:dyDescent="0.25">
      <c r="A4746" t="str">
        <f>"20190304155730021"</f>
        <v>20190304155730021</v>
      </c>
      <c r="B4746" t="str">
        <f>"1551686250009401"</f>
        <v>1551686250009401</v>
      </c>
      <c r="C4746" t="s">
        <v>40</v>
      </c>
      <c r="D4746">
        <v>5.0745329999999997</v>
      </c>
      <c r="E4746">
        <v>0.52092079999999996</v>
      </c>
      <c r="F4746" t="s">
        <v>78</v>
      </c>
      <c r="G4746">
        <v>-401.27120000000002</v>
      </c>
      <c r="H4746" s="1">
        <v>-6.3785960000000001E-6</v>
      </c>
      <c r="I4746">
        <v>140.70849999999999</v>
      </c>
      <c r="J4746">
        <v>-371.5145</v>
      </c>
      <c r="K4746">
        <v>1.1102110000000001</v>
      </c>
      <c r="L4746">
        <v>141.52199999999999</v>
      </c>
      <c r="M4746">
        <v>-0.99975259999999999</v>
      </c>
      <c r="N4746">
        <v>-1.452812E-2</v>
      </c>
      <c r="O4746">
        <v>-1.6842030000000001E-2</v>
      </c>
      <c r="P4746">
        <v>-0.98176819999999998</v>
      </c>
      <c r="Q4746">
        <v>0.16730049999999999</v>
      </c>
      <c r="R4746">
        <v>-9.023283E-2</v>
      </c>
      <c r="S4746">
        <v>-3.0675659999999998</v>
      </c>
      <c r="T4746">
        <v>-0.1136138</v>
      </c>
      <c r="U4746">
        <v>-8.363342E-2</v>
      </c>
      <c r="V4746">
        <v>-7.3665599999999998E-2</v>
      </c>
      <c r="W4746">
        <v>0.1815737</v>
      </c>
      <c r="X4746">
        <v>0.98061430000000005</v>
      </c>
      <c r="Y4746">
        <v>-1.040656E-2</v>
      </c>
      <c r="Z4746">
        <v>1.105102E-4</v>
      </c>
      <c r="AA4746">
        <v>0.9999458</v>
      </c>
      <c r="AB4746">
        <v>33</v>
      </c>
      <c r="AC4746">
        <v>-29.756699999999999</v>
      </c>
      <c r="AD4746">
        <v>-1.1102173785959999</v>
      </c>
      <c r="AE4746">
        <v>-0.81350000000003297</v>
      </c>
      <c r="AF4746">
        <v>-0.31173483666854401</v>
      </c>
      <c r="AG4746">
        <v>-1.1102173785959999</v>
      </c>
      <c r="AH4746">
        <v>29.724834183900601</v>
      </c>
      <c r="AI4746">
        <v>92.138875605677498</v>
      </c>
      <c r="AJ4746">
        <v>90.600859052272</v>
      </c>
      <c r="AK4746">
        <v>29.747193623878498</v>
      </c>
      <c r="AL4746">
        <v>79.538563372132401</v>
      </c>
      <c r="AM4746">
        <v>94.296098008751898</v>
      </c>
      <c r="AN4746">
        <v>1.0000000172597601</v>
      </c>
    </row>
    <row r="4747" spans="1:40" x14ac:dyDescent="0.25">
      <c r="A4747" t="str">
        <f>"20190304155730035"</f>
        <v>20190304155730035</v>
      </c>
      <c r="B4747" t="str">
        <f>"1551686250029897"</f>
        <v>1551686250029897</v>
      </c>
      <c r="C4747" t="s">
        <v>40</v>
      </c>
      <c r="D4747">
        <v>5.0572710000000001</v>
      </c>
      <c r="E4747">
        <v>0.52151459999999905</v>
      </c>
      <c r="F4747" t="s">
        <v>41</v>
      </c>
      <c r="G4747">
        <v>-399.29829999999998</v>
      </c>
      <c r="H4747" s="1">
        <v>-5.5190729999999997E-7</v>
      </c>
      <c r="I4747">
        <v>140.62559999999999</v>
      </c>
      <c r="J4747">
        <v>-371.72559999999999</v>
      </c>
      <c r="K4747">
        <v>1.110209</v>
      </c>
      <c r="L4747">
        <v>141.51849999999999</v>
      </c>
      <c r="M4747">
        <v>-0.999753</v>
      </c>
      <c r="N4747">
        <v>-1.452579E-2</v>
      </c>
      <c r="O4747">
        <v>-1.6826049999999999E-2</v>
      </c>
      <c r="P4747">
        <v>-0.98178410000000005</v>
      </c>
      <c r="Q4747">
        <v>0.1673605</v>
      </c>
      <c r="R4747">
        <v>-8.9949500000000002E-2</v>
      </c>
      <c r="S4747">
        <v>-3.0675349999999999</v>
      </c>
      <c r="T4747">
        <v>-0.1225754</v>
      </c>
      <c r="U4747">
        <v>-9.8968509999999996E-2</v>
      </c>
      <c r="V4747">
        <v>-7.3397799999999999E-2</v>
      </c>
      <c r="W4747">
        <v>0.1816314</v>
      </c>
      <c r="X4747">
        <v>0.98062369999999999</v>
      </c>
      <c r="Y4747">
        <v>-1.541146E-2</v>
      </c>
      <c r="Z4747" s="1">
        <v>7.7767469999999998E-6</v>
      </c>
      <c r="AA4747">
        <v>0.99988120000000003</v>
      </c>
      <c r="AB4747">
        <v>33</v>
      </c>
      <c r="AC4747">
        <v>-27.572700000000001</v>
      </c>
      <c r="AD4747">
        <v>-1.1102095519073001</v>
      </c>
      <c r="AE4747">
        <v>-0.89289999999999703</v>
      </c>
      <c r="AF4747">
        <v>-0.42809170738333402</v>
      </c>
      <c r="AG4747">
        <v>-1.1102095519073001</v>
      </c>
      <c r="AH4747">
        <v>27.539220003723901</v>
      </c>
      <c r="AI4747">
        <v>92.308279750425498</v>
      </c>
      <c r="AJ4747">
        <v>90.890579788291404</v>
      </c>
      <c r="AK4747">
        <v>27.5649136797593</v>
      </c>
      <c r="AL4747">
        <v>79.535201552205095</v>
      </c>
      <c r="AM4747">
        <v>94.280497477553595</v>
      </c>
      <c r="AN4747">
        <v>1.0000000217562399</v>
      </c>
    </row>
    <row r="4748" spans="1:40" x14ac:dyDescent="0.25">
      <c r="A4748" t="str">
        <f>"20190304155730052"</f>
        <v>20190304155730052</v>
      </c>
      <c r="B4748" t="str">
        <f>"1551686250049456"</f>
        <v>1551686250049456</v>
      </c>
      <c r="C4748" t="s">
        <v>40</v>
      </c>
      <c r="D4748">
        <v>5.0806800000000001</v>
      </c>
      <c r="E4748">
        <v>0.52087989999999995</v>
      </c>
      <c r="F4748" t="s">
        <v>78</v>
      </c>
      <c r="G4748">
        <v>-400.22219999999999</v>
      </c>
      <c r="H4748" s="1">
        <v>-5.8892250000000004E-6</v>
      </c>
      <c r="I4748">
        <v>140.64959999999999</v>
      </c>
      <c r="J4748">
        <v>-371.97230000000002</v>
      </c>
      <c r="K4748">
        <v>1.1102069999999999</v>
      </c>
      <c r="L4748">
        <v>141.51439999999999</v>
      </c>
      <c r="M4748">
        <v>-0.99975340000000001</v>
      </c>
      <c r="N4748">
        <v>-1.4523070000000001E-2</v>
      </c>
      <c r="O4748">
        <v>-1.680719E-2</v>
      </c>
      <c r="P4748">
        <v>-0.98180040000000002</v>
      </c>
      <c r="Q4748">
        <v>0.16743039999999901</v>
      </c>
      <c r="R4748">
        <v>-8.963989E-2</v>
      </c>
      <c r="S4748">
        <v>-3.0675050000000001</v>
      </c>
      <c r="T4748">
        <v>-0.11950860000000001</v>
      </c>
      <c r="U4748">
        <v>-9.3536380000000002E-2</v>
      </c>
      <c r="V4748">
        <v>-7.3106480000000001E-2</v>
      </c>
      <c r="W4748">
        <v>0.1816989</v>
      </c>
      <c r="X4748">
        <v>0.98063299999999998</v>
      </c>
      <c r="Y4748">
        <v>-1.366382E-2</v>
      </c>
      <c r="Z4748" s="1">
        <v>4.5015609999999997E-5</v>
      </c>
      <c r="AA4748">
        <v>0.99990670000000004</v>
      </c>
      <c r="AB4748">
        <v>33</v>
      </c>
      <c r="AC4748">
        <v>-28.249899999999901</v>
      </c>
      <c r="AD4748">
        <v>-1.1102128892250001</v>
      </c>
      <c r="AE4748">
        <v>-0.86480000000000201</v>
      </c>
      <c r="AF4748">
        <v>-0.38922578198896701</v>
      </c>
      <c r="AG4748">
        <v>-1.1102128892250001</v>
      </c>
      <c r="AH4748">
        <v>28.216905942416599</v>
      </c>
      <c r="AI4748">
        <v>92.2529641337849</v>
      </c>
      <c r="AJ4748">
        <v>90.790291477856499</v>
      </c>
      <c r="AK4748">
        <v>28.241420827075199</v>
      </c>
      <c r="AL4748">
        <v>79.531269094547</v>
      </c>
      <c r="AM4748">
        <v>94.263530429524494</v>
      </c>
      <c r="AN4748">
        <v>1.00000006418409</v>
      </c>
    </row>
    <row r="4749" spans="1:40" x14ac:dyDescent="0.25">
      <c r="A4749" t="str">
        <f>"20190304155730073"</f>
        <v>20190304155730073</v>
      </c>
      <c r="B4749" t="str">
        <f>"1551686250069953"</f>
        <v>1551686250069953</v>
      </c>
      <c r="C4749" t="s">
        <v>40</v>
      </c>
      <c r="D4749">
        <v>5.0532820000000003</v>
      </c>
      <c r="E4749">
        <v>0.52013860000000001</v>
      </c>
      <c r="F4749" t="s">
        <v>78</v>
      </c>
      <c r="G4749">
        <v>-400.23869999999999</v>
      </c>
      <c r="H4749" s="1">
        <v>-5.8809419999999998E-6</v>
      </c>
      <c r="I4749">
        <v>140.61160000000001</v>
      </c>
      <c r="J4749">
        <v>-372.28890000000001</v>
      </c>
      <c r="K4749">
        <v>1.1102069999999999</v>
      </c>
      <c r="L4749">
        <v>141.50909999999999</v>
      </c>
      <c r="M4749">
        <v>-0.99975380000000003</v>
      </c>
      <c r="N4749">
        <v>-1.451967E-2</v>
      </c>
      <c r="O4749">
        <v>-1.6782620000000002E-2</v>
      </c>
      <c r="P4749">
        <v>-0.98190480000000002</v>
      </c>
      <c r="Q4749">
        <v>0.16707640000000001</v>
      </c>
      <c r="R4749">
        <v>-8.9155719999999994E-2</v>
      </c>
      <c r="S4749">
        <v>-3.0672000000000001</v>
      </c>
      <c r="T4749">
        <v>-0.1204693</v>
      </c>
      <c r="U4749">
        <v>-9.7961430000000002E-2</v>
      </c>
      <c r="V4749">
        <v>-7.2644669999999995E-2</v>
      </c>
      <c r="W4749">
        <v>0.18134249999999999</v>
      </c>
      <c r="X4749">
        <v>0.98073319999999997</v>
      </c>
      <c r="Y4749">
        <v>-1.5130950000000001E-2</v>
      </c>
      <c r="Z4749" s="1">
        <v>8.1849280000000001E-6</v>
      </c>
      <c r="AA4749">
        <v>0.99988549999999998</v>
      </c>
      <c r="AB4749">
        <v>33</v>
      </c>
      <c r="AC4749">
        <v>-27.9497999999999</v>
      </c>
      <c r="AD4749">
        <v>-1.110212880942</v>
      </c>
      <c r="AE4749">
        <v>-0.89749999999997898</v>
      </c>
      <c r="AF4749">
        <v>-0.42757933358996703</v>
      </c>
      <c r="AG4749">
        <v>-1.110212880942</v>
      </c>
      <c r="AH4749">
        <v>27.916924490155601</v>
      </c>
      <c r="AI4749">
        <v>92.277097620863998</v>
      </c>
      <c r="AJ4749">
        <v>90.877481179888306</v>
      </c>
      <c r="AK4749">
        <v>27.942263145933101</v>
      </c>
      <c r="AL4749">
        <v>79.552033388959799</v>
      </c>
      <c r="AM4749">
        <v>94.236265015121305</v>
      </c>
      <c r="AN4749">
        <v>0.99999997998394896</v>
      </c>
    </row>
    <row r="4750" spans="1:40" x14ac:dyDescent="0.25">
      <c r="A4750" t="str">
        <f>"20190304155730096"</f>
        <v>20190304155730096</v>
      </c>
      <c r="B4750" t="str">
        <f>"1551686250089472"</f>
        <v>1551686250089472</v>
      </c>
      <c r="C4750" t="s">
        <v>40</v>
      </c>
      <c r="D4750">
        <v>5.0807129999999896</v>
      </c>
      <c r="E4750">
        <v>0.5195708</v>
      </c>
      <c r="F4750" t="s">
        <v>41</v>
      </c>
      <c r="G4750">
        <v>-399.87349999999998</v>
      </c>
      <c r="H4750" s="1">
        <v>-2.9518880000000003E-7</v>
      </c>
      <c r="I4750">
        <v>140.5881</v>
      </c>
      <c r="J4750">
        <v>-372.6284</v>
      </c>
      <c r="K4750">
        <v>1.110209</v>
      </c>
      <c r="L4750">
        <v>141.5034</v>
      </c>
      <c r="M4750">
        <v>-0.99975440000000004</v>
      </c>
      <c r="N4750">
        <v>-1.4515999999999999E-2</v>
      </c>
      <c r="O4750">
        <v>-1.6756960000000001E-2</v>
      </c>
      <c r="P4750">
        <v>-0.98192069999999998</v>
      </c>
      <c r="Q4750">
        <v>0.16720399999999999</v>
      </c>
      <c r="R4750">
        <v>-8.8739699999999894E-2</v>
      </c>
      <c r="S4750">
        <v>-3.066986</v>
      </c>
      <c r="T4750">
        <v>-0.12343800000000001</v>
      </c>
      <c r="U4750">
        <v>-0.10238650000000001</v>
      </c>
      <c r="V4750">
        <v>-7.2253890000000001E-2</v>
      </c>
      <c r="W4750">
        <v>0.18146680000000001</v>
      </c>
      <c r="X4750">
        <v>0.98073909999999997</v>
      </c>
      <c r="Y4750">
        <v>-1.659801E-2</v>
      </c>
      <c r="Z4750" s="1">
        <v>-2.3619430000000002E-5</v>
      </c>
      <c r="AA4750">
        <v>0.99986229999999998</v>
      </c>
      <c r="AB4750">
        <v>33</v>
      </c>
      <c r="AC4750">
        <v>-27.245099999999901</v>
      </c>
      <c r="AD4750">
        <v>-1.1102092951888001</v>
      </c>
      <c r="AE4750">
        <v>-0.915300000000002</v>
      </c>
      <c r="AF4750">
        <v>-0.45781904250941402</v>
      </c>
      <c r="AG4750">
        <v>-1.1102092951888001</v>
      </c>
      <c r="AH4750">
        <v>27.2114799293558</v>
      </c>
      <c r="AI4750">
        <v>92.336001624666807</v>
      </c>
      <c r="AJ4750">
        <v>90.963880846813296</v>
      </c>
      <c r="AK4750">
        <v>27.2379662034547</v>
      </c>
      <c r="AL4750">
        <v>79.544791613106895</v>
      </c>
      <c r="AM4750">
        <v>94.213533764724403</v>
      </c>
      <c r="AN4750">
        <v>1.00000000319559</v>
      </c>
    </row>
    <row r="4751" spans="1:40" x14ac:dyDescent="0.25">
      <c r="A4751" t="str">
        <f>"20190304155730109"</f>
        <v>20190304155730109</v>
      </c>
      <c r="B4751" t="str">
        <f>"1551686250099232"</f>
        <v>1551686250099232</v>
      </c>
      <c r="C4751" t="s">
        <v>40</v>
      </c>
      <c r="D4751">
        <v>5.0971149999999996</v>
      </c>
      <c r="E4751">
        <v>0.51902979999999999</v>
      </c>
      <c r="F4751" t="s">
        <v>41</v>
      </c>
      <c r="G4751">
        <v>-399.92259999999999</v>
      </c>
      <c r="H4751" s="1">
        <v>-2.6832449999999998E-7</v>
      </c>
      <c r="I4751">
        <v>140.56630000000001</v>
      </c>
      <c r="J4751">
        <v>-372.83</v>
      </c>
      <c r="K4751">
        <v>1.1102129999999999</v>
      </c>
      <c r="L4751">
        <v>141.5</v>
      </c>
      <c r="M4751">
        <v>-0.99975460000000005</v>
      </c>
      <c r="N4751">
        <v>-1.451381E-2</v>
      </c>
      <c r="O4751">
        <v>-1.6741450000000001E-2</v>
      </c>
      <c r="P4751">
        <v>-0.98192979999999996</v>
      </c>
      <c r="Q4751">
        <v>0.16732060000000001</v>
      </c>
      <c r="R4751">
        <v>-8.8419369999999997E-2</v>
      </c>
      <c r="S4751">
        <v>-3.0669559999999998</v>
      </c>
      <c r="T4751">
        <v>-0.1247505</v>
      </c>
      <c r="U4751">
        <v>-0.10528559999999999</v>
      </c>
      <c r="V4751">
        <v>-7.1948390000000001E-2</v>
      </c>
      <c r="W4751">
        <v>0.18158070000000001</v>
      </c>
      <c r="X4751">
        <v>0.98074050000000002</v>
      </c>
      <c r="Y4751">
        <v>-1.7556700000000001E-2</v>
      </c>
      <c r="Z4751" s="1">
        <v>-4.6805099999999997E-5</v>
      </c>
      <c r="AA4751">
        <v>0.99984589999999995</v>
      </c>
      <c r="AB4751">
        <v>33</v>
      </c>
      <c r="AC4751">
        <v>-27.092600000000001</v>
      </c>
      <c r="AD4751">
        <v>-1.1102132683244901</v>
      </c>
      <c r="AE4751">
        <v>-0.93369999999998698</v>
      </c>
      <c r="AF4751">
        <v>-0.47914832253766299</v>
      </c>
      <c r="AG4751">
        <v>-1.1102132683244901</v>
      </c>
      <c r="AH4751">
        <v>27.059050768038201</v>
      </c>
      <c r="AI4751">
        <v>92.3491187306348</v>
      </c>
      <c r="AJ4751">
        <v>91.014459378108697</v>
      </c>
      <c r="AK4751">
        <v>27.0860551775895</v>
      </c>
      <c r="AL4751">
        <v>79.538155602568807</v>
      </c>
      <c r="AM4751">
        <v>94.195776118655402</v>
      </c>
      <c r="AN4751">
        <v>1.00000002488816</v>
      </c>
    </row>
    <row r="4752" spans="1:40" x14ac:dyDescent="0.25">
      <c r="A4752" t="str">
        <f>"20190304155730130"</f>
        <v>20190304155730130</v>
      </c>
      <c r="B4752" t="str">
        <f>"1551686250119728"</f>
        <v>1551686250119728</v>
      </c>
      <c r="C4752" t="s">
        <v>40</v>
      </c>
      <c r="D4752">
        <v>5.099742</v>
      </c>
      <c r="E4752">
        <v>0.51820500000000003</v>
      </c>
      <c r="F4752" t="s">
        <v>41</v>
      </c>
      <c r="G4752">
        <v>-399.88850000000002</v>
      </c>
      <c r="H4752" s="1">
        <v>-2.7605650000000001E-7</v>
      </c>
      <c r="I4752">
        <v>140.5403</v>
      </c>
      <c r="J4752">
        <v>-373.1259</v>
      </c>
      <c r="K4752">
        <v>1.110212</v>
      </c>
      <c r="L4752">
        <v>141.49510000000001</v>
      </c>
      <c r="M4752">
        <v>-0.99975499999999995</v>
      </c>
      <c r="N4752">
        <v>-1.451061E-2</v>
      </c>
      <c r="O4752">
        <v>-1.6718899999999998E-2</v>
      </c>
      <c r="P4752">
        <v>-0.98192029999999997</v>
      </c>
      <c r="Q4752">
        <v>0.16746050000000001</v>
      </c>
      <c r="R4752">
        <v>-8.8259909999999997E-2</v>
      </c>
      <c r="S4752">
        <v>-3.0669249999999999</v>
      </c>
      <c r="T4752">
        <v>-0.12583630000000001</v>
      </c>
      <c r="U4752">
        <v>-0.1087646</v>
      </c>
      <c r="V4752">
        <v>-7.1811849999999997E-2</v>
      </c>
      <c r="W4752">
        <v>0.18171760000000001</v>
      </c>
      <c r="X4752">
        <v>0.98072510000000002</v>
      </c>
      <c r="Y4752">
        <v>-1.8710930000000001E-2</v>
      </c>
      <c r="Z4752" s="1">
        <v>-7.6553090000000003E-5</v>
      </c>
      <c r="AA4752">
        <v>0.99982490000000002</v>
      </c>
      <c r="AB4752">
        <v>33</v>
      </c>
      <c r="AC4752">
        <v>-26.762599999999999</v>
      </c>
      <c r="AD4752">
        <v>-1.1102122760564901</v>
      </c>
      <c r="AE4752">
        <v>-0.95480000000000598</v>
      </c>
      <c r="AF4752">
        <v>-0.50630800601181303</v>
      </c>
      <c r="AG4752">
        <v>-1.1102122760564901</v>
      </c>
      <c r="AH4752">
        <v>26.728884229956499</v>
      </c>
      <c r="AI4752">
        <v>92.378047076615104</v>
      </c>
      <c r="AJ4752">
        <v>91.0851871981599</v>
      </c>
      <c r="AK4752">
        <v>26.756721982957401</v>
      </c>
      <c r="AL4752">
        <v>79.530178579159099</v>
      </c>
      <c r="AM4752">
        <v>94.187907469950005</v>
      </c>
      <c r="AN4752">
        <v>0.99999997486009595</v>
      </c>
    </row>
    <row r="4753" spans="1:40" x14ac:dyDescent="0.25">
      <c r="A4753" t="str">
        <f>"20190304155730152"</f>
        <v>20190304155730152</v>
      </c>
      <c r="B4753" t="str">
        <f>"1551686250149985"</f>
        <v>1551686250149985</v>
      </c>
      <c r="C4753" t="s">
        <v>40</v>
      </c>
      <c r="D4753">
        <v>5.0155370000000001</v>
      </c>
      <c r="E4753">
        <v>0.51780179999999998</v>
      </c>
      <c r="F4753" t="s">
        <v>41</v>
      </c>
      <c r="G4753">
        <v>-399.709</v>
      </c>
      <c r="H4753" s="1">
        <v>-3.42945E-7</v>
      </c>
      <c r="I4753">
        <v>140.50229999999999</v>
      </c>
      <c r="J4753">
        <v>-373.45690000000002</v>
      </c>
      <c r="K4753">
        <v>1.1102129999999999</v>
      </c>
      <c r="L4753">
        <v>141.4896</v>
      </c>
      <c r="M4753">
        <v>-0.99975550000000002</v>
      </c>
      <c r="N4753">
        <v>-1.4506969999999999E-2</v>
      </c>
      <c r="O4753">
        <v>-1.6693369999999999E-2</v>
      </c>
      <c r="P4753">
        <v>-0.98198490000000005</v>
      </c>
      <c r="Q4753">
        <v>0.16720689999999999</v>
      </c>
      <c r="R4753">
        <v>-8.8020539999999994E-2</v>
      </c>
      <c r="S4753">
        <v>-3.0667719999999998</v>
      </c>
      <c r="T4753">
        <v>-0.12808019999999901</v>
      </c>
      <c r="U4753">
        <v>-0.1145172</v>
      </c>
      <c r="V4753">
        <v>-7.1596439999999997E-2</v>
      </c>
      <c r="W4753">
        <v>0.1814616</v>
      </c>
      <c r="X4753">
        <v>0.98078829999999995</v>
      </c>
      <c r="Y4753">
        <v>-2.0608580000000001E-2</v>
      </c>
      <c r="Z4753">
        <v>-1.251437E-4</v>
      </c>
      <c r="AA4753">
        <v>0.9997876</v>
      </c>
      <c r="AB4753">
        <v>33</v>
      </c>
      <c r="AC4753">
        <v>-26.252099999999899</v>
      </c>
      <c r="AD4753">
        <v>-1.1102133429449901</v>
      </c>
      <c r="AE4753">
        <v>-0.98730000000000395</v>
      </c>
      <c r="AF4753">
        <v>-0.54790176767867105</v>
      </c>
      <c r="AG4753">
        <v>-1.1102133429449901</v>
      </c>
      <c r="AH4753">
        <v>26.218099860563601</v>
      </c>
      <c r="AI4753">
        <v>92.424229786421705</v>
      </c>
      <c r="AJ4753">
        <v>91.197184019283796</v>
      </c>
      <c r="AK4753">
        <v>26.247314725746001</v>
      </c>
      <c r="AL4753">
        <v>79.545094821806302</v>
      </c>
      <c r="AM4753">
        <v>94.175121630516401</v>
      </c>
      <c r="AN4753">
        <v>1.00000002595606</v>
      </c>
    </row>
    <row r="4754" spans="1:40" x14ac:dyDescent="0.25">
      <c r="A4754" t="str">
        <f>"20190304155730173"</f>
        <v>20190304155730173</v>
      </c>
      <c r="B4754" t="str">
        <f>"1551686250169504"</f>
        <v>1551686250169504</v>
      </c>
      <c r="C4754" t="s">
        <v>40</v>
      </c>
      <c r="D4754">
        <v>5.0676100000000002</v>
      </c>
      <c r="E4754">
        <v>0.51799949999999995</v>
      </c>
      <c r="F4754" t="s">
        <v>41</v>
      </c>
      <c r="G4754">
        <v>-399.22550000000001</v>
      </c>
      <c r="H4754" s="1">
        <v>-5.5185630000000004E-7</v>
      </c>
      <c r="I4754">
        <v>140.50790000000001</v>
      </c>
      <c r="J4754">
        <v>-373.77140000000003</v>
      </c>
      <c r="K4754">
        <v>1.110214</v>
      </c>
      <c r="L4754">
        <v>141.48439999999999</v>
      </c>
      <c r="M4754">
        <v>-0.99975590000000003</v>
      </c>
      <c r="N4754">
        <v>-1.4503510000000001E-2</v>
      </c>
      <c r="O4754">
        <v>-1.6669150000000001E-2</v>
      </c>
      <c r="P4754">
        <v>-0.98203490000000004</v>
      </c>
      <c r="Q4754">
        <v>0.1667804</v>
      </c>
      <c r="R4754">
        <v>-8.8272030000000001E-2</v>
      </c>
      <c r="S4754">
        <v>-3.067078</v>
      </c>
      <c r="T4754">
        <v>-0.13214229999999999</v>
      </c>
      <c r="U4754">
        <v>-0.1168365</v>
      </c>
      <c r="V4754">
        <v>-7.1871130000000005E-2</v>
      </c>
      <c r="W4754">
        <v>0.1810321</v>
      </c>
      <c r="X4754">
        <v>0.98084749999999998</v>
      </c>
      <c r="Y4754">
        <v>-2.138236E-2</v>
      </c>
      <c r="Z4754">
        <v>-1.395984E-4</v>
      </c>
      <c r="AA4754">
        <v>0.99977139999999998</v>
      </c>
      <c r="AB4754">
        <v>33</v>
      </c>
      <c r="AC4754">
        <v>-25.454099999999901</v>
      </c>
      <c r="AD4754">
        <v>-1.1102145518563</v>
      </c>
      <c r="AE4754">
        <v>-0.97649999999998705</v>
      </c>
      <c r="AF4754">
        <v>-0.55097484214021597</v>
      </c>
      <c r="AG4754">
        <v>-1.1102145518563</v>
      </c>
      <c r="AH4754">
        <v>25.418556990865099</v>
      </c>
      <c r="AI4754">
        <v>92.500350203162697</v>
      </c>
      <c r="AJ4754">
        <v>91.241753821433505</v>
      </c>
      <c r="AK4754">
        <v>25.4487561410313</v>
      </c>
      <c r="AL4754">
        <v>79.570116991031696</v>
      </c>
      <c r="AM4754">
        <v>94.190831057295398</v>
      </c>
      <c r="AN4754">
        <v>0.99999994940706705</v>
      </c>
    </row>
    <row r="4755" spans="1:40" x14ac:dyDescent="0.25">
      <c r="A4755" t="str">
        <f>"20190304155730187"</f>
        <v>20190304155730187</v>
      </c>
      <c r="B4755" t="str">
        <f>"1551686250179771"</f>
        <v>1551686250179771</v>
      </c>
      <c r="C4755" t="s">
        <v>40</v>
      </c>
      <c r="D4755">
        <v>5.0522400000000003</v>
      </c>
      <c r="E4755">
        <v>0.51799949999999995</v>
      </c>
      <c r="F4755" t="s">
        <v>41</v>
      </c>
      <c r="G4755">
        <v>-399.4914</v>
      </c>
      <c r="H4755" s="1">
        <v>-4.3884939999999998E-7</v>
      </c>
      <c r="I4755">
        <v>140.5119</v>
      </c>
      <c r="J4755">
        <v>-373.98329999999999</v>
      </c>
      <c r="K4755">
        <v>1.1102110000000001</v>
      </c>
      <c r="L4755">
        <v>141.48089999999999</v>
      </c>
      <c r="M4755">
        <v>-0.99975630000000004</v>
      </c>
      <c r="N4755">
        <v>-1.4501160000000001E-2</v>
      </c>
      <c r="O4755">
        <v>-1.6652799999999999E-2</v>
      </c>
      <c r="P4755">
        <v>-0.98201479999999997</v>
      </c>
      <c r="Q4755">
        <v>0.16688520000000001</v>
      </c>
      <c r="R4755">
        <v>-8.8299530000000001E-2</v>
      </c>
      <c r="S4755">
        <v>-3.0669559999999998</v>
      </c>
      <c r="T4755">
        <v>-0.1323868</v>
      </c>
      <c r="U4755">
        <v>-0.1159515</v>
      </c>
      <c r="V4755">
        <v>-7.1914640000000002E-2</v>
      </c>
      <c r="W4755">
        <v>0.1811343</v>
      </c>
      <c r="X4755">
        <v>0.98082550000000002</v>
      </c>
      <c r="Y4755">
        <v>-2.111242E-2</v>
      </c>
      <c r="Z4755">
        <v>-1.317341E-4</v>
      </c>
      <c r="AA4755">
        <v>0.99977709999999997</v>
      </c>
      <c r="AB4755">
        <v>33</v>
      </c>
      <c r="AC4755">
        <v>-25.508099999999999</v>
      </c>
      <c r="AD4755">
        <v>-1.11021143884939</v>
      </c>
      <c r="AE4755">
        <v>-0.96899999999999398</v>
      </c>
      <c r="AF4755">
        <v>-0.54301253938535998</v>
      </c>
      <c r="AG4755">
        <v>-1.11021143884939</v>
      </c>
      <c r="AH4755">
        <v>25.4725166030587</v>
      </c>
      <c r="AI4755">
        <v>92.495072504318003</v>
      </c>
      <c r="AJ4755">
        <v>91.221222685196807</v>
      </c>
      <c r="AK4755">
        <v>25.502480941076701</v>
      </c>
      <c r="AL4755">
        <v>79.564163522930201</v>
      </c>
      <c r="AM4755">
        <v>94.193452815232703</v>
      </c>
      <c r="AN4755">
        <v>1.0000000057665299</v>
      </c>
    </row>
    <row r="4756" spans="1:40" x14ac:dyDescent="0.25">
      <c r="A4756" t="str">
        <f>"20190304155730207"</f>
        <v>20190304155730207</v>
      </c>
      <c r="B4756" t="str">
        <f>"1551686250199292"</f>
        <v>1551686250199292</v>
      </c>
      <c r="C4756" t="s">
        <v>40</v>
      </c>
      <c r="D4756">
        <v>5.0604950000000004</v>
      </c>
      <c r="E4756">
        <v>0.51800409999999997</v>
      </c>
      <c r="F4756" t="s">
        <v>41</v>
      </c>
      <c r="G4756">
        <v>-399.78339999999997</v>
      </c>
      <c r="H4756" s="1">
        <v>-3.1161290000000001E-7</v>
      </c>
      <c r="I4756">
        <v>140.5044</v>
      </c>
      <c r="J4756">
        <v>-374.26159999999999</v>
      </c>
      <c r="K4756">
        <v>1.1102110000000001</v>
      </c>
      <c r="L4756">
        <v>141.47620000000001</v>
      </c>
      <c r="M4756">
        <v>-0.9997566</v>
      </c>
      <c r="N4756">
        <v>-1.449806E-2</v>
      </c>
      <c r="O4756">
        <v>-1.6631440000000001E-2</v>
      </c>
      <c r="P4756">
        <v>-0.98202440000000002</v>
      </c>
      <c r="Q4756">
        <v>0.16669529999999999</v>
      </c>
      <c r="R4756">
        <v>-8.8549790000000003E-2</v>
      </c>
      <c r="S4756">
        <v>-3.0669249999999999</v>
      </c>
      <c r="T4756">
        <v>-0.13197410000000001</v>
      </c>
      <c r="U4756">
        <v>-0.1160583</v>
      </c>
      <c r="V4756">
        <v>-7.2185699999999894E-2</v>
      </c>
      <c r="W4756">
        <v>0.18094199999999999</v>
      </c>
      <c r="X4756">
        <v>0.98084099999999996</v>
      </c>
      <c r="Y4756">
        <v>-2.1168920000000001E-2</v>
      </c>
      <c r="Z4756">
        <v>-1.3469959999999999E-4</v>
      </c>
      <c r="AA4756">
        <v>0.99977590000000005</v>
      </c>
      <c r="AB4756">
        <v>33</v>
      </c>
      <c r="AC4756">
        <v>-25.521799999999899</v>
      </c>
      <c r="AD4756">
        <v>-1.1102113116129</v>
      </c>
      <c r="AE4756">
        <v>-0.971800000000001</v>
      </c>
      <c r="AF4756">
        <v>-0.54612473757192403</v>
      </c>
      <c r="AG4756">
        <v>-1.1102113116129</v>
      </c>
      <c r="AH4756">
        <v>25.486275706684399</v>
      </c>
      <c r="AI4756">
        <v>92.493721036983203</v>
      </c>
      <c r="AJ4756">
        <v>91.227556941485602</v>
      </c>
      <c r="AK4756">
        <v>25.516290302129601</v>
      </c>
      <c r="AL4756">
        <v>79.575365768689196</v>
      </c>
      <c r="AM4756">
        <v>94.209135758514293</v>
      </c>
      <c r="AN4756">
        <v>0.99999992496474199</v>
      </c>
    </row>
    <row r="4757" spans="1:40" x14ac:dyDescent="0.25">
      <c r="A4757" t="str">
        <f>"20190304155730220"</f>
        <v>20190304155730220</v>
      </c>
      <c r="B4757" t="str">
        <f>"1551686250210028"</f>
        <v>1551686250210028</v>
      </c>
      <c r="C4757" t="s">
        <v>40</v>
      </c>
      <c r="D4757">
        <v>5.0626939999999996</v>
      </c>
      <c r="E4757">
        <v>0.51803459999999901</v>
      </c>
      <c r="F4757" t="s">
        <v>78</v>
      </c>
      <c r="G4757">
        <v>-400.14030000000002</v>
      </c>
      <c r="H4757" s="1">
        <v>-5.7879689999999997E-6</v>
      </c>
      <c r="I4757">
        <v>140.49160000000001</v>
      </c>
      <c r="J4757">
        <v>-374.46140000000003</v>
      </c>
      <c r="K4757">
        <v>1.1102129999999999</v>
      </c>
      <c r="L4757">
        <v>141.47290000000001</v>
      </c>
      <c r="M4757">
        <v>-0.99975709999999995</v>
      </c>
      <c r="N4757">
        <v>-1.4495900000000001E-2</v>
      </c>
      <c r="O4757">
        <v>-1.661605E-2</v>
      </c>
      <c r="P4757">
        <v>-0.98206199999999999</v>
      </c>
      <c r="Q4757">
        <v>0.16638020000000001</v>
      </c>
      <c r="R4757">
        <v>-8.8725319999999996E-2</v>
      </c>
      <c r="S4757">
        <v>-3.0667719999999998</v>
      </c>
      <c r="T4757">
        <v>-0.13156699999999999</v>
      </c>
      <c r="U4757">
        <v>-0.116684</v>
      </c>
      <c r="V4757">
        <v>-7.2376120000000002E-2</v>
      </c>
      <c r="W4757">
        <v>0.18062500000000001</v>
      </c>
      <c r="X4757">
        <v>0.98088540000000002</v>
      </c>
      <c r="Y4757">
        <v>-2.1389660000000001E-2</v>
      </c>
      <c r="Z4757">
        <v>-1.42199E-4</v>
      </c>
      <c r="AA4757">
        <v>0.99977119999999997</v>
      </c>
      <c r="AB4757">
        <v>33</v>
      </c>
      <c r="AC4757">
        <v>-25.678899999999999</v>
      </c>
      <c r="AD4757">
        <v>-1.110218787969</v>
      </c>
      <c r="AE4757">
        <v>-0.98130000000000395</v>
      </c>
      <c r="AF4757">
        <v>-0.55340494086386705</v>
      </c>
      <c r="AG4757">
        <v>-1.110218787969</v>
      </c>
      <c r="AH4757">
        <v>25.643796737714499</v>
      </c>
      <c r="AI4757">
        <v>92.478430693061298</v>
      </c>
      <c r="AJ4757">
        <v>91.236277408450505</v>
      </c>
      <c r="AK4757">
        <v>25.673783396900198</v>
      </c>
      <c r="AL4757">
        <v>79.593832875215497</v>
      </c>
      <c r="AM4757">
        <v>94.220008714785394</v>
      </c>
      <c r="AN4757">
        <v>0.99999993065220405</v>
      </c>
    </row>
    <row r="4758" spans="1:40" x14ac:dyDescent="0.25">
      <c r="A4758" t="str">
        <f>"20190304155730235"</f>
        <v>20190304155730235</v>
      </c>
      <c r="B4758" t="str">
        <f>"1551686250229548"</f>
        <v>1551686250229548</v>
      </c>
      <c r="C4758" t="s">
        <v>40</v>
      </c>
      <c r="D4758">
        <v>5.1058919999999999</v>
      </c>
      <c r="E4758">
        <v>0.51810219999999996</v>
      </c>
      <c r="F4758" t="s">
        <v>78</v>
      </c>
      <c r="G4758">
        <v>-400.16059999999999</v>
      </c>
      <c r="H4758" s="1">
        <v>-5.796396E-6</v>
      </c>
      <c r="I4758">
        <v>140.49019999999999</v>
      </c>
      <c r="J4758">
        <v>-374.66829999999999</v>
      </c>
      <c r="K4758">
        <v>1.110212</v>
      </c>
      <c r="L4758">
        <v>141.46950000000001</v>
      </c>
      <c r="M4758">
        <v>-0.99975720000000001</v>
      </c>
      <c r="N4758">
        <v>-1.449368E-2</v>
      </c>
      <c r="O4758">
        <v>-1.660006E-2</v>
      </c>
      <c r="P4758">
        <v>-0.98202690000000004</v>
      </c>
      <c r="Q4758">
        <v>0.16651550000000001</v>
      </c>
      <c r="R4758">
        <v>-8.8858220000000002E-2</v>
      </c>
      <c r="S4758">
        <v>-3.0666199999999999</v>
      </c>
      <c r="T4758">
        <v>-0.1324794</v>
      </c>
      <c r="U4758">
        <v>-0.1172638</v>
      </c>
      <c r="V4758">
        <v>-7.2525409999999998E-2</v>
      </c>
      <c r="W4758">
        <v>0.18075730000000001</v>
      </c>
      <c r="X4758">
        <v>0.98085009999999995</v>
      </c>
      <c r="Y4758">
        <v>-2.159585E-2</v>
      </c>
      <c r="Z4758">
        <v>-1.4677270000000001E-4</v>
      </c>
      <c r="AA4758">
        <v>0.99976679999999996</v>
      </c>
      <c r="AB4758">
        <v>33</v>
      </c>
      <c r="AC4758">
        <v>-25.4923</v>
      </c>
      <c r="AD4758">
        <v>-1.110217796396</v>
      </c>
      <c r="AE4758">
        <v>-0.97930000000002304</v>
      </c>
      <c r="AF4758">
        <v>-0.55489596856783896</v>
      </c>
      <c r="AG4758">
        <v>-1.110217796396</v>
      </c>
      <c r="AH4758">
        <v>25.456832023527799</v>
      </c>
      <c r="AI4758">
        <v>92.496596327635999</v>
      </c>
      <c r="AJ4758">
        <v>91.248708525472296</v>
      </c>
      <c r="AK4758">
        <v>25.487071031514699</v>
      </c>
      <c r="AL4758">
        <v>79.5861268046622</v>
      </c>
      <c r="AM4758">
        <v>94.228833405417703</v>
      </c>
      <c r="AN4758">
        <v>1.00000002763448</v>
      </c>
    </row>
    <row r="4759" spans="1:40" x14ac:dyDescent="0.25">
      <c r="A4759" t="str">
        <f>"20190304155730252"</f>
        <v>20190304155730252</v>
      </c>
      <c r="B4759" t="str">
        <f>"1551686250250044"</f>
        <v>1551686250250044</v>
      </c>
      <c r="C4759" t="s">
        <v>40</v>
      </c>
      <c r="D4759">
        <v>5.09537</v>
      </c>
      <c r="E4759">
        <v>0.51785369999999997</v>
      </c>
      <c r="F4759" t="s">
        <v>78</v>
      </c>
      <c r="G4759">
        <v>-400.48739999999998</v>
      </c>
      <c r="H4759" s="1">
        <v>-5.9385239999999998E-6</v>
      </c>
      <c r="I4759">
        <v>140.48339999999999</v>
      </c>
      <c r="J4759">
        <v>-374.92869999999999</v>
      </c>
      <c r="K4759">
        <v>1.1102110000000001</v>
      </c>
      <c r="L4759">
        <v>141.46520000000001</v>
      </c>
      <c r="M4759">
        <v>-0.99975760000000002</v>
      </c>
      <c r="N4759">
        <v>-1.4490919999999999E-2</v>
      </c>
      <c r="O4759">
        <v>-1.6580379999999999E-2</v>
      </c>
      <c r="P4759">
        <v>-0.98209409999999997</v>
      </c>
      <c r="Q4759">
        <v>0.16614590000000001</v>
      </c>
      <c r="R4759">
        <v>-8.8807460000000005E-2</v>
      </c>
      <c r="S4759">
        <v>-3.0667110000000002</v>
      </c>
      <c r="T4759">
        <v>-0.13186809999999999</v>
      </c>
      <c r="U4759">
        <v>-0.11712649999999999</v>
      </c>
      <c r="V4759">
        <v>-7.2493000000000002E-2</v>
      </c>
      <c r="W4759">
        <v>0.18038670000000001</v>
      </c>
      <c r="X4759">
        <v>0.98092069999999998</v>
      </c>
      <c r="Y4759">
        <v>-2.156984E-2</v>
      </c>
      <c r="Z4759">
        <v>-1.476716E-4</v>
      </c>
      <c r="AA4759">
        <v>0.99976730000000003</v>
      </c>
      <c r="AB4759">
        <v>33</v>
      </c>
      <c r="AC4759">
        <v>-25.558699999999899</v>
      </c>
      <c r="AD4759">
        <v>-1.1102169385239999</v>
      </c>
      <c r="AE4759">
        <v>-0.98180000000002099</v>
      </c>
      <c r="AF4759">
        <v>-0.55679853437305304</v>
      </c>
      <c r="AG4759">
        <v>-1.1102169385239999</v>
      </c>
      <c r="AH4759">
        <v>25.523378271369602</v>
      </c>
      <c r="AI4759">
        <v>92.490092358217098</v>
      </c>
      <c r="AJ4759">
        <v>91.2497227585811</v>
      </c>
      <c r="AK4759">
        <v>25.553579879185001</v>
      </c>
      <c r="AL4759">
        <v>79.607715295177101</v>
      </c>
      <c r="AM4759">
        <v>94.226647359748597</v>
      </c>
      <c r="AN4759">
        <v>1.00000000813718</v>
      </c>
    </row>
    <row r="4760" spans="1:40" x14ac:dyDescent="0.25">
      <c r="A4760" t="str">
        <f>"20190304155730274"</f>
        <v>20190304155730274</v>
      </c>
      <c r="B4760" t="str">
        <f>"1551686250269564"</f>
        <v>1551686250269564</v>
      </c>
      <c r="C4760" t="s">
        <v>40</v>
      </c>
      <c r="D4760">
        <v>5.0537400000000003</v>
      </c>
      <c r="E4760">
        <v>0.51803399999999999</v>
      </c>
      <c r="F4760" t="s">
        <v>78</v>
      </c>
      <c r="G4760">
        <v>-400.38380000000001</v>
      </c>
      <c r="H4760" s="1">
        <v>-5.8904119999999999E-6</v>
      </c>
      <c r="I4760">
        <v>140.47810000000001</v>
      </c>
      <c r="J4760">
        <v>-375.24610000000001</v>
      </c>
      <c r="K4760">
        <v>1.110214</v>
      </c>
      <c r="L4760">
        <v>141.4599</v>
      </c>
      <c r="M4760">
        <v>-0.99975800000000004</v>
      </c>
      <c r="N4760">
        <v>-1.448757E-2</v>
      </c>
      <c r="O4760">
        <v>-1.655568E-2</v>
      </c>
      <c r="P4760">
        <v>-0.98213799999999996</v>
      </c>
      <c r="Q4760">
        <v>0.16604289999999999</v>
      </c>
      <c r="R4760">
        <v>-8.8514270000000006E-2</v>
      </c>
      <c r="S4760">
        <v>-3.066589</v>
      </c>
      <c r="T4760">
        <v>-0.133748799999999</v>
      </c>
      <c r="U4760">
        <v>-0.1189117</v>
      </c>
      <c r="V4760">
        <v>-7.2223609999999994E-2</v>
      </c>
      <c r="W4760">
        <v>0.18028069999999999</v>
      </c>
      <c r="X4760">
        <v>0.98096000000000005</v>
      </c>
      <c r="Y4760">
        <v>-2.2176080000000001E-2</v>
      </c>
      <c r="Z4760">
        <v>-1.623497E-4</v>
      </c>
      <c r="AA4760">
        <v>0.99975409999999998</v>
      </c>
      <c r="AB4760">
        <v>33</v>
      </c>
      <c r="AC4760">
        <v>-25.137699999999899</v>
      </c>
      <c r="AD4760">
        <v>-1.110219890412</v>
      </c>
      <c r="AE4760">
        <v>-0.98179999999999201</v>
      </c>
      <c r="AF4760">
        <v>-0.56435087759802105</v>
      </c>
      <c r="AG4760">
        <v>-1.110219890412</v>
      </c>
      <c r="AH4760">
        <v>25.1016216090214</v>
      </c>
      <c r="AI4760">
        <v>92.531846179630193</v>
      </c>
      <c r="AJ4760">
        <v>91.287943763218607</v>
      </c>
      <c r="AK4760">
        <v>25.132498632658901</v>
      </c>
      <c r="AL4760">
        <v>79.613889278220199</v>
      </c>
      <c r="AM4760">
        <v>94.210829294530399</v>
      </c>
      <c r="AN4760">
        <v>0.99999995111695905</v>
      </c>
    </row>
    <row r="4761" spans="1:40" x14ac:dyDescent="0.25">
      <c r="A4761" t="str">
        <f>"20190304155730288"</f>
        <v>20190304155730288</v>
      </c>
      <c r="B4761" t="str">
        <f>"1551686250279323"</f>
        <v>1551686250279323</v>
      </c>
      <c r="C4761" t="s">
        <v>40</v>
      </c>
      <c r="D4761">
        <v>5.1045939999999996</v>
      </c>
      <c r="E4761">
        <v>0.51784629999999998</v>
      </c>
      <c r="F4761" t="s">
        <v>78</v>
      </c>
      <c r="G4761">
        <v>-400.40530000000001</v>
      </c>
      <c r="H4761" s="1">
        <v>-5.9113019999999899E-6</v>
      </c>
      <c r="I4761">
        <v>140.50579999999999</v>
      </c>
      <c r="J4761">
        <v>-375.45159999999998</v>
      </c>
      <c r="K4761">
        <v>1.110215</v>
      </c>
      <c r="L4761">
        <v>141.45660000000001</v>
      </c>
      <c r="M4761">
        <v>-0.99975820000000004</v>
      </c>
      <c r="N4761">
        <v>-1.4485390000000001E-2</v>
      </c>
      <c r="O4761">
        <v>-1.6539930000000001E-2</v>
      </c>
      <c r="P4761">
        <v>-0.98214290000000004</v>
      </c>
      <c r="Q4761">
        <v>0.1660973</v>
      </c>
      <c r="R4761">
        <v>-8.8356809999999994E-2</v>
      </c>
      <c r="S4761">
        <v>-3.0669559999999998</v>
      </c>
      <c r="T4761">
        <v>-0.13533789999999901</v>
      </c>
      <c r="U4761">
        <v>-0.1163177</v>
      </c>
      <c r="V4761">
        <v>-7.2081660000000006E-2</v>
      </c>
      <c r="W4761">
        <v>0.18033279999999999</v>
      </c>
      <c r="X4761">
        <v>0.98096090000000002</v>
      </c>
      <c r="Y4761">
        <v>-2.1343600000000001E-2</v>
      </c>
      <c r="Z4761">
        <v>-1.35564599999999E-4</v>
      </c>
      <c r="AA4761">
        <v>0.9997722</v>
      </c>
      <c r="AB4761">
        <v>33</v>
      </c>
      <c r="AC4761">
        <v>-24.953700000000001</v>
      </c>
      <c r="AD4761">
        <v>-1.1102209113019901</v>
      </c>
      <c r="AE4761">
        <v>-0.95080000000001497</v>
      </c>
      <c r="AF4761">
        <v>-0.53683301541233996</v>
      </c>
      <c r="AG4761">
        <v>-1.1102209113019901</v>
      </c>
      <c r="AH4761">
        <v>24.916763102389801</v>
      </c>
      <c r="AI4761">
        <v>92.550660229405693</v>
      </c>
      <c r="AJ4761">
        <v>91.234249732402205</v>
      </c>
      <c r="AK4761">
        <v>24.947261646500301</v>
      </c>
      <c r="AL4761">
        <v>79.610854793406503</v>
      </c>
      <c r="AM4761">
        <v>94.202579069547596</v>
      </c>
      <c r="AN4761">
        <v>0.99999998589650196</v>
      </c>
    </row>
    <row r="4762" spans="1:40" x14ac:dyDescent="0.25">
      <c r="A4762" t="str">
        <f>"20190304155730307"</f>
        <v>20190304155730307</v>
      </c>
      <c r="B4762" t="str">
        <f>"1551686250299823"</f>
        <v>1551686250299823</v>
      </c>
      <c r="C4762" t="s">
        <v>40</v>
      </c>
      <c r="D4762">
        <v>5.0885470000000002</v>
      </c>
      <c r="E4762">
        <v>0.51792199999999999</v>
      </c>
      <c r="F4762" t="s">
        <v>78</v>
      </c>
      <c r="G4762">
        <v>-400.50200000000001</v>
      </c>
      <c r="H4762" s="1">
        <v>-5.9509180000000001E-6</v>
      </c>
      <c r="I4762">
        <v>140.49780000000001</v>
      </c>
      <c r="J4762">
        <v>-375.73259999999999</v>
      </c>
      <c r="K4762">
        <v>1.110214</v>
      </c>
      <c r="L4762">
        <v>141.45189999999999</v>
      </c>
      <c r="M4762">
        <v>-0.99975879999999995</v>
      </c>
      <c r="N4762">
        <v>-1.4482460000000001E-2</v>
      </c>
      <c r="O4762">
        <v>-1.651845E-2</v>
      </c>
      <c r="P4762">
        <v>-0.9821976</v>
      </c>
      <c r="Q4762">
        <v>0.16595770000000001</v>
      </c>
      <c r="R4762">
        <v>-8.8011699999999998E-2</v>
      </c>
      <c r="S4762">
        <v>-3.066986</v>
      </c>
      <c r="T4762">
        <v>-0.1359272</v>
      </c>
      <c r="U4762">
        <v>-0.1173859</v>
      </c>
      <c r="V4762">
        <v>-7.1756570000000006E-2</v>
      </c>
      <c r="W4762">
        <v>0.1801912</v>
      </c>
      <c r="X4762">
        <v>0.98101079999999996</v>
      </c>
      <c r="Y4762">
        <v>-2.171178E-2</v>
      </c>
      <c r="Z4762">
        <v>-1.4582479999999999E-4</v>
      </c>
      <c r="AA4762">
        <v>0.99976430000000005</v>
      </c>
      <c r="AB4762">
        <v>33</v>
      </c>
      <c r="AC4762">
        <v>-24.769399999999901</v>
      </c>
      <c r="AD4762">
        <v>-1.110219950918</v>
      </c>
      <c r="AE4762">
        <v>-0.95409999999998196</v>
      </c>
      <c r="AF4762">
        <v>-0.54368417784313094</v>
      </c>
      <c r="AG4762">
        <v>-1.110219950918</v>
      </c>
      <c r="AH4762">
        <v>24.732167558473598</v>
      </c>
      <c r="AI4762">
        <v>92.569645719808193</v>
      </c>
      <c r="AJ4762">
        <v>91.259323199871403</v>
      </c>
      <c r="AK4762">
        <v>24.763042885822099</v>
      </c>
      <c r="AL4762">
        <v>79.6191034745747</v>
      </c>
      <c r="AM4762">
        <v>94.183480737820403</v>
      </c>
      <c r="AN4762">
        <v>1.00000003180612</v>
      </c>
    </row>
    <row r="4763" spans="1:40" x14ac:dyDescent="0.25">
      <c r="A4763" t="str">
        <f>"20190304155730321"</f>
        <v>20190304155730321</v>
      </c>
      <c r="B4763" t="str">
        <f>"1551686250309580"</f>
        <v>1551686250309580</v>
      </c>
      <c r="C4763" t="s">
        <v>40</v>
      </c>
      <c r="D4763">
        <v>5.1241629999999896</v>
      </c>
      <c r="E4763">
        <v>0.51794580000000001</v>
      </c>
      <c r="F4763" t="s">
        <v>78</v>
      </c>
      <c r="G4763">
        <v>-400.85939999999999</v>
      </c>
      <c r="H4763" s="1">
        <v>-6.1115209999999998E-6</v>
      </c>
      <c r="I4763">
        <v>140.50290000000001</v>
      </c>
      <c r="J4763">
        <v>-375.93110000000001</v>
      </c>
      <c r="K4763">
        <v>1.110215</v>
      </c>
      <c r="L4763">
        <v>141.4487</v>
      </c>
      <c r="M4763">
        <v>-0.99975899999999995</v>
      </c>
      <c r="N4763">
        <v>-1.4480369999999999E-2</v>
      </c>
      <c r="O4763">
        <v>-1.6503179999999999E-2</v>
      </c>
      <c r="P4763">
        <v>-0.98227100000000001</v>
      </c>
      <c r="Q4763">
        <v>0.16548489999999999</v>
      </c>
      <c r="R4763">
        <v>-8.8082389999999997E-2</v>
      </c>
      <c r="S4763">
        <v>-3.0669249999999999</v>
      </c>
      <c r="T4763">
        <v>-0.1355112</v>
      </c>
      <c r="U4763">
        <v>-0.1158295</v>
      </c>
      <c r="V4763">
        <v>-7.184103E-2</v>
      </c>
      <c r="W4763">
        <v>0.1797174</v>
      </c>
      <c r="X4763">
        <v>0.98109150000000001</v>
      </c>
      <c r="Y4763">
        <v>-2.1221899999999998E-2</v>
      </c>
      <c r="Z4763">
        <v>-1.3261539999999999E-4</v>
      </c>
      <c r="AA4763">
        <v>0.99977479999999996</v>
      </c>
      <c r="AB4763">
        <v>33</v>
      </c>
      <c r="AC4763">
        <v>-24.928299999999901</v>
      </c>
      <c r="AD4763">
        <v>-1.1102211115209999</v>
      </c>
      <c r="AE4763">
        <v>-0.94579999999999098</v>
      </c>
      <c r="AF4763">
        <v>-0.53317578965774703</v>
      </c>
      <c r="AG4763">
        <v>-1.1102211115209999</v>
      </c>
      <c r="AH4763">
        <v>24.8912138111796</v>
      </c>
      <c r="AI4763">
        <v>92.553282155191994</v>
      </c>
      <c r="AJ4763">
        <v>91.227101732102099</v>
      </c>
      <c r="AK4763">
        <v>24.921665119590202</v>
      </c>
      <c r="AL4763">
        <v>79.646700453717003</v>
      </c>
      <c r="AM4763">
        <v>94.188044036896002</v>
      </c>
      <c r="AN4763">
        <v>1.00000000441323</v>
      </c>
    </row>
    <row r="4764" spans="1:40" x14ac:dyDescent="0.25">
      <c r="A4764" t="str">
        <f>"20190304155730337"</f>
        <v>20190304155730337</v>
      </c>
      <c r="B4764" t="str">
        <f>"1551686250330076"</f>
        <v>1551686250330076</v>
      </c>
      <c r="C4764" t="s">
        <v>40</v>
      </c>
      <c r="D4764">
        <v>5.0595299999999996</v>
      </c>
      <c r="E4764">
        <v>0.51796660000000005</v>
      </c>
      <c r="F4764" t="s">
        <v>78</v>
      </c>
      <c r="G4764">
        <v>-400.80720000000002</v>
      </c>
      <c r="H4764" s="1">
        <v>-6.0918410000000003E-6</v>
      </c>
      <c r="I4764">
        <v>140.51140000000001</v>
      </c>
      <c r="J4764">
        <v>-376.16250000000002</v>
      </c>
      <c r="K4764">
        <v>1.110215</v>
      </c>
      <c r="L4764">
        <v>141.44489999999999</v>
      </c>
      <c r="M4764">
        <v>-0.99975930000000002</v>
      </c>
      <c r="N4764">
        <v>-1.447793E-2</v>
      </c>
      <c r="O4764">
        <v>-1.6485400000000001E-2</v>
      </c>
      <c r="P4764">
        <v>-0.982348</v>
      </c>
      <c r="Q4764">
        <v>0.16517000000000001</v>
      </c>
      <c r="R4764">
        <v>-8.7813669999999996E-2</v>
      </c>
      <c r="S4764">
        <v>-3.0668329999999999</v>
      </c>
      <c r="T4764">
        <v>-0.13687299999999999</v>
      </c>
      <c r="U4764">
        <v>-0.1155548</v>
      </c>
      <c r="V4764">
        <v>-7.1588390000000002E-2</v>
      </c>
      <c r="W4764">
        <v>0.179400799999999</v>
      </c>
      <c r="X4764">
        <v>0.98116789999999998</v>
      </c>
      <c r="Y4764">
        <v>-2.115121E-2</v>
      </c>
      <c r="Z4764">
        <v>-1.2837659999999999E-4</v>
      </c>
      <c r="AA4764">
        <v>0.99977629999999995</v>
      </c>
      <c r="AB4764">
        <v>33</v>
      </c>
      <c r="AC4764">
        <v>-24.6447</v>
      </c>
      <c r="AD4764">
        <v>-1.110221091841</v>
      </c>
      <c r="AE4764">
        <v>-0.93349999999998001</v>
      </c>
      <c r="AF4764">
        <v>-0.525986881450488</v>
      </c>
      <c r="AG4764">
        <v>-1.110221091841</v>
      </c>
      <c r="AH4764">
        <v>24.606874847885699</v>
      </c>
      <c r="AI4764">
        <v>92.582748700565404</v>
      </c>
      <c r="AJ4764">
        <v>91.224545572129301</v>
      </c>
      <c r="AK4764">
        <v>24.6375230664882</v>
      </c>
      <c r="AL4764">
        <v>79.665139907165596</v>
      </c>
      <c r="AM4764">
        <v>94.173044449530494</v>
      </c>
      <c r="AN4764">
        <v>0.99999999630692005</v>
      </c>
    </row>
    <row r="4765" spans="1:40" x14ac:dyDescent="0.25">
      <c r="A4765" t="str">
        <f>"20190304155730353"</f>
        <v>20190304155730353</v>
      </c>
      <c r="B4765" t="str">
        <f>"1551686250349596"</f>
        <v>1551686250349596</v>
      </c>
      <c r="C4765" t="s">
        <v>40</v>
      </c>
      <c r="D4765">
        <v>5.0538889999999999</v>
      </c>
      <c r="E4765">
        <v>0.51794370000000001</v>
      </c>
      <c r="F4765" t="s">
        <v>78</v>
      </c>
      <c r="G4765">
        <v>-400.92439999999999</v>
      </c>
      <c r="H4765" s="1">
        <v>-6.1488439999999998E-6</v>
      </c>
      <c r="I4765">
        <v>140.52359999999999</v>
      </c>
      <c r="J4765">
        <v>-376.40300000000002</v>
      </c>
      <c r="K4765">
        <v>1.110217</v>
      </c>
      <c r="L4765">
        <v>141.4409</v>
      </c>
      <c r="M4765">
        <v>-0.99975970000000003</v>
      </c>
      <c r="N4765">
        <v>-1.4475379999999999E-2</v>
      </c>
      <c r="O4765">
        <v>-1.6467030000000001E-2</v>
      </c>
      <c r="P4765">
        <v>-0.98240309999999997</v>
      </c>
      <c r="Q4765">
        <v>0.16480449999999999</v>
      </c>
      <c r="R4765">
        <v>-8.7885660000000004E-2</v>
      </c>
      <c r="S4765">
        <v>-3.0667719999999998</v>
      </c>
      <c r="T4765">
        <v>-0.13750100000000001</v>
      </c>
      <c r="U4765">
        <v>-0.1141052</v>
      </c>
      <c r="V4765">
        <v>-7.1677950000000004E-2</v>
      </c>
      <c r="W4765">
        <v>0.17903339999999901</v>
      </c>
      <c r="X4765">
        <v>0.98122849999999995</v>
      </c>
      <c r="Y4765">
        <v>-2.0698890000000001E-2</v>
      </c>
      <c r="Z4765">
        <v>-1.1424080000000001E-4</v>
      </c>
      <c r="AA4765">
        <v>0.9997857</v>
      </c>
      <c r="AB4765">
        <v>33</v>
      </c>
      <c r="AC4765">
        <v>-24.5213999999999</v>
      </c>
      <c r="AD4765">
        <v>-1.110223148844</v>
      </c>
      <c r="AE4765">
        <v>-0.917300000000011</v>
      </c>
      <c r="AF4765">
        <v>-0.51229001795423401</v>
      </c>
      <c r="AG4765">
        <v>-1.110223148844</v>
      </c>
      <c r="AH4765">
        <v>24.483063822846798</v>
      </c>
      <c r="AI4765">
        <v>92.595821396089804</v>
      </c>
      <c r="AJ4765">
        <v>91.198696926485397</v>
      </c>
      <c r="AK4765">
        <v>24.5135768637772</v>
      </c>
      <c r="AL4765">
        <v>79.686537132798804</v>
      </c>
      <c r="AM4765">
        <v>94.177989489182593</v>
      </c>
      <c r="AN4765">
        <v>1.0000000280220001</v>
      </c>
    </row>
    <row r="4766" spans="1:40" x14ac:dyDescent="0.25">
      <c r="A4766" t="str">
        <f>"20190304155730375"</f>
        <v>20190304155730375</v>
      </c>
      <c r="B4766" t="str">
        <f>"1551686250370095"</f>
        <v>1551686250370095</v>
      </c>
      <c r="C4766" t="s">
        <v>40</v>
      </c>
      <c r="D4766">
        <v>4.9806439999999998</v>
      </c>
      <c r="E4766">
        <v>0.51784189999999997</v>
      </c>
      <c r="F4766" t="s">
        <v>78</v>
      </c>
      <c r="G4766">
        <v>-401.01490000000001</v>
      </c>
      <c r="H4766" s="1">
        <v>-6.1884949999999998E-6</v>
      </c>
      <c r="I4766">
        <v>140.52250000000001</v>
      </c>
      <c r="J4766">
        <v>-376.72059999999999</v>
      </c>
      <c r="K4766">
        <v>1.1102160000000001</v>
      </c>
      <c r="L4766">
        <v>141.4357</v>
      </c>
      <c r="M4766">
        <v>-0.99976019999999999</v>
      </c>
      <c r="N4766">
        <v>-1.447203E-2</v>
      </c>
      <c r="O4766">
        <v>-1.6442930000000001E-2</v>
      </c>
      <c r="P4766">
        <v>-0.98246549999999999</v>
      </c>
      <c r="Q4766">
        <v>0.16436110000000001</v>
      </c>
      <c r="R4766">
        <v>-8.8018269999999996E-2</v>
      </c>
      <c r="S4766">
        <v>-3.0667110000000002</v>
      </c>
      <c r="T4766">
        <v>-0.13833679999999901</v>
      </c>
      <c r="U4766">
        <v>-0.114440899999999</v>
      </c>
      <c r="V4766">
        <v>-7.1833129999999995E-2</v>
      </c>
      <c r="W4766">
        <v>0.17858779999999999</v>
      </c>
      <c r="X4766">
        <v>0.98129829999999996</v>
      </c>
      <c r="Y4766">
        <v>-2.0832679999999999E-2</v>
      </c>
      <c r="Z4766">
        <v>-1.172035E-4</v>
      </c>
      <c r="AA4766">
        <v>0.99978299999999998</v>
      </c>
      <c r="AB4766">
        <v>33</v>
      </c>
      <c r="AC4766">
        <v>-24.2943</v>
      </c>
      <c r="AD4766">
        <v>-1.1102221884950001</v>
      </c>
      <c r="AE4766">
        <v>-0.91319999999998902</v>
      </c>
      <c r="AF4766">
        <v>-0.51249647406493704</v>
      </c>
      <c r="AG4766">
        <v>-1.1102221884950001</v>
      </c>
      <c r="AH4766">
        <v>24.255448822730699</v>
      </c>
      <c r="AI4766">
        <v>92.620133465359501</v>
      </c>
      <c r="AJ4766">
        <v>91.2104297317278</v>
      </c>
      <c r="AK4766">
        <v>24.286252150874599</v>
      </c>
      <c r="AL4766">
        <v>79.712485813484093</v>
      </c>
      <c r="AM4766">
        <v>94.186705778520107</v>
      </c>
      <c r="AN4766">
        <v>0.99999997722866296</v>
      </c>
    </row>
    <row r="4767" spans="1:40" x14ac:dyDescent="0.25">
      <c r="A4767" t="str">
        <f>"20190304155730397"</f>
        <v>20190304155730397</v>
      </c>
      <c r="B4767" t="str">
        <f>"1551686250389612"</f>
        <v>1551686250389612</v>
      </c>
      <c r="C4767" t="s">
        <v>40</v>
      </c>
      <c r="D4767">
        <v>5.0846419999999997</v>
      </c>
      <c r="E4767">
        <v>0.51774830000000005</v>
      </c>
      <c r="F4767" t="s">
        <v>78</v>
      </c>
      <c r="G4767">
        <v>-400.9375</v>
      </c>
      <c r="H4767" s="1">
        <v>-6.1534670000000002E-6</v>
      </c>
      <c r="I4767">
        <v>140.52070000000001</v>
      </c>
      <c r="J4767">
        <v>-377.03649999999999</v>
      </c>
      <c r="K4767">
        <v>1.1102129999999999</v>
      </c>
      <c r="L4767">
        <v>141.4306</v>
      </c>
      <c r="M4767">
        <v>-0.99976039999999999</v>
      </c>
      <c r="N4767">
        <v>-1.4468679999999999E-2</v>
      </c>
      <c r="O4767">
        <v>-1.6421120000000001E-2</v>
      </c>
      <c r="P4767">
        <v>-0.98247169999999895</v>
      </c>
      <c r="Q4767">
        <v>0.16428499999999999</v>
      </c>
      <c r="R4767">
        <v>-8.8089239999999999E-2</v>
      </c>
      <c r="S4767">
        <v>-3.0667110000000002</v>
      </c>
      <c r="T4767">
        <v>-0.1405931</v>
      </c>
      <c r="U4767">
        <v>-0.1158752</v>
      </c>
      <c r="V4767">
        <v>-7.1926359999999995E-2</v>
      </c>
      <c r="W4767">
        <v>0.17850849999999999</v>
      </c>
      <c r="X4767">
        <v>0.98130589999999995</v>
      </c>
      <c r="Y4767">
        <v>-2.132032E-2</v>
      </c>
      <c r="Z4767">
        <v>-1.280748E-4</v>
      </c>
      <c r="AA4767">
        <v>0.99977269999999896</v>
      </c>
      <c r="AB4767">
        <v>33</v>
      </c>
      <c r="AC4767">
        <v>-23.901</v>
      </c>
      <c r="AD4767">
        <v>-1.1102191534669901</v>
      </c>
      <c r="AE4767">
        <v>-0.90989999999999305</v>
      </c>
      <c r="AF4767">
        <v>-0.516142926303361</v>
      </c>
      <c r="AG4767">
        <v>-1.1102191534669901</v>
      </c>
      <c r="AH4767">
        <v>23.8613094051884</v>
      </c>
      <c r="AI4767">
        <v>92.663315040376503</v>
      </c>
      <c r="AJ4767">
        <v>91.239169223262707</v>
      </c>
      <c r="AK4767">
        <v>23.892699232594701</v>
      </c>
      <c r="AL4767">
        <v>79.717103574751704</v>
      </c>
      <c r="AM4767">
        <v>94.1920878639975</v>
      </c>
      <c r="AN4767">
        <v>0.99999997760495396</v>
      </c>
    </row>
    <row r="4768" spans="1:40" x14ac:dyDescent="0.25">
      <c r="A4768" t="str">
        <f>"20190304155730414"</f>
        <v>20190304155730414</v>
      </c>
      <c r="B4768" t="str">
        <f>"1551686250410108"</f>
        <v>1551686250410108</v>
      </c>
      <c r="C4768" t="s">
        <v>40</v>
      </c>
      <c r="D4768">
        <v>5.0862069999999999</v>
      </c>
      <c r="E4768">
        <v>0.5176229</v>
      </c>
      <c r="F4768" t="s">
        <v>78</v>
      </c>
      <c r="G4768">
        <v>-401.10210000000001</v>
      </c>
      <c r="H4768" s="1">
        <v>-6.222839E-6</v>
      </c>
      <c r="I4768">
        <v>140.5119</v>
      </c>
      <c r="J4768">
        <v>-377.26479999999998</v>
      </c>
      <c r="K4768">
        <v>1.110215</v>
      </c>
      <c r="L4768">
        <v>141.42679999999999</v>
      </c>
      <c r="M4768">
        <v>-0.99976089999999995</v>
      </c>
      <c r="N4768">
        <v>-1.446625E-2</v>
      </c>
      <c r="O4768">
        <v>-1.6408260000000001E-2</v>
      </c>
      <c r="P4768">
        <v>-0.98250040000000005</v>
      </c>
      <c r="Q4768">
        <v>0.16389599999999999</v>
      </c>
      <c r="R4768">
        <v>-8.8495019999999994E-2</v>
      </c>
      <c r="S4768">
        <v>-3.0666500000000001</v>
      </c>
      <c r="T4768">
        <v>-0.14147379999999901</v>
      </c>
      <c r="U4768">
        <v>-0.1170654</v>
      </c>
      <c r="V4768">
        <v>-7.2344720000000001E-2</v>
      </c>
      <c r="W4768">
        <v>0.17811759999999999</v>
      </c>
      <c r="X4768">
        <v>0.98134619999999995</v>
      </c>
      <c r="Y4768">
        <v>-2.1720659999999999E-2</v>
      </c>
      <c r="Z4768">
        <v>-1.3888630000000001E-4</v>
      </c>
      <c r="AA4768">
        <v>0.99976410000000004</v>
      </c>
      <c r="AB4768">
        <v>33</v>
      </c>
      <c r="AC4768">
        <v>-23.837299999999999</v>
      </c>
      <c r="AD4768">
        <v>-1.1102212228389901</v>
      </c>
      <c r="AE4768">
        <v>-0.91489999999998795</v>
      </c>
      <c r="AF4768">
        <v>-0.52247562712565498</v>
      </c>
      <c r="AG4768">
        <v>-1.1102212228389901</v>
      </c>
      <c r="AH4768">
        <v>23.797557366928601</v>
      </c>
      <c r="AI4768">
        <v>92.670425713466997</v>
      </c>
      <c r="AJ4768">
        <v>91.257727395150297</v>
      </c>
      <c r="AK4768">
        <v>23.829169280040801</v>
      </c>
      <c r="AL4768">
        <v>79.739865522723207</v>
      </c>
      <c r="AM4768">
        <v>94.216210953366698</v>
      </c>
      <c r="AN4768">
        <v>1.0000000010980299</v>
      </c>
    </row>
    <row r="4769" spans="1:40" x14ac:dyDescent="0.25">
      <c r="A4769" t="str">
        <f>"20190304155730431"</f>
        <v>20190304155730431</v>
      </c>
      <c r="B4769" t="str">
        <f>"1551686250419869"</f>
        <v>1551686250419869</v>
      </c>
      <c r="C4769" t="s">
        <v>40</v>
      </c>
      <c r="D4769">
        <v>5.0652949999999999</v>
      </c>
      <c r="E4769">
        <v>0.51756849999999999</v>
      </c>
      <c r="F4769" t="s">
        <v>78</v>
      </c>
      <c r="G4769">
        <v>-401.13389999999998</v>
      </c>
      <c r="H4769" s="1">
        <v>-6.2299749999999996E-6</v>
      </c>
      <c r="I4769">
        <v>140.4949</v>
      </c>
      <c r="J4769">
        <v>-377.53199999999998</v>
      </c>
      <c r="K4769">
        <v>1.110215</v>
      </c>
      <c r="L4769">
        <v>141.42250000000001</v>
      </c>
      <c r="M4769">
        <v>-0.99976089999999995</v>
      </c>
      <c r="N4769">
        <v>-1.4463409999999999E-2</v>
      </c>
      <c r="O4769">
        <v>-1.6396020000000001E-2</v>
      </c>
      <c r="P4769">
        <v>-0.98251189999999999</v>
      </c>
      <c r="Q4769">
        <v>0.16355430000000001</v>
      </c>
      <c r="R4769">
        <v>-8.8996919999999993E-2</v>
      </c>
      <c r="S4769">
        <v>-3.0664669999999998</v>
      </c>
      <c r="T4769">
        <v>-0.14263020000000001</v>
      </c>
      <c r="U4769">
        <v>-0.11972049999999999</v>
      </c>
      <c r="V4769">
        <v>-7.2860330000000001E-2</v>
      </c>
      <c r="W4769">
        <v>0.17777270000000001</v>
      </c>
      <c r="X4769">
        <v>0.98137059999999998</v>
      </c>
      <c r="Y4769">
        <v>-2.2598E-2</v>
      </c>
      <c r="Z4769">
        <v>-1.638395E-4</v>
      </c>
      <c r="AA4769">
        <v>0.99974459999999998</v>
      </c>
      <c r="AB4769">
        <v>32</v>
      </c>
      <c r="AC4769">
        <v>-23.601900000000001</v>
      </c>
      <c r="AD4769">
        <v>-1.1102212299750001</v>
      </c>
      <c r="AE4769">
        <v>-0.92760000000001197</v>
      </c>
      <c r="AF4769">
        <v>-0.53926615081985796</v>
      </c>
      <c r="AG4769">
        <v>-1.1102212299750001</v>
      </c>
      <c r="AH4769">
        <v>23.561881939354102</v>
      </c>
      <c r="AI4769">
        <v>92.697040896609806</v>
      </c>
      <c r="AJ4769">
        <v>91.311112637668202</v>
      </c>
      <c r="AK4769">
        <v>23.594187413110198</v>
      </c>
      <c r="AL4769">
        <v>79.759947401469105</v>
      </c>
      <c r="AM4769">
        <v>94.246045719611999</v>
      </c>
      <c r="AN4769">
        <v>1.0000000075486699</v>
      </c>
    </row>
    <row r="4770" spans="1:40" x14ac:dyDescent="0.25">
      <c r="A4770" t="str">
        <f>"20190304155730454"</f>
        <v>20190304155730454</v>
      </c>
      <c r="B4770" t="str">
        <f>"1551686250450125"</f>
        <v>1551686250450125</v>
      </c>
      <c r="C4770" t="s">
        <v>40</v>
      </c>
      <c r="D4770">
        <v>5.0508430000000004</v>
      </c>
      <c r="E4770">
        <v>0.51737509999999998</v>
      </c>
      <c r="F4770" t="s">
        <v>78</v>
      </c>
      <c r="G4770">
        <v>-401.24489999999997</v>
      </c>
      <c r="H4770" s="1">
        <v>-6.2725380000000003E-6</v>
      </c>
      <c r="I4770">
        <v>140.47880000000001</v>
      </c>
      <c r="J4770">
        <v>-377.86</v>
      </c>
      <c r="K4770">
        <v>1.11022</v>
      </c>
      <c r="L4770">
        <v>141.4171</v>
      </c>
      <c r="M4770">
        <v>-0.99976120000000002</v>
      </c>
      <c r="N4770">
        <v>-1.4459939999999999E-2</v>
      </c>
      <c r="O4770">
        <v>-1.6386060000000001E-2</v>
      </c>
      <c r="P4770">
        <v>-0.98254220000000003</v>
      </c>
      <c r="Q4770">
        <v>0.16341459999999999</v>
      </c>
      <c r="R4770">
        <v>-8.891963E-2</v>
      </c>
      <c r="S4770">
        <v>-3.0662539999999998</v>
      </c>
      <c r="T4770">
        <v>-0.1435601</v>
      </c>
      <c r="U4770">
        <v>-0.12202449999999999</v>
      </c>
      <c r="V4770">
        <v>-7.2793919999999998E-2</v>
      </c>
      <c r="W4770">
        <v>0.17762919999999999</v>
      </c>
      <c r="X4770">
        <v>0.98140150000000004</v>
      </c>
      <c r="Y4770">
        <v>-2.335943E-2</v>
      </c>
      <c r="Z4770">
        <v>-1.8583019999999999E-4</v>
      </c>
      <c r="AA4770">
        <v>0.99972709999999998</v>
      </c>
      <c r="AB4770">
        <v>32</v>
      </c>
      <c r="AC4770">
        <v>-23.384899999999899</v>
      </c>
      <c r="AD4770">
        <v>-1.1102262725380001</v>
      </c>
      <c r="AE4770">
        <v>-0.93829999999999802</v>
      </c>
      <c r="AF4770">
        <v>-0.55370153400164102</v>
      </c>
      <c r="AG4770">
        <v>-1.1102262725380001</v>
      </c>
      <c r="AH4770">
        <v>23.3446024014833</v>
      </c>
      <c r="AI4770">
        <v>92.722065697219406</v>
      </c>
      <c r="AJ4770">
        <v>91.358721528460805</v>
      </c>
      <c r="AK4770">
        <v>23.377545830311799</v>
      </c>
      <c r="AL4770">
        <v>79.7683021970862</v>
      </c>
      <c r="AM4770">
        <v>94.242056631226802</v>
      </c>
      <c r="AN4770">
        <v>0.999999995841928</v>
      </c>
    </row>
    <row r="4771" spans="1:40" x14ac:dyDescent="0.25">
      <c r="A4771" t="str">
        <f>"20190304155730475"</f>
        <v>20190304155730475</v>
      </c>
      <c r="B4771" t="str">
        <f>"1551686250469644"</f>
        <v>1551686250469644</v>
      </c>
      <c r="C4771" t="s">
        <v>40</v>
      </c>
      <c r="D4771">
        <v>5.1403230000000004</v>
      </c>
      <c r="E4771">
        <v>0.51718209999999998</v>
      </c>
      <c r="F4771" t="s">
        <v>78</v>
      </c>
      <c r="G4771">
        <v>-401.48579999999998</v>
      </c>
      <c r="H4771" s="1">
        <v>-6.3733109999999997E-6</v>
      </c>
      <c r="I4771">
        <v>140.464</v>
      </c>
      <c r="J4771">
        <v>-378.18060000000003</v>
      </c>
      <c r="K4771">
        <v>1.110228</v>
      </c>
      <c r="L4771">
        <v>141.4118</v>
      </c>
      <c r="M4771">
        <v>-0.99976149999999997</v>
      </c>
      <c r="N4771">
        <v>-1.445653E-2</v>
      </c>
      <c r="O4771">
        <v>-1.6380390000000002E-2</v>
      </c>
      <c r="P4771">
        <v>-0.98250090000000001</v>
      </c>
      <c r="Q4771">
        <v>0.1635944</v>
      </c>
      <c r="R4771">
        <v>-8.9044449999999997E-2</v>
      </c>
      <c r="S4771">
        <v>-3.0661010000000002</v>
      </c>
      <c r="T4771">
        <v>-0.14408280000000001</v>
      </c>
      <c r="U4771">
        <v>-0.1236877</v>
      </c>
      <c r="V4771">
        <v>-7.2927279999999997E-2</v>
      </c>
      <c r="W4771">
        <v>0.1778042</v>
      </c>
      <c r="X4771">
        <v>0.98135989999999995</v>
      </c>
      <c r="Y4771">
        <v>-2.3907609999999999E-2</v>
      </c>
      <c r="Z4771">
        <v>-2.019446E-4</v>
      </c>
      <c r="AA4771">
        <v>0.99971410000000005</v>
      </c>
      <c r="AB4771">
        <v>32</v>
      </c>
      <c r="AC4771">
        <v>-23.3051999999999</v>
      </c>
      <c r="AD4771">
        <v>-1.1102343733110001</v>
      </c>
      <c r="AE4771">
        <v>-0.94779999999999998</v>
      </c>
      <c r="AF4771">
        <v>-0.564605479780111</v>
      </c>
      <c r="AG4771">
        <v>-1.1102343733110001</v>
      </c>
      <c r="AH4771">
        <v>23.264887811423399</v>
      </c>
      <c r="AI4771">
        <v>92.731362389934503</v>
      </c>
      <c r="AJ4771">
        <v>91.390213556796994</v>
      </c>
      <c r="AK4771">
        <v>23.298206038010701</v>
      </c>
      <c r="AL4771">
        <v>79.758113158537896</v>
      </c>
      <c r="AM4771">
        <v>94.249979211378999</v>
      </c>
      <c r="AN4771">
        <v>0.99999998751692398</v>
      </c>
    </row>
    <row r="4772" spans="1:40" x14ac:dyDescent="0.25">
      <c r="A4772" t="str">
        <f>"20190304155730489"</f>
        <v>20190304155730489</v>
      </c>
      <c r="B4772" t="str">
        <f>"1551686250479405"</f>
        <v>1551686250479405</v>
      </c>
      <c r="C4772" t="s">
        <v>40</v>
      </c>
      <c r="D4772">
        <v>5.2424839999999904</v>
      </c>
      <c r="E4772">
        <v>0.49208160000000001</v>
      </c>
      <c r="F4772" t="s">
        <v>78</v>
      </c>
      <c r="G4772">
        <v>-401.81450000000001</v>
      </c>
      <c r="H4772" s="1">
        <v>-6.5096240000000001E-6</v>
      </c>
      <c r="I4772">
        <v>140.441</v>
      </c>
      <c r="J4772">
        <v>-378.37479999999999</v>
      </c>
      <c r="K4772">
        <v>1.1102299999999901</v>
      </c>
      <c r="L4772">
        <v>141.40870000000001</v>
      </c>
      <c r="M4772">
        <v>-0.99976140000000002</v>
      </c>
      <c r="N4772">
        <v>-1.4454450000000001E-2</v>
      </c>
      <c r="O4772">
        <v>-1.637802E-2</v>
      </c>
      <c r="P4772">
        <v>-0.98248899999999995</v>
      </c>
      <c r="Q4772">
        <v>0.1637924</v>
      </c>
      <c r="R4772">
        <v>-8.8810890000000003E-2</v>
      </c>
      <c r="S4772">
        <v>-3.065979</v>
      </c>
      <c r="T4772">
        <v>-0.14402809999999999</v>
      </c>
      <c r="U4772">
        <v>-0.125946</v>
      </c>
      <c r="V4772">
        <v>-7.2696780000000003E-2</v>
      </c>
      <c r="W4772">
        <v>0.17799989999999999</v>
      </c>
      <c r="X4772">
        <v>0.98134149999999998</v>
      </c>
      <c r="Y4772">
        <v>-2.4645650000000002E-2</v>
      </c>
      <c r="Z4772">
        <v>-2.246956E-4</v>
      </c>
      <c r="AA4772">
        <v>0.99969620000000003</v>
      </c>
      <c r="AB4772">
        <v>32</v>
      </c>
      <c r="AC4772">
        <v>-23.439699999999998</v>
      </c>
      <c r="AD4772">
        <v>-1.1102365096239999</v>
      </c>
      <c r="AE4772">
        <v>-0.967700000000007</v>
      </c>
      <c r="AF4772">
        <v>-0.58232995937910204</v>
      </c>
      <c r="AG4772">
        <v>-1.1102365096239999</v>
      </c>
      <c r="AH4772">
        <v>23.399997401786401</v>
      </c>
      <c r="AI4772">
        <v>92.715579514611903</v>
      </c>
      <c r="AJ4772">
        <v>91.425562712479007</v>
      </c>
      <c r="AK4772">
        <v>23.433557384496801</v>
      </c>
      <c r="AL4772">
        <v>79.746718355876993</v>
      </c>
      <c r="AM4772">
        <v>94.236674507678003</v>
      </c>
      <c r="AN4772">
        <v>0.99999996292231297</v>
      </c>
    </row>
    <row r="4773" spans="1:40" x14ac:dyDescent="0.25">
      <c r="A4773" t="str">
        <f>"20190304155730502"</f>
        <v>20190304155730502</v>
      </c>
      <c r="B4773" t="str">
        <f>"1551686250499900"</f>
        <v>1551686250499900</v>
      </c>
      <c r="C4773" t="s">
        <v>40</v>
      </c>
      <c r="D4773">
        <v>5.3062079999999998</v>
      </c>
      <c r="E4773">
        <v>0.49077340000000003</v>
      </c>
      <c r="F4773" t="s">
        <v>41</v>
      </c>
      <c r="G4773">
        <v>-394.03680000000003</v>
      </c>
      <c r="H4773" s="1">
        <v>-2.575795E-6</v>
      </c>
      <c r="I4773">
        <v>139.74879999999999</v>
      </c>
      <c r="J4773">
        <v>-378.57080000000002</v>
      </c>
      <c r="K4773">
        <v>1.110233</v>
      </c>
      <c r="L4773">
        <v>141.40549999999999</v>
      </c>
      <c r="M4773">
        <v>-0.99976149999999997</v>
      </c>
      <c r="N4773">
        <v>-1.4452349999999999E-2</v>
      </c>
      <c r="O4773">
        <v>-1.6380080000000002E-2</v>
      </c>
      <c r="P4773">
        <v>-0.98242739999999995</v>
      </c>
      <c r="Q4773">
        <v>0.1641706</v>
      </c>
      <c r="R4773">
        <v>-8.8794319999999996E-2</v>
      </c>
      <c r="S4773">
        <v>-3.060333</v>
      </c>
      <c r="T4773">
        <v>-0.21693789999999999</v>
      </c>
      <c r="U4773">
        <v>-0.3243103</v>
      </c>
      <c r="V4773">
        <v>-7.2680079999999994E-2</v>
      </c>
      <c r="W4773">
        <v>0.17837430000000001</v>
      </c>
      <c r="X4773">
        <v>0.9812748</v>
      </c>
      <c r="Y4773">
        <v>-8.8837349999999995E-2</v>
      </c>
      <c r="Z4773">
        <v>-2.860497E-3</v>
      </c>
      <c r="AA4773">
        <v>0.99604199999999998</v>
      </c>
      <c r="AB4773">
        <v>32</v>
      </c>
      <c r="AC4773">
        <v>-15.465999999999999</v>
      </c>
      <c r="AD4773">
        <v>-1.110235575795</v>
      </c>
      <c r="AE4773">
        <v>-1.6567000000000001</v>
      </c>
      <c r="AF4773">
        <v>-1.39600470061955</v>
      </c>
      <c r="AG4773">
        <v>-1.110235575795</v>
      </c>
      <c r="AH4773">
        <v>15.4125419090393</v>
      </c>
      <c r="AI4773">
        <v>94.103419167515</v>
      </c>
      <c r="AJ4773">
        <v>95.175493817565894</v>
      </c>
      <c r="AK4773">
        <v>15.515408478535401</v>
      </c>
      <c r="AL4773">
        <v>79.7249184135663</v>
      </c>
      <c r="AM4773">
        <v>94.235991660556607</v>
      </c>
      <c r="AN4773">
        <v>1.0000000090221599</v>
      </c>
    </row>
    <row r="4774" spans="1:40" x14ac:dyDescent="0.25">
      <c r="A4774" t="str">
        <f>"20190304155730520"</f>
        <v>20190304155730520</v>
      </c>
      <c r="B4774" t="str">
        <f>"1551686250509660"</f>
        <v>1551686250509660</v>
      </c>
      <c r="C4774" t="s">
        <v>40</v>
      </c>
      <c r="D4774">
        <v>5.1246239999999998</v>
      </c>
      <c r="E4774">
        <v>0.48884339999999998</v>
      </c>
      <c r="F4774" t="s">
        <v>41</v>
      </c>
      <c r="G4774">
        <v>-396.63819999999998</v>
      </c>
      <c r="H4774" s="1">
        <v>-1.4585089999999999E-6</v>
      </c>
      <c r="I4774">
        <v>139.42439999999999</v>
      </c>
      <c r="J4774">
        <v>-378.81659999999999</v>
      </c>
      <c r="K4774">
        <v>1.1102369999999999</v>
      </c>
      <c r="L4774">
        <v>141.4014</v>
      </c>
      <c r="M4774">
        <v>-0.99976129999999996</v>
      </c>
      <c r="N4774">
        <v>-1.44496E-2</v>
      </c>
      <c r="O4774">
        <v>-1.63933E-2</v>
      </c>
      <c r="P4774">
        <v>-0.98242359999999895</v>
      </c>
      <c r="Q4774">
        <v>0.164441</v>
      </c>
      <c r="R4774">
        <v>-8.8336129999999999E-2</v>
      </c>
      <c r="S4774">
        <v>-3.0547179999999998</v>
      </c>
      <c r="T4774">
        <v>-0.1877114</v>
      </c>
      <c r="U4774">
        <v>-0.33493040000000002</v>
      </c>
      <c r="V4774">
        <v>-7.2212360000000003E-2</v>
      </c>
      <c r="W4774">
        <v>0.17864079999999999</v>
      </c>
      <c r="X4774">
        <v>0.98126080000000004</v>
      </c>
      <c r="Y4774">
        <v>-9.2483040000000002E-2</v>
      </c>
      <c r="Z4774">
        <v>-2.7342820000000002E-3</v>
      </c>
      <c r="AA4774">
        <v>0.99571050000000005</v>
      </c>
      <c r="AB4774">
        <v>32</v>
      </c>
      <c r="AC4774">
        <v>-17.821599999999901</v>
      </c>
      <c r="AD4774">
        <v>-1.1102384585089999</v>
      </c>
      <c r="AE4774">
        <v>-1.9770000000000001</v>
      </c>
      <c r="AF4774">
        <v>-1.6781154376368701</v>
      </c>
      <c r="AG4774">
        <v>-1.1102384585089999</v>
      </c>
      <c r="AH4774">
        <v>17.783439769628199</v>
      </c>
      <c r="AI4774">
        <v>93.556638816380399</v>
      </c>
      <c r="AJ4774">
        <v>95.390692729619104</v>
      </c>
      <c r="AK4774">
        <v>17.896911211066001</v>
      </c>
      <c r="AL4774">
        <v>79.709399316980296</v>
      </c>
      <c r="AM4774">
        <v>94.208889781020801</v>
      </c>
      <c r="AN4774">
        <v>0.99999995898902305</v>
      </c>
    </row>
    <row r="4775" spans="1:40" x14ac:dyDescent="0.25">
      <c r="A4775" t="str">
        <f>"20190304155730542"</f>
        <v>20190304155730542</v>
      </c>
      <c r="B4775" t="str">
        <f>"1551686250539916"</f>
        <v>1551686250539916</v>
      </c>
      <c r="C4775" t="s">
        <v>40</v>
      </c>
      <c r="D4775">
        <v>5.1201730000000003</v>
      </c>
      <c r="E4775">
        <v>0.48391519999999999</v>
      </c>
      <c r="F4775" t="s">
        <v>41</v>
      </c>
      <c r="G4775">
        <v>-398.30189999999999</v>
      </c>
      <c r="H4775" s="1">
        <v>-7.8923220000000002E-7</v>
      </c>
      <c r="I4775">
        <v>139.1739</v>
      </c>
      <c r="J4775">
        <v>-379.14760000000001</v>
      </c>
      <c r="K4775">
        <v>1.1102620000000001</v>
      </c>
      <c r="L4775">
        <v>141.39599999999999</v>
      </c>
      <c r="M4775">
        <v>-0.99976039999999999</v>
      </c>
      <c r="N4775">
        <v>-1.4445909999999999E-2</v>
      </c>
      <c r="O4775">
        <v>-1.6437449999999999E-2</v>
      </c>
      <c r="P4775">
        <v>-0.98242430000000003</v>
      </c>
      <c r="Q4775">
        <v>0.16461329999999999</v>
      </c>
      <c r="R4775">
        <v>-8.8005739999999999E-2</v>
      </c>
      <c r="S4775">
        <v>-3.0513919999999999</v>
      </c>
      <c r="T4775">
        <v>-0.17386279999999901</v>
      </c>
      <c r="U4775">
        <v>-0.34881590000000001</v>
      </c>
      <c r="V4775">
        <v>-7.1846119999999999E-2</v>
      </c>
      <c r="W4775">
        <v>0.17880639999999901</v>
      </c>
      <c r="X4775">
        <v>0.98125759999999995</v>
      </c>
      <c r="Y4775">
        <v>-9.7045380000000001E-2</v>
      </c>
      <c r="Z4775">
        <v>-2.7616020000000002E-3</v>
      </c>
      <c r="AA4775">
        <v>0.99527619999999895</v>
      </c>
      <c r="AB4775">
        <v>32</v>
      </c>
      <c r="AC4775">
        <v>-19.1542999999999</v>
      </c>
      <c r="AD4775">
        <v>-1.1102627892321999</v>
      </c>
      <c r="AE4775">
        <v>-2.22210000000001</v>
      </c>
      <c r="AF4775">
        <v>-1.9006179977806399</v>
      </c>
      <c r="AG4775">
        <v>-1.1102627892321999</v>
      </c>
      <c r="AH4775">
        <v>19.124837962869101</v>
      </c>
      <c r="AI4775">
        <v>93.306238243052803</v>
      </c>
      <c r="AJ4775">
        <v>95.675394399851996</v>
      </c>
      <c r="AK4775">
        <v>19.251089822154</v>
      </c>
      <c r="AL4775">
        <v>79.699756667142196</v>
      </c>
      <c r="AM4775">
        <v>94.1876332588715</v>
      </c>
      <c r="AN4775">
        <v>1.0000000355988801</v>
      </c>
    </row>
    <row r="4776" spans="1:40" x14ac:dyDescent="0.25">
      <c r="A4776" t="str">
        <f>"20190304155730565"</f>
        <v>20190304155730565</v>
      </c>
      <c r="B4776" t="str">
        <f>"1551686250559436"</f>
        <v>1551686250559436</v>
      </c>
      <c r="C4776" t="s">
        <v>40</v>
      </c>
      <c r="D4776">
        <v>5.0734120000000003</v>
      </c>
      <c r="E4776">
        <v>0.48276140000000001</v>
      </c>
      <c r="F4776" t="s">
        <v>41</v>
      </c>
      <c r="G4776">
        <v>-399.79090000000002</v>
      </c>
      <c r="H4776" s="1">
        <v>-2.8230910000000001E-7</v>
      </c>
      <c r="I4776">
        <v>138.77019999999999</v>
      </c>
      <c r="J4776">
        <v>-379.4708</v>
      </c>
      <c r="K4776">
        <v>1.1102860000000001</v>
      </c>
      <c r="L4776">
        <v>141.39060000000001</v>
      </c>
      <c r="M4776">
        <v>-0.99975939999999996</v>
      </c>
      <c r="N4776">
        <v>-1.444257E-2</v>
      </c>
      <c r="O4776">
        <v>-1.651381E-2</v>
      </c>
      <c r="P4776">
        <v>-0.98241029999999996</v>
      </c>
      <c r="Q4776">
        <v>0.16454730000000001</v>
      </c>
      <c r="R4776">
        <v>-8.828445E-2</v>
      </c>
      <c r="S4776">
        <v>-3.0464479999999998</v>
      </c>
      <c r="T4776">
        <v>-0.16384770000000001</v>
      </c>
      <c r="U4776">
        <v>-0.38748169999999998</v>
      </c>
      <c r="V4776">
        <v>-7.2061399999999998E-2</v>
      </c>
      <c r="W4776">
        <v>0.17873229999999901</v>
      </c>
      <c r="X4776">
        <v>0.98125530000000005</v>
      </c>
      <c r="Y4776">
        <v>-0.1095883</v>
      </c>
      <c r="Z4776">
        <v>-3.082184E-3</v>
      </c>
      <c r="AA4776">
        <v>0.99397230000000003</v>
      </c>
      <c r="AB4776">
        <v>32</v>
      </c>
      <c r="AC4776">
        <v>-20.3201</v>
      </c>
      <c r="AD4776">
        <v>-1.1102862823091</v>
      </c>
      <c r="AE4776">
        <v>-2.6204000000000098</v>
      </c>
      <c r="AF4776">
        <v>-2.27775633018631</v>
      </c>
      <c r="AG4776">
        <v>-1.1102862823091</v>
      </c>
      <c r="AH4776">
        <v>20.300988475086001</v>
      </c>
      <c r="AI4776">
        <v>93.110977048345802</v>
      </c>
      <c r="AJ4776">
        <v>96.401771628550506</v>
      </c>
      <c r="AK4776">
        <v>20.458520048966399</v>
      </c>
      <c r="AL4776">
        <v>79.704071656186798</v>
      </c>
      <c r="AM4776">
        <v>94.200146071384296</v>
      </c>
      <c r="AN4776">
        <v>1.00000002210566</v>
      </c>
    </row>
    <row r="4777" spans="1:40" x14ac:dyDescent="0.25">
      <c r="A4777" t="str">
        <f>"20190304155730586"</f>
        <v>20190304155730586</v>
      </c>
      <c r="B4777" t="str">
        <f>"1551686250579932"</f>
        <v>1551686250579932</v>
      </c>
      <c r="C4777" t="s">
        <v>40</v>
      </c>
      <c r="D4777">
        <v>5.2024220000000003</v>
      </c>
      <c r="E4777">
        <v>0.48271960000000003</v>
      </c>
      <c r="F4777" t="s">
        <v>78</v>
      </c>
      <c r="G4777">
        <v>-400.65109999999999</v>
      </c>
      <c r="H4777" s="1">
        <v>-5.1913520000000003E-6</v>
      </c>
      <c r="I4777">
        <v>138.62389999999999</v>
      </c>
      <c r="J4777">
        <v>-379.78050000000002</v>
      </c>
      <c r="K4777">
        <v>1.110322</v>
      </c>
      <c r="L4777">
        <v>141.3853</v>
      </c>
      <c r="M4777">
        <v>-0.99975760000000002</v>
      </c>
      <c r="N4777">
        <v>-1.4439509999999999E-2</v>
      </c>
      <c r="O4777">
        <v>-1.6622209999999998E-2</v>
      </c>
      <c r="P4777">
        <v>-0.98238329999999996</v>
      </c>
      <c r="Q4777">
        <v>0.16467200000000001</v>
      </c>
      <c r="R4777">
        <v>-8.83525E-2</v>
      </c>
      <c r="S4777">
        <v>-3.044708</v>
      </c>
      <c r="T4777">
        <v>-0.15960659999999999</v>
      </c>
      <c r="U4777">
        <v>-0.39772030000000003</v>
      </c>
      <c r="V4777">
        <v>-7.2036000000000003E-2</v>
      </c>
      <c r="W4777">
        <v>0.1788486</v>
      </c>
      <c r="X4777">
        <v>0.98123590000000005</v>
      </c>
      <c r="Y4777">
        <v>-0.11284139999999999</v>
      </c>
      <c r="Z4777">
        <v>-3.1341590000000001E-3</v>
      </c>
      <c r="AA4777">
        <v>0.99360809999999999</v>
      </c>
      <c r="AB4777">
        <v>32</v>
      </c>
      <c r="AC4777">
        <v>-20.8705999999999</v>
      </c>
      <c r="AD4777">
        <v>-1.1103271913519901</v>
      </c>
      <c r="AE4777">
        <v>-2.7614000000000001</v>
      </c>
      <c r="AF4777">
        <v>-2.4073704042523598</v>
      </c>
      <c r="AG4777">
        <v>-1.1103271913519901</v>
      </c>
      <c r="AH4777">
        <v>20.855609288387001</v>
      </c>
      <c r="AI4777">
        <v>93.027415946254493</v>
      </c>
      <c r="AJ4777">
        <v>96.584530951420007</v>
      </c>
      <c r="AK4777">
        <v>21.023432106223201</v>
      </c>
      <c r="AL4777">
        <v>79.697298272080999</v>
      </c>
      <c r="AM4777">
        <v>94.198753625990406</v>
      </c>
      <c r="AN4777">
        <v>0.99999994923338298</v>
      </c>
    </row>
    <row r="4778" spans="1:40" x14ac:dyDescent="0.25">
      <c r="A4778" t="str">
        <f>"20190304155730610"</f>
        <v>20190304155730610</v>
      </c>
      <c r="B4778" t="str">
        <f>"1551686250599453"</f>
        <v>1551686250599453</v>
      </c>
      <c r="C4778" t="s">
        <v>40</v>
      </c>
      <c r="D4778">
        <v>5.0567479999999998</v>
      </c>
      <c r="E4778">
        <v>0.48251959999999999</v>
      </c>
      <c r="F4778" t="s">
        <v>78</v>
      </c>
      <c r="G4778">
        <v>-401.24689999999998</v>
      </c>
      <c r="H4778" s="1">
        <v>-5.4338280000000003E-6</v>
      </c>
      <c r="I4778">
        <v>138.57730000000001</v>
      </c>
      <c r="J4778">
        <v>-380.10770000000002</v>
      </c>
      <c r="K4778">
        <v>1.11036</v>
      </c>
      <c r="L4778">
        <v>141.37979999999999</v>
      </c>
      <c r="M4778">
        <v>-0.99975510000000001</v>
      </c>
      <c r="N4778">
        <v>-1.4436299999999999E-2</v>
      </c>
      <c r="O4778">
        <v>-1.6779079999999998E-2</v>
      </c>
      <c r="P4778">
        <v>-0.98239829999999995</v>
      </c>
      <c r="Q4778">
        <v>0.1645858</v>
      </c>
      <c r="R4778">
        <v>-8.8347179999999997E-2</v>
      </c>
      <c r="S4778">
        <v>-3.0443730000000002</v>
      </c>
      <c r="T4778">
        <v>-0.15746740000000001</v>
      </c>
      <c r="U4778">
        <v>-0.39823910000000001</v>
      </c>
      <c r="V4778">
        <v>-7.1891280000000002E-2</v>
      </c>
      <c r="W4778">
        <v>0.17875339999999901</v>
      </c>
      <c r="X4778">
        <v>0.98126389999999997</v>
      </c>
      <c r="Y4778">
        <v>-0.11287030000000001</v>
      </c>
      <c r="Z4778">
        <v>-3.101468E-3</v>
      </c>
      <c r="AA4778">
        <v>0.99360490000000001</v>
      </c>
      <c r="AB4778">
        <v>32</v>
      </c>
      <c r="AC4778">
        <v>-21.139199999999899</v>
      </c>
      <c r="AD4778">
        <v>-1.110365433828</v>
      </c>
      <c r="AE4778">
        <v>-2.8024999999999798</v>
      </c>
      <c r="AF4778">
        <v>-2.4407543511543501</v>
      </c>
      <c r="AG4778">
        <v>-1.110365433828</v>
      </c>
      <c r="AH4778">
        <v>21.125971475430301</v>
      </c>
      <c r="AI4778">
        <v>92.988810654391003</v>
      </c>
      <c r="AJ4778">
        <v>96.590354665465895</v>
      </c>
      <c r="AK4778">
        <v>21.2954658080074</v>
      </c>
      <c r="AL4778">
        <v>79.702842570475099</v>
      </c>
      <c r="AM4778">
        <v>94.190229281593503</v>
      </c>
      <c r="AN4778">
        <v>0.99999998779740396</v>
      </c>
    </row>
    <row r="4779" spans="1:40" x14ac:dyDescent="0.25">
      <c r="A4779" t="str">
        <f>"20190304155730623"</f>
        <v>20190304155730623</v>
      </c>
      <c r="B4779" t="str">
        <f>"1551686250619948"</f>
        <v>1551686250619948</v>
      </c>
      <c r="C4779" t="s">
        <v>40</v>
      </c>
      <c r="D4779">
        <v>5.2939619999999996</v>
      </c>
      <c r="E4779">
        <v>0.48193029999999998</v>
      </c>
      <c r="F4779" t="s">
        <v>78</v>
      </c>
      <c r="G4779">
        <v>-401.59</v>
      </c>
      <c r="H4779" s="1">
        <v>-5.5774939999999998E-6</v>
      </c>
      <c r="I4779">
        <v>138.5591</v>
      </c>
      <c r="J4779">
        <v>-380.29419999999999</v>
      </c>
      <c r="K4779">
        <v>1.1103809999999901</v>
      </c>
      <c r="L4779">
        <v>141.37649999999999</v>
      </c>
      <c r="M4779">
        <v>-0.99975309999999995</v>
      </c>
      <c r="N4779">
        <v>-1.443445E-2</v>
      </c>
      <c r="O4779">
        <v>-1.6893729999999999E-2</v>
      </c>
      <c r="P4779">
        <v>-0.98242850000000004</v>
      </c>
      <c r="Q4779">
        <v>0.16441689999999901</v>
      </c>
      <c r="R4779">
        <v>-8.8325689999999998E-2</v>
      </c>
      <c r="S4779">
        <v>-3.0441590000000001</v>
      </c>
      <c r="T4779">
        <v>-0.15734429999999999</v>
      </c>
      <c r="U4779">
        <v>-0.399704</v>
      </c>
      <c r="V4779">
        <v>-7.1764919999999996E-2</v>
      </c>
      <c r="W4779">
        <v>0.17857979999999901</v>
      </c>
      <c r="X4779">
        <v>0.98130479999999998</v>
      </c>
      <c r="Y4779">
        <v>-0.11323510000000001</v>
      </c>
      <c r="Z4779">
        <v>-3.1076179999999999E-3</v>
      </c>
      <c r="AA4779">
        <v>0.99356339999999999</v>
      </c>
      <c r="AB4779">
        <v>32</v>
      </c>
      <c r="AC4779">
        <v>-21.2957999999999</v>
      </c>
      <c r="AD4779">
        <v>-1.1103865774939901</v>
      </c>
      <c r="AE4779">
        <v>-2.8173999999999899</v>
      </c>
      <c r="AF4779">
        <v>-2.4506469154999002</v>
      </c>
      <c r="AG4779">
        <v>-1.1103865774939901</v>
      </c>
      <c r="AH4779">
        <v>21.283493637804799</v>
      </c>
      <c r="AI4779">
        <v>92.966917658810203</v>
      </c>
      <c r="AJ4779">
        <v>96.568286894687702</v>
      </c>
      <c r="AK4779">
        <v>21.4528723038759</v>
      </c>
      <c r="AL4779">
        <v>79.712952213169501</v>
      </c>
      <c r="AM4779">
        <v>94.182716751355699</v>
      </c>
      <c r="AN4779">
        <v>1.0000000296068401</v>
      </c>
    </row>
    <row r="4780" spans="1:40" x14ac:dyDescent="0.25">
      <c r="A4780" t="str">
        <f>"20190304155730637"</f>
        <v>20190304155730637</v>
      </c>
      <c r="B4780" t="str">
        <f>"1551686250629709"</f>
        <v>1551686250629709</v>
      </c>
      <c r="C4780" t="s">
        <v>40</v>
      </c>
      <c r="D4780">
        <v>5.1274240000000004</v>
      </c>
      <c r="E4780">
        <v>0.48147040000000002</v>
      </c>
      <c r="F4780" t="s">
        <v>78</v>
      </c>
      <c r="G4780">
        <v>-401.51900000000001</v>
      </c>
      <c r="H4780" s="1">
        <v>-5.5450840000000001E-6</v>
      </c>
      <c r="I4780">
        <v>138.55709999999999</v>
      </c>
      <c r="J4780">
        <v>-380.50450000000001</v>
      </c>
      <c r="K4780">
        <v>1.1104019999999999</v>
      </c>
      <c r="L4780">
        <v>141.37280000000001</v>
      </c>
      <c r="M4780">
        <v>-0.99975069999999999</v>
      </c>
      <c r="N4780">
        <v>-1.443236E-2</v>
      </c>
      <c r="O4780">
        <v>-1.7035109999999999E-2</v>
      </c>
      <c r="P4780">
        <v>-0.9824157</v>
      </c>
      <c r="Q4780">
        <v>0.16434099999999999</v>
      </c>
      <c r="R4780">
        <v>-8.8610899999999895E-2</v>
      </c>
      <c r="S4780">
        <v>-3.0439449999999999</v>
      </c>
      <c r="T4780">
        <v>-0.1592451</v>
      </c>
      <c r="U4780">
        <v>-0.4043427</v>
      </c>
      <c r="V4780">
        <v>-7.1919949999999996E-2</v>
      </c>
      <c r="W4780">
        <v>0.17849809999999999</v>
      </c>
      <c r="X4780">
        <v>0.98130830000000002</v>
      </c>
      <c r="Y4780">
        <v>-0.1145857</v>
      </c>
      <c r="Z4780">
        <v>-3.1717519999999999E-3</v>
      </c>
      <c r="AA4780">
        <v>0.99340830000000002</v>
      </c>
      <c r="AB4780">
        <v>32</v>
      </c>
      <c r="AC4780">
        <v>-21.014500000000002</v>
      </c>
      <c r="AD4780">
        <v>-1.1104075450839901</v>
      </c>
      <c r="AE4780">
        <v>-2.8157000000000201</v>
      </c>
      <c r="AF4780">
        <v>-2.45054827850845</v>
      </c>
      <c r="AG4780">
        <v>-1.1104075450839901</v>
      </c>
      <c r="AH4780">
        <v>21.0018163223126</v>
      </c>
      <c r="AI4780">
        <v>93.006165791028295</v>
      </c>
      <c r="AJ4780">
        <v>96.655330395662801</v>
      </c>
      <c r="AK4780">
        <v>21.173438091572098</v>
      </c>
      <c r="AL4780">
        <v>79.717709568866098</v>
      </c>
      <c r="AM4780">
        <v>94.191705386113398</v>
      </c>
      <c r="AN4780">
        <v>1.00000001528025</v>
      </c>
    </row>
    <row r="4781" spans="1:40" x14ac:dyDescent="0.25">
      <c r="A4781" t="str">
        <f>"20190304155730651"</f>
        <v>20190304155730651</v>
      </c>
      <c r="B4781" t="str">
        <f>"1551686250639470"</f>
        <v>1551686250639470</v>
      </c>
      <c r="C4781" t="s">
        <v>40</v>
      </c>
      <c r="D4781">
        <v>5.2155189999999996</v>
      </c>
      <c r="E4781">
        <v>0.48121819999999998</v>
      </c>
      <c r="F4781" t="s">
        <v>78</v>
      </c>
      <c r="G4781">
        <v>-401.66579999999999</v>
      </c>
      <c r="H4781" s="1">
        <v>-5.5973709999999998E-6</v>
      </c>
      <c r="I4781">
        <v>138.52969999999999</v>
      </c>
      <c r="J4781">
        <v>-380.70049999999998</v>
      </c>
      <c r="K4781">
        <v>1.1104210000000001</v>
      </c>
      <c r="L4781">
        <v>141.36940000000001</v>
      </c>
      <c r="M4781">
        <v>-0.99974830000000003</v>
      </c>
      <c r="N4781">
        <v>-1.4430409999999999E-2</v>
      </c>
      <c r="O4781">
        <v>-1.7178349999999998E-2</v>
      </c>
      <c r="P4781">
        <v>-0.98242600000000002</v>
      </c>
      <c r="Q4781">
        <v>0.16427549999999999</v>
      </c>
      <c r="R4781">
        <v>-8.8618080000000002E-2</v>
      </c>
      <c r="S4781">
        <v>-3.0435180000000002</v>
      </c>
      <c r="T4781">
        <v>-0.15970409999999999</v>
      </c>
      <c r="U4781">
        <v>-0.40892030000000001</v>
      </c>
      <c r="V4781">
        <v>-7.1794060000000007E-2</v>
      </c>
      <c r="W4781">
        <v>0.178427799999999</v>
      </c>
      <c r="X4781">
        <v>0.98133029999999999</v>
      </c>
      <c r="Y4781">
        <v>-0.1159263</v>
      </c>
      <c r="Z4781">
        <v>-3.2170889999999998E-3</v>
      </c>
      <c r="AA4781">
        <v>0.99325260000000004</v>
      </c>
      <c r="AB4781">
        <v>32</v>
      </c>
      <c r="AC4781">
        <v>-20.965299999999999</v>
      </c>
      <c r="AD4781">
        <v>-1.1104265973709999</v>
      </c>
      <c r="AE4781">
        <v>-2.8397000000000201</v>
      </c>
      <c r="AF4781">
        <v>-2.4722836013505201</v>
      </c>
      <c r="AG4781">
        <v>-1.1104265973709999</v>
      </c>
      <c r="AH4781">
        <v>20.9532711629444</v>
      </c>
      <c r="AI4781">
        <v>93.012714174442394</v>
      </c>
      <c r="AJ4781">
        <v>96.7292361183613</v>
      </c>
      <c r="AK4781">
        <v>21.127820660483</v>
      </c>
      <c r="AL4781">
        <v>79.721803147159704</v>
      </c>
      <c r="AM4781">
        <v>94.184300757382303</v>
      </c>
      <c r="AN4781">
        <v>1.0000000122810999</v>
      </c>
    </row>
    <row r="4782" spans="1:40" x14ac:dyDescent="0.25">
      <c r="A4782" t="str">
        <f>"20190304155730665"</f>
        <v>20190304155730665</v>
      </c>
      <c r="B4782" t="str">
        <f>"1551686250659967"</f>
        <v>1551686250659967</v>
      </c>
      <c r="C4782" t="s">
        <v>40</v>
      </c>
      <c r="D4782">
        <v>5.1285379999999998</v>
      </c>
      <c r="E4782">
        <v>0.4807111</v>
      </c>
      <c r="F4782" t="s">
        <v>78</v>
      </c>
      <c r="G4782">
        <v>-401.76749999999998</v>
      </c>
      <c r="H4782" s="1">
        <v>-5.6404539999999996E-6</v>
      </c>
      <c r="I4782">
        <v>138.52539999999999</v>
      </c>
      <c r="J4782">
        <v>-380.90809999999999</v>
      </c>
      <c r="K4782">
        <v>1.110436</v>
      </c>
      <c r="L4782">
        <v>141.3657</v>
      </c>
      <c r="M4782">
        <v>-0.99974540000000001</v>
      </c>
      <c r="N4782">
        <v>-1.442832E-2</v>
      </c>
      <c r="O4782">
        <v>-1.7345760000000002E-2</v>
      </c>
      <c r="P4782">
        <v>-0.982406</v>
      </c>
      <c r="Q4782">
        <v>0.1643279</v>
      </c>
      <c r="R4782">
        <v>-8.8740310000000003E-2</v>
      </c>
      <c r="S4782">
        <v>-3.0434570000000001</v>
      </c>
      <c r="T4782">
        <v>-0.16041830000000001</v>
      </c>
      <c r="U4782">
        <v>-0.41085820000000001</v>
      </c>
      <c r="V4782">
        <v>-7.1759279999999995E-2</v>
      </c>
      <c r="W4782">
        <v>0.1784752</v>
      </c>
      <c r="X4782">
        <v>0.98132419999999998</v>
      </c>
      <c r="Y4782">
        <v>-0.1163816</v>
      </c>
      <c r="Z4782">
        <v>-3.2352969999999998E-3</v>
      </c>
      <c r="AA4782">
        <v>0.99319930000000001</v>
      </c>
      <c r="AB4782">
        <v>32</v>
      </c>
      <c r="AC4782">
        <v>-20.859399999999901</v>
      </c>
      <c r="AD4782">
        <v>-1.1104416404539901</v>
      </c>
      <c r="AE4782">
        <v>-2.8403000000000098</v>
      </c>
      <c r="AF4782">
        <v>-2.47113722939112</v>
      </c>
      <c r="AG4782">
        <v>-1.1104416404539901</v>
      </c>
      <c r="AH4782">
        <v>20.847528545394798</v>
      </c>
      <c r="AI4782">
        <v>93.027816238763506</v>
      </c>
      <c r="AJ4782">
        <v>96.759945781862797</v>
      </c>
      <c r="AK4782">
        <v>21.0228220345031</v>
      </c>
      <c r="AL4782">
        <v>79.719042775441693</v>
      </c>
      <c r="AM4782">
        <v>94.182306809341199</v>
      </c>
      <c r="AN4782">
        <v>0.99999998839339899</v>
      </c>
    </row>
    <row r="4783" spans="1:40" x14ac:dyDescent="0.25">
      <c r="A4783" t="str">
        <f>"20190304155730679"</f>
        <v>20190304155730679</v>
      </c>
      <c r="B4783" t="str">
        <f>"1551686250669724"</f>
        <v>1551686250669724</v>
      </c>
      <c r="C4783" t="s">
        <v>40</v>
      </c>
      <c r="D4783">
        <v>5.1138570000000003</v>
      </c>
      <c r="E4783">
        <v>0.48040909999999898</v>
      </c>
      <c r="F4783" t="s">
        <v>78</v>
      </c>
      <c r="G4783">
        <v>-401.75229999999999</v>
      </c>
      <c r="H4783" s="1">
        <v>-5.6323899999999998E-6</v>
      </c>
      <c r="I4783">
        <v>138.52250000000001</v>
      </c>
      <c r="J4783">
        <v>-381.10539999999997</v>
      </c>
      <c r="K4783">
        <v>1.110452</v>
      </c>
      <c r="L4783">
        <v>141.3621</v>
      </c>
      <c r="M4783">
        <v>-0.99974260000000004</v>
      </c>
      <c r="N4783">
        <v>-1.4426309999999999E-2</v>
      </c>
      <c r="O4783">
        <v>-1.751335E-2</v>
      </c>
      <c r="P4783">
        <v>-0.98238409999999998</v>
      </c>
      <c r="Q4783">
        <v>0.16436999999999999</v>
      </c>
      <c r="R4783">
        <v>-8.8907100000000003E-2</v>
      </c>
      <c r="S4783">
        <v>-3.0433650000000001</v>
      </c>
      <c r="T4783">
        <v>-0.16212989999999999</v>
      </c>
      <c r="U4783">
        <v>-0.41511540000000002</v>
      </c>
      <c r="V4783">
        <v>-7.1767200000000003E-2</v>
      </c>
      <c r="W4783">
        <v>0.1785127</v>
      </c>
      <c r="X4783">
        <v>0.98131679999999999</v>
      </c>
      <c r="Y4783">
        <v>-0.1175778</v>
      </c>
      <c r="Z4783">
        <v>-3.291801E-3</v>
      </c>
      <c r="AA4783">
        <v>0.9930582</v>
      </c>
      <c r="AB4783">
        <v>32</v>
      </c>
      <c r="AC4783">
        <v>-20.646899999999999</v>
      </c>
      <c r="AD4783">
        <v>-1.1104576323899999</v>
      </c>
      <c r="AE4783">
        <v>-2.8395999999999901</v>
      </c>
      <c r="AF4783">
        <v>-2.4705167465420401</v>
      </c>
      <c r="AG4783">
        <v>-1.1104576323899999</v>
      </c>
      <c r="AH4783">
        <v>20.634887571466699</v>
      </c>
      <c r="AI4783">
        <v>93.058575419797606</v>
      </c>
      <c r="AJ4783">
        <v>96.827253466046102</v>
      </c>
      <c r="AK4783">
        <v>20.811899342331799</v>
      </c>
      <c r="AL4783">
        <v>79.716859117531399</v>
      </c>
      <c r="AM4783">
        <v>94.1827981979893</v>
      </c>
      <c r="AN4783">
        <v>0.99999998850968397</v>
      </c>
    </row>
    <row r="4784" spans="1:40" x14ac:dyDescent="0.25">
      <c r="A4784" t="str">
        <f>"20190304155730695"</f>
        <v>20190304155730695</v>
      </c>
      <c r="B4784" t="str">
        <f>"1551686250689245"</f>
        <v>1551686250689245</v>
      </c>
      <c r="C4784" t="s">
        <v>40</v>
      </c>
      <c r="D4784">
        <v>5.0385650000000002</v>
      </c>
      <c r="E4784">
        <v>0.47998360000000001</v>
      </c>
      <c r="F4784" t="s">
        <v>78</v>
      </c>
      <c r="G4784">
        <v>-401.94639999999998</v>
      </c>
      <c r="H4784" s="1">
        <v>-5.7078349999999997E-6</v>
      </c>
      <c r="I4784">
        <v>138.49979999999999</v>
      </c>
      <c r="J4784">
        <v>-381.31900000000002</v>
      </c>
      <c r="K4784">
        <v>1.110463</v>
      </c>
      <c r="L4784">
        <v>141.35820000000001</v>
      </c>
      <c r="M4784">
        <v>-0.99973939999999994</v>
      </c>
      <c r="N4784">
        <v>-1.442411E-2</v>
      </c>
      <c r="O4784">
        <v>-1.77007E-2</v>
      </c>
      <c r="P4784">
        <v>-0.98233899999999996</v>
      </c>
      <c r="Q4784">
        <v>0.16445290000000001</v>
      </c>
      <c r="R4784">
        <v>-8.9252699999999893E-2</v>
      </c>
      <c r="S4784">
        <v>-3.043091</v>
      </c>
      <c r="T4784">
        <v>-0.16214319999999999</v>
      </c>
      <c r="U4784">
        <v>-0.41793819999999998</v>
      </c>
      <c r="V4784">
        <v>-7.1934620000000005E-2</v>
      </c>
      <c r="W4784">
        <v>0.1785911</v>
      </c>
      <c r="X4784">
        <v>0.98129029999999995</v>
      </c>
      <c r="Y4784">
        <v>-0.1183067</v>
      </c>
      <c r="Z4784">
        <v>-3.3092820000000002E-3</v>
      </c>
      <c r="AA4784">
        <v>0.99297159999999995</v>
      </c>
      <c r="AB4784">
        <v>32</v>
      </c>
      <c r="AC4784">
        <v>-20.627399999999898</v>
      </c>
      <c r="AD4784">
        <v>-1.110468707835</v>
      </c>
      <c r="AE4784">
        <v>-2.8584000000000098</v>
      </c>
      <c r="AF4784">
        <v>-2.48572639291215</v>
      </c>
      <c r="AG4784">
        <v>-1.110468707835</v>
      </c>
      <c r="AH4784">
        <v>20.616145224637599</v>
      </c>
      <c r="AI4784">
        <v>93.061074824778501</v>
      </c>
      <c r="AJ4784">
        <v>96.875069671496107</v>
      </c>
      <c r="AK4784">
        <v>20.7951297272907</v>
      </c>
      <c r="AL4784">
        <v>79.712294006731597</v>
      </c>
      <c r="AM4784">
        <v>94.192633978872905</v>
      </c>
      <c r="AN4784">
        <v>1.0000000117139201</v>
      </c>
    </row>
    <row r="4785" spans="1:40" x14ac:dyDescent="0.25">
      <c r="A4785" t="str">
        <f>"20190304155730711"</f>
        <v>20190304155730711</v>
      </c>
      <c r="B4785" t="str">
        <f>"1551686250699983"</f>
        <v>1551686250699983</v>
      </c>
      <c r="C4785" t="s">
        <v>40</v>
      </c>
      <c r="D4785">
        <v>5.0579070000000002</v>
      </c>
      <c r="E4785">
        <v>0.4798789</v>
      </c>
      <c r="F4785" t="s">
        <v>78</v>
      </c>
      <c r="G4785">
        <v>-402.25200000000001</v>
      </c>
      <c r="H4785" s="1">
        <v>-5.8219479999999997E-6</v>
      </c>
      <c r="I4785">
        <v>138.4539</v>
      </c>
      <c r="J4785">
        <v>-381.55810000000002</v>
      </c>
      <c r="K4785">
        <v>1.1104700000000001</v>
      </c>
      <c r="L4785">
        <v>141.3537</v>
      </c>
      <c r="M4785">
        <v>-0.9997355</v>
      </c>
      <c r="N4785">
        <v>-1.442152E-2</v>
      </c>
      <c r="O4785">
        <v>-1.7917829999999999E-2</v>
      </c>
      <c r="P4785">
        <v>-0.98232200000000003</v>
      </c>
      <c r="Q4785">
        <v>0.16429369999999999</v>
      </c>
      <c r="R4785">
        <v>-8.9727020000000005E-2</v>
      </c>
      <c r="S4785">
        <v>-3.0426030000000002</v>
      </c>
      <c r="T4785">
        <v>-0.16140560000000001</v>
      </c>
      <c r="U4785">
        <v>-0.42213440000000002</v>
      </c>
      <c r="V4785">
        <v>-7.2200689999999998E-2</v>
      </c>
      <c r="W4785">
        <v>0.17842729999999901</v>
      </c>
      <c r="X4785">
        <v>0.98130050000000002</v>
      </c>
      <c r="Y4785">
        <v>-0.11945600000000001</v>
      </c>
      <c r="Z4785">
        <v>-3.3296189999999998E-3</v>
      </c>
      <c r="AA4785">
        <v>0.99283390000000005</v>
      </c>
      <c r="AB4785">
        <v>32</v>
      </c>
      <c r="AC4785">
        <v>-20.6938999999999</v>
      </c>
      <c r="AD4785">
        <v>-1.110475821948</v>
      </c>
      <c r="AE4785">
        <v>-2.8997999999999902</v>
      </c>
      <c r="AF4785">
        <v>-2.5213852684345399</v>
      </c>
      <c r="AG4785">
        <v>-1.110475821948</v>
      </c>
      <c r="AH4785">
        <v>20.684125534932701</v>
      </c>
      <c r="AI4785">
        <v>93.050569818857696</v>
      </c>
      <c r="AJ4785">
        <v>96.950039496977496</v>
      </c>
      <c r="AK4785">
        <v>20.8668059215555</v>
      </c>
      <c r="AL4785">
        <v>79.721831679177797</v>
      </c>
      <c r="AM4785">
        <v>94.208042402000004</v>
      </c>
      <c r="AN4785">
        <v>0.99999995616100701</v>
      </c>
    </row>
    <row r="4786" spans="1:40" x14ac:dyDescent="0.25">
      <c r="A4786" t="str">
        <f>"20190304155730733"</f>
        <v>20190304155730733</v>
      </c>
      <c r="B4786" t="str">
        <f>"1551686250729261"</f>
        <v>1551686250729261</v>
      </c>
      <c r="C4786" t="s">
        <v>40</v>
      </c>
      <c r="D4786">
        <v>5.0537070000000002</v>
      </c>
      <c r="E4786">
        <v>0.47958440000000002</v>
      </c>
      <c r="F4786" t="s">
        <v>78</v>
      </c>
      <c r="G4786">
        <v>-402.4794</v>
      </c>
      <c r="H4786" s="1">
        <v>-5.9144060000000002E-6</v>
      </c>
      <c r="I4786">
        <v>138.4359</v>
      </c>
      <c r="J4786">
        <v>-381.86579999999998</v>
      </c>
      <c r="K4786">
        <v>1.1104810000000001</v>
      </c>
      <c r="L4786">
        <v>141.34790000000001</v>
      </c>
      <c r="M4786">
        <v>-0.99973040000000002</v>
      </c>
      <c r="N4786">
        <v>-1.4418210000000001E-2</v>
      </c>
      <c r="O4786">
        <v>-1.8203460000000001E-2</v>
      </c>
      <c r="P4786">
        <v>-0.98233190000000004</v>
      </c>
      <c r="Q4786">
        <v>0.16402809999999901</v>
      </c>
      <c r="R4786">
        <v>-9.0106930000000002E-2</v>
      </c>
      <c r="S4786">
        <v>-3.0422359999999999</v>
      </c>
      <c r="T4786">
        <v>-0.1614777</v>
      </c>
      <c r="U4786">
        <v>-0.42428589999999999</v>
      </c>
      <c r="V4786">
        <v>-7.2302539999999998E-2</v>
      </c>
      <c r="W4786">
        <v>0.1781575</v>
      </c>
      <c r="X4786">
        <v>0.98134209999999999</v>
      </c>
      <c r="Y4786">
        <v>-0.1198767</v>
      </c>
      <c r="Z4786">
        <v>-3.333721E-3</v>
      </c>
      <c r="AA4786">
        <v>0.99278319999999998</v>
      </c>
      <c r="AB4786">
        <v>32</v>
      </c>
      <c r="AC4786">
        <v>-20.613600000000002</v>
      </c>
      <c r="AD4786">
        <v>-1.1104869144059999</v>
      </c>
      <c r="AE4786">
        <v>-2.9119999999999999</v>
      </c>
      <c r="AF4786">
        <v>-2.5290435139785599</v>
      </c>
      <c r="AG4786">
        <v>-1.1104869144059999</v>
      </c>
      <c r="AH4786">
        <v>20.604570178523801</v>
      </c>
      <c r="AI4786">
        <v>93.062046117076605</v>
      </c>
      <c r="AJ4786">
        <v>96.997590416264003</v>
      </c>
      <c r="AK4786">
        <v>20.788880550053101</v>
      </c>
      <c r="AL4786">
        <v>79.737542610158698</v>
      </c>
      <c r="AM4786">
        <v>94.213779124274595</v>
      </c>
      <c r="AN4786">
        <v>1.0000000346645499</v>
      </c>
    </row>
    <row r="4787" spans="1:40" x14ac:dyDescent="0.25">
      <c r="A4787" t="str">
        <f>"20190304155730756"</f>
        <v>20190304155730756</v>
      </c>
      <c r="B4787" t="str">
        <f>"1551686250749757"</f>
        <v>1551686250749757</v>
      </c>
      <c r="C4787" t="s">
        <v>40</v>
      </c>
      <c r="D4787">
        <v>5.0538040000000004</v>
      </c>
      <c r="E4787">
        <v>0.47938809999999898</v>
      </c>
      <c r="F4787" t="s">
        <v>78</v>
      </c>
      <c r="G4787">
        <v>-402.96069999999997</v>
      </c>
      <c r="H4787" s="1">
        <v>-6.1017099999999901E-6</v>
      </c>
      <c r="I4787">
        <v>138.38</v>
      </c>
      <c r="J4787">
        <v>-382.19529999999997</v>
      </c>
      <c r="K4787">
        <v>1.1104909999999999</v>
      </c>
      <c r="L4787">
        <v>141.3416</v>
      </c>
      <c r="M4787">
        <v>-0.99972470000000002</v>
      </c>
      <c r="N4787">
        <v>-1.441475E-2</v>
      </c>
      <c r="O4787">
        <v>-1.8511679999999999E-2</v>
      </c>
      <c r="P4787">
        <v>-0.98225130000000005</v>
      </c>
      <c r="Q4787">
        <v>0.16422619999999999</v>
      </c>
      <c r="R4787">
        <v>-9.0621989999999999E-2</v>
      </c>
      <c r="S4787">
        <v>-3.0414119999999998</v>
      </c>
      <c r="T4787">
        <v>-0.16010769999999999</v>
      </c>
      <c r="U4787">
        <v>-0.42790220000000001</v>
      </c>
      <c r="V4787">
        <v>-7.25185E-2</v>
      </c>
      <c r="W4787">
        <v>0.17835039999999999</v>
      </c>
      <c r="X4787">
        <v>0.98129109999999997</v>
      </c>
      <c r="Y4787">
        <v>-0.1207666</v>
      </c>
      <c r="Z4787">
        <v>-3.3332779999999998E-3</v>
      </c>
      <c r="AA4787">
        <v>0.99267539999999999</v>
      </c>
      <c r="AB4787">
        <v>32</v>
      </c>
      <c r="AC4787">
        <v>-20.7654</v>
      </c>
      <c r="AD4787">
        <v>-1.1104971017099901</v>
      </c>
      <c r="AE4787">
        <v>-2.9615999999999998</v>
      </c>
      <c r="AF4787">
        <v>-2.5694480856244502</v>
      </c>
      <c r="AG4787">
        <v>-1.1104971017099901</v>
      </c>
      <c r="AH4787">
        <v>20.758486738764699</v>
      </c>
      <c r="AI4787">
        <v>93.039031030638199</v>
      </c>
      <c r="AJ4787">
        <v>97.056078914357002</v>
      </c>
      <c r="AK4787">
        <v>20.946360995674102</v>
      </c>
      <c r="AL4787">
        <v>79.726310113676803</v>
      </c>
      <c r="AM4787">
        <v>94.226538553400601</v>
      </c>
      <c r="AN4787">
        <v>1.00000001048081</v>
      </c>
    </row>
    <row r="4788" spans="1:40" x14ac:dyDescent="0.25">
      <c r="A4788" t="str">
        <f>"20190304155730778"</f>
        <v>20190304155730778</v>
      </c>
      <c r="B4788" t="str">
        <f>"1551686250769276"</f>
        <v>1551686250769276</v>
      </c>
      <c r="C4788" t="s">
        <v>40</v>
      </c>
      <c r="D4788">
        <v>5.0415710000000002</v>
      </c>
      <c r="E4788">
        <v>0.47924090000000003</v>
      </c>
      <c r="F4788" t="s">
        <v>78</v>
      </c>
      <c r="G4788">
        <v>-403.54160000000002</v>
      </c>
      <c r="H4788" s="1">
        <v>-6.32793599999999E-6</v>
      </c>
      <c r="I4788">
        <v>138.31280000000001</v>
      </c>
      <c r="J4788">
        <v>-382.50760000000002</v>
      </c>
      <c r="K4788">
        <v>1.11049</v>
      </c>
      <c r="L4788">
        <v>141.3355</v>
      </c>
      <c r="M4788">
        <v>-0.99971949999999998</v>
      </c>
      <c r="N4788">
        <v>-1.4411510000000001E-2</v>
      </c>
      <c r="O4788">
        <v>-1.8803299999999998E-2</v>
      </c>
      <c r="P4788">
        <v>-0.98218700000000003</v>
      </c>
      <c r="Q4788">
        <v>0.1643655</v>
      </c>
      <c r="R4788">
        <v>-9.1066549999999996E-2</v>
      </c>
      <c r="S4788">
        <v>-3.0408330000000001</v>
      </c>
      <c r="T4788">
        <v>-0.1581931</v>
      </c>
      <c r="U4788">
        <v>-0.43145749999999999</v>
      </c>
      <c r="V4788">
        <v>-7.2678599999999996E-2</v>
      </c>
      <c r="W4788">
        <v>0.17848549999999999</v>
      </c>
      <c r="X4788">
        <v>0.98125469999999904</v>
      </c>
      <c r="Y4788">
        <v>-0.12164369999999999</v>
      </c>
      <c r="Z4788">
        <v>-3.32527E-3</v>
      </c>
      <c r="AA4788">
        <v>0.99256829999999996</v>
      </c>
      <c r="AB4788">
        <v>32</v>
      </c>
      <c r="AC4788">
        <v>-21.033999999999899</v>
      </c>
      <c r="AD4788">
        <v>-1.1104963279359901</v>
      </c>
      <c r="AE4788">
        <v>-3.02269999999998</v>
      </c>
      <c r="AF4788">
        <v>-2.6194622480232601</v>
      </c>
      <c r="AG4788">
        <v>-1.1104963279359901</v>
      </c>
      <c r="AH4788">
        <v>21.0296921374064</v>
      </c>
      <c r="AI4788">
        <v>92.999622391965104</v>
      </c>
      <c r="AJ4788">
        <v>97.100202894145298</v>
      </c>
      <c r="AK4788">
        <v>21.221280261974599</v>
      </c>
      <c r="AL4788">
        <v>79.718443321254199</v>
      </c>
      <c r="AM4788">
        <v>94.235992168492004</v>
      </c>
      <c r="AN4788">
        <v>1.0000000194401399</v>
      </c>
    </row>
    <row r="4789" spans="1:40" x14ac:dyDescent="0.25">
      <c r="A4789" t="str">
        <f>"20190304155730800"</f>
        <v>20190304155730800</v>
      </c>
      <c r="B4789" t="str">
        <f>"1551686250789773"</f>
        <v>1551686250789773</v>
      </c>
      <c r="C4789" t="s">
        <v>40</v>
      </c>
      <c r="D4789">
        <v>5.0589629999999897</v>
      </c>
      <c r="E4789">
        <v>0.47908440000000002</v>
      </c>
      <c r="F4789" t="s">
        <v>78</v>
      </c>
      <c r="G4789">
        <v>-403.87009999999998</v>
      </c>
      <c r="H4789" s="1">
        <v>-6.4605960000000003E-6</v>
      </c>
      <c r="I4789">
        <v>138.28489999999999</v>
      </c>
      <c r="J4789">
        <v>-382.81599999999997</v>
      </c>
      <c r="K4789">
        <v>1.1104909999999999</v>
      </c>
      <c r="L4789">
        <v>141.32939999999999</v>
      </c>
      <c r="M4789">
        <v>-0.99971399999999999</v>
      </c>
      <c r="N4789">
        <v>-1.440816E-2</v>
      </c>
      <c r="O4789">
        <v>-1.9089519999999999E-2</v>
      </c>
      <c r="P4789">
        <v>-0.98217359999999998</v>
      </c>
      <c r="Q4789">
        <v>0.1640894</v>
      </c>
      <c r="R4789">
        <v>-9.1706590000000004E-2</v>
      </c>
      <c r="S4789">
        <v>-3.0405880000000001</v>
      </c>
      <c r="T4789">
        <v>-0.15806010000000001</v>
      </c>
      <c r="U4789">
        <v>-0.43420409999999998</v>
      </c>
      <c r="V4789">
        <v>-7.3038420000000007E-2</v>
      </c>
      <c r="W4789">
        <v>0.1782058</v>
      </c>
      <c r="X4789">
        <v>0.98127880000000001</v>
      </c>
      <c r="Y4789">
        <v>-0.1222488</v>
      </c>
      <c r="Z4789">
        <v>-3.3325970000000001E-3</v>
      </c>
      <c r="AA4789">
        <v>0.99249390000000004</v>
      </c>
      <c r="AB4789">
        <v>32</v>
      </c>
      <c r="AC4789">
        <v>-21.054099999999998</v>
      </c>
      <c r="AD4789">
        <v>-1.1104974605960001</v>
      </c>
      <c r="AE4789">
        <v>-3.0445000000000002</v>
      </c>
      <c r="AF4789">
        <v>-2.6348107549455002</v>
      </c>
      <c r="AG4789">
        <v>-1.1104974605960001</v>
      </c>
      <c r="AH4789">
        <v>21.0510217150218</v>
      </c>
      <c r="AI4789">
        <v>92.996369965001605</v>
      </c>
      <c r="AJ4789">
        <v>97.134216316236007</v>
      </c>
      <c r="AK4789">
        <v>21.244315653150299</v>
      </c>
      <c r="AL4789">
        <v>79.7347298660722</v>
      </c>
      <c r="AM4789">
        <v>94.256782815073194</v>
      </c>
      <c r="AN4789">
        <v>1.0000000006395799</v>
      </c>
    </row>
    <row r="4790" spans="1:40" x14ac:dyDescent="0.25">
      <c r="A4790" t="str">
        <f>"20190304155730815"</f>
        <v>20190304155730815</v>
      </c>
      <c r="B4790" t="str">
        <f>"1551686250809292"</f>
        <v>1551686250809292</v>
      </c>
      <c r="C4790" t="s">
        <v>40</v>
      </c>
      <c r="D4790">
        <v>5.055402</v>
      </c>
      <c r="E4790">
        <v>0.47894039999999999</v>
      </c>
      <c r="F4790" t="s">
        <v>78</v>
      </c>
      <c r="G4790">
        <v>-404.10329999999999</v>
      </c>
      <c r="H4790" s="1">
        <v>-6.5547049999999996E-6</v>
      </c>
      <c r="I4790">
        <v>138.26499999999999</v>
      </c>
      <c r="J4790">
        <v>-383.02159999999998</v>
      </c>
      <c r="K4790">
        <v>1.110498</v>
      </c>
      <c r="L4790">
        <v>141.3253</v>
      </c>
      <c r="M4790">
        <v>-0.99971049999999995</v>
      </c>
      <c r="N4790">
        <v>-1.4405909999999999E-2</v>
      </c>
      <c r="O4790">
        <v>-1.9279660000000001E-2</v>
      </c>
      <c r="P4790">
        <v>-0.98216559999999997</v>
      </c>
      <c r="Q4790">
        <v>0.1640229</v>
      </c>
      <c r="R4790">
        <v>-9.1908889999999993E-2</v>
      </c>
      <c r="S4790">
        <v>-3.0400999999999998</v>
      </c>
      <c r="T4790">
        <v>-0.15859329999999999</v>
      </c>
      <c r="U4790">
        <v>-0.43763730000000001</v>
      </c>
      <c r="V4790">
        <v>-7.3054320000000006E-2</v>
      </c>
      <c r="W4790">
        <v>0.1781364</v>
      </c>
      <c r="X4790">
        <v>0.9812902</v>
      </c>
      <c r="Y4790">
        <v>-0.123178</v>
      </c>
      <c r="Z4790">
        <v>-3.363666E-3</v>
      </c>
      <c r="AA4790">
        <v>0.99237889999999995</v>
      </c>
      <c r="AB4790">
        <v>32</v>
      </c>
      <c r="AC4790">
        <v>-21.081700000000001</v>
      </c>
      <c r="AD4790">
        <v>-1.1105045547050001</v>
      </c>
      <c r="AE4790">
        <v>-3.06030000000001</v>
      </c>
      <c r="AF4790">
        <v>-2.6460502434823301</v>
      </c>
      <c r="AG4790">
        <v>-1.1105045547050001</v>
      </c>
      <c r="AH4790">
        <v>21.079504404904799</v>
      </c>
      <c r="AI4790">
        <v>92.992213508801498</v>
      </c>
      <c r="AJ4790">
        <v>97.154753571849696</v>
      </c>
      <c r="AK4790">
        <v>21.2739349489805</v>
      </c>
      <c r="AL4790">
        <v>79.738770674591805</v>
      </c>
      <c r="AM4790">
        <v>94.257656800900804</v>
      </c>
      <c r="AN4790">
        <v>0.99999998364583098</v>
      </c>
    </row>
    <row r="4791" spans="1:40" x14ac:dyDescent="0.25">
      <c r="A4791" t="str">
        <f>"20190304155730832"</f>
        <v>20190304155730832</v>
      </c>
      <c r="B4791" t="str">
        <f>"1551686250829789"</f>
        <v>1551686250829789</v>
      </c>
      <c r="C4791" t="s">
        <v>40</v>
      </c>
      <c r="D4791">
        <v>5.0612959999999996</v>
      </c>
      <c r="E4791">
        <v>0.47874689999999998</v>
      </c>
      <c r="F4791" t="s">
        <v>78</v>
      </c>
      <c r="G4791">
        <v>-404.30099999999999</v>
      </c>
      <c r="H4791" s="1">
        <v>-6.6353660000000004E-6</v>
      </c>
      <c r="I4791">
        <v>138.25</v>
      </c>
      <c r="J4791">
        <v>-383.28550000000001</v>
      </c>
      <c r="K4791">
        <v>1.1104969999999901</v>
      </c>
      <c r="L4791">
        <v>141.31989999999999</v>
      </c>
      <c r="M4791">
        <v>-0.99970570000000003</v>
      </c>
      <c r="N4791">
        <v>-1.4402999999999999E-2</v>
      </c>
      <c r="O4791">
        <v>-1.952282E-2</v>
      </c>
      <c r="P4791">
        <v>-0.98214849999999998</v>
      </c>
      <c r="Q4791">
        <v>0.16390779999999999</v>
      </c>
      <c r="R4791">
        <v>-9.2297829999999997E-2</v>
      </c>
      <c r="S4791">
        <v>-3.039825</v>
      </c>
      <c r="T4791">
        <v>-0.15863869999999999</v>
      </c>
      <c r="U4791">
        <v>-0.43931579999999898</v>
      </c>
      <c r="V4791">
        <v>-7.3204240000000004E-2</v>
      </c>
      <c r="W4791">
        <v>0.1780186</v>
      </c>
      <c r="X4791">
        <v>0.98130039999999996</v>
      </c>
      <c r="Y4791">
        <v>-0.1234856</v>
      </c>
      <c r="Z4791">
        <v>-3.3652830000000002E-3</v>
      </c>
      <c r="AA4791">
        <v>0.99234069999999996</v>
      </c>
      <c r="AB4791">
        <v>32</v>
      </c>
      <c r="AC4791">
        <v>-21.0154999999999</v>
      </c>
      <c r="AD4791">
        <v>-1.1105036353659901</v>
      </c>
      <c r="AE4791">
        <v>-3.0698999999999899</v>
      </c>
      <c r="AF4791">
        <v>-2.6517406915231199</v>
      </c>
      <c r="AG4791">
        <v>-1.1105036353659901</v>
      </c>
      <c r="AH4791">
        <v>21.0139819845357</v>
      </c>
      <c r="AI4791">
        <v>93.001278040974796</v>
      </c>
      <c r="AJ4791">
        <v>97.1921027561703</v>
      </c>
      <c r="AK4791">
        <v>21.209723851706102</v>
      </c>
      <c r="AL4791">
        <v>79.745629700301095</v>
      </c>
      <c r="AM4791">
        <v>94.266317832375293</v>
      </c>
      <c r="AN4791">
        <v>0.99999997887004799</v>
      </c>
    </row>
    <row r="4792" spans="1:40" x14ac:dyDescent="0.25">
      <c r="A4792" t="str">
        <f>"20190304155730856"</f>
        <v>20190304155730856</v>
      </c>
      <c r="B4792" t="str">
        <f>"1551686250849308"</f>
        <v>1551686250849308</v>
      </c>
      <c r="C4792" t="s">
        <v>40</v>
      </c>
      <c r="D4792">
        <v>5.0544929999999999</v>
      </c>
      <c r="E4792">
        <v>0.47856100000000001</v>
      </c>
      <c r="F4792" t="s">
        <v>78</v>
      </c>
      <c r="G4792">
        <v>-404.51799999999997</v>
      </c>
      <c r="H4792" s="1">
        <v>-6.72281399999999E-6</v>
      </c>
      <c r="I4792">
        <v>138.2312</v>
      </c>
      <c r="J4792">
        <v>-383.60899999999998</v>
      </c>
      <c r="K4792">
        <v>1.110498</v>
      </c>
      <c r="L4792">
        <v>141.3133</v>
      </c>
      <c r="M4792">
        <v>-0.99970000000000003</v>
      </c>
      <c r="N4792">
        <v>-1.439941E-2</v>
      </c>
      <c r="O4792">
        <v>-1.98195E-2</v>
      </c>
      <c r="P4792">
        <v>-0.98218760000000005</v>
      </c>
      <c r="Q4792">
        <v>0.16328190000000001</v>
      </c>
      <c r="R4792">
        <v>-9.2989089999999996E-2</v>
      </c>
      <c r="S4792">
        <v>-3.03952</v>
      </c>
      <c r="T4792">
        <v>-0.15897359999999999</v>
      </c>
      <c r="U4792">
        <v>-0.44216919999999998</v>
      </c>
      <c r="V4792">
        <v>-7.3602490000000007E-2</v>
      </c>
      <c r="W4792">
        <v>0.177390299999999</v>
      </c>
      <c r="X4792">
        <v>0.98138440000000005</v>
      </c>
      <c r="Y4792">
        <v>-0.124116</v>
      </c>
      <c r="Z4792">
        <v>-3.3795209999999999E-3</v>
      </c>
      <c r="AA4792">
        <v>0.99226190000000003</v>
      </c>
      <c r="AB4792">
        <v>32</v>
      </c>
      <c r="AC4792">
        <v>-20.908999999999899</v>
      </c>
      <c r="AD4792">
        <v>-1.1105047228139999</v>
      </c>
      <c r="AE4792">
        <v>-3.0820999999999898</v>
      </c>
      <c r="AF4792">
        <v>-2.65970265489555</v>
      </c>
      <c r="AG4792">
        <v>-1.1105047228139999</v>
      </c>
      <c r="AH4792">
        <v>20.908260051187401</v>
      </c>
      <c r="AI4792">
        <v>93.016046389628897</v>
      </c>
      <c r="AJ4792">
        <v>97.249557801501695</v>
      </c>
      <c r="AK4792">
        <v>21.105984395898901</v>
      </c>
      <c r="AL4792">
        <v>79.782211013481898</v>
      </c>
      <c r="AM4792">
        <v>94.289075533715405</v>
      </c>
      <c r="AN4792">
        <v>0.99999999281582497</v>
      </c>
    </row>
    <row r="4793" spans="1:40" x14ac:dyDescent="0.25">
      <c r="A4793" t="str">
        <f>"20190304155730868"</f>
        <v>20190304155730868</v>
      </c>
      <c r="B4793" t="str">
        <f>"1551686250859069"</f>
        <v>1551686250859069</v>
      </c>
      <c r="C4793" t="s">
        <v>40</v>
      </c>
      <c r="D4793">
        <v>5.0414089999999998</v>
      </c>
      <c r="E4793">
        <v>0.4784756</v>
      </c>
      <c r="F4793" t="s">
        <v>78</v>
      </c>
      <c r="G4793">
        <v>-404.60160000000002</v>
      </c>
      <c r="H4793" s="1">
        <v>-6.7609510000000003E-6</v>
      </c>
      <c r="I4793">
        <v>138.23339999999999</v>
      </c>
      <c r="J4793">
        <v>-383.79610000000002</v>
      </c>
      <c r="K4793">
        <v>1.1104969999999901</v>
      </c>
      <c r="L4793">
        <v>141.30940000000001</v>
      </c>
      <c r="M4793">
        <v>-0.99969660000000005</v>
      </c>
      <c r="N4793">
        <v>-1.439734E-2</v>
      </c>
      <c r="O4793">
        <v>-1.9991249999999999E-2</v>
      </c>
      <c r="P4793">
        <v>-0.98217589999999999</v>
      </c>
      <c r="Q4793">
        <v>0.16328689999999901</v>
      </c>
      <c r="R4793">
        <v>-9.3104590000000001E-2</v>
      </c>
      <c r="S4793">
        <v>-3.03891</v>
      </c>
      <c r="T4793">
        <v>-0.16075789999999901</v>
      </c>
      <c r="U4793">
        <v>-0.44584659999999898</v>
      </c>
      <c r="V4793">
        <v>-7.3549110000000001E-2</v>
      </c>
      <c r="W4793">
        <v>0.1773931</v>
      </c>
      <c r="X4793">
        <v>0.98138789999999998</v>
      </c>
      <c r="Y4793">
        <v>-0.12514400000000001</v>
      </c>
      <c r="Z4793">
        <v>-3.432198E-3</v>
      </c>
      <c r="AA4793">
        <v>0.99213269999999998</v>
      </c>
      <c r="AB4793">
        <v>32</v>
      </c>
      <c r="AC4793">
        <v>-20.805499999999899</v>
      </c>
      <c r="AD4793">
        <v>-1.11050376095099</v>
      </c>
      <c r="AE4793">
        <v>-3.0760000000000201</v>
      </c>
      <c r="AF4793">
        <v>-2.652020292485</v>
      </c>
      <c r="AG4793">
        <v>-1.11050376095099</v>
      </c>
      <c r="AH4793">
        <v>20.804836789793399</v>
      </c>
      <c r="AI4793">
        <v>93.030909255416205</v>
      </c>
      <c r="AJ4793">
        <v>97.264392254873997</v>
      </c>
      <c r="AK4793">
        <v>21.0025632741525</v>
      </c>
      <c r="AL4793">
        <v>79.782048042012093</v>
      </c>
      <c r="AM4793">
        <v>94.285961260565102</v>
      </c>
      <c r="AN4793">
        <v>0.99999999688790597</v>
      </c>
    </row>
    <row r="4794" spans="1:40" x14ac:dyDescent="0.25">
      <c r="A4794" t="str">
        <f>"20190304155730882"</f>
        <v>20190304155730882</v>
      </c>
      <c r="B4794" t="str">
        <f>"1551686250879565"</f>
        <v>1551686250879565</v>
      </c>
      <c r="C4794" t="s">
        <v>40</v>
      </c>
      <c r="D4794">
        <v>5.0986690000000001</v>
      </c>
      <c r="E4794">
        <v>0.4783579</v>
      </c>
      <c r="F4794" t="s">
        <v>78</v>
      </c>
      <c r="G4794">
        <v>-404.79430000000002</v>
      </c>
      <c r="H4794" s="1">
        <v>-6.8404029999999996E-6</v>
      </c>
      <c r="I4794">
        <v>138.22059999999999</v>
      </c>
      <c r="J4794">
        <v>-383.99020000000002</v>
      </c>
      <c r="K4794">
        <v>1.1104940000000001</v>
      </c>
      <c r="L4794">
        <v>141.30539999999999</v>
      </c>
      <c r="M4794">
        <v>-0.99969300000000005</v>
      </c>
      <c r="N4794">
        <v>-1.439519E-2</v>
      </c>
      <c r="O4794">
        <v>-2.0169200000000002E-2</v>
      </c>
      <c r="P4794">
        <v>-0.98220180000000001</v>
      </c>
      <c r="Q4794">
        <v>0.16301779999999999</v>
      </c>
      <c r="R4794">
        <v>-9.3300800000000003E-2</v>
      </c>
      <c r="S4794">
        <v>-3.0387879999999998</v>
      </c>
      <c r="T4794">
        <v>-0.16070799999999999</v>
      </c>
      <c r="U4794">
        <v>-0.44700620000000002</v>
      </c>
      <c r="V4794">
        <v>-7.3569129999999996E-2</v>
      </c>
      <c r="W4794">
        <v>0.1771228</v>
      </c>
      <c r="X4794">
        <v>0.98143519999999895</v>
      </c>
      <c r="Y4794">
        <v>-0.1253436</v>
      </c>
      <c r="Z4794">
        <v>-3.431267E-3</v>
      </c>
      <c r="AA4794">
        <v>0.99210750000000003</v>
      </c>
      <c r="AB4794">
        <v>32</v>
      </c>
      <c r="AC4794">
        <v>-20.804099999999998</v>
      </c>
      <c r="AD4794">
        <v>-1.1105008404029999</v>
      </c>
      <c r="AE4794">
        <v>-3.0848</v>
      </c>
      <c r="AF4794">
        <v>-2.6571187698340202</v>
      </c>
      <c r="AG4794">
        <v>-1.1105008404029999</v>
      </c>
      <c r="AH4794">
        <v>20.804089499023</v>
      </c>
      <c r="AI4794">
        <v>93.030915141840595</v>
      </c>
      <c r="AJ4794">
        <v>97.278466983612304</v>
      </c>
      <c r="AK4794">
        <v>21.0024672873665</v>
      </c>
      <c r="AL4794">
        <v>79.797784083641005</v>
      </c>
      <c r="AM4794">
        <v>94.286917699842107</v>
      </c>
      <c r="AN4794">
        <v>0.999999977483918</v>
      </c>
    </row>
    <row r="4795" spans="1:40" x14ac:dyDescent="0.25">
      <c r="A4795" t="str">
        <f>"20190304155730900"</f>
        <v>20190304155730900</v>
      </c>
      <c r="B4795" t="str">
        <f>"1551686250889325"</f>
        <v>1551686250889325</v>
      </c>
      <c r="C4795" t="s">
        <v>40</v>
      </c>
      <c r="D4795">
        <v>5.0665079999999998</v>
      </c>
      <c r="E4795">
        <v>0.47827550000000002</v>
      </c>
      <c r="F4795" t="s">
        <v>78</v>
      </c>
      <c r="G4795">
        <v>-404.88409999999999</v>
      </c>
      <c r="H4795" s="1">
        <v>-6.8805579999999999E-6</v>
      </c>
      <c r="I4795">
        <v>138.22130000000001</v>
      </c>
      <c r="J4795">
        <v>-384.22899999999998</v>
      </c>
      <c r="K4795">
        <v>1.1104969999999901</v>
      </c>
      <c r="L4795">
        <v>141.30029999999999</v>
      </c>
      <c r="M4795">
        <v>-0.99968860000000004</v>
      </c>
      <c r="N4795">
        <v>-1.439255E-2</v>
      </c>
      <c r="O4795">
        <v>-2.038804E-2</v>
      </c>
      <c r="P4795">
        <v>-0.98221519999999995</v>
      </c>
      <c r="Q4795">
        <v>0.16258800000000001</v>
      </c>
      <c r="R4795">
        <v>-9.3907589999999999E-2</v>
      </c>
      <c r="S4795">
        <v>-3.0385740000000001</v>
      </c>
      <c r="T4795">
        <v>-0.16149829999999901</v>
      </c>
      <c r="U4795">
        <v>-0.44851679999999999</v>
      </c>
      <c r="V4795">
        <v>-7.3960120000000004E-2</v>
      </c>
      <c r="W4795">
        <v>0.1766906</v>
      </c>
      <c r="X4795">
        <v>0.98148380000000002</v>
      </c>
      <c r="Y4795">
        <v>-0.12561710000000001</v>
      </c>
      <c r="Z4795">
        <v>-3.4429170000000002E-3</v>
      </c>
      <c r="AA4795">
        <v>0.99207279999999998</v>
      </c>
      <c r="AB4795">
        <v>32</v>
      </c>
      <c r="AC4795">
        <v>-20.655099999999901</v>
      </c>
      <c r="AD4795">
        <v>-1.1105038805580001</v>
      </c>
      <c r="AE4795">
        <v>-3.07899999999997</v>
      </c>
      <c r="AF4795">
        <v>-2.6497065668058202</v>
      </c>
      <c r="AG4795">
        <v>-1.1105038805580001</v>
      </c>
      <c r="AH4795">
        <v>20.655179417630599</v>
      </c>
      <c r="AI4795">
        <v>93.052517558880396</v>
      </c>
      <c r="AJ4795">
        <v>97.310144114291305</v>
      </c>
      <c r="AK4795">
        <v>20.854030798227502</v>
      </c>
      <c r="AL4795">
        <v>79.822944988402995</v>
      </c>
      <c r="AM4795">
        <v>94.309402719448002</v>
      </c>
      <c r="AN4795">
        <v>1.0000000585705999</v>
      </c>
    </row>
    <row r="4796" spans="1:40" x14ac:dyDescent="0.25">
      <c r="A4796" t="str">
        <f>"20190304155730922"</f>
        <v>20190304155730922</v>
      </c>
      <c r="B4796" t="str">
        <f>"1551686250919580"</f>
        <v>1551686250919580</v>
      </c>
      <c r="C4796" t="s">
        <v>40</v>
      </c>
      <c r="D4796">
        <v>5.0860640000000004</v>
      </c>
      <c r="E4796">
        <v>0.4780375</v>
      </c>
      <c r="F4796" t="s">
        <v>78</v>
      </c>
      <c r="G4796">
        <v>-404.93860000000001</v>
      </c>
      <c r="H4796" s="1">
        <v>-6.9072999999999999E-6</v>
      </c>
      <c r="I4796">
        <v>138.2268</v>
      </c>
      <c r="J4796">
        <v>-384.54860000000002</v>
      </c>
      <c r="K4796">
        <v>1.1104969999999901</v>
      </c>
      <c r="L4796">
        <v>141.29349999999999</v>
      </c>
      <c r="M4796">
        <v>-0.99968259999999998</v>
      </c>
      <c r="N4796">
        <v>-1.438889E-2</v>
      </c>
      <c r="O4796">
        <v>-2.0680879999999999E-2</v>
      </c>
      <c r="P4796">
        <v>-0.98216250000000005</v>
      </c>
      <c r="Q4796">
        <v>0.162475799999999</v>
      </c>
      <c r="R4796">
        <v>-9.4650520000000002E-2</v>
      </c>
      <c r="S4796">
        <v>-3.0381770000000001</v>
      </c>
      <c r="T4796">
        <v>-0.16291559999999999</v>
      </c>
      <c r="U4796">
        <v>-0.4508972</v>
      </c>
      <c r="V4796">
        <v>-7.4415179999999997E-2</v>
      </c>
      <c r="W4796">
        <v>0.17657419999999999</v>
      </c>
      <c r="X4796">
        <v>0.98147030000000002</v>
      </c>
      <c r="Y4796">
        <v>-0.12610209999999999</v>
      </c>
      <c r="Z4796">
        <v>-3.4674979999999998E-3</v>
      </c>
      <c r="AA4796">
        <v>0.99201119999999998</v>
      </c>
      <c r="AB4796">
        <v>32</v>
      </c>
      <c r="AC4796">
        <v>-20.389999999999901</v>
      </c>
      <c r="AD4796">
        <v>-1.11050390729999</v>
      </c>
      <c r="AE4796">
        <v>-3.0666999999999902</v>
      </c>
      <c r="AF4796">
        <v>-2.6366692076762801</v>
      </c>
      <c r="AG4796">
        <v>-1.11050390729999</v>
      </c>
      <c r="AH4796">
        <v>20.389923405319202</v>
      </c>
      <c r="AI4796">
        <v>93.091749296817</v>
      </c>
      <c r="AJ4796">
        <v>97.368164887612906</v>
      </c>
      <c r="AK4796">
        <v>20.589662938319801</v>
      </c>
      <c r="AL4796">
        <v>79.829720237680604</v>
      </c>
      <c r="AM4796">
        <v>94.335876114103499</v>
      </c>
      <c r="AN4796">
        <v>1.0000000084510801</v>
      </c>
    </row>
    <row r="4797" spans="1:40" x14ac:dyDescent="0.25">
      <c r="A4797" t="str">
        <f>"20190304155730945"</f>
        <v>20190304155730945</v>
      </c>
      <c r="B4797" t="str">
        <f>"1551686250939100"</f>
        <v>1551686250939100</v>
      </c>
      <c r="C4797" t="s">
        <v>40</v>
      </c>
      <c r="D4797">
        <v>5.1272580000000003</v>
      </c>
      <c r="E4797">
        <v>0.47788999999999998</v>
      </c>
      <c r="F4797" t="s">
        <v>78</v>
      </c>
      <c r="G4797">
        <v>-405.21600000000001</v>
      </c>
      <c r="H4797" s="1">
        <v>-7.0790819999999996E-6</v>
      </c>
      <c r="I4797">
        <v>138.19919999999999</v>
      </c>
      <c r="J4797">
        <v>-384.8784</v>
      </c>
      <c r="K4797">
        <v>1.1105020000000001</v>
      </c>
      <c r="L4797">
        <v>141.28630000000001</v>
      </c>
      <c r="M4797">
        <v>-0.99967640000000002</v>
      </c>
      <c r="N4797">
        <v>-1.4385200000000001E-2</v>
      </c>
      <c r="O4797">
        <v>-2.098291E-2</v>
      </c>
      <c r="P4797">
        <v>-0.98206800000000005</v>
      </c>
      <c r="Q4797">
        <v>0.16243109999999999</v>
      </c>
      <c r="R4797">
        <v>-9.5701540000000002E-2</v>
      </c>
      <c r="S4797">
        <v>-3.0376590000000001</v>
      </c>
      <c r="T4797">
        <v>-0.16322020000000001</v>
      </c>
      <c r="U4797">
        <v>-0.45478819999999998</v>
      </c>
      <c r="V4797">
        <v>-7.5170730000000005E-2</v>
      </c>
      <c r="W4797">
        <v>0.17652490000000001</v>
      </c>
      <c r="X4797">
        <v>0.98142160000000001</v>
      </c>
      <c r="Y4797">
        <v>-0.12706780000000001</v>
      </c>
      <c r="Z4797">
        <v>-3.4926240000000002E-3</v>
      </c>
      <c r="AA4797">
        <v>0.99188790000000004</v>
      </c>
      <c r="AB4797">
        <v>32</v>
      </c>
      <c r="AC4797">
        <v>-20.337599999999998</v>
      </c>
      <c r="AD4797">
        <v>-1.110509079082</v>
      </c>
      <c r="AE4797">
        <v>-3.0871000000000199</v>
      </c>
      <c r="AF4797">
        <v>-2.6519052622085102</v>
      </c>
      <c r="AG4797">
        <v>-1.110509079082</v>
      </c>
      <c r="AH4797">
        <v>20.338629219260199</v>
      </c>
      <c r="AI4797">
        <v>93.099121209525194</v>
      </c>
      <c r="AJ4797">
        <v>97.428750398834694</v>
      </c>
      <c r="AK4797">
        <v>20.5408293516352</v>
      </c>
      <c r="AL4797">
        <v>79.832590096180695</v>
      </c>
      <c r="AM4797">
        <v>94.379945054477503</v>
      </c>
      <c r="AN4797">
        <v>1.00000001795765</v>
      </c>
    </row>
    <row r="4798" spans="1:40" x14ac:dyDescent="0.25">
      <c r="A4798" t="str">
        <f>"20190304155730968"</f>
        <v>20190304155730968</v>
      </c>
      <c r="B4798" t="str">
        <f>"1551686250959596"</f>
        <v>1551686250959596</v>
      </c>
      <c r="C4798" t="s">
        <v>40</v>
      </c>
      <c r="D4798">
        <v>5.0699319999999997</v>
      </c>
      <c r="E4798">
        <v>0.47772829999999999</v>
      </c>
      <c r="F4798" t="s">
        <v>78</v>
      </c>
      <c r="G4798">
        <v>-405.53109999999998</v>
      </c>
      <c r="H4798" s="1">
        <v>-7.2778110000000001E-6</v>
      </c>
      <c r="I4798">
        <v>138.1645</v>
      </c>
      <c r="J4798">
        <v>-385.1891</v>
      </c>
      <c r="K4798">
        <v>1.110503</v>
      </c>
      <c r="L4798">
        <v>141.27950000000001</v>
      </c>
      <c r="M4798">
        <v>-0.99967030000000001</v>
      </c>
      <c r="N4798">
        <v>-1.4381929999999999E-2</v>
      </c>
      <c r="O4798">
        <v>-2.1269819999999998E-2</v>
      </c>
      <c r="P4798">
        <v>-0.98198600000000003</v>
      </c>
      <c r="Q4798">
        <v>0.16232650000000001</v>
      </c>
      <c r="R4798">
        <v>-9.6714019999999998E-2</v>
      </c>
      <c r="S4798">
        <v>-3.037048</v>
      </c>
      <c r="T4798">
        <v>-0.16330410000000001</v>
      </c>
      <c r="U4798">
        <v>-0.45907589999999998</v>
      </c>
      <c r="V4798">
        <v>-7.5902720000000007E-2</v>
      </c>
      <c r="W4798">
        <v>0.1764165</v>
      </c>
      <c r="X4798">
        <v>0.98138479999999995</v>
      </c>
      <c r="Y4798">
        <v>-0.1281796</v>
      </c>
      <c r="Z4798">
        <v>-3.5203370000000001E-3</v>
      </c>
      <c r="AA4798">
        <v>0.99174470000000003</v>
      </c>
      <c r="AB4798">
        <v>32</v>
      </c>
      <c r="AC4798">
        <v>-20.341999999999899</v>
      </c>
      <c r="AD4798">
        <v>-1.1105102778110001</v>
      </c>
      <c r="AE4798">
        <v>-3.1150000000000002</v>
      </c>
      <c r="AF4798">
        <v>-2.6737936207830399</v>
      </c>
      <c r="AG4798">
        <v>-1.1105102778110001</v>
      </c>
      <c r="AH4798">
        <v>20.344416491255402</v>
      </c>
      <c r="AI4798">
        <v>93.097831288608404</v>
      </c>
      <c r="AJ4798">
        <v>97.487266453099295</v>
      </c>
      <c r="AK4798">
        <v>20.549396287320199</v>
      </c>
      <c r="AL4798">
        <v>79.838900469978</v>
      </c>
      <c r="AM4798">
        <v>94.422592432654497</v>
      </c>
      <c r="AN4798">
        <v>1.00000006502334</v>
      </c>
    </row>
    <row r="4799" spans="1:40" x14ac:dyDescent="0.25">
      <c r="A4799" t="str">
        <f>"20190304155730989"</f>
        <v>20190304155730989</v>
      </c>
      <c r="B4799" t="str">
        <f>"1551686250979116"</f>
        <v>1551686250979116</v>
      </c>
      <c r="C4799" t="s">
        <v>40</v>
      </c>
      <c r="D4799">
        <v>5.342282</v>
      </c>
      <c r="E4799">
        <v>0.47757040000000001</v>
      </c>
      <c r="F4799" t="s">
        <v>78</v>
      </c>
      <c r="G4799">
        <v>-405.82490000000001</v>
      </c>
      <c r="H4799" s="1">
        <v>-7.4557910000000002E-6</v>
      </c>
      <c r="I4799">
        <v>138.13239999999999</v>
      </c>
      <c r="J4799">
        <v>-385.49220000000003</v>
      </c>
      <c r="K4799">
        <v>1.110506</v>
      </c>
      <c r="L4799">
        <v>141.27269999999999</v>
      </c>
      <c r="M4799">
        <v>-0.9996642</v>
      </c>
      <c r="N4799">
        <v>-1.437861E-2</v>
      </c>
      <c r="O4799">
        <v>-2.15581E-2</v>
      </c>
      <c r="P4799">
        <v>-0.98189150000000003</v>
      </c>
      <c r="Q4799">
        <v>0.16215199999999999</v>
      </c>
      <c r="R4799">
        <v>-9.7959099999999993E-2</v>
      </c>
      <c r="S4799">
        <v>-3.036438</v>
      </c>
      <c r="T4799">
        <v>-0.16340539999999901</v>
      </c>
      <c r="U4799">
        <v>-0.46307369999999998</v>
      </c>
      <c r="V4799">
        <v>-7.6867320000000003E-2</v>
      </c>
      <c r="W4799">
        <v>0.1762367</v>
      </c>
      <c r="X4799">
        <v>0.98134200000000005</v>
      </c>
      <c r="Y4799">
        <v>-0.12919749999999999</v>
      </c>
      <c r="Z4799">
        <v>-3.5450719999999998E-3</v>
      </c>
      <c r="AA4799">
        <v>0.99161259999999996</v>
      </c>
      <c r="AB4799">
        <v>31</v>
      </c>
      <c r="AC4799">
        <v>-20.3326999999999</v>
      </c>
      <c r="AD4799">
        <v>-1.1105134557909999</v>
      </c>
      <c r="AE4799">
        <v>-3.1402999999999901</v>
      </c>
      <c r="AF4799">
        <v>-2.6933431975201398</v>
      </c>
      <c r="AG4799">
        <v>-1.1105134557909999</v>
      </c>
      <c r="AH4799">
        <v>20.336428719398999</v>
      </c>
      <c r="AI4799">
        <v>93.098648291066695</v>
      </c>
      <c r="AJ4799">
        <v>97.544310149861403</v>
      </c>
      <c r="AK4799">
        <v>20.5440422209047</v>
      </c>
      <c r="AL4799">
        <v>79.849365975674004</v>
      </c>
      <c r="AM4799">
        <v>94.478763686674199</v>
      </c>
      <c r="AN4799">
        <v>1.00000004013743</v>
      </c>
    </row>
    <row r="4800" spans="1:40" x14ac:dyDescent="0.25">
      <c r="A4800" t="str">
        <f>"20190304155731003"</f>
        <v>20190304155731003</v>
      </c>
      <c r="B4800" t="str">
        <f>"1551686250999614"</f>
        <v>1551686250999614</v>
      </c>
      <c r="C4800" t="s">
        <v>40</v>
      </c>
      <c r="D4800">
        <v>5.130649</v>
      </c>
      <c r="E4800">
        <v>0.4775277</v>
      </c>
      <c r="F4800" t="s">
        <v>78</v>
      </c>
      <c r="G4800">
        <v>-405.91789999999997</v>
      </c>
      <c r="H4800" s="1">
        <v>-7.5097219999999996E-6</v>
      </c>
      <c r="I4800">
        <v>138.1233</v>
      </c>
      <c r="J4800">
        <v>-385.69159999999999</v>
      </c>
      <c r="K4800">
        <v>1.110509</v>
      </c>
      <c r="L4800">
        <v>141.26820000000001</v>
      </c>
      <c r="M4800">
        <v>-0.99965999999999999</v>
      </c>
      <c r="N4800">
        <v>-1.4376420000000001E-2</v>
      </c>
      <c r="O4800">
        <v>-2.175798E-2</v>
      </c>
      <c r="P4800">
        <v>-0.98183290000000001</v>
      </c>
      <c r="Q4800">
        <v>0.16210050000000001</v>
      </c>
      <c r="R4800">
        <v>-9.862978E-2</v>
      </c>
      <c r="S4800">
        <v>-3.0358580000000002</v>
      </c>
      <c r="T4800">
        <v>-0.16505439999999999</v>
      </c>
      <c r="U4800">
        <v>-0.46809390000000001</v>
      </c>
      <c r="V4800">
        <v>-7.7344919999999998E-2</v>
      </c>
      <c r="W4800">
        <v>0.17618130000000001</v>
      </c>
      <c r="X4800">
        <v>0.98131440000000003</v>
      </c>
      <c r="Y4800">
        <v>-0.13062319999999999</v>
      </c>
      <c r="Z4800">
        <v>-3.6092160000000002E-3</v>
      </c>
      <c r="AA4800">
        <v>0.99142549999999996</v>
      </c>
      <c r="AB4800">
        <v>31</v>
      </c>
      <c r="AC4800">
        <v>-20.226299999999899</v>
      </c>
      <c r="AD4800">
        <v>-1.110516509722</v>
      </c>
      <c r="AE4800">
        <v>-3.1448999999999998</v>
      </c>
      <c r="AF4800">
        <v>-2.69609092145522</v>
      </c>
      <c r="AG4800">
        <v>-1.110516509722</v>
      </c>
      <c r="AH4800">
        <v>20.230399271329201</v>
      </c>
      <c r="AI4800">
        <v>93.114528441477205</v>
      </c>
      <c r="AJ4800">
        <v>97.591037948248996</v>
      </c>
      <c r="AK4800">
        <v>20.439452239542</v>
      </c>
      <c r="AL4800">
        <v>79.852590405605099</v>
      </c>
      <c r="AM4800">
        <v>94.506603556545997</v>
      </c>
      <c r="AN4800">
        <v>1.00000001938342</v>
      </c>
    </row>
    <row r="4801" spans="1:40" x14ac:dyDescent="0.25">
      <c r="A4801" t="str">
        <f>"20190304155731023"</f>
        <v>20190304155731023</v>
      </c>
      <c r="B4801" t="str">
        <f>"1551686251019132"</f>
        <v>1551686251019132</v>
      </c>
      <c r="C4801" t="s">
        <v>40</v>
      </c>
      <c r="D4801">
        <v>5.1145399999999999</v>
      </c>
      <c r="E4801">
        <v>0.47740349999999998</v>
      </c>
      <c r="F4801" t="s">
        <v>78</v>
      </c>
      <c r="G4801">
        <v>-405.99189999999999</v>
      </c>
      <c r="H4801" s="1">
        <v>-7.5553929999999997E-6</v>
      </c>
      <c r="I4801">
        <v>138.1224</v>
      </c>
      <c r="J4801">
        <v>-385.95760000000001</v>
      </c>
      <c r="K4801">
        <v>1.1105229999999999</v>
      </c>
      <c r="L4801">
        <v>141.2621</v>
      </c>
      <c r="M4801">
        <v>-0.99965380000000004</v>
      </c>
      <c r="N4801">
        <v>-1.4373520000000001E-2</v>
      </c>
      <c r="O4801">
        <v>-2.203867E-2</v>
      </c>
      <c r="P4801">
        <v>-0.98167000000000004</v>
      </c>
      <c r="Q4801">
        <v>0.1623117</v>
      </c>
      <c r="R4801">
        <v>-9.9895029999999996E-2</v>
      </c>
      <c r="S4801">
        <v>-3.0356749999999999</v>
      </c>
      <c r="T4801">
        <v>-0.16606460000000001</v>
      </c>
      <c r="U4801">
        <v>-0.47041319999999998</v>
      </c>
      <c r="V4801">
        <v>-7.8342869999999995E-2</v>
      </c>
      <c r="W4801">
        <v>0.17638499999999999</v>
      </c>
      <c r="X4801">
        <v>0.98119860000000003</v>
      </c>
      <c r="Y4801">
        <v>-0.1310906</v>
      </c>
      <c r="Z4801">
        <v>-3.6282509999999999E-3</v>
      </c>
      <c r="AA4801">
        <v>0.99136380000000002</v>
      </c>
      <c r="AB4801">
        <v>31</v>
      </c>
      <c r="AC4801">
        <v>-20.034299999999899</v>
      </c>
      <c r="AD4801">
        <v>-1.1105305553929901</v>
      </c>
      <c r="AE4801">
        <v>-3.1396999999999999</v>
      </c>
      <c r="AF4801">
        <v>-2.6892971502465302</v>
      </c>
      <c r="AG4801">
        <v>-1.1105305553929901</v>
      </c>
      <c r="AH4801">
        <v>20.0385395864947</v>
      </c>
      <c r="AI4801">
        <v>93.1439424564023</v>
      </c>
      <c r="AJ4801">
        <v>97.643778274154599</v>
      </c>
      <c r="AK4801">
        <v>20.248670722699298</v>
      </c>
      <c r="AL4801">
        <v>79.840733198779901</v>
      </c>
      <c r="AM4801">
        <v>94.565042690657407</v>
      </c>
      <c r="AN4801">
        <v>0.99999998307339799</v>
      </c>
    </row>
    <row r="4802" spans="1:40" x14ac:dyDescent="0.25">
      <c r="A4802" t="str">
        <f>"20190304155731038"</f>
        <v>20190304155731038</v>
      </c>
      <c r="B4802" t="str">
        <f>"1551686251029869"</f>
        <v>1551686251029869</v>
      </c>
      <c r="C4802" t="s">
        <v>40</v>
      </c>
      <c r="D4802">
        <v>5.1209230000000003</v>
      </c>
      <c r="E4802">
        <v>0.47734120000000002</v>
      </c>
      <c r="F4802" t="s">
        <v>78</v>
      </c>
      <c r="G4802">
        <v>-406.35579999999999</v>
      </c>
      <c r="H4802" s="1">
        <v>-7.7571989999999998E-6</v>
      </c>
      <c r="I4802">
        <v>138.0658</v>
      </c>
      <c r="J4802">
        <v>-386.17520000000002</v>
      </c>
      <c r="K4802">
        <v>1.110538</v>
      </c>
      <c r="L4802">
        <v>141.25710000000001</v>
      </c>
      <c r="M4802">
        <v>-0.99964850000000005</v>
      </c>
      <c r="N4802">
        <v>-1.4371180000000001E-2</v>
      </c>
      <c r="O4802">
        <v>-2.2284829999999999E-2</v>
      </c>
      <c r="P4802">
        <v>-0.98163929999999999</v>
      </c>
      <c r="Q4802">
        <v>0.16233919999999999</v>
      </c>
      <c r="R4802">
        <v>-0.1001532</v>
      </c>
      <c r="S4802">
        <v>-3.0350039999999998</v>
      </c>
      <c r="T4802">
        <v>-0.165233299999999</v>
      </c>
      <c r="U4802">
        <v>-0.47557070000000001</v>
      </c>
      <c r="V4802">
        <v>-7.8365489999999996E-2</v>
      </c>
      <c r="W4802">
        <v>0.17640710000000001</v>
      </c>
      <c r="X4802">
        <v>0.98119279999999998</v>
      </c>
      <c r="Y4802">
        <v>-0.13252369999999999</v>
      </c>
      <c r="Z4802">
        <v>-3.6558530000000001E-3</v>
      </c>
      <c r="AA4802">
        <v>0.99117310000000003</v>
      </c>
      <c r="AB4802">
        <v>31</v>
      </c>
      <c r="AC4802">
        <v>-20.180599999999899</v>
      </c>
      <c r="AD4802">
        <v>-1.1105457571990001</v>
      </c>
      <c r="AE4802">
        <v>-3.1913000000000098</v>
      </c>
      <c r="AF4802">
        <v>-2.7326661416904101</v>
      </c>
      <c r="AG4802">
        <v>-1.1105457571990001</v>
      </c>
      <c r="AH4802">
        <v>20.187070427660899</v>
      </c>
      <c r="AI4802">
        <v>93.120420093745807</v>
      </c>
      <c r="AJ4802">
        <v>97.709106250754303</v>
      </c>
      <c r="AK4802">
        <v>20.401435943877001</v>
      </c>
      <c r="AL4802">
        <v>79.839446582677397</v>
      </c>
      <c r="AM4802">
        <v>94.566382063985699</v>
      </c>
      <c r="AN4802">
        <v>0.99999996286259396</v>
      </c>
    </row>
    <row r="4803" spans="1:40" x14ac:dyDescent="0.25">
      <c r="A4803" t="str">
        <f>"20190304155731057"</f>
        <v>20190304155731057</v>
      </c>
      <c r="B4803" t="str">
        <f>"1551686251049389"</f>
        <v>1551686251049389</v>
      </c>
      <c r="C4803" t="s">
        <v>40</v>
      </c>
      <c r="D4803">
        <v>5.154426</v>
      </c>
      <c r="E4803">
        <v>0.47722399999999998</v>
      </c>
      <c r="F4803" t="s">
        <v>78</v>
      </c>
      <c r="G4803">
        <v>-406.5736</v>
      </c>
      <c r="H4803" s="1">
        <v>-7.8857059999999995E-6</v>
      </c>
      <c r="I4803">
        <v>138.0497</v>
      </c>
      <c r="J4803">
        <v>-386.43400000000003</v>
      </c>
      <c r="K4803">
        <v>1.1105640000000001</v>
      </c>
      <c r="L4803">
        <v>141.251</v>
      </c>
      <c r="M4803">
        <v>-0.99964129999999995</v>
      </c>
      <c r="N4803">
        <v>-1.436843E-2</v>
      </c>
      <c r="O4803">
        <v>-2.260038E-2</v>
      </c>
      <c r="P4803">
        <v>-0.9815817</v>
      </c>
      <c r="Q4803">
        <v>0.16207279999999999</v>
      </c>
      <c r="R4803">
        <v>-0.10114190000000001</v>
      </c>
      <c r="S4803">
        <v>-3.034729</v>
      </c>
      <c r="T4803">
        <v>-0.165218899999999</v>
      </c>
      <c r="U4803">
        <v>-0.47717290000000001</v>
      </c>
      <c r="V4803">
        <v>-7.9053890000000002E-2</v>
      </c>
      <c r="W4803">
        <v>0.1761335</v>
      </c>
      <c r="X4803">
        <v>0.98118669999999997</v>
      </c>
      <c r="Y4803">
        <v>-0.1327352</v>
      </c>
      <c r="Z4803">
        <v>-3.650258E-3</v>
      </c>
      <c r="AA4803">
        <v>0.99114480000000005</v>
      </c>
      <c r="AB4803">
        <v>31</v>
      </c>
      <c r="AC4803">
        <v>-20.139599999999898</v>
      </c>
      <c r="AD4803">
        <v>-1.1105718857060001</v>
      </c>
      <c r="AE4803">
        <v>-3.2012999999999998</v>
      </c>
      <c r="AF4803">
        <v>-2.7371544429935302</v>
      </c>
      <c r="AG4803">
        <v>-1.1105718857060001</v>
      </c>
      <c r="AH4803">
        <v>20.147059002564699</v>
      </c>
      <c r="AI4803">
        <v>93.126474007260398</v>
      </c>
      <c r="AJ4803">
        <v>97.736764870621499</v>
      </c>
      <c r="AK4803">
        <v>20.362450019851298</v>
      </c>
      <c r="AL4803">
        <v>79.855371775172998</v>
      </c>
      <c r="AM4803">
        <v>94.606351988630493</v>
      </c>
      <c r="AN4803">
        <v>0.99999993380163299</v>
      </c>
    </row>
    <row r="4804" spans="1:40" x14ac:dyDescent="0.25">
      <c r="A4804" t="str">
        <f>"20190304155731078"</f>
        <v>20190304155731078</v>
      </c>
      <c r="B4804" t="str">
        <f>"1551686251069885"</f>
        <v>1551686251069885</v>
      </c>
      <c r="C4804" t="s">
        <v>40</v>
      </c>
      <c r="D4804">
        <v>5.1128460000000002</v>
      </c>
      <c r="E4804">
        <v>0.4772381</v>
      </c>
      <c r="F4804" t="s">
        <v>78</v>
      </c>
      <c r="G4804">
        <v>-406.73289999999997</v>
      </c>
      <c r="H4804" s="1">
        <v>-7.9772009999999999E-6</v>
      </c>
      <c r="I4804">
        <v>138.03200000000001</v>
      </c>
      <c r="J4804">
        <v>-386.74009999999998</v>
      </c>
      <c r="K4804">
        <v>1.1105910000000001</v>
      </c>
      <c r="L4804">
        <v>141.24369999999999</v>
      </c>
      <c r="M4804">
        <v>-0.99963199999999997</v>
      </c>
      <c r="N4804">
        <v>-1.436517E-2</v>
      </c>
      <c r="O4804">
        <v>-2.3014340000000001E-2</v>
      </c>
      <c r="P4804">
        <v>-0.98142640000000003</v>
      </c>
      <c r="Q4804">
        <v>0.16212550000000001</v>
      </c>
      <c r="R4804">
        <v>-0.1025542</v>
      </c>
      <c r="S4804">
        <v>-3.034119</v>
      </c>
      <c r="T4804">
        <v>-0.1659989</v>
      </c>
      <c r="U4804">
        <v>-0.48114010000000001</v>
      </c>
      <c r="V4804">
        <v>-8.007599E-2</v>
      </c>
      <c r="W4804">
        <v>0.17617469999999999</v>
      </c>
      <c r="X4804">
        <v>0.98109650000000004</v>
      </c>
      <c r="Y4804">
        <v>-0.1336166</v>
      </c>
      <c r="Z4804">
        <v>-3.6752019999999998E-3</v>
      </c>
      <c r="AA4804">
        <v>0.99102630000000003</v>
      </c>
      <c r="AB4804">
        <v>31</v>
      </c>
      <c r="AC4804">
        <v>-19.9927999999999</v>
      </c>
      <c r="AD4804">
        <v>-1.1105989772010001</v>
      </c>
      <c r="AE4804">
        <v>-3.2116999999999698</v>
      </c>
      <c r="AF4804">
        <v>-2.7424309224690702</v>
      </c>
      <c r="AG4804">
        <v>-1.1105989772010001</v>
      </c>
      <c r="AH4804">
        <v>20.001259155454001</v>
      </c>
      <c r="AI4804">
        <v>93.148767393671704</v>
      </c>
      <c r="AJ4804">
        <v>97.807308498428597</v>
      </c>
      <c r="AK4804">
        <v>20.2189199824399</v>
      </c>
      <c r="AL4804">
        <v>79.852974528928101</v>
      </c>
      <c r="AM4804">
        <v>94.666074020992497</v>
      </c>
      <c r="AN4804">
        <v>1.0000000157034099</v>
      </c>
    </row>
    <row r="4805" spans="1:40" x14ac:dyDescent="0.25">
      <c r="A4805" t="str">
        <f>"20190304155731102"</f>
        <v>20190304155731102</v>
      </c>
      <c r="B4805" t="str">
        <f>"1551686251099165"</f>
        <v>1551686251099165</v>
      </c>
      <c r="C4805" t="s">
        <v>40</v>
      </c>
      <c r="D4805">
        <v>5.194693</v>
      </c>
      <c r="E4805">
        <v>0.47710069999999999</v>
      </c>
      <c r="F4805" t="s">
        <v>78</v>
      </c>
      <c r="G4805">
        <v>-407.05540000000002</v>
      </c>
      <c r="H4805" s="1">
        <v>-8.1616830000000003E-6</v>
      </c>
      <c r="I4805">
        <v>137.9949</v>
      </c>
      <c r="J4805">
        <v>-387.0616</v>
      </c>
      <c r="K4805">
        <v>1.110633</v>
      </c>
      <c r="L4805">
        <v>141.23570000000001</v>
      </c>
      <c r="M4805">
        <v>-0.99962070000000003</v>
      </c>
      <c r="N4805">
        <v>-1.4361809999999999E-2</v>
      </c>
      <c r="O4805">
        <v>-2.350462E-2</v>
      </c>
      <c r="P4805">
        <v>-0.98119149999999999</v>
      </c>
      <c r="Q4805">
        <v>0.1624855</v>
      </c>
      <c r="R4805">
        <v>-0.1042206</v>
      </c>
      <c r="S4805">
        <v>-3.0334780000000001</v>
      </c>
      <c r="T4805">
        <v>-0.16583419999999999</v>
      </c>
      <c r="U4805">
        <v>-0.48510740000000002</v>
      </c>
      <c r="V4805">
        <v>-8.1282030000000005E-2</v>
      </c>
      <c r="W4805">
        <v>0.17652019999999999</v>
      </c>
      <c r="X4805">
        <v>0.98093520000000001</v>
      </c>
      <c r="Y4805">
        <v>-0.1344262</v>
      </c>
      <c r="Z4805">
        <v>-3.6811090000000001E-3</v>
      </c>
      <c r="AA4805">
        <v>0.99091680000000004</v>
      </c>
      <c r="AB4805">
        <v>31</v>
      </c>
      <c r="AC4805">
        <v>-19.9938</v>
      </c>
      <c r="AD4805">
        <v>-1.1106411616830001</v>
      </c>
      <c r="AE4805">
        <v>-3.2408000000000001</v>
      </c>
      <c r="AF4805">
        <v>-2.76160600108122</v>
      </c>
      <c r="AG4805">
        <v>-1.1106411616830001</v>
      </c>
      <c r="AH4805">
        <v>20.004309284733299</v>
      </c>
      <c r="AI4805">
        <v>93.148009818446496</v>
      </c>
      <c r="AJ4805">
        <v>97.860033368827501</v>
      </c>
      <c r="AK4805">
        <v>20.2245489802492</v>
      </c>
      <c r="AL4805">
        <v>79.832863580301193</v>
      </c>
      <c r="AM4805">
        <v>94.736808570065506</v>
      </c>
      <c r="AN4805">
        <v>1.0000000080039999</v>
      </c>
    </row>
    <row r="4806" spans="1:40" x14ac:dyDescent="0.25">
      <c r="A4806" t="str">
        <f>"20190304155731123"</f>
        <v>20190304155731123</v>
      </c>
      <c r="B4806" t="str">
        <f>"1551686251119661"</f>
        <v>1551686251119661</v>
      </c>
      <c r="C4806" t="s">
        <v>40</v>
      </c>
      <c r="D4806">
        <v>5.1744139999999996</v>
      </c>
      <c r="E4806">
        <v>0.47693770000000002</v>
      </c>
      <c r="F4806" t="s">
        <v>78</v>
      </c>
      <c r="G4806">
        <v>-407.43619999999999</v>
      </c>
      <c r="H4806" s="1">
        <v>-8.3731039999999903E-6</v>
      </c>
      <c r="I4806">
        <v>137.93610000000001</v>
      </c>
      <c r="J4806">
        <v>-387.358</v>
      </c>
      <c r="K4806">
        <v>1.1106799999999999</v>
      </c>
      <c r="L4806">
        <v>141.22819999999999</v>
      </c>
      <c r="M4806">
        <v>-0.99960850000000001</v>
      </c>
      <c r="N4806">
        <v>-1.435898E-2</v>
      </c>
      <c r="O4806">
        <v>-2.4020150000000001E-2</v>
      </c>
      <c r="P4806">
        <v>-0.98106249999999995</v>
      </c>
      <c r="Q4806">
        <v>0.1624786</v>
      </c>
      <c r="R4806">
        <v>-0.10544000000000001</v>
      </c>
      <c r="S4806">
        <v>-3.032715</v>
      </c>
      <c r="T4806">
        <v>-0.16531570000000001</v>
      </c>
      <c r="U4806">
        <v>-0.49113459999999998</v>
      </c>
      <c r="V4806">
        <v>-8.2016179999999994E-2</v>
      </c>
      <c r="W4806">
        <v>0.1765005</v>
      </c>
      <c r="X4806">
        <v>0.98087760000000002</v>
      </c>
      <c r="Y4806">
        <v>-0.13587249999999901</v>
      </c>
      <c r="Z4806">
        <v>-3.7028540000000002E-3</v>
      </c>
      <c r="AA4806">
        <v>0.99071940000000003</v>
      </c>
      <c r="AB4806">
        <v>31</v>
      </c>
      <c r="AC4806">
        <v>-20.078199999999899</v>
      </c>
      <c r="AD4806">
        <v>-1.11068837310399</v>
      </c>
      <c r="AE4806">
        <v>-3.2920999999999698</v>
      </c>
      <c r="AF4806">
        <v>-2.8004735635573001</v>
      </c>
      <c r="AG4806">
        <v>-1.11068837310399</v>
      </c>
      <c r="AH4806">
        <v>20.091617980065699</v>
      </c>
      <c r="AI4806">
        <v>93.133922197682097</v>
      </c>
      <c r="AJ4806">
        <v>97.935057429467193</v>
      </c>
      <c r="AK4806">
        <v>20.3162347372546</v>
      </c>
      <c r="AL4806">
        <v>79.834009954984296</v>
      </c>
      <c r="AM4806">
        <v>94.779674099578898</v>
      </c>
      <c r="AN4806">
        <v>0.99999997323190004</v>
      </c>
    </row>
    <row r="4807" spans="1:40" x14ac:dyDescent="0.25">
      <c r="A4807" t="str">
        <f>"20190304155731146"</f>
        <v>20190304155731146</v>
      </c>
      <c r="B4807" t="str">
        <f>"1551686251139184"</f>
        <v>1551686251139184</v>
      </c>
      <c r="C4807" t="s">
        <v>40</v>
      </c>
      <c r="D4807">
        <v>5.1529199999999999</v>
      </c>
      <c r="E4807">
        <v>0.47684949999999998</v>
      </c>
      <c r="F4807" t="s">
        <v>78</v>
      </c>
      <c r="G4807">
        <v>-407.61149999999998</v>
      </c>
      <c r="H4807" s="1">
        <v>-8.4723500000000003E-6</v>
      </c>
      <c r="I4807">
        <v>137.9136</v>
      </c>
      <c r="J4807">
        <v>-387.67970000000003</v>
      </c>
      <c r="K4807">
        <v>1.1107389999999999</v>
      </c>
      <c r="L4807">
        <v>141.21979999999999</v>
      </c>
      <c r="M4807">
        <v>-0.99959279999999995</v>
      </c>
      <c r="N4807">
        <v>-1.4356030000000001E-2</v>
      </c>
      <c r="O4807">
        <v>-2.4663170000000002E-2</v>
      </c>
      <c r="P4807">
        <v>-0.98106459999999995</v>
      </c>
      <c r="Q4807">
        <v>0.16214149999999999</v>
      </c>
      <c r="R4807">
        <v>-0.1059393</v>
      </c>
      <c r="S4807">
        <v>-3.0321349999999998</v>
      </c>
      <c r="T4807">
        <v>-0.16627999999999901</v>
      </c>
      <c r="U4807">
        <v>-0.49623109999999998</v>
      </c>
      <c r="V4807">
        <v>-8.1908250000000002E-2</v>
      </c>
      <c r="W4807">
        <v>0.17614939999999901</v>
      </c>
      <c r="X4807">
        <v>0.98094979999999998</v>
      </c>
      <c r="Y4807">
        <v>-0.13688359999999999</v>
      </c>
      <c r="Z4807">
        <v>-3.7257079999999999E-3</v>
      </c>
      <c r="AA4807">
        <v>0.99058009999999996</v>
      </c>
      <c r="AB4807">
        <v>31</v>
      </c>
      <c r="AC4807">
        <v>-19.9317999999999</v>
      </c>
      <c r="AD4807">
        <v>-1.1107474723499999</v>
      </c>
      <c r="AE4807">
        <v>-3.3061999999999898</v>
      </c>
      <c r="AF4807">
        <v>-2.8050840624334001</v>
      </c>
      <c r="AG4807">
        <v>-1.1107474723499999</v>
      </c>
      <c r="AH4807">
        <v>19.946998144188399</v>
      </c>
      <c r="AI4807">
        <v>93.156228506473397</v>
      </c>
      <c r="AJ4807">
        <v>98.004834338184494</v>
      </c>
      <c r="AK4807">
        <v>20.173869026760901</v>
      </c>
      <c r="AL4807">
        <v>79.854447404798407</v>
      </c>
      <c r="AM4807">
        <v>94.773063613507304</v>
      </c>
      <c r="AN4807">
        <v>1.00000004132923</v>
      </c>
    </row>
    <row r="4808" spans="1:40" x14ac:dyDescent="0.25">
      <c r="A4808" t="str">
        <f>"20190304155731168"</f>
        <v>20190304155731168</v>
      </c>
      <c r="B4808" t="str">
        <f>"1551686251159676"</f>
        <v>1551686251159676</v>
      </c>
      <c r="C4808" t="s">
        <v>40</v>
      </c>
      <c r="D4808">
        <v>5.1947169999999998</v>
      </c>
      <c r="E4808">
        <v>0.47172959999999903</v>
      </c>
      <c r="F4808" t="s">
        <v>78</v>
      </c>
      <c r="G4808">
        <v>-407.75380000000001</v>
      </c>
      <c r="H4808" s="1">
        <v>-8.5630730000000005E-6</v>
      </c>
      <c r="I4808">
        <v>137.91839999999999</v>
      </c>
      <c r="J4808">
        <v>-387.9896</v>
      </c>
      <c r="K4808">
        <v>1.1108100000000001</v>
      </c>
      <c r="L4808">
        <v>141.2115</v>
      </c>
      <c r="M4808">
        <v>-0.99957470000000004</v>
      </c>
      <c r="N4808">
        <v>-1.4353329999999999E-2</v>
      </c>
      <c r="O4808">
        <v>-2.5381879999999999E-2</v>
      </c>
      <c r="P4808">
        <v>-0.9810103</v>
      </c>
      <c r="Q4808">
        <v>0.1620336</v>
      </c>
      <c r="R4808">
        <v>-0.10660219999999999</v>
      </c>
      <c r="S4808">
        <v>-3.0317989999999999</v>
      </c>
      <c r="T4808">
        <v>-0.1677563</v>
      </c>
      <c r="U4808">
        <v>-0.49861149999999999</v>
      </c>
      <c r="V4808">
        <v>-8.1896049999999998E-2</v>
      </c>
      <c r="W4808">
        <v>0.17602499999999999</v>
      </c>
      <c r="X4808">
        <v>0.98097310000000004</v>
      </c>
      <c r="Y4808">
        <v>-0.13694310000000001</v>
      </c>
      <c r="Z4808">
        <v>-3.719651E-3</v>
      </c>
      <c r="AA4808">
        <v>0.99057189999999995</v>
      </c>
      <c r="AB4808">
        <v>31</v>
      </c>
      <c r="AC4808">
        <v>-19.764199999999999</v>
      </c>
      <c r="AD4808">
        <v>-1.1108185630730001</v>
      </c>
      <c r="AE4808">
        <v>-3.2930999999999999</v>
      </c>
      <c r="AF4808">
        <v>-2.78178470687872</v>
      </c>
      <c r="AG4808">
        <v>-1.1108185630730001</v>
      </c>
      <c r="AH4808">
        <v>19.7806288646246</v>
      </c>
      <c r="AI4808">
        <v>93.182921447940899</v>
      </c>
      <c r="AJ4808">
        <v>98.005108823867104</v>
      </c>
      <c r="AK4808">
        <v>20.006137116282801</v>
      </c>
      <c r="AL4808">
        <v>79.861687646726295</v>
      </c>
      <c r="AM4808">
        <v>94.772243134082302</v>
      </c>
      <c r="AN4808">
        <v>0.99999999327710598</v>
      </c>
    </row>
    <row r="4809" spans="1:40" x14ac:dyDescent="0.25">
      <c r="A4809" t="str">
        <f>"20190304155731189"</f>
        <v>20190304155731189</v>
      </c>
      <c r="B4809" t="str">
        <f>"1551686251179196"</f>
        <v>1551686251179196</v>
      </c>
      <c r="C4809" t="s">
        <v>40</v>
      </c>
      <c r="D4809">
        <v>5.3853269999999904</v>
      </c>
      <c r="E4809">
        <v>0.47260540000000001</v>
      </c>
      <c r="F4809" t="s">
        <v>78</v>
      </c>
      <c r="G4809">
        <v>-404.38810000000001</v>
      </c>
      <c r="H4809" s="1">
        <v>-6.6902879999999998E-6</v>
      </c>
      <c r="I4809">
        <v>138.28489999999999</v>
      </c>
      <c r="J4809">
        <v>-388.28919999999999</v>
      </c>
      <c r="K4809">
        <v>1.110905</v>
      </c>
      <c r="L4809">
        <v>141.203</v>
      </c>
      <c r="M4809">
        <v>-0.99955419999999995</v>
      </c>
      <c r="N4809">
        <v>-1.4350999999999999E-2</v>
      </c>
      <c r="O4809">
        <v>-2.618666E-2</v>
      </c>
      <c r="P4809">
        <v>-0.98095239999999995</v>
      </c>
      <c r="Q4809">
        <v>0.16181019999999999</v>
      </c>
      <c r="R4809">
        <v>-0.1074717</v>
      </c>
      <c r="S4809">
        <v>-3.0332029999999999</v>
      </c>
      <c r="T4809">
        <v>-0.2054658</v>
      </c>
      <c r="U4809">
        <v>-0.54132080000000005</v>
      </c>
      <c r="V4809">
        <v>-8.2010520000000003E-2</v>
      </c>
      <c r="W4809">
        <v>0.17578279999999999</v>
      </c>
      <c r="X4809">
        <v>0.98100699999999996</v>
      </c>
      <c r="Y4809">
        <v>-0.1494791</v>
      </c>
      <c r="Z4809">
        <v>-4.7159619999999998E-3</v>
      </c>
      <c r="AA4809">
        <v>0.98875360000000001</v>
      </c>
      <c r="AB4809">
        <v>31</v>
      </c>
      <c r="AC4809">
        <v>-16.0989</v>
      </c>
      <c r="AD4809">
        <v>-1.1109116902879901</v>
      </c>
      <c r="AE4809">
        <v>-2.9180999999999999</v>
      </c>
      <c r="AF4809">
        <v>-2.4840272577868499</v>
      </c>
      <c r="AG4809">
        <v>-1.1109116902879901</v>
      </c>
      <c r="AH4809">
        <v>16.0955960587908</v>
      </c>
      <c r="AI4809">
        <v>93.902218493363193</v>
      </c>
      <c r="AJ4809">
        <v>98.773220508518804</v>
      </c>
      <c r="AK4809">
        <v>16.323992424918799</v>
      </c>
      <c r="AL4809">
        <v>79.875784827811302</v>
      </c>
      <c r="AM4809">
        <v>94.778718277374097</v>
      </c>
      <c r="AN4809">
        <v>1.00000002610775</v>
      </c>
    </row>
    <row r="4810" spans="1:40" x14ac:dyDescent="0.25">
      <c r="A4810" t="str">
        <f>"20190304155731212"</f>
        <v>20190304155731212</v>
      </c>
      <c r="B4810" t="str">
        <f>"1551686251209453"</f>
        <v>1551686251209453</v>
      </c>
      <c r="C4810" t="s">
        <v>40</v>
      </c>
      <c r="D4810">
        <v>5.2242850000000001</v>
      </c>
      <c r="E4810">
        <v>0.47228589999999998</v>
      </c>
      <c r="F4810" t="s">
        <v>78</v>
      </c>
      <c r="G4810">
        <v>-404.82819999999998</v>
      </c>
      <c r="H4810" s="1">
        <v>-6.8815419999999898E-6</v>
      </c>
      <c r="I4810">
        <v>138.2765</v>
      </c>
      <c r="J4810">
        <v>-388.5967</v>
      </c>
      <c r="K4810">
        <v>1.1110089999999999</v>
      </c>
      <c r="L4810">
        <v>141.19399999999999</v>
      </c>
      <c r="M4810">
        <v>-0.99952850000000004</v>
      </c>
      <c r="N4810">
        <v>-1.434912E-2</v>
      </c>
      <c r="O4810">
        <v>-2.7148039999999998E-2</v>
      </c>
      <c r="P4810">
        <v>-0.98068929999999999</v>
      </c>
      <c r="Q4810">
        <v>0.162276</v>
      </c>
      <c r="R4810">
        <v>-0.1091565</v>
      </c>
      <c r="S4810">
        <v>-3.0330509999999999</v>
      </c>
      <c r="T4810">
        <v>-0.20372699999999999</v>
      </c>
      <c r="U4810">
        <v>-0.53669739999999999</v>
      </c>
      <c r="V4810">
        <v>-8.27991E-2</v>
      </c>
      <c r="W4810">
        <v>0.17622360000000001</v>
      </c>
      <c r="X4810">
        <v>0.98086169999999995</v>
      </c>
      <c r="Y4810">
        <v>-0.1470882</v>
      </c>
      <c r="Z4810">
        <v>-4.5415899999999999E-3</v>
      </c>
      <c r="AA4810">
        <v>0.98911300000000002</v>
      </c>
      <c r="AB4810">
        <v>31</v>
      </c>
      <c r="AC4810">
        <v>-16.231499999999901</v>
      </c>
      <c r="AD4810">
        <v>-1.1110158815419999</v>
      </c>
      <c r="AE4810">
        <v>-2.91749999999998</v>
      </c>
      <c r="AF4810">
        <v>-2.4645403434115201</v>
      </c>
      <c r="AG4810">
        <v>-1.1110158815419999</v>
      </c>
      <c r="AH4810">
        <v>16.2310638017365</v>
      </c>
      <c r="AI4810">
        <v>93.871547540426207</v>
      </c>
      <c r="AJ4810">
        <v>98.6338959427341</v>
      </c>
      <c r="AK4810">
        <v>16.454657320326799</v>
      </c>
      <c r="AL4810">
        <v>79.850128701892899</v>
      </c>
      <c r="AM4810">
        <v>94.825163935823397</v>
      </c>
      <c r="AN4810">
        <v>1.0000000613423199</v>
      </c>
    </row>
    <row r="4811" spans="1:40" x14ac:dyDescent="0.25">
      <c r="A4811" t="str">
        <f>"20190304155731234"</f>
        <v>20190304155731234</v>
      </c>
      <c r="B4811" t="str">
        <f>"1551686251229952"</f>
        <v>1551686251229952</v>
      </c>
      <c r="C4811" t="s">
        <v>40</v>
      </c>
      <c r="D4811">
        <v>5.2386609999999996</v>
      </c>
      <c r="E4811">
        <v>0.47245779999999898</v>
      </c>
      <c r="F4811" t="s">
        <v>78</v>
      </c>
      <c r="G4811">
        <v>-405.21570000000003</v>
      </c>
      <c r="H4811" s="1">
        <v>-7.0848959999999996E-6</v>
      </c>
      <c r="I4811">
        <v>138.21209999999999</v>
      </c>
      <c r="J4811">
        <v>-388.91500000000002</v>
      </c>
      <c r="K4811">
        <v>1.1111</v>
      </c>
      <c r="L4811">
        <v>141.1842</v>
      </c>
      <c r="M4811">
        <v>-0.99949770000000004</v>
      </c>
      <c r="N4811">
        <v>-1.434707E-2</v>
      </c>
      <c r="O4811">
        <v>-2.82618E-2</v>
      </c>
      <c r="P4811">
        <v>-0.98042320000000005</v>
      </c>
      <c r="Q4811">
        <v>0.16257449999999901</v>
      </c>
      <c r="R4811">
        <v>-0.1110863</v>
      </c>
      <c r="S4811">
        <v>-3.0320429999999998</v>
      </c>
      <c r="T4811">
        <v>-0.2026982</v>
      </c>
      <c r="U4811">
        <v>-0.54403690000000005</v>
      </c>
      <c r="V4811">
        <v>-8.3683080000000007E-2</v>
      </c>
      <c r="W4811">
        <v>0.17649679999999901</v>
      </c>
      <c r="X4811">
        <v>0.98073750000000004</v>
      </c>
      <c r="Y4811">
        <v>-0.1483641</v>
      </c>
      <c r="Z4811">
        <v>-4.5200120000000003E-3</v>
      </c>
      <c r="AA4811">
        <v>0.98892250000000004</v>
      </c>
      <c r="AB4811">
        <v>31</v>
      </c>
      <c r="AC4811">
        <v>-16.300699999999999</v>
      </c>
      <c r="AD4811">
        <v>-1.1111070848960001</v>
      </c>
      <c r="AE4811">
        <v>-2.97210000000001</v>
      </c>
      <c r="AF4811">
        <v>-2.49894102115675</v>
      </c>
      <c r="AG4811">
        <v>-1.1111070848960001</v>
      </c>
      <c r="AH4811">
        <v>16.304874421105598</v>
      </c>
      <c r="AI4811">
        <v>93.853574944642304</v>
      </c>
      <c r="AJ4811">
        <v>98.713543903496003</v>
      </c>
      <c r="AK4811">
        <v>16.532640293351498</v>
      </c>
      <c r="AL4811">
        <v>79.834225719604007</v>
      </c>
      <c r="AM4811">
        <v>94.877045828336307</v>
      </c>
      <c r="AN4811">
        <v>1.0000000110973799</v>
      </c>
    </row>
    <row r="4812" spans="1:40" x14ac:dyDescent="0.25">
      <c r="A4812" t="str">
        <f>"20190304155731257"</f>
        <v>20190304155731257</v>
      </c>
      <c r="B4812" t="str">
        <f>"1551686251249470"</f>
        <v>1551686251249470</v>
      </c>
      <c r="C4812" t="s">
        <v>40</v>
      </c>
      <c r="D4812">
        <v>5.3924370000000001</v>
      </c>
      <c r="E4812">
        <v>0.47278049999999999</v>
      </c>
      <c r="F4812" t="s">
        <v>78</v>
      </c>
      <c r="G4812">
        <v>-405.32279999999997</v>
      </c>
      <c r="H4812" s="1">
        <v>-7.1596659999999997E-6</v>
      </c>
      <c r="I4812">
        <v>138.2158</v>
      </c>
      <c r="J4812">
        <v>-389.21679999999998</v>
      </c>
      <c r="K4812">
        <v>1.1111930000000001</v>
      </c>
      <c r="L4812">
        <v>141.17439999999999</v>
      </c>
      <c r="M4812">
        <v>-0.99946369999999896</v>
      </c>
      <c r="N4812">
        <v>-1.434533E-2</v>
      </c>
      <c r="O4812">
        <v>-2.9436469999999999E-2</v>
      </c>
      <c r="P4812">
        <v>-0.98020980000000002</v>
      </c>
      <c r="Q4812">
        <v>0.16254589999999999</v>
      </c>
      <c r="R4812">
        <v>-0.1129946</v>
      </c>
      <c r="S4812">
        <v>-3.0317989999999999</v>
      </c>
      <c r="T4812">
        <v>-0.20530860000000001</v>
      </c>
      <c r="U4812">
        <v>-0.54849239999999999</v>
      </c>
      <c r="V4812">
        <v>-8.4480730000000004E-2</v>
      </c>
      <c r="W4812">
        <v>0.17644560000000001</v>
      </c>
      <c r="X4812">
        <v>0.9806783</v>
      </c>
      <c r="Y4812">
        <v>-0.14861640000000001</v>
      </c>
      <c r="Z4812">
        <v>-4.5072369999999999E-3</v>
      </c>
      <c r="AA4812">
        <v>0.9888846</v>
      </c>
      <c r="AB4812">
        <v>31</v>
      </c>
      <c r="AC4812">
        <v>-16.105999999999899</v>
      </c>
      <c r="AD4812">
        <v>-1.1112001596659999</v>
      </c>
      <c r="AE4812">
        <v>-2.9585999999999899</v>
      </c>
      <c r="AF4812">
        <v>-2.47178337039229</v>
      </c>
      <c r="AG4812">
        <v>-1.1112001596659999</v>
      </c>
      <c r="AH4812">
        <v>16.1119290649306</v>
      </c>
      <c r="AI4812">
        <v>93.899819549906297</v>
      </c>
      <c r="AJ4812">
        <v>98.721930508448693</v>
      </c>
      <c r="AK4812">
        <v>16.338259914028299</v>
      </c>
      <c r="AL4812">
        <v>79.837205777304305</v>
      </c>
      <c r="AM4812">
        <v>94.923601152982997</v>
      </c>
      <c r="AN4812">
        <v>0.99999998579579097</v>
      </c>
    </row>
    <row r="4813" spans="1:40" x14ac:dyDescent="0.25">
      <c r="A4813" t="str">
        <f>"20190304155731279"</f>
        <v>20190304155731279</v>
      </c>
      <c r="B4813" t="str">
        <f>"1551686251269965"</f>
        <v>1551686251269965</v>
      </c>
      <c r="C4813" t="s">
        <v>40</v>
      </c>
      <c r="D4813">
        <v>5.253342</v>
      </c>
      <c r="E4813">
        <v>0.47270040000000002</v>
      </c>
      <c r="F4813" t="s">
        <v>78</v>
      </c>
      <c r="G4813">
        <v>-405.65589999999997</v>
      </c>
      <c r="H4813" s="1">
        <v>-7.3731620000000002E-6</v>
      </c>
      <c r="I4813">
        <v>138.18629999999999</v>
      </c>
      <c r="J4813">
        <v>-389.5213</v>
      </c>
      <c r="K4813">
        <v>1.111286</v>
      </c>
      <c r="L4813">
        <v>141.16409999999999</v>
      </c>
      <c r="M4813">
        <v>-0.99942410000000004</v>
      </c>
      <c r="N4813">
        <v>-1.434384E-2</v>
      </c>
      <c r="O4813">
        <v>-3.0757059999999999E-2</v>
      </c>
      <c r="P4813">
        <v>-0.97996939999999999</v>
      </c>
      <c r="Q4813">
        <v>0.16258249999999999</v>
      </c>
      <c r="R4813">
        <v>-0.11500970000000001</v>
      </c>
      <c r="S4813">
        <v>-3.0310060000000001</v>
      </c>
      <c r="T4813">
        <v>-0.2048798</v>
      </c>
      <c r="U4813">
        <v>-0.55093380000000003</v>
      </c>
      <c r="V4813">
        <v>-8.5245080000000001E-2</v>
      </c>
      <c r="W4813">
        <v>0.17645729999999901</v>
      </c>
      <c r="X4813">
        <v>0.98061010000000004</v>
      </c>
      <c r="Y4813">
        <v>-0.1481306</v>
      </c>
      <c r="Z4813">
        <v>-4.4121480000000003E-3</v>
      </c>
      <c r="AA4813">
        <v>0.98895789999999995</v>
      </c>
      <c r="AB4813">
        <v>31</v>
      </c>
      <c r="AC4813">
        <v>-16.134599999999899</v>
      </c>
      <c r="AD4813">
        <v>-1.1112933731620001</v>
      </c>
      <c r="AE4813">
        <v>-2.9777999999999998</v>
      </c>
      <c r="AF4813">
        <v>-2.4687611142728301</v>
      </c>
      <c r="AG4813">
        <v>-1.1112933731620001</v>
      </c>
      <c r="AH4813">
        <v>16.144496780351801</v>
      </c>
      <c r="AI4813">
        <v>93.892590696185906</v>
      </c>
      <c r="AJ4813">
        <v>98.694125395928793</v>
      </c>
      <c r="AK4813">
        <v>16.369927632441399</v>
      </c>
      <c r="AL4813">
        <v>79.836525239133096</v>
      </c>
      <c r="AM4813">
        <v>94.9682698912208</v>
      </c>
      <c r="AN4813">
        <v>1.00000003530475</v>
      </c>
    </row>
    <row r="4814" spans="1:40" x14ac:dyDescent="0.25">
      <c r="A4814" t="str">
        <f>"20190304155731302"</f>
        <v>20190304155731302</v>
      </c>
      <c r="B4814" t="str">
        <f>"1551686251299246"</f>
        <v>1551686251299246</v>
      </c>
      <c r="C4814" t="s">
        <v>40</v>
      </c>
      <c r="D4814">
        <v>5.334517</v>
      </c>
      <c r="E4814">
        <v>0.47250920000000002</v>
      </c>
      <c r="F4814" t="s">
        <v>78</v>
      </c>
      <c r="G4814">
        <v>-406.08330000000001</v>
      </c>
      <c r="H4814" s="1">
        <v>-7.6080510000000002E-6</v>
      </c>
      <c r="I4814">
        <v>138.11279999999999</v>
      </c>
      <c r="J4814">
        <v>-389.83499999999998</v>
      </c>
      <c r="K4814">
        <v>1.111397</v>
      </c>
      <c r="L4814">
        <v>141.15289999999999</v>
      </c>
      <c r="M4814">
        <v>-0.99937619999999905</v>
      </c>
      <c r="N4814">
        <v>-1.4342830000000001E-2</v>
      </c>
      <c r="O4814">
        <v>-3.2271460000000002E-2</v>
      </c>
      <c r="P4814">
        <v>-0.97966989999999998</v>
      </c>
      <c r="Q4814">
        <v>0.16296140000000001</v>
      </c>
      <c r="R4814">
        <v>-0.1170071</v>
      </c>
      <c r="S4814">
        <v>-3.029541</v>
      </c>
      <c r="T4814">
        <v>-0.2032794</v>
      </c>
      <c r="U4814">
        <v>-0.55815119999999996</v>
      </c>
      <c r="V4814">
        <v>-8.5810499999999998E-2</v>
      </c>
      <c r="W4814">
        <v>0.176809299999999</v>
      </c>
      <c r="X4814">
        <v>0.98049739999999996</v>
      </c>
      <c r="Y4814">
        <v>-0.1490003</v>
      </c>
      <c r="Z4814">
        <v>-4.3466080000000001E-3</v>
      </c>
      <c r="AA4814">
        <v>0.98882760000000003</v>
      </c>
      <c r="AB4814">
        <v>31</v>
      </c>
      <c r="AC4814">
        <v>-16.2483</v>
      </c>
      <c r="AD4814">
        <v>-1.1114046080509901</v>
      </c>
      <c r="AE4814">
        <v>-3.04009999999999</v>
      </c>
      <c r="AF4814">
        <v>-2.5027920563393899</v>
      </c>
      <c r="AG4814">
        <v>-1.1114046080509901</v>
      </c>
      <c r="AH4814">
        <v>16.264430620327602</v>
      </c>
      <c r="AI4814">
        <v>93.863802604680004</v>
      </c>
      <c r="AJ4814">
        <v>98.748130549529193</v>
      </c>
      <c r="AK4814">
        <v>16.493359017602302</v>
      </c>
      <c r="AL4814">
        <v>79.816035214859198</v>
      </c>
      <c r="AM4814">
        <v>95.001629145501497</v>
      </c>
      <c r="AN4814">
        <v>1.0000000609417401</v>
      </c>
    </row>
    <row r="4815" spans="1:40" x14ac:dyDescent="0.25">
      <c r="A4815" t="str">
        <f>"20190304155731324"</f>
        <v>20190304155731324</v>
      </c>
      <c r="B4815" t="str">
        <f>"1551686251319741"</f>
        <v>1551686251319741</v>
      </c>
      <c r="C4815" t="s">
        <v>40</v>
      </c>
      <c r="D4815">
        <v>5.2434629999999904</v>
      </c>
      <c r="E4815">
        <v>0.49058489999999999</v>
      </c>
      <c r="F4815" t="s">
        <v>78</v>
      </c>
      <c r="G4815">
        <v>-406.58679999999998</v>
      </c>
      <c r="H4815" s="1">
        <v>-7.8808469999999994E-6</v>
      </c>
      <c r="I4815">
        <v>138.0198</v>
      </c>
      <c r="J4815">
        <v>-390.13780000000003</v>
      </c>
      <c r="K4815">
        <v>1.111523</v>
      </c>
      <c r="L4815">
        <v>141.1414</v>
      </c>
      <c r="M4815">
        <v>-0.99932279999999996</v>
      </c>
      <c r="N4815">
        <v>-1.434268E-2</v>
      </c>
      <c r="O4815">
        <v>-3.3888880000000003E-2</v>
      </c>
      <c r="P4815">
        <v>-0.97940459999999996</v>
      </c>
      <c r="Q4815">
        <v>0.16286489999999901</v>
      </c>
      <c r="R4815">
        <v>-0.1193385</v>
      </c>
      <c r="S4815">
        <v>-3.0280459999999998</v>
      </c>
      <c r="T4815">
        <v>-0.20089750000000001</v>
      </c>
      <c r="U4815">
        <v>-0.56633</v>
      </c>
      <c r="V4815">
        <v>-8.6610999999999994E-2</v>
      </c>
      <c r="W4815">
        <v>0.17668399999999901</v>
      </c>
      <c r="X4815">
        <v>0.98044960000000003</v>
      </c>
      <c r="Y4815">
        <v>-0.15007499999999999</v>
      </c>
      <c r="Z4815">
        <v>-4.2746329999999999E-3</v>
      </c>
      <c r="AA4815">
        <v>0.98866540000000003</v>
      </c>
      <c r="AB4815">
        <v>31</v>
      </c>
      <c r="AC4815">
        <v>-16.448999999999899</v>
      </c>
      <c r="AD4815">
        <v>-1.1115308808469999</v>
      </c>
      <c r="AE4815">
        <v>-3.1215999999999999</v>
      </c>
      <c r="AF4815">
        <v>-2.5510671542246</v>
      </c>
      <c r="AG4815">
        <v>-1.1115308808469999</v>
      </c>
      <c r="AH4815">
        <v>16.472743647970901</v>
      </c>
      <c r="AI4815">
        <v>93.814953897066999</v>
      </c>
      <c r="AJ4815">
        <v>98.803232733471802</v>
      </c>
      <c r="AK4815">
        <v>16.706128450847199</v>
      </c>
      <c r="AL4815">
        <v>79.823329196267196</v>
      </c>
      <c r="AM4815">
        <v>95.048292676726206</v>
      </c>
      <c r="AN4815">
        <v>1.0000000596585701</v>
      </c>
    </row>
    <row r="4816" spans="1:40" x14ac:dyDescent="0.25">
      <c r="A4816" t="str">
        <f>"20190304155731347"</f>
        <v>20190304155731347</v>
      </c>
      <c r="B4816" t="str">
        <f>"1551686251339261"</f>
        <v>1551686251339261</v>
      </c>
      <c r="C4816" t="s">
        <v>40</v>
      </c>
      <c r="D4816">
        <v>5.154852</v>
      </c>
      <c r="E4816">
        <v>0.51163579999999997</v>
      </c>
      <c r="F4816" t="s">
        <v>78</v>
      </c>
      <c r="G4816">
        <v>-408.80160000000001</v>
      </c>
      <c r="H4816" s="1">
        <v>-9.4706170000000003E-6</v>
      </c>
      <c r="I4816">
        <v>138.5025</v>
      </c>
      <c r="J4816">
        <v>-390.45030000000003</v>
      </c>
      <c r="K4816">
        <v>1.1116680000000001</v>
      </c>
      <c r="L4816">
        <v>141.12899999999999</v>
      </c>
      <c r="M4816">
        <v>-0.99925870000000006</v>
      </c>
      <c r="N4816">
        <v>-1.434292E-2</v>
      </c>
      <c r="O4816">
        <v>-3.5726500000000001E-2</v>
      </c>
      <c r="P4816">
        <v>-0.9791088</v>
      </c>
      <c r="Q4816">
        <v>0.16278779999999901</v>
      </c>
      <c r="R4816">
        <v>-0.1218455</v>
      </c>
      <c r="S4816">
        <v>-3.0408330000000001</v>
      </c>
      <c r="T4816">
        <v>-0.18109819999999999</v>
      </c>
      <c r="U4816">
        <v>-0.42996220000000002</v>
      </c>
      <c r="V4816">
        <v>-8.7377549999999998E-2</v>
      </c>
      <c r="W4816">
        <v>0.1765756</v>
      </c>
      <c r="X4816">
        <v>0.98040099999999997</v>
      </c>
      <c r="Y4816">
        <v>-0.1043461</v>
      </c>
      <c r="Z4816">
        <v>-2.2382959999999999E-3</v>
      </c>
      <c r="AA4816">
        <v>0.99453849999999999</v>
      </c>
      <c r="AB4816">
        <v>31</v>
      </c>
      <c r="AC4816">
        <v>-18.351299999999899</v>
      </c>
      <c r="AD4816">
        <v>-1.1116774706170001</v>
      </c>
      <c r="AE4816">
        <v>-2.6264999999999898</v>
      </c>
      <c r="AF4816">
        <v>-1.9620721815739599</v>
      </c>
      <c r="AG4816">
        <v>-1.1116774706170001</v>
      </c>
      <c r="AH4816">
        <v>18.367378732322099</v>
      </c>
      <c r="AI4816">
        <v>93.444029404318002</v>
      </c>
      <c r="AJ4816">
        <v>96.097426683698004</v>
      </c>
      <c r="AK4816">
        <v>18.5053007417049</v>
      </c>
      <c r="AL4816">
        <v>79.829638140030795</v>
      </c>
      <c r="AM4816">
        <v>95.092989743245596</v>
      </c>
      <c r="AN4816">
        <v>0.99999994978018003</v>
      </c>
    </row>
    <row r="4817" spans="1:40" x14ac:dyDescent="0.25">
      <c r="A4817" t="str">
        <f>"20190304155731370"</f>
        <v>20190304155731370</v>
      </c>
      <c r="B4817" t="str">
        <f>"1551686251359756"</f>
        <v>1551686251359756</v>
      </c>
      <c r="C4817" t="s">
        <v>40</v>
      </c>
      <c r="D4817">
        <v>5.0900439999999998</v>
      </c>
      <c r="E4817">
        <v>0.51148739999999904</v>
      </c>
      <c r="F4817" t="s">
        <v>78</v>
      </c>
      <c r="G4817">
        <v>-411.38380000000001</v>
      </c>
      <c r="H4817" s="1">
        <v>-1.040387E-5</v>
      </c>
      <c r="I4817">
        <v>139.2775</v>
      </c>
      <c r="J4817">
        <v>-390.75940000000003</v>
      </c>
      <c r="K4817">
        <v>1.111812</v>
      </c>
      <c r="L4817">
        <v>141.11590000000001</v>
      </c>
      <c r="M4817">
        <v>-0.99918530000000005</v>
      </c>
      <c r="N4817">
        <v>-1.4343689999999999E-2</v>
      </c>
      <c r="O4817">
        <v>-3.7722699999999998E-2</v>
      </c>
      <c r="P4817">
        <v>-0.97883339999999996</v>
      </c>
      <c r="Q4817">
        <v>0.16267570000000001</v>
      </c>
      <c r="R4817">
        <v>-0.1241847</v>
      </c>
      <c r="S4817">
        <v>-3.0573730000000001</v>
      </c>
      <c r="T4817">
        <v>-0.1623627</v>
      </c>
      <c r="U4817">
        <v>-0.2704163</v>
      </c>
      <c r="V4817">
        <v>-8.7822549999999999E-2</v>
      </c>
      <c r="W4817">
        <v>0.17643200000000001</v>
      </c>
      <c r="X4817">
        <v>0.98038720000000001</v>
      </c>
      <c r="Y4817">
        <v>-5.0399180000000002E-2</v>
      </c>
      <c r="Z4817">
        <v>-2.4050570000000001E-4</v>
      </c>
      <c r="AA4817">
        <v>0.99872910000000004</v>
      </c>
      <c r="AB4817">
        <v>31</v>
      </c>
      <c r="AC4817">
        <v>-20.624399999999898</v>
      </c>
      <c r="AD4817">
        <v>-1.11182240387</v>
      </c>
      <c r="AE4817">
        <v>-1.8384</v>
      </c>
      <c r="AF4817">
        <v>-1.0559586290782701</v>
      </c>
      <c r="AG4817">
        <v>-1.11182240387</v>
      </c>
      <c r="AH4817">
        <v>20.619624010375698</v>
      </c>
      <c r="AI4817">
        <v>93.082402159242804</v>
      </c>
      <c r="AJ4817">
        <v>92.931632748032996</v>
      </c>
      <c r="AK4817">
        <v>20.676558998376301</v>
      </c>
      <c r="AL4817">
        <v>79.837998144792806</v>
      </c>
      <c r="AM4817">
        <v>95.118861751478505</v>
      </c>
      <c r="AN4817">
        <v>1.0000000564181599</v>
      </c>
    </row>
    <row r="4818" spans="1:40" x14ac:dyDescent="0.25">
      <c r="A4818" t="str">
        <f>"20190304155731391"</f>
        <v>20190304155731391</v>
      </c>
      <c r="B4818" t="str">
        <f>"1551686251390013"</f>
        <v>1551686251390013</v>
      </c>
      <c r="C4818" t="s">
        <v>40</v>
      </c>
      <c r="D4818">
        <v>5.1144350000000003</v>
      </c>
      <c r="E4818">
        <v>0.51081259999999995</v>
      </c>
      <c r="F4818" t="s">
        <v>78</v>
      </c>
      <c r="G4818">
        <v>-411.13909999999998</v>
      </c>
      <c r="H4818" s="1">
        <v>-1.0416570000000001E-5</v>
      </c>
      <c r="I4818">
        <v>139.25729999999999</v>
      </c>
      <c r="J4818">
        <v>-391.06049999999999</v>
      </c>
      <c r="K4818">
        <v>1.11195</v>
      </c>
      <c r="L4818">
        <v>141.10230000000001</v>
      </c>
      <c r="M4818">
        <v>-0.99910220000000005</v>
      </c>
      <c r="N4818">
        <v>-1.434505E-2</v>
      </c>
      <c r="O4818">
        <v>-3.9862960000000003E-2</v>
      </c>
      <c r="P4818">
        <v>-0.97858979999999995</v>
      </c>
      <c r="Q4818">
        <v>0.1622692</v>
      </c>
      <c r="R4818">
        <v>-0.12661249999999999</v>
      </c>
      <c r="S4818">
        <v>-3.0572509999999999</v>
      </c>
      <c r="T4818">
        <v>-0.1667891</v>
      </c>
      <c r="U4818">
        <v>-0.27880860000000002</v>
      </c>
      <c r="V4818">
        <v>-8.8211949999999997E-2</v>
      </c>
      <c r="W4818">
        <v>0.1759954</v>
      </c>
      <c r="X4818">
        <v>0.98043069999999999</v>
      </c>
      <c r="Y4818">
        <v>-5.0981279999999997E-2</v>
      </c>
      <c r="Z4818">
        <v>-1.5705529999999999E-4</v>
      </c>
      <c r="AA4818">
        <v>0.99869960000000002</v>
      </c>
      <c r="AB4818">
        <v>31</v>
      </c>
      <c r="AC4818">
        <v>-20.078599999999899</v>
      </c>
      <c r="AD4818">
        <v>-1.1119604165700001</v>
      </c>
      <c r="AE4818">
        <v>-1.84500000000002</v>
      </c>
      <c r="AF4818">
        <v>-1.03989579253256</v>
      </c>
      <c r="AG4818">
        <v>-1.1119604165700001</v>
      </c>
      <c r="AH4818">
        <v>20.075137447008</v>
      </c>
      <c r="AI4818">
        <v>93.166133190744702</v>
      </c>
      <c r="AJ4818">
        <v>92.965281550124899</v>
      </c>
      <c r="AK4818">
        <v>20.132783780282502</v>
      </c>
      <c r="AL4818">
        <v>79.863411010013493</v>
      </c>
      <c r="AM4818">
        <v>95.141210208718704</v>
      </c>
      <c r="AN4818">
        <v>1.0000000432232199</v>
      </c>
    </row>
    <row r="4819" spans="1:40" x14ac:dyDescent="0.25">
      <c r="A4819" t="str">
        <f>"20190304155731413"</f>
        <v>20190304155731413</v>
      </c>
      <c r="B4819" t="str">
        <f>"1551686251409532"</f>
        <v>1551686251409532</v>
      </c>
      <c r="C4819" t="s">
        <v>40</v>
      </c>
      <c r="D4819">
        <v>5.1034739999999896</v>
      </c>
      <c r="E4819">
        <v>0.50990379999999902</v>
      </c>
      <c r="F4819" t="s">
        <v>78</v>
      </c>
      <c r="G4819">
        <v>-410.61059999999998</v>
      </c>
      <c r="H4819" s="1">
        <v>-1.045559E-5</v>
      </c>
      <c r="I4819">
        <v>139.24039999999999</v>
      </c>
      <c r="J4819">
        <v>-391.36160000000001</v>
      </c>
      <c r="K4819">
        <v>1.112085</v>
      </c>
      <c r="L4819">
        <v>141.08779999999999</v>
      </c>
      <c r="M4819">
        <v>-0.99900690000000003</v>
      </c>
      <c r="N4819">
        <v>-1.4346879999999999E-2</v>
      </c>
      <c r="O4819">
        <v>-4.2180830000000002E-2</v>
      </c>
      <c r="P4819">
        <v>-0.97824449999999996</v>
      </c>
      <c r="Q4819">
        <v>0.1617162</v>
      </c>
      <c r="R4819">
        <v>-0.12994429999999901</v>
      </c>
      <c r="S4819">
        <v>-3.0567929999999999</v>
      </c>
      <c r="T4819">
        <v>-0.173862299999999</v>
      </c>
      <c r="U4819">
        <v>-0.2911224</v>
      </c>
      <c r="V4819">
        <v>-8.9332159999999994E-2</v>
      </c>
      <c r="W4819">
        <v>0.17541010000000001</v>
      </c>
      <c r="X4819">
        <v>0.98043409999999998</v>
      </c>
      <c r="Y4819">
        <v>-5.2661260000000001E-2</v>
      </c>
      <c r="Z4819" s="1">
        <v>-8.5886799999999999E-5</v>
      </c>
      <c r="AA4819">
        <v>0.99861239999999996</v>
      </c>
      <c r="AB4819">
        <v>31</v>
      </c>
      <c r="AC4819">
        <v>-19.248999999999899</v>
      </c>
      <c r="AD4819">
        <v>-1.11209545559</v>
      </c>
      <c r="AE4819">
        <v>-1.8473999999999899</v>
      </c>
      <c r="AF4819">
        <v>-1.0303253349370201</v>
      </c>
      <c r="AG4819">
        <v>-1.11209545559</v>
      </c>
      <c r="AH4819">
        <v>19.246143049596999</v>
      </c>
      <c r="AI4819">
        <v>93.302313376855096</v>
      </c>
      <c r="AJ4819">
        <v>93.064354000443998</v>
      </c>
      <c r="AK4819">
        <v>19.305759474408301</v>
      </c>
      <c r="AL4819">
        <v>79.8974755384818</v>
      </c>
      <c r="AM4819">
        <v>95.206124318231204</v>
      </c>
      <c r="AN4819">
        <v>0.99999998121754197</v>
      </c>
    </row>
    <row r="4820" spans="1:40" x14ac:dyDescent="0.25">
      <c r="A4820" t="str">
        <f>"20190304155731435"</f>
        <v>20190304155731435</v>
      </c>
      <c r="B4820" t="str">
        <f>"1551686251429053"</f>
        <v>1551686251429053</v>
      </c>
      <c r="C4820" t="s">
        <v>40</v>
      </c>
      <c r="D4820">
        <v>5.1266639999999999</v>
      </c>
      <c r="E4820">
        <v>0.50960729999999999</v>
      </c>
      <c r="F4820" t="s">
        <v>78</v>
      </c>
      <c r="G4820">
        <v>-409.93349999999998</v>
      </c>
      <c r="H4820" s="1">
        <v>-1.0486820000000001E-5</v>
      </c>
      <c r="I4820">
        <v>139.21520000000001</v>
      </c>
      <c r="J4820">
        <v>-391.67070000000001</v>
      </c>
      <c r="K4820">
        <v>1.112212</v>
      </c>
      <c r="L4820">
        <v>141.07210000000001</v>
      </c>
      <c r="M4820">
        <v>-0.99889700000000003</v>
      </c>
      <c r="N4820">
        <v>-1.4348639999999999E-2</v>
      </c>
      <c r="O4820">
        <v>-4.4708129999999999E-2</v>
      </c>
      <c r="P4820">
        <v>-0.97799349999999996</v>
      </c>
      <c r="Q4820">
        <v>0.16082929999999901</v>
      </c>
      <c r="R4820">
        <v>-0.1329012</v>
      </c>
      <c r="S4820">
        <v>-3.056</v>
      </c>
      <c r="T4820">
        <v>-0.18299509999999999</v>
      </c>
      <c r="U4820">
        <v>-0.30813600000000002</v>
      </c>
      <c r="V4820">
        <v>-8.9859820000000007E-2</v>
      </c>
      <c r="W4820">
        <v>0.17449690000000001</v>
      </c>
      <c r="X4820">
        <v>0.98054889999999995</v>
      </c>
      <c r="Y4820">
        <v>-5.5656919999999999E-2</v>
      </c>
      <c r="Z4820" s="1">
        <v>-3.5623200000000001E-5</v>
      </c>
      <c r="AA4820">
        <v>0.99844999999999995</v>
      </c>
      <c r="AB4820">
        <v>31</v>
      </c>
      <c r="AC4820">
        <v>-18.262799999999899</v>
      </c>
      <c r="AD4820">
        <v>-1.1122224868199999</v>
      </c>
      <c r="AE4820">
        <v>-1.85689999999999</v>
      </c>
      <c r="AF4820">
        <v>-1.0346649196283599</v>
      </c>
      <c r="AG4820">
        <v>-1.1122224868199999</v>
      </c>
      <c r="AH4820">
        <v>18.260528176552601</v>
      </c>
      <c r="AI4820">
        <v>93.479929554022803</v>
      </c>
      <c r="AJ4820">
        <v>93.242984698817494</v>
      </c>
      <c r="AK4820">
        <v>18.323603893414901</v>
      </c>
      <c r="AL4820">
        <v>79.950618376356999</v>
      </c>
      <c r="AM4820">
        <v>95.236095271969305</v>
      </c>
      <c r="AN4820">
        <v>1.0000000503256199</v>
      </c>
    </row>
    <row r="4821" spans="1:40" x14ac:dyDescent="0.25">
      <c r="A4821" t="str">
        <f>"20190304155731458"</f>
        <v>20190304155731458</v>
      </c>
      <c r="B4821" t="str">
        <f>"1551686251449549"</f>
        <v>1551686251449549</v>
      </c>
      <c r="C4821" t="s">
        <v>40</v>
      </c>
      <c r="D4821">
        <v>5.1027079999999998</v>
      </c>
      <c r="E4821">
        <v>0.50937239999999995</v>
      </c>
      <c r="F4821" t="s">
        <v>78</v>
      </c>
      <c r="G4821">
        <v>-409.58519999999999</v>
      </c>
      <c r="H4821" s="1">
        <v>-1.0261730000000001E-5</v>
      </c>
      <c r="I4821">
        <v>139.19630000000001</v>
      </c>
      <c r="J4821">
        <v>-391.9631</v>
      </c>
      <c r="K4821">
        <v>1.1123190000000001</v>
      </c>
      <c r="L4821">
        <v>141.0564</v>
      </c>
      <c r="M4821">
        <v>-0.99878120000000004</v>
      </c>
      <c r="N4821">
        <v>-1.434967E-2</v>
      </c>
      <c r="O4821">
        <v>-4.7226629999999999E-2</v>
      </c>
      <c r="P4821">
        <v>-0.97750590000000004</v>
      </c>
      <c r="Q4821">
        <v>0.16078970000000001</v>
      </c>
      <c r="R4821">
        <v>-0.1364872</v>
      </c>
      <c r="S4821">
        <v>-3.0552980000000001</v>
      </c>
      <c r="T4821">
        <v>-0.1896892</v>
      </c>
      <c r="U4821">
        <v>-0.31991579999999997</v>
      </c>
      <c r="V4821">
        <v>-9.1030239999999998E-2</v>
      </c>
      <c r="W4821">
        <v>0.1744289</v>
      </c>
      <c r="X4821">
        <v>0.98045300000000002</v>
      </c>
      <c r="Y4821">
        <v>-5.6967619999999997E-2</v>
      </c>
      <c r="Z4821" s="1">
        <v>7.0426150000000003E-5</v>
      </c>
      <c r="AA4821">
        <v>0.99837600000000004</v>
      </c>
      <c r="AB4821">
        <v>31</v>
      </c>
      <c r="AC4821">
        <v>-17.6220999999999</v>
      </c>
      <c r="AD4821">
        <v>-1.11232926173</v>
      </c>
      <c r="AE4821">
        <v>-1.8600999999999801</v>
      </c>
      <c r="AF4821">
        <v>-1.02168022409421</v>
      </c>
      <c r="AG4821">
        <v>-1.11232926173</v>
      </c>
      <c r="AH4821">
        <v>17.620855449108099</v>
      </c>
      <c r="AI4821">
        <v>93.606004552613399</v>
      </c>
      <c r="AJ4821">
        <v>93.318368892836702</v>
      </c>
      <c r="AK4821">
        <v>17.6854644729837</v>
      </c>
      <c r="AL4821">
        <v>79.954574817894098</v>
      </c>
      <c r="AM4821">
        <v>95.3044245241108</v>
      </c>
      <c r="AN4821">
        <v>1.00000001547933</v>
      </c>
    </row>
    <row r="4822" spans="1:40" x14ac:dyDescent="0.25">
      <c r="A4822" t="str">
        <f>"20190304155731480"</f>
        <v>20190304155731480</v>
      </c>
      <c r="B4822" t="str">
        <f>"1551686251470048"</f>
        <v>1551686251470048</v>
      </c>
      <c r="C4822" t="s">
        <v>40</v>
      </c>
      <c r="D4822">
        <v>5.0712950000000001</v>
      </c>
      <c r="E4822">
        <v>0.50922999999999996</v>
      </c>
      <c r="F4822" t="s">
        <v>78</v>
      </c>
      <c r="G4822">
        <v>-409.7165</v>
      </c>
      <c r="H4822" s="1">
        <v>-1.031097E-5</v>
      </c>
      <c r="I4822">
        <v>139.12190000000001</v>
      </c>
      <c r="J4822">
        <v>-392.27749999999997</v>
      </c>
      <c r="K4822">
        <v>1.1124210000000001</v>
      </c>
      <c r="L4822">
        <v>141.0386</v>
      </c>
      <c r="M4822">
        <v>-0.99864260000000005</v>
      </c>
      <c r="N4822">
        <v>-1.435055E-2</v>
      </c>
      <c r="O4822">
        <v>-5.0071900000000003E-2</v>
      </c>
      <c r="P4822">
        <v>-0.97677130000000001</v>
      </c>
      <c r="Q4822">
        <v>0.1617055</v>
      </c>
      <c r="R4822">
        <v>-0.1406037</v>
      </c>
      <c r="S4822">
        <v>-3.0540769999999999</v>
      </c>
      <c r="T4822">
        <v>-0.19135170000000001</v>
      </c>
      <c r="U4822">
        <v>-0.33277889999999999</v>
      </c>
      <c r="V4822">
        <v>-9.2426389999999997E-2</v>
      </c>
      <c r="W4822">
        <v>0.17531150000000001</v>
      </c>
      <c r="X4822">
        <v>0.98016490000000001</v>
      </c>
      <c r="Y4822">
        <v>-5.8321199999999997E-2</v>
      </c>
      <c r="Z4822">
        <v>1.6506910000000001E-4</v>
      </c>
      <c r="AA4822">
        <v>0.99829789999999996</v>
      </c>
      <c r="AB4822">
        <v>31</v>
      </c>
      <c r="AC4822">
        <v>-17.439</v>
      </c>
      <c r="AD4822">
        <v>-1.1124313109699999</v>
      </c>
      <c r="AE4822">
        <v>-1.9166999999999901</v>
      </c>
      <c r="AF4822">
        <v>-1.03683284550855</v>
      </c>
      <c r="AG4822">
        <v>-1.1124313109699999</v>
      </c>
      <c r="AH4822">
        <v>17.442972152568501</v>
      </c>
      <c r="AI4822">
        <v>93.642702989537796</v>
      </c>
      <c r="AJ4822">
        <v>93.401732663781402</v>
      </c>
      <c r="AK4822">
        <v>17.509134852597199</v>
      </c>
      <c r="AL4822">
        <v>79.903213966197299</v>
      </c>
      <c r="AM4822">
        <v>95.386878473503899</v>
      </c>
      <c r="AN4822">
        <v>0.99999999539634599</v>
      </c>
    </row>
    <row r="4823" spans="1:40" x14ac:dyDescent="0.25">
      <c r="A4823" t="str">
        <f>"20190304155731503"</f>
        <v>20190304155731503</v>
      </c>
      <c r="B4823" t="str">
        <f>"1551686251499326"</f>
        <v>1551686251499326</v>
      </c>
      <c r="C4823" t="s">
        <v>40</v>
      </c>
      <c r="D4823">
        <v>5.0733280000000001</v>
      </c>
      <c r="E4823">
        <v>0.50906300000000004</v>
      </c>
      <c r="F4823" t="s">
        <v>78</v>
      </c>
      <c r="G4823">
        <v>-410.11239999999998</v>
      </c>
      <c r="H4823" s="1">
        <v>-1.040133E-5</v>
      </c>
      <c r="I4823">
        <v>139.01609999999999</v>
      </c>
      <c r="J4823">
        <v>-392.57350000000002</v>
      </c>
      <c r="K4823">
        <v>1.112527</v>
      </c>
      <c r="L4823">
        <v>141.02080000000001</v>
      </c>
      <c r="M4823">
        <v>-0.998498</v>
      </c>
      <c r="N4823">
        <v>-1.435166E-2</v>
      </c>
      <c r="O4823">
        <v>-5.2874709999999998E-2</v>
      </c>
      <c r="P4823">
        <v>-0.97623040000000005</v>
      </c>
      <c r="Q4823">
        <v>0.16165679999999999</v>
      </c>
      <c r="R4823">
        <v>-0.1443652</v>
      </c>
      <c r="S4823">
        <v>-3.0530400000000002</v>
      </c>
      <c r="T4823">
        <v>-0.1904293</v>
      </c>
      <c r="U4823">
        <v>-0.34620669999999998</v>
      </c>
      <c r="V4823">
        <v>-9.3494190000000005E-2</v>
      </c>
      <c r="W4823">
        <v>0.17523449999999999</v>
      </c>
      <c r="X4823">
        <v>0.98007739999999999</v>
      </c>
      <c r="Y4823">
        <v>-5.98925999999999E-2</v>
      </c>
      <c r="Z4823">
        <v>2.321805E-4</v>
      </c>
      <c r="AA4823">
        <v>0.9982048</v>
      </c>
      <c r="AB4823">
        <v>31</v>
      </c>
      <c r="AC4823">
        <v>-17.538899999999899</v>
      </c>
      <c r="AD4823">
        <v>-1.11253740132999</v>
      </c>
      <c r="AE4823">
        <v>-2.0047000000000099</v>
      </c>
      <c r="AF4823">
        <v>-1.07018480626521</v>
      </c>
      <c r="AG4823">
        <v>-1.11253740132999</v>
      </c>
      <c r="AH4823">
        <v>17.5506618475744</v>
      </c>
      <c r="AI4823">
        <v>93.620422937685007</v>
      </c>
      <c r="AJ4823">
        <v>93.489398082134997</v>
      </c>
      <c r="AK4823">
        <v>17.618421219758101</v>
      </c>
      <c r="AL4823">
        <v>79.907695174949893</v>
      </c>
      <c r="AM4823">
        <v>95.449224063186406</v>
      </c>
      <c r="AN4823">
        <v>1.00000000177238</v>
      </c>
    </row>
    <row r="4824" spans="1:40" x14ac:dyDescent="0.25">
      <c r="A4824" t="str">
        <f>"20190304155731525"</f>
        <v>20190304155731525</v>
      </c>
      <c r="B4824" t="str">
        <f>"1551686251519824"</f>
        <v>1551686251519824</v>
      </c>
      <c r="C4824" t="s">
        <v>40</v>
      </c>
      <c r="D4824">
        <v>5.0981629999999996</v>
      </c>
      <c r="E4824">
        <v>0.5090865</v>
      </c>
      <c r="F4824" t="s">
        <v>78</v>
      </c>
      <c r="G4824">
        <v>-410.10250000000002</v>
      </c>
      <c r="H4824" s="1">
        <v>-1.03776E-5</v>
      </c>
      <c r="I4824">
        <v>138.9599</v>
      </c>
      <c r="J4824">
        <v>-392.87689999999998</v>
      </c>
      <c r="K4824">
        <v>1.1126290000000001</v>
      </c>
      <c r="L4824">
        <v>141.0016</v>
      </c>
      <c r="M4824">
        <v>-0.99833510000000003</v>
      </c>
      <c r="N4824">
        <v>-1.4353350000000001E-2</v>
      </c>
      <c r="O4824">
        <v>-5.5867439999999997E-2</v>
      </c>
      <c r="P4824">
        <v>-0.9755703</v>
      </c>
      <c r="Q4824">
        <v>0.1618666</v>
      </c>
      <c r="R4824">
        <v>-0.14853329999999901</v>
      </c>
      <c r="S4824">
        <v>-3.0520320000000001</v>
      </c>
      <c r="T4824">
        <v>-0.19370699999999999</v>
      </c>
      <c r="U4824">
        <v>-0.35884090000000002</v>
      </c>
      <c r="V4824">
        <v>-9.4791169999999994E-2</v>
      </c>
      <c r="W4824">
        <v>0.175414299999999</v>
      </c>
      <c r="X4824">
        <v>0.97992060000000003</v>
      </c>
      <c r="Y4824">
        <v>-6.1014220000000001E-2</v>
      </c>
      <c r="Z4824">
        <v>3.5872289999999999E-4</v>
      </c>
      <c r="AA4824">
        <v>0.99813680000000005</v>
      </c>
      <c r="AB4824">
        <v>30</v>
      </c>
      <c r="AC4824">
        <v>-17.2256</v>
      </c>
      <c r="AD4824">
        <v>-1.1126393776000001</v>
      </c>
      <c r="AE4824">
        <v>-2.0416999999999899</v>
      </c>
      <c r="AF4824">
        <v>-1.0716522091088601</v>
      </c>
      <c r="AG4824">
        <v>-1.1126393776000001</v>
      </c>
      <c r="AH4824">
        <v>17.2418287867774</v>
      </c>
      <c r="AI4824">
        <v>93.685165759689099</v>
      </c>
      <c r="AJ4824">
        <v>93.556598607922695</v>
      </c>
      <c r="AK4824">
        <v>17.310894394987798</v>
      </c>
      <c r="AL4824">
        <v>79.897230914497399</v>
      </c>
      <c r="AM4824">
        <v>95.525231402802902</v>
      </c>
      <c r="AN4824">
        <v>0.99999996242940803</v>
      </c>
    </row>
    <row r="4825" spans="1:40" x14ac:dyDescent="0.25">
      <c r="A4825" t="str">
        <f>"20190304155731548"</f>
        <v>20190304155731548</v>
      </c>
      <c r="B4825" t="str">
        <f>"1551686251539341"</f>
        <v>1551686251539341</v>
      </c>
      <c r="C4825" t="s">
        <v>40</v>
      </c>
      <c r="D4825">
        <v>5.0381609999999997</v>
      </c>
      <c r="E4825">
        <v>0.50915909999999998</v>
      </c>
      <c r="F4825" t="s">
        <v>78</v>
      </c>
      <c r="G4825">
        <v>-410.40629999999999</v>
      </c>
      <c r="H4825" s="1">
        <v>-1.0309489999999899E-5</v>
      </c>
      <c r="I4825">
        <v>138.86510000000001</v>
      </c>
      <c r="J4825">
        <v>-393.17750000000001</v>
      </c>
      <c r="K4825">
        <v>1.1127309999999999</v>
      </c>
      <c r="L4825">
        <v>140.98159999999999</v>
      </c>
      <c r="M4825">
        <v>-0.99815759999999998</v>
      </c>
      <c r="N4825">
        <v>-1.435525E-2</v>
      </c>
      <c r="O4825">
        <v>-5.8952860000000003E-2</v>
      </c>
      <c r="P4825">
        <v>-0.97505929999999996</v>
      </c>
      <c r="Q4825">
        <v>0.16144910000000001</v>
      </c>
      <c r="R4825">
        <v>-0.1522945</v>
      </c>
      <c r="S4825">
        <v>-3.0506289999999998</v>
      </c>
      <c r="T4825">
        <v>-0.19363240000000001</v>
      </c>
      <c r="U4825">
        <v>-0.3718262</v>
      </c>
      <c r="V4825">
        <v>-9.5580990000000005E-2</v>
      </c>
      <c r="W4825">
        <v>0.1749706</v>
      </c>
      <c r="X4825">
        <v>0.97992319999999999</v>
      </c>
      <c r="Y4825">
        <v>-6.2171810000000001E-2</v>
      </c>
      <c r="Z4825">
        <v>4.6343460000000002E-4</v>
      </c>
      <c r="AA4825">
        <v>0.99806539999999999</v>
      </c>
      <c r="AB4825">
        <v>30</v>
      </c>
      <c r="AC4825">
        <v>-17.2287999999999</v>
      </c>
      <c r="AD4825">
        <v>-1.1127413094899901</v>
      </c>
      <c r="AE4825">
        <v>-2.1164999999999701</v>
      </c>
      <c r="AF4825">
        <v>-1.09253688906913</v>
      </c>
      <c r="AG4825">
        <v>-1.1127413094899901</v>
      </c>
      <c r="AH4825">
        <v>17.252718037919301</v>
      </c>
      <c r="AI4825">
        <v>93.6829138447969</v>
      </c>
      <c r="AJ4825">
        <v>93.623445217510707</v>
      </c>
      <c r="AK4825">
        <v>17.323051398981899</v>
      </c>
      <c r="AL4825">
        <v>79.923052349687495</v>
      </c>
      <c r="AM4825">
        <v>95.570965679502507</v>
      </c>
      <c r="AN4825">
        <v>0.999999957205989</v>
      </c>
    </row>
    <row r="4826" spans="1:40" x14ac:dyDescent="0.25">
      <c r="A4826" t="str">
        <f>"20190304155731571"</f>
        <v>20190304155731571</v>
      </c>
      <c r="B4826" t="str">
        <f>"1551686251559837"</f>
        <v>1551686251559837</v>
      </c>
      <c r="C4826" t="s">
        <v>40</v>
      </c>
      <c r="D4826">
        <v>5.0581129999999996</v>
      </c>
      <c r="E4826">
        <v>0.50936939999999997</v>
      </c>
      <c r="F4826" t="s">
        <v>78</v>
      </c>
      <c r="G4826">
        <v>-410.35169999999999</v>
      </c>
      <c r="H4826" s="1">
        <v>-1.0296699999999999E-5</v>
      </c>
      <c r="I4826">
        <v>138.82480000000001</v>
      </c>
      <c r="J4826">
        <v>-393.48849999999999</v>
      </c>
      <c r="K4826">
        <v>1.1128279999999999</v>
      </c>
      <c r="L4826">
        <v>140.9598</v>
      </c>
      <c r="M4826">
        <v>-0.99795579999999995</v>
      </c>
      <c r="N4826">
        <v>-1.435732E-2</v>
      </c>
      <c r="O4826">
        <v>-6.2276949999999998E-2</v>
      </c>
      <c r="P4826">
        <v>-0.97446569999999999</v>
      </c>
      <c r="Q4826">
        <v>0.16056819999999999</v>
      </c>
      <c r="R4826">
        <v>-0.1569555</v>
      </c>
      <c r="S4826">
        <v>-3.0496219999999998</v>
      </c>
      <c r="T4826">
        <v>-0.19758990000000001</v>
      </c>
      <c r="U4826">
        <v>-0.3829803</v>
      </c>
      <c r="V4826">
        <v>-9.7037410000000004E-2</v>
      </c>
      <c r="W4826">
        <v>0.17405789999999999</v>
      </c>
      <c r="X4826">
        <v>0.9799426</v>
      </c>
      <c r="Y4826">
        <v>-6.2484119999999997E-2</v>
      </c>
      <c r="Z4826">
        <v>6.5284360000000005E-4</v>
      </c>
      <c r="AA4826">
        <v>0.99804570000000004</v>
      </c>
      <c r="AB4826">
        <v>30</v>
      </c>
      <c r="AC4826">
        <v>-16.863199999999999</v>
      </c>
      <c r="AD4826">
        <v>-1.1128382966999999</v>
      </c>
      <c r="AE4826">
        <v>-2.13499999999999</v>
      </c>
      <c r="AF4826">
        <v>-1.07594638700988</v>
      </c>
      <c r="AG4826">
        <v>-1.1128382966999999</v>
      </c>
      <c r="AH4826">
        <v>16.891035916937302</v>
      </c>
      <c r="AI4826">
        <v>93.761789040954696</v>
      </c>
      <c r="AJ4826">
        <v>93.644774062136307</v>
      </c>
      <c r="AK4826">
        <v>16.961814880772302</v>
      </c>
      <c r="AL4826">
        <v>79.976161167412997</v>
      </c>
      <c r="AM4826">
        <v>95.6551961261911</v>
      </c>
      <c r="AN4826">
        <v>0.99999995539333797</v>
      </c>
    </row>
    <row r="4827" spans="1:40" x14ac:dyDescent="0.25">
      <c r="A4827" t="str">
        <f>"20190304155731593"</f>
        <v>20190304155731593</v>
      </c>
      <c r="B4827" t="str">
        <f>"1551686251590093"</f>
        <v>1551686251590093</v>
      </c>
      <c r="C4827" t="s">
        <v>40</v>
      </c>
      <c r="D4827">
        <v>5.0669529999999998</v>
      </c>
      <c r="E4827">
        <v>0.50981049999999895</v>
      </c>
      <c r="F4827" t="s">
        <v>78</v>
      </c>
      <c r="G4827">
        <v>-410.4271</v>
      </c>
      <c r="H4827" s="1">
        <v>-1.0262799999999999E-5</v>
      </c>
      <c r="I4827">
        <v>138.76249999999999</v>
      </c>
      <c r="J4827">
        <v>-393.7826</v>
      </c>
      <c r="K4827">
        <v>1.112924</v>
      </c>
      <c r="L4827">
        <v>140.93790000000001</v>
      </c>
      <c r="M4827">
        <v>-0.99774580000000002</v>
      </c>
      <c r="N4827">
        <v>-1.4359780000000001E-2</v>
      </c>
      <c r="O4827">
        <v>-6.5554169999999995E-2</v>
      </c>
      <c r="P4827">
        <v>-0.97386150000000005</v>
      </c>
      <c r="Q4827">
        <v>0.15995789999999999</v>
      </c>
      <c r="R4827">
        <v>-0.161269</v>
      </c>
      <c r="S4827">
        <v>-3.0479430000000001</v>
      </c>
      <c r="T4827">
        <v>-0.20024420000000001</v>
      </c>
      <c r="U4827">
        <v>-0.39538570000000001</v>
      </c>
      <c r="V4827">
        <v>-9.8192450000000001E-2</v>
      </c>
      <c r="W4827">
        <v>0.17341980000000001</v>
      </c>
      <c r="X4827">
        <v>0.9799407</v>
      </c>
      <c r="Y4827">
        <v>-6.3272149999999999E-2</v>
      </c>
      <c r="Z4827">
        <v>8.1488149999999903E-4</v>
      </c>
      <c r="AA4827">
        <v>0.99799599999999999</v>
      </c>
      <c r="AB4827">
        <v>30</v>
      </c>
      <c r="AC4827">
        <v>-16.644499999999901</v>
      </c>
      <c r="AD4827">
        <v>-1.1129342628000001</v>
      </c>
      <c r="AE4827">
        <v>-2.1754000000000202</v>
      </c>
      <c r="AF4827">
        <v>-1.0747665091032399</v>
      </c>
      <c r="AG4827">
        <v>-1.1129342628000001</v>
      </c>
      <c r="AH4827">
        <v>16.677997965892299</v>
      </c>
      <c r="AI4827">
        <v>93.8098474710293</v>
      </c>
      <c r="AJ4827">
        <v>93.687166432016099</v>
      </c>
      <c r="AK4827">
        <v>16.7496078125045</v>
      </c>
      <c r="AL4827">
        <v>80.013286460458701</v>
      </c>
      <c r="AM4827">
        <v>95.722077070189599</v>
      </c>
      <c r="AN4827">
        <v>0.99999997989276601</v>
      </c>
    </row>
    <row r="4828" spans="1:40" x14ac:dyDescent="0.25">
      <c r="A4828" t="str">
        <f>"20190304155731614"</f>
        <v>20190304155731614</v>
      </c>
      <c r="B4828" t="str">
        <f>"1551686251609613"</f>
        <v>1551686251609613</v>
      </c>
      <c r="C4828" t="s">
        <v>40</v>
      </c>
      <c r="D4828">
        <v>5.1464759999999998</v>
      </c>
      <c r="E4828">
        <v>0.50982870000000002</v>
      </c>
      <c r="F4828" t="s">
        <v>78</v>
      </c>
      <c r="G4828">
        <v>-410.57240000000002</v>
      </c>
      <c r="H4828" s="1">
        <v>-1.0224949999999999E-5</v>
      </c>
      <c r="I4828">
        <v>138.70509999999999</v>
      </c>
      <c r="J4828">
        <v>-394.07389999999998</v>
      </c>
      <c r="K4828">
        <v>1.113011</v>
      </c>
      <c r="L4828">
        <v>140.9153</v>
      </c>
      <c r="M4828">
        <v>-0.99752030000000003</v>
      </c>
      <c r="N4828">
        <v>-1.436228E-2</v>
      </c>
      <c r="O4828">
        <v>-6.8899899999999903E-2</v>
      </c>
      <c r="P4828">
        <v>-0.97325740000000005</v>
      </c>
      <c r="Q4828">
        <v>0.1597007</v>
      </c>
      <c r="R4828">
        <v>-0.16512560000000001</v>
      </c>
      <c r="S4828">
        <v>-3.0466000000000002</v>
      </c>
      <c r="T4828">
        <v>-0.20194790000000001</v>
      </c>
      <c r="U4828">
        <v>-0.40516659999999999</v>
      </c>
      <c r="V4828">
        <v>-9.8821660000000006E-2</v>
      </c>
      <c r="W4828">
        <v>0.1731394</v>
      </c>
      <c r="X4828">
        <v>0.97992710000000005</v>
      </c>
      <c r="Y4828">
        <v>-6.3135010000000005E-2</v>
      </c>
      <c r="Z4828">
        <v>1.0110989999999999E-3</v>
      </c>
      <c r="AA4828">
        <v>0.99800449999999996</v>
      </c>
      <c r="AB4828">
        <v>30</v>
      </c>
      <c r="AC4828">
        <v>-16.4985</v>
      </c>
      <c r="AD4828">
        <v>-1.11302122495</v>
      </c>
      <c r="AE4828">
        <v>-2.2102000000000102</v>
      </c>
      <c r="AF4828">
        <v>-1.0633303908915599</v>
      </c>
      <c r="AG4828">
        <v>-1.11302122495</v>
      </c>
      <c r="AH4828">
        <v>16.537644922314399</v>
      </c>
      <c r="AI4828">
        <v>93.842419585986505</v>
      </c>
      <c r="AJ4828">
        <v>93.678915238769804</v>
      </c>
      <c r="AK4828">
        <v>16.6091296383625</v>
      </c>
      <c r="AL4828">
        <v>80.029599636054996</v>
      </c>
      <c r="AM4828">
        <v>95.758577458272001</v>
      </c>
      <c r="AN4828">
        <v>1.00000004681596</v>
      </c>
    </row>
    <row r="4829" spans="1:40" x14ac:dyDescent="0.25">
      <c r="A4829" t="str">
        <f>"20190304155731637"</f>
        <v>20190304155731637</v>
      </c>
      <c r="B4829" t="str">
        <f>"1551686251629132"</f>
        <v>1551686251629132</v>
      </c>
      <c r="C4829" t="s">
        <v>40</v>
      </c>
      <c r="D4829">
        <v>5.1875629999999999</v>
      </c>
      <c r="E4829">
        <v>0.45879560000000003</v>
      </c>
      <c r="F4829" t="s">
        <v>78</v>
      </c>
      <c r="G4829">
        <v>-410.79</v>
      </c>
      <c r="H4829" s="1">
        <v>-1.0171359999999999E-5</v>
      </c>
      <c r="I4829">
        <v>138.62620000000001</v>
      </c>
      <c r="J4829">
        <v>-394.38119999999998</v>
      </c>
      <c r="K4829">
        <v>1.1130899999999999</v>
      </c>
      <c r="L4829">
        <v>140.89019999999999</v>
      </c>
      <c r="M4829">
        <v>-0.99726179999999998</v>
      </c>
      <c r="N4829">
        <v>-1.436461E-2</v>
      </c>
      <c r="O4829">
        <v>-7.2542529999999994E-2</v>
      </c>
      <c r="P4829">
        <v>-0.97237770000000001</v>
      </c>
      <c r="Q4829">
        <v>0.15969720000000001</v>
      </c>
      <c r="R4829">
        <v>-0.17022979999999999</v>
      </c>
      <c r="S4829">
        <v>-3.0449830000000002</v>
      </c>
      <c r="T4829">
        <v>-0.20274729999999999</v>
      </c>
      <c r="U4829">
        <v>-0.41697689999999998</v>
      </c>
      <c r="V4829">
        <v>-0.1004239</v>
      </c>
      <c r="W4829">
        <v>0.1731046</v>
      </c>
      <c r="X4829">
        <v>0.97977029999999998</v>
      </c>
      <c r="Y4829">
        <v>-6.3364900000000002E-2</v>
      </c>
      <c r="Z4829">
        <v>1.199755E-3</v>
      </c>
      <c r="AA4829">
        <v>0.99798969999999998</v>
      </c>
      <c r="AB4829">
        <v>30</v>
      </c>
      <c r="AC4829">
        <v>-16.408799999999999</v>
      </c>
      <c r="AD4829">
        <v>-1.1131001713599999</v>
      </c>
      <c r="AE4829">
        <v>-2.2639999999999798</v>
      </c>
      <c r="AF4829">
        <v>-1.0627758979966699</v>
      </c>
      <c r="AG4829">
        <v>-1.1131001713599999</v>
      </c>
      <c r="AH4829">
        <v>16.455504279610398</v>
      </c>
      <c r="AI4829">
        <v>93.861743931873093</v>
      </c>
      <c r="AJ4829">
        <v>93.695305760423196</v>
      </c>
      <c r="AK4829">
        <v>16.527313928679401</v>
      </c>
      <c r="AL4829">
        <v>80.031623641303895</v>
      </c>
      <c r="AM4829">
        <v>95.852231085623004</v>
      </c>
      <c r="AN4829">
        <v>1.0000000014972299</v>
      </c>
    </row>
    <row r="4830" spans="1:40" x14ac:dyDescent="0.25">
      <c r="A4830" t="str">
        <f>"20190304155731659"</f>
        <v>20190304155731659</v>
      </c>
      <c r="B4830" t="str">
        <f>"1551686251649629"</f>
        <v>1551686251649629</v>
      </c>
      <c r="C4830" t="s">
        <v>40</v>
      </c>
      <c r="D4830">
        <v>5.0242829999999996</v>
      </c>
      <c r="E4830">
        <v>0.43809490000000001</v>
      </c>
      <c r="F4830" t="s">
        <v>82</v>
      </c>
      <c r="G4830">
        <v>-468.64839999999998</v>
      </c>
      <c r="H4830">
        <v>9.9940739999999995</v>
      </c>
      <c r="I4830">
        <v>119.395</v>
      </c>
      <c r="J4830">
        <v>-394.67340000000002</v>
      </c>
      <c r="K4830">
        <v>1.1131709999999999</v>
      </c>
      <c r="L4830">
        <v>140.86510000000001</v>
      </c>
      <c r="M4830">
        <v>-0.99699510000000002</v>
      </c>
      <c r="N4830">
        <v>-1.436696E-2</v>
      </c>
      <c r="O4830">
        <v>-7.6119880000000001E-2</v>
      </c>
      <c r="P4830">
        <v>-0.97151169999999998</v>
      </c>
      <c r="Q4830">
        <v>0.1594431</v>
      </c>
      <c r="R4830">
        <v>-0.175336299999999</v>
      </c>
      <c r="S4830">
        <v>-2.8825379999999998</v>
      </c>
      <c r="T4830">
        <v>0.34469830000000001</v>
      </c>
      <c r="U4830">
        <v>-0.83428959999999996</v>
      </c>
      <c r="V4830">
        <v>-0.102089399999999</v>
      </c>
      <c r="W4830">
        <v>0.17282</v>
      </c>
      <c r="X4830">
        <v>0.97964839999999997</v>
      </c>
      <c r="Y4830">
        <v>-0.20354949999999999</v>
      </c>
      <c r="Z4830">
        <v>4.591048E-4</v>
      </c>
      <c r="AA4830">
        <v>0.9790645</v>
      </c>
      <c r="AB4830">
        <v>30</v>
      </c>
      <c r="AC4830">
        <v>-73.974999999999895</v>
      </c>
      <c r="AD4830">
        <v>8.880903</v>
      </c>
      <c r="AE4830">
        <v>-21.470099999999999</v>
      </c>
      <c r="AF4830">
        <v>-15.5692843485713</v>
      </c>
      <c r="AG4830">
        <v>8.880903</v>
      </c>
      <c r="AH4830">
        <v>74.405730618856595</v>
      </c>
      <c r="AI4830">
        <v>83.336481523718405</v>
      </c>
      <c r="AJ4830">
        <v>101.818531419097</v>
      </c>
      <c r="AK4830">
        <v>76.534213278428197</v>
      </c>
      <c r="AL4830">
        <v>80.048179456010899</v>
      </c>
      <c r="AM4830">
        <v>95.949333108522495</v>
      </c>
      <c r="AN4830">
        <v>0.99999999280745899</v>
      </c>
    </row>
    <row r="4831" spans="1:40" x14ac:dyDescent="0.25">
      <c r="A4831" t="str">
        <f>"20190304155731675"</f>
        <v>20190304155731675</v>
      </c>
      <c r="B4831" t="str">
        <f>"1551686251669149"</f>
        <v>1551686251669149</v>
      </c>
      <c r="C4831" t="s">
        <v>40</v>
      </c>
      <c r="D4831">
        <v>4.8692529999999996</v>
      </c>
      <c r="E4831">
        <v>0.4264386</v>
      </c>
      <c r="F4831" t="s">
        <v>82</v>
      </c>
      <c r="G4831">
        <v>-454.90660000000003</v>
      </c>
      <c r="H4831">
        <v>9.6980439999999994</v>
      </c>
      <c r="I4831">
        <v>119.395</v>
      </c>
      <c r="J4831">
        <v>-394.8897</v>
      </c>
      <c r="K4831">
        <v>1.1132310000000001</v>
      </c>
      <c r="L4831">
        <v>140.8459</v>
      </c>
      <c r="M4831">
        <v>-0.99678389999999994</v>
      </c>
      <c r="N4831">
        <v>-1.436892E-2</v>
      </c>
      <c r="O4831">
        <v>-7.883859E-2</v>
      </c>
      <c r="P4831">
        <v>-0.97090080000000001</v>
      </c>
      <c r="Q4831">
        <v>0.15933420000000001</v>
      </c>
      <c r="R4831">
        <v>-0.17878640000000001</v>
      </c>
      <c r="S4831">
        <v>-2.8389280000000001</v>
      </c>
      <c r="T4831">
        <v>0.4046246</v>
      </c>
      <c r="U4831">
        <v>-1.0119320000000001</v>
      </c>
      <c r="V4831">
        <v>-0.10292370000000001</v>
      </c>
      <c r="W4831">
        <v>0.17269089999999901</v>
      </c>
      <c r="X4831">
        <v>0.97958389999999995</v>
      </c>
      <c r="Y4831">
        <v>-0.25924000000000003</v>
      </c>
      <c r="Z4831">
        <v>4.0102599999999999E-3</v>
      </c>
      <c r="AA4831">
        <v>0.96580460000000001</v>
      </c>
      <c r="AB4831">
        <v>30</v>
      </c>
      <c r="AC4831">
        <v>-60.0169</v>
      </c>
      <c r="AD4831">
        <v>8.5848130000000005</v>
      </c>
      <c r="AE4831">
        <v>-21.450900000000001</v>
      </c>
      <c r="AF4831">
        <v>-16.355252387881698</v>
      </c>
      <c r="AG4831">
        <v>8.5848130000000005</v>
      </c>
      <c r="AH4831">
        <v>60.425106695139398</v>
      </c>
      <c r="AI4831">
        <v>82.191232825916899</v>
      </c>
      <c r="AJ4831">
        <v>105.145338977576</v>
      </c>
      <c r="AK4831">
        <v>63.185337017659897</v>
      </c>
      <c r="AL4831">
        <v>80.055689586849098</v>
      </c>
      <c r="AM4831">
        <v>95.997991602930995</v>
      </c>
      <c r="AN4831">
        <v>1.00000002605185</v>
      </c>
    </row>
    <row r="4832" spans="1:40" x14ac:dyDescent="0.25">
      <c r="A4832" t="str">
        <f>"20190304155731691"</f>
        <v>20190304155731691</v>
      </c>
      <c r="B4832" t="str">
        <f>"1551686251679885"</f>
        <v>1551686251679885</v>
      </c>
      <c r="C4832" t="s">
        <v>40</v>
      </c>
      <c r="D4832">
        <v>4.9212930000000004</v>
      </c>
      <c r="E4832">
        <v>0.42715619999999999</v>
      </c>
      <c r="F4832" t="s">
        <v>78</v>
      </c>
      <c r="G4832">
        <v>-416.86239999999998</v>
      </c>
      <c r="H4832" s="1">
        <v>-7.0548200000000003E-6</v>
      </c>
      <c r="I4832">
        <v>132.43819999999999</v>
      </c>
      <c r="J4832">
        <v>-395.09879999999998</v>
      </c>
      <c r="K4832">
        <v>1.1132930000000001</v>
      </c>
      <c r="L4832">
        <v>140.82669999999999</v>
      </c>
      <c r="M4832">
        <v>-0.99656789999999995</v>
      </c>
      <c r="N4832">
        <v>-1.437105E-2</v>
      </c>
      <c r="O4832">
        <v>-8.1522899999999995E-2</v>
      </c>
      <c r="P4832">
        <v>-0.97025209999999995</v>
      </c>
      <c r="Q4832">
        <v>0.1594864</v>
      </c>
      <c r="R4832">
        <v>-0.18213960000000001</v>
      </c>
      <c r="S4832">
        <v>-2.9091800000000001</v>
      </c>
      <c r="T4832">
        <v>-0.14739260000000001</v>
      </c>
      <c r="U4832">
        <v>-1.1131740000000001</v>
      </c>
      <c r="V4832">
        <v>-0.10370169999999999</v>
      </c>
      <c r="W4832">
        <v>0.1728219</v>
      </c>
      <c r="X4832">
        <v>0.97947870000000004</v>
      </c>
      <c r="Y4832">
        <v>-0.27967229999999998</v>
      </c>
      <c r="Z4832">
        <v>-6.0866269999999998E-3</v>
      </c>
      <c r="AA4832">
        <v>0.96007620000000005</v>
      </c>
      <c r="AB4832">
        <v>30</v>
      </c>
      <c r="AC4832">
        <v>-21.7636</v>
      </c>
      <c r="AD4832">
        <v>-1.1133000548200001</v>
      </c>
      <c r="AE4832">
        <v>-8.3884999999999899</v>
      </c>
      <c r="AF4832">
        <v>-6.5711868365394404</v>
      </c>
      <c r="AG4832">
        <v>-1.1133000548200001</v>
      </c>
      <c r="AH4832">
        <v>22.3242086638699</v>
      </c>
      <c r="AI4832">
        <v>92.738951071238006</v>
      </c>
      <c r="AJ4832">
        <v>106.401924770829</v>
      </c>
      <c r="AK4832">
        <v>23.297858826956102</v>
      </c>
      <c r="AL4832">
        <v>80.048068879923406</v>
      </c>
      <c r="AM4832">
        <v>96.043640405642606</v>
      </c>
      <c r="AN4832">
        <v>0.99999998772809395</v>
      </c>
    </row>
    <row r="4833" spans="1:40" x14ac:dyDescent="0.25">
      <c r="A4833" t="str">
        <f>"20190304155731706"</f>
        <v>20190304155731706</v>
      </c>
      <c r="B4833" t="str">
        <f>"1551686251699406"</f>
        <v>1551686251699406</v>
      </c>
      <c r="C4833" t="s">
        <v>40</v>
      </c>
      <c r="D4833">
        <v>4.8924709999999996</v>
      </c>
      <c r="E4833">
        <v>0.42734650000000002</v>
      </c>
      <c r="F4833" t="s">
        <v>78</v>
      </c>
      <c r="G4833">
        <v>-416.53019999999998</v>
      </c>
      <c r="H4833" s="1">
        <v>-7.1355240000000004E-6</v>
      </c>
      <c r="I4833">
        <v>132.589</v>
      </c>
      <c r="J4833">
        <v>-395.3014</v>
      </c>
      <c r="K4833">
        <v>1.1133649999999999</v>
      </c>
      <c r="L4833">
        <v>140.8074</v>
      </c>
      <c r="M4833">
        <v>-0.9963457</v>
      </c>
      <c r="N4833">
        <v>-1.437365E-2</v>
      </c>
      <c r="O4833">
        <v>-8.4194270000000002E-2</v>
      </c>
      <c r="P4833">
        <v>-0.96950259999999999</v>
      </c>
      <c r="Q4833">
        <v>0.15948609999999999</v>
      </c>
      <c r="R4833">
        <v>-0.18608839999999999</v>
      </c>
      <c r="S4833">
        <v>-2.9070130000000001</v>
      </c>
      <c r="T4833">
        <v>-0.15101129999999999</v>
      </c>
      <c r="U4833">
        <v>-1.117386</v>
      </c>
      <c r="V4833">
        <v>-0.1050939</v>
      </c>
      <c r="W4833">
        <v>0.17279559999999999</v>
      </c>
      <c r="X4833">
        <v>0.97933499999999996</v>
      </c>
      <c r="Y4833">
        <v>-0.27853830000000002</v>
      </c>
      <c r="Z4833">
        <v>-6.0273189999999997E-3</v>
      </c>
      <c r="AA4833">
        <v>0.96040619999999999</v>
      </c>
      <c r="AB4833">
        <v>30</v>
      </c>
      <c r="AC4833">
        <v>-21.2287999999999</v>
      </c>
      <c r="AD4833">
        <v>-1.1133721355239901</v>
      </c>
      <c r="AE4833">
        <v>-8.2184000000000008</v>
      </c>
      <c r="AF4833">
        <v>-6.3864084697737802</v>
      </c>
      <c r="AG4833">
        <v>-1.1133721355239901</v>
      </c>
      <c r="AH4833">
        <v>21.793290418841199</v>
      </c>
      <c r="AI4833">
        <v>92.806742864060993</v>
      </c>
      <c r="AJ4833">
        <v>106.33294363441399</v>
      </c>
      <c r="AK4833">
        <v>22.737047256293302</v>
      </c>
      <c r="AL4833">
        <v>80.049599348386096</v>
      </c>
      <c r="AM4833">
        <v>96.125055802384793</v>
      </c>
      <c r="AN4833">
        <v>1.00000004471078</v>
      </c>
    </row>
    <row r="4834" spans="1:40" x14ac:dyDescent="0.25">
      <c r="A4834" t="str">
        <f>"20190304155731727"</f>
        <v>20190304155731727</v>
      </c>
      <c r="B4834" t="str">
        <f>"1551686251719902"</f>
        <v>1551686251719902</v>
      </c>
      <c r="C4834" t="s">
        <v>40</v>
      </c>
      <c r="D4834">
        <v>4.9340650000000004</v>
      </c>
      <c r="E4834">
        <v>0.4284097</v>
      </c>
      <c r="F4834" t="s">
        <v>78</v>
      </c>
      <c r="G4834">
        <v>-416.60199999999998</v>
      </c>
      <c r="H4834" s="1">
        <v>-7.1089209999999998E-6</v>
      </c>
      <c r="I4834">
        <v>132.53389999999999</v>
      </c>
      <c r="J4834">
        <v>-395.58280000000002</v>
      </c>
      <c r="K4834">
        <v>1.113459</v>
      </c>
      <c r="L4834">
        <v>140.77959999999999</v>
      </c>
      <c r="M4834">
        <v>-0.99601790000000001</v>
      </c>
      <c r="N4834">
        <v>-1.4377310000000001E-2</v>
      </c>
      <c r="O4834">
        <v>-8.7987979999999993E-2</v>
      </c>
      <c r="P4834">
        <v>-0.96856940000000002</v>
      </c>
      <c r="Q4834">
        <v>0.1596351</v>
      </c>
      <c r="R4834">
        <v>-0.19076319999999999</v>
      </c>
      <c r="S4834">
        <v>-2.9029240000000001</v>
      </c>
      <c r="T4834">
        <v>-0.15173410000000001</v>
      </c>
      <c r="U4834">
        <v>-1.1275329999999999</v>
      </c>
      <c r="V4834">
        <v>-0.10613300000000001</v>
      </c>
      <c r="W4834">
        <v>0.1729154</v>
      </c>
      <c r="X4834">
        <v>0.97920169999999995</v>
      </c>
      <c r="Y4834">
        <v>-0.27825409999999901</v>
      </c>
      <c r="Z4834">
        <v>-5.8989469999999999E-3</v>
      </c>
      <c r="AA4834">
        <v>0.96048940000000005</v>
      </c>
      <c r="AB4834">
        <v>30</v>
      </c>
      <c r="AC4834">
        <v>-21.019199999999898</v>
      </c>
      <c r="AD4834">
        <v>-1.1134661089210001</v>
      </c>
      <c r="AE4834">
        <v>-8.2456999999999994</v>
      </c>
      <c r="AF4834">
        <v>-6.3486452201638901</v>
      </c>
      <c r="AG4834">
        <v>-1.1134661089210001</v>
      </c>
      <c r="AH4834">
        <v>21.610702063308999</v>
      </c>
      <c r="AI4834">
        <v>92.830100958623504</v>
      </c>
      <c r="AJ4834">
        <v>106.371374859713</v>
      </c>
      <c r="AK4834">
        <v>22.551442228299599</v>
      </c>
      <c r="AL4834">
        <v>80.0426295527825</v>
      </c>
      <c r="AM4834">
        <v>96.185984699151106</v>
      </c>
      <c r="AN4834">
        <v>0.99999995926452401</v>
      </c>
    </row>
    <row r="4835" spans="1:40" x14ac:dyDescent="0.25">
      <c r="A4835" t="str">
        <f>"20190304155731750"</f>
        <v>20190304155731750</v>
      </c>
      <c r="B4835" t="str">
        <f>"1551686251739422"</f>
        <v>1551686251739422</v>
      </c>
      <c r="C4835" t="s">
        <v>40</v>
      </c>
      <c r="D4835">
        <v>4.9148339999999999</v>
      </c>
      <c r="E4835">
        <v>0.42835040000000002</v>
      </c>
      <c r="F4835" t="s">
        <v>78</v>
      </c>
      <c r="G4835">
        <v>-416.11520000000002</v>
      </c>
      <c r="H4835" s="1">
        <v>-7.2284609999999902E-6</v>
      </c>
      <c r="I4835">
        <v>132.75799999999899</v>
      </c>
      <c r="J4835">
        <v>-395.87619999999998</v>
      </c>
      <c r="K4835">
        <v>1.113561</v>
      </c>
      <c r="L4835">
        <v>140.74940000000001</v>
      </c>
      <c r="M4835">
        <v>-0.99564870000000005</v>
      </c>
      <c r="N4835">
        <v>-1.438132E-2</v>
      </c>
      <c r="O4835">
        <v>-9.2069440000000002E-2</v>
      </c>
      <c r="P4835">
        <v>-0.96743749999999995</v>
      </c>
      <c r="Q4835">
        <v>0.16005929999999999</v>
      </c>
      <c r="R4835">
        <v>-0.1960749</v>
      </c>
      <c r="S4835">
        <v>-2.9001160000000001</v>
      </c>
      <c r="T4835">
        <v>-0.15727249999999901</v>
      </c>
      <c r="U4835">
        <v>-1.133011</v>
      </c>
      <c r="V4835">
        <v>-0.1075472</v>
      </c>
      <c r="W4835">
        <v>0.17330419999999999</v>
      </c>
      <c r="X4835">
        <v>0.97897869999999998</v>
      </c>
      <c r="Y4835">
        <v>-0.27618949999999998</v>
      </c>
      <c r="Z4835">
        <v>-5.7736910000000001E-3</v>
      </c>
      <c r="AA4835">
        <v>0.96108590000000005</v>
      </c>
      <c r="AB4835">
        <v>30</v>
      </c>
      <c r="AC4835">
        <v>-20.239000000000001</v>
      </c>
      <c r="AD4835">
        <v>-1.113568228461</v>
      </c>
      <c r="AE4835">
        <v>-7.99140000000002</v>
      </c>
      <c r="AF4835">
        <v>-6.0779459935203501</v>
      </c>
      <c r="AG4835">
        <v>-1.113568228461</v>
      </c>
      <c r="AH4835">
        <v>20.8342940372168</v>
      </c>
      <c r="AI4835">
        <v>92.937271298980704</v>
      </c>
      <c r="AJ4835">
        <v>106.263440911743</v>
      </c>
      <c r="AK4835">
        <v>21.731297009814998</v>
      </c>
      <c r="AL4835">
        <v>80.020012094415804</v>
      </c>
      <c r="AM4835">
        <v>96.269176243911005</v>
      </c>
      <c r="AN4835">
        <v>1.00000002050958</v>
      </c>
    </row>
    <row r="4836" spans="1:40" x14ac:dyDescent="0.25">
      <c r="A4836" t="str">
        <f>"20190304155731772"</f>
        <v>20190304155731772</v>
      </c>
      <c r="B4836" t="str">
        <f>"1551686251759917"</f>
        <v>1551686251759917</v>
      </c>
      <c r="C4836" t="s">
        <v>40</v>
      </c>
      <c r="D4836">
        <v>4.9303689999999998</v>
      </c>
      <c r="E4836">
        <v>0.42827539999999997</v>
      </c>
      <c r="F4836" t="s">
        <v>78</v>
      </c>
      <c r="G4836">
        <v>-416.92970000000003</v>
      </c>
      <c r="H4836" s="1">
        <v>-7.0295869999999999E-6</v>
      </c>
      <c r="I4836">
        <v>132.38579999999999</v>
      </c>
      <c r="J4836">
        <v>-396.17160000000001</v>
      </c>
      <c r="K4836">
        <v>1.113672</v>
      </c>
      <c r="L4836">
        <v>140.7175</v>
      </c>
      <c r="M4836">
        <v>-0.99524599999999996</v>
      </c>
      <c r="N4836">
        <v>-1.438598E-2</v>
      </c>
      <c r="O4836">
        <v>-9.6326430000000005E-2</v>
      </c>
      <c r="P4836">
        <v>-0.96625810000000001</v>
      </c>
      <c r="Q4836">
        <v>0.160696799999999</v>
      </c>
      <c r="R4836">
        <v>-0.2013016</v>
      </c>
      <c r="S4836">
        <v>-2.8933719999999998</v>
      </c>
      <c r="T4836">
        <v>-0.1530368</v>
      </c>
      <c r="U4836">
        <v>-1.1493990000000001</v>
      </c>
      <c r="V4836">
        <v>-0.10871309999999999</v>
      </c>
      <c r="W4836">
        <v>0.1739067</v>
      </c>
      <c r="X4836">
        <v>0.97874300000000003</v>
      </c>
      <c r="Y4836">
        <v>-0.27756619999999999</v>
      </c>
      <c r="Z4836">
        <v>-5.6042000000000002E-3</v>
      </c>
      <c r="AA4836">
        <v>0.96069020000000005</v>
      </c>
      <c r="AB4836">
        <v>30</v>
      </c>
      <c r="AC4836">
        <v>-20.758099999999999</v>
      </c>
      <c r="AD4836">
        <v>-1.113679029587</v>
      </c>
      <c r="AE4836">
        <v>-8.3317000000000103</v>
      </c>
      <c r="AF4836">
        <v>-6.2776254039522303</v>
      </c>
      <c r="AG4836">
        <v>-1.113679029587</v>
      </c>
      <c r="AH4836">
        <v>21.4111184057444</v>
      </c>
      <c r="AI4836">
        <v>92.857429487265307</v>
      </c>
      <c r="AJ4836">
        <v>106.34085493277</v>
      </c>
      <c r="AK4836">
        <v>22.340207095685098</v>
      </c>
      <c r="AL4836">
        <v>79.984958599147504</v>
      </c>
      <c r="AM4836">
        <v>96.338102924313603</v>
      </c>
      <c r="AN4836">
        <v>0.99999996923274903</v>
      </c>
    </row>
    <row r="4837" spans="1:40" x14ac:dyDescent="0.25">
      <c r="A4837" t="str">
        <f>"20190304155731795"</f>
        <v>20190304155731795</v>
      </c>
      <c r="B4837" t="str">
        <f>"1551686251789197"</f>
        <v>1551686251789197</v>
      </c>
      <c r="C4837" t="s">
        <v>40</v>
      </c>
      <c r="D4837">
        <v>5.0540890000000003</v>
      </c>
      <c r="E4837">
        <v>0.42891980000000002</v>
      </c>
      <c r="F4837" t="s">
        <v>78</v>
      </c>
      <c r="G4837">
        <v>-417.96460000000002</v>
      </c>
      <c r="H4837" s="1">
        <v>-6.7767590000000004E-6</v>
      </c>
      <c r="I4837">
        <v>131.9126</v>
      </c>
      <c r="J4837">
        <v>-396.47379999999998</v>
      </c>
      <c r="K4837">
        <v>1.1137790000000001</v>
      </c>
      <c r="L4837">
        <v>140.68350000000001</v>
      </c>
      <c r="M4837">
        <v>-0.99479969999999995</v>
      </c>
      <c r="N4837">
        <v>-1.439147E-2</v>
      </c>
      <c r="O4837">
        <v>-0.1008289</v>
      </c>
      <c r="P4837">
        <v>-0.96516690000000005</v>
      </c>
      <c r="Q4837">
        <v>0.16081389999999901</v>
      </c>
      <c r="R4837">
        <v>-0.20637739999999999</v>
      </c>
      <c r="S4837">
        <v>-2.8863530000000002</v>
      </c>
      <c r="T4837">
        <v>-0.1475002</v>
      </c>
      <c r="U4837">
        <v>-1.1661680000000001</v>
      </c>
      <c r="V4837">
        <v>-0.1094782</v>
      </c>
      <c r="W4837">
        <v>0.17399410000000001</v>
      </c>
      <c r="X4837">
        <v>0.97864220000000002</v>
      </c>
      <c r="Y4837">
        <v>-0.27884999999999999</v>
      </c>
      <c r="Z4837">
        <v>-5.4160279999999998E-3</v>
      </c>
      <c r="AA4837">
        <v>0.96031940000000005</v>
      </c>
      <c r="AB4837">
        <v>30</v>
      </c>
      <c r="AC4837">
        <v>-21.4908</v>
      </c>
      <c r="AD4837">
        <v>-1.113785776759</v>
      </c>
      <c r="AE4837">
        <v>-8.7709000000000099</v>
      </c>
      <c r="AF4837">
        <v>-6.5440069407400401</v>
      </c>
      <c r="AG4837">
        <v>-1.113785776759</v>
      </c>
      <c r="AH4837">
        <v>22.214559404732199</v>
      </c>
      <c r="AI4837">
        <v>92.753477703591898</v>
      </c>
      <c r="AJ4837">
        <v>106.41401875856</v>
      </c>
      <c r="AK4837">
        <v>23.185150315306199</v>
      </c>
      <c r="AL4837">
        <v>79.979873625162597</v>
      </c>
      <c r="AM4837">
        <v>96.382994308514</v>
      </c>
      <c r="AN4837">
        <v>0.99999998936544499</v>
      </c>
    </row>
    <row r="4838" spans="1:40" x14ac:dyDescent="0.25">
      <c r="A4838" t="str">
        <f>"20190304155731817"</f>
        <v>20190304155731817</v>
      </c>
      <c r="B4838" t="str">
        <f>"1551686251809693"</f>
        <v>1551686251809693</v>
      </c>
      <c r="C4838" t="s">
        <v>40</v>
      </c>
      <c r="D4838">
        <v>4.9247110000000003</v>
      </c>
      <c r="E4838">
        <v>0.42954930000000002</v>
      </c>
      <c r="F4838" t="s">
        <v>78</v>
      </c>
      <c r="G4838">
        <v>-418.39350000000002</v>
      </c>
      <c r="H4838" s="1">
        <v>-6.6785810000000004E-6</v>
      </c>
      <c r="I4838">
        <v>131.73269999999999</v>
      </c>
      <c r="J4838">
        <v>-396.76549999999997</v>
      </c>
      <c r="K4838">
        <v>1.1138729999999999</v>
      </c>
      <c r="L4838">
        <v>140.6491</v>
      </c>
      <c r="M4838">
        <v>-0.99433729999999998</v>
      </c>
      <c r="N4838">
        <v>-1.439672E-2</v>
      </c>
      <c r="O4838">
        <v>-0.1052905</v>
      </c>
      <c r="P4838">
        <v>-0.96390209999999998</v>
      </c>
      <c r="Q4838">
        <v>0.1606969</v>
      </c>
      <c r="R4838">
        <v>-0.21229580000000001</v>
      </c>
      <c r="S4838">
        <v>-2.8811040000000001</v>
      </c>
      <c r="T4838">
        <v>-0.14639460000000001</v>
      </c>
      <c r="U4838">
        <v>-1.1764829999999999</v>
      </c>
      <c r="V4838">
        <v>-0.111133</v>
      </c>
      <c r="W4838">
        <v>0.17384140000000001</v>
      </c>
      <c r="X4838">
        <v>0.97848279999999999</v>
      </c>
      <c r="Y4838">
        <v>-0.27810759999999901</v>
      </c>
      <c r="Z4838">
        <v>-5.229778E-3</v>
      </c>
      <c r="AA4838">
        <v>0.96053569999999999</v>
      </c>
      <c r="AB4838">
        <v>30</v>
      </c>
      <c r="AC4838">
        <v>-21.628</v>
      </c>
      <c r="AD4838">
        <v>-1.1138796785809999</v>
      </c>
      <c r="AE4838">
        <v>-8.9164000000000101</v>
      </c>
      <c r="AF4838">
        <v>-6.5744639653436501</v>
      </c>
      <c r="AG4838">
        <v>-1.1138796785809999</v>
      </c>
      <c r="AH4838">
        <v>22.395891449574599</v>
      </c>
      <c r="AI4838">
        <v>92.7322044107853</v>
      </c>
      <c r="AJ4838">
        <v>106.359954802126</v>
      </c>
      <c r="AK4838">
        <v>23.3675043209814</v>
      </c>
      <c r="AL4838">
        <v>79.988758023709593</v>
      </c>
      <c r="AM4838">
        <v>96.479707596542099</v>
      </c>
      <c r="AN4838">
        <v>0.99999998296939896</v>
      </c>
    </row>
    <row r="4839" spans="1:40" x14ac:dyDescent="0.25">
      <c r="A4839" t="str">
        <f>"20190304155731837"</f>
        <v>20190304155731837</v>
      </c>
      <c r="B4839" t="str">
        <f>"1551686251829214"</f>
        <v>1551686251829214</v>
      </c>
      <c r="C4839" t="s">
        <v>40</v>
      </c>
      <c r="D4839">
        <v>4.8979819999999998</v>
      </c>
      <c r="E4839">
        <v>0.42987439999999999</v>
      </c>
      <c r="F4839" t="s">
        <v>78</v>
      </c>
      <c r="G4839">
        <v>-418.03769999999997</v>
      </c>
      <c r="H4839" s="1">
        <v>-6.7494000000000001E-6</v>
      </c>
      <c r="I4839">
        <v>131.85579999999999</v>
      </c>
      <c r="J4839">
        <v>-397.04169999999999</v>
      </c>
      <c r="K4839">
        <v>1.1139559999999999</v>
      </c>
      <c r="L4839">
        <v>140.61529999999999</v>
      </c>
      <c r="M4839">
        <v>-0.99386850000000004</v>
      </c>
      <c r="N4839">
        <v>-1.4401270000000001E-2</v>
      </c>
      <c r="O4839">
        <v>-0.10962669999999999</v>
      </c>
      <c r="P4839">
        <v>-0.96258080000000001</v>
      </c>
      <c r="Q4839">
        <v>0.16071099999999999</v>
      </c>
      <c r="R4839">
        <v>-0.21819740000000001</v>
      </c>
      <c r="S4839">
        <v>-2.8756710000000001</v>
      </c>
      <c r="T4839">
        <v>-0.1505793</v>
      </c>
      <c r="U4839">
        <v>-1.1887209999999999</v>
      </c>
      <c r="V4839">
        <v>-0.11289879999999999</v>
      </c>
      <c r="W4839">
        <v>0.17381940000000001</v>
      </c>
      <c r="X4839">
        <v>0.9782845</v>
      </c>
      <c r="Y4839">
        <v>-0.2780359</v>
      </c>
      <c r="Z4839">
        <v>-5.1253169999999999E-3</v>
      </c>
      <c r="AA4839">
        <v>0.96055699999999999</v>
      </c>
      <c r="AB4839">
        <v>30</v>
      </c>
      <c r="AC4839">
        <v>-20.995999999999899</v>
      </c>
      <c r="AD4839">
        <v>-1.1139627494</v>
      </c>
      <c r="AE4839">
        <v>-8.7594999999999992</v>
      </c>
      <c r="AF4839">
        <v>-6.38941373942661</v>
      </c>
      <c r="AG4839">
        <v>-1.1139627494</v>
      </c>
      <c r="AH4839">
        <v>21.7775875513843</v>
      </c>
      <c r="AI4839">
        <v>92.809986424278605</v>
      </c>
      <c r="AJ4839">
        <v>106.351372575543</v>
      </c>
      <c r="AK4839">
        <v>22.7228704282455</v>
      </c>
      <c r="AL4839">
        <v>79.990037612785898</v>
      </c>
      <c r="AM4839">
        <v>96.583090166475699</v>
      </c>
      <c r="AN4839">
        <v>0.99999994289902305</v>
      </c>
    </row>
    <row r="4840" spans="1:40" x14ac:dyDescent="0.25">
      <c r="A4840" t="str">
        <f>"20190304155731860"</f>
        <v>20190304155731860</v>
      </c>
      <c r="B4840" t="str">
        <f>"1551686251849710"</f>
        <v>1551686251849710</v>
      </c>
      <c r="C4840" t="s">
        <v>40</v>
      </c>
      <c r="D4840">
        <v>4.9044889999999999</v>
      </c>
      <c r="E4840">
        <v>0.43045290000000003</v>
      </c>
      <c r="F4840" t="s">
        <v>78</v>
      </c>
      <c r="G4840">
        <v>-418.02010000000001</v>
      </c>
      <c r="H4840" s="1">
        <v>-6.7340070000000002E-6</v>
      </c>
      <c r="I4840">
        <v>131.81549999999999</v>
      </c>
      <c r="J4840">
        <v>-397.34100000000001</v>
      </c>
      <c r="K4840">
        <v>1.114047</v>
      </c>
      <c r="L4840">
        <v>140.5771</v>
      </c>
      <c r="M4840">
        <v>-0.99332350000000003</v>
      </c>
      <c r="N4840">
        <v>-1.440636E-2</v>
      </c>
      <c r="O4840">
        <v>-0.1144597</v>
      </c>
      <c r="P4840">
        <v>-0.96126219999999996</v>
      </c>
      <c r="Q4840">
        <v>0.16085260000000001</v>
      </c>
      <c r="R4840">
        <v>-0.2238338</v>
      </c>
      <c r="S4840">
        <v>-2.8692319999999998</v>
      </c>
      <c r="T4840">
        <v>-0.15235789999999999</v>
      </c>
      <c r="U4840">
        <v>-1.203552</v>
      </c>
      <c r="V4840">
        <v>-0.11391859999999999</v>
      </c>
      <c r="W4840">
        <v>0.17392920000000001</v>
      </c>
      <c r="X4840">
        <v>0.97814679999999998</v>
      </c>
      <c r="Y4840">
        <v>-0.2783504</v>
      </c>
      <c r="Z4840">
        <v>-4.9832940000000001E-3</v>
      </c>
      <c r="AA4840">
        <v>0.96046670000000001</v>
      </c>
      <c r="AB4840">
        <v>30</v>
      </c>
      <c r="AC4840">
        <v>-20.679099999999998</v>
      </c>
      <c r="AD4840">
        <v>-1.114053734007</v>
      </c>
      <c r="AE4840">
        <v>-8.7616000000000103</v>
      </c>
      <c r="AF4840">
        <v>-6.3212824697168202</v>
      </c>
      <c r="AG4840">
        <v>-1.114053734007</v>
      </c>
      <c r="AH4840">
        <v>21.493233810943799</v>
      </c>
      <c r="AI4840">
        <v>92.846786688908097</v>
      </c>
      <c r="AJ4840">
        <v>106.388910056751</v>
      </c>
      <c r="AK4840">
        <v>22.431202095208899</v>
      </c>
      <c r="AL4840">
        <v>79.983649685374999</v>
      </c>
      <c r="AM4840">
        <v>96.642952066393505</v>
      </c>
      <c r="AN4840">
        <v>0.99999998819441904</v>
      </c>
    </row>
    <row r="4841" spans="1:40" x14ac:dyDescent="0.25">
      <c r="A4841" t="str">
        <f>"20190304155731882"</f>
        <v>20190304155731882</v>
      </c>
      <c r="B4841" t="str">
        <f>"1551686251879965"</f>
        <v>1551686251879965</v>
      </c>
      <c r="C4841" t="s">
        <v>40</v>
      </c>
      <c r="D4841">
        <v>4.9110310000000004</v>
      </c>
      <c r="E4841">
        <v>0.43103720000000001</v>
      </c>
      <c r="F4841" t="s">
        <v>78</v>
      </c>
      <c r="G4841">
        <v>-418.35489999999999</v>
      </c>
      <c r="H4841" s="1">
        <v>-6.6478189999999996E-6</v>
      </c>
      <c r="I4841">
        <v>131.6516</v>
      </c>
      <c r="J4841">
        <v>-397.63139999999999</v>
      </c>
      <c r="K4841">
        <v>1.1141449999999999</v>
      </c>
      <c r="L4841">
        <v>140.5385</v>
      </c>
      <c r="M4841">
        <v>-0.99275480000000005</v>
      </c>
      <c r="N4841">
        <v>-1.4412400000000001E-2</v>
      </c>
      <c r="O4841">
        <v>-0.11929099999999999</v>
      </c>
      <c r="P4841">
        <v>-0.9598449</v>
      </c>
      <c r="Q4841">
        <v>0.16071679999999999</v>
      </c>
      <c r="R4841">
        <v>-0.22993050000000001</v>
      </c>
      <c r="S4841">
        <v>-2.8631289999999998</v>
      </c>
      <c r="T4841">
        <v>-0.15178910000000001</v>
      </c>
      <c r="U4841">
        <v>-1.2160949999999999</v>
      </c>
      <c r="V4841">
        <v>-0.11540889999999999</v>
      </c>
      <c r="W4841">
        <v>0.17375689999999999</v>
      </c>
      <c r="X4841">
        <v>0.9780027</v>
      </c>
      <c r="Y4841">
        <v>-0.27798339999999999</v>
      </c>
      <c r="Z4841">
        <v>-4.7969459999999998E-3</v>
      </c>
      <c r="AA4841">
        <v>0.96057389999999998</v>
      </c>
      <c r="AB4841">
        <v>30</v>
      </c>
      <c r="AC4841">
        <v>-20.723500000000001</v>
      </c>
      <c r="AD4841">
        <v>-1.1141516478189999</v>
      </c>
      <c r="AE4841">
        <v>-8.88689999999999</v>
      </c>
      <c r="AF4841">
        <v>-6.3355767348099103</v>
      </c>
      <c r="AG4841">
        <v>-1.1141516478189999</v>
      </c>
      <c r="AH4841">
        <v>21.583032826278501</v>
      </c>
      <c r="AI4841">
        <v>92.835640202193403</v>
      </c>
      <c r="AJ4841">
        <v>106.359301905341</v>
      </c>
      <c r="AK4841">
        <v>22.5212826552401</v>
      </c>
      <c r="AL4841">
        <v>79.993674286225996</v>
      </c>
      <c r="AM4841">
        <v>96.730046674036998</v>
      </c>
      <c r="AN4841">
        <v>0.99999997785205397</v>
      </c>
    </row>
    <row r="4842" spans="1:40" x14ac:dyDescent="0.25">
      <c r="A4842" t="str">
        <f>"20190304155731897"</f>
        <v>20190304155731897</v>
      </c>
      <c r="B4842" t="str">
        <f>"1551686251889506"</f>
        <v>1551686251889506</v>
      </c>
      <c r="C4842" t="s">
        <v>40</v>
      </c>
      <c r="D4842">
        <v>4.8733940000000002</v>
      </c>
      <c r="E4842">
        <v>0.43124659999999898</v>
      </c>
      <c r="F4842" t="s">
        <v>78</v>
      </c>
      <c r="G4842">
        <v>-418.40050000000002</v>
      </c>
      <c r="H4842" s="1">
        <v>-6.6219890000000002E-6</v>
      </c>
      <c r="I4842">
        <v>131.59469999999999</v>
      </c>
      <c r="J4842">
        <v>-397.82729999999998</v>
      </c>
      <c r="K4842">
        <v>1.1142160000000001</v>
      </c>
      <c r="L4842">
        <v>140.51159999999999</v>
      </c>
      <c r="M4842">
        <v>-0.99234719999999998</v>
      </c>
      <c r="N4842">
        <v>-1.441711E-2</v>
      </c>
      <c r="O4842">
        <v>-0.1226348</v>
      </c>
      <c r="P4842">
        <v>-0.95899250000000003</v>
      </c>
      <c r="Q4842">
        <v>0.16061629999999999</v>
      </c>
      <c r="R4842">
        <v>-0.23352970000000001</v>
      </c>
      <c r="S4842">
        <v>-2.8564759999999998</v>
      </c>
      <c r="T4842">
        <v>-0.1532347</v>
      </c>
      <c r="U4842">
        <v>-1.2300869999999999</v>
      </c>
      <c r="V4842">
        <v>-0.115811999999999</v>
      </c>
      <c r="W4842">
        <v>0.17363619999999999</v>
      </c>
      <c r="X4842">
        <v>0.97797650000000003</v>
      </c>
      <c r="Y4842">
        <v>-0.2795222</v>
      </c>
      <c r="Z4842">
        <v>-4.7398589999999999E-3</v>
      </c>
      <c r="AA4842">
        <v>0.96012750000000002</v>
      </c>
      <c r="AB4842">
        <v>30</v>
      </c>
      <c r="AC4842">
        <v>-20.5732</v>
      </c>
      <c r="AD4842">
        <v>-1.1142226219889999</v>
      </c>
      <c r="AE4842">
        <v>-8.9168999999999894</v>
      </c>
      <c r="AF4842">
        <v>-6.3107444118015597</v>
      </c>
      <c r="AG4842">
        <v>-1.1142226219889999</v>
      </c>
      <c r="AH4842">
        <v>21.458526310921201</v>
      </c>
      <c r="AI4842">
        <v>92.851826968017093</v>
      </c>
      <c r="AJ4842">
        <v>106.38809813306</v>
      </c>
      <c r="AK4842">
        <v>22.3949846733355</v>
      </c>
      <c r="AL4842">
        <v>80.000696774242599</v>
      </c>
      <c r="AM4842">
        <v>96.753515879592399</v>
      </c>
      <c r="AN4842">
        <v>0.99999999192334499</v>
      </c>
    </row>
    <row r="4843" spans="1:40" x14ac:dyDescent="0.25">
      <c r="A4843" t="str">
        <f>"20190304155731916"</f>
        <v>20190304155731916</v>
      </c>
      <c r="B4843" t="str">
        <f>"1551686251910005"</f>
        <v>1551686251910005</v>
      </c>
      <c r="C4843" t="s">
        <v>40</v>
      </c>
      <c r="D4843">
        <v>4.8390360000000001</v>
      </c>
      <c r="E4843">
        <v>0.43163370000000001</v>
      </c>
      <c r="F4843" t="s">
        <v>78</v>
      </c>
      <c r="G4843">
        <v>-418.43540000000002</v>
      </c>
      <c r="H4843" s="1">
        <v>-6.6046240000000001E-6</v>
      </c>
      <c r="I4843">
        <v>131.55699999999999</v>
      </c>
      <c r="J4843">
        <v>-398.07319999999999</v>
      </c>
      <c r="K4843">
        <v>1.1143110000000001</v>
      </c>
      <c r="L4843">
        <v>140.47669999999999</v>
      </c>
      <c r="M4843">
        <v>-0.99180639999999998</v>
      </c>
      <c r="N4843">
        <v>-1.442352E-2</v>
      </c>
      <c r="O4843">
        <v>-0.12693309999999999</v>
      </c>
      <c r="P4843">
        <v>-0.95794469999999998</v>
      </c>
      <c r="Q4843">
        <v>0.15989389999999901</v>
      </c>
      <c r="R4843">
        <v>-0.23827670000000001</v>
      </c>
      <c r="S4843">
        <v>-2.852325</v>
      </c>
      <c r="T4843">
        <v>-0.1542172</v>
      </c>
      <c r="U4843">
        <v>-1.2393799999999999</v>
      </c>
      <c r="V4843">
        <v>-0.1164394</v>
      </c>
      <c r="W4843">
        <v>0.17288770000000001</v>
      </c>
      <c r="X4843">
        <v>0.97803459999999998</v>
      </c>
      <c r="Y4843">
        <v>-0.2785048</v>
      </c>
      <c r="Z4843">
        <v>-4.5572570000000003E-3</v>
      </c>
      <c r="AA4843">
        <v>0.96042400000000006</v>
      </c>
      <c r="AB4843">
        <v>30</v>
      </c>
      <c r="AC4843">
        <v>-20.362200000000001</v>
      </c>
      <c r="AD4843">
        <v>-1.114317604624</v>
      </c>
      <c r="AE4843">
        <v>-8.9196999999999704</v>
      </c>
      <c r="AF4843">
        <v>-6.2469335111240198</v>
      </c>
      <c r="AG4843">
        <v>-1.114317604624</v>
      </c>
      <c r="AH4843">
        <v>21.276324396944101</v>
      </c>
      <c r="AI4843">
        <v>92.876826203593595</v>
      </c>
      <c r="AJ4843">
        <v>106.36274632040799</v>
      </c>
      <c r="AK4843">
        <v>22.2024291882753</v>
      </c>
      <c r="AL4843">
        <v>80.044241170695599</v>
      </c>
      <c r="AM4843">
        <v>96.789362142519394</v>
      </c>
      <c r="AN4843">
        <v>0.99999998474040397</v>
      </c>
    </row>
    <row r="4844" spans="1:40" x14ac:dyDescent="0.25">
      <c r="A4844" t="str">
        <f>"20190304155731938"</f>
        <v>20190304155731938</v>
      </c>
      <c r="B4844" t="str">
        <f>"1551686251929522"</f>
        <v>1551686251929522</v>
      </c>
      <c r="C4844" t="s">
        <v>40</v>
      </c>
      <c r="D4844">
        <v>4.8808049999999996</v>
      </c>
      <c r="E4844">
        <v>0.43199979999999899</v>
      </c>
      <c r="F4844" t="s">
        <v>78</v>
      </c>
      <c r="G4844">
        <v>-418.2423</v>
      </c>
      <c r="H4844" s="1">
        <v>-6.6396830000000003E-6</v>
      </c>
      <c r="I4844">
        <v>131.6156</v>
      </c>
      <c r="J4844">
        <v>-398.35599999999999</v>
      </c>
      <c r="K4844">
        <v>1.1144339999999999</v>
      </c>
      <c r="L4844">
        <v>140.43510000000001</v>
      </c>
      <c r="M4844">
        <v>-0.99114089999999999</v>
      </c>
      <c r="N4844">
        <v>-1.443184E-2</v>
      </c>
      <c r="O4844">
        <v>-0.1320279</v>
      </c>
      <c r="P4844">
        <v>-0.95662530000000001</v>
      </c>
      <c r="Q4844">
        <v>0.15937470000000001</v>
      </c>
      <c r="R4844">
        <v>-0.2438601</v>
      </c>
      <c r="S4844">
        <v>-2.8468629999999999</v>
      </c>
      <c r="T4844">
        <v>-0.15728599999999901</v>
      </c>
      <c r="U4844">
        <v>-1.250748</v>
      </c>
      <c r="V4844">
        <v>-0.1171542</v>
      </c>
      <c r="W4844">
        <v>0.1723353</v>
      </c>
      <c r="X4844">
        <v>0.97804679999999999</v>
      </c>
      <c r="Y4844">
        <v>-0.27745599999999998</v>
      </c>
      <c r="Z4844">
        <v>-4.3472959999999996E-3</v>
      </c>
      <c r="AA4844">
        <v>0.96072849999999999</v>
      </c>
      <c r="AB4844">
        <v>30</v>
      </c>
      <c r="AC4844">
        <v>-19.886299999999999</v>
      </c>
      <c r="AD4844">
        <v>-1.114440639683</v>
      </c>
      <c r="AE4844">
        <v>-8.8194999999999997</v>
      </c>
      <c r="AF4844">
        <v>-6.1004481378847997</v>
      </c>
      <c r="AG4844">
        <v>-1.114440639683</v>
      </c>
      <c r="AH4844">
        <v>20.8220755135915</v>
      </c>
      <c r="AI4844">
        <v>92.9403005491329</v>
      </c>
      <c r="AJ4844">
        <v>106.32952019297601</v>
      </c>
      <c r="AK4844">
        <v>21.725935517627398</v>
      </c>
      <c r="AL4844">
        <v>80.076374349745507</v>
      </c>
      <c r="AM4844">
        <v>96.830563776930603</v>
      </c>
      <c r="AN4844">
        <v>1.0000000525969801</v>
      </c>
    </row>
    <row r="4845" spans="1:40" x14ac:dyDescent="0.25">
      <c r="A4845" t="str">
        <f>"20190304155731953"</f>
        <v>20190304155731953</v>
      </c>
      <c r="B4845" t="str">
        <f>"1551686251950018"</f>
        <v>1551686251950018</v>
      </c>
      <c r="C4845" t="s">
        <v>40</v>
      </c>
      <c r="D4845">
        <v>4.9249159999999996</v>
      </c>
      <c r="E4845">
        <v>0.4324403</v>
      </c>
      <c r="F4845" t="s">
        <v>78</v>
      </c>
      <c r="G4845">
        <v>-418.01420000000002</v>
      </c>
      <c r="H4845" s="1">
        <v>-6.6811939999999999E-6</v>
      </c>
      <c r="I4845">
        <v>131.685</v>
      </c>
      <c r="J4845">
        <v>-398.56299999999999</v>
      </c>
      <c r="K4845">
        <v>1.114525</v>
      </c>
      <c r="L4845">
        <v>140.40369999999999</v>
      </c>
      <c r="M4845">
        <v>-0.99062329999999998</v>
      </c>
      <c r="N4845">
        <v>-1.4438400000000001E-2</v>
      </c>
      <c r="O4845">
        <v>-0.13585630000000001</v>
      </c>
      <c r="P4845">
        <v>-0.95565650000000002</v>
      </c>
      <c r="Q4845">
        <v>0.1592644</v>
      </c>
      <c r="R4845">
        <v>-0.24770059999999999</v>
      </c>
      <c r="S4845">
        <v>-2.8405459999999998</v>
      </c>
      <c r="T4845">
        <v>-0.1610326</v>
      </c>
      <c r="U4845">
        <v>-1.264359</v>
      </c>
      <c r="V4845">
        <v>-0.11733879999999999</v>
      </c>
      <c r="W4845">
        <v>0.17220379999999999</v>
      </c>
      <c r="X4845">
        <v>0.97804780000000002</v>
      </c>
      <c r="Y4845">
        <v>-0.27836729999999998</v>
      </c>
      <c r="Z4845">
        <v>-4.2430339999999997E-3</v>
      </c>
      <c r="AA4845">
        <v>0.96046529999999997</v>
      </c>
      <c r="AB4845">
        <v>30</v>
      </c>
      <c r="AC4845">
        <v>-19.451199999999901</v>
      </c>
      <c r="AD4845">
        <v>-1.114531681194</v>
      </c>
      <c r="AE4845">
        <v>-8.7186999999999806</v>
      </c>
      <c r="AF4845">
        <v>-5.9786594843006498</v>
      </c>
      <c r="AG4845">
        <v>-1.114531681194</v>
      </c>
      <c r="AH4845">
        <v>20.399664974898801</v>
      </c>
      <c r="AI4845">
        <v>93.001241095880104</v>
      </c>
      <c r="AJ4845">
        <v>106.334613436711</v>
      </c>
      <c r="AK4845">
        <v>21.286918076267298</v>
      </c>
      <c r="AL4845">
        <v>80.084022776786597</v>
      </c>
      <c r="AM4845">
        <v>96.841217848825394</v>
      </c>
      <c r="AN4845">
        <v>1.0000000209023501</v>
      </c>
    </row>
    <row r="4846" spans="1:40" x14ac:dyDescent="0.25">
      <c r="A4846" t="str">
        <f>"20190304155731973"</f>
        <v>20190304155731973</v>
      </c>
      <c r="B4846" t="str">
        <f>"1551686251969538"</f>
        <v>1551686251969538</v>
      </c>
      <c r="C4846" t="s">
        <v>40</v>
      </c>
      <c r="D4846">
        <v>4.8775529999999998</v>
      </c>
      <c r="E4846">
        <v>0.43285750000000001</v>
      </c>
      <c r="F4846" t="s">
        <v>78</v>
      </c>
      <c r="G4846">
        <v>-417.9393</v>
      </c>
      <c r="H4846" s="1">
        <v>-6.6969430000000003E-6</v>
      </c>
      <c r="I4846">
        <v>131.71299999999999</v>
      </c>
      <c r="J4846">
        <v>-398.80509999999998</v>
      </c>
      <c r="K4846">
        <v>1.1146370000000001</v>
      </c>
      <c r="L4846">
        <v>140.3657</v>
      </c>
      <c r="M4846">
        <v>-0.98998200000000003</v>
      </c>
      <c r="N4846">
        <v>-1.4446469999999999E-2</v>
      </c>
      <c r="O4846">
        <v>-0.14045270000000001</v>
      </c>
      <c r="P4846">
        <v>-0.95436049999999994</v>
      </c>
      <c r="Q4846">
        <v>0.15956310000000001</v>
      </c>
      <c r="R4846">
        <v>-0.25246010000000002</v>
      </c>
      <c r="S4846">
        <v>-2.8366699999999998</v>
      </c>
      <c r="T4846">
        <v>-0.16316659999999999</v>
      </c>
      <c r="U4846">
        <v>-1.272308</v>
      </c>
      <c r="V4846">
        <v>-0.11773</v>
      </c>
      <c r="W4846">
        <v>0.17247479999999901</v>
      </c>
      <c r="X4846">
        <v>0.97795299999999996</v>
      </c>
      <c r="Y4846">
        <v>-0.27663840000000001</v>
      </c>
      <c r="Z4846">
        <v>-4.007002E-3</v>
      </c>
      <c r="AA4846">
        <v>0.96096570000000003</v>
      </c>
      <c r="AB4846">
        <v>30</v>
      </c>
      <c r="AC4846">
        <v>-19.1342</v>
      </c>
      <c r="AD4846">
        <v>-1.114643696943</v>
      </c>
      <c r="AE4846">
        <v>-8.65270000000001</v>
      </c>
      <c r="AF4846">
        <v>-5.8626632695510299</v>
      </c>
      <c r="AG4846">
        <v>-1.114643696943</v>
      </c>
      <c r="AH4846">
        <v>20.103273541625001</v>
      </c>
      <c r="AI4846">
        <v>93.046899199100494</v>
      </c>
      <c r="AJ4846">
        <v>106.258125676202</v>
      </c>
      <c r="AK4846">
        <v>20.970332812635</v>
      </c>
      <c r="AL4846">
        <v>80.068259457822506</v>
      </c>
      <c r="AM4846">
        <v>96.864467804787907</v>
      </c>
      <c r="AN4846">
        <v>0.99999998987201999</v>
      </c>
    </row>
    <row r="4847" spans="1:40" x14ac:dyDescent="0.25">
      <c r="A4847" t="str">
        <f>"20190304155731995"</f>
        <v>20190304155731995</v>
      </c>
      <c r="B4847" t="str">
        <f>"1551686251989564"</f>
        <v>1551686251989564</v>
      </c>
      <c r="C4847" t="s">
        <v>40</v>
      </c>
      <c r="D4847">
        <v>4.8825760000000002</v>
      </c>
      <c r="E4847">
        <v>0.43326609999999999</v>
      </c>
      <c r="F4847" t="s">
        <v>78</v>
      </c>
      <c r="G4847">
        <v>-418.1395</v>
      </c>
      <c r="H4847" s="1">
        <v>-6.6378789999999996E-6</v>
      </c>
      <c r="I4847">
        <v>131.59649999999999</v>
      </c>
      <c r="J4847">
        <v>-399.09320000000002</v>
      </c>
      <c r="K4847">
        <v>1.114771</v>
      </c>
      <c r="L4847">
        <v>140.31870000000001</v>
      </c>
      <c r="M4847">
        <v>-0.98916320000000002</v>
      </c>
      <c r="N4847">
        <v>-1.4456729999999999E-2</v>
      </c>
      <c r="O4847">
        <v>-0.1461065</v>
      </c>
      <c r="P4847">
        <v>-0.95274230000000004</v>
      </c>
      <c r="Q4847">
        <v>0.16006899999999999</v>
      </c>
      <c r="R4847">
        <v>-0.25818580000000002</v>
      </c>
      <c r="S4847">
        <v>-2.8311160000000002</v>
      </c>
      <c r="T4847">
        <v>-0.16321559999999999</v>
      </c>
      <c r="U4847">
        <v>-1.2840579999999999</v>
      </c>
      <c r="V4847">
        <v>-0.1180884</v>
      </c>
      <c r="W4847">
        <v>0.17294779999999901</v>
      </c>
      <c r="X4847">
        <v>0.97782619999999998</v>
      </c>
      <c r="Y4847">
        <v>-0.275171</v>
      </c>
      <c r="Z4847">
        <v>-3.7356210000000002E-3</v>
      </c>
      <c r="AA4847">
        <v>0.96138809999999997</v>
      </c>
      <c r="AB4847">
        <v>30</v>
      </c>
      <c r="AC4847">
        <v>-19.046299999999899</v>
      </c>
      <c r="AD4847">
        <v>-1.114777637879</v>
      </c>
      <c r="AE4847">
        <v>-8.7222000000000097</v>
      </c>
      <c r="AF4847">
        <v>-5.8289951730573</v>
      </c>
      <c r="AG4847">
        <v>-1.114777637879</v>
      </c>
      <c r="AH4847">
        <v>20.0595660826651</v>
      </c>
      <c r="AI4847">
        <v>93.054745002336006</v>
      </c>
      <c r="AJ4847">
        <v>106.20303557067299</v>
      </c>
      <c r="AK4847">
        <v>20.919036912206298</v>
      </c>
      <c r="AL4847">
        <v>80.040744625238901</v>
      </c>
      <c r="AM4847">
        <v>96.886048953504897</v>
      </c>
      <c r="AN4847">
        <v>0.99999994457291796</v>
      </c>
    </row>
    <row r="4848" spans="1:40" x14ac:dyDescent="0.25">
      <c r="A4848" t="str">
        <f>"20190304155732016"</f>
        <v>20190304155732016</v>
      </c>
      <c r="B4848" t="str">
        <f>"1551686252010061"</f>
        <v>1551686252010061</v>
      </c>
      <c r="C4848" t="s">
        <v>40</v>
      </c>
      <c r="D4848">
        <v>4.8816249999999997</v>
      </c>
      <c r="E4848">
        <v>0.43367929999999999</v>
      </c>
      <c r="F4848" t="s">
        <v>78</v>
      </c>
      <c r="G4848">
        <v>-418.4402</v>
      </c>
      <c r="H4848" s="1">
        <v>-6.5504830000000004E-6</v>
      </c>
      <c r="I4848">
        <v>131.4248</v>
      </c>
      <c r="J4848">
        <v>-399.37520000000001</v>
      </c>
      <c r="K4848">
        <v>1.1149070000000001</v>
      </c>
      <c r="L4848">
        <v>140.27090000000001</v>
      </c>
      <c r="M4848">
        <v>-0.98830240000000003</v>
      </c>
      <c r="N4848">
        <v>-1.4467850000000001E-2</v>
      </c>
      <c r="O4848">
        <v>-0.15181939999999999</v>
      </c>
      <c r="P4848">
        <v>-0.95104330000000004</v>
      </c>
      <c r="Q4848">
        <v>0.16073299999999999</v>
      </c>
      <c r="R4848">
        <v>-0.26397280000000001</v>
      </c>
      <c r="S4848">
        <v>-2.8243100000000001</v>
      </c>
      <c r="T4848">
        <v>-0.16273770000000001</v>
      </c>
      <c r="U4848">
        <v>-1.2983549999999999</v>
      </c>
      <c r="V4848">
        <v>-0.118463</v>
      </c>
      <c r="W4848">
        <v>0.17357939999999999</v>
      </c>
      <c r="X4848">
        <v>0.97766900000000001</v>
      </c>
      <c r="Y4848">
        <v>-0.27451950000000003</v>
      </c>
      <c r="Z4848">
        <v>-3.4927209999999998E-3</v>
      </c>
      <c r="AA4848">
        <v>0.96157519999999996</v>
      </c>
      <c r="AB4848">
        <v>30</v>
      </c>
      <c r="AC4848">
        <v>-19.065000000000001</v>
      </c>
      <c r="AD4848">
        <v>-1.1149135504829999</v>
      </c>
      <c r="AE4848">
        <v>-8.8460999999999999</v>
      </c>
      <c r="AF4848">
        <v>-5.8323844530964504</v>
      </c>
      <c r="AG4848">
        <v>-1.1149135504829999</v>
      </c>
      <c r="AH4848">
        <v>20.130459306297901</v>
      </c>
      <c r="AI4848">
        <v>93.045073198315094</v>
      </c>
      <c r="AJ4848">
        <v>106.157852707377</v>
      </c>
      <c r="AK4848">
        <v>20.987975903271</v>
      </c>
      <c r="AL4848">
        <v>80.0040012549903</v>
      </c>
      <c r="AM4848">
        <v>96.908782106423402</v>
      </c>
      <c r="AN4848">
        <v>0.99999998201717899</v>
      </c>
    </row>
    <row r="4849" spans="1:40" x14ac:dyDescent="0.25">
      <c r="A4849" t="str">
        <f>"20190304155732039"</f>
        <v>20190304155732039</v>
      </c>
      <c r="B4849" t="str">
        <f>"1551686252029581"</f>
        <v>1551686252029581</v>
      </c>
      <c r="C4849" t="s">
        <v>40</v>
      </c>
      <c r="D4849">
        <v>4.7546980000000003</v>
      </c>
      <c r="E4849">
        <v>0.42396519999999999</v>
      </c>
      <c r="F4849" t="s">
        <v>78</v>
      </c>
      <c r="G4849">
        <v>-418.91789999999997</v>
      </c>
      <c r="H4849" s="1">
        <v>-6.4158380000000003E-6</v>
      </c>
      <c r="I4849">
        <v>131.16229999999999</v>
      </c>
      <c r="J4849">
        <v>-399.66379999999998</v>
      </c>
      <c r="K4849">
        <v>1.115049</v>
      </c>
      <c r="L4849">
        <v>140.2201</v>
      </c>
      <c r="M4849">
        <v>-0.98735510000000004</v>
      </c>
      <c r="N4849">
        <v>-1.4480450000000001E-2</v>
      </c>
      <c r="O4849">
        <v>-0.1578618</v>
      </c>
      <c r="P4849">
        <v>-0.94921659999999997</v>
      </c>
      <c r="Q4849">
        <v>0.160956399999999</v>
      </c>
      <c r="R4849">
        <v>-0.27033449999999998</v>
      </c>
      <c r="S4849">
        <v>-2.8171390000000001</v>
      </c>
      <c r="T4849">
        <v>-0.16071769999999999</v>
      </c>
      <c r="U4849">
        <v>-1.313034</v>
      </c>
      <c r="V4849">
        <v>-0.1190972</v>
      </c>
      <c r="W4849">
        <v>0.17376730000000001</v>
      </c>
      <c r="X4849">
        <v>0.97755860000000006</v>
      </c>
      <c r="Y4849">
        <v>-0.27370309999999998</v>
      </c>
      <c r="Z4849">
        <v>-3.2432020000000002E-3</v>
      </c>
      <c r="AA4849">
        <v>0.96180869999999996</v>
      </c>
      <c r="AB4849">
        <v>30</v>
      </c>
      <c r="AC4849">
        <v>-19.254099999999902</v>
      </c>
      <c r="AD4849">
        <v>-1.1150554158379999</v>
      </c>
      <c r="AE4849">
        <v>-9.0578000000000092</v>
      </c>
      <c r="AF4849">
        <v>-5.8882270023216696</v>
      </c>
      <c r="AG4849">
        <v>-1.1150554158379999</v>
      </c>
      <c r="AH4849">
        <v>20.3866720939792</v>
      </c>
      <c r="AI4849">
        <v>93.007979211008106</v>
      </c>
      <c r="AJ4849">
        <v>106.110160033076</v>
      </c>
      <c r="AK4849">
        <v>21.249257984190599</v>
      </c>
      <c r="AL4849">
        <v>79.993069601350001</v>
      </c>
      <c r="AM4849">
        <v>96.946185150638797</v>
      </c>
      <c r="AN4849">
        <v>1.0000000170155401</v>
      </c>
    </row>
    <row r="4850" spans="1:40" x14ac:dyDescent="0.25">
      <c r="A4850" t="str">
        <f>"20190304155732061"</f>
        <v>20190304155732061</v>
      </c>
      <c r="B4850" t="str">
        <f>"1551686252059838"</f>
        <v>1551686252059838</v>
      </c>
      <c r="C4850" t="s">
        <v>40</v>
      </c>
      <c r="D4850">
        <v>4.5837479999999999</v>
      </c>
      <c r="E4850">
        <v>0.41476580000000002</v>
      </c>
      <c r="F4850" t="s">
        <v>78</v>
      </c>
      <c r="G4850">
        <v>-420.39389999999997</v>
      </c>
      <c r="H4850" s="1">
        <v>-5.84593499999999E-6</v>
      </c>
      <c r="I4850">
        <v>129.74809999999999</v>
      </c>
      <c r="J4850">
        <v>-399.95549999999997</v>
      </c>
      <c r="K4850">
        <v>1.115197</v>
      </c>
      <c r="L4850">
        <v>140.16659999999999</v>
      </c>
      <c r="M4850">
        <v>-0.98632470000000005</v>
      </c>
      <c r="N4850">
        <v>-1.449421E-2</v>
      </c>
      <c r="O4850">
        <v>-0.1641756</v>
      </c>
      <c r="P4850">
        <v>-0.94721</v>
      </c>
      <c r="Q4850">
        <v>0.16064349999999999</v>
      </c>
      <c r="R4850">
        <v>-0.27746539999999997</v>
      </c>
      <c r="S4850">
        <v>-2.7851870000000001</v>
      </c>
      <c r="T4850">
        <v>-0.14981349999999999</v>
      </c>
      <c r="U4850">
        <v>-1.4069670000000001</v>
      </c>
      <c r="V4850">
        <v>-0.1202458</v>
      </c>
      <c r="W4850">
        <v>0.1734118</v>
      </c>
      <c r="X4850">
        <v>0.97748109999999999</v>
      </c>
      <c r="Y4850">
        <v>-0.29787000000000002</v>
      </c>
      <c r="Z4850">
        <v>-3.8948440000000002E-3</v>
      </c>
      <c r="AA4850">
        <v>0.95459850000000002</v>
      </c>
      <c r="AB4850">
        <v>29</v>
      </c>
      <c r="AC4850">
        <v>-20.438400000000001</v>
      </c>
      <c r="AD4850">
        <v>-1.1152028459350001</v>
      </c>
      <c r="AE4850">
        <v>-10.4184999999999</v>
      </c>
      <c r="AF4850">
        <v>-6.9049463164558604</v>
      </c>
      <c r="AG4850">
        <v>-1.1152028459350001</v>
      </c>
      <c r="AH4850">
        <v>21.820093670595199</v>
      </c>
      <c r="AI4850">
        <v>92.789668196517198</v>
      </c>
      <c r="AJ4850">
        <v>107.559922104705</v>
      </c>
      <c r="AK4850">
        <v>22.9137174813313</v>
      </c>
      <c r="AL4850">
        <v>80.013752109766401</v>
      </c>
      <c r="AM4850">
        <v>97.013062305040904</v>
      </c>
      <c r="AN4850">
        <v>1.0000000028270399</v>
      </c>
    </row>
    <row r="4851" spans="1:40" x14ac:dyDescent="0.25">
      <c r="A4851" t="str">
        <f>"20190304155732083"</f>
        <v>20190304155732083</v>
      </c>
      <c r="B4851" t="str">
        <f>"1551686252079357"</f>
        <v>1551686252079357</v>
      </c>
      <c r="C4851" t="s">
        <v>40</v>
      </c>
      <c r="D4851">
        <v>4.5678210000000004</v>
      </c>
      <c r="E4851">
        <v>0.4156646</v>
      </c>
      <c r="F4851" t="s">
        <v>78</v>
      </c>
      <c r="G4851">
        <v>-423.74770000000001</v>
      </c>
      <c r="H4851" s="1">
        <v>-5.3397270000000004E-6</v>
      </c>
      <c r="I4851">
        <v>127.2094</v>
      </c>
      <c r="J4851">
        <v>-400.22980000000001</v>
      </c>
      <c r="K4851">
        <v>1.1153379999999999</v>
      </c>
      <c r="L4851">
        <v>140.11439999999999</v>
      </c>
      <c r="M4851">
        <v>-0.98528269999999996</v>
      </c>
      <c r="N4851">
        <v>-1.450866E-2</v>
      </c>
      <c r="O4851">
        <v>-0.17031650000000001</v>
      </c>
      <c r="P4851">
        <v>-0.94512560000000001</v>
      </c>
      <c r="Q4851">
        <v>0.1603591</v>
      </c>
      <c r="R4851">
        <v>-0.284645599999999</v>
      </c>
      <c r="S4851">
        <v>-2.7502749999999998</v>
      </c>
      <c r="T4851">
        <v>-0.12891240000000001</v>
      </c>
      <c r="U4851">
        <v>-1.497803</v>
      </c>
      <c r="V4851">
        <v>-0.1216279</v>
      </c>
      <c r="W4851">
        <v>0.1730807</v>
      </c>
      <c r="X4851">
        <v>0.97736880000000004</v>
      </c>
      <c r="Y4851">
        <v>-0.32139060000000003</v>
      </c>
      <c r="Z4851">
        <v>-4.5171229999999996E-3</v>
      </c>
      <c r="AA4851">
        <v>0.946936</v>
      </c>
      <c r="AB4851">
        <v>29</v>
      </c>
      <c r="AC4851">
        <v>-23.517900000000001</v>
      </c>
      <c r="AD4851">
        <v>-1.1153433397269901</v>
      </c>
      <c r="AE4851">
        <v>-12.9049999999999</v>
      </c>
      <c r="AF4851">
        <v>-8.6954713044946104</v>
      </c>
      <c r="AG4851">
        <v>-1.1153433397269901</v>
      </c>
      <c r="AH4851">
        <v>25.328598048744499</v>
      </c>
      <c r="AI4851">
        <v>92.384929559224901</v>
      </c>
      <c r="AJ4851">
        <v>108.947677245561</v>
      </c>
      <c r="AK4851">
        <v>26.802856024827399</v>
      </c>
      <c r="AL4851">
        <v>80.033014213521</v>
      </c>
      <c r="AM4851">
        <v>97.093660381466094</v>
      </c>
      <c r="AN4851">
        <v>1.00000002299216</v>
      </c>
    </row>
    <row r="4852" spans="1:40" x14ac:dyDescent="0.25">
      <c r="A4852" t="str">
        <f>"20190304155732116"</f>
        <v>20190304155732116</v>
      </c>
      <c r="B4852" t="str">
        <f>"1551686252110120"</f>
        <v>1551686252110120</v>
      </c>
      <c r="C4852" t="s">
        <v>40</v>
      </c>
      <c r="D4852">
        <v>4.5748790000000001</v>
      </c>
      <c r="E4852">
        <v>0.41680319999999998</v>
      </c>
      <c r="F4852" t="s">
        <v>78</v>
      </c>
      <c r="G4852">
        <v>-422.6105</v>
      </c>
      <c r="H4852" s="1">
        <v>-5.3758649999999997E-6</v>
      </c>
      <c r="I4852">
        <v>127.7752</v>
      </c>
      <c r="J4852">
        <v>-400.65359999999998</v>
      </c>
      <c r="K4852">
        <v>1.1155630000000001</v>
      </c>
      <c r="L4852">
        <v>140.02979999999999</v>
      </c>
      <c r="M4852">
        <v>-0.98352079999999997</v>
      </c>
      <c r="N4852">
        <v>-1.453378E-2</v>
      </c>
      <c r="O4852">
        <v>-0.18021010000000001</v>
      </c>
      <c r="P4852">
        <v>-0.94189319999999999</v>
      </c>
      <c r="Q4852">
        <v>0.1591504</v>
      </c>
      <c r="R4852">
        <v>-0.29581780000000002</v>
      </c>
      <c r="S4852">
        <v>-2.7420650000000002</v>
      </c>
      <c r="T4852">
        <v>-0.13665089999999999</v>
      </c>
      <c r="U4852">
        <v>-1.511795</v>
      </c>
      <c r="V4852">
        <v>-0.12343129999999999</v>
      </c>
      <c r="W4852">
        <v>0.17180399999999901</v>
      </c>
      <c r="X4852">
        <v>0.97736789999999996</v>
      </c>
      <c r="Y4852">
        <v>-0.31675700000000001</v>
      </c>
      <c r="Z4852">
        <v>-4.0582120000000003E-3</v>
      </c>
      <c r="AA4852">
        <v>0.94849810000000001</v>
      </c>
      <c r="AB4852">
        <v>29</v>
      </c>
      <c r="AC4852">
        <v>-21.956900000000001</v>
      </c>
      <c r="AD4852">
        <v>-1.1155683758649999</v>
      </c>
      <c r="AE4852">
        <v>-12.2545999999999</v>
      </c>
      <c r="AF4852">
        <v>-8.0807487090514503</v>
      </c>
      <c r="AG4852">
        <v>-1.1155683758649999</v>
      </c>
      <c r="AH4852">
        <v>23.759219740713998</v>
      </c>
      <c r="AI4852">
        <v>92.545259240294499</v>
      </c>
      <c r="AJ4852">
        <v>108.783683535477</v>
      </c>
      <c r="AK4852">
        <v>25.120579515361499</v>
      </c>
      <c r="AL4852">
        <v>80.107275544176602</v>
      </c>
      <c r="AM4852">
        <v>97.197750817242905</v>
      </c>
      <c r="AN4852">
        <v>0.99999995609304804</v>
      </c>
    </row>
    <row r="4853" spans="1:40" x14ac:dyDescent="0.25">
      <c r="A4853" t="str">
        <f>"20190304155732139"</f>
        <v>20190304155732139</v>
      </c>
      <c r="B4853" t="str">
        <f>"1551686252129640"</f>
        <v>1551686252129640</v>
      </c>
      <c r="C4853" t="s">
        <v>40</v>
      </c>
      <c r="D4853">
        <v>4.5289000000000001</v>
      </c>
      <c r="E4853">
        <v>0.41727969999999998</v>
      </c>
      <c r="F4853" t="s">
        <v>78</v>
      </c>
      <c r="G4853">
        <v>-421.31950000000001</v>
      </c>
      <c r="H4853" s="1">
        <v>-5.4061870000000003E-6</v>
      </c>
      <c r="I4853">
        <v>128.3965</v>
      </c>
      <c r="J4853">
        <v>-400.9393</v>
      </c>
      <c r="K4853">
        <v>1.1157159999999999</v>
      </c>
      <c r="L4853">
        <v>139.9699</v>
      </c>
      <c r="M4853">
        <v>-0.98222350000000003</v>
      </c>
      <c r="N4853">
        <v>-1.4551959999999999E-2</v>
      </c>
      <c r="O4853">
        <v>-0.18715100000000001</v>
      </c>
      <c r="P4853">
        <v>-0.93947329999999996</v>
      </c>
      <c r="Q4853">
        <v>0.1586497</v>
      </c>
      <c r="R4853">
        <v>-0.30367889999999997</v>
      </c>
      <c r="S4853">
        <v>-2.7276919999999998</v>
      </c>
      <c r="T4853">
        <v>-0.14724389999999901</v>
      </c>
      <c r="U4853">
        <v>-1.535477</v>
      </c>
      <c r="V4853">
        <v>-0.1247431</v>
      </c>
      <c r="W4853">
        <v>0.1712563</v>
      </c>
      <c r="X4853">
        <v>0.97729750000000004</v>
      </c>
      <c r="Y4853">
        <v>-0.31840990000000002</v>
      </c>
      <c r="Z4853">
        <v>-3.8112879999999999E-3</v>
      </c>
      <c r="AA4853">
        <v>0.9479455</v>
      </c>
      <c r="AB4853">
        <v>29</v>
      </c>
      <c r="AC4853">
        <v>-20.380199999999999</v>
      </c>
      <c r="AD4853">
        <v>-1.115721406187</v>
      </c>
      <c r="AE4853">
        <v>-11.5733999999999</v>
      </c>
      <c r="AF4853">
        <v>-7.5372084629609901</v>
      </c>
      <c r="AG4853">
        <v>-1.115721406187</v>
      </c>
      <c r="AH4853">
        <v>22.136065536458101</v>
      </c>
      <c r="AI4853">
        <v>92.731674755866294</v>
      </c>
      <c r="AJ4853">
        <v>108.80342603625</v>
      </c>
      <c r="AK4853">
        <v>23.410675836137798</v>
      </c>
      <c r="AL4853">
        <v>80.139128803837195</v>
      </c>
      <c r="AM4853">
        <v>97.273950271868998</v>
      </c>
      <c r="AN4853">
        <v>0.99999998239677401</v>
      </c>
    </row>
    <row r="4854" spans="1:40" x14ac:dyDescent="0.25">
      <c r="A4854" t="str">
        <f>"20190304155732162"</f>
        <v>20190304155732162</v>
      </c>
      <c r="B4854" t="str">
        <f>"1551686252159896"</f>
        <v>1551686252159896</v>
      </c>
      <c r="C4854" t="s">
        <v>40</v>
      </c>
      <c r="D4854">
        <v>4.6907500000000004</v>
      </c>
      <c r="E4854">
        <v>0.41746460000000002</v>
      </c>
      <c r="F4854" t="s">
        <v>78</v>
      </c>
      <c r="G4854">
        <v>-420.91770000000002</v>
      </c>
      <c r="H4854" s="1">
        <v>-5.3879459999999997E-6</v>
      </c>
      <c r="I4854">
        <v>128.53550000000001</v>
      </c>
      <c r="J4854">
        <v>-401.22989999999999</v>
      </c>
      <c r="K4854">
        <v>1.115861</v>
      </c>
      <c r="L4854">
        <v>139.90649999999999</v>
      </c>
      <c r="M4854">
        <v>-0.98081090000000004</v>
      </c>
      <c r="N4854">
        <v>-1.456988E-2</v>
      </c>
      <c r="O4854">
        <v>-0.19441639999999999</v>
      </c>
      <c r="P4854">
        <v>-0.93674429999999997</v>
      </c>
      <c r="Q4854">
        <v>0.1583601</v>
      </c>
      <c r="R4854">
        <v>-0.31214109999999901</v>
      </c>
      <c r="S4854">
        <v>-2.7163390000000001</v>
      </c>
      <c r="T4854">
        <v>-0.15169779999999999</v>
      </c>
      <c r="U4854">
        <v>-1.554657</v>
      </c>
      <c r="V4854">
        <v>-0.12637789999999999</v>
      </c>
      <c r="W4854">
        <v>0.1709157</v>
      </c>
      <c r="X4854">
        <v>0.97714710000000005</v>
      </c>
      <c r="Y4854">
        <v>-0.318131099999999</v>
      </c>
      <c r="Z4854">
        <v>-3.50958E-3</v>
      </c>
      <c r="AA4854">
        <v>0.9480402</v>
      </c>
      <c r="AB4854">
        <v>29</v>
      </c>
      <c r="AC4854">
        <v>-19.687799999999999</v>
      </c>
      <c r="AD4854">
        <v>-1.115866387946</v>
      </c>
      <c r="AE4854">
        <v>-11.370999999999899</v>
      </c>
      <c r="AF4854">
        <v>-7.3083423029721803</v>
      </c>
      <c r="AG4854">
        <v>-1.115866387946</v>
      </c>
      <c r="AH4854">
        <v>21.471280735479301</v>
      </c>
      <c r="AI4854">
        <v>92.816583277772196</v>
      </c>
      <c r="AJ4854">
        <v>108.797422359541</v>
      </c>
      <c r="AK4854">
        <v>22.708432826483801</v>
      </c>
      <c r="AL4854">
        <v>80.158935979446099</v>
      </c>
      <c r="AM4854">
        <v>97.369358568874006</v>
      </c>
      <c r="AN4854">
        <v>1.00000000257665</v>
      </c>
    </row>
    <row r="4855" spans="1:40" x14ac:dyDescent="0.25">
      <c r="A4855" t="str">
        <f>"20190304155732184"</f>
        <v>20190304155732184</v>
      </c>
      <c r="B4855" t="str">
        <f>"1551686252179416"</f>
        <v>1551686252179416</v>
      </c>
      <c r="C4855" t="s">
        <v>40</v>
      </c>
      <c r="D4855">
        <v>4.5209609999999998</v>
      </c>
      <c r="E4855">
        <v>0.41764839999999998</v>
      </c>
      <c r="F4855" t="s">
        <v>78</v>
      </c>
      <c r="G4855">
        <v>-420.85669999999999</v>
      </c>
      <c r="H4855" s="1">
        <v>-5.3310009999999997E-6</v>
      </c>
      <c r="I4855">
        <v>128.4503</v>
      </c>
      <c r="J4855">
        <v>-401.51429999999999</v>
      </c>
      <c r="K4855">
        <v>1.1160049999999999</v>
      </c>
      <c r="L4855">
        <v>139.84219999999999</v>
      </c>
      <c r="M4855">
        <v>-0.9793307</v>
      </c>
      <c r="N4855">
        <v>-1.458695E-2</v>
      </c>
      <c r="O4855">
        <v>-0.201739</v>
      </c>
      <c r="P4855">
        <v>-0.93400850000000002</v>
      </c>
      <c r="Q4855">
        <v>0.15794820000000001</v>
      </c>
      <c r="R4855">
        <v>-0.320438</v>
      </c>
      <c r="S4855">
        <v>-2.7028500000000002</v>
      </c>
      <c r="T4855">
        <v>-0.153669</v>
      </c>
      <c r="U4855">
        <v>-1.5776669999999999</v>
      </c>
      <c r="V4855">
        <v>-0.1277886</v>
      </c>
      <c r="W4855">
        <v>0.17045569999999999</v>
      </c>
      <c r="X4855">
        <v>0.97704400000000002</v>
      </c>
      <c r="Y4855">
        <v>-0.3191232</v>
      </c>
      <c r="Z4855">
        <v>-3.259564E-3</v>
      </c>
      <c r="AA4855">
        <v>0.94770770000000004</v>
      </c>
      <c r="AB4855">
        <v>29</v>
      </c>
      <c r="AC4855">
        <v>-19.342400000000001</v>
      </c>
      <c r="AD4855">
        <v>-1.1160103310010001</v>
      </c>
      <c r="AE4855">
        <v>-11.3918999999999</v>
      </c>
      <c r="AF4855">
        <v>-7.2372048789949899</v>
      </c>
      <c r="AG4855">
        <v>-1.1160103310010001</v>
      </c>
      <c r="AH4855">
        <v>21.190680396194601</v>
      </c>
      <c r="AI4855">
        <v>92.853184989752293</v>
      </c>
      <c r="AJ4855">
        <v>108.856458676443</v>
      </c>
      <c r="AK4855">
        <v>22.420248642089501</v>
      </c>
      <c r="AL4855">
        <v>80.185684781256498</v>
      </c>
      <c r="AM4855">
        <v>97.451477581785795</v>
      </c>
      <c r="AN4855">
        <v>1.00000002494422</v>
      </c>
    </row>
    <row r="4856" spans="1:40" x14ac:dyDescent="0.25">
      <c r="A4856" t="str">
        <f>"20190304155732206"</f>
        <v>20190304155732206</v>
      </c>
      <c r="B4856" t="str">
        <f>"1551686252199445"</f>
        <v>1551686252199445</v>
      </c>
      <c r="C4856" t="s">
        <v>40</v>
      </c>
      <c r="D4856">
        <v>4.53369</v>
      </c>
      <c r="E4856">
        <v>0.417883</v>
      </c>
      <c r="F4856" t="s">
        <v>78</v>
      </c>
      <c r="G4856">
        <v>-420.79309999999998</v>
      </c>
      <c r="H4856" s="1">
        <v>-5.2756409999999996E-6</v>
      </c>
      <c r="I4856">
        <v>128.36930000000001</v>
      </c>
      <c r="J4856">
        <v>-401.79070000000002</v>
      </c>
      <c r="K4856">
        <v>1.1161460000000001</v>
      </c>
      <c r="L4856">
        <v>139.7773</v>
      </c>
      <c r="M4856">
        <v>-0.97779179999999999</v>
      </c>
      <c r="N4856">
        <v>-1.460498E-2</v>
      </c>
      <c r="O4856">
        <v>-0.2090688</v>
      </c>
      <c r="P4856">
        <v>-0.93115159999999997</v>
      </c>
      <c r="Q4856">
        <v>0.15785689999999999</v>
      </c>
      <c r="R4856">
        <v>-0.32869209999999999</v>
      </c>
      <c r="S4856">
        <v>-2.6892399999999999</v>
      </c>
      <c r="T4856">
        <v>-0.15567400000000001</v>
      </c>
      <c r="U4856">
        <v>-1.6003719999999999</v>
      </c>
      <c r="V4856">
        <v>-0.12917590000000001</v>
      </c>
      <c r="W4856">
        <v>0.17031569999999999</v>
      </c>
      <c r="X4856">
        <v>0.97688600000000003</v>
      </c>
      <c r="Y4856">
        <v>-0.32003690000000001</v>
      </c>
      <c r="Z4856">
        <v>-2.997104E-3</v>
      </c>
      <c r="AA4856">
        <v>0.94740029999999997</v>
      </c>
      <c r="AB4856">
        <v>29</v>
      </c>
      <c r="AC4856">
        <v>-19.002399999999898</v>
      </c>
      <c r="AD4856">
        <v>-1.1161512756409999</v>
      </c>
      <c r="AE4856">
        <v>-11.4079999999999</v>
      </c>
      <c r="AF4856">
        <v>-7.1644370535930104</v>
      </c>
      <c r="AG4856">
        <v>-1.1161512756409999</v>
      </c>
      <c r="AH4856">
        <v>20.9146448778286</v>
      </c>
      <c r="AI4856">
        <v>92.890234224769003</v>
      </c>
      <c r="AJ4856">
        <v>108.90920359042801</v>
      </c>
      <c r="AK4856">
        <v>22.135883138711499</v>
      </c>
      <c r="AL4856">
        <v>80.193825511015007</v>
      </c>
      <c r="AM4856">
        <v>97.532652803737406</v>
      </c>
      <c r="AN4856">
        <v>1.00000005390164</v>
      </c>
    </row>
    <row r="4857" spans="1:40" x14ac:dyDescent="0.25">
      <c r="A4857" t="str">
        <f>"20190304155732228"</f>
        <v>20190304155732228</v>
      </c>
      <c r="B4857" t="str">
        <f>"1551686252219940"</f>
        <v>1551686252219940</v>
      </c>
      <c r="C4857" t="s">
        <v>40</v>
      </c>
      <c r="D4857">
        <v>4.5278729999999996</v>
      </c>
      <c r="E4857">
        <v>0.41812719999999998</v>
      </c>
      <c r="F4857" t="s">
        <v>78</v>
      </c>
      <c r="G4857">
        <v>-420.75139999999999</v>
      </c>
      <c r="H4857" s="1">
        <v>-5.2212570000000002E-6</v>
      </c>
      <c r="I4857">
        <v>128.2807</v>
      </c>
      <c r="J4857">
        <v>-402.06110000000001</v>
      </c>
      <c r="K4857">
        <v>1.1162939999999999</v>
      </c>
      <c r="L4857">
        <v>139.7115</v>
      </c>
      <c r="M4857">
        <v>-0.97618709999999997</v>
      </c>
      <c r="N4857">
        <v>-1.4624470000000001E-2</v>
      </c>
      <c r="O4857">
        <v>-0.2164373</v>
      </c>
      <c r="P4857">
        <v>-0.92790930000000005</v>
      </c>
      <c r="Q4857">
        <v>0.15763829999999901</v>
      </c>
      <c r="R4857">
        <v>-0.33783859999999999</v>
      </c>
      <c r="S4857">
        <v>-2.6758419999999998</v>
      </c>
      <c r="T4857">
        <v>-0.1575183</v>
      </c>
      <c r="U4857">
        <v>-1.6224670000000001</v>
      </c>
      <c r="V4857">
        <v>-0.13147519999999999</v>
      </c>
      <c r="W4857">
        <v>0.1700342</v>
      </c>
      <c r="X4857">
        <v>0.97662819999999995</v>
      </c>
      <c r="Y4857">
        <v>-0.32071159999999999</v>
      </c>
      <c r="Z4857">
        <v>-2.7188680000000002E-3</v>
      </c>
      <c r="AA4857">
        <v>0.94717300000000004</v>
      </c>
      <c r="AB4857">
        <v>29</v>
      </c>
      <c r="AC4857">
        <v>-18.690299999999901</v>
      </c>
      <c r="AD4857">
        <v>-1.116299221257</v>
      </c>
      <c r="AE4857">
        <v>-11.4308</v>
      </c>
      <c r="AF4857">
        <v>-7.09566005697189</v>
      </c>
      <c r="AG4857">
        <v>-1.116299221257</v>
      </c>
      <c r="AH4857">
        <v>20.6678381802305</v>
      </c>
      <c r="AI4857">
        <v>92.924392112772907</v>
      </c>
      <c r="AJ4857">
        <v>108.94831636873801</v>
      </c>
      <c r="AK4857">
        <v>21.880449050229199</v>
      </c>
      <c r="AL4857">
        <v>80.210192469969897</v>
      </c>
      <c r="AM4857">
        <v>97.667151106055201</v>
      </c>
      <c r="AN4857">
        <v>0.99999999920995897</v>
      </c>
    </row>
    <row r="4858" spans="1:40" x14ac:dyDescent="0.25">
      <c r="A4858" t="str">
        <f>"20190304155732252"</f>
        <v>20190304155732252</v>
      </c>
      <c r="B4858" t="str">
        <f>"1551686252239461"</f>
        <v>1551686252239461</v>
      </c>
      <c r="C4858" t="s">
        <v>40</v>
      </c>
      <c r="D4858">
        <v>4.5236470000000004</v>
      </c>
      <c r="E4858">
        <v>0.41827530000000002</v>
      </c>
      <c r="F4858" t="s">
        <v>78</v>
      </c>
      <c r="G4858">
        <v>-420.63630000000001</v>
      </c>
      <c r="H4858" s="1">
        <v>-5.1638730000000001E-6</v>
      </c>
      <c r="I4858">
        <v>128.2182</v>
      </c>
      <c r="J4858">
        <v>-402.34840000000003</v>
      </c>
      <c r="K4858">
        <v>1.1164540000000001</v>
      </c>
      <c r="L4858">
        <v>139.63890000000001</v>
      </c>
      <c r="M4858">
        <v>-0.97436650000000002</v>
      </c>
      <c r="N4858">
        <v>-1.46462E-2</v>
      </c>
      <c r="O4858">
        <v>-0.2244891</v>
      </c>
      <c r="P4858">
        <v>-0.92433560000000003</v>
      </c>
      <c r="Q4858">
        <v>0.15813429999999901</v>
      </c>
      <c r="R4858">
        <v>-0.3472711</v>
      </c>
      <c r="S4858">
        <v>-2.660828</v>
      </c>
      <c r="T4858">
        <v>-0.15990599999999999</v>
      </c>
      <c r="U4858">
        <v>-1.6463779999999999</v>
      </c>
      <c r="V4858">
        <v>-0.1334542</v>
      </c>
      <c r="W4858">
        <v>0.17046749999999999</v>
      </c>
      <c r="X4858">
        <v>0.97628419999999905</v>
      </c>
      <c r="Y4858">
        <v>-0.32143359999999999</v>
      </c>
      <c r="Z4858">
        <v>-2.3964110000000002E-3</v>
      </c>
      <c r="AA4858">
        <v>0.94692909999999997</v>
      </c>
      <c r="AB4858">
        <v>29</v>
      </c>
      <c r="AC4858">
        <v>-18.287899999999901</v>
      </c>
      <c r="AD4858">
        <v>-1.1164591638729999</v>
      </c>
      <c r="AE4858">
        <v>-11.4207</v>
      </c>
      <c r="AF4858">
        <v>-7.0044856827490101</v>
      </c>
      <c r="AG4858">
        <v>-1.1164591638729999</v>
      </c>
      <c r="AH4858">
        <v>20.3306144503224</v>
      </c>
      <c r="AI4858">
        <v>92.972133573467104</v>
      </c>
      <c r="AJ4858">
        <v>109.010313469322</v>
      </c>
      <c r="AK4858">
        <v>21.532375267770401</v>
      </c>
      <c r="AL4858">
        <v>80.184998556559606</v>
      </c>
      <c r="AM4858">
        <v>97.783863746414298</v>
      </c>
      <c r="AN4858">
        <v>1.0000000156117601</v>
      </c>
    </row>
    <row r="4859" spans="1:40" x14ac:dyDescent="0.25">
      <c r="A4859" t="str">
        <f>"20190304155732273"</f>
        <v>20190304155732273</v>
      </c>
      <c r="B4859" t="str">
        <f>"1551686252269716"</f>
        <v>1551686252269716</v>
      </c>
      <c r="C4859" t="s">
        <v>40</v>
      </c>
      <c r="D4859">
        <v>4.6850699999999996</v>
      </c>
      <c r="E4859">
        <v>0.4183907</v>
      </c>
      <c r="F4859" t="s">
        <v>78</v>
      </c>
      <c r="G4859">
        <v>-420.8535</v>
      </c>
      <c r="H4859" s="1">
        <v>-5.0698500000000003E-6</v>
      </c>
      <c r="I4859">
        <v>127.9391</v>
      </c>
      <c r="J4859">
        <v>-402.62150000000003</v>
      </c>
      <c r="K4859">
        <v>1.1166</v>
      </c>
      <c r="L4859">
        <v>139.56729999999999</v>
      </c>
      <c r="M4859">
        <v>-0.97252130000000003</v>
      </c>
      <c r="N4859">
        <v>-1.4667390000000001E-2</v>
      </c>
      <c r="O4859">
        <v>-0.2323518</v>
      </c>
      <c r="P4859">
        <v>-0.92088910000000002</v>
      </c>
      <c r="Q4859">
        <v>0.15806210000000001</v>
      </c>
      <c r="R4859">
        <v>-0.35634199999999999</v>
      </c>
      <c r="S4859">
        <v>-2.6446839999999998</v>
      </c>
      <c r="T4859">
        <v>-0.15955999999999901</v>
      </c>
      <c r="U4859">
        <v>-1.6720889999999999</v>
      </c>
      <c r="V4859">
        <v>-0.13522890000000001</v>
      </c>
      <c r="W4859">
        <v>0.1703382</v>
      </c>
      <c r="X4859">
        <v>0.97606250000000006</v>
      </c>
      <c r="Y4859">
        <v>-0.32297619999999999</v>
      </c>
      <c r="Z4859">
        <v>-2.1595569999999999E-3</v>
      </c>
      <c r="AA4859">
        <v>0.94640460000000004</v>
      </c>
      <c r="AB4859">
        <v>29</v>
      </c>
      <c r="AC4859">
        <v>-18.2319999999999</v>
      </c>
      <c r="AD4859">
        <v>-1.1166050698500001</v>
      </c>
      <c r="AE4859">
        <v>-11.6281999999999</v>
      </c>
      <c r="AF4859">
        <v>-7.0543854903264203</v>
      </c>
      <c r="AG4859">
        <v>-1.1166050698500001</v>
      </c>
      <c r="AH4859">
        <v>20.380697448613301</v>
      </c>
      <c r="AI4859">
        <v>92.963767315914197</v>
      </c>
      <c r="AJ4859">
        <v>109.09230876201001</v>
      </c>
      <c r="AK4859">
        <v>21.595925310577801</v>
      </c>
      <c r="AL4859">
        <v>80.192516515430796</v>
      </c>
      <c r="AM4859">
        <v>97.887849788044704</v>
      </c>
      <c r="AN4859">
        <v>0.99999998084034902</v>
      </c>
    </row>
    <row r="4860" spans="1:40" x14ac:dyDescent="0.25">
      <c r="A4860" t="str">
        <f>"20190304155732296"</f>
        <v>20190304155732296</v>
      </c>
      <c r="B4860" t="str">
        <f>"1551686252289236"</f>
        <v>1551686252289236</v>
      </c>
      <c r="C4860" t="s">
        <v>40</v>
      </c>
      <c r="D4860">
        <v>4.6759940000000002</v>
      </c>
      <c r="E4860">
        <v>0.4227591</v>
      </c>
      <c r="F4860" t="s">
        <v>78</v>
      </c>
      <c r="G4860">
        <v>-420.95620000000002</v>
      </c>
      <c r="H4860" s="1">
        <v>-4.9849649999999998E-6</v>
      </c>
      <c r="I4860">
        <v>127.72790000000001</v>
      </c>
      <c r="J4860">
        <v>-402.8963</v>
      </c>
      <c r="K4860">
        <v>1.1167309999999999</v>
      </c>
      <c r="L4860">
        <v>139.49260000000001</v>
      </c>
      <c r="M4860">
        <v>-0.97055429999999998</v>
      </c>
      <c r="N4860">
        <v>-1.468821E-2</v>
      </c>
      <c r="O4860">
        <v>-0.24043429999999999</v>
      </c>
      <c r="P4860">
        <v>-0.91721169999999996</v>
      </c>
      <c r="Q4860">
        <v>0.1577846</v>
      </c>
      <c r="R4860">
        <v>-0.36582369999999997</v>
      </c>
      <c r="S4860">
        <v>-2.6284480000000001</v>
      </c>
      <c r="T4860">
        <v>-0.1600751</v>
      </c>
      <c r="U4860">
        <v>-1.697281</v>
      </c>
      <c r="V4860">
        <v>-0.1372216</v>
      </c>
      <c r="W4860">
        <v>0.17000460000000001</v>
      </c>
      <c r="X4860">
        <v>0.97584249999999995</v>
      </c>
      <c r="Y4860">
        <v>-0.3241695</v>
      </c>
      <c r="Z4860">
        <v>-1.8812810000000001E-3</v>
      </c>
      <c r="AA4860">
        <v>0.94599719999999998</v>
      </c>
      <c r="AB4860">
        <v>29</v>
      </c>
      <c r="AC4860">
        <v>-18.059899999999999</v>
      </c>
      <c r="AD4860">
        <v>-1.11673598496499</v>
      </c>
      <c r="AE4860">
        <v>-11.764699999999999</v>
      </c>
      <c r="AF4860">
        <v>-7.0578776718369403</v>
      </c>
      <c r="AG4860">
        <v>-1.11673598496499</v>
      </c>
      <c r="AH4860">
        <v>20.304441035466802</v>
      </c>
      <c r="AI4860">
        <v>92.973873229587298</v>
      </c>
      <c r="AJ4860">
        <v>109.16758731075799</v>
      </c>
      <c r="AK4860">
        <v>21.525126300523201</v>
      </c>
      <c r="AL4860">
        <v>80.211913076058707</v>
      </c>
      <c r="AM4860">
        <v>98.004368919592494</v>
      </c>
      <c r="AN4860">
        <v>0.99999995816698395</v>
      </c>
    </row>
    <row r="4861" spans="1:40" x14ac:dyDescent="0.25">
      <c r="A4861" t="str">
        <f>"20190304155732317"</f>
        <v>20190304155732317</v>
      </c>
      <c r="B4861" t="str">
        <f>"1551686252309733"</f>
        <v>1551686252309733</v>
      </c>
      <c r="C4861" t="s">
        <v>40</v>
      </c>
      <c r="D4861">
        <v>4.6510579999999999</v>
      </c>
      <c r="E4861">
        <v>0.4226318</v>
      </c>
      <c r="F4861" t="s">
        <v>78</v>
      </c>
      <c r="G4861">
        <v>-420.84050000000002</v>
      </c>
      <c r="H4861" s="1">
        <v>-5.0585760000000003E-6</v>
      </c>
      <c r="I4861">
        <v>127.92270000000001</v>
      </c>
      <c r="J4861">
        <v>-403.16980000000001</v>
      </c>
      <c r="K4861">
        <v>1.1168400000000001</v>
      </c>
      <c r="L4861">
        <v>139.41560000000001</v>
      </c>
      <c r="M4861">
        <v>-0.9684815</v>
      </c>
      <c r="N4861">
        <v>-1.470723E-2</v>
      </c>
      <c r="O4861">
        <v>-0.24865039999999999</v>
      </c>
      <c r="P4861">
        <v>-0.91341220000000001</v>
      </c>
      <c r="Q4861">
        <v>0.1571767</v>
      </c>
      <c r="R4861">
        <v>-0.37546449999999998</v>
      </c>
      <c r="S4861">
        <v>-2.6240540000000001</v>
      </c>
      <c r="T4861">
        <v>-0.16330500000000001</v>
      </c>
      <c r="U4861">
        <v>-1.69190999999999</v>
      </c>
      <c r="V4861">
        <v>-0.1392486</v>
      </c>
      <c r="W4861">
        <v>0.16934109999999999</v>
      </c>
      <c r="X4861">
        <v>0.97567079999999995</v>
      </c>
      <c r="Y4861">
        <v>-0.31550470000000003</v>
      </c>
      <c r="Z4861">
        <v>-1.1626080000000001E-3</v>
      </c>
      <c r="AA4861">
        <v>0.94892330000000003</v>
      </c>
      <c r="AB4861">
        <v>29</v>
      </c>
      <c r="AC4861">
        <v>-17.6707</v>
      </c>
      <c r="AD4861">
        <v>-1.1168450585759999</v>
      </c>
      <c r="AE4861">
        <v>-11.492900000000001</v>
      </c>
      <c r="AF4861">
        <v>-6.7187033990066398</v>
      </c>
      <c r="AG4861">
        <v>-1.1168450585759999</v>
      </c>
      <c r="AH4861">
        <v>19.917710539358001</v>
      </c>
      <c r="AI4861">
        <v>93.041353711548894</v>
      </c>
      <c r="AJ4861">
        <v>108.640437894386</v>
      </c>
      <c r="AK4861">
        <v>21.0500240232248</v>
      </c>
      <c r="AL4861">
        <v>80.250489008056107</v>
      </c>
      <c r="AM4861">
        <v>98.122451345542899</v>
      </c>
      <c r="AN4861">
        <v>1.0000000453619</v>
      </c>
    </row>
    <row r="4862" spans="1:40" x14ac:dyDescent="0.25">
      <c r="A4862" t="str">
        <f>"20190304155732339"</f>
        <v>20190304155732339</v>
      </c>
      <c r="B4862" t="str">
        <f>"1551686252329252"</f>
        <v>1551686252329252</v>
      </c>
      <c r="C4862" t="s">
        <v>40</v>
      </c>
      <c r="D4862">
        <v>4.6633110000000002</v>
      </c>
      <c r="E4862">
        <v>0.42270780000000002</v>
      </c>
      <c r="F4862" t="s">
        <v>78</v>
      </c>
      <c r="G4862">
        <v>-420.8168</v>
      </c>
      <c r="H4862" s="1">
        <v>-4.9749950000000003E-6</v>
      </c>
      <c r="I4862">
        <v>127.76900000000001</v>
      </c>
      <c r="J4862">
        <v>-403.44740000000002</v>
      </c>
      <c r="K4862">
        <v>1.1169560000000001</v>
      </c>
      <c r="L4862">
        <v>139.3348</v>
      </c>
      <c r="M4862">
        <v>-0.96625570000000005</v>
      </c>
      <c r="N4862">
        <v>-1.472621E-2</v>
      </c>
      <c r="O4862">
        <v>-0.25716339999999999</v>
      </c>
      <c r="P4862">
        <v>-0.90938779999999997</v>
      </c>
      <c r="Q4862">
        <v>0.156618799999999</v>
      </c>
      <c r="R4862">
        <v>-0.38533669999999998</v>
      </c>
      <c r="S4862">
        <v>-2.6058650000000001</v>
      </c>
      <c r="T4862">
        <v>-0.1649207</v>
      </c>
      <c r="U4862">
        <v>-1.7198180000000001</v>
      </c>
      <c r="V4862">
        <v>-0.1412495</v>
      </c>
      <c r="W4862">
        <v>0.16872879999999901</v>
      </c>
      <c r="X4862">
        <v>0.97548919999999995</v>
      </c>
      <c r="Y4862">
        <v>-0.31727640000000001</v>
      </c>
      <c r="Z4862">
        <v>-8.3702709999999999E-4</v>
      </c>
      <c r="AA4862">
        <v>0.94833279999999998</v>
      </c>
      <c r="AB4862">
        <v>29</v>
      </c>
      <c r="AC4862">
        <v>-17.369399999999899</v>
      </c>
      <c r="AD4862">
        <v>-1.116960974995</v>
      </c>
      <c r="AE4862">
        <v>-11.565799999999999</v>
      </c>
      <c r="AF4862">
        <v>-6.6903062258454096</v>
      </c>
      <c r="AG4862">
        <v>-1.116960974995</v>
      </c>
      <c r="AH4862">
        <v>19.703275546723098</v>
      </c>
      <c r="AI4862">
        <v>93.072631455924395</v>
      </c>
      <c r="AJ4862">
        <v>108.755072501339</v>
      </c>
      <c r="AK4862">
        <v>20.838110914508199</v>
      </c>
      <c r="AL4862">
        <v>80.286083011133996</v>
      </c>
      <c r="AM4862">
        <v>98.239086853652097</v>
      </c>
      <c r="AN4862">
        <v>1.00000000425816</v>
      </c>
    </row>
    <row r="4863" spans="1:40" x14ac:dyDescent="0.25">
      <c r="A4863" t="str">
        <f>"20190304155732363"</f>
        <v>20190304155732363</v>
      </c>
      <c r="B4863" t="str">
        <f>"1551686252359507"</f>
        <v>1551686252359507</v>
      </c>
      <c r="C4863" t="s">
        <v>40</v>
      </c>
      <c r="D4863">
        <v>4.5554199999999998</v>
      </c>
      <c r="E4863">
        <v>0.42274800000000001</v>
      </c>
      <c r="F4863" t="s">
        <v>78</v>
      </c>
      <c r="G4863">
        <v>-420.75040000000001</v>
      </c>
      <c r="H4863" s="1">
        <v>-4.9018019999999999E-6</v>
      </c>
      <c r="I4863">
        <v>127.6542</v>
      </c>
      <c r="J4863">
        <v>-403.72250000000003</v>
      </c>
      <c r="K4863">
        <v>1.117067</v>
      </c>
      <c r="L4863">
        <v>139.25190000000001</v>
      </c>
      <c r="M4863">
        <v>-0.96392120000000003</v>
      </c>
      <c r="N4863">
        <v>-1.47461E-2</v>
      </c>
      <c r="O4863">
        <v>-0.265779299999999</v>
      </c>
      <c r="P4863">
        <v>-0.9049973</v>
      </c>
      <c r="Q4863">
        <v>0.1569139</v>
      </c>
      <c r="R4863">
        <v>-0.39542169999999999</v>
      </c>
      <c r="S4863">
        <v>-2.587555</v>
      </c>
      <c r="T4863">
        <v>-0.16703390000000001</v>
      </c>
      <c r="U4863">
        <v>-1.74675</v>
      </c>
      <c r="V4863">
        <v>-0.14345550000000001</v>
      </c>
      <c r="W4863">
        <v>0.16896229999999901</v>
      </c>
      <c r="X4863">
        <v>0.97512679999999996</v>
      </c>
      <c r="Y4863">
        <v>-0.31869940000000002</v>
      </c>
      <c r="Z4863">
        <v>-4.6844589999999999E-4</v>
      </c>
      <c r="AA4863">
        <v>0.94785569999999997</v>
      </c>
      <c r="AB4863">
        <v>29</v>
      </c>
      <c r="AC4863">
        <v>-17.027899999999899</v>
      </c>
      <c r="AD4863">
        <v>-1.1170719018019999</v>
      </c>
      <c r="AE4863">
        <v>-11.5977</v>
      </c>
      <c r="AF4863">
        <v>-6.63482295610791</v>
      </c>
      <c r="AG4863">
        <v>-1.1170719018019999</v>
      </c>
      <c r="AH4863">
        <v>19.440946771560899</v>
      </c>
      <c r="AI4863">
        <v>93.112682044732296</v>
      </c>
      <c r="AJ4863">
        <v>108.843790640273</v>
      </c>
      <c r="AK4863">
        <v>20.572290506099598</v>
      </c>
      <c r="AL4863">
        <v>80.272509599905405</v>
      </c>
      <c r="AM4863">
        <v>98.369020582243905</v>
      </c>
      <c r="AN4863">
        <v>1.0000000076898801</v>
      </c>
    </row>
    <row r="4864" spans="1:40" x14ac:dyDescent="0.25">
      <c r="A4864" t="str">
        <f>"20190304155732386"</f>
        <v>20190304155732386</v>
      </c>
      <c r="B4864" t="str">
        <f>"1551686252379028"</f>
        <v>1551686252379028</v>
      </c>
      <c r="C4864" t="s">
        <v>40</v>
      </c>
      <c r="D4864">
        <v>4.5820919999999896</v>
      </c>
      <c r="E4864">
        <v>0.42285420000000001</v>
      </c>
      <c r="F4864" t="s">
        <v>78</v>
      </c>
      <c r="G4864">
        <v>-420.98020000000002</v>
      </c>
      <c r="H4864" s="1">
        <v>-4.7873139999999999E-6</v>
      </c>
      <c r="I4864">
        <v>127.3295</v>
      </c>
      <c r="J4864">
        <v>-403.99900000000002</v>
      </c>
      <c r="K4864">
        <v>1.1171709999999999</v>
      </c>
      <c r="L4864">
        <v>139.16569999999999</v>
      </c>
      <c r="M4864">
        <v>-0.96144320000000005</v>
      </c>
      <c r="N4864">
        <v>-1.4766980000000001E-2</v>
      </c>
      <c r="O4864">
        <v>-0.2746073</v>
      </c>
      <c r="P4864">
        <v>-0.90037259999999997</v>
      </c>
      <c r="Q4864">
        <v>0.15667899999999901</v>
      </c>
      <c r="R4864">
        <v>-0.40593249999999997</v>
      </c>
      <c r="S4864">
        <v>-2.568451</v>
      </c>
      <c r="T4864">
        <v>-0.16625329999999999</v>
      </c>
      <c r="U4864">
        <v>-1.7743990000000001</v>
      </c>
      <c r="V4864">
        <v>-0.14590710000000001</v>
      </c>
      <c r="W4864">
        <v>0.16866149999999999</v>
      </c>
      <c r="X4864">
        <v>0.97481510000000005</v>
      </c>
      <c r="Y4864">
        <v>-0.32021640000000001</v>
      </c>
      <c r="Z4864">
        <v>-1.9056680000000001E-4</v>
      </c>
      <c r="AA4864">
        <v>0.94734439999999998</v>
      </c>
      <c r="AB4864">
        <v>29</v>
      </c>
      <c r="AC4864">
        <v>-16.981200000000001</v>
      </c>
      <c r="AD4864">
        <v>-1.117175787314</v>
      </c>
      <c r="AE4864">
        <v>-11.8361999999999</v>
      </c>
      <c r="AF4864">
        <v>-6.6978933374516503</v>
      </c>
      <c r="AG4864">
        <v>-1.117175787314</v>
      </c>
      <c r="AH4864">
        <v>19.522031398045801</v>
      </c>
      <c r="AI4864">
        <v>93.098348495346301</v>
      </c>
      <c r="AJ4864">
        <v>108.936790905089</v>
      </c>
      <c r="AK4864">
        <v>20.6692904282156</v>
      </c>
      <c r="AL4864">
        <v>80.289995348955799</v>
      </c>
      <c r="AM4864">
        <v>98.512648219919399</v>
      </c>
      <c r="AN4864">
        <v>1.0000000313003301</v>
      </c>
    </row>
    <row r="4865" spans="1:40" x14ac:dyDescent="0.25">
      <c r="A4865" t="str">
        <f>"20190304155732407"</f>
        <v>20190304155732407</v>
      </c>
      <c r="B4865" t="str">
        <f>"1551686252399819"</f>
        <v>1551686252399819</v>
      </c>
      <c r="C4865" t="s">
        <v>40</v>
      </c>
      <c r="D4865">
        <v>4.4223970000000001</v>
      </c>
      <c r="E4865">
        <v>0.42162050000000001</v>
      </c>
      <c r="F4865" t="s">
        <v>78</v>
      </c>
      <c r="G4865">
        <v>-420.74029999999999</v>
      </c>
      <c r="H4865" s="1">
        <v>-4.7297889999999999E-6</v>
      </c>
      <c r="I4865">
        <v>127.321</v>
      </c>
      <c r="J4865">
        <v>-404.25990000000002</v>
      </c>
      <c r="K4865">
        <v>1.1172839999999999</v>
      </c>
      <c r="L4865">
        <v>139.08170000000001</v>
      </c>
      <c r="M4865">
        <v>-0.9589761</v>
      </c>
      <c r="N4865">
        <v>-1.478732E-2</v>
      </c>
      <c r="O4865">
        <v>-0.2831012</v>
      </c>
      <c r="P4865">
        <v>-0.89621030000000002</v>
      </c>
      <c r="Q4865">
        <v>0.1550146</v>
      </c>
      <c r="R4865">
        <v>-0.41566570000000003</v>
      </c>
      <c r="S4865">
        <v>-2.548584</v>
      </c>
      <c r="T4865">
        <v>-0.17007159999999999</v>
      </c>
      <c r="U4865">
        <v>-1.8031619999999999</v>
      </c>
      <c r="V4865">
        <v>-0.147789</v>
      </c>
      <c r="W4865">
        <v>0.16694429999999999</v>
      </c>
      <c r="X4865">
        <v>0.9748272</v>
      </c>
      <c r="Y4865">
        <v>-0.32243529999999998</v>
      </c>
      <c r="Z4865">
        <v>2.2745640000000001E-4</v>
      </c>
      <c r="AA4865">
        <v>0.94659150000000003</v>
      </c>
      <c r="AB4865">
        <v>29</v>
      </c>
      <c r="AC4865">
        <v>-16.4803999999999</v>
      </c>
      <c r="AD4865">
        <v>-1.117288729789</v>
      </c>
      <c r="AE4865">
        <v>-11.7607</v>
      </c>
      <c r="AF4865">
        <v>-6.5932532892548501</v>
      </c>
      <c r="AG4865">
        <v>-1.117288729789</v>
      </c>
      <c r="AH4865">
        <v>19.077771099732299</v>
      </c>
      <c r="AI4865">
        <v>93.168234682622</v>
      </c>
      <c r="AJ4865">
        <v>109.06508411254499</v>
      </c>
      <c r="AK4865">
        <v>20.215852026955499</v>
      </c>
      <c r="AL4865">
        <v>80.389798804970994</v>
      </c>
      <c r="AM4865">
        <v>98.620699048105905</v>
      </c>
      <c r="AN4865">
        <v>1.0000000288416599</v>
      </c>
    </row>
    <row r="4866" spans="1:40" x14ac:dyDescent="0.25">
      <c r="A4866" t="str">
        <f>"20190304155732430"</f>
        <v>20190304155732430</v>
      </c>
      <c r="B4866" t="str">
        <f>"1551686252419339"</f>
        <v>1551686252419339</v>
      </c>
      <c r="C4866" t="s">
        <v>40</v>
      </c>
      <c r="D4866">
        <v>4.3684890000000003</v>
      </c>
      <c r="E4866">
        <v>0.42022949999999998</v>
      </c>
      <c r="F4866" t="s">
        <v>78</v>
      </c>
      <c r="G4866">
        <v>-420.90429999999998</v>
      </c>
      <c r="H4866" s="1">
        <v>-4.5768939999999996E-6</v>
      </c>
      <c r="I4866">
        <v>126.9496</v>
      </c>
      <c r="J4866">
        <v>-404.5283</v>
      </c>
      <c r="K4866">
        <v>1.1173930000000001</v>
      </c>
      <c r="L4866">
        <v>138.9924</v>
      </c>
      <c r="M4866">
        <v>-0.95630340000000003</v>
      </c>
      <c r="N4866">
        <v>-1.480855E-2</v>
      </c>
      <c r="O4866">
        <v>-0.29200100000000001</v>
      </c>
      <c r="P4866">
        <v>-0.89174189999999998</v>
      </c>
      <c r="Q4866">
        <v>0.15302789999999999</v>
      </c>
      <c r="R4866">
        <v>-0.42588569999999998</v>
      </c>
      <c r="S4866">
        <v>-2.5235599999999998</v>
      </c>
      <c r="T4866">
        <v>-0.16939870000000001</v>
      </c>
      <c r="U4866">
        <v>-1.8394170000000001</v>
      </c>
      <c r="V4866">
        <v>-0.14979410000000001</v>
      </c>
      <c r="W4866">
        <v>0.16490170000000001</v>
      </c>
      <c r="X4866">
        <v>0.97486879999999998</v>
      </c>
      <c r="Y4866">
        <v>-0.32698749999999999</v>
      </c>
      <c r="Z4866">
        <v>4.0754490000000001E-4</v>
      </c>
      <c r="AA4866">
        <v>0.9450286</v>
      </c>
      <c r="AB4866">
        <v>29</v>
      </c>
      <c r="AC4866">
        <v>-16.375999999999902</v>
      </c>
      <c r="AD4866">
        <v>-1.1173975768940001</v>
      </c>
      <c r="AE4866">
        <v>-12.0428</v>
      </c>
      <c r="AF4866">
        <v>-6.7152091323870398</v>
      </c>
      <c r="AG4866">
        <v>-1.1173975768940001</v>
      </c>
      <c r="AH4866">
        <v>19.121257608744099</v>
      </c>
      <c r="AI4866">
        <v>93.155874777819903</v>
      </c>
      <c r="AJ4866">
        <v>109.350803988685</v>
      </c>
      <c r="AK4866">
        <v>20.296923500286798</v>
      </c>
      <c r="AL4866">
        <v>80.508476025936801</v>
      </c>
      <c r="AM4866">
        <v>98.735499312527296</v>
      </c>
      <c r="AN4866">
        <v>1.0000000101355699</v>
      </c>
    </row>
    <row r="4867" spans="1:40" x14ac:dyDescent="0.25">
      <c r="A4867" t="str">
        <f>"20190304155732452"</f>
        <v>20190304155732452</v>
      </c>
      <c r="B4867" t="str">
        <f>"1551686252449595"</f>
        <v>1551686252449595</v>
      </c>
      <c r="C4867" t="s">
        <v>40</v>
      </c>
      <c r="D4867">
        <v>4.3875129999999896</v>
      </c>
      <c r="E4867">
        <v>0.41862149999999998</v>
      </c>
      <c r="F4867" t="s">
        <v>78</v>
      </c>
      <c r="G4867">
        <v>-421.3279</v>
      </c>
      <c r="H4867" s="1">
        <v>-4.3680670000000003E-6</v>
      </c>
      <c r="I4867">
        <v>126.3554</v>
      </c>
      <c r="J4867">
        <v>-404.79820000000001</v>
      </c>
      <c r="K4867">
        <v>1.1175079999999999</v>
      </c>
      <c r="L4867">
        <v>138.89930000000001</v>
      </c>
      <c r="M4867">
        <v>-0.95346339999999996</v>
      </c>
      <c r="N4867">
        <v>-1.483028E-2</v>
      </c>
      <c r="O4867">
        <v>-0.30114380000000002</v>
      </c>
      <c r="P4867">
        <v>-0.88673219999999997</v>
      </c>
      <c r="Q4867">
        <v>0.1523632</v>
      </c>
      <c r="R4867">
        <v>-0.43645329999999899</v>
      </c>
      <c r="S4867">
        <v>-2.4960019999999998</v>
      </c>
      <c r="T4867">
        <v>-0.16601659999999999</v>
      </c>
      <c r="U4867">
        <v>-1.8775329999999999</v>
      </c>
      <c r="V4867">
        <v>-0.15205170000000001</v>
      </c>
      <c r="W4867">
        <v>0.16417309999999999</v>
      </c>
      <c r="X4867">
        <v>0.97464220000000001</v>
      </c>
      <c r="Y4867">
        <v>-0.33217190000000002</v>
      </c>
      <c r="Z4867">
        <v>4.5418930000000002E-4</v>
      </c>
      <c r="AA4867">
        <v>0.94321880000000002</v>
      </c>
      <c r="AB4867">
        <v>29</v>
      </c>
      <c r="AC4867">
        <v>-16.529699999999899</v>
      </c>
      <c r="AD4867">
        <v>-1.1175123680670001</v>
      </c>
      <c r="AE4867">
        <v>-12.543900000000001</v>
      </c>
      <c r="AF4867">
        <v>-6.9629060395640296</v>
      </c>
      <c r="AG4867">
        <v>-1.1175123680670001</v>
      </c>
      <c r="AH4867">
        <v>19.483621462544001</v>
      </c>
      <c r="AI4867">
        <v>93.091603894503507</v>
      </c>
      <c r="AJ4867">
        <v>109.6654807028</v>
      </c>
      <c r="AK4867">
        <v>20.720579135349599</v>
      </c>
      <c r="AL4867">
        <v>80.550798189318101</v>
      </c>
      <c r="AM4867">
        <v>98.867107431557898</v>
      </c>
      <c r="AN4867">
        <v>0.99999997212866898</v>
      </c>
    </row>
    <row r="4868" spans="1:40" x14ac:dyDescent="0.25">
      <c r="A4868" t="str">
        <f>"20190304155732474"</f>
        <v>20190304155732474</v>
      </c>
      <c r="B4868" t="str">
        <f>"1551686252470094"</f>
        <v>1551686252470094</v>
      </c>
      <c r="C4868" t="s">
        <v>40</v>
      </c>
      <c r="D4868">
        <v>4.3580489999999896</v>
      </c>
      <c r="E4868">
        <v>0.41772290000000001</v>
      </c>
      <c r="F4868" t="s">
        <v>78</v>
      </c>
      <c r="G4868">
        <v>-422.19049999999999</v>
      </c>
      <c r="H4868" s="1">
        <v>-4.0570149999999996E-6</v>
      </c>
      <c r="I4868">
        <v>125.36960000000001</v>
      </c>
      <c r="J4868">
        <v>-405.06420000000003</v>
      </c>
      <c r="K4868">
        <v>1.117615</v>
      </c>
      <c r="L4868">
        <v>138.80459999999999</v>
      </c>
      <c r="M4868">
        <v>-0.95051600000000003</v>
      </c>
      <c r="N4868">
        <v>-1.485205E-2</v>
      </c>
      <c r="O4868">
        <v>-0.31032080000000001</v>
      </c>
      <c r="P4868">
        <v>-0.88184619999999903</v>
      </c>
      <c r="Q4868">
        <v>0.15204429999999999</v>
      </c>
      <c r="R4868">
        <v>-0.44635219999999998</v>
      </c>
      <c r="S4868">
        <v>-2.4661870000000001</v>
      </c>
      <c r="T4868">
        <v>-0.15846070000000001</v>
      </c>
      <c r="U4868">
        <v>-1.918488</v>
      </c>
      <c r="V4868">
        <v>-0.15359289999999901</v>
      </c>
      <c r="W4868">
        <v>0.16380339999999999</v>
      </c>
      <c r="X4868">
        <v>0.97446270000000001</v>
      </c>
      <c r="Y4868">
        <v>-0.33837879999999998</v>
      </c>
      <c r="Z4868">
        <v>2.583261E-4</v>
      </c>
      <c r="AA4868">
        <v>0.94100989999999995</v>
      </c>
      <c r="AB4868">
        <v>29</v>
      </c>
      <c r="AC4868">
        <v>-17.126299999999901</v>
      </c>
      <c r="AD4868">
        <v>-1.117619057015</v>
      </c>
      <c r="AE4868">
        <v>-13.434999999999899</v>
      </c>
      <c r="AF4868">
        <v>-7.4367518182817003</v>
      </c>
      <c r="AG4868">
        <v>-1.117619057015</v>
      </c>
      <c r="AH4868">
        <v>20.396465338437199</v>
      </c>
      <c r="AI4868">
        <v>92.946963737271801</v>
      </c>
      <c r="AJ4868">
        <v>110.032352843998</v>
      </c>
      <c r="AK4868">
        <v>21.738678622800101</v>
      </c>
      <c r="AL4868">
        <v>80.572270859327702</v>
      </c>
      <c r="AM4868">
        <v>98.957157974359404</v>
      </c>
      <c r="AN4868">
        <v>0.999999943236628</v>
      </c>
    </row>
    <row r="4869" spans="1:40" x14ac:dyDescent="0.25">
      <c r="A4869" t="str">
        <f>"20190304155732496"</f>
        <v>20190304155732496</v>
      </c>
      <c r="B4869" t="str">
        <f>"1551686252489937"</f>
        <v>1551686252489937</v>
      </c>
      <c r="C4869" t="s">
        <v>40</v>
      </c>
      <c r="D4869">
        <v>4.3781410000000003</v>
      </c>
      <c r="E4869">
        <v>0.41733409999999899</v>
      </c>
      <c r="F4869" t="s">
        <v>78</v>
      </c>
      <c r="G4869">
        <v>-422.67739999999998</v>
      </c>
      <c r="H4869" s="1">
        <v>-3.8297230000000004E-6</v>
      </c>
      <c r="I4869">
        <v>124.7116</v>
      </c>
      <c r="J4869">
        <v>-405.32659999999998</v>
      </c>
      <c r="K4869">
        <v>1.1177090000000001</v>
      </c>
      <c r="L4869">
        <v>138.70820000000001</v>
      </c>
      <c r="M4869">
        <v>-0.94746509999999995</v>
      </c>
      <c r="N4869">
        <v>-1.487319E-2</v>
      </c>
      <c r="O4869">
        <v>-0.31951360000000001</v>
      </c>
      <c r="P4869">
        <v>-0.87687979999999999</v>
      </c>
      <c r="Q4869">
        <v>0.151881399999999</v>
      </c>
      <c r="R4869">
        <v>-0.45608579999999999</v>
      </c>
      <c r="S4869">
        <v>-2.4403380000000001</v>
      </c>
      <c r="T4869">
        <v>-0.15484800000000001</v>
      </c>
      <c r="U4869">
        <v>-1.9526060000000001</v>
      </c>
      <c r="V4869">
        <v>-0.1549702</v>
      </c>
      <c r="W4869">
        <v>0.16359689999999999</v>
      </c>
      <c r="X4869">
        <v>0.97427929999999996</v>
      </c>
      <c r="Y4869">
        <v>-0.34215659999999998</v>
      </c>
      <c r="Z4869">
        <v>3.0583660000000002E-4</v>
      </c>
      <c r="AA4869">
        <v>0.93964289999999995</v>
      </c>
      <c r="AB4869">
        <v>29</v>
      </c>
      <c r="AC4869">
        <v>-17.3507999999999</v>
      </c>
      <c r="AD4869">
        <v>-1.1177128297229999</v>
      </c>
      <c r="AE4869">
        <v>-13.996600000000001</v>
      </c>
      <c r="AF4869">
        <v>-7.6989719145282001</v>
      </c>
      <c r="AG4869">
        <v>-1.1177128297229999</v>
      </c>
      <c r="AH4869">
        <v>20.861249479550001</v>
      </c>
      <c r="AI4869">
        <v>92.877526575569703</v>
      </c>
      <c r="AJ4869">
        <v>110.256891154912</v>
      </c>
      <c r="AK4869">
        <v>22.2646621433707</v>
      </c>
      <c r="AL4869">
        <v>80.584264115757705</v>
      </c>
      <c r="AM4869">
        <v>99.037832096633593</v>
      </c>
      <c r="AN4869">
        <v>0.99999993149306698</v>
      </c>
    </row>
    <row r="4870" spans="1:40" x14ac:dyDescent="0.25">
      <c r="A4870" t="str">
        <f>"20190304155732519"</f>
        <v>20190304155732519</v>
      </c>
      <c r="B4870" t="str">
        <f>"1551686252509458"</f>
        <v>1551686252509458</v>
      </c>
      <c r="C4870" t="s">
        <v>40</v>
      </c>
      <c r="D4870">
        <v>4.3830530000000003</v>
      </c>
      <c r="E4870">
        <v>0.41703420000000002</v>
      </c>
      <c r="F4870" t="s">
        <v>78</v>
      </c>
      <c r="G4870">
        <v>-422.94839999999999</v>
      </c>
      <c r="H4870" s="1">
        <v>-3.643309E-6</v>
      </c>
      <c r="I4870">
        <v>124.2544</v>
      </c>
      <c r="J4870">
        <v>-405.59249999999997</v>
      </c>
      <c r="K4870">
        <v>1.1178049999999999</v>
      </c>
      <c r="L4870">
        <v>138.60740000000001</v>
      </c>
      <c r="M4870">
        <v>-0.94421960000000005</v>
      </c>
      <c r="N4870">
        <v>-1.489323E-2</v>
      </c>
      <c r="O4870">
        <v>-0.32897949999999998</v>
      </c>
      <c r="P4870">
        <v>-0.87191549999999995</v>
      </c>
      <c r="Q4870">
        <v>0.15133679999999999</v>
      </c>
      <c r="R4870">
        <v>-0.4656827</v>
      </c>
      <c r="S4870">
        <v>-2.4167480000000001</v>
      </c>
      <c r="T4870">
        <v>-0.15328910000000001</v>
      </c>
      <c r="U4870">
        <v>-1.9822690000000001</v>
      </c>
      <c r="V4870">
        <v>-0.15591160000000001</v>
      </c>
      <c r="W4870">
        <v>0.16301969999999999</v>
      </c>
      <c r="X4870">
        <v>0.97422589999999998</v>
      </c>
      <c r="Y4870">
        <v>-0.34415190000000001</v>
      </c>
      <c r="Z4870">
        <v>5.1288910000000002E-4</v>
      </c>
      <c r="AA4870">
        <v>0.93891380000000002</v>
      </c>
      <c r="AB4870">
        <v>29</v>
      </c>
      <c r="AC4870">
        <v>-17.355899999999998</v>
      </c>
      <c r="AD4870">
        <v>-1.117808643309</v>
      </c>
      <c r="AE4870">
        <v>-14.353</v>
      </c>
      <c r="AF4870">
        <v>-7.8242448464350298</v>
      </c>
      <c r="AG4870">
        <v>-1.117808643309</v>
      </c>
      <c r="AH4870">
        <v>21.0600873133634</v>
      </c>
      <c r="AI4870">
        <v>92.848364966800901</v>
      </c>
      <c r="AJ4870">
        <v>110.38104135496</v>
      </c>
      <c r="AK4870">
        <v>22.494345538968499</v>
      </c>
      <c r="AL4870">
        <v>80.617785691068207</v>
      </c>
      <c r="AM4870">
        <v>99.092310083935004</v>
      </c>
      <c r="AN4870">
        <v>0.99999997691672904</v>
      </c>
    </row>
    <row r="4871" spans="1:40" x14ac:dyDescent="0.25">
      <c r="A4871" t="str">
        <f>"20190304155732541"</f>
        <v>20190304155732541</v>
      </c>
      <c r="B4871" t="str">
        <f>"1551686252529954"</f>
        <v>1551686252529954</v>
      </c>
      <c r="C4871" t="s">
        <v>40</v>
      </c>
      <c r="D4871">
        <v>4.3684669999999999</v>
      </c>
      <c r="E4871">
        <v>0.41670869999999999</v>
      </c>
      <c r="F4871" t="s">
        <v>78</v>
      </c>
      <c r="G4871">
        <v>-423.06360000000001</v>
      </c>
      <c r="H4871" s="1">
        <v>-3.4871769999999998E-6</v>
      </c>
      <c r="I4871">
        <v>123.9222</v>
      </c>
      <c r="J4871">
        <v>-405.85230000000001</v>
      </c>
      <c r="K4871">
        <v>1.1178980000000001</v>
      </c>
      <c r="L4871">
        <v>138.50579999999999</v>
      </c>
      <c r="M4871">
        <v>-0.94089339999999999</v>
      </c>
      <c r="N4871">
        <v>-1.4912419999999999E-2</v>
      </c>
      <c r="O4871">
        <v>-0.33837440000000002</v>
      </c>
      <c r="P4871">
        <v>-0.86671659999999995</v>
      </c>
      <c r="Q4871">
        <v>0.15176979999999901</v>
      </c>
      <c r="R4871">
        <v>-0.47515089999999999</v>
      </c>
      <c r="S4871">
        <v>-2.393005</v>
      </c>
      <c r="T4871">
        <v>-0.153105399999999</v>
      </c>
      <c r="U4871">
        <v>-2.0114139999999998</v>
      </c>
      <c r="V4871">
        <v>-0.15688270000000001</v>
      </c>
      <c r="W4871">
        <v>0.1634167</v>
      </c>
      <c r="X4871">
        <v>0.97400350000000002</v>
      </c>
      <c r="Y4871">
        <v>-0.34608630000000001</v>
      </c>
      <c r="Z4871">
        <v>7.8663929999999902E-4</v>
      </c>
      <c r="AA4871">
        <v>0.93820230000000004</v>
      </c>
      <c r="AB4871">
        <v>29</v>
      </c>
      <c r="AC4871">
        <v>-17.211299999999898</v>
      </c>
      <c r="AD4871">
        <v>-1.1179014871770001</v>
      </c>
      <c r="AE4871">
        <v>-14.583599999999899</v>
      </c>
      <c r="AF4871">
        <v>-7.8792792301634398</v>
      </c>
      <c r="AG4871">
        <v>-1.1179014871770001</v>
      </c>
      <c r="AH4871">
        <v>21.079301801386698</v>
      </c>
      <c r="AI4871">
        <v>92.843897120836999</v>
      </c>
      <c r="AJ4871">
        <v>110.4953525483</v>
      </c>
      <c r="AK4871">
        <v>22.531527008968201</v>
      </c>
      <c r="AL4871">
        <v>80.594730391878002</v>
      </c>
      <c r="AM4871">
        <v>99.150040627363097</v>
      </c>
      <c r="AN4871">
        <v>1.0000000087052101</v>
      </c>
    </row>
    <row r="4872" spans="1:40" x14ac:dyDescent="0.25">
      <c r="A4872" t="str">
        <f>"20190304155732564"</f>
        <v>20190304155732564</v>
      </c>
      <c r="B4872" t="str">
        <f>"1551686252560209"</f>
        <v>1551686252560209</v>
      </c>
      <c r="C4872" t="s">
        <v>40</v>
      </c>
      <c r="D4872">
        <v>4.3781829999999999</v>
      </c>
      <c r="E4872">
        <v>0.41654010000000002</v>
      </c>
      <c r="F4872" t="s">
        <v>78</v>
      </c>
      <c r="G4872">
        <v>-423.66090000000003</v>
      </c>
      <c r="H4872" s="1">
        <v>-3.2032379999999999E-6</v>
      </c>
      <c r="I4872">
        <v>123.1609</v>
      </c>
      <c r="J4872">
        <v>-406.10969999999998</v>
      </c>
      <c r="K4872">
        <v>1.1179889999999999</v>
      </c>
      <c r="L4872">
        <v>138.40209999999999</v>
      </c>
      <c r="M4872">
        <v>-0.93743960000000004</v>
      </c>
      <c r="N4872">
        <v>-1.4932529999999999E-2</v>
      </c>
      <c r="O4872">
        <v>-0.34782829999999998</v>
      </c>
      <c r="P4872">
        <v>-0.86193140000000001</v>
      </c>
      <c r="Q4872">
        <v>0.15145549999999999</v>
      </c>
      <c r="R4872">
        <v>-0.48387560000000002</v>
      </c>
      <c r="S4872">
        <v>-2.3685299999999998</v>
      </c>
      <c r="T4872">
        <v>-0.14867949999999999</v>
      </c>
      <c r="U4872">
        <v>-2.040848</v>
      </c>
      <c r="V4872">
        <v>-0.15692149999999999</v>
      </c>
      <c r="W4872">
        <v>0.16308789999999901</v>
      </c>
      <c r="X4872">
        <v>0.97405240000000004</v>
      </c>
      <c r="Y4872">
        <v>-0.34814139999999999</v>
      </c>
      <c r="Z4872">
        <v>8.1500829999999998E-4</v>
      </c>
      <c r="AA4872">
        <v>0.93744170000000004</v>
      </c>
      <c r="AB4872">
        <v>29</v>
      </c>
      <c r="AC4872">
        <v>-17.551200000000001</v>
      </c>
      <c r="AD4872">
        <v>-1.1179922032380001</v>
      </c>
      <c r="AE4872">
        <v>-15.2411999999999</v>
      </c>
      <c r="AF4872">
        <v>-8.1649237258277907</v>
      </c>
      <c r="AG4872">
        <v>-1.1179922032380001</v>
      </c>
      <c r="AH4872">
        <v>21.7067190850948</v>
      </c>
      <c r="AI4872">
        <v>92.759914925372399</v>
      </c>
      <c r="AJ4872">
        <v>110.61365443243101</v>
      </c>
      <c r="AK4872">
        <v>23.2184740983189</v>
      </c>
      <c r="AL4872">
        <v>80.613825798948398</v>
      </c>
      <c r="AM4872">
        <v>99.151813615578405</v>
      </c>
      <c r="AN4872">
        <v>1.0000000491172001</v>
      </c>
    </row>
    <row r="4873" spans="1:40" x14ac:dyDescent="0.25">
      <c r="A4873" t="str">
        <f>"20190304155732587"</f>
        <v>20190304155732587</v>
      </c>
      <c r="B4873" t="str">
        <f>"1551686252579731"</f>
        <v>1551686252579731</v>
      </c>
      <c r="C4873" t="s">
        <v>40</v>
      </c>
      <c r="D4873">
        <v>4.6147309999999999</v>
      </c>
      <c r="E4873">
        <v>0.41644399999999998</v>
      </c>
      <c r="F4873" t="s">
        <v>78</v>
      </c>
      <c r="G4873">
        <v>-423.8125</v>
      </c>
      <c r="H4873" s="1">
        <v>-3.0463349999999999E-6</v>
      </c>
      <c r="I4873">
        <v>122.8126</v>
      </c>
      <c r="J4873">
        <v>-406.38069999999999</v>
      </c>
      <c r="K4873">
        <v>1.11809</v>
      </c>
      <c r="L4873">
        <v>138.2894</v>
      </c>
      <c r="M4873">
        <v>-0.93362719999999999</v>
      </c>
      <c r="N4873">
        <v>-1.4954530000000001E-2</v>
      </c>
      <c r="O4873">
        <v>-0.35793409999999998</v>
      </c>
      <c r="P4873">
        <v>-0.85663590000000001</v>
      </c>
      <c r="Q4873">
        <v>0.1513121</v>
      </c>
      <c r="R4873">
        <v>-0.49323400000000001</v>
      </c>
      <c r="S4873">
        <v>-2.3465579999999999</v>
      </c>
      <c r="T4873">
        <v>-0.14819260000000001</v>
      </c>
      <c r="U4873">
        <v>-2.0664220000000002</v>
      </c>
      <c r="V4873">
        <v>-0.15703629999999999</v>
      </c>
      <c r="W4873">
        <v>0.1629265</v>
      </c>
      <c r="X4873">
        <v>0.97406079999999995</v>
      </c>
      <c r="Y4873">
        <v>-0.34813050000000001</v>
      </c>
      <c r="Z4873">
        <v>1.1458130000000001E-3</v>
      </c>
      <c r="AA4873">
        <v>0.93744539999999998</v>
      </c>
      <c r="AB4873">
        <v>28</v>
      </c>
      <c r="AC4873">
        <v>-17.431799999999999</v>
      </c>
      <c r="AD4873">
        <v>-1.1180930463349901</v>
      </c>
      <c r="AE4873">
        <v>-15.4767999999999</v>
      </c>
      <c r="AF4873">
        <v>-8.1921963673213298</v>
      </c>
      <c r="AG4873">
        <v>-1.1180930463349901</v>
      </c>
      <c r="AH4873">
        <v>21.766838211589899</v>
      </c>
      <c r="AI4873">
        <v>92.752357887784797</v>
      </c>
      <c r="AJ4873">
        <v>110.624397243988</v>
      </c>
      <c r="AK4873">
        <v>23.284274932033998</v>
      </c>
      <c r="AL4873">
        <v>80.623197697059894</v>
      </c>
      <c r="AM4873">
        <v>99.158317800459102</v>
      </c>
      <c r="AN4873">
        <v>0.99999994300828798</v>
      </c>
    </row>
    <row r="4874" spans="1:40" x14ac:dyDescent="0.25">
      <c r="A4874" t="str">
        <f>"20190304155732609"</f>
        <v>20190304155732609</v>
      </c>
      <c r="B4874" t="str">
        <f>"1551686252600226"</f>
        <v>1551686252600226</v>
      </c>
      <c r="C4874" t="s">
        <v>40</v>
      </c>
      <c r="D4874">
        <v>4.4712759999999996</v>
      </c>
      <c r="E4874">
        <v>0.41614580000000001</v>
      </c>
      <c r="F4874" t="s">
        <v>78</v>
      </c>
      <c r="G4874">
        <v>-423.9359</v>
      </c>
      <c r="H4874" s="1">
        <v>-2.8719430000000001E-6</v>
      </c>
      <c r="I4874">
        <v>122.46939999999999</v>
      </c>
      <c r="J4874">
        <v>-406.62540000000001</v>
      </c>
      <c r="K4874">
        <v>1.1181719999999999</v>
      </c>
      <c r="L4874">
        <v>138.18459999999999</v>
      </c>
      <c r="M4874">
        <v>-0.93002370000000001</v>
      </c>
      <c r="N4874">
        <v>-1.497473E-2</v>
      </c>
      <c r="O4874">
        <v>-0.36719459999999998</v>
      </c>
      <c r="P4874">
        <v>-0.85168840000000001</v>
      </c>
      <c r="Q4874">
        <v>0.15166979999999999</v>
      </c>
      <c r="R4874">
        <v>-0.50162079999999998</v>
      </c>
      <c r="S4874">
        <v>-2.3229060000000001</v>
      </c>
      <c r="T4874">
        <v>-0.1479471</v>
      </c>
      <c r="U4874">
        <v>-2.0933229999999998</v>
      </c>
      <c r="V4874">
        <v>-0.15698589999999901</v>
      </c>
      <c r="W4874">
        <v>0.16327079999999999</v>
      </c>
      <c r="X4874">
        <v>0.97401130000000002</v>
      </c>
      <c r="Y4874">
        <v>-0.34955580000000003</v>
      </c>
      <c r="Z4874">
        <v>1.413734E-3</v>
      </c>
      <c r="AA4874">
        <v>0.93691449999999998</v>
      </c>
      <c r="AB4874">
        <v>28</v>
      </c>
      <c r="AC4874">
        <v>-17.310499999999902</v>
      </c>
      <c r="AD4874">
        <v>-1.118174871943</v>
      </c>
      <c r="AE4874">
        <v>-15.7151999999999</v>
      </c>
      <c r="AF4874">
        <v>-8.2412610158608999</v>
      </c>
      <c r="AG4874">
        <v>-1.118174871943</v>
      </c>
      <c r="AH4874">
        <v>21.822246944664801</v>
      </c>
      <c r="AI4874">
        <v>92.744411132132498</v>
      </c>
      <c r="AJ4874">
        <v>110.689249244915</v>
      </c>
      <c r="AK4874">
        <v>23.353354360556601</v>
      </c>
      <c r="AL4874">
        <v>80.603203278950602</v>
      </c>
      <c r="AM4874">
        <v>99.155885677486197</v>
      </c>
      <c r="AN4874">
        <v>0.99999996972956895</v>
      </c>
    </row>
    <row r="4875" spans="1:40" x14ac:dyDescent="0.25">
      <c r="A4875" t="str">
        <f>"20190304155732631"</f>
        <v>20190304155732631</v>
      </c>
      <c r="B4875" t="str">
        <f>"1551686252619746"</f>
        <v>1551686252619746</v>
      </c>
      <c r="C4875" t="s">
        <v>40</v>
      </c>
      <c r="D4875">
        <v>4.442412</v>
      </c>
      <c r="E4875">
        <v>0.41614040000000002</v>
      </c>
      <c r="F4875" t="s">
        <v>78</v>
      </c>
      <c r="G4875">
        <v>-424.30009999999999</v>
      </c>
      <c r="H4875" s="1">
        <v>-2.6123649999999998E-6</v>
      </c>
      <c r="I4875">
        <v>121.9085</v>
      </c>
      <c r="J4875">
        <v>-406.8845</v>
      </c>
      <c r="K4875">
        <v>1.11826</v>
      </c>
      <c r="L4875">
        <v>138.0701</v>
      </c>
      <c r="M4875">
        <v>-0.92603150000000001</v>
      </c>
      <c r="N4875">
        <v>-1.499587E-2</v>
      </c>
      <c r="O4875">
        <v>-0.37714839999999999</v>
      </c>
      <c r="P4875">
        <v>-0.84622949999999997</v>
      </c>
      <c r="Q4875">
        <v>0.1522589</v>
      </c>
      <c r="R4875">
        <v>-0.51060090000000002</v>
      </c>
      <c r="S4875">
        <v>-2.3005979999999999</v>
      </c>
      <c r="T4875">
        <v>-0.14554510000000001</v>
      </c>
      <c r="U4875">
        <v>-2.1185459999999998</v>
      </c>
      <c r="V4875">
        <v>-0.15692900000000001</v>
      </c>
      <c r="W4875">
        <v>0.1638462</v>
      </c>
      <c r="X4875">
        <v>0.97392389999999995</v>
      </c>
      <c r="Y4875">
        <v>-0.34960419999999998</v>
      </c>
      <c r="Z4875">
        <v>1.604622E-3</v>
      </c>
      <c r="AA4875">
        <v>0.93689610000000001</v>
      </c>
      <c r="AB4875">
        <v>28</v>
      </c>
      <c r="AC4875">
        <v>-17.415599999999898</v>
      </c>
      <c r="AD4875">
        <v>-1.1182626123649999</v>
      </c>
      <c r="AE4875">
        <v>-16.1615999999999</v>
      </c>
      <c r="AF4875">
        <v>-8.3802644616924997</v>
      </c>
      <c r="AG4875">
        <v>-1.1182626123649999</v>
      </c>
      <c r="AH4875">
        <v>22.176087776005399</v>
      </c>
      <c r="AI4875">
        <v>92.700682318201004</v>
      </c>
      <c r="AJ4875">
        <v>110.701399857913</v>
      </c>
      <c r="AK4875">
        <v>23.7330615970046</v>
      </c>
      <c r="AL4875">
        <v>80.569785798899801</v>
      </c>
      <c r="AM4875">
        <v>99.153430731357702</v>
      </c>
      <c r="AN4875">
        <v>1.0000000256433199</v>
      </c>
    </row>
    <row r="4876" spans="1:40" x14ac:dyDescent="0.25">
      <c r="A4876" t="str">
        <f>"20190304155732653"</f>
        <v>20190304155732653</v>
      </c>
      <c r="B4876" t="str">
        <f>"1551686252650002"</f>
        <v>1551686252650002</v>
      </c>
      <c r="C4876" t="s">
        <v>40</v>
      </c>
      <c r="D4876">
        <v>4.4926560000000002</v>
      </c>
      <c r="E4876">
        <v>0.41621530000000001</v>
      </c>
      <c r="F4876" t="s">
        <v>78</v>
      </c>
      <c r="G4876">
        <v>-424.69619999999998</v>
      </c>
      <c r="H4876" s="1">
        <v>-2.331054E-6</v>
      </c>
      <c r="I4876">
        <v>121.3001</v>
      </c>
      <c r="J4876">
        <v>-407.13440000000003</v>
      </c>
      <c r="K4876">
        <v>1.118339</v>
      </c>
      <c r="L4876">
        <v>137.9563</v>
      </c>
      <c r="M4876">
        <v>-0.92200890000000002</v>
      </c>
      <c r="N4876">
        <v>-1.501542E-2</v>
      </c>
      <c r="O4876">
        <v>-0.38687759999999999</v>
      </c>
      <c r="P4876">
        <v>-0.84091099999999996</v>
      </c>
      <c r="Q4876">
        <v>0.15215290000000001</v>
      </c>
      <c r="R4876">
        <v>-0.51934389999999997</v>
      </c>
      <c r="S4876">
        <v>-2.2771910000000002</v>
      </c>
      <c r="T4876">
        <v>-0.1429675</v>
      </c>
      <c r="U4876">
        <v>-2.144012</v>
      </c>
      <c r="V4876">
        <v>-0.15679079999999901</v>
      </c>
      <c r="W4876">
        <v>0.16373279999999901</v>
      </c>
      <c r="X4876">
        <v>0.97396519999999998</v>
      </c>
      <c r="Y4876">
        <v>-0.35011019999999998</v>
      </c>
      <c r="Z4876">
        <v>1.747377E-3</v>
      </c>
      <c r="AA4876">
        <v>0.93670690000000001</v>
      </c>
      <c r="AB4876">
        <v>28</v>
      </c>
      <c r="AC4876">
        <v>-17.561799999999899</v>
      </c>
      <c r="AD4876">
        <v>-1.118341331054</v>
      </c>
      <c r="AE4876">
        <v>-16.656199999999998</v>
      </c>
      <c r="AF4876">
        <v>-8.5456188921481093</v>
      </c>
      <c r="AG4876">
        <v>-1.118341331054</v>
      </c>
      <c r="AH4876">
        <v>22.5903702510324</v>
      </c>
      <c r="AI4876">
        <v>92.651071369111406</v>
      </c>
      <c r="AJ4876">
        <v>110.72092447761599</v>
      </c>
      <c r="AK4876">
        <v>24.178567320279999</v>
      </c>
      <c r="AL4876">
        <v>80.576371820970706</v>
      </c>
      <c r="AM4876">
        <v>99.145124764820494</v>
      </c>
      <c r="AN4876">
        <v>0.99999999778575999</v>
      </c>
    </row>
    <row r="4877" spans="1:40" x14ac:dyDescent="0.25">
      <c r="A4877" t="str">
        <f>"20190304155732676"</f>
        <v>20190304155732676</v>
      </c>
      <c r="B4877" t="str">
        <f>"1551686252669521"</f>
        <v>1551686252669521</v>
      </c>
      <c r="C4877" t="s">
        <v>40</v>
      </c>
      <c r="D4877">
        <v>4.4426139999999998</v>
      </c>
      <c r="E4877">
        <v>0.41623880000000002</v>
      </c>
      <c r="F4877" t="s">
        <v>78</v>
      </c>
      <c r="G4877">
        <v>-424.71559999999999</v>
      </c>
      <c r="H4877" s="1">
        <v>-2.180517E-6</v>
      </c>
      <c r="I4877">
        <v>121.0552</v>
      </c>
      <c r="J4877">
        <v>-407.3922</v>
      </c>
      <c r="K4877">
        <v>1.118401</v>
      </c>
      <c r="L4877">
        <v>137.83539999999999</v>
      </c>
      <c r="M4877">
        <v>-0.91768850000000002</v>
      </c>
      <c r="N4877">
        <v>-1.5033960000000001E-2</v>
      </c>
      <c r="O4877">
        <v>-0.39701599999999998</v>
      </c>
      <c r="P4877">
        <v>-0.83513110000000002</v>
      </c>
      <c r="Q4877">
        <v>0.15162719999999999</v>
      </c>
      <c r="R4877">
        <v>-0.52873939999999997</v>
      </c>
      <c r="S4877">
        <v>-2.2548219999999999</v>
      </c>
      <c r="T4877">
        <v>-0.14342949999999999</v>
      </c>
      <c r="U4877">
        <v>-2.1676030000000002</v>
      </c>
      <c r="V4877">
        <v>-0.15695490000000001</v>
      </c>
      <c r="W4877">
        <v>0.1631975</v>
      </c>
      <c r="X4877">
        <v>0.97402860000000002</v>
      </c>
      <c r="Y4877">
        <v>-0.34952699999999998</v>
      </c>
      <c r="Z4877">
        <v>2.1472330000000001E-3</v>
      </c>
      <c r="AA4877">
        <v>0.93692390000000003</v>
      </c>
      <c r="AB4877">
        <v>28</v>
      </c>
      <c r="AC4877">
        <v>-17.3233999999999</v>
      </c>
      <c r="AD4877">
        <v>-1.1184031805170001</v>
      </c>
      <c r="AE4877">
        <v>-16.780199999999901</v>
      </c>
      <c r="AF4877">
        <v>-8.5040062620834398</v>
      </c>
      <c r="AG4877">
        <v>-1.1184031805170001</v>
      </c>
      <c r="AH4877">
        <v>22.5136308031664</v>
      </c>
      <c r="AI4877">
        <v>92.660732804644496</v>
      </c>
      <c r="AJ4877">
        <v>110.692904782098</v>
      </c>
      <c r="AK4877">
        <v>24.092167194360702</v>
      </c>
      <c r="AL4877">
        <v>80.607460339550997</v>
      </c>
      <c r="AM4877">
        <v>99.153948443114501</v>
      </c>
      <c r="AN4877">
        <v>0.99999998912910903</v>
      </c>
    </row>
    <row r="4878" spans="1:40" x14ac:dyDescent="0.25">
      <c r="A4878" t="str">
        <f>"20190304155732697"</f>
        <v>20190304155732697</v>
      </c>
      <c r="B4878" t="str">
        <f>"1551686252690019"</f>
        <v>1551686252690019</v>
      </c>
      <c r="C4878" t="s">
        <v>40</v>
      </c>
      <c r="D4878">
        <v>4.4403639999999998</v>
      </c>
      <c r="E4878">
        <v>0.41636309999999899</v>
      </c>
      <c r="F4878" t="s">
        <v>78</v>
      </c>
      <c r="G4878">
        <v>-424.63690000000003</v>
      </c>
      <c r="H4878" s="1">
        <v>-2.0442170000000001E-6</v>
      </c>
      <c r="I4878">
        <v>120.8737</v>
      </c>
      <c r="J4878">
        <v>-407.6354</v>
      </c>
      <c r="K4878">
        <v>1.118444</v>
      </c>
      <c r="L4878">
        <v>137.71809999999999</v>
      </c>
      <c r="M4878">
        <v>-0.91345140000000002</v>
      </c>
      <c r="N4878">
        <v>-1.504906E-2</v>
      </c>
      <c r="O4878">
        <v>-0.40666970000000002</v>
      </c>
      <c r="P4878">
        <v>-0.82958029999999905</v>
      </c>
      <c r="Q4878">
        <v>0.150889299999999</v>
      </c>
      <c r="R4878">
        <v>-0.5376145</v>
      </c>
      <c r="S4878">
        <v>-2.2298580000000001</v>
      </c>
      <c r="T4878">
        <v>-0.144617</v>
      </c>
      <c r="U4878">
        <v>-2.1932680000000002</v>
      </c>
      <c r="V4878">
        <v>-0.15702070000000001</v>
      </c>
      <c r="W4878">
        <v>0.162457399999999</v>
      </c>
      <c r="X4878">
        <v>0.9741417</v>
      </c>
      <c r="Y4878">
        <v>-0.35037439999999997</v>
      </c>
      <c r="Z4878">
        <v>2.5480709999999998E-3</v>
      </c>
      <c r="AA4878">
        <v>0.9366063</v>
      </c>
      <c r="AB4878">
        <v>28</v>
      </c>
      <c r="AC4878">
        <v>-17.0015</v>
      </c>
      <c r="AD4878">
        <v>-1.1184460442169999</v>
      </c>
      <c r="AE4878">
        <v>-16.844399999999901</v>
      </c>
      <c r="AF4878">
        <v>-8.4550394588168896</v>
      </c>
      <c r="AG4878">
        <v>-1.1184460442169999</v>
      </c>
      <c r="AH4878">
        <v>22.333908082211501</v>
      </c>
      <c r="AI4878">
        <v>92.681464920977803</v>
      </c>
      <c r="AJ4878">
        <v>110.73536850207999</v>
      </c>
      <c r="AK4878">
        <v>23.9069459368746</v>
      </c>
      <c r="AL4878">
        <v>80.650438417951193</v>
      </c>
      <c r="AM4878">
        <v>99.156675810464606</v>
      </c>
      <c r="AN4878">
        <v>0.99999997936106899</v>
      </c>
    </row>
    <row r="4879" spans="1:40" x14ac:dyDescent="0.25">
      <c r="A4879" t="str">
        <f>"20190304155732721"</f>
        <v>20190304155732721</v>
      </c>
      <c r="B4879" t="str">
        <f>"1551686252709538"</f>
        <v>1551686252709538</v>
      </c>
      <c r="C4879" t="s">
        <v>40</v>
      </c>
      <c r="D4879">
        <v>4.4415060000000004</v>
      </c>
      <c r="E4879">
        <v>0.41644769999999998</v>
      </c>
      <c r="F4879" t="s">
        <v>78</v>
      </c>
      <c r="G4879">
        <v>-424.4083</v>
      </c>
      <c r="H4879" s="1">
        <v>-1.9794309999999999E-6</v>
      </c>
      <c r="I4879">
        <v>120.8674</v>
      </c>
      <c r="J4879">
        <v>-407.89019999999999</v>
      </c>
      <c r="K4879">
        <v>1.1184799999999999</v>
      </c>
      <c r="L4879">
        <v>137.5917</v>
      </c>
      <c r="M4879">
        <v>-0.90884600000000004</v>
      </c>
      <c r="N4879">
        <v>-1.506273E-2</v>
      </c>
      <c r="O4879">
        <v>-0.41686020000000001</v>
      </c>
      <c r="P4879">
        <v>-0.82350140000000005</v>
      </c>
      <c r="Q4879">
        <v>0.1499509</v>
      </c>
      <c r="R4879">
        <v>-0.54713840000000002</v>
      </c>
      <c r="S4879">
        <v>-2.206512</v>
      </c>
      <c r="T4879">
        <v>-0.14713370000000001</v>
      </c>
      <c r="U4879">
        <v>-2.216736</v>
      </c>
      <c r="V4879">
        <v>-0.15727669999999999</v>
      </c>
      <c r="W4879">
        <v>0.16151489999999999</v>
      </c>
      <c r="X4879">
        <v>0.97425709999999999</v>
      </c>
      <c r="Y4879">
        <v>-0.3498134</v>
      </c>
      <c r="Z4879">
        <v>3.1291019999999999E-3</v>
      </c>
      <c r="AA4879">
        <v>0.93681420000000004</v>
      </c>
      <c r="AB4879">
        <v>28</v>
      </c>
      <c r="AC4879">
        <v>-16.5181</v>
      </c>
      <c r="AD4879">
        <v>-1.1184819794309999</v>
      </c>
      <c r="AE4879">
        <v>-16.724299999999999</v>
      </c>
      <c r="AF4879">
        <v>-8.2962333989452297</v>
      </c>
      <c r="AG4879">
        <v>-1.1184819794309999</v>
      </c>
      <c r="AH4879">
        <v>21.936928158669499</v>
      </c>
      <c r="AI4879">
        <v>92.730355096617998</v>
      </c>
      <c r="AJ4879">
        <v>110.715903176426</v>
      </c>
      <c r="AK4879">
        <v>23.479934147836001</v>
      </c>
      <c r="AL4879">
        <v>80.705162251142895</v>
      </c>
      <c r="AM4879">
        <v>99.170283089902298</v>
      </c>
      <c r="AN4879">
        <v>0.99999996009265402</v>
      </c>
    </row>
    <row r="4880" spans="1:40" x14ac:dyDescent="0.25">
      <c r="A4880" t="str">
        <f>"20190304155732742"</f>
        <v>20190304155732742</v>
      </c>
      <c r="B4880" t="str">
        <f>"1551686252739795"</f>
        <v>1551686252739795</v>
      </c>
      <c r="C4880" t="s">
        <v>40</v>
      </c>
      <c r="D4880">
        <v>4.4980789999999997</v>
      </c>
      <c r="E4880">
        <v>0.41667340000000003</v>
      </c>
      <c r="F4880" t="s">
        <v>78</v>
      </c>
      <c r="G4880">
        <v>-424.10739999999998</v>
      </c>
      <c r="H4880" s="1">
        <v>-1.9351630000000002E-6</v>
      </c>
      <c r="I4880">
        <v>120.9237</v>
      </c>
      <c r="J4880">
        <v>-408.13069999999999</v>
      </c>
      <c r="K4880">
        <v>1.1184989999999999</v>
      </c>
      <c r="L4880">
        <v>137.46899999999999</v>
      </c>
      <c r="M4880">
        <v>-0.90434420000000004</v>
      </c>
      <c r="N4880">
        <v>-1.5073960000000001E-2</v>
      </c>
      <c r="O4880">
        <v>-0.42653760000000002</v>
      </c>
      <c r="P4880">
        <v>-0.81756870000000004</v>
      </c>
      <c r="Q4880">
        <v>0.1491479</v>
      </c>
      <c r="R4880">
        <v>-0.55618040000000002</v>
      </c>
      <c r="S4880">
        <v>-2.1810299999999998</v>
      </c>
      <c r="T4880">
        <v>-0.15042249999999999</v>
      </c>
      <c r="U4880">
        <v>-2.241638</v>
      </c>
      <c r="V4880">
        <v>-0.15754479999999901</v>
      </c>
      <c r="W4880">
        <v>0.1607102</v>
      </c>
      <c r="X4880">
        <v>0.97434690000000002</v>
      </c>
      <c r="Y4880">
        <v>-0.35048390000000001</v>
      </c>
      <c r="Z4880">
        <v>3.7379330000000001E-3</v>
      </c>
      <c r="AA4880">
        <v>0.93656130000000004</v>
      </c>
      <c r="AB4880">
        <v>28</v>
      </c>
      <c r="AC4880">
        <v>-15.9766999999999</v>
      </c>
      <c r="AD4880">
        <v>-1.118500935163</v>
      </c>
      <c r="AE4880">
        <v>-16.545299999999902</v>
      </c>
      <c r="AF4880">
        <v>-8.1296827590672294</v>
      </c>
      <c r="AG4880">
        <v>-1.118500935163</v>
      </c>
      <c r="AH4880">
        <v>21.457327710304099</v>
      </c>
      <c r="AI4880">
        <v>92.790696469154895</v>
      </c>
      <c r="AJ4880">
        <v>110.750533571685</v>
      </c>
      <c r="AK4880">
        <v>22.973021102423999</v>
      </c>
      <c r="AL4880">
        <v>80.751878904268196</v>
      </c>
      <c r="AM4880">
        <v>99.184816693340096</v>
      </c>
      <c r="AN4880">
        <v>1.0000000069653401</v>
      </c>
    </row>
    <row r="4881" spans="1:40" x14ac:dyDescent="0.25">
      <c r="A4881" t="str">
        <f>"20190304155732766"</f>
        <v>20190304155732766</v>
      </c>
      <c r="B4881" t="str">
        <f>"1551686252759314"</f>
        <v>1551686252759314</v>
      </c>
      <c r="C4881" t="s">
        <v>40</v>
      </c>
      <c r="D4881">
        <v>4.4421179999999998</v>
      </c>
      <c r="E4881">
        <v>0.41673159999999998</v>
      </c>
      <c r="F4881" t="s">
        <v>78</v>
      </c>
      <c r="G4881">
        <v>-423.77</v>
      </c>
      <c r="H4881" s="1">
        <v>-1.9304549999999998E-6</v>
      </c>
      <c r="I4881">
        <v>121.05759999999999</v>
      </c>
      <c r="J4881">
        <v>-408.38069999999999</v>
      </c>
      <c r="K4881">
        <v>1.118509</v>
      </c>
      <c r="L4881">
        <v>137.3381</v>
      </c>
      <c r="M4881">
        <v>-0.89951130000000001</v>
      </c>
      <c r="N4881">
        <v>-1.508368E-2</v>
      </c>
      <c r="O4881">
        <v>-0.43663659999999999</v>
      </c>
      <c r="P4881">
        <v>-0.81125019999999903</v>
      </c>
      <c r="Q4881">
        <v>0.14874089999999901</v>
      </c>
      <c r="R4881">
        <v>-0.56546339999999995</v>
      </c>
      <c r="S4881">
        <v>-2.1574399999999998</v>
      </c>
      <c r="T4881">
        <v>-0.15429789999999999</v>
      </c>
      <c r="U4881">
        <v>-2.2639619999999998</v>
      </c>
      <c r="V4881">
        <v>-0.15770689999999901</v>
      </c>
      <c r="W4881">
        <v>0.160304</v>
      </c>
      <c r="X4881">
        <v>0.97438760000000002</v>
      </c>
      <c r="Y4881">
        <v>-0.34972350000000002</v>
      </c>
      <c r="Z4881">
        <v>4.484849E-3</v>
      </c>
      <c r="AA4881">
        <v>0.93684219999999896</v>
      </c>
      <c r="AB4881">
        <v>28</v>
      </c>
      <c r="AC4881">
        <v>-15.389299999999899</v>
      </c>
      <c r="AD4881">
        <v>-1.1185109304550001</v>
      </c>
      <c r="AE4881">
        <v>-16.2805</v>
      </c>
      <c r="AF4881">
        <v>-7.9061573457557399</v>
      </c>
      <c r="AG4881">
        <v>-1.1185109304550001</v>
      </c>
      <c r="AH4881">
        <v>20.901796623600699</v>
      </c>
      <c r="AI4881">
        <v>92.865362815929203</v>
      </c>
      <c r="AJ4881">
        <v>110.719250811698</v>
      </c>
      <c r="AK4881">
        <v>22.375064084193301</v>
      </c>
      <c r="AL4881">
        <v>80.7754582546536</v>
      </c>
      <c r="AM4881">
        <v>99.193728282843693</v>
      </c>
      <c r="AN4881">
        <v>1.00000001687868</v>
      </c>
    </row>
    <row r="4882" spans="1:40" x14ac:dyDescent="0.25">
      <c r="A4882" t="str">
        <f>"20190304155732788"</f>
        <v>20190304155732788</v>
      </c>
      <c r="B4882" t="str">
        <f>"1551686252779810"</f>
        <v>1551686252779810</v>
      </c>
      <c r="C4882" t="s">
        <v>40</v>
      </c>
      <c r="D4882">
        <v>4.476928</v>
      </c>
      <c r="E4882">
        <v>0.41676390000000002</v>
      </c>
      <c r="F4882" t="s">
        <v>78</v>
      </c>
      <c r="G4882">
        <v>-423.64089999999999</v>
      </c>
      <c r="H4882" s="1">
        <v>-1.8302859999999999E-6</v>
      </c>
      <c r="I4882">
        <v>120.95399999999999</v>
      </c>
      <c r="J4882">
        <v>-408.62479999999999</v>
      </c>
      <c r="K4882">
        <v>1.118509</v>
      </c>
      <c r="L4882">
        <v>137.20670000000001</v>
      </c>
      <c r="M4882">
        <v>-0.89464390000000005</v>
      </c>
      <c r="N4882">
        <v>-1.5091149999999999E-2</v>
      </c>
      <c r="O4882">
        <v>-0.44652510000000001</v>
      </c>
      <c r="P4882">
        <v>-0.80484319999999998</v>
      </c>
      <c r="Q4882">
        <v>0.14862120000000001</v>
      </c>
      <c r="R4882">
        <v>-0.57457749999999996</v>
      </c>
      <c r="S4882">
        <v>-2.1314700000000002</v>
      </c>
      <c r="T4882">
        <v>-0.156227799999999</v>
      </c>
      <c r="U4882">
        <v>-2.2884370000000001</v>
      </c>
      <c r="V4882">
        <v>-0.15794639999999999</v>
      </c>
      <c r="W4882">
        <v>0.16018489999999999</v>
      </c>
      <c r="X4882">
        <v>0.97436840000000002</v>
      </c>
      <c r="Y4882">
        <v>-0.35008979999999901</v>
      </c>
      <c r="Z4882">
        <v>5.0391619999999998E-3</v>
      </c>
      <c r="AA4882">
        <v>0.93670260000000005</v>
      </c>
      <c r="AB4882">
        <v>28</v>
      </c>
      <c r="AC4882">
        <v>-15.0160999999999</v>
      </c>
      <c r="AD4882">
        <v>-1.1185108302860001</v>
      </c>
      <c r="AE4882">
        <v>-16.252700000000001</v>
      </c>
      <c r="AF4882">
        <v>-7.8162339558479399</v>
      </c>
      <c r="AG4882">
        <v>-1.1185108302860001</v>
      </c>
      <c r="AH4882">
        <v>20.6409163448578</v>
      </c>
      <c r="AI4882">
        <v>92.901109635454802</v>
      </c>
      <c r="AJ4882">
        <v>110.740508974896</v>
      </c>
      <c r="AK4882">
        <v>22.099592921260601</v>
      </c>
      <c r="AL4882">
        <v>80.782371578187394</v>
      </c>
      <c r="AM4882">
        <v>99.207629611941201</v>
      </c>
      <c r="AN4882">
        <v>1.0000000231897599</v>
      </c>
    </row>
    <row r="4883" spans="1:40" x14ac:dyDescent="0.25">
      <c r="A4883" t="str">
        <f>"20190304155732810"</f>
        <v>20190304155732810</v>
      </c>
      <c r="B4883" t="str">
        <f>"1551686252799330"</f>
        <v>1551686252799330</v>
      </c>
      <c r="C4883" t="s">
        <v>40</v>
      </c>
      <c r="D4883">
        <v>4.4520780000000002</v>
      </c>
      <c r="E4883">
        <v>0.41683320000000001</v>
      </c>
      <c r="F4883" t="s">
        <v>78</v>
      </c>
      <c r="G4883">
        <v>-423.63010000000003</v>
      </c>
      <c r="H4883" s="1">
        <v>-1.6841659999999901E-6</v>
      </c>
      <c r="I4883">
        <v>120.7287</v>
      </c>
      <c r="J4883">
        <v>-408.86270000000002</v>
      </c>
      <c r="K4883">
        <v>1.1185050000000001</v>
      </c>
      <c r="L4883">
        <v>137.0753</v>
      </c>
      <c r="M4883">
        <v>-0.88975669999999996</v>
      </c>
      <c r="N4883">
        <v>-1.5096460000000001E-2</v>
      </c>
      <c r="O4883">
        <v>-0.45618550000000002</v>
      </c>
      <c r="P4883">
        <v>-0.79852719999999999</v>
      </c>
      <c r="Q4883">
        <v>0.14888670000000001</v>
      </c>
      <c r="R4883">
        <v>-0.58325559999999999</v>
      </c>
      <c r="S4883">
        <v>-2.1056819999999998</v>
      </c>
      <c r="T4883">
        <v>-0.1569595</v>
      </c>
      <c r="U4883">
        <v>-2.3123469999999999</v>
      </c>
      <c r="V4883">
        <v>-0.1579701</v>
      </c>
      <c r="W4883">
        <v>0.1604556</v>
      </c>
      <c r="X4883">
        <v>0.97431999999999996</v>
      </c>
      <c r="Y4883">
        <v>-0.35048479999999999</v>
      </c>
      <c r="Z4883">
        <v>5.48564E-3</v>
      </c>
      <c r="AA4883">
        <v>0.9365523</v>
      </c>
      <c r="AB4883">
        <v>28</v>
      </c>
      <c r="AC4883">
        <v>-14.7674</v>
      </c>
      <c r="AD4883">
        <v>-1.1185066841660001</v>
      </c>
      <c r="AE4883">
        <v>-16.346599999999899</v>
      </c>
      <c r="AF4883">
        <v>-7.7886337234988501</v>
      </c>
      <c r="AG4883">
        <v>-1.1185066841660001</v>
      </c>
      <c r="AH4883">
        <v>20.545854741402898</v>
      </c>
      <c r="AI4883">
        <v>92.914104660924494</v>
      </c>
      <c r="AJ4883">
        <v>110.760986940585</v>
      </c>
      <c r="AK4883">
        <v>22.001045873689201</v>
      </c>
      <c r="AL4883">
        <v>80.766658212725702</v>
      </c>
      <c r="AM4883">
        <v>99.209437179285501</v>
      </c>
      <c r="AN4883">
        <v>1.00000000723268</v>
      </c>
    </row>
    <row r="4884" spans="1:40" x14ac:dyDescent="0.25">
      <c r="A4884" t="str">
        <f>"20190304155732833"</f>
        <v>20190304155732833</v>
      </c>
      <c r="B4884" t="str">
        <f>"1551686252829586"</f>
        <v>1551686252829586</v>
      </c>
      <c r="C4884" t="s">
        <v>40</v>
      </c>
      <c r="D4884">
        <v>4.446752</v>
      </c>
      <c r="E4884">
        <v>0.41698439999999998</v>
      </c>
      <c r="F4884" t="s">
        <v>78</v>
      </c>
      <c r="G4884">
        <v>-423.72910000000002</v>
      </c>
      <c r="H4884" s="1">
        <v>-1.497015E-6</v>
      </c>
      <c r="I4884">
        <v>120.39279999999999</v>
      </c>
      <c r="J4884">
        <v>-409.1037</v>
      </c>
      <c r="K4884">
        <v>1.1184970000000001</v>
      </c>
      <c r="L4884">
        <v>136.9384</v>
      </c>
      <c r="M4884">
        <v>-0.88466129999999998</v>
      </c>
      <c r="N4884">
        <v>-1.510002E-2</v>
      </c>
      <c r="O4884">
        <v>-0.46598990000000001</v>
      </c>
      <c r="P4884">
        <v>-0.79206160000000003</v>
      </c>
      <c r="Q4884">
        <v>0.14853839999999999</v>
      </c>
      <c r="R4884">
        <v>-0.59209330000000004</v>
      </c>
      <c r="S4884">
        <v>-2.0806879999999999</v>
      </c>
      <c r="T4884">
        <v>-0.1565454</v>
      </c>
      <c r="U4884">
        <v>-2.3348689999999999</v>
      </c>
      <c r="V4884">
        <v>-0.15799009999999999</v>
      </c>
      <c r="W4884">
        <v>0.1601148</v>
      </c>
      <c r="X4884">
        <v>0.97437280000000004</v>
      </c>
      <c r="Y4884">
        <v>-0.35021720000000001</v>
      </c>
      <c r="Z4884">
        <v>5.8553950000000002E-3</v>
      </c>
      <c r="AA4884">
        <v>0.93665019999999999</v>
      </c>
      <c r="AB4884">
        <v>28</v>
      </c>
      <c r="AC4884">
        <v>-14.625400000000001</v>
      </c>
      <c r="AD4884">
        <v>-1.11849849701499</v>
      </c>
      <c r="AE4884">
        <v>-16.5456</v>
      </c>
      <c r="AF4884">
        <v>-7.8028370199136496</v>
      </c>
      <c r="AG4884">
        <v>-1.11849849701499</v>
      </c>
      <c r="AH4884">
        <v>20.598117792324999</v>
      </c>
      <c r="AI4884">
        <v>92.9069640727717</v>
      </c>
      <c r="AJ4884">
        <v>110.74734441245501</v>
      </c>
      <c r="AK4884">
        <v>22.0548806624215</v>
      </c>
      <c r="AL4884">
        <v>80.786440196233201</v>
      </c>
      <c r="AM4884">
        <v>99.210092612901505</v>
      </c>
      <c r="AN4884">
        <v>0.99999998712844496</v>
      </c>
    </row>
    <row r="4885" spans="1:40" x14ac:dyDescent="0.25">
      <c r="A4885" t="str">
        <f>"20190304155732855"</f>
        <v>20190304155732855</v>
      </c>
      <c r="B4885" t="str">
        <f>"1551686252850082"</f>
        <v>1551686252850082</v>
      </c>
      <c r="C4885" t="s">
        <v>40</v>
      </c>
      <c r="D4885">
        <v>4.4383629999999998</v>
      </c>
      <c r="E4885">
        <v>0.41711280000000001</v>
      </c>
      <c r="F4885" t="s">
        <v>78</v>
      </c>
      <c r="G4885">
        <v>-423.5625</v>
      </c>
      <c r="H4885" s="1">
        <v>-1.43317999999999E-6</v>
      </c>
      <c r="I4885">
        <v>120.3621</v>
      </c>
      <c r="J4885">
        <v>-409.34570000000002</v>
      </c>
      <c r="K4885">
        <v>1.118482</v>
      </c>
      <c r="L4885">
        <v>136.79740000000001</v>
      </c>
      <c r="M4885">
        <v>-0.87939920000000005</v>
      </c>
      <c r="N4885">
        <v>-1.5102310000000001E-2</v>
      </c>
      <c r="O4885">
        <v>-0.47584539999999997</v>
      </c>
      <c r="P4885">
        <v>-0.78564469999999997</v>
      </c>
      <c r="Q4885">
        <v>0.14789269999999999</v>
      </c>
      <c r="R4885">
        <v>-0.60074139999999998</v>
      </c>
      <c r="S4885">
        <v>-2.0556640000000002</v>
      </c>
      <c r="T4885">
        <v>-0.15902160000000001</v>
      </c>
      <c r="U4885">
        <v>-2.3567200000000001</v>
      </c>
      <c r="V4885">
        <v>-0.15770899999999999</v>
      </c>
      <c r="W4885">
        <v>0.15948409999999999</v>
      </c>
      <c r="X4885">
        <v>0.97452179999999999</v>
      </c>
      <c r="Y4885">
        <v>-0.34970499999999999</v>
      </c>
      <c r="Z4885">
        <v>6.527705E-3</v>
      </c>
      <c r="AA4885">
        <v>0.93683709999999998</v>
      </c>
      <c r="AB4885">
        <v>28</v>
      </c>
      <c r="AC4885">
        <v>-14.2167999999999</v>
      </c>
      <c r="AD4885">
        <v>-1.11848343318</v>
      </c>
      <c r="AE4885">
        <v>-16.435300000000002</v>
      </c>
      <c r="AF4885">
        <v>-7.66875282068386</v>
      </c>
      <c r="AG4885">
        <v>-1.11848343318</v>
      </c>
      <c r="AH4885">
        <v>20.2715222730051</v>
      </c>
      <c r="AI4885">
        <v>92.9541755637362</v>
      </c>
      <c r="AJ4885">
        <v>110.721719309067</v>
      </c>
      <c r="AK4885">
        <v>21.7024282116077</v>
      </c>
      <c r="AL4885">
        <v>80.823047391797004</v>
      </c>
      <c r="AM4885">
        <v>99.192604159539101</v>
      </c>
      <c r="AN4885">
        <v>1.00000002275452</v>
      </c>
    </row>
    <row r="4886" spans="1:40" x14ac:dyDescent="0.25">
      <c r="A4886" t="str">
        <f>"20190304155732876"</f>
        <v>20190304155732876</v>
      </c>
      <c r="B4886" t="str">
        <f>"1551686252869602"</f>
        <v>1551686252869602</v>
      </c>
      <c r="C4886" t="s">
        <v>40</v>
      </c>
      <c r="D4886">
        <v>4.4387349999999897</v>
      </c>
      <c r="E4886">
        <v>0.41727320000000001</v>
      </c>
      <c r="F4886" t="s">
        <v>78</v>
      </c>
      <c r="G4886">
        <v>-423.37830000000002</v>
      </c>
      <c r="H4886" s="1">
        <v>-1.377164E-6</v>
      </c>
      <c r="I4886">
        <v>120.3511</v>
      </c>
      <c r="J4886">
        <v>-409.57</v>
      </c>
      <c r="K4886">
        <v>1.118465</v>
      </c>
      <c r="L4886">
        <v>136.6635</v>
      </c>
      <c r="M4886">
        <v>-0.87438969999999905</v>
      </c>
      <c r="N4886">
        <v>-1.510361E-2</v>
      </c>
      <c r="O4886">
        <v>-0.48498960000000002</v>
      </c>
      <c r="P4886">
        <v>-0.77976939999999995</v>
      </c>
      <c r="Q4886">
        <v>0.1478148</v>
      </c>
      <c r="R4886">
        <v>-0.6083674</v>
      </c>
      <c r="S4886">
        <v>-2.0298769999999999</v>
      </c>
      <c r="T4886">
        <v>-0.16179350000000001</v>
      </c>
      <c r="U4886">
        <v>-2.3790279999999999</v>
      </c>
      <c r="V4886">
        <v>-0.15702639999999901</v>
      </c>
      <c r="W4886">
        <v>0.1594276</v>
      </c>
      <c r="X4886">
        <v>0.97464130000000004</v>
      </c>
      <c r="Y4886">
        <v>-0.35015259999999998</v>
      </c>
      <c r="Z4886">
        <v>7.1878150000000002E-3</v>
      </c>
      <c r="AA4886">
        <v>0.93666510000000003</v>
      </c>
      <c r="AB4886">
        <v>28</v>
      </c>
      <c r="AC4886">
        <v>-13.808299999999999</v>
      </c>
      <c r="AD4886">
        <v>-1.118466377164</v>
      </c>
      <c r="AE4886">
        <v>-16.312399999999901</v>
      </c>
      <c r="AF4886">
        <v>-7.5467057585805097</v>
      </c>
      <c r="AG4886">
        <v>-1.118466377164</v>
      </c>
      <c r="AH4886">
        <v>19.932864361925599</v>
      </c>
      <c r="AI4886">
        <v>93.003927706716198</v>
      </c>
      <c r="AJ4886">
        <v>110.73697575656099</v>
      </c>
      <c r="AK4886">
        <v>21.342980497446099</v>
      </c>
      <c r="AL4886">
        <v>80.826326875061696</v>
      </c>
      <c r="AM4886">
        <v>99.152388167564595</v>
      </c>
      <c r="AN4886">
        <v>1.0000000568022001</v>
      </c>
    </row>
    <row r="4887" spans="1:40" x14ac:dyDescent="0.25">
      <c r="A4887" t="str">
        <f>"20190304155732898"</f>
        <v>20190304155732898</v>
      </c>
      <c r="B4887" t="str">
        <f>"1551686252890098"</f>
        <v>1551686252890098</v>
      </c>
      <c r="C4887" t="s">
        <v>40</v>
      </c>
      <c r="D4887">
        <v>4.4510540000000001</v>
      </c>
      <c r="E4887">
        <v>0.41743639999999999</v>
      </c>
      <c r="F4887" t="s">
        <v>78</v>
      </c>
      <c r="G4887">
        <v>-423.38240000000002</v>
      </c>
      <c r="H4887" s="1">
        <v>-1.2574889999999999E-6</v>
      </c>
      <c r="I4887">
        <v>120.1611</v>
      </c>
      <c r="J4887">
        <v>-409.80270000000002</v>
      </c>
      <c r="K4887">
        <v>1.1184529999999999</v>
      </c>
      <c r="L4887">
        <v>136.52109999999999</v>
      </c>
      <c r="M4887">
        <v>-0.86905010000000005</v>
      </c>
      <c r="N4887">
        <v>-1.5104390000000001E-2</v>
      </c>
      <c r="O4887">
        <v>-0.49449349999999997</v>
      </c>
      <c r="P4887">
        <v>-0.77369980000000005</v>
      </c>
      <c r="Q4887">
        <v>0.14791570000000001</v>
      </c>
      <c r="R4887">
        <v>-0.61604389999999998</v>
      </c>
      <c r="S4887">
        <v>-2.0071720000000002</v>
      </c>
      <c r="T4887">
        <v>-0.16253199999999901</v>
      </c>
      <c r="U4887">
        <v>-2.3980709999999998</v>
      </c>
      <c r="V4887">
        <v>-0.15603689999999901</v>
      </c>
      <c r="W4887">
        <v>0.15955610000000001</v>
      </c>
      <c r="X4887">
        <v>0.97477910000000001</v>
      </c>
      <c r="Y4887">
        <v>-0.34882340000000001</v>
      </c>
      <c r="Z4887">
        <v>7.72243199999999E-3</v>
      </c>
      <c r="AA4887">
        <v>0.93715669999999995</v>
      </c>
      <c r="AB4887">
        <v>28</v>
      </c>
      <c r="AC4887">
        <v>-13.579700000000001</v>
      </c>
      <c r="AD4887">
        <v>-1.118454257489</v>
      </c>
      <c r="AE4887">
        <v>-16.3599999999999</v>
      </c>
      <c r="AF4887">
        <v>-7.4827357620729398</v>
      </c>
      <c r="AG4887">
        <v>-1.118454257489</v>
      </c>
      <c r="AH4887">
        <v>19.838724364656901</v>
      </c>
      <c r="AI4887">
        <v>93.019545970299305</v>
      </c>
      <c r="AJ4887">
        <v>110.665385528519</v>
      </c>
      <c r="AK4887">
        <v>21.232457672816199</v>
      </c>
      <c r="AL4887">
        <v>80.818868175015595</v>
      </c>
      <c r="AM4887">
        <v>99.094417252878301</v>
      </c>
      <c r="AN4887">
        <v>0.99999997850281397</v>
      </c>
    </row>
    <row r="4888" spans="1:40" x14ac:dyDescent="0.25">
      <c r="A4888" t="str">
        <f>"20190304155732922"</f>
        <v>20190304155732922</v>
      </c>
      <c r="B4888" t="str">
        <f>"1551686252909618"</f>
        <v>1551686252909618</v>
      </c>
      <c r="C4888" t="s">
        <v>40</v>
      </c>
      <c r="D4888">
        <v>4.4475189999999998</v>
      </c>
      <c r="E4888">
        <v>0.4176165</v>
      </c>
      <c r="F4888" t="s">
        <v>78</v>
      </c>
      <c r="G4888">
        <v>-423.4375</v>
      </c>
      <c r="H4888" s="1">
        <v>-1.1098379999999999E-6</v>
      </c>
      <c r="I4888">
        <v>119.9057</v>
      </c>
      <c r="J4888">
        <v>-410.03629999999998</v>
      </c>
      <c r="K4888">
        <v>1.1184449999999999</v>
      </c>
      <c r="L4888">
        <v>136.37469999999999</v>
      </c>
      <c r="M4888">
        <v>-0.86354019999999998</v>
      </c>
      <c r="N4888">
        <v>-1.510509E-2</v>
      </c>
      <c r="O4888">
        <v>-0.50405370000000005</v>
      </c>
      <c r="P4888">
        <v>-0.76744029999999996</v>
      </c>
      <c r="Q4888">
        <v>0.14820129999999901</v>
      </c>
      <c r="R4888">
        <v>-0.62375649999999905</v>
      </c>
      <c r="S4888">
        <v>-1.983765</v>
      </c>
      <c r="T4888">
        <v>-0.16272719999999999</v>
      </c>
      <c r="U4888">
        <v>-2.4174190000000002</v>
      </c>
      <c r="V4888">
        <v>-0.15506349999999999</v>
      </c>
      <c r="W4888">
        <v>0.159866799999999</v>
      </c>
      <c r="X4888">
        <v>0.97488359999999996</v>
      </c>
      <c r="Y4888">
        <v>-0.34758939999999999</v>
      </c>
      <c r="Z4888">
        <v>8.2019420000000003E-3</v>
      </c>
      <c r="AA4888">
        <v>0.93761099999999997</v>
      </c>
      <c r="AB4888">
        <v>28</v>
      </c>
      <c r="AC4888">
        <v>-13.401199999999999</v>
      </c>
      <c r="AD4888">
        <v>-1.1184461098379901</v>
      </c>
      <c r="AE4888">
        <v>-16.468999999999902</v>
      </c>
      <c r="AF4888">
        <v>-7.4469077236694696</v>
      </c>
      <c r="AG4888">
        <v>-1.1184461098379901</v>
      </c>
      <c r="AH4888">
        <v>19.821004491656701</v>
      </c>
      <c r="AI4888">
        <v>93.023681298126704</v>
      </c>
      <c r="AJ4888">
        <v>110.591595481927</v>
      </c>
      <c r="AK4888">
        <v>21.203291617193202</v>
      </c>
      <c r="AL4888">
        <v>80.800835635177705</v>
      </c>
      <c r="AM4888">
        <v>99.037670404464507</v>
      </c>
      <c r="AN4888">
        <v>1.0000000581617201</v>
      </c>
    </row>
    <row r="4889" spans="1:40" x14ac:dyDescent="0.25">
      <c r="A4889" t="str">
        <f>"20190304155732943"</f>
        <v>20190304155732943</v>
      </c>
      <c r="B4889" t="str">
        <f>"1551686252939873"</f>
        <v>1551686252939873</v>
      </c>
      <c r="C4889" t="s">
        <v>40</v>
      </c>
      <c r="D4889">
        <v>4.4106769999999997</v>
      </c>
      <c r="E4889">
        <v>0.41783720000000002</v>
      </c>
      <c r="F4889" t="s">
        <v>41</v>
      </c>
      <c r="G4889">
        <v>-423.53460000000001</v>
      </c>
      <c r="H4889" s="1">
        <v>-4.9170429999999998E-6</v>
      </c>
      <c r="I4889">
        <v>119.5933</v>
      </c>
      <c r="J4889">
        <v>-410.26409999999998</v>
      </c>
      <c r="K4889">
        <v>1.1184379999999901</v>
      </c>
      <c r="L4889">
        <v>136.22839999999999</v>
      </c>
      <c r="M4889">
        <v>-0.85801519999999998</v>
      </c>
      <c r="N4889">
        <v>-1.5106079999999999E-2</v>
      </c>
      <c r="O4889">
        <v>-0.51340240000000004</v>
      </c>
      <c r="P4889">
        <v>-0.76114440000000005</v>
      </c>
      <c r="Q4889">
        <v>0.14809890000000001</v>
      </c>
      <c r="R4889">
        <v>-0.63144809999999996</v>
      </c>
      <c r="S4889">
        <v>-1.959991</v>
      </c>
      <c r="T4889">
        <v>-0.16240289999999999</v>
      </c>
      <c r="U4889">
        <v>-2.4367070000000002</v>
      </c>
      <c r="V4889">
        <v>-0.15427109999999999</v>
      </c>
      <c r="W4889">
        <v>0.15978489999999901</v>
      </c>
      <c r="X4889">
        <v>0.97502270000000002</v>
      </c>
      <c r="Y4889">
        <v>-0.34659240000000002</v>
      </c>
      <c r="Z4889">
        <v>8.6071719999999997E-3</v>
      </c>
      <c r="AA4889">
        <v>0.93797640000000004</v>
      </c>
      <c r="AB4889">
        <v>28</v>
      </c>
      <c r="AC4889">
        <v>-13.2705</v>
      </c>
      <c r="AD4889">
        <v>-1.1184429170429999</v>
      </c>
      <c r="AE4889">
        <v>-16.635099999999898</v>
      </c>
      <c r="AF4889">
        <v>-7.44035889216046</v>
      </c>
      <c r="AG4889">
        <v>-1.1184429170429999</v>
      </c>
      <c r="AH4889">
        <v>19.874161147191799</v>
      </c>
      <c r="AI4889">
        <v>93.016921252921605</v>
      </c>
      <c r="AJ4889">
        <v>110.524567492915</v>
      </c>
      <c r="AK4889">
        <v>21.250697313438501</v>
      </c>
      <c r="AL4889">
        <v>80.805588968182406</v>
      </c>
      <c r="AM4889">
        <v>98.990981063295493</v>
      </c>
      <c r="AN4889">
        <v>1.0000000260392501</v>
      </c>
    </row>
    <row r="4890" spans="1:40" x14ac:dyDescent="0.25">
      <c r="A4890" t="str">
        <f>"20190304155732966"</f>
        <v>20190304155732966</v>
      </c>
      <c r="B4890" t="str">
        <f>"1551686252959394"</f>
        <v>1551686252959394</v>
      </c>
      <c r="C4890" t="s">
        <v>40</v>
      </c>
      <c r="D4890">
        <v>4.6214050000000002</v>
      </c>
      <c r="E4890">
        <v>0.4180294</v>
      </c>
      <c r="F4890" t="s">
        <v>41</v>
      </c>
      <c r="G4890">
        <v>-423.48579999999998</v>
      </c>
      <c r="H4890" s="1">
        <v>-4.862668E-6</v>
      </c>
      <c r="I4890">
        <v>119.459</v>
      </c>
      <c r="J4890">
        <v>-410.49329999999998</v>
      </c>
      <c r="K4890">
        <v>1.1184339999999999</v>
      </c>
      <c r="L4890">
        <v>136.07759999999999</v>
      </c>
      <c r="M4890">
        <v>-0.85229769999999905</v>
      </c>
      <c r="N4890">
        <v>-1.510738E-2</v>
      </c>
      <c r="O4890">
        <v>-0.52283879999999905</v>
      </c>
      <c r="P4890">
        <v>-0.75482439999999995</v>
      </c>
      <c r="Q4890">
        <v>0.1478409</v>
      </c>
      <c r="R4890">
        <v>-0.63904890000000003</v>
      </c>
      <c r="S4890">
        <v>-1.9361269999999999</v>
      </c>
      <c r="T4890">
        <v>-0.16377910000000001</v>
      </c>
      <c r="U4890">
        <v>-2.4556269999999998</v>
      </c>
      <c r="V4890">
        <v>-0.1532559</v>
      </c>
      <c r="W4890">
        <v>0.15955139999999901</v>
      </c>
      <c r="X4890">
        <v>0.975221</v>
      </c>
      <c r="Y4890">
        <v>-0.34538360000000001</v>
      </c>
      <c r="Z4890">
        <v>9.2232900000000003E-3</v>
      </c>
      <c r="AA4890">
        <v>0.93841629999999998</v>
      </c>
      <c r="AB4890">
        <v>28</v>
      </c>
      <c r="AC4890">
        <v>-12.9925</v>
      </c>
      <c r="AD4890">
        <v>-1.118438862668</v>
      </c>
      <c r="AE4890">
        <v>-16.618599999999901</v>
      </c>
      <c r="AF4890">
        <v>-7.3511875430215401</v>
      </c>
      <c r="AG4890">
        <v>-1.118438862668</v>
      </c>
      <c r="AH4890">
        <v>19.709177124251799</v>
      </c>
      <c r="AI4890">
        <v>93.043502144728393</v>
      </c>
      <c r="AJ4890">
        <v>110.454659124343</v>
      </c>
      <c r="AK4890">
        <v>21.0651970486234</v>
      </c>
      <c r="AL4890">
        <v>80.819141246656898</v>
      </c>
      <c r="AM4890">
        <v>98.930984897537598</v>
      </c>
      <c r="AN4890">
        <v>1.0000000094838799</v>
      </c>
    </row>
    <row r="4891" spans="1:40" x14ac:dyDescent="0.25">
      <c r="A4891" t="str">
        <f>"20190304155732989"</f>
        <v>20190304155732989</v>
      </c>
      <c r="B4891" t="str">
        <f>"1551686252979890"</f>
        <v>1551686252979890</v>
      </c>
      <c r="C4891" t="s">
        <v>40</v>
      </c>
      <c r="D4891">
        <v>4.6111089999999999</v>
      </c>
      <c r="E4891">
        <v>0.4259675</v>
      </c>
      <c r="F4891" t="s">
        <v>41</v>
      </c>
      <c r="G4891">
        <v>-423.48430000000002</v>
      </c>
      <c r="H4891" s="1">
        <v>-4.7957160000000001E-6</v>
      </c>
      <c r="I4891">
        <v>119.26300000000001</v>
      </c>
      <c r="J4891">
        <v>-410.72390000000001</v>
      </c>
      <c r="K4891">
        <v>1.118433</v>
      </c>
      <c r="L4891">
        <v>135.9222</v>
      </c>
      <c r="M4891">
        <v>-0.84637240000000002</v>
      </c>
      <c r="N4891">
        <v>-1.510914E-2</v>
      </c>
      <c r="O4891">
        <v>-0.5323774</v>
      </c>
      <c r="P4891">
        <v>-0.74836590000000003</v>
      </c>
      <c r="Q4891">
        <v>0.14726909999999999</v>
      </c>
      <c r="R4891">
        <v>-0.64673069999999999</v>
      </c>
      <c r="S4891">
        <v>-1.9117740000000001</v>
      </c>
      <c r="T4891">
        <v>-0.16459099999999999</v>
      </c>
      <c r="U4891">
        <v>-2.4744570000000001</v>
      </c>
      <c r="V4891">
        <v>-0.152199799999999</v>
      </c>
      <c r="W4891">
        <v>0.15900439999999999</v>
      </c>
      <c r="X4891">
        <v>0.97547569999999995</v>
      </c>
      <c r="Y4891">
        <v>-0.344089799999999</v>
      </c>
      <c r="Z4891">
        <v>9.7888890000000003E-3</v>
      </c>
      <c r="AA4891">
        <v>0.93888570000000005</v>
      </c>
      <c r="AB4891">
        <v>28</v>
      </c>
      <c r="AC4891">
        <v>-12.760400000000001</v>
      </c>
      <c r="AD4891">
        <v>-1.1184377957160001</v>
      </c>
      <c r="AE4891">
        <v>-16.659199999999998</v>
      </c>
      <c r="AF4891">
        <v>-7.2866728861979997</v>
      </c>
      <c r="AG4891">
        <v>-1.1184377957160001</v>
      </c>
      <c r="AH4891">
        <v>19.615554154190299</v>
      </c>
      <c r="AI4891">
        <v>93.059503922949801</v>
      </c>
      <c r="AJ4891">
        <v>110.378734097558</v>
      </c>
      <c r="AK4891">
        <v>20.955106051492901</v>
      </c>
      <c r="AL4891">
        <v>80.850887318300096</v>
      </c>
      <c r="AM4891">
        <v>98.868143435203194</v>
      </c>
      <c r="AN4891">
        <v>1.00000000981494</v>
      </c>
    </row>
    <row r="4892" spans="1:40" x14ac:dyDescent="0.25">
      <c r="A4892" t="str">
        <f>"20190304155733012"</f>
        <v>20190304155733012</v>
      </c>
      <c r="B4892" t="str">
        <f>"1551686252999410"</f>
        <v>1551686252999410</v>
      </c>
      <c r="C4892" t="s">
        <v>40</v>
      </c>
      <c r="D4892">
        <v>4.5960140000000003</v>
      </c>
      <c r="E4892">
        <v>0.42563719999999999</v>
      </c>
      <c r="F4892" t="s">
        <v>78</v>
      </c>
      <c r="G4892">
        <v>-421.0942</v>
      </c>
      <c r="H4892" s="1">
        <v>-2.3071700000000001E-6</v>
      </c>
      <c r="I4892">
        <v>122.77030000000001</v>
      </c>
      <c r="J4892">
        <v>-410.95</v>
      </c>
      <c r="K4892">
        <v>1.1184430000000001</v>
      </c>
      <c r="L4892">
        <v>135.76589999999999</v>
      </c>
      <c r="M4892">
        <v>-0.84038649999999904</v>
      </c>
      <c r="N4892">
        <v>-1.5111080000000001E-2</v>
      </c>
      <c r="O4892">
        <v>-0.54177730000000002</v>
      </c>
      <c r="P4892">
        <v>-0.74203299999999905</v>
      </c>
      <c r="Q4892">
        <v>0.14622379999999999</v>
      </c>
      <c r="R4892">
        <v>-0.65422179999999996</v>
      </c>
      <c r="S4892">
        <v>-1.932159</v>
      </c>
      <c r="T4892">
        <v>-0.2083826</v>
      </c>
      <c r="U4892">
        <v>-2.4504090000000001</v>
      </c>
      <c r="V4892">
        <v>-0.15100269999999999</v>
      </c>
      <c r="W4892">
        <v>0.15798789999999999</v>
      </c>
      <c r="X4892">
        <v>0.97582690000000005</v>
      </c>
      <c r="Y4892">
        <v>-0.32432139999999998</v>
      </c>
      <c r="Z4892">
        <v>1.6491169999999999E-2</v>
      </c>
      <c r="AA4892">
        <v>0.94580319999999996</v>
      </c>
      <c r="AB4892">
        <v>28</v>
      </c>
      <c r="AC4892">
        <v>-10.1442</v>
      </c>
      <c r="AD4892">
        <v>-1.11844530717</v>
      </c>
      <c r="AE4892">
        <v>-12.9955999999999</v>
      </c>
      <c r="AF4892">
        <v>-5.4011887518387303</v>
      </c>
      <c r="AG4892">
        <v>-1.11844530717</v>
      </c>
      <c r="AH4892">
        <v>15.4962221205228</v>
      </c>
      <c r="AI4892">
        <v>93.898912590522599</v>
      </c>
      <c r="AJ4892">
        <v>109.215936233115</v>
      </c>
      <c r="AK4892">
        <v>16.448606623258399</v>
      </c>
      <c r="AL4892">
        <v>80.909874606294295</v>
      </c>
      <c r="AM4892">
        <v>98.796371115696502</v>
      </c>
      <c r="AN4892">
        <v>1.00000006535865</v>
      </c>
    </row>
    <row r="4893" spans="1:40" x14ac:dyDescent="0.25">
      <c r="A4893" t="str">
        <f>"20190304155733033"</f>
        <v>20190304155733033</v>
      </c>
      <c r="B4893" t="str">
        <f>"1551686253029667"</f>
        <v>1551686253029667</v>
      </c>
      <c r="C4893" t="s">
        <v>40</v>
      </c>
      <c r="D4893">
        <v>4.6077680000000001</v>
      </c>
      <c r="E4893">
        <v>0.42595899999999998</v>
      </c>
      <c r="F4893" t="s">
        <v>78</v>
      </c>
      <c r="G4893">
        <v>-421.19580000000002</v>
      </c>
      <c r="H4893" s="1">
        <v>-2.1404450000000001E-6</v>
      </c>
      <c r="I4893">
        <v>122.46550000000001</v>
      </c>
      <c r="J4893">
        <v>-411.16379999999998</v>
      </c>
      <c r="K4893">
        <v>1.118444</v>
      </c>
      <c r="L4893">
        <v>135.61439999999999</v>
      </c>
      <c r="M4893">
        <v>-0.83455659999999898</v>
      </c>
      <c r="N4893">
        <v>-1.5113329999999999E-2</v>
      </c>
      <c r="O4893">
        <v>-0.55071510000000001</v>
      </c>
      <c r="P4893">
        <v>-0.73567269999999996</v>
      </c>
      <c r="Q4893">
        <v>0.14559939999999999</v>
      </c>
      <c r="R4893">
        <v>-0.66150339999999996</v>
      </c>
      <c r="S4893">
        <v>-1.904358</v>
      </c>
      <c r="T4893">
        <v>-0.2078816</v>
      </c>
      <c r="U4893">
        <v>-2.472092</v>
      </c>
      <c r="V4893">
        <v>-0.15012629999999999</v>
      </c>
      <c r="W4893">
        <v>0.157383299999999</v>
      </c>
      <c r="X4893">
        <v>0.97605969999999997</v>
      </c>
      <c r="Y4893">
        <v>-0.3249204</v>
      </c>
      <c r="Z4893">
        <v>1.6941930000000001E-2</v>
      </c>
      <c r="AA4893">
        <v>0.94558960000000003</v>
      </c>
      <c r="AB4893">
        <v>28</v>
      </c>
      <c r="AC4893">
        <v>-10.032</v>
      </c>
      <c r="AD4893">
        <v>-1.1184461404449999</v>
      </c>
      <c r="AE4893">
        <v>-13.1488999999999</v>
      </c>
      <c r="AF4893">
        <v>-5.4245417093942399</v>
      </c>
      <c r="AG4893">
        <v>-1.1184461404449999</v>
      </c>
      <c r="AH4893">
        <v>15.544264437992</v>
      </c>
      <c r="AI4893">
        <v>93.886390023140905</v>
      </c>
      <c r="AJ4893">
        <v>109.23765136576201</v>
      </c>
      <c r="AK4893">
        <v>16.501537244882901</v>
      </c>
      <c r="AL4893">
        <v>80.944953665931706</v>
      </c>
      <c r="AM4893">
        <v>98.744055966900802</v>
      </c>
      <c r="AN4893">
        <v>0.99999997351733405</v>
      </c>
    </row>
    <row r="4894" spans="1:40" x14ac:dyDescent="0.25">
      <c r="A4894" t="str">
        <f>"20190304155733056"</f>
        <v>20190304155733056</v>
      </c>
      <c r="B4894" t="str">
        <f>"1551686253050169"</f>
        <v>1551686253050169</v>
      </c>
      <c r="C4894" t="s">
        <v>40</v>
      </c>
      <c r="D4894">
        <v>4.6094660000000003</v>
      </c>
      <c r="E4894">
        <v>0.4261298</v>
      </c>
      <c r="F4894" t="s">
        <v>78</v>
      </c>
      <c r="G4894">
        <v>-421.21710000000002</v>
      </c>
      <c r="H4894" s="1">
        <v>-2.0492109999999999E-6</v>
      </c>
      <c r="I4894">
        <v>122.31310000000001</v>
      </c>
      <c r="J4894">
        <v>-411.38470000000001</v>
      </c>
      <c r="K4894">
        <v>1.118455</v>
      </c>
      <c r="L4894">
        <v>135.45429999999999</v>
      </c>
      <c r="M4894">
        <v>-0.82836239999999906</v>
      </c>
      <c r="N4894">
        <v>-1.511551E-2</v>
      </c>
      <c r="O4894">
        <v>-0.55998890000000001</v>
      </c>
      <c r="P4894">
        <v>-0.728545199999999</v>
      </c>
      <c r="Q4894">
        <v>0.14516999999999999</v>
      </c>
      <c r="R4894">
        <v>-0.66943839999999999</v>
      </c>
      <c r="S4894">
        <v>-1.8812260000000001</v>
      </c>
      <c r="T4894">
        <v>-0.20929059999999999</v>
      </c>
      <c r="U4894">
        <v>-2.4890289999999999</v>
      </c>
      <c r="V4894">
        <v>-0.14976449999999999</v>
      </c>
      <c r="W4894">
        <v>0.156963299999999</v>
      </c>
      <c r="X4894">
        <v>0.97618289999999996</v>
      </c>
      <c r="Y4894">
        <v>-0.32307370000000002</v>
      </c>
      <c r="Z4894">
        <v>1.7764640000000002E-2</v>
      </c>
      <c r="AA4894">
        <v>0.94620700000000002</v>
      </c>
      <c r="AB4894">
        <v>28</v>
      </c>
      <c r="AC4894">
        <v>-9.8323999999999998</v>
      </c>
      <c r="AD4894">
        <v>-1.118457049211</v>
      </c>
      <c r="AE4894">
        <v>-13.1411999999999</v>
      </c>
      <c r="AF4894">
        <v>-5.3553844414086402</v>
      </c>
      <c r="AG4894">
        <v>-1.118457049211</v>
      </c>
      <c r="AH4894">
        <v>15.4338107186201</v>
      </c>
      <c r="AI4894">
        <v>93.916558278085105</v>
      </c>
      <c r="AJ4894">
        <v>109.13628420070501</v>
      </c>
      <c r="AK4894">
        <v>16.374785555371499</v>
      </c>
      <c r="AL4894">
        <v>80.969320707269006</v>
      </c>
      <c r="AM4894">
        <v>98.722223571289803</v>
      </c>
      <c r="AN4894">
        <v>0.99999996862977403</v>
      </c>
    </row>
    <row r="4895" spans="1:40" x14ac:dyDescent="0.25">
      <c r="A4895" t="str">
        <f>"20190304155733077"</f>
        <v>20190304155733077</v>
      </c>
      <c r="B4895" t="str">
        <f>"1551686253069683"</f>
        <v>1551686253069683</v>
      </c>
      <c r="C4895" t="s">
        <v>40</v>
      </c>
      <c r="D4895">
        <v>4.5743429999999998</v>
      </c>
      <c r="E4895">
        <v>0.42634840000000002</v>
      </c>
      <c r="F4895" t="s">
        <v>78</v>
      </c>
      <c r="G4895">
        <v>-421.27839999999998</v>
      </c>
      <c r="H4895" s="1">
        <v>-1.9144050000000002E-6</v>
      </c>
      <c r="I4895">
        <v>122.0753</v>
      </c>
      <c r="J4895">
        <v>-411.59780000000001</v>
      </c>
      <c r="K4895">
        <v>1.1184639999999999</v>
      </c>
      <c r="L4895">
        <v>135.2961</v>
      </c>
      <c r="M4895">
        <v>-0.82221449999999996</v>
      </c>
      <c r="N4895">
        <v>-1.5117200000000001E-2</v>
      </c>
      <c r="O4895">
        <v>-0.56897690000000001</v>
      </c>
      <c r="P4895">
        <v>-0.72151180000000004</v>
      </c>
      <c r="Q4895">
        <v>0.14541389999999901</v>
      </c>
      <c r="R4895">
        <v>-0.67696060000000002</v>
      </c>
      <c r="S4895">
        <v>-1.8548279999999999</v>
      </c>
      <c r="T4895">
        <v>-0.20968200000000001</v>
      </c>
      <c r="U4895">
        <v>-2.5082089999999999</v>
      </c>
      <c r="V4895">
        <v>-0.14929379999999901</v>
      </c>
      <c r="W4895">
        <v>0.157218</v>
      </c>
      <c r="X4895">
        <v>0.97621409999999997</v>
      </c>
      <c r="Y4895">
        <v>-0.32267390000000001</v>
      </c>
      <c r="Z4895">
        <v>1.838627E-2</v>
      </c>
      <c r="AA4895">
        <v>0.94633160000000005</v>
      </c>
      <c r="AB4895">
        <v>28</v>
      </c>
      <c r="AC4895">
        <v>-9.6805999999999699</v>
      </c>
      <c r="AD4895">
        <v>-1.118465914405</v>
      </c>
      <c r="AE4895">
        <v>-13.220799999999899</v>
      </c>
      <c r="AF4895">
        <v>-5.3380386291850002</v>
      </c>
      <c r="AG4895">
        <v>-1.118465914405</v>
      </c>
      <c r="AH4895">
        <v>15.4118252476535</v>
      </c>
      <c r="AI4895">
        <v>93.922921940837199</v>
      </c>
      <c r="AJ4895">
        <v>109.104035338739</v>
      </c>
      <c r="AK4895">
        <v>16.348393800999698</v>
      </c>
      <c r="AL4895">
        <v>80.954544782390698</v>
      </c>
      <c r="AM4895">
        <v>98.694956159253906</v>
      </c>
      <c r="AN4895">
        <v>1.0000000536406199</v>
      </c>
    </row>
    <row r="4896" spans="1:40" x14ac:dyDescent="0.25">
      <c r="A4896" t="str">
        <f>"20190304155733100"</f>
        <v>20190304155733100</v>
      </c>
      <c r="B4896" t="str">
        <f>"1551686253089203"</f>
        <v>1551686253089203</v>
      </c>
      <c r="C4896" t="s">
        <v>40</v>
      </c>
      <c r="D4896">
        <v>4.7615740000000004</v>
      </c>
      <c r="E4896">
        <v>0.44703359999999898</v>
      </c>
      <c r="F4896" t="s">
        <v>78</v>
      </c>
      <c r="G4896">
        <v>-421.52140000000003</v>
      </c>
      <c r="H4896" s="1">
        <v>-1.6736360000000001E-6</v>
      </c>
      <c r="I4896">
        <v>121.59480000000001</v>
      </c>
      <c r="J4896">
        <v>-411.81740000000002</v>
      </c>
      <c r="K4896">
        <v>1.1184639999999999</v>
      </c>
      <c r="L4896">
        <v>135.1293</v>
      </c>
      <c r="M4896">
        <v>-0.81570529999999997</v>
      </c>
      <c r="N4896">
        <v>-1.5118380000000001E-2</v>
      </c>
      <c r="O4896">
        <v>-0.57827010000000001</v>
      </c>
      <c r="P4896">
        <v>-0.71423829999999999</v>
      </c>
      <c r="Q4896">
        <v>0.14517369999999999</v>
      </c>
      <c r="R4896">
        <v>-0.68468130000000005</v>
      </c>
      <c r="S4896">
        <v>-1.829529</v>
      </c>
      <c r="T4896">
        <v>-0.20620350000000001</v>
      </c>
      <c r="U4896">
        <v>-2.5260009999999999</v>
      </c>
      <c r="V4896">
        <v>-0.14868100000000001</v>
      </c>
      <c r="W4896">
        <v>0.15699340000000001</v>
      </c>
      <c r="X4896">
        <v>0.97634370000000004</v>
      </c>
      <c r="Y4896">
        <v>-0.32132460000000002</v>
      </c>
      <c r="Z4896">
        <v>1.8519089999999998E-2</v>
      </c>
      <c r="AA4896">
        <v>0.94678799999999996</v>
      </c>
      <c r="AB4896">
        <v>27</v>
      </c>
      <c r="AC4896">
        <v>-9.7040000000000006</v>
      </c>
      <c r="AD4896">
        <v>-1.1184656736359999</v>
      </c>
      <c r="AE4896">
        <v>-13.5344999999999</v>
      </c>
      <c r="AF4896">
        <v>-5.4048725813608796</v>
      </c>
      <c r="AG4896">
        <v>-1.1184656736359999</v>
      </c>
      <c r="AH4896">
        <v>15.6733070410402</v>
      </c>
      <c r="AI4896">
        <v>93.859471646741198</v>
      </c>
      <c r="AJ4896">
        <v>109.02653372674099</v>
      </c>
      <c r="AK4896">
        <v>16.616743564446299</v>
      </c>
      <c r="AL4896">
        <v>80.967574685055297</v>
      </c>
      <c r="AM4896">
        <v>98.658676397286598</v>
      </c>
      <c r="AN4896">
        <v>0.99999999396712502</v>
      </c>
    </row>
    <row r="4897" spans="1:40" x14ac:dyDescent="0.25">
      <c r="A4897" t="str">
        <f>"20190304155733122"</f>
        <v>20190304155733122</v>
      </c>
      <c r="B4897" t="str">
        <f>"1551686253119458"</f>
        <v>1551686253119458</v>
      </c>
      <c r="C4897" t="s">
        <v>40</v>
      </c>
      <c r="D4897">
        <v>4.7363720000000002</v>
      </c>
      <c r="E4897">
        <v>0.4507099</v>
      </c>
      <c r="F4897" t="s">
        <v>78</v>
      </c>
      <c r="G4897">
        <v>-421.69369999999998</v>
      </c>
      <c r="H4897" s="1">
        <v>-2.3718849999999999E-6</v>
      </c>
      <c r="I4897">
        <v>122.6212</v>
      </c>
      <c r="J4897">
        <v>-412.02289999999999</v>
      </c>
      <c r="K4897">
        <v>1.1184590000000001</v>
      </c>
      <c r="L4897">
        <v>134.96960000000001</v>
      </c>
      <c r="M4897">
        <v>-0.80944910000000003</v>
      </c>
      <c r="N4897">
        <v>-1.511903E-2</v>
      </c>
      <c r="O4897">
        <v>-0.5869955</v>
      </c>
      <c r="P4897">
        <v>-0.70742079999999996</v>
      </c>
      <c r="Q4897">
        <v>0.14495910000000001</v>
      </c>
      <c r="R4897">
        <v>-0.69176789999999999</v>
      </c>
      <c r="S4897">
        <v>-1.9170229999999999</v>
      </c>
      <c r="T4897">
        <v>-0.21709700000000001</v>
      </c>
      <c r="U4897">
        <v>-2.4278559999999998</v>
      </c>
      <c r="V4897">
        <v>-0.14789739999999901</v>
      </c>
      <c r="W4897">
        <v>0.15679889999999999</v>
      </c>
      <c r="X4897">
        <v>0.97649399999999997</v>
      </c>
      <c r="Y4897">
        <v>-0.27156219999999998</v>
      </c>
      <c r="Z4897">
        <v>2.2721089999999999E-2</v>
      </c>
      <c r="AA4897">
        <v>0.96215269999999997</v>
      </c>
      <c r="AB4897">
        <v>27</v>
      </c>
      <c r="AC4897">
        <v>-9.6707999999999803</v>
      </c>
      <c r="AD4897">
        <v>-1.1184613718850001</v>
      </c>
      <c r="AE4897">
        <v>-12.3484</v>
      </c>
      <c r="AF4897">
        <v>-4.2973264917385903</v>
      </c>
      <c r="AG4897">
        <v>-1.1184613718850001</v>
      </c>
      <c r="AH4897">
        <v>15.001912659170801</v>
      </c>
      <c r="AI4897">
        <v>94.099495299808197</v>
      </c>
      <c r="AJ4897">
        <v>105.98446124722901</v>
      </c>
      <c r="AK4897">
        <v>15.6452981515337</v>
      </c>
      <c r="AL4897">
        <v>80.978858826819803</v>
      </c>
      <c r="AM4897">
        <v>98.612422538364996</v>
      </c>
      <c r="AN4897">
        <v>1.0000000340019799</v>
      </c>
    </row>
    <row r="4898" spans="1:40" x14ac:dyDescent="0.25">
      <c r="A4898" t="str">
        <f>"20190304155733156"</f>
        <v>20190304155733156</v>
      </c>
      <c r="B4898" t="str">
        <f>"1551686253149727"</f>
        <v>1551686253149727</v>
      </c>
      <c r="C4898" t="s">
        <v>40</v>
      </c>
      <c r="D4898">
        <v>4.7748850000000003</v>
      </c>
      <c r="E4898">
        <v>0.4524707</v>
      </c>
      <c r="F4898" t="s">
        <v>78</v>
      </c>
      <c r="G4898">
        <v>-421.30540000000002</v>
      </c>
      <c r="H4898" s="1">
        <v>-2.6350600000000001E-6</v>
      </c>
      <c r="I4898">
        <v>123.1978</v>
      </c>
      <c r="J4898">
        <v>-412.34649999999999</v>
      </c>
      <c r="K4898">
        <v>1.118441</v>
      </c>
      <c r="L4898">
        <v>134.7106</v>
      </c>
      <c r="M4898">
        <v>-0.79926989999999998</v>
      </c>
      <c r="N4898">
        <v>-1.511826E-2</v>
      </c>
      <c r="O4898">
        <v>-0.60078199999999904</v>
      </c>
      <c r="P4898">
        <v>-0.69506380000000001</v>
      </c>
      <c r="Q4898">
        <v>0.14467869999999999</v>
      </c>
      <c r="R4898">
        <v>-0.70424010000000004</v>
      </c>
      <c r="S4898">
        <v>-1.914185</v>
      </c>
      <c r="T4898">
        <v>-0.2306436</v>
      </c>
      <c r="U4898">
        <v>-2.427521</v>
      </c>
      <c r="V4898">
        <v>-0.14848349999999999</v>
      </c>
      <c r="W4898">
        <v>0.15651109999999999</v>
      </c>
      <c r="X4898">
        <v>0.97645119999999996</v>
      </c>
      <c r="Y4898">
        <v>-0.25575130000000001</v>
      </c>
      <c r="Z4898">
        <v>2.6356959999999999E-2</v>
      </c>
      <c r="AA4898">
        <v>0.96638329999999995</v>
      </c>
      <c r="AB4898">
        <v>27</v>
      </c>
      <c r="AC4898">
        <v>-8.9589000000000194</v>
      </c>
      <c r="AD4898">
        <v>-1.11844363506</v>
      </c>
      <c r="AE4898">
        <v>-11.5128</v>
      </c>
      <c r="AF4898">
        <v>-3.7976022996488799</v>
      </c>
      <c r="AG4898">
        <v>-1.11844363506</v>
      </c>
      <c r="AH4898">
        <v>13.9965969157366</v>
      </c>
      <c r="AI4898">
        <v>94.4099224387258</v>
      </c>
      <c r="AJ4898">
        <v>105.180217230278</v>
      </c>
      <c r="AK4898">
        <v>14.5457012416972</v>
      </c>
      <c r="AL4898">
        <v>80.995554471898103</v>
      </c>
      <c r="AM4898">
        <v>98.646411026717601</v>
      </c>
      <c r="AN4898">
        <v>1.0000000100884401</v>
      </c>
    </row>
    <row r="4899" spans="1:40" x14ac:dyDescent="0.25">
      <c r="A4899" t="str">
        <f>"20190304155733178"</f>
        <v>20190304155733178</v>
      </c>
      <c r="B4899" t="str">
        <f>"1551686253169234"</f>
        <v>1551686253169234</v>
      </c>
      <c r="C4899" t="s">
        <v>40</v>
      </c>
      <c r="D4899">
        <v>4.7659339999999997</v>
      </c>
      <c r="E4899">
        <v>0.45391740000000003</v>
      </c>
      <c r="F4899" t="s">
        <v>78</v>
      </c>
      <c r="G4899">
        <v>-421.37759999999997</v>
      </c>
      <c r="H4899" s="1">
        <v>-2.4939489999999998E-6</v>
      </c>
      <c r="I4899">
        <v>122.9456</v>
      </c>
      <c r="J4899">
        <v>-412.54230000000001</v>
      </c>
      <c r="K4899">
        <v>1.118431</v>
      </c>
      <c r="L4899">
        <v>134.54949999999999</v>
      </c>
      <c r="M4899">
        <v>-0.79291809999999996</v>
      </c>
      <c r="N4899">
        <v>-1.511676E-2</v>
      </c>
      <c r="O4899">
        <v>-0.60914080000000004</v>
      </c>
      <c r="P4899">
        <v>-0.68755299999999997</v>
      </c>
      <c r="Q4899">
        <v>0.14417140000000001</v>
      </c>
      <c r="R4899">
        <v>-0.71167799999999903</v>
      </c>
      <c r="S4899">
        <v>-1.881378</v>
      </c>
      <c r="T4899">
        <v>-0.2329967</v>
      </c>
      <c r="U4899">
        <v>-2.4509280000000002</v>
      </c>
      <c r="V4899">
        <v>-0.14865709999999999</v>
      </c>
      <c r="W4899">
        <v>0.15600530000000001</v>
      </c>
      <c r="X4899">
        <v>0.97650570000000003</v>
      </c>
      <c r="Y4899">
        <v>-0.25820399999999999</v>
      </c>
      <c r="Z4899">
        <v>2.723925E-2</v>
      </c>
      <c r="AA4899">
        <v>0.96570630000000002</v>
      </c>
      <c r="AB4899">
        <v>27</v>
      </c>
      <c r="AC4899">
        <v>-8.8352999999999593</v>
      </c>
      <c r="AD4899">
        <v>-1.1184334939489999</v>
      </c>
      <c r="AE4899">
        <v>-11.6038999999999</v>
      </c>
      <c r="AF4899">
        <v>-3.7971072761164102</v>
      </c>
      <c r="AG4899">
        <v>-1.1184334939489999</v>
      </c>
      <c r="AH4899">
        <v>13.9933951258581</v>
      </c>
      <c r="AI4899">
        <v>94.410857990065296</v>
      </c>
      <c r="AJ4899">
        <v>105.181642399954</v>
      </c>
      <c r="AK4899">
        <v>14.5424903058283</v>
      </c>
      <c r="AL4899">
        <v>81.024894859350795</v>
      </c>
      <c r="AM4899">
        <v>98.6558911608534</v>
      </c>
      <c r="AN4899">
        <v>0.99999998457049399</v>
      </c>
    </row>
    <row r="4900" spans="1:40" x14ac:dyDescent="0.25">
      <c r="A4900" t="str">
        <f>"20190304155733200"</f>
        <v>20190304155733200</v>
      </c>
      <c r="B4900" t="str">
        <f>"1551686253189730"</f>
        <v>1551686253189730</v>
      </c>
      <c r="C4900" t="s">
        <v>40</v>
      </c>
      <c r="D4900">
        <v>4.7898059999999996</v>
      </c>
      <c r="E4900">
        <v>0.4547081</v>
      </c>
      <c r="F4900" t="s">
        <v>78</v>
      </c>
      <c r="G4900">
        <v>-421.46600000000001</v>
      </c>
      <c r="H4900" s="1">
        <v>-2.394611E-6</v>
      </c>
      <c r="I4900">
        <v>122.75230000000001</v>
      </c>
      <c r="J4900">
        <v>-412.75259999999997</v>
      </c>
      <c r="K4900">
        <v>1.1184160000000001</v>
      </c>
      <c r="L4900">
        <v>134.3724</v>
      </c>
      <c r="M4900">
        <v>-0.78592879999999998</v>
      </c>
      <c r="N4900">
        <v>-1.5114580000000001E-2</v>
      </c>
      <c r="O4900">
        <v>-0.61813249999999997</v>
      </c>
      <c r="P4900">
        <v>-0.67998919999999996</v>
      </c>
      <c r="Q4900">
        <v>0.14432500000000001</v>
      </c>
      <c r="R4900">
        <v>-0.71887800000000002</v>
      </c>
      <c r="S4900">
        <v>-1.862976</v>
      </c>
      <c r="T4900">
        <v>-0.2334909</v>
      </c>
      <c r="U4900">
        <v>-2.46286</v>
      </c>
      <c r="V4900">
        <v>-0.1478305</v>
      </c>
      <c r="W4900">
        <v>0.15618099999999999</v>
      </c>
      <c r="X4900">
        <v>0.97660309999999995</v>
      </c>
      <c r="Y4900">
        <v>-0.25405929999999999</v>
      </c>
      <c r="Z4900">
        <v>2.8122390000000001E-2</v>
      </c>
      <c r="AA4900">
        <v>0.96677970000000002</v>
      </c>
      <c r="AB4900">
        <v>27</v>
      </c>
      <c r="AC4900">
        <v>-8.7134000000000302</v>
      </c>
      <c r="AD4900">
        <v>-1.118418394611</v>
      </c>
      <c r="AE4900">
        <v>-11.6200999999999</v>
      </c>
      <c r="AF4900">
        <v>-3.72487574866298</v>
      </c>
      <c r="AG4900">
        <v>-1.118418394611</v>
      </c>
      <c r="AH4900">
        <v>13.9497570466702</v>
      </c>
      <c r="AI4900">
        <v>94.429333156553795</v>
      </c>
      <c r="AJ4900">
        <v>104.950360548213</v>
      </c>
      <c r="AK4900">
        <v>14.4817568240013</v>
      </c>
      <c r="AL4900">
        <v>81.014703096112001</v>
      </c>
      <c r="AM4900">
        <v>98.607637876672001</v>
      </c>
      <c r="AN4900">
        <v>0.99999998821042901</v>
      </c>
    </row>
    <row r="4901" spans="1:40" x14ac:dyDescent="0.25">
      <c r="A4901" t="str">
        <f>"20190304155733223"</f>
        <v>20190304155733223</v>
      </c>
      <c r="B4901" t="str">
        <f>"1551686253219987"</f>
        <v>1551686253219987</v>
      </c>
      <c r="C4901" t="s">
        <v>40</v>
      </c>
      <c r="D4901">
        <v>4.6956790000000002</v>
      </c>
      <c r="E4901">
        <v>0.46506189999999997</v>
      </c>
      <c r="F4901" t="s">
        <v>78</v>
      </c>
      <c r="G4901">
        <v>-421.50630000000001</v>
      </c>
      <c r="H4901" s="1">
        <v>-2.3027660000000001E-6</v>
      </c>
      <c r="I4901">
        <v>122.5909</v>
      </c>
      <c r="J4901">
        <v>-412.9581</v>
      </c>
      <c r="K4901">
        <v>1.118398</v>
      </c>
      <c r="L4901">
        <v>134.19550000000001</v>
      </c>
      <c r="M4901">
        <v>-0.77893389999999996</v>
      </c>
      <c r="N4901">
        <v>-1.5111899999999999E-2</v>
      </c>
      <c r="O4901">
        <v>-0.62692399999999904</v>
      </c>
      <c r="P4901">
        <v>-0.67263030000000001</v>
      </c>
      <c r="Q4901">
        <v>0.1450697</v>
      </c>
      <c r="R4901">
        <v>-0.72561949999999997</v>
      </c>
      <c r="S4901">
        <v>-1.8415220000000001</v>
      </c>
      <c r="T4901">
        <v>-0.23528289999999999</v>
      </c>
      <c r="U4901">
        <v>-2.478485</v>
      </c>
      <c r="V4901">
        <v>-0.14669599999999999</v>
      </c>
      <c r="W4901">
        <v>0.15695379999999901</v>
      </c>
      <c r="X4901">
        <v>0.97665029999999997</v>
      </c>
      <c r="Y4901">
        <v>-0.25152429999999998</v>
      </c>
      <c r="Z4901">
        <v>2.913965E-2</v>
      </c>
      <c r="AA4901">
        <v>0.96741220000000006</v>
      </c>
      <c r="AB4901">
        <v>27</v>
      </c>
      <c r="AC4901">
        <v>-8.5481999999999996</v>
      </c>
      <c r="AD4901">
        <v>-1.1184003027660001</v>
      </c>
      <c r="AE4901">
        <v>-11.6046</v>
      </c>
      <c r="AF4901">
        <v>-3.65853621501758</v>
      </c>
      <c r="AG4901">
        <v>-1.1184003027660001</v>
      </c>
      <c r="AH4901">
        <v>13.8518718111428</v>
      </c>
      <c r="AI4901">
        <v>94.463635220888307</v>
      </c>
      <c r="AJ4901">
        <v>104.795026964417</v>
      </c>
      <c r="AK4901">
        <v>14.3704578613959</v>
      </c>
      <c r="AL4901">
        <v>80.969872226279605</v>
      </c>
      <c r="AM4901">
        <v>98.542151561241994</v>
      </c>
      <c r="AN4901">
        <v>1.00000001012026</v>
      </c>
    </row>
    <row r="4902" spans="1:40" x14ac:dyDescent="0.25">
      <c r="A4902" t="str">
        <f>"20190304155733245"</f>
        <v>20190304155733245</v>
      </c>
      <c r="B4902" t="str">
        <f>"1551686253239506"</f>
        <v>1551686253239506</v>
      </c>
      <c r="C4902" t="s">
        <v>40</v>
      </c>
      <c r="D4902">
        <v>4.6952790000000002</v>
      </c>
      <c r="E4902">
        <v>0.46593259999999997</v>
      </c>
      <c r="F4902" t="s">
        <v>78</v>
      </c>
      <c r="G4902">
        <v>-422.03559999999999</v>
      </c>
      <c r="H4902" s="1">
        <v>-2.3148069999999998E-6</v>
      </c>
      <c r="I4902">
        <v>122.3883</v>
      </c>
      <c r="J4902">
        <v>-413.15550000000002</v>
      </c>
      <c r="K4902">
        <v>1.1183920000000001</v>
      </c>
      <c r="L4902">
        <v>134.02160000000001</v>
      </c>
      <c r="M4902">
        <v>-0.77204969999999995</v>
      </c>
      <c r="N4902">
        <v>-1.5108659999999999E-2</v>
      </c>
      <c r="O4902">
        <v>-0.63538269999999997</v>
      </c>
      <c r="P4902">
        <v>-0.66558629999999996</v>
      </c>
      <c r="Q4902">
        <v>0.14651939999999999</v>
      </c>
      <c r="R4902">
        <v>-0.73179759999999905</v>
      </c>
      <c r="S4902">
        <v>-1.8766780000000001</v>
      </c>
      <c r="T4902">
        <v>-0.23121710000000001</v>
      </c>
      <c r="U4902">
        <v>-2.4410099999999999</v>
      </c>
      <c r="V4902">
        <v>-0.14527789999999999</v>
      </c>
      <c r="W4902">
        <v>0.1584361</v>
      </c>
      <c r="X4902">
        <v>0.97662289999999996</v>
      </c>
      <c r="Y4902">
        <v>-0.225049</v>
      </c>
      <c r="Z4902">
        <v>3.0108960000000001E-2</v>
      </c>
      <c r="AA4902">
        <v>0.97388209999999997</v>
      </c>
      <c r="AB4902">
        <v>27</v>
      </c>
      <c r="AC4902">
        <v>-8.8800999999999704</v>
      </c>
      <c r="AD4902">
        <v>-1.1183943148069999</v>
      </c>
      <c r="AE4902">
        <v>-11.6333</v>
      </c>
      <c r="AF4902">
        <v>-3.3202156546297501</v>
      </c>
      <c r="AG4902">
        <v>-1.1183943148069999</v>
      </c>
      <c r="AH4902">
        <v>14.166373736890501</v>
      </c>
      <c r="AI4902">
        <v>94.395353568435397</v>
      </c>
      <c r="AJ4902">
        <v>103.19050263498301</v>
      </c>
      <c r="AK4902">
        <v>14.5931758945715</v>
      </c>
      <c r="AL4902">
        <v>80.883866270322102</v>
      </c>
      <c r="AM4902">
        <v>98.461010027460603</v>
      </c>
      <c r="AN4902">
        <v>0.99999997740801405</v>
      </c>
    </row>
    <row r="4903" spans="1:40" x14ac:dyDescent="0.25">
      <c r="A4903" t="str">
        <f>"20190304155733266"</f>
        <v>20190304155733266</v>
      </c>
      <c r="B4903" t="str">
        <f>"1551686253260006"</f>
        <v>1551686253260006</v>
      </c>
      <c r="C4903" t="s">
        <v>40</v>
      </c>
      <c r="D4903">
        <v>4.7339229999999999</v>
      </c>
      <c r="E4903">
        <v>0.46667180000000003</v>
      </c>
      <c r="F4903" t="s">
        <v>78</v>
      </c>
      <c r="G4903">
        <v>-422.33859999999999</v>
      </c>
      <c r="H4903" s="1">
        <v>-2.0736910000000001E-6</v>
      </c>
      <c r="I4903">
        <v>121.88209999999999</v>
      </c>
      <c r="J4903">
        <v>-413.35019999999997</v>
      </c>
      <c r="K4903">
        <v>1.118374</v>
      </c>
      <c r="L4903">
        <v>133.84630000000001</v>
      </c>
      <c r="M4903">
        <v>-0.76510459999999902</v>
      </c>
      <c r="N4903">
        <v>-1.510506E-2</v>
      </c>
      <c r="O4903">
        <v>-0.64372879999999999</v>
      </c>
      <c r="P4903">
        <v>-0.65822959999999997</v>
      </c>
      <c r="Q4903">
        <v>0.14760670000000001</v>
      </c>
      <c r="R4903">
        <v>-0.73820469999999905</v>
      </c>
      <c r="S4903">
        <v>-1.8574520000000001</v>
      </c>
      <c r="T4903">
        <v>-0.22621559999999999</v>
      </c>
      <c r="U4903">
        <v>-2.4554290000000001</v>
      </c>
      <c r="V4903">
        <v>-0.14429149999999999</v>
      </c>
      <c r="W4903">
        <v>0.1595462</v>
      </c>
      <c r="X4903">
        <v>0.97658840000000002</v>
      </c>
      <c r="Y4903">
        <v>-0.2220657</v>
      </c>
      <c r="Z4903">
        <v>2.9890070000000001E-2</v>
      </c>
      <c r="AA4903">
        <v>0.97457340000000003</v>
      </c>
      <c r="AB4903">
        <v>27</v>
      </c>
      <c r="AC4903">
        <v>-8.9884000000000093</v>
      </c>
      <c r="AD4903">
        <v>-1.118376073691</v>
      </c>
      <c r="AE4903">
        <v>-11.9642</v>
      </c>
      <c r="AF4903">
        <v>-3.34944868908548</v>
      </c>
      <c r="AG4903">
        <v>-1.118376073691</v>
      </c>
      <c r="AH4903">
        <v>14.4994442234403</v>
      </c>
      <c r="AI4903">
        <v>94.297880961605699</v>
      </c>
      <c r="AJ4903">
        <v>103.007458860211</v>
      </c>
      <c r="AK4903">
        <v>14.923252137241301</v>
      </c>
      <c r="AL4903">
        <v>80.819442638523</v>
      </c>
      <c r="AM4903">
        <v>98.404677829091199</v>
      </c>
      <c r="AN4903">
        <v>0.99999996496062404</v>
      </c>
    </row>
    <row r="4904" spans="1:40" x14ac:dyDescent="0.25">
      <c r="A4904" t="str">
        <f>"20190304155733289"</f>
        <v>20190304155733289</v>
      </c>
      <c r="B4904" t="str">
        <f>"1551686253279523"</f>
        <v>1551686253279523</v>
      </c>
      <c r="C4904" t="s">
        <v>40</v>
      </c>
      <c r="D4904">
        <v>4.719608</v>
      </c>
      <c r="E4904">
        <v>0.47569099999999997</v>
      </c>
      <c r="F4904" t="s">
        <v>78</v>
      </c>
      <c r="G4904">
        <v>-422.62200000000001</v>
      </c>
      <c r="H4904" s="1">
        <v>-1.828386E-6</v>
      </c>
      <c r="I4904">
        <v>121.3775</v>
      </c>
      <c r="J4904">
        <v>-413.54730000000001</v>
      </c>
      <c r="K4904">
        <v>1.1183559999999999</v>
      </c>
      <c r="L4904">
        <v>133.66499999999999</v>
      </c>
      <c r="M4904">
        <v>-0.75791009999999903</v>
      </c>
      <c r="N4904">
        <v>-1.510103E-2</v>
      </c>
      <c r="O4904">
        <v>-0.6521844</v>
      </c>
      <c r="P4904">
        <v>-0.65002899999999997</v>
      </c>
      <c r="Q4904">
        <v>0.1486161</v>
      </c>
      <c r="R4904">
        <v>-0.74523569999999995</v>
      </c>
      <c r="S4904">
        <v>-1.8369139999999999</v>
      </c>
      <c r="T4904">
        <v>-0.22157009999999999</v>
      </c>
      <c r="U4904">
        <v>-2.470291</v>
      </c>
      <c r="V4904">
        <v>-0.1441035</v>
      </c>
      <c r="W4904">
        <v>0.16056049999999999</v>
      </c>
      <c r="X4904">
        <v>0.97645000000000004</v>
      </c>
      <c r="Y4904">
        <v>-0.21926019999999999</v>
      </c>
      <c r="Z4904">
        <v>2.97071E-2</v>
      </c>
      <c r="AA4904">
        <v>0.97521409999999997</v>
      </c>
      <c r="AB4904">
        <v>27</v>
      </c>
      <c r="AC4904">
        <v>-9.0746999999999396</v>
      </c>
      <c r="AD4904">
        <v>-1.1183578283859901</v>
      </c>
      <c r="AE4904">
        <v>-12.2874999999999</v>
      </c>
      <c r="AF4904">
        <v>-3.3767291133145498</v>
      </c>
      <c r="AG4904">
        <v>-1.1183578283859901</v>
      </c>
      <c r="AH4904">
        <v>14.8138130876817</v>
      </c>
      <c r="AI4904">
        <v>94.209734584131297</v>
      </c>
      <c r="AJ4904">
        <v>102.84086700175401</v>
      </c>
      <c r="AK4904">
        <v>15.234896846837801</v>
      </c>
      <c r="AL4904">
        <v>80.760569312200104</v>
      </c>
      <c r="AM4904">
        <v>98.3950561138453</v>
      </c>
      <c r="AN4904">
        <v>1.0000000476862401</v>
      </c>
    </row>
    <row r="4905" spans="1:40" x14ac:dyDescent="0.25">
      <c r="A4905" t="str">
        <f>"20190304155733312"</f>
        <v>20190304155733312</v>
      </c>
      <c r="B4905" t="str">
        <f>"1551686253309778"</f>
        <v>1551686253309778</v>
      </c>
      <c r="C4905" t="s">
        <v>40</v>
      </c>
      <c r="D4905">
        <v>4.6800449999999998</v>
      </c>
      <c r="E4905">
        <v>0.47586109999999998</v>
      </c>
      <c r="F4905" t="s">
        <v>78</v>
      </c>
      <c r="G4905">
        <v>-423.99520000000001</v>
      </c>
      <c r="H4905" s="1">
        <v>-1.298533E-6</v>
      </c>
      <c r="I4905">
        <v>119.9692</v>
      </c>
      <c r="J4905">
        <v>-413.74549999999999</v>
      </c>
      <c r="K4905">
        <v>1.118344</v>
      </c>
      <c r="L4905">
        <v>133.47819999999999</v>
      </c>
      <c r="M4905">
        <v>-0.75049969999999999</v>
      </c>
      <c r="N4905">
        <v>-1.5096490000000001E-2</v>
      </c>
      <c r="O4905">
        <v>-0.66069840000000002</v>
      </c>
      <c r="P4905">
        <v>-0.64102569999999903</v>
      </c>
      <c r="Q4905">
        <v>0.14957100000000001</v>
      </c>
      <c r="R4905">
        <v>-0.75280449999999999</v>
      </c>
      <c r="S4905">
        <v>-1.862152</v>
      </c>
      <c r="T4905">
        <v>-0.19932849999999999</v>
      </c>
      <c r="U4905">
        <v>-2.441055</v>
      </c>
      <c r="V4905">
        <v>-0.1446848</v>
      </c>
      <c r="W4905">
        <v>0.16150510000000001</v>
      </c>
      <c r="X4905">
        <v>0.97620819999999997</v>
      </c>
      <c r="Y4905">
        <v>-0.1961784</v>
      </c>
      <c r="Z4905">
        <v>2.6925660000000001E-2</v>
      </c>
      <c r="AA4905">
        <v>0.98019849999999997</v>
      </c>
      <c r="AB4905">
        <v>27</v>
      </c>
      <c r="AC4905">
        <v>-10.249700000000001</v>
      </c>
      <c r="AD4905">
        <v>-1.118345298533</v>
      </c>
      <c r="AE4905">
        <v>-13.508999999999901</v>
      </c>
      <c r="AF4905">
        <v>-3.3523425989504401</v>
      </c>
      <c r="AG4905">
        <v>-1.118345298533</v>
      </c>
      <c r="AH4905">
        <v>16.547690574612101</v>
      </c>
      <c r="AI4905">
        <v>93.789598680186899</v>
      </c>
      <c r="AJ4905">
        <v>101.45236995605499</v>
      </c>
      <c r="AK4905">
        <v>16.9208439641938</v>
      </c>
      <c r="AL4905">
        <v>80.705731774094204</v>
      </c>
      <c r="AM4905">
        <v>98.430493166735005</v>
      </c>
      <c r="AN4905">
        <v>1.0000000192121401</v>
      </c>
    </row>
    <row r="4906" spans="1:40" x14ac:dyDescent="0.25">
      <c r="A4906" t="str">
        <f>"20190304155733335"</f>
        <v>20190304155733335</v>
      </c>
      <c r="B4906" t="str">
        <f>"1551686253329298"</f>
        <v>1551686253329298</v>
      </c>
      <c r="C4906" t="s">
        <v>40</v>
      </c>
      <c r="D4906">
        <v>4.7209599999999998</v>
      </c>
      <c r="E4906">
        <v>0.47521449999999998</v>
      </c>
      <c r="F4906" t="s">
        <v>78</v>
      </c>
      <c r="G4906">
        <v>-423.94630000000001</v>
      </c>
      <c r="H4906" s="1">
        <v>-1.1724279999999999E-6</v>
      </c>
      <c r="I4906">
        <v>119.7912</v>
      </c>
      <c r="J4906">
        <v>-413.9359</v>
      </c>
      <c r="K4906">
        <v>1.1183179999999999</v>
      </c>
      <c r="L4906">
        <v>133.29480000000001</v>
      </c>
      <c r="M4906">
        <v>-0.74322379999999999</v>
      </c>
      <c r="N4906">
        <v>-1.509137E-2</v>
      </c>
      <c r="O4906">
        <v>-0.66887259999999904</v>
      </c>
      <c r="P4906">
        <v>-0.63173190000000001</v>
      </c>
      <c r="Q4906">
        <v>0.150358299999999</v>
      </c>
      <c r="R4906">
        <v>-0.76046499999999995</v>
      </c>
      <c r="S4906">
        <v>-1.835175</v>
      </c>
      <c r="T4906">
        <v>-0.2011975</v>
      </c>
      <c r="U4906">
        <v>-2.4623719999999998</v>
      </c>
      <c r="V4906">
        <v>-0.1458815</v>
      </c>
      <c r="W4906">
        <v>0.1622692</v>
      </c>
      <c r="X4906">
        <v>0.97590330000000003</v>
      </c>
      <c r="Y4906">
        <v>-0.19643360000000001</v>
      </c>
      <c r="Z4906">
        <v>2.773664E-2</v>
      </c>
      <c r="AA4906">
        <v>0.98012480000000002</v>
      </c>
      <c r="AB4906">
        <v>27</v>
      </c>
      <c r="AC4906">
        <v>-10.010400000000001</v>
      </c>
      <c r="AD4906">
        <v>-1.1183191724279999</v>
      </c>
      <c r="AE4906">
        <v>-13.5036</v>
      </c>
      <c r="AF4906">
        <v>-3.3261730212994798</v>
      </c>
      <c r="AG4906">
        <v>-1.1183191724279999</v>
      </c>
      <c r="AH4906">
        <v>16.401436758670801</v>
      </c>
      <c r="AI4906">
        <v>93.8230456705096</v>
      </c>
      <c r="AJ4906">
        <v>101.463978263941</v>
      </c>
      <c r="AK4906">
        <v>16.7726322468394</v>
      </c>
      <c r="AL4906">
        <v>80.661366476359603</v>
      </c>
      <c r="AM4906">
        <v>98.501824737169002</v>
      </c>
      <c r="AN4906">
        <v>0.99999997813088903</v>
      </c>
    </row>
    <row r="4907" spans="1:40" x14ac:dyDescent="0.25">
      <c r="A4907" t="str">
        <f>"20190304155733356"</f>
        <v>20190304155733356</v>
      </c>
      <c r="B4907" t="str">
        <f>"1551686253349794"</f>
        <v>1551686253349794</v>
      </c>
      <c r="C4907" t="s">
        <v>40</v>
      </c>
      <c r="D4907">
        <v>4.7336660000000004</v>
      </c>
      <c r="E4907">
        <v>0.4752712</v>
      </c>
      <c r="F4907" t="s">
        <v>78</v>
      </c>
      <c r="G4907">
        <v>-423.59750000000003</v>
      </c>
      <c r="H4907" s="1">
        <v>-1.189445E-6</v>
      </c>
      <c r="I4907">
        <v>119.964</v>
      </c>
      <c r="J4907">
        <v>-414.11880000000002</v>
      </c>
      <c r="K4907">
        <v>1.118287</v>
      </c>
      <c r="L4907">
        <v>133.1147</v>
      </c>
      <c r="M4907">
        <v>-0.73608019999999996</v>
      </c>
      <c r="N4907">
        <v>-1.5085579999999999E-2</v>
      </c>
      <c r="O4907">
        <v>-0.6767263</v>
      </c>
      <c r="P4907">
        <v>-0.62351109999999998</v>
      </c>
      <c r="Q4907">
        <v>0.15072149999999901</v>
      </c>
      <c r="R4907">
        <v>-0.76714859999999996</v>
      </c>
      <c r="S4907">
        <v>-1.8033140000000001</v>
      </c>
      <c r="T4907">
        <v>-0.2087301</v>
      </c>
      <c r="U4907">
        <v>-2.4881440000000001</v>
      </c>
      <c r="V4907">
        <v>-0.14596529999999999</v>
      </c>
      <c r="W4907">
        <v>0.16263429999999901</v>
      </c>
      <c r="X4907">
        <v>0.97582999999999998</v>
      </c>
      <c r="Y4907">
        <v>-0.19911570000000001</v>
      </c>
      <c r="Z4907">
        <v>2.955822E-2</v>
      </c>
      <c r="AA4907">
        <v>0.97953009999999996</v>
      </c>
      <c r="AB4907">
        <v>27</v>
      </c>
      <c r="AC4907">
        <v>-9.4786999999999999</v>
      </c>
      <c r="AD4907">
        <v>-1.1182881894450001</v>
      </c>
      <c r="AE4907">
        <v>-13.150700000000001</v>
      </c>
      <c r="AF4907">
        <v>-3.2503875605125199</v>
      </c>
      <c r="AG4907">
        <v>-1.1182881894450001</v>
      </c>
      <c r="AH4907">
        <v>15.8031088464459</v>
      </c>
      <c r="AI4907">
        <v>93.964993809196699</v>
      </c>
      <c r="AJ4907">
        <v>101.622525417392</v>
      </c>
      <c r="AK4907">
        <v>16.172626162154401</v>
      </c>
      <c r="AL4907">
        <v>80.6401662523525</v>
      </c>
      <c r="AM4907">
        <v>98.507266713479197</v>
      </c>
      <c r="AN4907">
        <v>0.99999998662028999</v>
      </c>
    </row>
    <row r="4908" spans="1:40" x14ac:dyDescent="0.25">
      <c r="A4908" t="str">
        <f>"20190304155733379"</f>
        <v>20190304155733379</v>
      </c>
      <c r="B4908" t="str">
        <f>"1551686253369314"</f>
        <v>1551686253369314</v>
      </c>
      <c r="C4908" t="s">
        <v>40</v>
      </c>
      <c r="D4908">
        <v>4.6534579999999997</v>
      </c>
      <c r="E4908">
        <v>0.48260560000000002</v>
      </c>
      <c r="F4908" t="s">
        <v>78</v>
      </c>
      <c r="G4908">
        <v>-423.54689999999999</v>
      </c>
      <c r="H4908" s="1">
        <v>-1.084218E-6</v>
      </c>
      <c r="I4908">
        <v>119.81959999999999</v>
      </c>
      <c r="J4908">
        <v>-414.3075</v>
      </c>
      <c r="K4908">
        <v>1.118247</v>
      </c>
      <c r="L4908">
        <v>132.92490000000001</v>
      </c>
      <c r="M4908">
        <v>-0.72856239999999906</v>
      </c>
      <c r="N4908">
        <v>-1.5078319999999999E-2</v>
      </c>
      <c r="O4908">
        <v>-0.68481359999999902</v>
      </c>
      <c r="P4908">
        <v>-0.61554679999999995</v>
      </c>
      <c r="Q4908">
        <v>0.15053510000000001</v>
      </c>
      <c r="R4908">
        <v>-0.77359019999999901</v>
      </c>
      <c r="S4908">
        <v>-1.777863</v>
      </c>
      <c r="T4908">
        <v>-0.2108766</v>
      </c>
      <c r="U4908">
        <v>-2.5070649999999999</v>
      </c>
      <c r="V4908">
        <v>-0.14528289999999999</v>
      </c>
      <c r="W4908">
        <v>0.16247010000000001</v>
      </c>
      <c r="X4908">
        <v>0.97595920000000003</v>
      </c>
      <c r="Y4908">
        <v>-0.19841890000000001</v>
      </c>
      <c r="Z4908">
        <v>3.049234E-2</v>
      </c>
      <c r="AA4908">
        <v>0.97964289999999998</v>
      </c>
      <c r="AB4908">
        <v>27</v>
      </c>
      <c r="AC4908">
        <v>-9.2393999999999892</v>
      </c>
      <c r="AD4908">
        <v>-1.118248084218</v>
      </c>
      <c r="AE4908">
        <v>-13.1053</v>
      </c>
      <c r="AF4908">
        <v>-3.20553781691055</v>
      </c>
      <c r="AG4908">
        <v>-1.118248084218</v>
      </c>
      <c r="AH4908">
        <v>15.631925590997399</v>
      </c>
      <c r="AI4908">
        <v>94.008615476584794</v>
      </c>
      <c r="AJ4908">
        <v>101.58861929075699</v>
      </c>
      <c r="AK4908">
        <v>15.996344868624901</v>
      </c>
      <c r="AL4908">
        <v>80.6497012271698</v>
      </c>
      <c r="AM4908">
        <v>98.466967730212005</v>
      </c>
      <c r="AN4908">
        <v>1.00000000724553</v>
      </c>
    </row>
    <row r="4909" spans="1:40" x14ac:dyDescent="0.25">
      <c r="A4909" t="str">
        <f>"20190304155733401"</f>
        <v>20190304155733401</v>
      </c>
      <c r="B4909" t="str">
        <f>"1551686253389811"</f>
        <v>1551686253389811</v>
      </c>
      <c r="C4909" t="s">
        <v>40</v>
      </c>
      <c r="D4909">
        <v>4.6801750000000002</v>
      </c>
      <c r="E4909">
        <v>0.48353859999999899</v>
      </c>
      <c r="F4909" t="s">
        <v>78</v>
      </c>
      <c r="G4909">
        <v>-423.47699999999998</v>
      </c>
      <c r="H4909" s="1">
        <v>-1.3286220000000001E-6</v>
      </c>
      <c r="I4909">
        <v>120.2334</v>
      </c>
      <c r="J4909">
        <v>-414.49560000000002</v>
      </c>
      <c r="K4909">
        <v>1.118188</v>
      </c>
      <c r="L4909">
        <v>132.73150000000001</v>
      </c>
      <c r="M4909">
        <v>-0.72093099999999999</v>
      </c>
      <c r="N4909">
        <v>-1.506887E-2</v>
      </c>
      <c r="O4909">
        <v>-0.69284299999999999</v>
      </c>
      <c r="P4909">
        <v>-0.60741990000000001</v>
      </c>
      <c r="Q4909">
        <v>0.15087500000000001</v>
      </c>
      <c r="R4909">
        <v>-0.77992159999999999</v>
      </c>
      <c r="S4909">
        <v>-1.798645</v>
      </c>
      <c r="T4909">
        <v>-0.21935109999999999</v>
      </c>
      <c r="U4909">
        <v>-2.4895019999999999</v>
      </c>
      <c r="V4909">
        <v>-0.14461599999999999</v>
      </c>
      <c r="W4909">
        <v>0.1628338</v>
      </c>
      <c r="X4909">
        <v>0.97599760000000002</v>
      </c>
      <c r="Y4909">
        <v>-0.1789607</v>
      </c>
      <c r="Z4909">
        <v>3.3349179999999999E-2</v>
      </c>
      <c r="AA4909">
        <v>0.98329089999999997</v>
      </c>
      <c r="AB4909">
        <v>27</v>
      </c>
      <c r="AC4909">
        <v>-8.9813999999999492</v>
      </c>
      <c r="AD4909">
        <v>-1.1181893286219999</v>
      </c>
      <c r="AE4909">
        <v>-12.498100000000001</v>
      </c>
      <c r="AF4909">
        <v>-2.7732451167697501</v>
      </c>
      <c r="AG4909">
        <v>-1.1181893286219999</v>
      </c>
      <c r="AH4909">
        <v>15.056431462862299</v>
      </c>
      <c r="AI4909">
        <v>94.177348662469498</v>
      </c>
      <c r="AJ4909">
        <v>100.43634157538899</v>
      </c>
      <c r="AK4909">
        <v>15.350484169830001</v>
      </c>
      <c r="AL4909">
        <v>80.628581202406295</v>
      </c>
      <c r="AM4909">
        <v>98.428334057767501</v>
      </c>
      <c r="AN4909">
        <v>0.99999997454209899</v>
      </c>
    </row>
    <row r="4910" spans="1:40" x14ac:dyDescent="0.25">
      <c r="A4910" t="str">
        <f>"20190304155733424"</f>
        <v>20190304155733424</v>
      </c>
      <c r="B4910" t="str">
        <f>"1551686253420067"</f>
        <v>1551686253420067</v>
      </c>
      <c r="C4910" t="s">
        <v>40</v>
      </c>
      <c r="D4910">
        <v>4.8302699999999996</v>
      </c>
      <c r="E4910">
        <v>0.4855237</v>
      </c>
      <c r="F4910" t="s">
        <v>41</v>
      </c>
      <c r="G4910">
        <v>-423.87849999999997</v>
      </c>
      <c r="H4910" s="1">
        <v>-4.9548509999999999E-6</v>
      </c>
      <c r="I4910">
        <v>119.5252</v>
      </c>
      <c r="J4910">
        <v>-414.68299999999999</v>
      </c>
      <c r="K4910">
        <v>1.1181110000000001</v>
      </c>
      <c r="L4910">
        <v>132.53479999999999</v>
      </c>
      <c r="M4910">
        <v>-0.71321109999999999</v>
      </c>
      <c r="N4910">
        <v>-1.505651E-2</v>
      </c>
      <c r="O4910">
        <v>-0.70078759999999996</v>
      </c>
      <c r="P4910">
        <v>-0.5994834</v>
      </c>
      <c r="Q4910">
        <v>0.15029790000000001</v>
      </c>
      <c r="R4910">
        <v>-0.78614910000000005</v>
      </c>
      <c r="S4910">
        <v>-1.778168</v>
      </c>
      <c r="T4910">
        <v>-0.21190970000000001</v>
      </c>
      <c r="U4910">
        <v>-2.5027469999999998</v>
      </c>
      <c r="V4910">
        <v>-0.1437322</v>
      </c>
      <c r="W4910">
        <v>0.1622904</v>
      </c>
      <c r="X4910">
        <v>0.97621860000000005</v>
      </c>
      <c r="Y4910">
        <v>-0.17583779999999999</v>
      </c>
      <c r="Z4910">
        <v>3.244267E-2</v>
      </c>
      <c r="AA4910">
        <v>0.98388439999999999</v>
      </c>
      <c r="AB4910">
        <v>27</v>
      </c>
      <c r="AC4910">
        <v>-9.1954999999999192</v>
      </c>
      <c r="AD4910">
        <v>-1.118115954851</v>
      </c>
      <c r="AE4910">
        <v>-13.009599999999899</v>
      </c>
      <c r="AF4910">
        <v>-2.8209249452336</v>
      </c>
      <c r="AG4910">
        <v>-1.118115954851</v>
      </c>
      <c r="AH4910">
        <v>15.600233391782201</v>
      </c>
      <c r="AI4910">
        <v>94.0343460908841</v>
      </c>
      <c r="AJ4910">
        <v>100.249798009961</v>
      </c>
      <c r="AK4910">
        <v>15.8926109470159</v>
      </c>
      <c r="AL4910">
        <v>80.660135102310093</v>
      </c>
      <c r="AM4910">
        <v>98.375689065192702</v>
      </c>
      <c r="AN4910">
        <v>0.99999993711747803</v>
      </c>
    </row>
    <row r="4911" spans="1:40" x14ac:dyDescent="0.25">
      <c r="A4911" t="str">
        <f>"20190304155733446"</f>
        <v>20190304155733446</v>
      </c>
      <c r="B4911" t="str">
        <f>"1551686253439586"</f>
        <v>1551686253439586</v>
      </c>
      <c r="C4911" t="s">
        <v>40</v>
      </c>
      <c r="D4911">
        <v>4.6893440000000002</v>
      </c>
      <c r="E4911">
        <v>0.4862263</v>
      </c>
      <c r="F4911" t="s">
        <v>41</v>
      </c>
      <c r="G4911">
        <v>-423.84120000000001</v>
      </c>
      <c r="H4911" s="1">
        <v>-4.9435000000000002E-6</v>
      </c>
      <c r="I4911">
        <v>119.51130000000001</v>
      </c>
      <c r="J4911">
        <v>-414.85469999999998</v>
      </c>
      <c r="K4911">
        <v>1.1180239999999999</v>
      </c>
      <c r="L4911">
        <v>132.35059999999999</v>
      </c>
      <c r="M4911">
        <v>-0.7060459</v>
      </c>
      <c r="N4911">
        <v>-1.504192E-2</v>
      </c>
      <c r="O4911">
        <v>-0.70800649999999998</v>
      </c>
      <c r="P4911">
        <v>-0.591862</v>
      </c>
      <c r="Q4911">
        <v>0.14880079999999901</v>
      </c>
      <c r="R4911">
        <v>-0.79218580000000005</v>
      </c>
      <c r="S4911">
        <v>-1.7656559999999999</v>
      </c>
      <c r="T4911">
        <v>-0.21556639999999999</v>
      </c>
      <c r="U4911">
        <v>-2.5108640000000002</v>
      </c>
      <c r="V4911">
        <v>-0.143366299999999</v>
      </c>
      <c r="W4911">
        <v>0.16081979999999901</v>
      </c>
      <c r="X4911">
        <v>0.97651580000000004</v>
      </c>
      <c r="Y4911">
        <v>-0.17063349999999999</v>
      </c>
      <c r="Z4911">
        <v>3.3829629999999999E-2</v>
      </c>
      <c r="AA4911">
        <v>0.98475369999999995</v>
      </c>
      <c r="AB4911">
        <v>27</v>
      </c>
      <c r="AC4911">
        <v>-8.9865000000000297</v>
      </c>
      <c r="AD4911">
        <v>-1.1180289434999999</v>
      </c>
      <c r="AE4911">
        <v>-12.8392999999999</v>
      </c>
      <c r="AF4911">
        <v>-2.6892533687294602</v>
      </c>
      <c r="AG4911">
        <v>-1.1180289434999999</v>
      </c>
      <c r="AH4911">
        <v>15.358766295648</v>
      </c>
      <c r="AI4911">
        <v>94.101279035805305</v>
      </c>
      <c r="AJ4911">
        <v>99.931563640864994</v>
      </c>
      <c r="AK4911">
        <v>15.632459004394001</v>
      </c>
      <c r="AL4911">
        <v>80.745516519214902</v>
      </c>
      <c r="AM4911">
        <v>98.352161503470697</v>
      </c>
      <c r="AN4911">
        <v>1.00000000584868</v>
      </c>
    </row>
    <row r="4912" spans="1:40" x14ac:dyDescent="0.25">
      <c r="A4912" t="str">
        <f>"20190304155733468"</f>
        <v>20190304155733468</v>
      </c>
      <c r="B4912" t="str">
        <f>"1551686253460082"</f>
        <v>1551686253460082</v>
      </c>
      <c r="C4912" t="s">
        <v>40</v>
      </c>
      <c r="D4912">
        <v>4.6409989999999999</v>
      </c>
      <c r="E4912">
        <v>0.48745359999999999</v>
      </c>
      <c r="F4912" t="s">
        <v>41</v>
      </c>
      <c r="G4912">
        <v>-423.66460000000001</v>
      </c>
      <c r="H4912" s="1">
        <v>-4.94671999999999E-6</v>
      </c>
      <c r="I4912">
        <v>119.6127</v>
      </c>
      <c r="J4912">
        <v>-415.03449999999998</v>
      </c>
      <c r="K4912">
        <v>1.11791</v>
      </c>
      <c r="L4912">
        <v>132.1541</v>
      </c>
      <c r="M4912">
        <v>-0.69847740000000003</v>
      </c>
      <c r="N4912">
        <v>-1.5023399999999999E-2</v>
      </c>
      <c r="O4912">
        <v>-0.71547450000000001</v>
      </c>
      <c r="P4912">
        <v>-0.58420740000000004</v>
      </c>
      <c r="Q4912">
        <v>0.14809559999999999</v>
      </c>
      <c r="R4912">
        <v>-0.79797859999999998</v>
      </c>
      <c r="S4912">
        <v>-1.7458499999999999</v>
      </c>
      <c r="T4912">
        <v>-0.22155820000000001</v>
      </c>
      <c r="U4912">
        <v>-2.5242460000000002</v>
      </c>
      <c r="V4912">
        <v>-0.14241609999999999</v>
      </c>
      <c r="W4912">
        <v>0.1601562</v>
      </c>
      <c r="X4912">
        <v>0.97676379999999996</v>
      </c>
      <c r="Y4912">
        <v>-0.16786809999999999</v>
      </c>
      <c r="Z4912">
        <v>3.5674770000000001E-2</v>
      </c>
      <c r="AA4912">
        <v>0.98516369999999998</v>
      </c>
      <c r="AB4912">
        <v>27</v>
      </c>
      <c r="AC4912">
        <v>-8.6301000000000201</v>
      </c>
      <c r="AD4912">
        <v>-1.11791494672</v>
      </c>
      <c r="AE4912">
        <v>-12.5413999999999</v>
      </c>
      <c r="AF4912">
        <v>-2.5716924226520401</v>
      </c>
      <c r="AG4912">
        <v>-1.11791494672</v>
      </c>
      <c r="AH4912">
        <v>14.9222097092312</v>
      </c>
      <c r="AI4912">
        <v>94.222362236837</v>
      </c>
      <c r="AJ4912">
        <v>99.778296534515604</v>
      </c>
      <c r="AK4912">
        <v>15.183401409140799</v>
      </c>
      <c r="AL4912">
        <v>80.784036677890498</v>
      </c>
      <c r="AM4912">
        <v>98.2955010610534</v>
      </c>
      <c r="AN4912">
        <v>0.99999993746404303</v>
      </c>
    </row>
    <row r="4913" spans="1:40" x14ac:dyDescent="0.25">
      <c r="A4913" t="str">
        <f>"20190304155733491"</f>
        <v>20190304155733491</v>
      </c>
      <c r="B4913" t="str">
        <f>"1551686253479603"</f>
        <v>1551686253479603</v>
      </c>
      <c r="C4913" t="s">
        <v>40</v>
      </c>
      <c r="D4913">
        <v>4.8073810000000003</v>
      </c>
      <c r="E4913">
        <v>0.48777490000000001</v>
      </c>
      <c r="F4913" t="s">
        <v>41</v>
      </c>
      <c r="G4913">
        <v>-423.68770000000001</v>
      </c>
      <c r="H4913" s="1">
        <v>-4.9005809999999998E-6</v>
      </c>
      <c r="I4913">
        <v>119.4652</v>
      </c>
      <c r="J4913">
        <v>-415.20769999999999</v>
      </c>
      <c r="K4913">
        <v>1.1177859999999999</v>
      </c>
      <c r="L4913">
        <v>131.96080000000001</v>
      </c>
      <c r="M4913">
        <v>-0.69113760000000002</v>
      </c>
      <c r="N4913">
        <v>-1.500218E-2</v>
      </c>
      <c r="O4913">
        <v>-0.72256750000000003</v>
      </c>
      <c r="P4913">
        <v>-0.5755304</v>
      </c>
      <c r="Q4913">
        <v>0.1481932</v>
      </c>
      <c r="R4913">
        <v>-0.80424090000000004</v>
      </c>
      <c r="S4913">
        <v>-1.728882</v>
      </c>
      <c r="T4913">
        <v>-0.22335769999999999</v>
      </c>
      <c r="U4913">
        <v>-2.5352169999999998</v>
      </c>
      <c r="V4913">
        <v>-0.14296589999999901</v>
      </c>
      <c r="W4913">
        <v>0.16026399999999999</v>
      </c>
      <c r="X4913">
        <v>0.97666589999999998</v>
      </c>
      <c r="Y4913">
        <v>-0.1643124</v>
      </c>
      <c r="Z4913">
        <v>3.6655699999999999E-2</v>
      </c>
      <c r="AA4913">
        <v>0.98572709999999997</v>
      </c>
      <c r="AB4913">
        <v>27</v>
      </c>
      <c r="AC4913">
        <v>-8.4800000000000093</v>
      </c>
      <c r="AD4913">
        <v>-1.1177909005810001</v>
      </c>
      <c r="AE4913">
        <v>-12.4956</v>
      </c>
      <c r="AF4913">
        <v>-2.4954168736986801</v>
      </c>
      <c r="AG4913">
        <v>-1.1177909005810001</v>
      </c>
      <c r="AH4913">
        <v>14.810293338844501</v>
      </c>
      <c r="AI4913">
        <v>94.256383647982503</v>
      </c>
      <c r="AJ4913">
        <v>99.564052786988597</v>
      </c>
      <c r="AK4913">
        <v>15.060589319597799</v>
      </c>
      <c r="AL4913">
        <v>80.777780313168293</v>
      </c>
      <c r="AM4913">
        <v>98.327900775422606</v>
      </c>
      <c r="AN4913">
        <v>1.0000000392407999</v>
      </c>
    </row>
    <row r="4914" spans="1:40" x14ac:dyDescent="0.25">
      <c r="A4914" t="str">
        <f>"20190304155733513"</f>
        <v>20190304155733513</v>
      </c>
      <c r="B4914" t="str">
        <f>"1551686253509859"</f>
        <v>1551686253509859</v>
      </c>
      <c r="C4914" t="s">
        <v>40</v>
      </c>
      <c r="D4914">
        <v>4.6340789999999998</v>
      </c>
      <c r="E4914">
        <v>0.45507940000000002</v>
      </c>
      <c r="F4914" t="s">
        <v>41</v>
      </c>
      <c r="G4914">
        <v>-423.7552</v>
      </c>
      <c r="H4914" s="1">
        <v>-4.807701E-6</v>
      </c>
      <c r="I4914">
        <v>119.1571</v>
      </c>
      <c r="J4914">
        <v>-415.38260000000002</v>
      </c>
      <c r="K4914">
        <v>1.1176520000000001</v>
      </c>
      <c r="L4914">
        <v>131.76150000000001</v>
      </c>
      <c r="M4914">
        <v>-0.68368209999999996</v>
      </c>
      <c r="N4914">
        <v>-1.497828E-2</v>
      </c>
      <c r="O4914">
        <v>-0.7296262</v>
      </c>
      <c r="P4914">
        <v>-0.56641140000000001</v>
      </c>
      <c r="Q4914">
        <v>0.14852679999999999</v>
      </c>
      <c r="R4914">
        <v>-0.81062829999999997</v>
      </c>
      <c r="S4914">
        <v>-1.703705</v>
      </c>
      <c r="T4914">
        <v>-0.22280069999999999</v>
      </c>
      <c r="U4914">
        <v>-2.5520779999999998</v>
      </c>
      <c r="V4914">
        <v>-0.14388049999999999</v>
      </c>
      <c r="W4914">
        <v>0.16060099999999999</v>
      </c>
      <c r="X4914">
        <v>0.97647620000000002</v>
      </c>
      <c r="Y4914">
        <v>-0.16392370000000001</v>
      </c>
      <c r="Z4914">
        <v>3.7027099999999903E-2</v>
      </c>
      <c r="AA4914">
        <v>0.98577789999999998</v>
      </c>
      <c r="AB4914">
        <v>27</v>
      </c>
      <c r="AC4914">
        <v>-8.3725999999999701</v>
      </c>
      <c r="AD4914">
        <v>-1.1176568077010001</v>
      </c>
      <c r="AE4914">
        <v>-12.6044</v>
      </c>
      <c r="AF4914">
        <v>-2.4952032161381399</v>
      </c>
      <c r="AG4914">
        <v>-1.1176568077010001</v>
      </c>
      <c r="AH4914">
        <v>14.841404051797801</v>
      </c>
      <c r="AI4914">
        <v>94.247240972016996</v>
      </c>
      <c r="AJ4914">
        <v>99.543571562808907</v>
      </c>
      <c r="AK4914">
        <v>15.0911387926275</v>
      </c>
      <c r="AL4914">
        <v>80.758218105973597</v>
      </c>
      <c r="AM4914">
        <v>98.382027781442702</v>
      </c>
      <c r="AN4914">
        <v>1.0000000243238401</v>
      </c>
    </row>
    <row r="4915" spans="1:40" x14ac:dyDescent="0.25">
      <c r="A4915" t="str">
        <f>"20190304155733536"</f>
        <v>20190304155733536</v>
      </c>
      <c r="B4915" t="str">
        <f>"1551686253529378"</f>
        <v>1551686253529378</v>
      </c>
      <c r="C4915" t="s">
        <v>40</v>
      </c>
      <c r="D4915">
        <v>4.659313</v>
      </c>
      <c r="E4915">
        <v>0.45116729999999999</v>
      </c>
      <c r="F4915" t="s">
        <v>41</v>
      </c>
      <c r="G4915">
        <v>-422.42899999999997</v>
      </c>
      <c r="H4915" s="1">
        <v>-4.3973939999999999E-6</v>
      </c>
      <c r="I4915">
        <v>118.6426</v>
      </c>
      <c r="J4915">
        <v>-415.55590000000001</v>
      </c>
      <c r="K4915">
        <v>1.117529</v>
      </c>
      <c r="L4915">
        <v>131.56020000000001</v>
      </c>
      <c r="M4915">
        <v>-0.67624879999999998</v>
      </c>
      <c r="N4915">
        <v>-1.495399E-2</v>
      </c>
      <c r="O4915">
        <v>-0.7365218</v>
      </c>
      <c r="P4915">
        <v>-0.55802850000000004</v>
      </c>
      <c r="Q4915">
        <v>0.14852099999999999</v>
      </c>
      <c r="R4915">
        <v>-0.8164228</v>
      </c>
      <c r="S4915">
        <v>-1.4619450000000001</v>
      </c>
      <c r="T4915">
        <v>-0.23188320000000001</v>
      </c>
      <c r="U4915">
        <v>-2.7218170000000002</v>
      </c>
      <c r="V4915">
        <v>-0.14399149999999999</v>
      </c>
      <c r="W4915">
        <v>0.1606128</v>
      </c>
      <c r="X4915">
        <v>0.97645789999999999</v>
      </c>
      <c r="Y4915">
        <v>-0.24747649999999999</v>
      </c>
      <c r="Z4915">
        <v>3.6527480000000001E-2</v>
      </c>
      <c r="AA4915">
        <v>0.96820510000000004</v>
      </c>
      <c r="AB4915">
        <v>27</v>
      </c>
      <c r="AC4915">
        <v>-6.8731000000000204</v>
      </c>
      <c r="AD4915">
        <v>-1.117533397394</v>
      </c>
      <c r="AE4915">
        <v>-12.9176</v>
      </c>
      <c r="AF4915">
        <v>-3.65242868798068</v>
      </c>
      <c r="AG4915">
        <v>-1.117533397394</v>
      </c>
      <c r="AH4915">
        <v>14.0814623499449</v>
      </c>
      <c r="AI4915">
        <v>94.392832481206199</v>
      </c>
      <c r="AJ4915">
        <v>104.54085699729001</v>
      </c>
      <c r="AK4915">
        <v>14.5902946552833</v>
      </c>
      <c r="AL4915">
        <v>80.7575331489315</v>
      </c>
      <c r="AM4915">
        <v>98.388557291734998</v>
      </c>
      <c r="AN4915">
        <v>1.00000002703424</v>
      </c>
    </row>
    <row r="4916" spans="1:40" x14ac:dyDescent="0.25">
      <c r="A4916" t="str">
        <f>"20190304155733557"</f>
        <v>20190304155733557</v>
      </c>
      <c r="B4916" t="str">
        <f>"1551686253549875"</f>
        <v>1551686253549875</v>
      </c>
      <c r="C4916" t="s">
        <v>40</v>
      </c>
      <c r="D4916">
        <v>4.6416719999999998</v>
      </c>
      <c r="E4916">
        <v>0.4495788</v>
      </c>
      <c r="F4916" t="s">
        <v>41</v>
      </c>
      <c r="G4916">
        <v>-422.55250000000001</v>
      </c>
      <c r="H4916" s="1">
        <v>-4.1539750000000003E-6</v>
      </c>
      <c r="I4916">
        <v>117.8629</v>
      </c>
      <c r="J4916">
        <v>-415.71850000000001</v>
      </c>
      <c r="K4916">
        <v>1.1174280000000001</v>
      </c>
      <c r="L4916">
        <v>131.36779999999999</v>
      </c>
      <c r="M4916">
        <v>-0.6692285</v>
      </c>
      <c r="N4916">
        <v>-1.4931689999999999E-2</v>
      </c>
      <c r="O4916">
        <v>-0.74290669999999903</v>
      </c>
      <c r="P4916">
        <v>-0.55063339999999905</v>
      </c>
      <c r="Q4916">
        <v>0.14926629999999999</v>
      </c>
      <c r="R4916">
        <v>-0.82129370000000002</v>
      </c>
      <c r="S4916">
        <v>-1.4067080000000001</v>
      </c>
      <c r="T4916">
        <v>-0.224687</v>
      </c>
      <c r="U4916">
        <v>-2.7539220000000002</v>
      </c>
      <c r="V4916">
        <v>-0.14342050000000001</v>
      </c>
      <c r="W4916">
        <v>0.16138369999999999</v>
      </c>
      <c r="X4916">
        <v>0.97641480000000003</v>
      </c>
      <c r="Y4916">
        <v>-0.25821949999999999</v>
      </c>
      <c r="Z4916">
        <v>3.510808E-2</v>
      </c>
      <c r="AA4916">
        <v>0.96544810000000003</v>
      </c>
      <c r="AB4916">
        <v>27</v>
      </c>
      <c r="AC4916">
        <v>-6.8339999999999996</v>
      </c>
      <c r="AD4916">
        <v>-1.1174321539749901</v>
      </c>
      <c r="AE4916">
        <v>-13.5048999999999</v>
      </c>
      <c r="AF4916">
        <v>-3.9398066966793399</v>
      </c>
      <c r="AG4916">
        <v>-1.1174321539749901</v>
      </c>
      <c r="AH4916">
        <v>14.5288252904648</v>
      </c>
      <c r="AI4916">
        <v>94.245311772654503</v>
      </c>
      <c r="AJ4916">
        <v>105.172130250875</v>
      </c>
      <c r="AK4916">
        <v>15.094949345618399</v>
      </c>
      <c r="AL4916">
        <v>80.712779761273893</v>
      </c>
      <c r="AM4916">
        <v>98.356126557247805</v>
      </c>
      <c r="AN4916">
        <v>1.00000000005249</v>
      </c>
    </row>
    <row r="4917" spans="1:40" x14ac:dyDescent="0.25">
      <c r="A4917" t="str">
        <f>"20190304155733580"</f>
        <v>20190304155733580</v>
      </c>
      <c r="B4917" t="str">
        <f>"1551686253569395"</f>
        <v>1551686253569395</v>
      </c>
      <c r="C4917" t="s">
        <v>40</v>
      </c>
      <c r="D4917">
        <v>4.6791179999999999</v>
      </c>
      <c r="E4917">
        <v>0.44879980000000003</v>
      </c>
      <c r="F4917" t="s">
        <v>41</v>
      </c>
      <c r="G4917">
        <v>-422.9615</v>
      </c>
      <c r="H4917" s="1">
        <v>-3.8359479999999996E-6</v>
      </c>
      <c r="I4917">
        <v>116.7152</v>
      </c>
      <c r="J4917">
        <v>-415.8879</v>
      </c>
      <c r="K4917">
        <v>1.1173219999999999</v>
      </c>
      <c r="L4917">
        <v>131.1635</v>
      </c>
      <c r="M4917">
        <v>-0.66187189999999996</v>
      </c>
      <c r="N4917">
        <v>-1.490852E-2</v>
      </c>
      <c r="O4917">
        <v>-0.74946889999999999</v>
      </c>
      <c r="P4917">
        <v>-0.54289589999999999</v>
      </c>
      <c r="Q4917">
        <v>0.15022739999999901</v>
      </c>
      <c r="R4917">
        <v>-0.82625419999999905</v>
      </c>
      <c r="S4917">
        <v>-1.370422</v>
      </c>
      <c r="T4917">
        <v>-0.21142659999999999</v>
      </c>
      <c r="U4917">
        <v>-2.7723689999999999</v>
      </c>
      <c r="V4917">
        <v>-0.14282110000000001</v>
      </c>
      <c r="W4917">
        <v>0.1623685</v>
      </c>
      <c r="X4917">
        <v>0.97633939999999997</v>
      </c>
      <c r="Y4917">
        <v>-0.26135950000000002</v>
      </c>
      <c r="Z4917">
        <v>3.2668830000000003E-2</v>
      </c>
      <c r="AA4917">
        <v>0.96468849999999995</v>
      </c>
      <c r="AB4917">
        <v>27</v>
      </c>
      <c r="AC4917">
        <v>-7.0735999999999901</v>
      </c>
      <c r="AD4917">
        <v>-1.1173258359479901</v>
      </c>
      <c r="AE4917">
        <v>-14.4483</v>
      </c>
      <c r="AF4917">
        <v>-4.2414923174046599</v>
      </c>
      <c r="AG4917">
        <v>-1.1173258359479901</v>
      </c>
      <c r="AH4917">
        <v>15.437618033918101</v>
      </c>
      <c r="AI4917">
        <v>93.992232370000593</v>
      </c>
      <c r="AJ4917">
        <v>105.362956877569</v>
      </c>
      <c r="AK4917">
        <v>16.048636224409599</v>
      </c>
      <c r="AL4917">
        <v>80.655600841848894</v>
      </c>
      <c r="AM4917">
        <v>98.322327366970597</v>
      </c>
      <c r="AN4917">
        <v>1.00000001019491</v>
      </c>
    </row>
    <row r="4918" spans="1:40" x14ac:dyDescent="0.25">
      <c r="A4918" t="str">
        <f>"20190304155733603"</f>
        <v>20190304155733603</v>
      </c>
      <c r="B4918" t="str">
        <f>"1551686253599651"</f>
        <v>1551686253599651</v>
      </c>
      <c r="C4918" t="s">
        <v>40</v>
      </c>
      <c r="D4918">
        <v>4.6752149999999997</v>
      </c>
      <c r="E4918">
        <v>0.4485884</v>
      </c>
      <c r="F4918" t="s">
        <v>41</v>
      </c>
      <c r="G4918">
        <v>-423.1404</v>
      </c>
      <c r="H4918" s="1">
        <v>-3.6134999999999998E-6</v>
      </c>
      <c r="I4918">
        <v>116.0645</v>
      </c>
      <c r="J4918">
        <v>-416.05689999999998</v>
      </c>
      <c r="K4918">
        <v>1.1172089999999999</v>
      </c>
      <c r="L4918">
        <v>130.95570000000001</v>
      </c>
      <c r="M4918">
        <v>-0.65448549999999905</v>
      </c>
      <c r="N4918">
        <v>-1.4884629999999999E-2</v>
      </c>
      <c r="O4918">
        <v>-0.75592819999999905</v>
      </c>
      <c r="P4918">
        <v>-0.53507289999999996</v>
      </c>
      <c r="Q4918">
        <v>0.15016959999999999</v>
      </c>
      <c r="R4918">
        <v>-0.83135219999999899</v>
      </c>
      <c r="S4918">
        <v>-1.3393250000000001</v>
      </c>
      <c r="T4918">
        <v>-0.20633670000000001</v>
      </c>
      <c r="U4918">
        <v>-2.7883300000000002</v>
      </c>
      <c r="V4918">
        <v>-0.14241789999999999</v>
      </c>
      <c r="W4918">
        <v>0.1623309</v>
      </c>
      <c r="X4918">
        <v>0.97640450000000001</v>
      </c>
      <c r="Y4918">
        <v>-0.26277539999999999</v>
      </c>
      <c r="Z4918">
        <v>3.1968839999999998E-2</v>
      </c>
      <c r="AA4918">
        <v>0.9643273</v>
      </c>
      <c r="AB4918">
        <v>27</v>
      </c>
      <c r="AC4918">
        <v>-7.0835000000000097</v>
      </c>
      <c r="AD4918">
        <v>-1.1172126135</v>
      </c>
      <c r="AE4918">
        <v>-14.8912</v>
      </c>
      <c r="AF4918">
        <v>-4.3718755877908704</v>
      </c>
      <c r="AG4918">
        <v>-1.1172126135</v>
      </c>
      <c r="AH4918">
        <v>15.821860465170101</v>
      </c>
      <c r="AI4918">
        <v>93.893628289617794</v>
      </c>
      <c r="AJ4918">
        <v>105.446470197408</v>
      </c>
      <c r="AK4918">
        <v>16.452742286871199</v>
      </c>
      <c r="AL4918">
        <v>80.657783687823198</v>
      </c>
      <c r="AM4918">
        <v>98.298614582215905</v>
      </c>
      <c r="AN4918">
        <v>0.99999996347773401</v>
      </c>
    </row>
    <row r="4919" spans="1:40" x14ac:dyDescent="0.25">
      <c r="A4919" t="str">
        <f>"20190304155733626"</f>
        <v>20190304155733626</v>
      </c>
      <c r="B4919" t="str">
        <f>"1551686253619170"</f>
        <v>1551686253619170</v>
      </c>
      <c r="C4919" t="s">
        <v>40</v>
      </c>
      <c r="D4919">
        <v>4.7060269999999997</v>
      </c>
      <c r="E4919">
        <v>0.4488181</v>
      </c>
      <c r="F4919" t="s">
        <v>41</v>
      </c>
      <c r="G4919">
        <v>-423.24189999999999</v>
      </c>
      <c r="H4919" s="1">
        <v>-3.4443350000000001E-6</v>
      </c>
      <c r="I4919">
        <v>115.60720000000001</v>
      </c>
      <c r="J4919">
        <v>-416.22489999999999</v>
      </c>
      <c r="K4919">
        <v>1.1170979999999999</v>
      </c>
      <c r="L4919">
        <v>130.74529999999999</v>
      </c>
      <c r="M4919">
        <v>-0.64708889999999997</v>
      </c>
      <c r="N4919">
        <v>-1.48602E-2</v>
      </c>
      <c r="O4919">
        <v>-0.76226969999999905</v>
      </c>
      <c r="P4919">
        <v>-0.52816339999999995</v>
      </c>
      <c r="Q4919">
        <v>0.14931</v>
      </c>
      <c r="R4919">
        <v>-0.83591260000000001</v>
      </c>
      <c r="S4919">
        <v>-1.3113709999999901</v>
      </c>
      <c r="T4919">
        <v>-0.2039088</v>
      </c>
      <c r="U4919">
        <v>-2.8013460000000001</v>
      </c>
      <c r="V4919">
        <v>-0.141037</v>
      </c>
      <c r="W4919">
        <v>0.16151119999999999</v>
      </c>
      <c r="X4919">
        <v>0.97674079999999996</v>
      </c>
      <c r="Y4919">
        <v>-0.26298539999999998</v>
      </c>
      <c r="Z4919">
        <v>3.1867149999999997E-2</v>
      </c>
      <c r="AA4919">
        <v>0.96427339999999995</v>
      </c>
      <c r="AB4919">
        <v>27</v>
      </c>
      <c r="AC4919">
        <v>-7.0169999999999897</v>
      </c>
      <c r="AD4919">
        <v>-1.117101444335</v>
      </c>
      <c r="AE4919">
        <v>-15.1380999999999</v>
      </c>
      <c r="AF4919">
        <v>-4.4274951145699504</v>
      </c>
      <c r="AG4919">
        <v>-1.117101444335</v>
      </c>
      <c r="AH4919">
        <v>16.0099499614712</v>
      </c>
      <c r="AI4919">
        <v>93.847416918313598</v>
      </c>
      <c r="AJ4919">
        <v>105.458595010851</v>
      </c>
      <c r="AK4919">
        <v>16.6483971118931</v>
      </c>
      <c r="AL4919">
        <v>80.705376940717599</v>
      </c>
      <c r="AM4919">
        <v>98.216463602030899</v>
      </c>
      <c r="AN4919">
        <v>0.99999994673953796</v>
      </c>
    </row>
    <row r="4920" spans="1:40" x14ac:dyDescent="0.25">
      <c r="A4920" t="str">
        <f>"20190304155733646"</f>
        <v>20190304155733646</v>
      </c>
      <c r="B4920" t="str">
        <f>"1551686253639667"</f>
        <v>1551686253639667</v>
      </c>
      <c r="C4920" t="s">
        <v>40</v>
      </c>
      <c r="D4920">
        <v>4.6682810000000003</v>
      </c>
      <c r="E4920">
        <v>0.44988299999999998</v>
      </c>
      <c r="F4920" t="s">
        <v>41</v>
      </c>
      <c r="G4920">
        <v>-423.2319</v>
      </c>
      <c r="H4920" s="1">
        <v>-3.3791800000000001E-6</v>
      </c>
      <c r="I4920">
        <v>115.4615</v>
      </c>
      <c r="J4920">
        <v>-416.37580000000003</v>
      </c>
      <c r="K4920">
        <v>1.117003</v>
      </c>
      <c r="L4920">
        <v>130.55279999999999</v>
      </c>
      <c r="M4920">
        <v>-0.64039489999999999</v>
      </c>
      <c r="N4920">
        <v>-1.4838250000000001E-2</v>
      </c>
      <c r="O4920">
        <v>-0.76790259999999999</v>
      </c>
      <c r="P4920">
        <v>-0.52123339999999996</v>
      </c>
      <c r="Q4920">
        <v>0.14878749999999999</v>
      </c>
      <c r="R4920">
        <v>-0.84034430000000004</v>
      </c>
      <c r="S4920">
        <v>-1.2888489999999999</v>
      </c>
      <c r="T4920">
        <v>-0.2054783</v>
      </c>
      <c r="U4920">
        <v>-2.8112789999999999</v>
      </c>
      <c r="V4920">
        <v>-0.1405796</v>
      </c>
      <c r="W4920">
        <v>0.16100900000000001</v>
      </c>
      <c r="X4920">
        <v>0.97688969999999997</v>
      </c>
      <c r="Y4920">
        <v>-0.2622275</v>
      </c>
      <c r="Z4920">
        <v>3.2617019999999997E-2</v>
      </c>
      <c r="AA4920">
        <v>0.9644547</v>
      </c>
      <c r="AB4920">
        <v>27</v>
      </c>
      <c r="AC4920">
        <v>-6.8560999999999597</v>
      </c>
      <c r="AD4920">
        <v>-1.11700637918</v>
      </c>
      <c r="AE4920">
        <v>-15.091299999999899</v>
      </c>
      <c r="AF4920">
        <v>-4.3801674000218398</v>
      </c>
      <c r="AG4920">
        <v>-1.11700637918</v>
      </c>
      <c r="AH4920">
        <v>15.9087732310898</v>
      </c>
      <c r="AI4920">
        <v>93.872686873941404</v>
      </c>
      <c r="AJ4920">
        <v>105.393844308393</v>
      </c>
      <c r="AK4920">
        <v>16.538519746990101</v>
      </c>
      <c r="AL4920">
        <v>80.7345330075443</v>
      </c>
      <c r="AM4920">
        <v>98.188947272183597</v>
      </c>
      <c r="AN4920">
        <v>1.0000000039916199</v>
      </c>
    </row>
    <row r="4921" spans="1:40" x14ac:dyDescent="0.25">
      <c r="A4921" t="str">
        <f>"20190304155733669"</f>
        <v>20190304155733669</v>
      </c>
      <c r="B4921" t="str">
        <f>"1551686253659186"</f>
        <v>1551686253659186</v>
      </c>
      <c r="C4921" t="s">
        <v>40</v>
      </c>
      <c r="D4921">
        <v>4.6221569999999996</v>
      </c>
      <c r="E4921">
        <v>0.4504087</v>
      </c>
      <c r="F4921" t="s">
        <v>41</v>
      </c>
      <c r="G4921">
        <v>-423.28660000000002</v>
      </c>
      <c r="H4921" s="1">
        <v>-3.3026489999999998E-6</v>
      </c>
      <c r="I4921">
        <v>115.24930000000001</v>
      </c>
      <c r="J4921">
        <v>-416.53609999999998</v>
      </c>
      <c r="K4921">
        <v>1.116905</v>
      </c>
      <c r="L4921">
        <v>130.34460000000001</v>
      </c>
      <c r="M4921">
        <v>-0.63322919999999905</v>
      </c>
      <c r="N4921">
        <v>-1.4815149999999999E-2</v>
      </c>
      <c r="O4921">
        <v>-0.77382269999999997</v>
      </c>
      <c r="P4921">
        <v>-0.51395420000000003</v>
      </c>
      <c r="Q4921">
        <v>0.14866079999999901</v>
      </c>
      <c r="R4921">
        <v>-0.84483799999999898</v>
      </c>
      <c r="S4921">
        <v>-1.2722169999999999</v>
      </c>
      <c r="T4921">
        <v>-0.20563229999999999</v>
      </c>
      <c r="U4921">
        <v>-2.8172609999999998</v>
      </c>
      <c r="V4921">
        <v>-0.1399079</v>
      </c>
      <c r="W4921">
        <v>0.16090639999999901</v>
      </c>
      <c r="X4921">
        <v>0.97700299999999995</v>
      </c>
      <c r="Y4921">
        <v>-0.25876110000000002</v>
      </c>
      <c r="Z4921">
        <v>3.3168499999999997E-2</v>
      </c>
      <c r="AA4921">
        <v>0.96537169999999894</v>
      </c>
      <c r="AB4921">
        <v>27</v>
      </c>
      <c r="AC4921">
        <v>-6.7505000000000397</v>
      </c>
      <c r="AD4921">
        <v>-1.1169083026490001</v>
      </c>
      <c r="AE4921">
        <v>-15.0953</v>
      </c>
      <c r="AF4921">
        <v>-4.3158797921978502</v>
      </c>
      <c r="AG4921">
        <v>-1.1169083026490001</v>
      </c>
      <c r="AH4921">
        <v>15.8849776929681</v>
      </c>
      <c r="AI4921">
        <v>93.881708588717402</v>
      </c>
      <c r="AJ4921">
        <v>105.20009026784901</v>
      </c>
      <c r="AK4921">
        <v>16.498691428211</v>
      </c>
      <c r="AL4921">
        <v>80.740488954454193</v>
      </c>
      <c r="AM4921">
        <v>98.149414322937403</v>
      </c>
      <c r="AN4921">
        <v>0.99999997602618396</v>
      </c>
    </row>
    <row r="4922" spans="1:40" x14ac:dyDescent="0.25">
      <c r="A4922" t="str">
        <f>"20190304155733692"</f>
        <v>20190304155733692</v>
      </c>
      <c r="B4922" t="str">
        <f>"1551686253689442"</f>
        <v>1551686253689442</v>
      </c>
      <c r="C4922" t="s">
        <v>40</v>
      </c>
      <c r="D4922">
        <v>4.6462890000000003</v>
      </c>
      <c r="E4922">
        <v>0.4608506</v>
      </c>
      <c r="F4922" t="s">
        <v>41</v>
      </c>
      <c r="G4922">
        <v>-423.33679999999998</v>
      </c>
      <c r="H4922" s="1">
        <v>-3.2018789999999998E-6</v>
      </c>
      <c r="I4922">
        <v>114.9832</v>
      </c>
      <c r="J4922">
        <v>-416.69659999999999</v>
      </c>
      <c r="K4922">
        <v>1.116806</v>
      </c>
      <c r="L4922">
        <v>130.13200000000001</v>
      </c>
      <c r="M4922">
        <v>-0.62599490000000002</v>
      </c>
      <c r="N4922">
        <v>-1.47922E-2</v>
      </c>
      <c r="O4922">
        <v>-0.77968689999999996</v>
      </c>
      <c r="P4922">
        <v>-0.50651259999999998</v>
      </c>
      <c r="Q4922">
        <v>0.14774089999999901</v>
      </c>
      <c r="R4922">
        <v>-0.84948099999999904</v>
      </c>
      <c r="S4922">
        <v>-1.251099</v>
      </c>
      <c r="T4922">
        <v>-0.20547319999999999</v>
      </c>
      <c r="U4922">
        <v>-2.8259889999999999</v>
      </c>
      <c r="V4922">
        <v>-0.13943659999999999</v>
      </c>
      <c r="W4922">
        <v>0.16000799999999901</v>
      </c>
      <c r="X4922">
        <v>0.97721789999999997</v>
      </c>
      <c r="Y4922">
        <v>-0.25690580000000002</v>
      </c>
      <c r="Z4922">
        <v>3.3591580000000003E-2</v>
      </c>
      <c r="AA4922">
        <v>0.9658525</v>
      </c>
      <c r="AB4922">
        <v>26</v>
      </c>
      <c r="AC4922">
        <v>-6.6401999999999903</v>
      </c>
      <c r="AD4922">
        <v>-1.1168092018789999</v>
      </c>
      <c r="AE4922">
        <v>-15.1488</v>
      </c>
      <c r="AF4922">
        <v>-4.2867220916242301</v>
      </c>
      <c r="AG4922">
        <v>-1.1168092018789999</v>
      </c>
      <c r="AH4922">
        <v>15.8973218361956</v>
      </c>
      <c r="AI4922">
        <v>93.880355306465304</v>
      </c>
      <c r="AJ4922">
        <v>105.090913631037</v>
      </c>
      <c r="AK4922">
        <v>16.502972176180901</v>
      </c>
      <c r="AL4922">
        <v>80.792639195707807</v>
      </c>
      <c r="AM4922">
        <v>98.120566412928895</v>
      </c>
      <c r="AN4922">
        <v>0.99999997478198399</v>
      </c>
    </row>
    <row r="4923" spans="1:40" x14ac:dyDescent="0.25">
      <c r="A4923" t="str">
        <f>"20190304155733714"</f>
        <v>20190304155733714</v>
      </c>
      <c r="B4923" t="str">
        <f>"1551686253709939"</f>
        <v>1551686253709939</v>
      </c>
      <c r="C4923" t="s">
        <v>40</v>
      </c>
      <c r="D4923">
        <v>4.6323759999999998</v>
      </c>
      <c r="E4923">
        <v>0.46065459999999903</v>
      </c>
      <c r="F4923" t="s">
        <v>41</v>
      </c>
      <c r="G4923">
        <v>-423.59030000000001</v>
      </c>
      <c r="H4923" s="1">
        <v>-3.4025640000000001E-6</v>
      </c>
      <c r="I4923">
        <v>115.2938</v>
      </c>
      <c r="J4923">
        <v>-416.84969999999998</v>
      </c>
      <c r="K4923">
        <v>1.1167210000000001</v>
      </c>
      <c r="L4923">
        <v>129.92570000000001</v>
      </c>
      <c r="M4923">
        <v>-0.61903989999999998</v>
      </c>
      <c r="N4923">
        <v>-1.4770800000000001E-2</v>
      </c>
      <c r="O4923">
        <v>-0.78522069999999999</v>
      </c>
      <c r="P4923">
        <v>-0.49948389999999998</v>
      </c>
      <c r="Q4923">
        <v>0.1465186</v>
      </c>
      <c r="R4923">
        <v>-0.85384319999999903</v>
      </c>
      <c r="S4923">
        <v>-1.2981259999999999</v>
      </c>
      <c r="T4923">
        <v>-0.2103025</v>
      </c>
      <c r="U4923">
        <v>-2.7941440000000002</v>
      </c>
      <c r="V4923">
        <v>-0.13889119999999999</v>
      </c>
      <c r="W4923">
        <v>0.15880710000000001</v>
      </c>
      <c r="X4923">
        <v>0.97749140000000001</v>
      </c>
      <c r="Y4923">
        <v>-0.2307633</v>
      </c>
      <c r="Z4923">
        <v>3.5915080000000002E-2</v>
      </c>
      <c r="AA4923">
        <v>0.97234679999999996</v>
      </c>
      <c r="AB4923">
        <v>26</v>
      </c>
      <c r="AC4923">
        <v>-6.7406000000000201</v>
      </c>
      <c r="AD4923">
        <v>-1.116724402564</v>
      </c>
      <c r="AE4923">
        <v>-14.6319</v>
      </c>
      <c r="AF4923">
        <v>-3.74727555986505</v>
      </c>
      <c r="AG4923">
        <v>-1.116724402564</v>
      </c>
      <c r="AH4923">
        <v>15.5887724892804</v>
      </c>
      <c r="AI4923">
        <v>93.984349082829496</v>
      </c>
      <c r="AJ4923">
        <v>103.516479437683</v>
      </c>
      <c r="AK4923">
        <v>16.071682402144098</v>
      </c>
      <c r="AL4923">
        <v>80.862336698592301</v>
      </c>
      <c r="AM4923">
        <v>98.0869909943046</v>
      </c>
      <c r="AN4923">
        <v>0.99999994876090303</v>
      </c>
    </row>
    <row r="4924" spans="1:40" x14ac:dyDescent="0.25">
      <c r="A4924" t="str">
        <f>"20190304155733736"</f>
        <v>20190304155733736</v>
      </c>
      <c r="B4924" t="str">
        <f>"1551686253729460"</f>
        <v>1551686253729460</v>
      </c>
      <c r="C4924" t="s">
        <v>40</v>
      </c>
      <c r="D4924">
        <v>4.6129629999999997</v>
      </c>
      <c r="E4924">
        <v>0.46167039999999998</v>
      </c>
      <c r="F4924" t="s">
        <v>41</v>
      </c>
      <c r="G4924">
        <v>-423.49250000000001</v>
      </c>
      <c r="H4924" s="1">
        <v>-3.376478E-6</v>
      </c>
      <c r="I4924">
        <v>115.2936</v>
      </c>
      <c r="J4924">
        <v>-417.00110000000001</v>
      </c>
      <c r="K4924">
        <v>1.116633</v>
      </c>
      <c r="L4924">
        <v>129.71780000000001</v>
      </c>
      <c r="M4924">
        <v>-0.61208300000000004</v>
      </c>
      <c r="N4924">
        <v>-1.4750610000000001E-2</v>
      </c>
      <c r="O4924">
        <v>-0.79065609999999997</v>
      </c>
      <c r="P4924">
        <v>-0.49210419999999999</v>
      </c>
      <c r="Q4924">
        <v>0.1451972</v>
      </c>
      <c r="R4924">
        <v>-0.8583423</v>
      </c>
      <c r="S4924">
        <v>-1.27356</v>
      </c>
      <c r="T4924">
        <v>-0.21409810000000001</v>
      </c>
      <c r="U4924">
        <v>-2.8052519999999999</v>
      </c>
      <c r="V4924">
        <v>-0.13877390000000001</v>
      </c>
      <c r="W4924">
        <v>0.15749679999999999</v>
      </c>
      <c r="X4924">
        <v>0.97772009999999998</v>
      </c>
      <c r="Y4924">
        <v>-0.23070009999999999</v>
      </c>
      <c r="Z4924">
        <v>3.7175470000000002E-2</v>
      </c>
      <c r="AA4924">
        <v>0.97231449999999997</v>
      </c>
      <c r="AB4924">
        <v>26</v>
      </c>
      <c r="AC4924">
        <v>-6.4913999999999898</v>
      </c>
      <c r="AD4924">
        <v>-1.1166363764780001</v>
      </c>
      <c r="AE4924">
        <v>-14.424200000000001</v>
      </c>
      <c r="AF4924">
        <v>-3.6784125841546</v>
      </c>
      <c r="AG4924">
        <v>-1.1166363764780001</v>
      </c>
      <c r="AH4924">
        <v>15.303263233089799</v>
      </c>
      <c r="AI4924">
        <v>94.058133043371001</v>
      </c>
      <c r="AJ4924">
        <v>103.515660358498</v>
      </c>
      <c r="AK4924">
        <v>15.7787027831118</v>
      </c>
      <c r="AL4924">
        <v>80.938368852679702</v>
      </c>
      <c r="AM4924">
        <v>98.078386282381103</v>
      </c>
      <c r="AN4924">
        <v>1.00000001563772</v>
      </c>
    </row>
    <row r="4925" spans="1:40" x14ac:dyDescent="0.25">
      <c r="A4925" t="str">
        <f>"20190304155733758"</f>
        <v>20190304155733758</v>
      </c>
      <c r="B4925" t="str">
        <f>"1551686253749955"</f>
        <v>1551686253749955</v>
      </c>
      <c r="C4925" t="s">
        <v>40</v>
      </c>
      <c r="D4925">
        <v>4.5938339999999904</v>
      </c>
      <c r="E4925">
        <v>0.46192870000000003</v>
      </c>
      <c r="F4925" t="s">
        <v>41</v>
      </c>
      <c r="G4925">
        <v>-423.4957</v>
      </c>
      <c r="H4925" s="1">
        <v>-3.3286440000000001E-6</v>
      </c>
      <c r="I4925">
        <v>115.1801</v>
      </c>
      <c r="J4925">
        <v>-417.15010000000001</v>
      </c>
      <c r="K4925">
        <v>1.1165659999999999</v>
      </c>
      <c r="L4925">
        <v>129.5094</v>
      </c>
      <c r="M4925">
        <v>-0.60515759999999996</v>
      </c>
      <c r="N4925">
        <v>-1.473205E-2</v>
      </c>
      <c r="O4925">
        <v>-0.79596940000000005</v>
      </c>
      <c r="P4925">
        <v>-0.48460130000000001</v>
      </c>
      <c r="Q4925">
        <v>0.14414479999999999</v>
      </c>
      <c r="R4925">
        <v>-0.86277709999999996</v>
      </c>
      <c r="S4925">
        <v>-1.2560420000000001</v>
      </c>
      <c r="T4925">
        <v>-0.21595429999999999</v>
      </c>
      <c r="U4925">
        <v>-2.8115389999999998</v>
      </c>
      <c r="V4925">
        <v>-0.13882849999999999</v>
      </c>
      <c r="W4925">
        <v>0.15644949999999999</v>
      </c>
      <c r="X4925">
        <v>0.97788050000000004</v>
      </c>
      <c r="Y4925">
        <v>-0.228078</v>
      </c>
      <c r="Z4925">
        <v>3.8078269999999997E-2</v>
      </c>
      <c r="AA4925">
        <v>0.97289800000000004</v>
      </c>
      <c r="AB4925">
        <v>26</v>
      </c>
      <c r="AC4925">
        <v>-6.3455999999999904</v>
      </c>
      <c r="AD4925">
        <v>-1.1165693286439999</v>
      </c>
      <c r="AE4925">
        <v>-14.3293</v>
      </c>
      <c r="AF4925">
        <v>-3.6026857867315401</v>
      </c>
      <c r="AG4925">
        <v>-1.1165693286439999</v>
      </c>
      <c r="AH4925">
        <v>15.170416526505701</v>
      </c>
      <c r="AI4925">
        <v>94.095967321887002</v>
      </c>
      <c r="AJ4925">
        <v>103.359188302917</v>
      </c>
      <c r="AK4925">
        <v>15.632261817512701</v>
      </c>
      <c r="AL4925">
        <v>80.999128142272198</v>
      </c>
      <c r="AM4925">
        <v>98.080214618435306</v>
      </c>
      <c r="AN4925">
        <v>1.0000000353713701</v>
      </c>
    </row>
    <row r="4926" spans="1:40" x14ac:dyDescent="0.25">
      <c r="A4926" t="str">
        <f>"20190304155733781"</f>
        <v>20190304155733781</v>
      </c>
      <c r="B4926" t="str">
        <f>"1551686253769476"</f>
        <v>1551686253769476</v>
      </c>
      <c r="C4926" t="s">
        <v>40</v>
      </c>
      <c r="D4926">
        <v>4.5983890000000001</v>
      </c>
      <c r="E4926">
        <v>0.46240150000000002</v>
      </c>
      <c r="F4926" t="s">
        <v>41</v>
      </c>
      <c r="G4926">
        <v>-423.43259999999998</v>
      </c>
      <c r="H4926" s="1">
        <v>-3.296128E-6</v>
      </c>
      <c r="I4926">
        <v>115.1435</v>
      </c>
      <c r="J4926">
        <v>-417.30270000000002</v>
      </c>
      <c r="K4926">
        <v>1.1165130000000001</v>
      </c>
      <c r="L4926">
        <v>129.29220000000001</v>
      </c>
      <c r="M4926">
        <v>-0.59797719999999999</v>
      </c>
      <c r="N4926">
        <v>-1.4714349999999999E-2</v>
      </c>
      <c r="O4926">
        <v>-0.80137809999999998</v>
      </c>
      <c r="P4926">
        <v>-0.47675640000000002</v>
      </c>
      <c r="Q4926">
        <v>0.1437727</v>
      </c>
      <c r="R4926">
        <v>-0.86719849999999998</v>
      </c>
      <c r="S4926">
        <v>-1.2336119999999999</v>
      </c>
      <c r="T4926">
        <v>-0.21924840000000001</v>
      </c>
      <c r="U4926">
        <v>-2.8208769999999999</v>
      </c>
      <c r="V4926">
        <v>-0.1389146</v>
      </c>
      <c r="W4926">
        <v>0.1560783</v>
      </c>
      <c r="X4926">
        <v>0.97792760000000001</v>
      </c>
      <c r="Y4926">
        <v>-0.22701869999999999</v>
      </c>
      <c r="Z4926">
        <v>3.927895E-2</v>
      </c>
      <c r="AA4926">
        <v>0.97309800000000002</v>
      </c>
      <c r="AB4926">
        <v>26</v>
      </c>
      <c r="AC4926">
        <v>-6.1298999999999602</v>
      </c>
      <c r="AD4926">
        <v>-1.116516296128</v>
      </c>
      <c r="AE4926">
        <v>-14.1487</v>
      </c>
      <c r="AF4926">
        <v>-3.5301076557731599</v>
      </c>
      <c r="AG4926">
        <v>-1.116516296128</v>
      </c>
      <c r="AH4926">
        <v>14.927356781622001</v>
      </c>
      <c r="AI4926">
        <v>94.163158050659604</v>
      </c>
      <c r="AJ4926">
        <v>103.305198330994</v>
      </c>
      <c r="AK4926">
        <v>15.379669996027401</v>
      </c>
      <c r="AL4926">
        <v>81.020660956304695</v>
      </c>
      <c r="AM4926">
        <v>98.084775385407397</v>
      </c>
      <c r="AN4926">
        <v>1.0000000463329</v>
      </c>
    </row>
    <row r="4927" spans="1:40" x14ac:dyDescent="0.25">
      <c r="A4927" t="str">
        <f>"20190304155733804"</f>
        <v>20190304155733804</v>
      </c>
      <c r="B4927" t="str">
        <f>"1551686253799731"</f>
        <v>1551686253799731</v>
      </c>
      <c r="C4927" t="s">
        <v>40</v>
      </c>
      <c r="D4927">
        <v>4.5848329999999997</v>
      </c>
      <c r="E4927">
        <v>0.46284690000000001</v>
      </c>
      <c r="F4927" t="s">
        <v>41</v>
      </c>
      <c r="G4927">
        <v>-423.4699</v>
      </c>
      <c r="H4927" s="1">
        <v>-3.1939009999999998E-6</v>
      </c>
      <c r="I4927">
        <v>114.88200000000001</v>
      </c>
      <c r="J4927">
        <v>-417.45069999999998</v>
      </c>
      <c r="K4927">
        <v>1.1164700000000001</v>
      </c>
      <c r="L4927">
        <v>129.07759999999999</v>
      </c>
      <c r="M4927">
        <v>-0.59090669999999901</v>
      </c>
      <c r="N4927">
        <v>-1.469813E-2</v>
      </c>
      <c r="O4927">
        <v>-0.8066063</v>
      </c>
      <c r="P4927">
        <v>-0.46908539999999999</v>
      </c>
      <c r="Q4927">
        <v>0.14406930000000001</v>
      </c>
      <c r="R4927">
        <v>-0.87132299999999996</v>
      </c>
      <c r="S4927">
        <v>-1.2111510000000001</v>
      </c>
      <c r="T4927">
        <v>-0.21926680000000001</v>
      </c>
      <c r="U4927">
        <v>-2.8299409999999998</v>
      </c>
      <c r="V4927">
        <v>-0.138902</v>
      </c>
      <c r="W4927">
        <v>0.15637409999999999</v>
      </c>
      <c r="X4927">
        <v>0.97788209999999998</v>
      </c>
      <c r="Y4927">
        <v>-0.2261138</v>
      </c>
      <c r="Z4927">
        <v>3.9695639999999997E-2</v>
      </c>
      <c r="AA4927">
        <v>0.97329180000000004</v>
      </c>
      <c r="AB4927">
        <v>26</v>
      </c>
      <c r="AC4927">
        <v>-6.0192000000000103</v>
      </c>
      <c r="AD4927">
        <v>-1.116473193901</v>
      </c>
      <c r="AE4927">
        <v>-14.195599999999899</v>
      </c>
      <c r="AF4927">
        <v>-3.51510151400235</v>
      </c>
      <c r="AG4927">
        <v>-1.116473193901</v>
      </c>
      <c r="AH4927">
        <v>14.9303829474014</v>
      </c>
      <c r="AI4927">
        <v>94.163133374314697</v>
      </c>
      <c r="AJ4927">
        <v>103.24804749437099</v>
      </c>
      <c r="AK4927">
        <v>15.379167272726299</v>
      </c>
      <c r="AL4927">
        <v>81.003501876829105</v>
      </c>
      <c r="AM4927">
        <v>98.084422935670503</v>
      </c>
      <c r="AN4927">
        <v>1.0000000131275999</v>
      </c>
    </row>
    <row r="4928" spans="1:40" x14ac:dyDescent="0.25">
      <c r="A4928" t="str">
        <f>"20190304155733829"</f>
        <v>20190304155733829</v>
      </c>
      <c r="B4928" t="str">
        <f>"1551686253819251"</f>
        <v>1551686253819251</v>
      </c>
      <c r="C4928" t="s">
        <v>40</v>
      </c>
      <c r="D4928">
        <v>4.5566909999999998</v>
      </c>
      <c r="E4928">
        <v>0.471302</v>
      </c>
      <c r="F4928" t="s">
        <v>41</v>
      </c>
      <c r="G4928">
        <v>-423.60239999999999</v>
      </c>
      <c r="H4928" s="1">
        <v>-3.023141E-6</v>
      </c>
      <c r="I4928">
        <v>114.40179999999999</v>
      </c>
      <c r="J4928">
        <v>-417.61040000000003</v>
      </c>
      <c r="K4928">
        <v>1.116439</v>
      </c>
      <c r="L4928">
        <v>128.8415</v>
      </c>
      <c r="M4928">
        <v>-0.58314409999999905</v>
      </c>
      <c r="N4928">
        <v>-1.468232E-2</v>
      </c>
      <c r="O4928">
        <v>-0.81223610000000002</v>
      </c>
      <c r="P4928">
        <v>-0.46058110000000002</v>
      </c>
      <c r="Q4928">
        <v>0.1445861</v>
      </c>
      <c r="R4928">
        <v>-0.87576259999999995</v>
      </c>
      <c r="S4928">
        <v>-1.1897279999999999</v>
      </c>
      <c r="T4928">
        <v>-0.2159218</v>
      </c>
      <c r="U4928">
        <v>-2.8382420000000002</v>
      </c>
      <c r="V4928">
        <v>-0.13898559999999999</v>
      </c>
      <c r="W4928">
        <v>0.15688650000000001</v>
      </c>
      <c r="X4928">
        <v>0.9777882</v>
      </c>
      <c r="Y4928">
        <v>-0.2240289</v>
      </c>
      <c r="Z4928">
        <v>3.9362809999999998E-2</v>
      </c>
      <c r="AA4928">
        <v>0.97378719999999996</v>
      </c>
      <c r="AB4928">
        <v>26</v>
      </c>
      <c r="AC4928">
        <v>-5.99199999999996</v>
      </c>
      <c r="AD4928">
        <v>-1.1164420231409999</v>
      </c>
      <c r="AE4928">
        <v>-14.4397</v>
      </c>
      <c r="AF4928">
        <v>-3.5358578089169899</v>
      </c>
      <c r="AG4928">
        <v>-1.1164420231409999</v>
      </c>
      <c r="AH4928">
        <v>15.147038163576999</v>
      </c>
      <c r="AI4928">
        <v>94.105492305512797</v>
      </c>
      <c r="AJ4928">
        <v>103.1395786092</v>
      </c>
      <c r="AK4928">
        <v>15.5942777442487</v>
      </c>
      <c r="AL4928">
        <v>80.973777124389201</v>
      </c>
      <c r="AM4928">
        <v>98.089990819833403</v>
      </c>
      <c r="AN4928">
        <v>1.0000000674744201</v>
      </c>
    </row>
    <row r="4929" spans="1:40" x14ac:dyDescent="0.25">
      <c r="A4929" t="str">
        <f>"20190304155733849"</f>
        <v>20190304155733849</v>
      </c>
      <c r="B4929" t="str">
        <f>"1551686253839747"</f>
        <v>1551686253839747</v>
      </c>
      <c r="C4929" t="s">
        <v>40</v>
      </c>
      <c r="D4929">
        <v>4.5715430000000001</v>
      </c>
      <c r="E4929">
        <v>0.47302539999999998</v>
      </c>
      <c r="F4929" t="s">
        <v>41</v>
      </c>
      <c r="G4929">
        <v>-424.82330000000002</v>
      </c>
      <c r="H4929" s="1">
        <v>-2.405696E-6</v>
      </c>
      <c r="I4929">
        <v>112.20529999999999</v>
      </c>
      <c r="J4929">
        <v>-417.73950000000002</v>
      </c>
      <c r="K4929">
        <v>1.116417</v>
      </c>
      <c r="L4929">
        <v>128.64709999999999</v>
      </c>
      <c r="M4929">
        <v>-0.57675549999999998</v>
      </c>
      <c r="N4929">
        <v>-1.4670910000000001E-2</v>
      </c>
      <c r="O4929">
        <v>-0.81678519999999999</v>
      </c>
      <c r="P4929">
        <v>-0.45337329999999998</v>
      </c>
      <c r="Q4929">
        <v>0.145229</v>
      </c>
      <c r="R4929">
        <v>-0.87940980000000002</v>
      </c>
      <c r="S4929">
        <v>-1.220459</v>
      </c>
      <c r="T4929">
        <v>-0.18890760000000001</v>
      </c>
      <c r="U4929">
        <v>-2.8149410000000001</v>
      </c>
      <c r="V4929">
        <v>-0.1392861</v>
      </c>
      <c r="W4929">
        <v>0.1575203</v>
      </c>
      <c r="X4929">
        <v>0.97764340000000005</v>
      </c>
      <c r="Y4929">
        <v>-0.2044193</v>
      </c>
      <c r="Z4929">
        <v>3.3707349999999997E-2</v>
      </c>
      <c r="AA4929">
        <v>0.97830289999999998</v>
      </c>
      <c r="AB4929">
        <v>26</v>
      </c>
      <c r="AC4929">
        <v>-7.0837999999999903</v>
      </c>
      <c r="AD4929">
        <v>-1.116419405696</v>
      </c>
      <c r="AE4929">
        <v>-16.441800000000001</v>
      </c>
      <c r="AF4929">
        <v>-3.6830307678149898</v>
      </c>
      <c r="AG4929">
        <v>-1.116419405696</v>
      </c>
      <c r="AH4929">
        <v>17.449068030378101</v>
      </c>
      <c r="AI4929">
        <v>93.582171572988997</v>
      </c>
      <c r="AJ4929">
        <v>101.918659500106</v>
      </c>
      <c r="AK4929">
        <v>17.868438181745201</v>
      </c>
      <c r="AL4929">
        <v>80.937004691844393</v>
      </c>
      <c r="AM4929">
        <v>98.108434659736602</v>
      </c>
      <c r="AN4929">
        <v>0.99999994006442805</v>
      </c>
    </row>
    <row r="4930" spans="1:40" x14ac:dyDescent="0.25">
      <c r="A4930" t="str">
        <f>"20190304155733871"</f>
        <v>20190304155733871</v>
      </c>
      <c r="B4930" t="str">
        <f>"1551686253859267"</f>
        <v>1551686253859267</v>
      </c>
      <c r="C4930" t="s">
        <v>40</v>
      </c>
      <c r="D4930">
        <v>4.5621549999999997</v>
      </c>
      <c r="E4930">
        <v>0.47303990000000001</v>
      </c>
      <c r="F4930" t="s">
        <v>41</v>
      </c>
      <c r="G4930">
        <v>-425.04610000000002</v>
      </c>
      <c r="H4930" s="1">
        <v>-2.2168519999999998E-6</v>
      </c>
      <c r="I4930">
        <v>111.62690000000001</v>
      </c>
      <c r="J4930">
        <v>-417.8802</v>
      </c>
      <c r="K4930">
        <v>1.116398</v>
      </c>
      <c r="L4930">
        <v>128.43100000000001</v>
      </c>
      <c r="M4930">
        <v>-0.56965730000000003</v>
      </c>
      <c r="N4930">
        <v>-1.4659729999999999E-2</v>
      </c>
      <c r="O4930">
        <v>-0.82175169999999997</v>
      </c>
      <c r="P4930">
        <v>-0.44544070000000002</v>
      </c>
      <c r="Q4930">
        <v>0.14554449999999999</v>
      </c>
      <c r="R4930">
        <v>-0.88340260000000004</v>
      </c>
      <c r="S4930">
        <v>-1.2098390000000001</v>
      </c>
      <c r="T4930">
        <v>-0.1848572</v>
      </c>
      <c r="U4930">
        <v>-2.8182070000000001</v>
      </c>
      <c r="V4930">
        <v>-0.13958129999999999</v>
      </c>
      <c r="W4930">
        <v>0.15782639999999901</v>
      </c>
      <c r="X4930">
        <v>0.97755199999999998</v>
      </c>
      <c r="Y4930">
        <v>-0.1994533</v>
      </c>
      <c r="Z4930">
        <v>3.3129390000000002E-2</v>
      </c>
      <c r="AA4930">
        <v>0.97934710000000003</v>
      </c>
      <c r="AB4930">
        <v>26</v>
      </c>
      <c r="AC4930">
        <v>-7.1659000000000201</v>
      </c>
      <c r="AD4930">
        <v>-1.116400216852</v>
      </c>
      <c r="AE4930">
        <v>-16.804099999999998</v>
      </c>
      <c r="AF4930">
        <v>-3.6706746720830501</v>
      </c>
      <c r="AG4930">
        <v>-1.116400216852</v>
      </c>
      <c r="AH4930">
        <v>17.8262515107991</v>
      </c>
      <c r="AI4930">
        <v>93.510115374913497</v>
      </c>
      <c r="AJ4930">
        <v>101.63537324611001</v>
      </c>
      <c r="AK4930">
        <v>18.234457626118999</v>
      </c>
      <c r="AL4930">
        <v>80.919244954786606</v>
      </c>
      <c r="AM4930">
        <v>98.126139826603804</v>
      </c>
      <c r="AN4930">
        <v>1.0000000122753201</v>
      </c>
    </row>
    <row r="4931" spans="1:40" x14ac:dyDescent="0.25">
      <c r="A4931" t="str">
        <f>"20190304155733893"</f>
        <v>20190304155733893</v>
      </c>
      <c r="B4931" t="str">
        <f>"1551686253889523"</f>
        <v>1551686253889523</v>
      </c>
      <c r="C4931" t="s">
        <v>40</v>
      </c>
      <c r="D4931">
        <v>4.6101099999999997</v>
      </c>
      <c r="E4931">
        <v>0.47282679999999999</v>
      </c>
      <c r="F4931" t="s">
        <v>41</v>
      </c>
      <c r="G4931">
        <v>-424.86290000000002</v>
      </c>
      <c r="H4931" s="1">
        <v>-2.231931E-6</v>
      </c>
      <c r="I4931">
        <v>111.7757</v>
      </c>
      <c r="J4931">
        <v>-418.0136</v>
      </c>
      <c r="K4931">
        <v>1.116377</v>
      </c>
      <c r="L4931">
        <v>128.22239999999999</v>
      </c>
      <c r="M4931">
        <v>-0.56279559999999995</v>
      </c>
      <c r="N4931">
        <v>-1.464994E-2</v>
      </c>
      <c r="O4931">
        <v>-0.82646640000000005</v>
      </c>
      <c r="P4931">
        <v>-0.43780560000000002</v>
      </c>
      <c r="Q4931">
        <v>0.144757</v>
      </c>
      <c r="R4931">
        <v>-0.88733949999999995</v>
      </c>
      <c r="S4931">
        <v>-1.18609599999999</v>
      </c>
      <c r="T4931">
        <v>-0.18963669999999999</v>
      </c>
      <c r="U4931">
        <v>-2.8291469999999999</v>
      </c>
      <c r="V4931">
        <v>-0.13992689999999999</v>
      </c>
      <c r="W4931">
        <v>0.157031</v>
      </c>
      <c r="X4931">
        <v>0.97763069999999996</v>
      </c>
      <c r="Y4931">
        <v>-0.19965569999999999</v>
      </c>
      <c r="Z4931">
        <v>3.458232E-2</v>
      </c>
      <c r="AA4931">
        <v>0.97925569999999895</v>
      </c>
      <c r="AB4931">
        <v>26</v>
      </c>
      <c r="AC4931">
        <v>-6.8493000000000199</v>
      </c>
      <c r="AD4931">
        <v>-1.116379231931</v>
      </c>
      <c r="AE4931">
        <v>-16.4466999999999</v>
      </c>
      <c r="AF4931">
        <v>-3.5817358379632198</v>
      </c>
      <c r="AG4931">
        <v>-1.116379231931</v>
      </c>
      <c r="AH4931">
        <v>17.381024681513299</v>
      </c>
      <c r="AI4931">
        <v>93.599616578285406</v>
      </c>
      <c r="AJ4931">
        <v>101.644036607518</v>
      </c>
      <c r="AK4931">
        <v>17.781314720284701</v>
      </c>
      <c r="AL4931">
        <v>80.965393626013494</v>
      </c>
      <c r="AM4931">
        <v>98.145343286156901</v>
      </c>
      <c r="AN4931">
        <v>1.00000002894354</v>
      </c>
    </row>
    <row r="4932" spans="1:40" x14ac:dyDescent="0.25">
      <c r="A4932" t="str">
        <f>"20190304155733915"</f>
        <v>20190304155733915</v>
      </c>
      <c r="B4932" t="str">
        <f>"1551686253910022"</f>
        <v>1551686253910022</v>
      </c>
      <c r="C4932" t="s">
        <v>40</v>
      </c>
      <c r="D4932">
        <v>4.6000300000000003</v>
      </c>
      <c r="E4932">
        <v>0.4739776</v>
      </c>
      <c r="F4932" t="s">
        <v>41</v>
      </c>
      <c r="G4932">
        <v>-424.44349999999997</v>
      </c>
      <c r="H4932" s="1">
        <v>-2.4277180000000001E-6</v>
      </c>
      <c r="I4932">
        <v>112.4922</v>
      </c>
      <c r="J4932">
        <v>-418.1506</v>
      </c>
      <c r="K4932">
        <v>1.11636</v>
      </c>
      <c r="L4932">
        <v>128.00399999999999</v>
      </c>
      <c r="M4932">
        <v>-0.55560739999999997</v>
      </c>
      <c r="N4932">
        <v>-1.464066E-2</v>
      </c>
      <c r="O4932">
        <v>-0.8313159</v>
      </c>
      <c r="P4932">
        <v>-0.42969619999999997</v>
      </c>
      <c r="Q4932">
        <v>0.14352999999999999</v>
      </c>
      <c r="R4932">
        <v>-0.89149349999999905</v>
      </c>
      <c r="S4932">
        <v>-1.161224</v>
      </c>
      <c r="T4932">
        <v>-0.2016143</v>
      </c>
      <c r="U4932">
        <v>-2.8408199999999999</v>
      </c>
      <c r="V4932">
        <v>-0.1404503</v>
      </c>
      <c r="W4932">
        <v>0.1557943</v>
      </c>
      <c r="X4932">
        <v>0.97775350000000005</v>
      </c>
      <c r="Y4932">
        <v>-0.199962</v>
      </c>
      <c r="Z4932">
        <v>3.7859749999999998E-2</v>
      </c>
      <c r="AA4932">
        <v>0.97907189999999999</v>
      </c>
      <c r="AB4932">
        <v>26</v>
      </c>
      <c r="AC4932">
        <v>-6.2928999999999702</v>
      </c>
      <c r="AD4932">
        <v>-1.116362427718</v>
      </c>
      <c r="AE4932">
        <v>-15.5117999999999</v>
      </c>
      <c r="AF4932">
        <v>-3.3724470271746401</v>
      </c>
      <c r="AG4932">
        <v>-1.116362427718</v>
      </c>
      <c r="AH4932">
        <v>16.320757666761398</v>
      </c>
      <c r="AI4932">
        <v>93.832303460605999</v>
      </c>
      <c r="AJ4932">
        <v>101.675022238921</v>
      </c>
      <c r="AK4932">
        <v>16.702897797635899</v>
      </c>
      <c r="AL4932">
        <v>81.0371343165273</v>
      </c>
      <c r="AM4932">
        <v>98.174387124500001</v>
      </c>
      <c r="AN4932">
        <v>1.00000002872241</v>
      </c>
    </row>
    <row r="4933" spans="1:40" x14ac:dyDescent="0.25">
      <c r="A4933" t="str">
        <f>"20190304155733937"</f>
        <v>20190304155733937</v>
      </c>
      <c r="B4933" t="str">
        <f>"1551686253929541"</f>
        <v>1551686253929541</v>
      </c>
      <c r="C4933" t="s">
        <v>40</v>
      </c>
      <c r="D4933">
        <v>4.6037290000000004</v>
      </c>
      <c r="E4933">
        <v>0.47466380000000002</v>
      </c>
      <c r="F4933" t="s">
        <v>41</v>
      </c>
      <c r="G4933">
        <v>-424.4228</v>
      </c>
      <c r="H4933" s="1">
        <v>-2.3856519999999998E-6</v>
      </c>
      <c r="I4933">
        <v>112.407</v>
      </c>
      <c r="J4933">
        <v>-418.28519999999997</v>
      </c>
      <c r="K4933">
        <v>1.1163400000000001</v>
      </c>
      <c r="L4933">
        <v>127.78530000000001</v>
      </c>
      <c r="M4933">
        <v>-0.54839939999999998</v>
      </c>
      <c r="N4933">
        <v>-1.463221E-2</v>
      </c>
      <c r="O4933">
        <v>-0.83608859999999996</v>
      </c>
      <c r="P4933">
        <v>-0.42206480000000002</v>
      </c>
      <c r="Q4933">
        <v>0.14193220000000001</v>
      </c>
      <c r="R4933">
        <v>-0.89538660000000003</v>
      </c>
      <c r="S4933">
        <v>-1.1445920000000001</v>
      </c>
      <c r="T4933">
        <v>-0.2037216</v>
      </c>
      <c r="U4933">
        <v>-2.8462519999999998</v>
      </c>
      <c r="V4933">
        <v>-0.1404599</v>
      </c>
      <c r="W4933">
        <v>0.15419639999999901</v>
      </c>
      <c r="X4933">
        <v>0.97800529999999997</v>
      </c>
      <c r="Y4933">
        <v>-0.1970742</v>
      </c>
      <c r="Z4933">
        <v>3.8788570000000001E-2</v>
      </c>
      <c r="AA4933">
        <v>0.97962090000000002</v>
      </c>
      <c r="AB4933">
        <v>26</v>
      </c>
      <c r="AC4933">
        <v>-6.1376000000000097</v>
      </c>
      <c r="AD4933">
        <v>-1.1163423856519901</v>
      </c>
      <c r="AE4933">
        <v>-15.3782999999999</v>
      </c>
      <c r="AF4933">
        <v>-3.28728383931871</v>
      </c>
      <c r="AG4933">
        <v>-1.1163423856519901</v>
      </c>
      <c r="AH4933">
        <v>16.151794353851798</v>
      </c>
      <c r="AI4933">
        <v>93.874566723571405</v>
      </c>
      <c r="AJ4933">
        <v>101.50396538808199</v>
      </c>
      <c r="AK4933">
        <v>16.520681469339198</v>
      </c>
      <c r="AL4933">
        <v>81.129806390896505</v>
      </c>
      <c r="AM4933">
        <v>98.1728620002159</v>
      </c>
      <c r="AN4933">
        <v>0.99999994005452797</v>
      </c>
    </row>
    <row r="4934" spans="1:40" x14ac:dyDescent="0.25">
      <c r="A4934" t="str">
        <f>"20190304155733959"</f>
        <v>20190304155733959</v>
      </c>
      <c r="B4934" t="str">
        <f>"1551686253950035"</f>
        <v>1551686253950035</v>
      </c>
      <c r="C4934" t="s">
        <v>40</v>
      </c>
      <c r="D4934">
        <v>4.5915299999999997</v>
      </c>
      <c r="E4934">
        <v>0.47542689999999999</v>
      </c>
      <c r="F4934" t="s">
        <v>41</v>
      </c>
      <c r="G4934">
        <v>-424.28500000000003</v>
      </c>
      <c r="H4934" s="1">
        <v>-2.4209360000000001E-6</v>
      </c>
      <c r="I4934">
        <v>112.57470000000001</v>
      </c>
      <c r="J4934">
        <v>-418.41520000000003</v>
      </c>
      <c r="K4934">
        <v>1.116328</v>
      </c>
      <c r="L4934">
        <v>127.57</v>
      </c>
      <c r="M4934">
        <v>-0.5412844</v>
      </c>
      <c r="N4934">
        <v>-1.4624740000000001E-2</v>
      </c>
      <c r="O4934">
        <v>-0.84071249999999997</v>
      </c>
      <c r="P4934">
        <v>-0.41426950000000001</v>
      </c>
      <c r="Q4934">
        <v>0.14010819999999999</v>
      </c>
      <c r="R4934">
        <v>-0.89930580000000004</v>
      </c>
      <c r="S4934">
        <v>-1.125427</v>
      </c>
      <c r="T4934">
        <v>-0.2094027</v>
      </c>
      <c r="U4934">
        <v>-2.8531949999999999</v>
      </c>
      <c r="V4934">
        <v>-0.1407815</v>
      </c>
      <c r="W4934">
        <v>0.15236669999999999</v>
      </c>
      <c r="X4934">
        <v>0.9782459</v>
      </c>
      <c r="Y4934">
        <v>-0.19528770000000001</v>
      </c>
      <c r="Z4934">
        <v>4.0593450000000003E-2</v>
      </c>
      <c r="AA4934">
        <v>0.97990549999999998</v>
      </c>
      <c r="AB4934">
        <v>26</v>
      </c>
      <c r="AC4934">
        <v>-5.8697999999999899</v>
      </c>
      <c r="AD4934">
        <v>-1.1163304209360001</v>
      </c>
      <c r="AE4934">
        <v>-14.995299999999901</v>
      </c>
      <c r="AF4934">
        <v>-3.16702784498858</v>
      </c>
      <c r="AG4934">
        <v>-1.1163304209360001</v>
      </c>
      <c r="AH4934">
        <v>15.710155115482699</v>
      </c>
      <c r="AI4934">
        <v>93.984592760010401</v>
      </c>
      <c r="AJ4934">
        <v>101.39756400710699</v>
      </c>
      <c r="AK4934">
        <v>16.065031364182499</v>
      </c>
      <c r="AL4934">
        <v>81.235895083168401</v>
      </c>
      <c r="AM4934">
        <v>98.189333773682606</v>
      </c>
      <c r="AN4934">
        <v>1.00000004143897</v>
      </c>
    </row>
    <row r="4935" spans="1:40" x14ac:dyDescent="0.25">
      <c r="A4935" t="str">
        <f>"20190304155733983"</f>
        <v>20190304155733983</v>
      </c>
      <c r="B4935" t="str">
        <f>"1551686253979315"</f>
        <v>1551686253979315</v>
      </c>
      <c r="C4935" t="s">
        <v>40</v>
      </c>
      <c r="D4935">
        <v>4.6122550000000002</v>
      </c>
      <c r="E4935">
        <v>0.47664289999999998</v>
      </c>
      <c r="F4935" t="s">
        <v>41</v>
      </c>
      <c r="G4935">
        <v>-424.1225</v>
      </c>
      <c r="H4935" s="1">
        <v>-2.4797679999999999E-6</v>
      </c>
      <c r="I4935">
        <v>112.8126</v>
      </c>
      <c r="J4935">
        <v>-418.54750000000001</v>
      </c>
      <c r="K4935">
        <v>1.1163270000000001</v>
      </c>
      <c r="L4935">
        <v>127.34650000000001</v>
      </c>
      <c r="M4935">
        <v>-0.53387390000000001</v>
      </c>
      <c r="N4935">
        <v>-1.461836E-2</v>
      </c>
      <c r="O4935">
        <v>-0.84543760000000001</v>
      </c>
      <c r="P4935">
        <v>-0.40611730000000001</v>
      </c>
      <c r="Q4935">
        <v>0.13935410000000001</v>
      </c>
      <c r="R4935">
        <v>-0.90313319999999997</v>
      </c>
      <c r="S4935">
        <v>-1.1061099999999999</v>
      </c>
      <c r="T4935">
        <v>-0.21635389999999999</v>
      </c>
      <c r="U4935">
        <v>-2.8600919999999999</v>
      </c>
      <c r="V4935">
        <v>-0.14108280000000001</v>
      </c>
      <c r="W4935">
        <v>0.15160370000000001</v>
      </c>
      <c r="X4935">
        <v>0.978321</v>
      </c>
      <c r="Y4935">
        <v>-0.1932517</v>
      </c>
      <c r="Z4935">
        <v>4.2757980000000001E-2</v>
      </c>
      <c r="AA4935">
        <v>0.98021709999999995</v>
      </c>
      <c r="AB4935">
        <v>26</v>
      </c>
      <c r="AC4935">
        <v>-5.5749999999999797</v>
      </c>
      <c r="AD4935">
        <v>-1.1163294797679999</v>
      </c>
      <c r="AE4935">
        <v>-14.533899999999999</v>
      </c>
      <c r="AF4935">
        <v>-3.03069466924681</v>
      </c>
      <c r="AG4935">
        <v>-1.1163294797679999</v>
      </c>
      <c r="AH4935">
        <v>15.1873788713889</v>
      </c>
      <c r="AI4935">
        <v>94.122895116429504</v>
      </c>
      <c r="AJ4935">
        <v>101.285331958819</v>
      </c>
      <c r="AK4935">
        <v>15.527001599430299</v>
      </c>
      <c r="AL4935">
        <v>81.280125310414505</v>
      </c>
      <c r="AM4935">
        <v>98.206000674751905</v>
      </c>
      <c r="AN4935">
        <v>1.0000000086752601</v>
      </c>
    </row>
    <row r="4936" spans="1:40" x14ac:dyDescent="0.25">
      <c r="A4936" t="str">
        <f>"20190304155734005"</f>
        <v>20190304155734005</v>
      </c>
      <c r="B4936" t="str">
        <f>"1551686253999648"</f>
        <v>1551686253999648</v>
      </c>
      <c r="C4936" t="s">
        <v>40</v>
      </c>
      <c r="D4936">
        <v>4.652234</v>
      </c>
      <c r="E4936">
        <v>0.48519909999999999</v>
      </c>
      <c r="F4936" t="s">
        <v>41</v>
      </c>
      <c r="G4936">
        <v>-424.08940000000001</v>
      </c>
      <c r="H4936" s="1">
        <v>-2.4442409999999999E-6</v>
      </c>
      <c r="I4936">
        <v>112.7504</v>
      </c>
      <c r="J4936">
        <v>-418.67930000000001</v>
      </c>
      <c r="K4936">
        <v>1.1163449999999999</v>
      </c>
      <c r="L4936">
        <v>127.1193</v>
      </c>
      <c r="M4936">
        <v>-0.52629309999999996</v>
      </c>
      <c r="N4936">
        <v>-1.461403E-2</v>
      </c>
      <c r="O4936">
        <v>-0.85017770000000004</v>
      </c>
      <c r="P4936">
        <v>-0.39808280000000001</v>
      </c>
      <c r="Q4936">
        <v>0.139563299999999</v>
      </c>
      <c r="R4936">
        <v>-0.90667109999999995</v>
      </c>
      <c r="S4936">
        <v>-1.088257</v>
      </c>
      <c r="T4936">
        <v>-0.21921289999999999</v>
      </c>
      <c r="U4936">
        <v>-2.866241</v>
      </c>
      <c r="V4936">
        <v>-0.14101159999999999</v>
      </c>
      <c r="W4936">
        <v>0.15180539999999901</v>
      </c>
      <c r="X4936">
        <v>0.97829999999999995</v>
      </c>
      <c r="Y4936">
        <v>-0.19052959999999999</v>
      </c>
      <c r="Z4936">
        <v>4.3904800000000001E-2</v>
      </c>
      <c r="AA4936">
        <v>0.98069919999999999</v>
      </c>
      <c r="AB4936">
        <v>26</v>
      </c>
      <c r="AC4936">
        <v>-5.4100999999999999</v>
      </c>
      <c r="AD4936">
        <v>-1.116347444241</v>
      </c>
      <c r="AE4936">
        <v>-14.368899999999901</v>
      </c>
      <c r="AF4936">
        <v>-2.9474408841411499</v>
      </c>
      <c r="AG4936">
        <v>-1.116347444241</v>
      </c>
      <c r="AH4936">
        <v>14.9858007716215</v>
      </c>
      <c r="AI4936">
        <v>94.180504725266701</v>
      </c>
      <c r="AJ4936">
        <v>101.12703412296599</v>
      </c>
      <c r="AK4936">
        <v>15.3136496025115</v>
      </c>
      <c r="AL4936">
        <v>81.268433531770796</v>
      </c>
      <c r="AM4936">
        <v>98.202089391009196</v>
      </c>
      <c r="AN4936">
        <v>1.00000002040185</v>
      </c>
    </row>
    <row r="4937" spans="1:40" x14ac:dyDescent="0.25">
      <c r="A4937" t="str">
        <f>"20190304155734027"</f>
        <v>20190304155734027</v>
      </c>
      <c r="B4937" t="str">
        <f>"1551686254020144"</f>
        <v>1551686254020144</v>
      </c>
      <c r="C4937" t="s">
        <v>40</v>
      </c>
      <c r="D4937">
        <v>4.7755539999999996</v>
      </c>
      <c r="E4937">
        <v>0.48609910000000001</v>
      </c>
      <c r="F4937" t="s">
        <v>41</v>
      </c>
      <c r="G4937">
        <v>-423.78460000000001</v>
      </c>
      <c r="H4937" s="1">
        <v>-2.9776780000000001E-6</v>
      </c>
      <c r="I4937">
        <v>114.1828</v>
      </c>
      <c r="J4937">
        <v>-418.80509999999998</v>
      </c>
      <c r="K4937">
        <v>1.116382</v>
      </c>
      <c r="L4937">
        <v>126.8978</v>
      </c>
      <c r="M4937">
        <v>-0.51883159999999995</v>
      </c>
      <c r="N4937">
        <v>-1.4612689999999999E-2</v>
      </c>
      <c r="O4937">
        <v>-0.85475179999999995</v>
      </c>
      <c r="P4937">
        <v>-0.39046009999999998</v>
      </c>
      <c r="Q4937">
        <v>0.14016489999999901</v>
      </c>
      <c r="R4937">
        <v>-0.90988749999999996</v>
      </c>
      <c r="S4937">
        <v>-1.125702</v>
      </c>
      <c r="T4937">
        <v>-0.2461518</v>
      </c>
      <c r="U4937">
        <v>-2.8524630000000002</v>
      </c>
      <c r="V4937">
        <v>-0.14063049999999999</v>
      </c>
      <c r="W4937">
        <v>0.1523997</v>
      </c>
      <c r="X4937">
        <v>0.97826239999999998</v>
      </c>
      <c r="Y4937">
        <v>-0.16929710000000001</v>
      </c>
      <c r="Z4937">
        <v>5.1773329999999999E-2</v>
      </c>
      <c r="AA4937">
        <v>0.98420430000000003</v>
      </c>
      <c r="AB4937">
        <v>26</v>
      </c>
      <c r="AC4937">
        <v>-4.97950000000003</v>
      </c>
      <c r="AD4937">
        <v>-1.1163849776779999</v>
      </c>
      <c r="AE4937">
        <v>-12.715</v>
      </c>
      <c r="AF4937">
        <v>-2.3254139624446202</v>
      </c>
      <c r="AG4937">
        <v>-1.1163849776779999</v>
      </c>
      <c r="AH4937">
        <v>13.3638031268804</v>
      </c>
      <c r="AI4937">
        <v>94.7049113156705</v>
      </c>
      <c r="AJ4937">
        <v>99.871109830470701</v>
      </c>
      <c r="AK4937">
        <v>13.6104775643302</v>
      </c>
      <c r="AL4937">
        <v>81.233981302086406</v>
      </c>
      <c r="AM4937">
        <v>98.180532865342798</v>
      </c>
      <c r="AN4937">
        <v>0.99999996467204899</v>
      </c>
    </row>
    <row r="4938" spans="1:40" x14ac:dyDescent="0.25">
      <c r="A4938" t="str">
        <f>"20190304155734050"</f>
        <v>20190304155734050</v>
      </c>
      <c r="B4938" t="str">
        <f>"1551686254039663"</f>
        <v>1551686254039663</v>
      </c>
      <c r="C4938" t="s">
        <v>40</v>
      </c>
      <c r="D4938">
        <v>4.688186</v>
      </c>
      <c r="E4938">
        <v>0.4875275</v>
      </c>
      <c r="F4938" t="s">
        <v>41</v>
      </c>
      <c r="G4938">
        <v>-423.79360000000003</v>
      </c>
      <c r="H4938" s="1">
        <v>-2.9093930000000001E-6</v>
      </c>
      <c r="I4938">
        <v>114.0181</v>
      </c>
      <c r="J4938">
        <v>-418.92630000000003</v>
      </c>
      <c r="K4938">
        <v>1.1164400000000001</v>
      </c>
      <c r="L4938">
        <v>126.6799</v>
      </c>
      <c r="M4938">
        <v>-0.51140680000000005</v>
      </c>
      <c r="N4938">
        <v>-1.46144E-2</v>
      </c>
      <c r="O4938">
        <v>-0.85921449999999999</v>
      </c>
      <c r="P4938">
        <v>-0.38331090000000001</v>
      </c>
      <c r="Q4938">
        <v>0.141125</v>
      </c>
      <c r="R4938">
        <v>-0.91277419999999998</v>
      </c>
      <c r="S4938">
        <v>-1.1076969999999999</v>
      </c>
      <c r="T4938">
        <v>-0.24789349999999999</v>
      </c>
      <c r="U4938">
        <v>-2.8599399999999999</v>
      </c>
      <c r="V4938">
        <v>-0.139785299999999</v>
      </c>
      <c r="W4938">
        <v>0.1533563</v>
      </c>
      <c r="X4938">
        <v>0.9782341</v>
      </c>
      <c r="Y4938">
        <v>-0.16702999999999901</v>
      </c>
      <c r="Z4938">
        <v>5.2630799999999998E-2</v>
      </c>
      <c r="AA4938">
        <v>0.98454609999999998</v>
      </c>
      <c r="AB4938">
        <v>26</v>
      </c>
      <c r="AC4938">
        <v>-4.8673000000000002</v>
      </c>
      <c r="AD4938">
        <v>-1.1164429093929999</v>
      </c>
      <c r="AE4938">
        <v>-12.661799999999999</v>
      </c>
      <c r="AF4938">
        <v>-2.2780896161887001</v>
      </c>
      <c r="AG4938">
        <v>-1.1164429093929999</v>
      </c>
      <c r="AH4938">
        <v>13.2798459727712</v>
      </c>
      <c r="AI4938">
        <v>94.7367146093505</v>
      </c>
      <c r="AJ4938">
        <v>99.734052303189898</v>
      </c>
      <c r="AK4938">
        <v>13.520001705985401</v>
      </c>
      <c r="AL4938">
        <v>81.178520702510298</v>
      </c>
      <c r="AM4938">
        <v>98.132258912854098</v>
      </c>
      <c r="AN4938">
        <v>1.00000001962429</v>
      </c>
    </row>
    <row r="4939" spans="1:40" x14ac:dyDescent="0.25">
      <c r="A4939" t="str">
        <f>"20190304155734073"</f>
        <v>20190304155734073</v>
      </c>
      <c r="B4939" t="str">
        <f>"1551686254069920"</f>
        <v>1551686254069920</v>
      </c>
      <c r="C4939" t="s">
        <v>40</v>
      </c>
      <c r="D4939">
        <v>4.6982169999999996</v>
      </c>
      <c r="E4939">
        <v>0.48866949999999998</v>
      </c>
      <c r="F4939" t="s">
        <v>41</v>
      </c>
      <c r="G4939">
        <v>-423.8571</v>
      </c>
      <c r="H4939" s="1">
        <v>-2.8257310000000001E-6</v>
      </c>
      <c r="I4939">
        <v>113.7837</v>
      </c>
      <c r="J4939">
        <v>-419.05</v>
      </c>
      <c r="K4939">
        <v>1.116517</v>
      </c>
      <c r="L4939">
        <v>126.4522</v>
      </c>
      <c r="M4939">
        <v>-0.50352379999999997</v>
      </c>
      <c r="N4939">
        <v>-1.4620019999999999E-2</v>
      </c>
      <c r="O4939">
        <v>-0.86385789999999996</v>
      </c>
      <c r="P4939">
        <v>-0.3759323</v>
      </c>
      <c r="Q4939">
        <v>0.1417011</v>
      </c>
      <c r="R4939">
        <v>-0.91574889999999998</v>
      </c>
      <c r="S4939">
        <v>-1.0954280000000001</v>
      </c>
      <c r="T4939">
        <v>-0.2480291</v>
      </c>
      <c r="U4939">
        <v>-2.8650359999999999</v>
      </c>
      <c r="V4939">
        <v>-0.13871989999999901</v>
      </c>
      <c r="W4939">
        <v>0.1539297</v>
      </c>
      <c r="X4939">
        <v>0.97829569999999999</v>
      </c>
      <c r="Y4939">
        <v>-0.16228129999999999</v>
      </c>
      <c r="Z4939">
        <v>5.3139550000000001E-2</v>
      </c>
      <c r="AA4939">
        <v>0.98531259999999998</v>
      </c>
      <c r="AB4939">
        <v>26</v>
      </c>
      <c r="AC4939">
        <v>-4.8070999999999904</v>
      </c>
      <c r="AD4939">
        <v>-1.1165198257310001</v>
      </c>
      <c r="AE4939">
        <v>-12.6685</v>
      </c>
      <c r="AF4939">
        <v>-2.2114618599933902</v>
      </c>
      <c r="AG4939">
        <v>-1.1165198257310001</v>
      </c>
      <c r="AH4939">
        <v>13.2755591689744</v>
      </c>
      <c r="AI4939">
        <v>94.742411844832503</v>
      </c>
      <c r="AJ4939">
        <v>99.4575713970941</v>
      </c>
      <c r="AK4939">
        <v>13.5047269994026</v>
      </c>
      <c r="AL4939">
        <v>81.145272530579007</v>
      </c>
      <c r="AM4939">
        <v>98.070595634064006</v>
      </c>
      <c r="AN4939">
        <v>1.0000000199182899</v>
      </c>
    </row>
    <row r="4940" spans="1:40" x14ac:dyDescent="0.25">
      <c r="A4940" t="str">
        <f>"20190304155734094"</f>
        <v>20190304155734094</v>
      </c>
      <c r="B4940" t="str">
        <f>"1551686254089440"</f>
        <v>1551686254089440</v>
      </c>
      <c r="C4940" t="s">
        <v>40</v>
      </c>
      <c r="D4940">
        <v>4.5991419999999996</v>
      </c>
      <c r="E4940">
        <v>0.48918</v>
      </c>
      <c r="F4940" t="s">
        <v>41</v>
      </c>
      <c r="G4940">
        <v>-423.99149999999997</v>
      </c>
      <c r="H4940" s="1">
        <v>-2.6652969999999998E-6</v>
      </c>
      <c r="I4940">
        <v>113.3263</v>
      </c>
      <c r="J4940">
        <v>-419.16649999999998</v>
      </c>
      <c r="K4940">
        <v>1.1165969999999901</v>
      </c>
      <c r="L4940">
        <v>126.23269999999999</v>
      </c>
      <c r="M4940">
        <v>-0.49579990000000002</v>
      </c>
      <c r="N4940">
        <v>-1.462814E-2</v>
      </c>
      <c r="O4940">
        <v>-0.86831360000000002</v>
      </c>
      <c r="P4940">
        <v>-0.36898449999999999</v>
      </c>
      <c r="Q4940">
        <v>0.14118889999999901</v>
      </c>
      <c r="R4940">
        <v>-0.9186491</v>
      </c>
      <c r="S4940">
        <v>-1.0805659999999999</v>
      </c>
      <c r="T4940">
        <v>-0.24414669999999999</v>
      </c>
      <c r="U4940">
        <v>-2.870209</v>
      </c>
      <c r="V4940">
        <v>-0.13746620000000001</v>
      </c>
      <c r="W4940">
        <v>0.153420899999999</v>
      </c>
      <c r="X4940">
        <v>0.97855250000000005</v>
      </c>
      <c r="Y4940">
        <v>-0.158523</v>
      </c>
      <c r="Z4940">
        <v>5.2544590000000002E-2</v>
      </c>
      <c r="AA4940">
        <v>0.9859561</v>
      </c>
      <c r="AB4940">
        <v>26</v>
      </c>
      <c r="AC4940">
        <v>-4.8249999999999797</v>
      </c>
      <c r="AD4940">
        <v>-1.1165996652969901</v>
      </c>
      <c r="AE4940">
        <v>-12.9063999999999</v>
      </c>
      <c r="AF4940">
        <v>-2.1951990873137701</v>
      </c>
      <c r="AG4940">
        <v>-1.1165996652969901</v>
      </c>
      <c r="AH4940">
        <v>13.5117595935337</v>
      </c>
      <c r="AI4940">
        <v>94.663269136719606</v>
      </c>
      <c r="AJ4940">
        <v>99.2279781857399</v>
      </c>
      <c r="AK4940">
        <v>13.734385357886801</v>
      </c>
      <c r="AL4940">
        <v>81.174774556396002</v>
      </c>
      <c r="AM4940">
        <v>97.9965328079698</v>
      </c>
      <c r="AN4940">
        <v>0.99999996197774899</v>
      </c>
    </row>
    <row r="4941" spans="1:40" x14ac:dyDescent="0.25">
      <c r="A4941" t="str">
        <f>"20190304155734116"</f>
        <v>20190304155734116</v>
      </c>
      <c r="B4941" t="str">
        <f>"1551686254109467"</f>
        <v>1551686254109467</v>
      </c>
      <c r="C4941" t="s">
        <v>40</v>
      </c>
      <c r="D4941">
        <v>4.6737109999999999</v>
      </c>
      <c r="E4941">
        <v>0.49969269999999999</v>
      </c>
      <c r="F4941" t="s">
        <v>41</v>
      </c>
      <c r="G4941">
        <v>-424.00020000000001</v>
      </c>
      <c r="H4941" s="1">
        <v>-2.5909859999999999E-6</v>
      </c>
      <c r="I4941">
        <v>113.1478</v>
      </c>
      <c r="J4941">
        <v>-419.28230000000002</v>
      </c>
      <c r="K4941">
        <v>1.1166689999999999</v>
      </c>
      <c r="L4941">
        <v>126.0093</v>
      </c>
      <c r="M4941">
        <v>-0.48782059999999999</v>
      </c>
      <c r="N4941">
        <v>-1.4637809999999999E-2</v>
      </c>
      <c r="O4941">
        <v>-0.87282130000000002</v>
      </c>
      <c r="P4941">
        <v>-0.36183379999999998</v>
      </c>
      <c r="Q4941">
        <v>0.1401936</v>
      </c>
      <c r="R4941">
        <v>-0.9216413</v>
      </c>
      <c r="S4941">
        <v>-1.062622</v>
      </c>
      <c r="T4941">
        <v>-0.2454722</v>
      </c>
      <c r="U4941">
        <v>-2.8765869999999998</v>
      </c>
      <c r="V4941">
        <v>-0.13618849999999999</v>
      </c>
      <c r="W4941">
        <v>0.15243319999999999</v>
      </c>
      <c r="X4941">
        <v>0.97888549999999996</v>
      </c>
      <c r="Y4941">
        <v>-0.15560940000000001</v>
      </c>
      <c r="Z4941">
        <v>5.3319600000000002E-2</v>
      </c>
      <c r="AA4941">
        <v>0.98637859999999999</v>
      </c>
      <c r="AB4941">
        <v>26</v>
      </c>
      <c r="AC4941">
        <v>-4.7178999999999798</v>
      </c>
      <c r="AD4941">
        <v>-1.1166715909860001</v>
      </c>
      <c r="AE4941">
        <v>-12.8614999999999</v>
      </c>
      <c r="AF4941">
        <v>-2.1422185775456701</v>
      </c>
      <c r="AG4941">
        <v>-1.1166715909860001</v>
      </c>
      <c r="AH4941">
        <v>13.4394340618702</v>
      </c>
      <c r="AI4941">
        <v>94.690800854182299</v>
      </c>
      <c r="AJ4941">
        <v>99.056641278180095</v>
      </c>
      <c r="AK4941">
        <v>13.6548322501396</v>
      </c>
      <c r="AL4941">
        <v>81.232039559453398</v>
      </c>
      <c r="AM4941">
        <v>97.920494992080705</v>
      </c>
      <c r="AN4941">
        <v>1.0000000050523601</v>
      </c>
    </row>
    <row r="4942" spans="1:40" x14ac:dyDescent="0.25">
      <c r="A4942" t="str">
        <f>"20190304155734138"</f>
        <v>20190304155734138</v>
      </c>
      <c r="B4942" t="str">
        <f>"1551686254129967"</f>
        <v>1551686254129967</v>
      </c>
      <c r="C4942" t="s">
        <v>40</v>
      </c>
      <c r="D4942">
        <v>4.6919919999999999</v>
      </c>
      <c r="E4942">
        <v>0.50029020000000002</v>
      </c>
      <c r="F4942" t="s">
        <v>41</v>
      </c>
      <c r="G4942">
        <v>-423.78590000000003</v>
      </c>
      <c r="H4942" s="1">
        <v>-3.118306E-6</v>
      </c>
      <c r="I4942">
        <v>114.5098</v>
      </c>
      <c r="J4942">
        <v>-419.3931</v>
      </c>
      <c r="K4942">
        <v>1.116744</v>
      </c>
      <c r="L4942">
        <v>125.7906</v>
      </c>
      <c r="M4942">
        <v>-0.47989009999999999</v>
      </c>
      <c r="N4942">
        <v>-1.464739E-2</v>
      </c>
      <c r="O4942">
        <v>-0.87720640000000005</v>
      </c>
      <c r="P4942">
        <v>-0.35490699999999997</v>
      </c>
      <c r="Q4942">
        <v>0.13878859999999901</v>
      </c>
      <c r="R4942">
        <v>-0.92454250000000004</v>
      </c>
      <c r="S4942">
        <v>-1.119232</v>
      </c>
      <c r="T4942">
        <v>-0.27751900000000002</v>
      </c>
      <c r="U4942">
        <v>-2.8578800000000002</v>
      </c>
      <c r="V4942">
        <v>-0.1347672</v>
      </c>
      <c r="W4942">
        <v>0.15104089999999901</v>
      </c>
      <c r="X4942">
        <v>0.97929790000000005</v>
      </c>
      <c r="Y4942">
        <v>-0.12769079999999999</v>
      </c>
      <c r="Z4942">
        <v>6.3002240000000001E-2</v>
      </c>
      <c r="AA4942">
        <v>0.989811</v>
      </c>
      <c r="AB4942">
        <v>26</v>
      </c>
      <c r="AC4942">
        <v>-4.3928000000000198</v>
      </c>
      <c r="AD4942">
        <v>-1.116747118306</v>
      </c>
      <c r="AE4942">
        <v>-11.280799999999999</v>
      </c>
      <c r="AF4942">
        <v>-1.5471534390888899</v>
      </c>
      <c r="AG4942">
        <v>-1.116747118306</v>
      </c>
      <c r="AH4942">
        <v>11.9036418378312</v>
      </c>
      <c r="AI4942">
        <v>95.315103224207306</v>
      </c>
      <c r="AJ4942">
        <v>97.405397466345605</v>
      </c>
      <c r="AK4942">
        <v>12.055600229507199</v>
      </c>
      <c r="AL4942">
        <v>81.312746643055902</v>
      </c>
      <c r="AM4942">
        <v>97.835607443012705</v>
      </c>
      <c r="AN4942">
        <v>0.99999996430652904</v>
      </c>
    </row>
    <row r="4943" spans="1:40" x14ac:dyDescent="0.25">
      <c r="A4943" t="str">
        <f>"20190304155734161"</f>
        <v>20190304155734161</v>
      </c>
      <c r="B4943" t="str">
        <f>"1551686254149483"</f>
        <v>1551686254149483</v>
      </c>
      <c r="C4943" t="s">
        <v>40</v>
      </c>
      <c r="D4943">
        <v>4.90557</v>
      </c>
      <c r="E4943">
        <v>0.50013999999999903</v>
      </c>
      <c r="F4943" t="s">
        <v>41</v>
      </c>
      <c r="G4943">
        <v>-423.95100000000002</v>
      </c>
      <c r="H4943" s="1">
        <v>-2.917889E-6</v>
      </c>
      <c r="I4943">
        <v>113.94029999999999</v>
      </c>
      <c r="J4943">
        <v>-419.50740000000002</v>
      </c>
      <c r="K4943">
        <v>1.1168119999999999</v>
      </c>
      <c r="L4943">
        <v>125.5594</v>
      </c>
      <c r="M4943">
        <v>-0.47136810000000001</v>
      </c>
      <c r="N4943">
        <v>-1.465818E-2</v>
      </c>
      <c r="O4943">
        <v>-0.88181480000000001</v>
      </c>
      <c r="P4943">
        <v>-0.34749550000000001</v>
      </c>
      <c r="Q4943">
        <v>0.1371551</v>
      </c>
      <c r="R4943">
        <v>-0.92759659999999999</v>
      </c>
      <c r="S4943">
        <v>-1.1010439999999999</v>
      </c>
      <c r="T4943">
        <v>-0.26977380000000001</v>
      </c>
      <c r="U4943">
        <v>-2.8627009999999999</v>
      </c>
      <c r="V4943">
        <v>-0.13322929999999999</v>
      </c>
      <c r="W4943">
        <v>0.1494249</v>
      </c>
      <c r="X4943">
        <v>0.97975619999999997</v>
      </c>
      <c r="Y4943">
        <v>-0.1240735</v>
      </c>
      <c r="Z4943">
        <v>6.1406589999999997E-2</v>
      </c>
      <c r="AA4943">
        <v>0.99037120000000001</v>
      </c>
      <c r="AB4943">
        <v>26</v>
      </c>
      <c r="AC4943">
        <v>-4.4435999999999396</v>
      </c>
      <c r="AD4943">
        <v>-1.1168149178889999</v>
      </c>
      <c r="AE4943">
        <v>-11.6191</v>
      </c>
      <c r="AF4943">
        <v>-1.5461463075841699</v>
      </c>
      <c r="AG4943">
        <v>-1.1168149178889999</v>
      </c>
      <c r="AH4943">
        <v>12.243111714178401</v>
      </c>
      <c r="AI4943">
        <v>95.171240042764893</v>
      </c>
      <c r="AJ4943">
        <v>97.197612135198895</v>
      </c>
      <c r="AK4943">
        <v>12.390788046412901</v>
      </c>
      <c r="AL4943">
        <v>81.406400100719395</v>
      </c>
      <c r="AM4943">
        <v>97.743703254997101</v>
      </c>
      <c r="AN4943">
        <v>1.0000000292784601</v>
      </c>
    </row>
    <row r="4944" spans="1:40" x14ac:dyDescent="0.25">
      <c r="A4944" t="str">
        <f>"20190304155734195"</f>
        <v>20190304155734195</v>
      </c>
      <c r="B4944" t="str">
        <f>"1551686254189499"</f>
        <v>1551686254189499</v>
      </c>
      <c r="C4944" t="s">
        <v>40</v>
      </c>
      <c r="D4944">
        <v>4.6845309999999998</v>
      </c>
      <c r="E4944">
        <v>0.45536409999999999</v>
      </c>
      <c r="F4944" t="s">
        <v>41</v>
      </c>
      <c r="G4944">
        <v>-423.99299999999999</v>
      </c>
      <c r="H4944" s="1">
        <v>-2.780449E-6</v>
      </c>
      <c r="I4944">
        <v>113.5939</v>
      </c>
      <c r="J4944">
        <v>-419.66989999999998</v>
      </c>
      <c r="K4944">
        <v>1.116919</v>
      </c>
      <c r="L4944">
        <v>125.22</v>
      </c>
      <c r="M4944">
        <v>-0.45861790000000002</v>
      </c>
      <c r="N4944">
        <v>-1.4676750000000001E-2</v>
      </c>
      <c r="O4944">
        <v>-0.88851250000000004</v>
      </c>
      <c r="P4944">
        <v>-0.33552459999999901</v>
      </c>
      <c r="Q4944">
        <v>0.136453399999999</v>
      </c>
      <c r="R4944">
        <v>-0.93209649999999999</v>
      </c>
      <c r="S4944">
        <v>-1.076111</v>
      </c>
      <c r="T4944">
        <v>-0.26793230000000001</v>
      </c>
      <c r="U4944">
        <v>-2.8706209999999999</v>
      </c>
      <c r="V4944">
        <v>-0.13180410000000001</v>
      </c>
      <c r="W4944">
        <v>0.14873410000000001</v>
      </c>
      <c r="X4944">
        <v>0.98005399999999998</v>
      </c>
      <c r="Y4944">
        <v>-0.1182192</v>
      </c>
      <c r="Z4944">
        <v>6.162049E-2</v>
      </c>
      <c r="AA4944">
        <v>0.99107369999999995</v>
      </c>
      <c r="AB4944">
        <v>26</v>
      </c>
      <c r="AC4944">
        <v>-4.3231000000000597</v>
      </c>
      <c r="AD4944">
        <v>-1.1169217804489999</v>
      </c>
      <c r="AE4944">
        <v>-11.6260999999999</v>
      </c>
      <c r="AF4944">
        <v>-1.47897750925829</v>
      </c>
      <c r="AG4944">
        <v>-1.1169217804489999</v>
      </c>
      <c r="AH4944">
        <v>12.214868517817299</v>
      </c>
      <c r="AI4944">
        <v>95.186896276603207</v>
      </c>
      <c r="AJ4944">
        <v>96.903772306249707</v>
      </c>
      <c r="AK4944">
        <v>12.354671247916601</v>
      </c>
      <c r="AL4944">
        <v>81.446427051815306</v>
      </c>
      <c r="AM4944">
        <v>97.659554918737101</v>
      </c>
      <c r="AN4944">
        <v>0.99999999809780904</v>
      </c>
    </row>
    <row r="4945" spans="1:40" x14ac:dyDescent="0.25">
      <c r="A4945" t="str">
        <f>"20190304155734216"</f>
        <v>20190304155734216</v>
      </c>
      <c r="B4945" t="str">
        <f>"1551686254209995"</f>
        <v>1551686254209995</v>
      </c>
      <c r="C4945" t="s">
        <v>40</v>
      </c>
      <c r="D4945">
        <v>4.6380499999999998</v>
      </c>
      <c r="E4945">
        <v>0.45162780000000002</v>
      </c>
      <c r="F4945" t="s">
        <v>41</v>
      </c>
      <c r="G4945">
        <v>-423.67290000000003</v>
      </c>
      <c r="H4945" s="1">
        <v>-4.7947710000000001E-6</v>
      </c>
      <c r="I4945">
        <v>108.0754</v>
      </c>
      <c r="J4945">
        <v>-419.7749</v>
      </c>
      <c r="K4945">
        <v>1.116989</v>
      </c>
      <c r="L4945">
        <v>124.9931</v>
      </c>
      <c r="M4945">
        <v>-0.4499377</v>
      </c>
      <c r="N4945">
        <v>-1.469036E-2</v>
      </c>
      <c r="O4945">
        <v>-0.89293929999999999</v>
      </c>
      <c r="P4945">
        <v>-0.32686799999999999</v>
      </c>
      <c r="Q4945">
        <v>0.13607739999999999</v>
      </c>
      <c r="R4945">
        <v>-0.93522240000000001</v>
      </c>
      <c r="S4945">
        <v>-0.69937130000000003</v>
      </c>
      <c r="T4945">
        <v>-0.19513910000000001</v>
      </c>
      <c r="U4945">
        <v>-2.9953609999999999</v>
      </c>
      <c r="V4945">
        <v>-0.131384</v>
      </c>
      <c r="W4945">
        <v>0.1483573</v>
      </c>
      <c r="X4945">
        <v>0.98016749999999997</v>
      </c>
      <c r="Y4945">
        <v>-0.2351936</v>
      </c>
      <c r="Z4945">
        <v>3.9263329999999999E-2</v>
      </c>
      <c r="AA4945">
        <v>0.9711552</v>
      </c>
      <c r="AB4945">
        <v>26</v>
      </c>
      <c r="AC4945">
        <v>-3.8980000000000201</v>
      </c>
      <c r="AD4945">
        <v>-1.116993794771</v>
      </c>
      <c r="AE4945">
        <v>-16.9176999999999</v>
      </c>
      <c r="AF4945">
        <v>-4.1146459756292604</v>
      </c>
      <c r="AG4945">
        <v>-1.116993794771</v>
      </c>
      <c r="AH4945">
        <v>16.7926390094377</v>
      </c>
      <c r="AI4945">
        <v>93.6964986880118</v>
      </c>
      <c r="AJ4945">
        <v>103.767747242811</v>
      </c>
      <c r="AK4945">
        <v>17.325435392612999</v>
      </c>
      <c r="AL4945">
        <v>81.468258203533495</v>
      </c>
      <c r="AM4945">
        <v>97.634556312742703</v>
      </c>
      <c r="AN4945">
        <v>0.99999998598776896</v>
      </c>
    </row>
    <row r="4946" spans="1:40" x14ac:dyDescent="0.25">
      <c r="A4946" t="str">
        <f>"20190304155734240"</f>
        <v>20190304155734240</v>
      </c>
      <c r="B4946" t="str">
        <f>"1551686254229515"</f>
        <v>1551686254229515</v>
      </c>
      <c r="C4946" t="s">
        <v>40</v>
      </c>
      <c r="D4946">
        <v>4.610411</v>
      </c>
      <c r="E4946">
        <v>0.44988139999999999</v>
      </c>
      <c r="F4946" t="s">
        <v>41</v>
      </c>
      <c r="G4946">
        <v>-423.387</v>
      </c>
      <c r="H4946" s="1">
        <v>-4.7416459999999996E-6</v>
      </c>
      <c r="I4946">
        <v>108.06910000000001</v>
      </c>
      <c r="J4946">
        <v>-419.87869999999998</v>
      </c>
      <c r="K4946">
        <v>1.1170530000000001</v>
      </c>
      <c r="L4946">
        <v>124.76260000000001</v>
      </c>
      <c r="M4946">
        <v>-0.44101390000000001</v>
      </c>
      <c r="N4946">
        <v>-1.4703620000000001E-2</v>
      </c>
      <c r="O4946">
        <v>-0.89737979999999995</v>
      </c>
      <c r="P4946">
        <v>-0.31748090000000001</v>
      </c>
      <c r="Q4946">
        <v>0.13657149999999901</v>
      </c>
      <c r="R4946">
        <v>-0.93837820000000005</v>
      </c>
      <c r="S4946">
        <v>-0.6428528</v>
      </c>
      <c r="T4946">
        <v>-0.19879640000000001</v>
      </c>
      <c r="U4946">
        <v>-3.0120390000000001</v>
      </c>
      <c r="V4946">
        <v>-0.13143460000000001</v>
      </c>
      <c r="W4946">
        <v>0.1488421</v>
      </c>
      <c r="X4946">
        <v>0.98008720000000005</v>
      </c>
      <c r="Y4946">
        <v>-0.2440457</v>
      </c>
      <c r="Z4946">
        <v>4.0318180000000002E-2</v>
      </c>
      <c r="AA4946">
        <v>0.96892520000000004</v>
      </c>
      <c r="AB4946">
        <v>26</v>
      </c>
      <c r="AC4946">
        <v>-3.5082999999999598</v>
      </c>
      <c r="AD4946">
        <v>-1.1170577416459999</v>
      </c>
      <c r="AE4946">
        <v>-16.6935</v>
      </c>
      <c r="AF4946">
        <v>-4.1962488173503001</v>
      </c>
      <c r="AG4946">
        <v>-1.1170577416459999</v>
      </c>
      <c r="AH4946">
        <v>16.458825377583</v>
      </c>
      <c r="AI4946">
        <v>93.762697480994603</v>
      </c>
      <c r="AJ4946">
        <v>104.303094951174</v>
      </c>
      <c r="AK4946">
        <v>17.0220226455335</v>
      </c>
      <c r="AL4946">
        <v>81.440169231654195</v>
      </c>
      <c r="AM4946">
        <v>97.638080275749701</v>
      </c>
      <c r="AN4946">
        <v>0.999999972206704</v>
      </c>
    </row>
    <row r="4947" spans="1:40" x14ac:dyDescent="0.25">
      <c r="A4947" t="str">
        <f>"20190304155734262"</f>
        <v>20190304155734262</v>
      </c>
      <c r="B4947" t="str">
        <f>"1551686254259771"</f>
        <v>1551686254259771</v>
      </c>
      <c r="C4947" t="s">
        <v>40</v>
      </c>
      <c r="D4947">
        <v>4.5958030000000001</v>
      </c>
      <c r="E4947">
        <v>0.44903379999999998</v>
      </c>
      <c r="F4947" t="s">
        <v>41</v>
      </c>
      <c r="G4947">
        <v>-423.24400000000003</v>
      </c>
      <c r="H4947" s="1">
        <v>-4.6058619999999996E-6</v>
      </c>
      <c r="I4947">
        <v>107.7816</v>
      </c>
      <c r="J4947">
        <v>-419.98140000000001</v>
      </c>
      <c r="K4947">
        <v>1.1171180000000001</v>
      </c>
      <c r="L4947">
        <v>124.5277</v>
      </c>
      <c r="M4947">
        <v>-0.43181229999999998</v>
      </c>
      <c r="N4947">
        <v>-1.471636E-2</v>
      </c>
      <c r="O4947">
        <v>-0.90184339999999996</v>
      </c>
      <c r="P4947">
        <v>-0.30820380000000003</v>
      </c>
      <c r="Q4947">
        <v>0.13745360000000001</v>
      </c>
      <c r="R4947">
        <v>-0.94133789999999995</v>
      </c>
      <c r="S4947">
        <v>-0.59915160000000001</v>
      </c>
      <c r="T4947">
        <v>-0.1988772</v>
      </c>
      <c r="U4947">
        <v>-3.0232389999999998</v>
      </c>
      <c r="V4947">
        <v>-0.1310656</v>
      </c>
      <c r="W4947">
        <v>0.1497214</v>
      </c>
      <c r="X4947">
        <v>0.9800027</v>
      </c>
      <c r="Y4947">
        <v>-0.2482934</v>
      </c>
      <c r="Z4947">
        <v>4.0525859999999997E-2</v>
      </c>
      <c r="AA4947">
        <v>0.96783680000000005</v>
      </c>
      <c r="AB4947">
        <v>25</v>
      </c>
      <c r="AC4947">
        <v>-3.2626000000000199</v>
      </c>
      <c r="AD4947">
        <v>-1.1171226058620001</v>
      </c>
      <c r="AE4947">
        <v>-16.746099999999998</v>
      </c>
      <c r="AF4947">
        <v>-4.2709708884985398</v>
      </c>
      <c r="AG4947">
        <v>-1.1171226058620001</v>
      </c>
      <c r="AH4947">
        <v>16.4424835748375</v>
      </c>
      <c r="AI4947">
        <v>93.762297593238898</v>
      </c>
      <c r="AJ4947">
        <v>104.560915221787</v>
      </c>
      <c r="AK4947">
        <v>17.024817806829301</v>
      </c>
      <c r="AL4947">
        <v>81.389218286394794</v>
      </c>
      <c r="AM4947">
        <v>97.617537674046105</v>
      </c>
      <c r="AN4947">
        <v>0.999999990564304</v>
      </c>
    </row>
    <row r="4948" spans="1:40" x14ac:dyDescent="0.25">
      <c r="A4948" t="str">
        <f>"20190304155734284"</f>
        <v>20190304155734284</v>
      </c>
      <c r="B4948" t="str">
        <f>"1551686254279295"</f>
        <v>1551686254279295</v>
      </c>
      <c r="C4948" t="s">
        <v>40</v>
      </c>
      <c r="D4948">
        <v>4.6152769999999999</v>
      </c>
      <c r="E4948">
        <v>0.44909739999999998</v>
      </c>
      <c r="F4948" t="s">
        <v>41</v>
      </c>
      <c r="G4948">
        <v>-423.13529999999997</v>
      </c>
      <c r="H4948" s="1">
        <v>-4.4848970000000002E-6</v>
      </c>
      <c r="I4948">
        <v>107.5168</v>
      </c>
      <c r="J4948">
        <v>-420.07670000000002</v>
      </c>
      <c r="K4948">
        <v>1.117183</v>
      </c>
      <c r="L4948">
        <v>124.304</v>
      </c>
      <c r="M4948">
        <v>-0.4229349</v>
      </c>
      <c r="N4948">
        <v>-1.472878E-2</v>
      </c>
      <c r="O4948">
        <v>-0.90604030000000002</v>
      </c>
      <c r="P4948">
        <v>-0.29890820000000001</v>
      </c>
      <c r="Q4948">
        <v>0.13739279999999901</v>
      </c>
      <c r="R4948">
        <v>-0.94433940000000005</v>
      </c>
      <c r="S4948">
        <v>-0.56213380000000002</v>
      </c>
      <c r="T4948">
        <v>-0.1991116</v>
      </c>
      <c r="U4948">
        <v>-3.0319669999999999</v>
      </c>
      <c r="V4948">
        <v>-0.13112770000000001</v>
      </c>
      <c r="W4948">
        <v>0.14965349999999999</v>
      </c>
      <c r="X4948">
        <v>0.98000480000000001</v>
      </c>
      <c r="Y4948">
        <v>-0.25070879999999901</v>
      </c>
      <c r="Z4948">
        <v>4.080458E-2</v>
      </c>
      <c r="AA4948">
        <v>0.96720220000000001</v>
      </c>
      <c r="AB4948">
        <v>25</v>
      </c>
      <c r="AC4948">
        <v>-3.05859999999995</v>
      </c>
      <c r="AD4948">
        <v>-1.117187484897</v>
      </c>
      <c r="AE4948">
        <v>-16.787199999999999</v>
      </c>
      <c r="AF4948">
        <v>-4.3106696187028097</v>
      </c>
      <c r="AG4948">
        <v>-1.117187484897</v>
      </c>
      <c r="AH4948">
        <v>16.434810271191399</v>
      </c>
      <c r="AI4948">
        <v>93.761940988884007</v>
      </c>
      <c r="AJ4948">
        <v>104.696992154477</v>
      </c>
      <c r="AK4948">
        <v>17.027418156845599</v>
      </c>
      <c r="AL4948">
        <v>81.393153307258402</v>
      </c>
      <c r="AM4948">
        <v>97.621088378452797</v>
      </c>
      <c r="AN4948">
        <v>1.00000002589628</v>
      </c>
    </row>
    <row r="4949" spans="1:40" x14ac:dyDescent="0.25">
      <c r="A4949" t="str">
        <f>"20190304155734306"</f>
        <v>20190304155734306</v>
      </c>
      <c r="B4949" t="str">
        <f>"1551686254299787"</f>
        <v>1551686254299787</v>
      </c>
      <c r="C4949" t="s">
        <v>40</v>
      </c>
      <c r="D4949">
        <v>4.6661929999999998</v>
      </c>
      <c r="E4949">
        <v>0.44925799999999999</v>
      </c>
      <c r="F4949" t="s">
        <v>41</v>
      </c>
      <c r="G4949">
        <v>-423.05380000000002</v>
      </c>
      <c r="H4949" s="1">
        <v>-4.3901170000000004E-6</v>
      </c>
      <c r="I4949">
        <v>107.30759999999999</v>
      </c>
      <c r="J4949">
        <v>-420.17160000000001</v>
      </c>
      <c r="K4949">
        <v>1.117243</v>
      </c>
      <c r="L4949">
        <v>124.0741</v>
      </c>
      <c r="M4949">
        <v>-0.41371190000000002</v>
      </c>
      <c r="N4949">
        <v>-1.474225E-2</v>
      </c>
      <c r="O4949">
        <v>-0.9102884</v>
      </c>
      <c r="P4949">
        <v>-0.28896240000000001</v>
      </c>
      <c r="Q4949">
        <v>0.137347</v>
      </c>
      <c r="R4949">
        <v>-0.94743670000000002</v>
      </c>
      <c r="S4949">
        <v>-0.5320435</v>
      </c>
      <c r="T4949">
        <v>-0.19965669999999999</v>
      </c>
      <c r="U4949">
        <v>-3.0374759999999998</v>
      </c>
      <c r="V4949">
        <v>-0.1315036</v>
      </c>
      <c r="W4949">
        <v>0.1495956</v>
      </c>
      <c r="X4949">
        <v>0.97996320000000003</v>
      </c>
      <c r="Y4949">
        <v>-0.2504749</v>
      </c>
      <c r="Z4949">
        <v>4.1249099999999997E-2</v>
      </c>
      <c r="AA4949">
        <v>0.96724399999999999</v>
      </c>
      <c r="AB4949">
        <v>25</v>
      </c>
      <c r="AC4949">
        <v>-2.8822000000000099</v>
      </c>
      <c r="AD4949">
        <v>-1.1172473901169999</v>
      </c>
      <c r="AE4949">
        <v>-16.766500000000001</v>
      </c>
      <c r="AF4949">
        <v>-4.2948134623312102</v>
      </c>
      <c r="AG4949">
        <v>-1.1172473901169999</v>
      </c>
      <c r="AH4949">
        <v>16.385870470803301</v>
      </c>
      <c r="AI4949">
        <v>93.773516248294897</v>
      </c>
      <c r="AJ4949">
        <v>104.68711221445599</v>
      </c>
      <c r="AK4949">
        <v>16.976171991732699</v>
      </c>
      <c r="AL4949">
        <v>81.396507904106301</v>
      </c>
      <c r="AM4949">
        <v>97.642998267833207</v>
      </c>
      <c r="AN4949">
        <v>0.99999995685327903</v>
      </c>
    </row>
    <row r="4950" spans="1:40" x14ac:dyDescent="0.25">
      <c r="A4950" t="str">
        <f>"20190304155734328"</f>
        <v>20190304155734328</v>
      </c>
      <c r="B4950" t="str">
        <f>"1551686254319307"</f>
        <v>1551686254319307</v>
      </c>
      <c r="C4950" t="s">
        <v>40</v>
      </c>
      <c r="D4950">
        <v>4.6774690000000003</v>
      </c>
      <c r="E4950">
        <v>0.44932299999999997</v>
      </c>
      <c r="F4950" t="s">
        <v>41</v>
      </c>
      <c r="G4950">
        <v>-422.98820000000001</v>
      </c>
      <c r="H4950" s="1">
        <v>-4.2543699999999999E-6</v>
      </c>
      <c r="I4950">
        <v>106.9845</v>
      </c>
      <c r="J4950">
        <v>-420.26319999999998</v>
      </c>
      <c r="K4950">
        <v>1.117302</v>
      </c>
      <c r="L4950">
        <v>123.8458</v>
      </c>
      <c r="M4950">
        <v>-0.40444239999999998</v>
      </c>
      <c r="N4950">
        <v>-1.475602E-2</v>
      </c>
      <c r="O4950">
        <v>-0.91444460000000005</v>
      </c>
      <c r="P4950">
        <v>-0.2790899</v>
      </c>
      <c r="Q4950">
        <v>0.13690479999999899</v>
      </c>
      <c r="R4950">
        <v>-0.95045579999999996</v>
      </c>
      <c r="S4950">
        <v>-0.50140379999999996</v>
      </c>
      <c r="T4950">
        <v>-0.19889470000000001</v>
      </c>
      <c r="U4950">
        <v>-3.0423429999999998</v>
      </c>
      <c r="V4950">
        <v>-0.13178329999999999</v>
      </c>
      <c r="W4950">
        <v>0.14914430000000001</v>
      </c>
      <c r="X4950">
        <v>0.97999449999999999</v>
      </c>
      <c r="Y4950">
        <v>-0.2503705</v>
      </c>
      <c r="Z4950">
        <v>4.1332149999999998E-2</v>
      </c>
      <c r="AA4950">
        <v>0.96726749999999995</v>
      </c>
      <c r="AB4950">
        <v>25</v>
      </c>
      <c r="AC4950">
        <v>-2.7250000000000201</v>
      </c>
      <c r="AD4950">
        <v>-1.1173062543700001</v>
      </c>
      <c r="AE4950">
        <v>-16.8613</v>
      </c>
      <c r="AF4950">
        <v>-4.3095919289573699</v>
      </c>
      <c r="AG4950">
        <v>-1.1173062543700001</v>
      </c>
      <c r="AH4950">
        <v>16.452223825606598</v>
      </c>
      <c r="AI4950">
        <v>93.758684410547403</v>
      </c>
      <c r="AJ4950">
        <v>104.67859674184901</v>
      </c>
      <c r="AK4950">
        <v>17.043961530936599</v>
      </c>
      <c r="AL4950">
        <v>81.422659588838101</v>
      </c>
      <c r="AM4950">
        <v>97.658819967070002</v>
      </c>
      <c r="AN4950">
        <v>1.00000004020581</v>
      </c>
    </row>
    <row r="4951" spans="1:40" x14ac:dyDescent="0.25">
      <c r="A4951" t="str">
        <f>"20190304155734351"</f>
        <v>20190304155734351</v>
      </c>
      <c r="B4951" t="str">
        <f>"1551686254339803"</f>
        <v>1551686254339803</v>
      </c>
      <c r="C4951" t="s">
        <v>40</v>
      </c>
      <c r="D4951">
        <v>4.6453600000000002</v>
      </c>
      <c r="E4951">
        <v>0.44985809999999998</v>
      </c>
      <c r="F4951" t="s">
        <v>41</v>
      </c>
      <c r="G4951">
        <v>-422.9153</v>
      </c>
      <c r="H4951" s="1">
        <v>-4.1146819999999997E-6</v>
      </c>
      <c r="I4951">
        <v>106.65519999999999</v>
      </c>
      <c r="J4951">
        <v>-420.3544</v>
      </c>
      <c r="K4951">
        <v>1.117351</v>
      </c>
      <c r="L4951">
        <v>123.6109</v>
      </c>
      <c r="M4951">
        <v>-0.39480320000000002</v>
      </c>
      <c r="N4951">
        <v>-1.476998E-2</v>
      </c>
      <c r="O4951">
        <v>-0.91864710000000005</v>
      </c>
      <c r="P4951">
        <v>-0.26894249999999997</v>
      </c>
      <c r="Q4951">
        <v>0.13585939999999999</v>
      </c>
      <c r="R4951">
        <v>-0.95352619999999999</v>
      </c>
      <c r="S4951">
        <v>-0.47006229999999899</v>
      </c>
      <c r="T4951">
        <v>-0.19803299999999999</v>
      </c>
      <c r="U4951">
        <v>-3.0468899999999999</v>
      </c>
      <c r="V4951">
        <v>-0.1319861</v>
      </c>
      <c r="W4951">
        <v>0.1480928</v>
      </c>
      <c r="X4951">
        <v>0.98012659999999996</v>
      </c>
      <c r="Y4951">
        <v>-0.25012400000000001</v>
      </c>
      <c r="Z4951">
        <v>4.1394590000000002E-2</v>
      </c>
      <c r="AA4951">
        <v>0.96732850000000004</v>
      </c>
      <c r="AB4951">
        <v>25</v>
      </c>
      <c r="AC4951">
        <v>-2.5609000000000002</v>
      </c>
      <c r="AD4951">
        <v>-1.117355114682</v>
      </c>
      <c r="AE4951">
        <v>-16.9557</v>
      </c>
      <c r="AF4951">
        <v>-4.3237169765861596</v>
      </c>
      <c r="AG4951">
        <v>-1.117355114682</v>
      </c>
      <c r="AH4951">
        <v>16.519028137968501</v>
      </c>
      <c r="AI4951">
        <v>93.743877377960004</v>
      </c>
      <c r="AJ4951">
        <v>104.66764478157</v>
      </c>
      <c r="AK4951">
        <v>17.112022135589999</v>
      </c>
      <c r="AL4951">
        <v>81.483582160506202</v>
      </c>
      <c r="AM4951">
        <v>97.669444325909595</v>
      </c>
      <c r="AN4951">
        <v>0.99999998001630397</v>
      </c>
    </row>
    <row r="4952" spans="1:40" x14ac:dyDescent="0.25">
      <c r="A4952" t="str">
        <f>"20190304155734372"</f>
        <v>20190304155734372</v>
      </c>
      <c r="B4952" t="str">
        <f>"1551686254370060"</f>
        <v>1551686254370060</v>
      </c>
      <c r="C4952" t="s">
        <v>40</v>
      </c>
      <c r="D4952">
        <v>4.5856969999999997</v>
      </c>
      <c r="E4952">
        <v>0.46392909999999998</v>
      </c>
      <c r="F4952" t="s">
        <v>41</v>
      </c>
      <c r="G4952">
        <v>-422.83550000000002</v>
      </c>
      <c r="H4952" s="1">
        <v>-3.9983630000000002E-6</v>
      </c>
      <c r="I4952">
        <v>106.45399999999999</v>
      </c>
      <c r="J4952">
        <v>-420.43950000000001</v>
      </c>
      <c r="K4952">
        <v>1.1174010000000001</v>
      </c>
      <c r="L4952">
        <v>123.384</v>
      </c>
      <c r="M4952">
        <v>-0.38538689999999998</v>
      </c>
      <c r="N4952">
        <v>-1.4783299999999999E-2</v>
      </c>
      <c r="O4952">
        <v>-0.92263649999999997</v>
      </c>
      <c r="P4952">
        <v>-0.25953150000000003</v>
      </c>
      <c r="Q4952">
        <v>0.13438820000000001</v>
      </c>
      <c r="R4952">
        <v>-0.95633820000000003</v>
      </c>
      <c r="S4952">
        <v>-0.44107059999999998</v>
      </c>
      <c r="T4952">
        <v>-0.1986395</v>
      </c>
      <c r="U4952">
        <v>-3.0500949999999998</v>
      </c>
      <c r="V4952">
        <v>-0.13169459999999999</v>
      </c>
      <c r="W4952">
        <v>0.1466269</v>
      </c>
      <c r="X4952">
        <v>0.98038619999999999</v>
      </c>
      <c r="Y4952">
        <v>-0.24937110000000001</v>
      </c>
      <c r="Z4952">
        <v>4.1876129999999998E-2</v>
      </c>
      <c r="AA4952">
        <v>0.96750219999999998</v>
      </c>
      <c r="AB4952">
        <v>25</v>
      </c>
      <c r="AC4952">
        <v>-2.3960000000000101</v>
      </c>
      <c r="AD4952">
        <v>-1.1174049983629999</v>
      </c>
      <c r="AE4952">
        <v>-16.93</v>
      </c>
      <c r="AF4952">
        <v>-4.2960881221905201</v>
      </c>
      <c r="AG4952">
        <v>-1.1174049983629999</v>
      </c>
      <c r="AH4952">
        <v>16.475073940098099</v>
      </c>
      <c r="AI4952">
        <v>93.754900401016897</v>
      </c>
      <c r="AJ4952">
        <v>104.615151983921</v>
      </c>
      <c r="AK4952">
        <v>17.0626207956367</v>
      </c>
      <c r="AL4952">
        <v>81.568499336669205</v>
      </c>
      <c r="AM4952">
        <v>97.650704420237403</v>
      </c>
      <c r="AN4952">
        <v>1.0000000083116001</v>
      </c>
    </row>
    <row r="4953" spans="1:40" x14ac:dyDescent="0.25">
      <c r="A4953" t="str">
        <f>"20190304155734395"</f>
        <v>20190304155734395</v>
      </c>
      <c r="B4953" t="str">
        <f>"1551686254389579"</f>
        <v>1551686254389579</v>
      </c>
      <c r="C4953" t="s">
        <v>40</v>
      </c>
      <c r="D4953">
        <v>4.5693580000000003</v>
      </c>
      <c r="E4953">
        <v>0.46267760000000002</v>
      </c>
      <c r="F4953" t="s">
        <v>41</v>
      </c>
      <c r="G4953">
        <v>-423.91849999999999</v>
      </c>
      <c r="H4953" s="1">
        <v>-2.691309E-6</v>
      </c>
      <c r="I4953">
        <v>103.07940000000001</v>
      </c>
      <c r="J4953">
        <v>-420.5256</v>
      </c>
      <c r="K4953">
        <v>1.117437</v>
      </c>
      <c r="L4953">
        <v>123.1467</v>
      </c>
      <c r="M4953">
        <v>-0.3754574</v>
      </c>
      <c r="N4953">
        <v>-1.479636E-2</v>
      </c>
      <c r="O4953">
        <v>-0.92672160000000003</v>
      </c>
      <c r="P4953">
        <v>-0.2495378</v>
      </c>
      <c r="Q4953">
        <v>0.1327496</v>
      </c>
      <c r="R4953">
        <v>-0.95922289999999999</v>
      </c>
      <c r="S4953">
        <v>-0.51742549999999998</v>
      </c>
      <c r="T4953">
        <v>-0.16619120000000001</v>
      </c>
      <c r="U4953">
        <v>-3.0198969999999998</v>
      </c>
      <c r="V4953">
        <v>-0.13146949999999999</v>
      </c>
      <c r="W4953">
        <v>0.14499479999999901</v>
      </c>
      <c r="X4953">
        <v>0.98065910000000001</v>
      </c>
      <c r="Y4953">
        <v>-0.21357010000000001</v>
      </c>
      <c r="Z4953">
        <v>3.3705539999999999E-2</v>
      </c>
      <c r="AA4953">
        <v>0.97634609999999999</v>
      </c>
      <c r="AB4953">
        <v>25</v>
      </c>
      <c r="AC4953">
        <v>-3.3928999999999898</v>
      </c>
      <c r="AD4953">
        <v>-1.1174396913089999</v>
      </c>
      <c r="AE4953">
        <v>-20.0672999999999</v>
      </c>
      <c r="AF4953">
        <v>-4.377426782353</v>
      </c>
      <c r="AG4953">
        <v>-1.1174396913089999</v>
      </c>
      <c r="AH4953">
        <v>19.813135517743898</v>
      </c>
      <c r="AI4953">
        <v>93.152144471573394</v>
      </c>
      <c r="AJ4953">
        <v>102.458539104747</v>
      </c>
      <c r="AK4953">
        <v>20.321684864770901</v>
      </c>
      <c r="AL4953">
        <v>81.6630218972454</v>
      </c>
      <c r="AM4953">
        <v>97.635681516211406</v>
      </c>
      <c r="AN4953">
        <v>0.99999999593504996</v>
      </c>
    </row>
    <row r="4954" spans="1:40" x14ac:dyDescent="0.25">
      <c r="A4954" t="str">
        <f>"20190304155734418"</f>
        <v>20190304155734418</v>
      </c>
      <c r="B4954" t="str">
        <f>"1551686254410075"</f>
        <v>1551686254410075</v>
      </c>
      <c r="C4954" t="s">
        <v>40</v>
      </c>
      <c r="D4954">
        <v>4.5650309999999896</v>
      </c>
      <c r="E4954">
        <v>0.46324490000000001</v>
      </c>
      <c r="F4954" t="s">
        <v>41</v>
      </c>
      <c r="G4954">
        <v>-423.50850000000003</v>
      </c>
      <c r="H4954" s="1">
        <v>-3.0937079999999999E-6</v>
      </c>
      <c r="I4954">
        <v>104.1615</v>
      </c>
      <c r="J4954">
        <v>-420.6087</v>
      </c>
      <c r="K4954">
        <v>1.117467</v>
      </c>
      <c r="L4954">
        <v>122.9096</v>
      </c>
      <c r="M4954">
        <v>-0.36545060000000001</v>
      </c>
      <c r="N4954">
        <v>-1.4807880000000001E-2</v>
      </c>
      <c r="O4954">
        <v>-0.93071309999999996</v>
      </c>
      <c r="P4954">
        <v>-0.23961189999999999</v>
      </c>
      <c r="Q4954">
        <v>0.13133499999999901</v>
      </c>
      <c r="R4954">
        <v>-0.96194480000000004</v>
      </c>
      <c r="S4954">
        <v>-0.47579959999999999</v>
      </c>
      <c r="T4954">
        <v>-0.17824719999999999</v>
      </c>
      <c r="U4954">
        <v>-3.0284119999999999</v>
      </c>
      <c r="V4954">
        <v>-0.1310953</v>
      </c>
      <c r="W4954">
        <v>0.14359140000000001</v>
      </c>
      <c r="X4954">
        <v>0.98091569999999995</v>
      </c>
      <c r="Y4954">
        <v>-0.2165803</v>
      </c>
      <c r="Z4954">
        <v>3.7350689999999999E-2</v>
      </c>
      <c r="AA4954">
        <v>0.97555009999999998</v>
      </c>
      <c r="AB4954">
        <v>25</v>
      </c>
      <c r="AC4954">
        <v>-2.8998000000000199</v>
      </c>
      <c r="AD4954">
        <v>-1.117470093708</v>
      </c>
      <c r="AE4954">
        <v>-18.748099999999901</v>
      </c>
      <c r="AF4954">
        <v>-4.1387172621239401</v>
      </c>
      <c r="AG4954">
        <v>-1.117470093708</v>
      </c>
      <c r="AH4954">
        <v>18.446858067756601</v>
      </c>
      <c r="AI4954">
        <v>93.382725851123993</v>
      </c>
      <c r="AJ4954">
        <v>102.645417752545</v>
      </c>
      <c r="AK4954">
        <v>18.938434268917</v>
      </c>
      <c r="AL4954">
        <v>81.744281540168501</v>
      </c>
      <c r="AM4954">
        <v>97.612235049649499</v>
      </c>
      <c r="AN4954">
        <v>1.00000003917126</v>
      </c>
    </row>
    <row r="4955" spans="1:40" x14ac:dyDescent="0.25">
      <c r="A4955" t="str">
        <f>"20190304155734441"</f>
        <v>20190304155734441</v>
      </c>
      <c r="B4955" t="str">
        <f>"1551686254429596"</f>
        <v>1551686254429596</v>
      </c>
      <c r="C4955" t="s">
        <v>40</v>
      </c>
      <c r="D4955">
        <v>4.5604620000000002</v>
      </c>
      <c r="E4955">
        <v>0.46447460000000002</v>
      </c>
      <c r="F4955" t="s">
        <v>41</v>
      </c>
      <c r="G4955">
        <v>-423.34339999999997</v>
      </c>
      <c r="H4955" s="1">
        <v>-3.1653929999999998E-6</v>
      </c>
      <c r="I4955">
        <v>104.40600000000001</v>
      </c>
      <c r="J4955">
        <v>-420.68810000000002</v>
      </c>
      <c r="K4955">
        <v>1.117489</v>
      </c>
      <c r="L4955">
        <v>122.675</v>
      </c>
      <c r="M4955">
        <v>-0.35546529999999998</v>
      </c>
      <c r="N4955">
        <v>-1.481823E-2</v>
      </c>
      <c r="O4955">
        <v>-0.93457219999999996</v>
      </c>
      <c r="P4955">
        <v>-0.22959309999999999</v>
      </c>
      <c r="Q4955">
        <v>0.12907639999999901</v>
      </c>
      <c r="R4955">
        <v>-0.96469009999999999</v>
      </c>
      <c r="S4955">
        <v>-0.44812010000000002</v>
      </c>
      <c r="T4955">
        <v>-0.18311079999999999</v>
      </c>
      <c r="U4955">
        <v>-3.0320429999999998</v>
      </c>
      <c r="V4955">
        <v>-0.13087480000000001</v>
      </c>
      <c r="W4955">
        <v>0.141342</v>
      </c>
      <c r="X4955">
        <v>0.98127169999999997</v>
      </c>
      <c r="Y4955">
        <v>-0.2150183</v>
      </c>
      <c r="Z4955">
        <v>3.9033829999999999E-2</v>
      </c>
      <c r="AA4955">
        <v>0.97582970000000002</v>
      </c>
      <c r="AB4955">
        <v>25</v>
      </c>
      <c r="AC4955">
        <v>-2.6552999999999498</v>
      </c>
      <c r="AD4955">
        <v>-1.1174921653929999</v>
      </c>
      <c r="AE4955">
        <v>-18.268999999999899</v>
      </c>
      <c r="AF4955">
        <v>-3.9982155781845199</v>
      </c>
      <c r="AG4955">
        <v>-1.1174921653929999</v>
      </c>
      <c r="AH4955">
        <v>17.953755443264601</v>
      </c>
      <c r="AI4955">
        <v>93.476704880412399</v>
      </c>
      <c r="AJ4955">
        <v>102.554630748797</v>
      </c>
      <c r="AK4955">
        <v>18.4274754392973</v>
      </c>
      <c r="AL4955">
        <v>81.874490245322306</v>
      </c>
      <c r="AM4955">
        <v>97.596856286624202</v>
      </c>
      <c r="AN4955">
        <v>0.99999996172996397</v>
      </c>
    </row>
    <row r="4956" spans="1:40" x14ac:dyDescent="0.25">
      <c r="A4956" t="str">
        <f>"20190304155734462"</f>
        <v>20190304155734462</v>
      </c>
      <c r="B4956" t="str">
        <f>"1551686254459853"</f>
        <v>1551686254459853</v>
      </c>
      <c r="C4956" t="s">
        <v>40</v>
      </c>
      <c r="D4956">
        <v>4.6350110000000004</v>
      </c>
      <c r="E4956">
        <v>0.46528239999999998</v>
      </c>
      <c r="F4956" t="s">
        <v>41</v>
      </c>
      <c r="G4956">
        <v>-423.22680000000003</v>
      </c>
      <c r="H4956" s="1">
        <v>-3.2150760000000001E-6</v>
      </c>
      <c r="I4956">
        <v>104.5767</v>
      </c>
      <c r="J4956">
        <v>-420.76209999999998</v>
      </c>
      <c r="K4956">
        <v>1.117505</v>
      </c>
      <c r="L4956">
        <v>122.4482</v>
      </c>
      <c r="M4956">
        <v>-0.34574650000000001</v>
      </c>
      <c r="N4956">
        <v>-1.4827959999999999E-2</v>
      </c>
      <c r="O4956">
        <v>-0.93821080000000001</v>
      </c>
      <c r="P4956">
        <v>-0.2203609</v>
      </c>
      <c r="Q4956">
        <v>0.12703800000000001</v>
      </c>
      <c r="R4956">
        <v>-0.96711029999999998</v>
      </c>
      <c r="S4956">
        <v>-0.4255371</v>
      </c>
      <c r="T4956">
        <v>-0.1873126</v>
      </c>
      <c r="U4956">
        <v>-3.0335999999999999</v>
      </c>
      <c r="V4956">
        <v>-0.13013469999999999</v>
      </c>
      <c r="W4956">
        <v>0.13932420000000001</v>
      </c>
      <c r="X4956">
        <v>0.98165860000000005</v>
      </c>
      <c r="Y4956">
        <v>-0.2120784</v>
      </c>
      <c r="Z4956">
        <v>4.0565339999999998E-2</v>
      </c>
      <c r="AA4956">
        <v>0.97641040000000001</v>
      </c>
      <c r="AB4956">
        <v>25</v>
      </c>
      <c r="AC4956">
        <v>-2.4647000000000499</v>
      </c>
      <c r="AD4956">
        <v>-1.1175082150759901</v>
      </c>
      <c r="AE4956">
        <v>-17.871499999999902</v>
      </c>
      <c r="AF4956">
        <v>-3.8522442950018898</v>
      </c>
      <c r="AG4956">
        <v>-1.1175082150759901</v>
      </c>
      <c r="AH4956">
        <v>17.5539774752597</v>
      </c>
      <c r="AI4956">
        <v>93.558159830070807</v>
      </c>
      <c r="AJ4956">
        <v>102.377431726558</v>
      </c>
      <c r="AK4956">
        <v>18.006408190448798</v>
      </c>
      <c r="AL4956">
        <v>81.991257003869904</v>
      </c>
      <c r="AM4956">
        <v>97.551450395619995</v>
      </c>
      <c r="AN4956">
        <v>0.99999993990184299</v>
      </c>
    </row>
    <row r="4957" spans="1:40" x14ac:dyDescent="0.25">
      <c r="A4957" t="str">
        <f>"20190304155734485"</f>
        <v>20190304155734485</v>
      </c>
      <c r="B4957" t="str">
        <f>"1551686254479371"</f>
        <v>1551686254479371</v>
      </c>
      <c r="C4957" t="s">
        <v>40</v>
      </c>
      <c r="D4957">
        <v>4.5967260000000003</v>
      </c>
      <c r="E4957">
        <v>0.4663911</v>
      </c>
      <c r="F4957" t="s">
        <v>41</v>
      </c>
      <c r="G4957">
        <v>-423.03480000000002</v>
      </c>
      <c r="H4957" s="1">
        <v>-3.4841429999999999E-6</v>
      </c>
      <c r="I4957">
        <v>105.254</v>
      </c>
      <c r="J4957">
        <v>-420.8372</v>
      </c>
      <c r="K4957">
        <v>1.1175219999999999</v>
      </c>
      <c r="L4957">
        <v>122.2092</v>
      </c>
      <c r="M4957">
        <v>-0.33543539999999999</v>
      </c>
      <c r="N4957">
        <v>-1.483776E-2</v>
      </c>
      <c r="O4957">
        <v>-0.94194639999999996</v>
      </c>
      <c r="P4957">
        <v>-0.21093020000000001</v>
      </c>
      <c r="Q4957">
        <v>0.1255106</v>
      </c>
      <c r="R4957">
        <v>-0.96941010000000005</v>
      </c>
      <c r="S4957">
        <v>-0.40136719999999998</v>
      </c>
      <c r="T4957">
        <v>-0.19735220000000001</v>
      </c>
      <c r="U4957">
        <v>-3.0364990000000001</v>
      </c>
      <c r="V4957">
        <v>-0.12897529999999999</v>
      </c>
      <c r="W4957">
        <v>0.137824799999999</v>
      </c>
      <c r="X4957">
        <v>0.98202319999999999</v>
      </c>
      <c r="Y4957">
        <v>-0.20913209999999999</v>
      </c>
      <c r="Z4957">
        <v>4.3815279999999998E-2</v>
      </c>
      <c r="AA4957">
        <v>0.97690529999999998</v>
      </c>
      <c r="AB4957">
        <v>25</v>
      </c>
      <c r="AC4957">
        <v>-2.19760000000002</v>
      </c>
      <c r="AD4957">
        <v>-1.117525484143</v>
      </c>
      <c r="AE4957">
        <v>-16.955200000000001</v>
      </c>
      <c r="AF4957">
        <v>-3.6023601994929999</v>
      </c>
      <c r="AG4957">
        <v>-1.117525484143</v>
      </c>
      <c r="AH4957">
        <v>16.6387933359503</v>
      </c>
      <c r="AI4957">
        <v>93.755678728265295</v>
      </c>
      <c r="AJ4957">
        <v>102.21620335366499</v>
      </c>
      <c r="AK4957">
        <v>17.0609292212078</v>
      </c>
      <c r="AL4957">
        <v>82.078003192527007</v>
      </c>
      <c r="AM4957">
        <v>97.482191508831093</v>
      </c>
      <c r="AN4957">
        <v>0.999999934421682</v>
      </c>
    </row>
    <row r="4958" spans="1:40" x14ac:dyDescent="0.25">
      <c r="A4958" t="str">
        <f>"20190304155734507"</f>
        <v>20190304155734507</v>
      </c>
      <c r="B4958" t="str">
        <f>"1551686254499867"</f>
        <v>1551686254499867</v>
      </c>
      <c r="C4958" t="s">
        <v>40</v>
      </c>
      <c r="D4958">
        <v>4.5958699999999997</v>
      </c>
      <c r="E4958">
        <v>0.46702979999999999</v>
      </c>
      <c r="F4958" t="s">
        <v>41</v>
      </c>
      <c r="G4958">
        <v>-422.94690000000003</v>
      </c>
      <c r="H4958" s="1">
        <v>-3.481045E-6</v>
      </c>
      <c r="I4958">
        <v>105.29689999999999</v>
      </c>
      <c r="J4958">
        <v>-420.90629999999999</v>
      </c>
      <c r="K4958">
        <v>1.117532</v>
      </c>
      <c r="L4958">
        <v>121.9807</v>
      </c>
      <c r="M4958">
        <v>-0.32552490000000001</v>
      </c>
      <c r="N4958">
        <v>-1.484601E-2</v>
      </c>
      <c r="O4958">
        <v>-0.94541719999999896</v>
      </c>
      <c r="P4958">
        <v>-0.20212849999999999</v>
      </c>
      <c r="Q4958">
        <v>0.1253309</v>
      </c>
      <c r="R4958">
        <v>-0.97130700000000003</v>
      </c>
      <c r="S4958">
        <v>-0.3789978</v>
      </c>
      <c r="T4958">
        <v>-0.2007574</v>
      </c>
      <c r="U4958">
        <v>-3.0381930000000001</v>
      </c>
      <c r="V4958">
        <v>-0.12757669999999999</v>
      </c>
      <c r="W4958">
        <v>0.13767660000000001</v>
      </c>
      <c r="X4958">
        <v>0.98222670000000001</v>
      </c>
      <c r="Y4958">
        <v>-0.20601549999999999</v>
      </c>
      <c r="Z4958">
        <v>4.513412E-2</v>
      </c>
      <c r="AA4958">
        <v>0.97750729999999997</v>
      </c>
      <c r="AB4958">
        <v>25</v>
      </c>
      <c r="AC4958">
        <v>-2.0406000000000399</v>
      </c>
      <c r="AD4958">
        <v>-1.117535481045</v>
      </c>
      <c r="AE4958">
        <v>-16.683800000000002</v>
      </c>
      <c r="AF4958">
        <v>-3.4867453972422799</v>
      </c>
      <c r="AG4958">
        <v>-1.117535481045</v>
      </c>
      <c r="AH4958">
        <v>16.366872997513401</v>
      </c>
      <c r="AI4958">
        <v>93.820637222795298</v>
      </c>
      <c r="AJ4958">
        <v>102.026320777495</v>
      </c>
      <c r="AK4958">
        <v>16.7714284046803</v>
      </c>
      <c r="AL4958">
        <v>82.086576480459001</v>
      </c>
      <c r="AM4958">
        <v>97.400443138883205</v>
      </c>
      <c r="AN4958">
        <v>0.99999997538166896</v>
      </c>
    </row>
    <row r="4959" spans="1:40" x14ac:dyDescent="0.25">
      <c r="A4959" t="str">
        <f>"20190304155734531"</f>
        <v>20190304155734531</v>
      </c>
      <c r="B4959" t="str">
        <f>"1551686254519388"</f>
        <v>1551686254519388</v>
      </c>
      <c r="C4959" t="s">
        <v>40</v>
      </c>
      <c r="D4959">
        <v>4.5948209999999996</v>
      </c>
      <c r="E4959">
        <v>0.47974559999999999</v>
      </c>
      <c r="F4959" t="s">
        <v>41</v>
      </c>
      <c r="G4959">
        <v>-422.8843</v>
      </c>
      <c r="H4959" s="1">
        <v>-3.3441220000000001E-6</v>
      </c>
      <c r="I4959">
        <v>105.0425</v>
      </c>
      <c r="J4959">
        <v>-420.9776</v>
      </c>
      <c r="K4959">
        <v>1.1175440000000001</v>
      </c>
      <c r="L4959">
        <v>121.735</v>
      </c>
      <c r="M4959">
        <v>-0.31482850000000001</v>
      </c>
      <c r="N4959">
        <v>-1.485299E-2</v>
      </c>
      <c r="O4959">
        <v>-0.94903230000000005</v>
      </c>
      <c r="P4959">
        <v>-0.19272639999999999</v>
      </c>
      <c r="Q4959">
        <v>0.1260164</v>
      </c>
      <c r="R4959">
        <v>-0.97312710000000002</v>
      </c>
      <c r="S4959">
        <v>-0.355072</v>
      </c>
      <c r="T4959">
        <v>-0.2006127</v>
      </c>
      <c r="U4959">
        <v>-3.040619</v>
      </c>
      <c r="V4959">
        <v>-0.12596760000000001</v>
      </c>
      <c r="W4959">
        <v>0.13839670000000001</v>
      </c>
      <c r="X4959">
        <v>0.98233320000000002</v>
      </c>
      <c r="Y4959">
        <v>-0.20264499999999999</v>
      </c>
      <c r="Z4959">
        <v>4.5409249999999998E-2</v>
      </c>
      <c r="AA4959">
        <v>0.97819889999999998</v>
      </c>
      <c r="AB4959">
        <v>25</v>
      </c>
      <c r="AC4959">
        <v>-1.9067000000000001</v>
      </c>
      <c r="AD4959">
        <v>-1.1175473441220001</v>
      </c>
      <c r="AE4959">
        <v>-16.6924999999999</v>
      </c>
      <c r="AF4959">
        <v>-3.4309550763191701</v>
      </c>
      <c r="AG4959">
        <v>-1.1175473441220001</v>
      </c>
      <c r="AH4959">
        <v>16.3713855328497</v>
      </c>
      <c r="AI4959">
        <v>93.822298901619504</v>
      </c>
      <c r="AJ4959">
        <v>101.836193278886</v>
      </c>
      <c r="AK4959">
        <v>16.764326084494801</v>
      </c>
      <c r="AL4959">
        <v>82.044919197371399</v>
      </c>
      <c r="AM4959">
        <v>97.307334471440399</v>
      </c>
      <c r="AN4959">
        <v>0.99999999932144501</v>
      </c>
    </row>
    <row r="4960" spans="1:40" x14ac:dyDescent="0.25">
      <c r="A4960" t="str">
        <f>"20190304155734552"</f>
        <v>20190304155734552</v>
      </c>
      <c r="B4960" t="str">
        <f>"1551686254549644"</f>
        <v>1551686254549644</v>
      </c>
      <c r="C4960" t="s">
        <v>40</v>
      </c>
      <c r="D4960">
        <v>4.6389089999999999</v>
      </c>
      <c r="E4960">
        <v>0.47869159999999999</v>
      </c>
      <c r="F4960" t="s">
        <v>41</v>
      </c>
      <c r="G4960">
        <v>-423.65660000000003</v>
      </c>
      <c r="H4960" s="1">
        <v>-2.4237959999999999E-6</v>
      </c>
      <c r="I4960">
        <v>102.6609</v>
      </c>
      <c r="J4960">
        <v>-421.04180000000002</v>
      </c>
      <c r="K4960">
        <v>1.11754</v>
      </c>
      <c r="L4960">
        <v>121.50360000000001</v>
      </c>
      <c r="M4960">
        <v>-0.30472450000000001</v>
      </c>
      <c r="N4960">
        <v>-1.485738E-2</v>
      </c>
      <c r="O4960">
        <v>-0.95232479999999997</v>
      </c>
      <c r="P4960">
        <v>-0.18403749999999999</v>
      </c>
      <c r="Q4960">
        <v>0.12624929999999901</v>
      </c>
      <c r="R4960">
        <v>-0.97477760000000002</v>
      </c>
      <c r="S4960">
        <v>-0.42440800000000001</v>
      </c>
      <c r="T4960">
        <v>-0.17704120000000001</v>
      </c>
      <c r="U4960">
        <v>-3.0217130000000001</v>
      </c>
      <c r="V4960">
        <v>-0.12428160000000001</v>
      </c>
      <c r="W4960">
        <v>0.13866779999999901</v>
      </c>
      <c r="X4960">
        <v>0.98250970000000004</v>
      </c>
      <c r="Y4960">
        <v>-0.16933960000000001</v>
      </c>
      <c r="Z4960">
        <v>3.9145520000000003E-2</v>
      </c>
      <c r="AA4960">
        <v>0.98477999999999999</v>
      </c>
      <c r="AB4960">
        <v>25</v>
      </c>
      <c r="AC4960">
        <v>-2.6147999999999998</v>
      </c>
      <c r="AD4960">
        <v>-1.1175424237960001</v>
      </c>
      <c r="AE4960">
        <v>-18.842700000000001</v>
      </c>
      <c r="AF4960">
        <v>-3.2408673636126801</v>
      </c>
      <c r="AG4960">
        <v>-1.1175424237960001</v>
      </c>
      <c r="AH4960">
        <v>18.6787678914522</v>
      </c>
      <c r="AI4960">
        <v>93.373615356073003</v>
      </c>
      <c r="AJ4960">
        <v>99.843135622693296</v>
      </c>
      <c r="AK4960">
        <v>18.9907475440083</v>
      </c>
      <c r="AL4960">
        <v>82.029235031132998</v>
      </c>
      <c r="AM4960">
        <v>97.209284800057901</v>
      </c>
      <c r="AN4960">
        <v>0.99999999272474505</v>
      </c>
    </row>
    <row r="4961" spans="1:40" x14ac:dyDescent="0.25">
      <c r="A4961" t="str">
        <f>"20190304155734575"</f>
        <v>20190304155734575</v>
      </c>
      <c r="B4961" t="str">
        <f>"1551686254570143"</f>
        <v>1551686254570143</v>
      </c>
      <c r="C4961" t="s">
        <v>40</v>
      </c>
      <c r="D4961">
        <v>4.648066</v>
      </c>
      <c r="E4961">
        <v>0.47904269999999999</v>
      </c>
      <c r="F4961" t="s">
        <v>41</v>
      </c>
      <c r="G4961">
        <v>-423.3528</v>
      </c>
      <c r="H4961" s="1">
        <v>-2.7427750000000002E-6</v>
      </c>
      <c r="I4961">
        <v>103.5067</v>
      </c>
      <c r="J4961">
        <v>-421.10640000000001</v>
      </c>
      <c r="K4961">
        <v>1.1175299999999999</v>
      </c>
      <c r="L4961">
        <v>121.2604</v>
      </c>
      <c r="M4961">
        <v>-0.2940797</v>
      </c>
      <c r="N4961">
        <v>-1.486004E-2</v>
      </c>
      <c r="O4961">
        <v>-0.95566530000000005</v>
      </c>
      <c r="P4961">
        <v>-0.17531040000000001</v>
      </c>
      <c r="Q4961">
        <v>0.1250445</v>
      </c>
      <c r="R4961">
        <v>-0.97653999999999996</v>
      </c>
      <c r="S4961">
        <v>-0.3888855</v>
      </c>
      <c r="T4961">
        <v>-0.18806200000000001</v>
      </c>
      <c r="U4961">
        <v>-3.0285489999999999</v>
      </c>
      <c r="V4961">
        <v>-0.1221231</v>
      </c>
      <c r="W4961">
        <v>0.1375141</v>
      </c>
      <c r="X4961">
        <v>0.98294250000000005</v>
      </c>
      <c r="Y4961">
        <v>-0.170008299999999</v>
      </c>
      <c r="Z4961">
        <v>4.2653570000000002E-2</v>
      </c>
      <c r="AA4961">
        <v>0.98451909999999998</v>
      </c>
      <c r="AB4961">
        <v>25</v>
      </c>
      <c r="AC4961">
        <v>-2.2463999999999902</v>
      </c>
      <c r="AD4961">
        <v>-1.1175327427749999</v>
      </c>
      <c r="AE4961">
        <v>-17.753699999999998</v>
      </c>
      <c r="AF4961">
        <v>-3.0625923775753998</v>
      </c>
      <c r="AG4961">
        <v>-1.1175327427749999</v>
      </c>
      <c r="AH4961">
        <v>17.5606799791382</v>
      </c>
      <c r="AI4961">
        <v>93.587297172725897</v>
      </c>
      <c r="AJ4961">
        <v>99.892917166581398</v>
      </c>
      <c r="AK4961">
        <v>17.860734386694801</v>
      </c>
      <c r="AL4961">
        <v>82.095977195402298</v>
      </c>
      <c r="AM4961">
        <v>97.082270868908495</v>
      </c>
      <c r="AN4961">
        <v>1.00000006877933</v>
      </c>
    </row>
    <row r="4962" spans="1:40" x14ac:dyDescent="0.25">
      <c r="A4962" t="str">
        <f>"20190304155734596"</f>
        <v>20190304155734596</v>
      </c>
      <c r="B4962" t="str">
        <f>"1551686254589659"</f>
        <v>1551686254589659</v>
      </c>
      <c r="C4962" t="s">
        <v>40</v>
      </c>
      <c r="D4962">
        <v>4.650766</v>
      </c>
      <c r="E4962">
        <v>0.47992319999999999</v>
      </c>
      <c r="F4962" t="s">
        <v>41</v>
      </c>
      <c r="G4962">
        <v>-423.19200000000001</v>
      </c>
      <c r="H4962" s="1">
        <v>-2.8870559999999999E-6</v>
      </c>
      <c r="I4962">
        <v>103.9024</v>
      </c>
      <c r="J4962">
        <v>-421.16390000000001</v>
      </c>
      <c r="K4962">
        <v>1.1175079999999999</v>
      </c>
      <c r="L4962">
        <v>121.03449999999999</v>
      </c>
      <c r="M4962">
        <v>-0.28418189999999999</v>
      </c>
      <c r="N4962">
        <v>-1.486111E-2</v>
      </c>
      <c r="O4962">
        <v>-0.95865549999999999</v>
      </c>
      <c r="P4962">
        <v>-0.16830429999999999</v>
      </c>
      <c r="Q4962">
        <v>0.1235904</v>
      </c>
      <c r="R4962">
        <v>-0.97795690000000002</v>
      </c>
      <c r="S4962">
        <v>-0.36425780000000002</v>
      </c>
      <c r="T4962">
        <v>-0.19518279999999999</v>
      </c>
      <c r="U4962">
        <v>-3.0316619999999999</v>
      </c>
      <c r="V4962">
        <v>-0.1190205</v>
      </c>
      <c r="W4962">
        <v>0.13612959999999999</v>
      </c>
      <c r="X4962">
        <v>0.98351560000000005</v>
      </c>
      <c r="Y4962">
        <v>-0.16783239999999999</v>
      </c>
      <c r="Z4962">
        <v>4.5048879999999999E-2</v>
      </c>
      <c r="AA4962">
        <v>0.98478569999999999</v>
      </c>
      <c r="AB4962">
        <v>25</v>
      </c>
      <c r="AC4962">
        <v>-2.0280999999999301</v>
      </c>
      <c r="AD4962">
        <v>-1.117510887056</v>
      </c>
      <c r="AE4962">
        <v>-17.132099999999902</v>
      </c>
      <c r="AF4962">
        <v>-2.9124847849448998</v>
      </c>
      <c r="AG4962">
        <v>-1.117510887056</v>
      </c>
      <c r="AH4962">
        <v>16.930961110538501</v>
      </c>
      <c r="AI4962">
        <v>93.721764805145696</v>
      </c>
      <c r="AJ4962">
        <v>99.760562798606003</v>
      </c>
      <c r="AK4962">
        <v>17.215947326005399</v>
      </c>
      <c r="AL4962">
        <v>82.176056078352204</v>
      </c>
      <c r="AM4962">
        <v>96.900116829994801</v>
      </c>
      <c r="AN4962">
        <v>1.00000004142988</v>
      </c>
    </row>
    <row r="4963" spans="1:40" x14ac:dyDescent="0.25">
      <c r="A4963" t="str">
        <f>"20190304155734619"</f>
        <v>20190304155734619</v>
      </c>
      <c r="B4963" t="str">
        <f>"1551686254610155"</f>
        <v>1551686254610155</v>
      </c>
      <c r="C4963" t="s">
        <v>40</v>
      </c>
      <c r="D4963">
        <v>4.6514280000000001</v>
      </c>
      <c r="E4963">
        <v>0.48032469999999999</v>
      </c>
      <c r="F4963" t="s">
        <v>41</v>
      </c>
      <c r="G4963">
        <v>-423.07749999999999</v>
      </c>
      <c r="H4963" s="1">
        <v>-3.094524E-6</v>
      </c>
      <c r="I4963">
        <v>104.4058</v>
      </c>
      <c r="J4963">
        <v>-421.22300000000001</v>
      </c>
      <c r="K4963">
        <v>1.1174759999999999</v>
      </c>
      <c r="L4963">
        <v>120.7914</v>
      </c>
      <c r="M4963">
        <v>-0.2735341</v>
      </c>
      <c r="N4963">
        <v>-1.486065E-2</v>
      </c>
      <c r="O4963">
        <v>-0.96174780000000004</v>
      </c>
      <c r="P4963">
        <v>-0.16001699999999999</v>
      </c>
      <c r="Q4963">
        <v>0.12321989999999899</v>
      </c>
      <c r="R4963">
        <v>-0.97939379999999998</v>
      </c>
      <c r="S4963">
        <v>-0.34906009999999998</v>
      </c>
      <c r="T4963">
        <v>-0.20385110000000001</v>
      </c>
      <c r="U4963">
        <v>-3.033325</v>
      </c>
      <c r="V4963">
        <v>-0.1164346</v>
      </c>
      <c r="W4963">
        <v>0.13581779999999999</v>
      </c>
      <c r="X4963">
        <v>0.98386810000000002</v>
      </c>
      <c r="Y4963">
        <v>-0.1618444</v>
      </c>
      <c r="Z4963">
        <v>4.7992649999999998E-2</v>
      </c>
      <c r="AA4963">
        <v>0.98564859999999999</v>
      </c>
      <c r="AB4963">
        <v>25</v>
      </c>
      <c r="AC4963">
        <v>-1.8544999999999701</v>
      </c>
      <c r="AD4963">
        <v>-1.1174790945239901</v>
      </c>
      <c r="AE4963">
        <v>-16.385599999999901</v>
      </c>
      <c r="AF4963">
        <v>-2.6864195565834201</v>
      </c>
      <c r="AG4963">
        <v>-1.1174790945239901</v>
      </c>
      <c r="AH4963">
        <v>16.193510665281899</v>
      </c>
      <c r="AI4963">
        <v>93.894539217125498</v>
      </c>
      <c r="AJ4963">
        <v>99.419288572141596</v>
      </c>
      <c r="AK4963">
        <v>16.452823381635401</v>
      </c>
      <c r="AL4963">
        <v>82.194087773691507</v>
      </c>
      <c r="AM4963">
        <v>96.749203810861999</v>
      </c>
      <c r="AN4963">
        <v>0.99999996453580398</v>
      </c>
    </row>
    <row r="4964" spans="1:40" x14ac:dyDescent="0.25">
      <c r="A4964" t="str">
        <f>"20190304155734642"</f>
        <v>20190304155734642</v>
      </c>
      <c r="B4964" t="str">
        <f>"1551686254639436"</f>
        <v>1551686254639436</v>
      </c>
      <c r="C4964" t="s">
        <v>40</v>
      </c>
      <c r="D4964">
        <v>4.6481879999999904</v>
      </c>
      <c r="E4964">
        <v>0.49067490000000002</v>
      </c>
      <c r="F4964" t="s">
        <v>41</v>
      </c>
      <c r="G4964">
        <v>-422.9932</v>
      </c>
      <c r="H4964" s="1">
        <v>-3.0176600000000001E-6</v>
      </c>
      <c r="I4964">
        <v>104.2906</v>
      </c>
      <c r="J4964">
        <v>-421.27789999999999</v>
      </c>
      <c r="K4964">
        <v>1.1174409999999999</v>
      </c>
      <c r="L4964">
        <v>120.55459999999999</v>
      </c>
      <c r="M4964">
        <v>-0.26318459999999899</v>
      </c>
      <c r="N4964">
        <v>-1.4858150000000001E-2</v>
      </c>
      <c r="O4964">
        <v>-0.96463120000000002</v>
      </c>
      <c r="P4964">
        <v>-0.15233759999999999</v>
      </c>
      <c r="Q4964">
        <v>0.1236434</v>
      </c>
      <c r="R4964">
        <v>-0.98056390000000004</v>
      </c>
      <c r="S4964">
        <v>-0.32568360000000002</v>
      </c>
      <c r="T4964">
        <v>-0.2055929</v>
      </c>
      <c r="U4964">
        <v>-3.0357970000000001</v>
      </c>
      <c r="V4964">
        <v>-0.1135482</v>
      </c>
      <c r="W4964">
        <v>0.13630439999999999</v>
      </c>
      <c r="X4964">
        <v>0.98413819999999996</v>
      </c>
      <c r="Y4964">
        <v>-0.1588339</v>
      </c>
      <c r="Z4964">
        <v>4.8783699999999999E-2</v>
      </c>
      <c r="AA4964">
        <v>0.98609939999999996</v>
      </c>
      <c r="AB4964">
        <v>25</v>
      </c>
      <c r="AC4964">
        <v>-1.71530000000001</v>
      </c>
      <c r="AD4964">
        <v>-1.11744401766</v>
      </c>
      <c r="AE4964">
        <v>-16.2639999999999</v>
      </c>
      <c r="AF4964">
        <v>-2.6138886258978999</v>
      </c>
      <c r="AG4964">
        <v>-1.11744401766</v>
      </c>
      <c r="AH4964">
        <v>16.066970930004601</v>
      </c>
      <c r="AI4964">
        <v>93.927001706934604</v>
      </c>
      <c r="AJ4964">
        <v>99.240329206748001</v>
      </c>
      <c r="AK4964">
        <v>16.316514632323099</v>
      </c>
      <c r="AL4964">
        <v>82.165946534055806</v>
      </c>
      <c r="AM4964">
        <v>96.581587996199303</v>
      </c>
      <c r="AN4964">
        <v>1.0000000399409099</v>
      </c>
    </row>
    <row r="4965" spans="1:40" x14ac:dyDescent="0.25">
      <c r="A4965" t="str">
        <f>"20190304155734663"</f>
        <v>20190304155734663</v>
      </c>
      <c r="B4965" t="str">
        <f>"1551686254659931"</f>
        <v>1551686254659931</v>
      </c>
      <c r="C4965" t="s">
        <v>40</v>
      </c>
      <c r="D4965">
        <v>4.6618700000000004</v>
      </c>
      <c r="E4965">
        <v>0.4909346</v>
      </c>
      <c r="F4965" t="s">
        <v>41</v>
      </c>
      <c r="G4965">
        <v>-423.37599999999998</v>
      </c>
      <c r="H4965" s="1">
        <v>-2.9728710000000002E-6</v>
      </c>
      <c r="I4965">
        <v>103.9804</v>
      </c>
      <c r="J4965">
        <v>-421.32859999999999</v>
      </c>
      <c r="K4965">
        <v>1.1173930000000001</v>
      </c>
      <c r="L4965">
        <v>120.325</v>
      </c>
      <c r="M4965">
        <v>-0.25319409999999998</v>
      </c>
      <c r="N4965">
        <v>-1.4852819999999999E-2</v>
      </c>
      <c r="O4965">
        <v>-0.96730179999999999</v>
      </c>
      <c r="P4965">
        <v>-0.1446094</v>
      </c>
      <c r="Q4965">
        <v>0.12439450000000001</v>
      </c>
      <c r="R4965">
        <v>-0.98163900000000004</v>
      </c>
      <c r="S4965">
        <v>-0.38302609999999998</v>
      </c>
      <c r="T4965">
        <v>-0.20399329999999999</v>
      </c>
      <c r="U4965">
        <v>-3.0256810000000001</v>
      </c>
      <c r="V4965">
        <v>-0.1110886</v>
      </c>
      <c r="W4965">
        <v>0.13710929999999999</v>
      </c>
      <c r="X4965">
        <v>0.98430709999999999</v>
      </c>
      <c r="Y4965">
        <v>-0.12979399999999999</v>
      </c>
      <c r="Z4965">
        <v>4.8875349999999998E-2</v>
      </c>
      <c r="AA4965">
        <v>0.99033559999999998</v>
      </c>
      <c r="AB4965">
        <v>25</v>
      </c>
      <c r="AC4965">
        <v>-2.0473999999999801</v>
      </c>
      <c r="AD4965">
        <v>-1.1173959728709999</v>
      </c>
      <c r="AE4965">
        <v>-16.3446</v>
      </c>
      <c r="AF4965">
        <v>-2.1482546675670702</v>
      </c>
      <c r="AG4965">
        <v>-1.1173959728709999</v>
      </c>
      <c r="AH4965">
        <v>16.255546168980999</v>
      </c>
      <c r="AI4965">
        <v>93.898499588912202</v>
      </c>
      <c r="AJ4965">
        <v>97.528309172063601</v>
      </c>
      <c r="AK4965">
        <v>16.434912629180101</v>
      </c>
      <c r="AL4965">
        <v>82.119392184283797</v>
      </c>
      <c r="AM4965">
        <v>96.439137400936602</v>
      </c>
      <c r="AN4965">
        <v>1.00000005215342</v>
      </c>
    </row>
    <row r="4966" spans="1:40" x14ac:dyDescent="0.25">
      <c r="A4966" t="str">
        <f>"20190304155734686"</f>
        <v>20190304155734686</v>
      </c>
      <c r="B4966" t="str">
        <f>"1551686254679451"</f>
        <v>1551686254679451</v>
      </c>
      <c r="C4966" t="s">
        <v>40</v>
      </c>
      <c r="D4966">
        <v>4.6704460000000001</v>
      </c>
      <c r="E4966">
        <v>0.4918032</v>
      </c>
      <c r="F4966" t="s">
        <v>41</v>
      </c>
      <c r="G4966">
        <v>-423.3263</v>
      </c>
      <c r="H4966" s="1">
        <v>-2.793056E-6</v>
      </c>
      <c r="I4966">
        <v>103.628</v>
      </c>
      <c r="J4966">
        <v>-421.37950000000001</v>
      </c>
      <c r="K4966">
        <v>1.1173169999999999</v>
      </c>
      <c r="L4966">
        <v>120.0822</v>
      </c>
      <c r="M4966">
        <v>-0.24270410000000001</v>
      </c>
      <c r="N4966">
        <v>-1.484341E-2</v>
      </c>
      <c r="O4966">
        <v>-0.96998680000000004</v>
      </c>
      <c r="P4966">
        <v>-0.13535849999999999</v>
      </c>
      <c r="Q4966">
        <v>0.12432319999999999</v>
      </c>
      <c r="R4966">
        <v>-0.9829658</v>
      </c>
      <c r="S4966">
        <v>-0.36233520000000002</v>
      </c>
      <c r="T4966">
        <v>-0.20266799999999999</v>
      </c>
      <c r="U4966">
        <v>-3.0284270000000002</v>
      </c>
      <c r="V4966">
        <v>-0.10967200000000001</v>
      </c>
      <c r="W4966">
        <v>0.137075799999999</v>
      </c>
      <c r="X4966">
        <v>0.98447050000000003</v>
      </c>
      <c r="Y4966">
        <v>-0.1258339</v>
      </c>
      <c r="Z4966">
        <v>4.8702580000000002E-2</v>
      </c>
      <c r="AA4966">
        <v>0.99085520000000005</v>
      </c>
      <c r="AB4966">
        <v>25</v>
      </c>
      <c r="AC4966">
        <v>-1.9467999999999901</v>
      </c>
      <c r="AD4966">
        <v>-1.1173197930559999</v>
      </c>
      <c r="AE4966">
        <v>-16.4542</v>
      </c>
      <c r="AF4966">
        <v>-2.0958328384238101</v>
      </c>
      <c r="AG4966">
        <v>-1.1173197930559999</v>
      </c>
      <c r="AH4966">
        <v>16.3602669256681</v>
      </c>
      <c r="AI4966">
        <v>93.875360366170597</v>
      </c>
      <c r="AJ4966">
        <v>97.300118216681994</v>
      </c>
      <c r="AK4966">
        <v>16.531764959788202</v>
      </c>
      <c r="AL4966">
        <v>82.121329030210603</v>
      </c>
      <c r="AM4966">
        <v>96.356655670882802</v>
      </c>
      <c r="AN4966">
        <v>0.99999994394994296</v>
      </c>
    </row>
    <row r="4967" spans="1:40" x14ac:dyDescent="0.25">
      <c r="A4967" t="str">
        <f>"20190304155734708"</f>
        <v>20190304155734708</v>
      </c>
      <c r="B4967" t="str">
        <f>"1551686254699949"</f>
        <v>1551686254699949</v>
      </c>
      <c r="C4967" t="s">
        <v>40</v>
      </c>
      <c r="D4967">
        <v>4.6919909999999998</v>
      </c>
      <c r="E4967">
        <v>0.49274220000000002</v>
      </c>
      <c r="F4967" t="s">
        <v>41</v>
      </c>
      <c r="G4967">
        <v>-423.26060000000001</v>
      </c>
      <c r="H4967" s="1">
        <v>-2.6488369999999999E-6</v>
      </c>
      <c r="I4967">
        <v>103.3599</v>
      </c>
      <c r="J4967">
        <v>-421.42619999999999</v>
      </c>
      <c r="K4967">
        <v>1.1172280000000001</v>
      </c>
      <c r="L4967">
        <v>119.8485</v>
      </c>
      <c r="M4967">
        <v>-0.2327166</v>
      </c>
      <c r="N4967">
        <v>-1.4830100000000001E-2</v>
      </c>
      <c r="O4967">
        <v>-0.9724315</v>
      </c>
      <c r="P4967">
        <v>-0.12707689999999999</v>
      </c>
      <c r="Q4967">
        <v>0.1261786</v>
      </c>
      <c r="R4967">
        <v>-0.9838346</v>
      </c>
      <c r="S4967">
        <v>-0.34091189999999999</v>
      </c>
      <c r="T4967">
        <v>-0.2024947</v>
      </c>
      <c r="U4967">
        <v>-3.03064</v>
      </c>
      <c r="V4967">
        <v>-0.107778</v>
      </c>
      <c r="W4967">
        <v>0.13897519999999999</v>
      </c>
      <c r="X4967">
        <v>0.98441339999999999</v>
      </c>
      <c r="Y4967">
        <v>-0.1226308</v>
      </c>
      <c r="Z4967">
        <v>4.8874679999999997E-2</v>
      </c>
      <c r="AA4967">
        <v>0.99124820000000002</v>
      </c>
      <c r="AB4967">
        <v>25</v>
      </c>
      <c r="AC4967">
        <v>-1.83440000000001</v>
      </c>
      <c r="AD4967">
        <v>-1.1172306488370001</v>
      </c>
      <c r="AE4967">
        <v>-16.488600000000002</v>
      </c>
      <c r="AF4967">
        <v>-2.0442975955515799</v>
      </c>
      <c r="AG4967">
        <v>-1.1172306488370001</v>
      </c>
      <c r="AH4967">
        <v>16.388418827713402</v>
      </c>
      <c r="AI4967">
        <v>93.870030847856299</v>
      </c>
      <c r="AJ4967">
        <v>97.110369610738502</v>
      </c>
      <c r="AK4967">
        <v>16.5531757875771</v>
      </c>
      <c r="AL4967">
        <v>82.011449944102495</v>
      </c>
      <c r="AM4967">
        <v>96.248113483859498</v>
      </c>
      <c r="AN4967">
        <v>0.99999997279929898</v>
      </c>
    </row>
    <row r="4968" spans="1:40" x14ac:dyDescent="0.25">
      <c r="A4968" t="str">
        <f>"20190304155734733"</f>
        <v>20190304155734733</v>
      </c>
      <c r="B4968" t="str">
        <f>"1551686254729228"</f>
        <v>1551686254729228</v>
      </c>
      <c r="C4968" t="s">
        <v>40</v>
      </c>
      <c r="D4968">
        <v>4.7455749999999997</v>
      </c>
      <c r="E4968">
        <v>0.49315369999999997</v>
      </c>
      <c r="F4968" t="s">
        <v>41</v>
      </c>
      <c r="G4968">
        <v>-423.26920000000001</v>
      </c>
      <c r="H4968" s="1">
        <v>-2.293473E-6</v>
      </c>
      <c r="I4968">
        <v>102.6033</v>
      </c>
      <c r="J4968">
        <v>-421.47320000000002</v>
      </c>
      <c r="K4968">
        <v>1.1170929999999999</v>
      </c>
      <c r="L4968">
        <v>119.5992</v>
      </c>
      <c r="M4968">
        <v>-0.2222479</v>
      </c>
      <c r="N4968">
        <v>-1.4809869999999999E-2</v>
      </c>
      <c r="O4968">
        <v>-0.97487800000000002</v>
      </c>
      <c r="P4968">
        <v>-0.1184021</v>
      </c>
      <c r="Q4968">
        <v>0.12877249999999901</v>
      </c>
      <c r="R4968">
        <v>-0.98458080000000003</v>
      </c>
      <c r="S4968">
        <v>-0.32409670000000002</v>
      </c>
      <c r="T4968">
        <v>-0.1964689</v>
      </c>
      <c r="U4968">
        <v>-3.0326390000000001</v>
      </c>
      <c r="V4968">
        <v>-0.105785</v>
      </c>
      <c r="W4968">
        <v>0.1416172</v>
      </c>
      <c r="X4968">
        <v>0.98425300000000004</v>
      </c>
      <c r="Y4968">
        <v>-0.1174581</v>
      </c>
      <c r="Z4968">
        <v>4.7226310000000001E-2</v>
      </c>
      <c r="AA4968">
        <v>0.99195429999999996</v>
      </c>
      <c r="AB4968">
        <v>25</v>
      </c>
      <c r="AC4968">
        <v>-1.79599999999999</v>
      </c>
      <c r="AD4968">
        <v>-1.1170952934729901</v>
      </c>
      <c r="AE4968">
        <v>-16.995899999999899</v>
      </c>
      <c r="AF4968">
        <v>-2.0180221309164001</v>
      </c>
      <c r="AG4968">
        <v>-1.1170952934729901</v>
      </c>
      <c r="AH4968">
        <v>16.897748950240299</v>
      </c>
      <c r="AI4968">
        <v>93.755659433350601</v>
      </c>
      <c r="AJ4968">
        <v>96.810322098863907</v>
      </c>
      <c r="AK4968">
        <v>17.054449120417601</v>
      </c>
      <c r="AL4968">
        <v>81.858561991690294</v>
      </c>
      <c r="AM4968">
        <v>96.134455928300497</v>
      </c>
      <c r="AN4968">
        <v>0.99999993278491695</v>
      </c>
    </row>
    <row r="4969" spans="1:40" x14ac:dyDescent="0.25">
      <c r="A4969" t="str">
        <f>"20190304155734754"</f>
        <v>20190304155734754</v>
      </c>
      <c r="B4969" t="str">
        <f>"1551686254749724"</f>
        <v>1551686254749724</v>
      </c>
      <c r="C4969" t="s">
        <v>40</v>
      </c>
      <c r="D4969">
        <v>4.6877789999999999</v>
      </c>
      <c r="E4969">
        <v>0.50565590000000005</v>
      </c>
      <c r="F4969" t="s">
        <v>41</v>
      </c>
      <c r="G4969">
        <v>-423.27929999999998</v>
      </c>
      <c r="H4969" s="1">
        <v>-1.7658619999999999E-6</v>
      </c>
      <c r="I4969">
        <v>101.48139999999999</v>
      </c>
      <c r="J4969">
        <v>-421.51499999999999</v>
      </c>
      <c r="K4969">
        <v>1.11693</v>
      </c>
      <c r="L4969">
        <v>119.36539999999999</v>
      </c>
      <c r="M4969">
        <v>-0.2126373</v>
      </c>
      <c r="N4969">
        <v>-1.4785039999999999E-2</v>
      </c>
      <c r="O4969">
        <v>-0.97701950000000004</v>
      </c>
      <c r="P4969">
        <v>-0.11170579999999999</v>
      </c>
      <c r="Q4969">
        <v>0.128692</v>
      </c>
      <c r="R4969">
        <v>-0.98537330000000001</v>
      </c>
      <c r="S4969">
        <v>-0.30255130000000002</v>
      </c>
      <c r="T4969">
        <v>-0.18713360000000001</v>
      </c>
      <c r="U4969">
        <v>-3.0350649999999999</v>
      </c>
      <c r="V4969">
        <v>-0.1027208</v>
      </c>
      <c r="W4969">
        <v>0.14160919999999999</v>
      </c>
      <c r="X4969">
        <v>0.98457870000000003</v>
      </c>
      <c r="Y4969">
        <v>-0.11472110000000001</v>
      </c>
      <c r="Z4969">
        <v>4.4482170000000001E-2</v>
      </c>
      <c r="AA4969">
        <v>0.99240130000000004</v>
      </c>
      <c r="AB4969">
        <v>25</v>
      </c>
      <c r="AC4969">
        <v>-1.76429999999999</v>
      </c>
      <c r="AD4969">
        <v>-1.1169317658619999</v>
      </c>
      <c r="AE4969">
        <v>-17.884</v>
      </c>
      <c r="AF4969">
        <v>-2.0712756999404198</v>
      </c>
      <c r="AG4969">
        <v>-1.1169317658619999</v>
      </c>
      <c r="AH4969">
        <v>17.781432385710701</v>
      </c>
      <c r="AI4969">
        <v>93.570206296896004</v>
      </c>
      <c r="AJ4969">
        <v>96.6441735092302</v>
      </c>
      <c r="AK4969">
        <v>17.936472821665799</v>
      </c>
      <c r="AL4969">
        <v>81.859025348944002</v>
      </c>
      <c r="AM4969">
        <v>95.956103728025795</v>
      </c>
      <c r="AN4969">
        <v>0.99999997238548399</v>
      </c>
    </row>
    <row r="4970" spans="1:40" x14ac:dyDescent="0.25">
      <c r="A4970" t="str">
        <f>"20190304155734776"</f>
        <v>20190304155734776</v>
      </c>
      <c r="B4970" t="str">
        <f>"1551686254770223"</f>
        <v>1551686254770223</v>
      </c>
      <c r="C4970" t="s">
        <v>40</v>
      </c>
      <c r="D4970">
        <v>4.7332859999999997</v>
      </c>
      <c r="E4970">
        <v>0.50742310000000002</v>
      </c>
      <c r="F4970" t="s">
        <v>41</v>
      </c>
      <c r="G4970">
        <v>-423.82769999999999</v>
      </c>
      <c r="H4970" s="1">
        <v>-1.6976920000000001E-6</v>
      </c>
      <c r="I4970">
        <v>101.02849999999999</v>
      </c>
      <c r="J4970">
        <v>-421.55529999999999</v>
      </c>
      <c r="K4970">
        <v>1.1167480000000001</v>
      </c>
      <c r="L4970">
        <v>119.1283</v>
      </c>
      <c r="M4970">
        <v>-0.2030903</v>
      </c>
      <c r="N4970">
        <v>-1.475659E-2</v>
      </c>
      <c r="O4970">
        <v>-0.97904899999999995</v>
      </c>
      <c r="P4970">
        <v>-0.1063506</v>
      </c>
      <c r="Q4970">
        <v>0.12798769999999901</v>
      </c>
      <c r="R4970">
        <v>-0.98605730000000003</v>
      </c>
      <c r="S4970">
        <v>-0.38156129999999999</v>
      </c>
      <c r="T4970">
        <v>-0.1842792</v>
      </c>
      <c r="U4970">
        <v>-3.0253450000000002</v>
      </c>
      <c r="V4970">
        <v>-9.8397109999999996E-2</v>
      </c>
      <c r="W4970">
        <v>0.14099600000000001</v>
      </c>
      <c r="X4970">
        <v>0.98510819999999999</v>
      </c>
      <c r="Y4970">
        <v>-7.9073320000000002E-2</v>
      </c>
      <c r="Z4970">
        <v>4.4034070000000002E-2</v>
      </c>
      <c r="AA4970">
        <v>0.9958958</v>
      </c>
      <c r="AB4970">
        <v>25</v>
      </c>
      <c r="AC4970">
        <v>-2.2724000000000002</v>
      </c>
      <c r="AD4970">
        <v>-1.1167496976919999</v>
      </c>
      <c r="AE4970">
        <v>-18.099799999999998</v>
      </c>
      <c r="AF4970">
        <v>-1.44584194298139</v>
      </c>
      <c r="AG4970">
        <v>-1.1167496976919999</v>
      </c>
      <c r="AH4970">
        <v>18.1161749604845</v>
      </c>
      <c r="AI4970">
        <v>93.516312788324001</v>
      </c>
      <c r="AJ4970">
        <v>94.563072761384404</v>
      </c>
      <c r="AK4970">
        <v>18.2080582163576</v>
      </c>
      <c r="AL4970">
        <v>81.894515555355795</v>
      </c>
      <c r="AM4970">
        <v>95.704044952425804</v>
      </c>
      <c r="AN4970">
        <v>1.00000001448979</v>
      </c>
    </row>
    <row r="4971" spans="1:40" x14ac:dyDescent="0.25">
      <c r="A4971" t="str">
        <f>"20190304155734797"</f>
        <v>20190304155734797</v>
      </c>
      <c r="B4971" t="str">
        <f>"1551686254789740"</f>
        <v>1551686254789740</v>
      </c>
      <c r="C4971" t="s">
        <v>40</v>
      </c>
      <c r="D4971">
        <v>4.7544659999999999</v>
      </c>
      <c r="E4971">
        <v>0.50734619999999997</v>
      </c>
      <c r="F4971" t="s">
        <v>41</v>
      </c>
      <c r="G4971">
        <v>-423.84539999999998</v>
      </c>
      <c r="H4971" s="1">
        <v>-1.603877E-6</v>
      </c>
      <c r="I4971">
        <v>100.8201</v>
      </c>
      <c r="J4971">
        <v>-421.59199999999998</v>
      </c>
      <c r="K4971">
        <v>1.116574</v>
      </c>
      <c r="L4971">
        <v>118.9003</v>
      </c>
      <c r="M4971">
        <v>-0.19412479999999999</v>
      </c>
      <c r="N4971">
        <v>-1.472797E-2</v>
      </c>
      <c r="O4971">
        <v>-0.98086640000000003</v>
      </c>
      <c r="P4971">
        <v>-0.1010759</v>
      </c>
      <c r="Q4971">
        <v>0.12853410000000001</v>
      </c>
      <c r="R4971">
        <v>-0.98654129999999995</v>
      </c>
      <c r="S4971">
        <v>-0.37844850000000002</v>
      </c>
      <c r="T4971">
        <v>-0.18455060000000001</v>
      </c>
      <c r="U4971">
        <v>-3.0255580000000002</v>
      </c>
      <c r="V4971">
        <v>-9.4579259999999998E-2</v>
      </c>
      <c r="W4971">
        <v>0.14161869999999999</v>
      </c>
      <c r="X4971">
        <v>0.98539270000000001</v>
      </c>
      <c r="Y4971">
        <v>-7.0974010000000004E-2</v>
      </c>
      <c r="Z4971">
        <v>4.4320680000000001E-2</v>
      </c>
      <c r="AA4971">
        <v>0.99649299999999996</v>
      </c>
      <c r="AB4971">
        <v>25</v>
      </c>
      <c r="AC4971">
        <v>-2.2533999999999899</v>
      </c>
      <c r="AD4971">
        <v>-1.1165756038770001</v>
      </c>
      <c r="AE4971">
        <v>-18.080200000000001</v>
      </c>
      <c r="AF4971">
        <v>-1.2948089270601899</v>
      </c>
      <c r="AG4971">
        <v>-1.1165756038770001</v>
      </c>
      <c r="AH4971">
        <v>18.105673363205199</v>
      </c>
      <c r="AI4971">
        <v>93.519990581376703</v>
      </c>
      <c r="AJ4971">
        <v>94.090485977944397</v>
      </c>
      <c r="AK4971">
        <v>18.1862222347536</v>
      </c>
      <c r="AL4971">
        <v>81.858475174049701</v>
      </c>
      <c r="AM4971">
        <v>95.482528083725001</v>
      </c>
      <c r="AN4971">
        <v>0.99999993291256095</v>
      </c>
    </row>
    <row r="4972" spans="1:40" x14ac:dyDescent="0.25">
      <c r="A4972" t="str">
        <f>"20190304155734814"</f>
        <v>20190304155734814</v>
      </c>
      <c r="B4972" t="str">
        <f>"1551686254810235"</f>
        <v>1551686254810235</v>
      </c>
      <c r="C4972" t="s">
        <v>40</v>
      </c>
      <c r="D4972">
        <v>4.7772040000000002</v>
      </c>
      <c r="E4972">
        <v>0.50830659999999905</v>
      </c>
      <c r="F4972" t="s">
        <v>41</v>
      </c>
      <c r="G4972">
        <v>-423.72980000000001</v>
      </c>
      <c r="H4972" s="1">
        <v>-1.6509989999999999E-6</v>
      </c>
      <c r="I4972">
        <v>100.98480000000001</v>
      </c>
      <c r="J4972">
        <v>-421.61810000000003</v>
      </c>
      <c r="K4972">
        <v>1.1164400000000001</v>
      </c>
      <c r="L4972">
        <v>118.7311</v>
      </c>
      <c r="M4972">
        <v>-0.18762419999999999</v>
      </c>
      <c r="N4972">
        <v>-1.4705589999999999E-2</v>
      </c>
      <c r="O4972">
        <v>-0.98213090000000003</v>
      </c>
      <c r="P4972">
        <v>-9.6007800000000004E-2</v>
      </c>
      <c r="Q4972">
        <v>0.1290319</v>
      </c>
      <c r="R4972">
        <v>-0.98698220000000003</v>
      </c>
      <c r="S4972">
        <v>-0.36138920000000002</v>
      </c>
      <c r="T4972">
        <v>-0.18875059999999999</v>
      </c>
      <c r="U4972">
        <v>-3.0285030000000002</v>
      </c>
      <c r="V4972">
        <v>-9.3058089999999996E-2</v>
      </c>
      <c r="W4972">
        <v>0.14214969999999999</v>
      </c>
      <c r="X4972">
        <v>0.98546109999999998</v>
      </c>
      <c r="Y4972">
        <v>-7.0024890000000006E-2</v>
      </c>
      <c r="Z4972">
        <v>4.5745300000000003E-2</v>
      </c>
      <c r="AA4972">
        <v>0.99649580000000004</v>
      </c>
      <c r="AB4972">
        <v>25</v>
      </c>
      <c r="AC4972">
        <v>-2.1116999999999799</v>
      </c>
      <c r="AD4972">
        <v>-1.1164416509989901</v>
      </c>
      <c r="AE4972">
        <v>-17.746299999999898</v>
      </c>
      <c r="AF4972">
        <v>-1.2509233778395701</v>
      </c>
      <c r="AG4972">
        <v>-1.1164416509989901</v>
      </c>
      <c r="AH4972">
        <v>17.758019730824302</v>
      </c>
      <c r="AI4972">
        <v>93.588565401367205</v>
      </c>
      <c r="AJ4972">
        <v>94.029414994429899</v>
      </c>
      <c r="AK4972">
        <v>17.836998514819101</v>
      </c>
      <c r="AL4972">
        <v>81.827740417937605</v>
      </c>
      <c r="AM4972">
        <v>95.394501808982398</v>
      </c>
      <c r="AN4972">
        <v>0.99999996246887302</v>
      </c>
    </row>
    <row r="4973" spans="1:40" x14ac:dyDescent="0.25">
      <c r="A4973" t="str">
        <f>"20190304155734832"</f>
        <v>20190304155734832</v>
      </c>
      <c r="B4973" t="str">
        <f>"1551686254829756"</f>
        <v>1551686254829756</v>
      </c>
      <c r="C4973" t="s">
        <v>40</v>
      </c>
      <c r="D4973">
        <v>4.8119180000000004</v>
      </c>
      <c r="E4973">
        <v>0.509629</v>
      </c>
      <c r="F4973" t="s">
        <v>41</v>
      </c>
      <c r="G4973">
        <v>-423.70389999999998</v>
      </c>
      <c r="H4973" s="1">
        <v>-1.596805E-6</v>
      </c>
      <c r="I4973">
        <v>100.8848</v>
      </c>
      <c r="J4973">
        <v>-421.64769999999999</v>
      </c>
      <c r="K4973">
        <v>1.1162620000000001</v>
      </c>
      <c r="L4973">
        <v>118.5307</v>
      </c>
      <c r="M4973">
        <v>-0.18013799999999999</v>
      </c>
      <c r="N4973">
        <v>-1.4675860000000001E-2</v>
      </c>
      <c r="O4973">
        <v>-0.98353179999999996</v>
      </c>
      <c r="P4973">
        <v>-9.1633160000000005E-2</v>
      </c>
      <c r="Q4973">
        <v>0.1298918</v>
      </c>
      <c r="R4973">
        <v>-0.98728499999999997</v>
      </c>
      <c r="S4973">
        <v>-0.354126</v>
      </c>
      <c r="T4973">
        <v>-0.18954670000000001</v>
      </c>
      <c r="U4973">
        <v>-3.0299070000000001</v>
      </c>
      <c r="V4973">
        <v>-8.9842679999999994E-2</v>
      </c>
      <c r="W4973">
        <v>0.143069</v>
      </c>
      <c r="X4973">
        <v>0.98562649999999996</v>
      </c>
      <c r="Y4973">
        <v>-6.4840850000000005E-2</v>
      </c>
      <c r="Z4973">
        <v>4.6139649999999997E-2</v>
      </c>
      <c r="AA4973">
        <v>0.99682839999999995</v>
      </c>
      <c r="AB4973">
        <v>24</v>
      </c>
      <c r="AC4973">
        <v>-2.0561999999999898</v>
      </c>
      <c r="AD4973">
        <v>-1.1162635968050001</v>
      </c>
      <c r="AE4973">
        <v>-17.645899999999902</v>
      </c>
      <c r="AF4973">
        <v>-1.1519357021268499</v>
      </c>
      <c r="AG4973">
        <v>-1.1162635968050001</v>
      </c>
      <c r="AH4973">
        <v>17.6578985664726</v>
      </c>
      <c r="AI4973">
        <v>93.609550568199595</v>
      </c>
      <c r="AJ4973">
        <v>93.732474937968902</v>
      </c>
      <c r="AK4973">
        <v>17.730605800795999</v>
      </c>
      <c r="AL4973">
        <v>81.774524977207903</v>
      </c>
      <c r="AM4973">
        <v>95.208281384742804</v>
      </c>
      <c r="AN4973">
        <v>1.00000002170641</v>
      </c>
    </row>
    <row r="4974" spans="1:40" x14ac:dyDescent="0.25">
      <c r="A4974" t="str">
        <f>"20190304155734855"</f>
        <v>20190304155734855</v>
      </c>
      <c r="B4974" t="str">
        <f>"1551686254850253"</f>
        <v>1551686254850253</v>
      </c>
      <c r="C4974" t="s">
        <v>40</v>
      </c>
      <c r="D4974">
        <v>4.8435620000000004</v>
      </c>
      <c r="E4974">
        <v>0.51083250000000002</v>
      </c>
      <c r="F4974" t="s">
        <v>41</v>
      </c>
      <c r="G4974">
        <v>-423.74329999999998</v>
      </c>
      <c r="H4974" s="1">
        <v>-1.4241259999999999E-6</v>
      </c>
      <c r="I4974">
        <v>100.4973</v>
      </c>
      <c r="J4974">
        <v>-421.6814</v>
      </c>
      <c r="K4974">
        <v>1.1160190000000001</v>
      </c>
      <c r="L4974">
        <v>118.2897</v>
      </c>
      <c r="M4974">
        <v>-0.1714676</v>
      </c>
      <c r="N4974">
        <v>-1.463456E-2</v>
      </c>
      <c r="O4974">
        <v>-0.98508130000000005</v>
      </c>
      <c r="P4974">
        <v>-8.5726810000000001E-2</v>
      </c>
      <c r="Q4974">
        <v>0.13008230000000001</v>
      </c>
      <c r="R4974">
        <v>-0.98779050000000002</v>
      </c>
      <c r="S4974">
        <v>-0.35217290000000001</v>
      </c>
      <c r="T4974">
        <v>-0.18759500000000001</v>
      </c>
      <c r="U4974">
        <v>-3.030624</v>
      </c>
      <c r="V4974">
        <v>-8.6963849999999995E-2</v>
      </c>
      <c r="W4974">
        <v>0.143314</v>
      </c>
      <c r="X4974">
        <v>0.98584910000000003</v>
      </c>
      <c r="Y4974">
        <v>-5.6712140000000001E-2</v>
      </c>
      <c r="Z4974">
        <v>4.569521E-2</v>
      </c>
      <c r="AA4974">
        <v>0.99734429999999996</v>
      </c>
      <c r="AB4974">
        <v>24</v>
      </c>
      <c r="AC4974">
        <v>-2.0618999999999801</v>
      </c>
      <c r="AD4974">
        <v>-1.1160204241259899</v>
      </c>
      <c r="AE4974">
        <v>-17.792400000000001</v>
      </c>
      <c r="AF4974">
        <v>-1.0158462097251499</v>
      </c>
      <c r="AG4974">
        <v>-1.1160204241259899</v>
      </c>
      <c r="AH4974">
        <v>17.813265111461899</v>
      </c>
      <c r="AI4974">
        <v>93.579157186058396</v>
      </c>
      <c r="AJ4974">
        <v>93.263900663100102</v>
      </c>
      <c r="AK4974">
        <v>17.877076356051798</v>
      </c>
      <c r="AL4974">
        <v>81.760341425392298</v>
      </c>
      <c r="AM4974">
        <v>95.041134172841396</v>
      </c>
      <c r="AN4974">
        <v>1.00000003088681</v>
      </c>
    </row>
    <row r="4975" spans="1:40" x14ac:dyDescent="0.25">
      <c r="A4975" t="str">
        <f>"20190304155734876"</f>
        <v>20190304155734876</v>
      </c>
      <c r="B4975" t="str">
        <f>"1551686254869772"</f>
        <v>1551686254869772</v>
      </c>
      <c r="C4975" t="s">
        <v>40</v>
      </c>
      <c r="D4975">
        <v>4.9008589999999996</v>
      </c>
      <c r="E4975">
        <v>0.51145959999999902</v>
      </c>
      <c r="F4975" t="s">
        <v>41</v>
      </c>
      <c r="G4975">
        <v>-423.69510000000002</v>
      </c>
      <c r="H4975" s="1">
        <v>-1.4502830000000001E-6</v>
      </c>
      <c r="I4975">
        <v>100.57980000000001</v>
      </c>
      <c r="J4975">
        <v>-421.71230000000003</v>
      </c>
      <c r="K4975">
        <v>1.115764</v>
      </c>
      <c r="L4975">
        <v>118.05800000000001</v>
      </c>
      <c r="M4975">
        <v>-0.16345489999999999</v>
      </c>
      <c r="N4975">
        <v>-1.4591969999999999E-2</v>
      </c>
      <c r="O4975">
        <v>-0.98644290000000001</v>
      </c>
      <c r="P4975">
        <v>-8.0496559999999995E-2</v>
      </c>
      <c r="Q4975">
        <v>0.12934229999999999</v>
      </c>
      <c r="R4975">
        <v>-0.98832719999999996</v>
      </c>
      <c r="S4975">
        <v>-0.34478760000000003</v>
      </c>
      <c r="T4975">
        <v>-0.19108749999999999</v>
      </c>
      <c r="U4975">
        <v>-3.0323329999999999</v>
      </c>
      <c r="V4975">
        <v>-8.4082270000000001E-2</v>
      </c>
      <c r="W4975">
        <v>0.14262729999999901</v>
      </c>
      <c r="X4975">
        <v>0.98619849999999998</v>
      </c>
      <c r="Y4975">
        <v>-5.1067080000000001E-2</v>
      </c>
      <c r="Z4975">
        <v>4.6955219999999999E-2</v>
      </c>
      <c r="AA4975">
        <v>0.9975908</v>
      </c>
      <c r="AB4975">
        <v>24</v>
      </c>
      <c r="AC4975">
        <v>-1.9827999999999899</v>
      </c>
      <c r="AD4975">
        <v>-1.1157654502829999</v>
      </c>
      <c r="AE4975">
        <v>-17.478199999999902</v>
      </c>
      <c r="AF4975">
        <v>-0.89746347417108197</v>
      </c>
      <c r="AG4975">
        <v>-1.1157654502829999</v>
      </c>
      <c r="AH4975">
        <v>17.496817192967001</v>
      </c>
      <c r="AI4975">
        <v>93.644012087939799</v>
      </c>
      <c r="AJ4975">
        <v>92.936296600774597</v>
      </c>
      <c r="AK4975">
        <v>17.555312162181</v>
      </c>
      <c r="AL4975">
        <v>81.800093977811102</v>
      </c>
      <c r="AM4975">
        <v>94.873194146617806</v>
      </c>
      <c r="AN4975">
        <v>0.99999992811794303</v>
      </c>
    </row>
    <row r="4976" spans="1:40" x14ac:dyDescent="0.25">
      <c r="A4976" t="str">
        <f>"20190304155734900"</f>
        <v>20190304155734900</v>
      </c>
      <c r="B4976" t="str">
        <f>"1551686254890271"</f>
        <v>1551686254890271</v>
      </c>
      <c r="C4976" t="s">
        <v>40</v>
      </c>
      <c r="D4976">
        <v>4.9307939999999997</v>
      </c>
      <c r="E4976">
        <v>0.51196399999999997</v>
      </c>
      <c r="F4976" t="s">
        <v>41</v>
      </c>
      <c r="G4976">
        <v>-423.6112</v>
      </c>
      <c r="H4976" s="1">
        <v>-1.553821E-6</v>
      </c>
      <c r="I4976">
        <v>100.846</v>
      </c>
      <c r="J4976">
        <v>-421.74259999999998</v>
      </c>
      <c r="K4976">
        <v>1.1154949999999999</v>
      </c>
      <c r="L4976">
        <v>117.81829999999999</v>
      </c>
      <c r="M4976">
        <v>-0.15552289999999999</v>
      </c>
      <c r="N4976">
        <v>-1.454693E-2</v>
      </c>
      <c r="O4976">
        <v>-0.98772510000000002</v>
      </c>
      <c r="P4976">
        <v>-7.4821380000000007E-2</v>
      </c>
      <c r="Q4976">
        <v>0.12906339999999999</v>
      </c>
      <c r="R4976">
        <v>-0.98880959999999996</v>
      </c>
      <c r="S4976">
        <v>-0.33471679999999998</v>
      </c>
      <c r="T4976">
        <v>-0.1966743</v>
      </c>
      <c r="U4976">
        <v>-3.0339200000000002</v>
      </c>
      <c r="V4976">
        <v>-8.172227E-2</v>
      </c>
      <c r="W4976">
        <v>0.14239079999999901</v>
      </c>
      <c r="X4976">
        <v>0.98643110000000001</v>
      </c>
      <c r="Y4976">
        <v>-4.6382380000000001E-2</v>
      </c>
      <c r="Z4976">
        <v>4.8887949999999999E-2</v>
      </c>
      <c r="AA4976">
        <v>0.99772669999999997</v>
      </c>
      <c r="AB4976">
        <v>24</v>
      </c>
      <c r="AC4976">
        <v>-1.86860000000001</v>
      </c>
      <c r="AD4976">
        <v>-1.115496553821</v>
      </c>
      <c r="AE4976">
        <v>-16.972299999999901</v>
      </c>
      <c r="AF4976">
        <v>-0.79062788023325903</v>
      </c>
      <c r="AG4976">
        <v>-1.115496553821</v>
      </c>
      <c r="AH4976">
        <v>16.983895838730898</v>
      </c>
      <c r="AI4976">
        <v>93.753716830913405</v>
      </c>
      <c r="AJ4976">
        <v>92.665287244247594</v>
      </c>
      <c r="AK4976">
        <v>17.0388421809538</v>
      </c>
      <c r="AL4976">
        <v>81.813784687677995</v>
      </c>
      <c r="AM4976">
        <v>94.735934020431401</v>
      </c>
      <c r="AN4976">
        <v>0.99999999219290103</v>
      </c>
    </row>
    <row r="4977" spans="1:40" x14ac:dyDescent="0.25">
      <c r="A4977" t="str">
        <f>"20190304155734921"</f>
        <v>20190304155734921</v>
      </c>
      <c r="B4977" t="str">
        <f>"1551686254909788"</f>
        <v>1551686254909788</v>
      </c>
      <c r="C4977" t="s">
        <v>40</v>
      </c>
      <c r="D4977">
        <v>4.9345499999999998</v>
      </c>
      <c r="E4977">
        <v>0.51215010000000005</v>
      </c>
      <c r="F4977" t="s">
        <v>41</v>
      </c>
      <c r="G4977">
        <v>-423.49110000000002</v>
      </c>
      <c r="H4977" s="1">
        <v>-1.7560509999999999E-6</v>
      </c>
      <c r="I4977">
        <v>101.34139999999999</v>
      </c>
      <c r="J4977">
        <v>-421.77109999999999</v>
      </c>
      <c r="K4977">
        <v>1.1152219999999999</v>
      </c>
      <c r="L4977">
        <v>117.57989999999999</v>
      </c>
      <c r="M4977">
        <v>-0.14801900000000001</v>
      </c>
      <c r="N4977">
        <v>-1.450137E-2</v>
      </c>
      <c r="O4977">
        <v>-0.98887829999999999</v>
      </c>
      <c r="P4977">
        <v>-6.9199709999999998E-2</v>
      </c>
      <c r="Q4977">
        <v>0.1298935</v>
      </c>
      <c r="R4977">
        <v>-0.98911059999999995</v>
      </c>
      <c r="S4977">
        <v>-0.322235099999999</v>
      </c>
      <c r="T4977">
        <v>-0.20556550000000001</v>
      </c>
      <c r="U4977">
        <v>-3.0363920000000002</v>
      </c>
      <c r="V4977">
        <v>-7.973181E-2</v>
      </c>
      <c r="W4977">
        <v>0.14325539999999901</v>
      </c>
      <c r="X4977">
        <v>0.98646880000000003</v>
      </c>
      <c r="Y4977">
        <v>-4.2956910000000001E-2</v>
      </c>
      <c r="Z4977">
        <v>5.1855539999999999E-2</v>
      </c>
      <c r="AA4977">
        <v>0.99773029999999996</v>
      </c>
      <c r="AB4977">
        <v>24</v>
      </c>
      <c r="AC4977">
        <v>-1.72000000000002</v>
      </c>
      <c r="AD4977">
        <v>-1.1152237560510001</v>
      </c>
      <c r="AE4977">
        <v>-16.238499999999998</v>
      </c>
      <c r="AF4977">
        <v>-0.69954678473805898</v>
      </c>
      <c r="AG4977">
        <v>-1.1152237560510001</v>
      </c>
      <c r="AH4977">
        <v>16.238465574378399</v>
      </c>
      <c r="AI4977">
        <v>93.925155632807005</v>
      </c>
      <c r="AJ4977">
        <v>92.466754685955806</v>
      </c>
      <c r="AK4977">
        <v>16.2917418939894</v>
      </c>
      <c r="AL4977">
        <v>81.763733560584498</v>
      </c>
      <c r="AM4977">
        <v>94.620913666956</v>
      </c>
      <c r="AN4977">
        <v>0.99999998226423803</v>
      </c>
    </row>
    <row r="4978" spans="1:40" x14ac:dyDescent="0.25">
      <c r="A4978" t="str">
        <f>"20190304155734937"</f>
        <v>20190304155734937</v>
      </c>
      <c r="B4978" t="str">
        <f>"1551686254929308"</f>
        <v>1551686254929308</v>
      </c>
      <c r="C4978" t="s">
        <v>40</v>
      </c>
      <c r="D4978">
        <v>4.9120470000000003</v>
      </c>
      <c r="E4978">
        <v>0.51274409999999904</v>
      </c>
      <c r="F4978" t="s">
        <v>41</v>
      </c>
      <c r="G4978">
        <v>-423.44659999999999</v>
      </c>
      <c r="H4978" s="1">
        <v>-1.604643E-6</v>
      </c>
      <c r="I4978">
        <v>101.0462</v>
      </c>
      <c r="J4978">
        <v>-421.791</v>
      </c>
      <c r="K4978">
        <v>1.11501299999999</v>
      </c>
      <c r="L4978">
        <v>117.4068</v>
      </c>
      <c r="M4978">
        <v>-0.14282549999999999</v>
      </c>
      <c r="N4978">
        <v>-1.446736E-2</v>
      </c>
      <c r="O4978">
        <v>-0.98964229999999997</v>
      </c>
      <c r="P4978">
        <v>-6.500599E-2</v>
      </c>
      <c r="Q4978">
        <v>0.13032650000000001</v>
      </c>
      <c r="R4978">
        <v>-0.98933789999999999</v>
      </c>
      <c r="S4978">
        <v>-0.30789179999999999</v>
      </c>
      <c r="T4978">
        <v>-0.20494480000000001</v>
      </c>
      <c r="U4978">
        <v>-3.0384060000000002</v>
      </c>
      <c r="V4978">
        <v>-7.8656429999999999E-2</v>
      </c>
      <c r="W4978">
        <v>0.14370749999999999</v>
      </c>
      <c r="X4978">
        <v>0.98648939999999996</v>
      </c>
      <c r="Y4978">
        <v>-4.244063E-2</v>
      </c>
      <c r="Z4978">
        <v>5.1730900000000003E-2</v>
      </c>
      <c r="AA4978">
        <v>0.9977589</v>
      </c>
      <c r="AB4978">
        <v>24</v>
      </c>
      <c r="AC4978">
        <v>-1.65559999999999</v>
      </c>
      <c r="AD4978">
        <v>-1.1150146046429901</v>
      </c>
      <c r="AE4978">
        <v>-16.360600000000002</v>
      </c>
      <c r="AF4978">
        <v>-0.69513605357491504</v>
      </c>
      <c r="AG4978">
        <v>-1.1150146046429901</v>
      </c>
      <c r="AH4978">
        <v>16.3541296986084</v>
      </c>
      <c r="AI4978">
        <v>93.896847560857694</v>
      </c>
      <c r="AJ4978">
        <v>92.433905249774497</v>
      </c>
      <c r="AK4978">
        <v>16.4068287581864</v>
      </c>
      <c r="AL4978">
        <v>81.737559526691697</v>
      </c>
      <c r="AM4978">
        <v>94.558758955657098</v>
      </c>
      <c r="AN4978">
        <v>1.00000000792447</v>
      </c>
    </row>
    <row r="4979" spans="1:40" x14ac:dyDescent="0.25">
      <c r="A4979" t="str">
        <f>"20190304155734954"</f>
        <v>20190304155734954</v>
      </c>
      <c r="B4979" t="str">
        <f>"1551686254949804"</f>
        <v>1551686254949804</v>
      </c>
      <c r="C4979" t="s">
        <v>40</v>
      </c>
      <c r="D4979">
        <v>5.069089</v>
      </c>
      <c r="E4979">
        <v>0.51299659999999903</v>
      </c>
      <c r="F4979" t="s">
        <v>41</v>
      </c>
      <c r="G4979">
        <v>-423.39609999999999</v>
      </c>
      <c r="H4979" s="1">
        <v>-1.6639310000000001E-6</v>
      </c>
      <c r="I4979">
        <v>101.2</v>
      </c>
      <c r="J4979">
        <v>-421.81119999999999</v>
      </c>
      <c r="K4979">
        <v>1.1147910000000001</v>
      </c>
      <c r="L4979">
        <v>117.2252</v>
      </c>
      <c r="M4979">
        <v>-0.1376125</v>
      </c>
      <c r="N4979">
        <v>-1.4431039999999999E-2</v>
      </c>
      <c r="O4979">
        <v>-0.99038110000000001</v>
      </c>
      <c r="P4979">
        <v>-6.214298E-2</v>
      </c>
      <c r="Q4979">
        <v>0.12978629999999999</v>
      </c>
      <c r="R4979">
        <v>-0.98959280000000005</v>
      </c>
      <c r="S4979">
        <v>-0.30108639999999998</v>
      </c>
      <c r="T4979">
        <v>-0.20915839999999999</v>
      </c>
      <c r="U4979">
        <v>-3.0401150000000001</v>
      </c>
      <c r="V4979">
        <v>-7.6236460000000006E-2</v>
      </c>
      <c r="W4979">
        <v>0.14320450000000001</v>
      </c>
      <c r="X4979">
        <v>0.98675250000000003</v>
      </c>
      <c r="Y4979">
        <v>-3.9456049999999999E-2</v>
      </c>
      <c r="Z4979">
        <v>5.3163639999999998E-2</v>
      </c>
      <c r="AA4979">
        <v>0.99780599999999997</v>
      </c>
      <c r="AB4979">
        <v>24</v>
      </c>
      <c r="AC4979">
        <v>-1.5849</v>
      </c>
      <c r="AD4979">
        <v>-1.114792663931</v>
      </c>
      <c r="AE4979">
        <v>-16.025199999999899</v>
      </c>
      <c r="AF4979">
        <v>-0.63264706392629</v>
      </c>
      <c r="AG4979">
        <v>-1.114792663931</v>
      </c>
      <c r="AH4979">
        <v>16.014085342881899</v>
      </c>
      <c r="AI4979">
        <v>93.979027907543994</v>
      </c>
      <c r="AJ4979">
        <v>92.2623313262675</v>
      </c>
      <c r="AK4979">
        <v>16.0653021870164</v>
      </c>
      <c r="AL4979">
        <v>81.766680540344794</v>
      </c>
      <c r="AM4979">
        <v>94.417893373609004</v>
      </c>
      <c r="AN4979">
        <v>1.0000000114549099</v>
      </c>
    </row>
    <row r="4980" spans="1:40" x14ac:dyDescent="0.25">
      <c r="A4980" t="str">
        <f>"20190304155734970"</f>
        <v>20190304155734970</v>
      </c>
      <c r="B4980" t="str">
        <f>"1551686254959564"</f>
        <v>1551686254959564</v>
      </c>
      <c r="C4980" t="s">
        <v>40</v>
      </c>
      <c r="D4980">
        <v>4.9336010000000003</v>
      </c>
      <c r="E4980">
        <v>0.51325270000000001</v>
      </c>
      <c r="F4980" t="s">
        <v>41</v>
      </c>
      <c r="G4980">
        <v>-423.36590000000001</v>
      </c>
      <c r="H4980" s="1">
        <v>-1.6529450000000001E-6</v>
      </c>
      <c r="I4980">
        <v>101.1938</v>
      </c>
      <c r="J4980">
        <v>-421.82920000000001</v>
      </c>
      <c r="K4980">
        <v>1.114581</v>
      </c>
      <c r="L4980">
        <v>117.05840000000001</v>
      </c>
      <c r="M4980">
        <v>-0.13301789999999999</v>
      </c>
      <c r="N4980">
        <v>-1.4397480000000001E-2</v>
      </c>
      <c r="O4980">
        <v>-0.99100940000000004</v>
      </c>
      <c r="P4980">
        <v>-5.9026410000000001E-2</v>
      </c>
      <c r="Q4980">
        <v>0.12922709999999901</v>
      </c>
      <c r="R4980">
        <v>-0.98985699999999999</v>
      </c>
      <c r="S4980">
        <v>-0.29489140000000003</v>
      </c>
      <c r="T4980">
        <v>-0.2114482</v>
      </c>
      <c r="U4980">
        <v>-3.040756</v>
      </c>
      <c r="V4980">
        <v>-7.4694659999999996E-2</v>
      </c>
      <c r="W4980">
        <v>0.14266879999999901</v>
      </c>
      <c r="X4980">
        <v>0.98694800000000005</v>
      </c>
      <c r="Y4980">
        <v>-3.6861400000000002E-2</v>
      </c>
      <c r="Z4980">
        <v>5.3988210000000002E-2</v>
      </c>
      <c r="AA4980">
        <v>0.997861</v>
      </c>
      <c r="AB4980">
        <v>24</v>
      </c>
      <c r="AC4980">
        <v>-1.53669999999999</v>
      </c>
      <c r="AD4980">
        <v>-1.114582652945</v>
      </c>
      <c r="AE4980">
        <v>-15.864599999999999</v>
      </c>
      <c r="AF4980">
        <v>-0.58459364661035895</v>
      </c>
      <c r="AG4980">
        <v>-1.114582652945</v>
      </c>
      <c r="AH4980">
        <v>15.8505125395208</v>
      </c>
      <c r="AI4980">
        <v>94.019602504771697</v>
      </c>
      <c r="AJ4980">
        <v>92.112207652865905</v>
      </c>
      <c r="AK4980">
        <v>15.900402258666601</v>
      </c>
      <c r="AL4980">
        <v>81.797692366877598</v>
      </c>
      <c r="AM4980">
        <v>94.3280351337214</v>
      </c>
      <c r="AN4980">
        <v>1.0000000167149701</v>
      </c>
    </row>
    <row r="4981" spans="1:40" x14ac:dyDescent="0.25">
      <c r="A4981" t="str">
        <f>"20190304155734986"</f>
        <v>20190304155734986</v>
      </c>
      <c r="B4981" t="str">
        <f>"1551686254980060"</f>
        <v>1551686254980060</v>
      </c>
      <c r="C4981" t="s">
        <v>40</v>
      </c>
      <c r="D4981">
        <v>4.9037259999999998</v>
      </c>
      <c r="E4981">
        <v>0.51376049999999995</v>
      </c>
      <c r="F4981" t="s">
        <v>41</v>
      </c>
      <c r="G4981">
        <v>-423.33010000000002</v>
      </c>
      <c r="H4981" s="1">
        <v>-1.6456679999999999E-6</v>
      </c>
      <c r="I4981">
        <v>101.1986</v>
      </c>
      <c r="J4981">
        <v>-421.8485</v>
      </c>
      <c r="K4981">
        <v>1.114352</v>
      </c>
      <c r="L4981">
        <v>116.871</v>
      </c>
      <c r="M4981">
        <v>-0.12813359999999999</v>
      </c>
      <c r="N4981">
        <v>-1.435993E-2</v>
      </c>
      <c r="O4981">
        <v>-0.99165309999999995</v>
      </c>
      <c r="P4981">
        <v>-5.6935329999999999E-2</v>
      </c>
      <c r="Q4981">
        <v>0.1283378</v>
      </c>
      <c r="R4981">
        <v>-0.99009510000000001</v>
      </c>
      <c r="S4981">
        <v>-0.28784179999999998</v>
      </c>
      <c r="T4981">
        <v>-0.21374699999999999</v>
      </c>
      <c r="U4981">
        <v>-3.0414889999999999</v>
      </c>
      <c r="V4981">
        <v>-7.1837680000000001E-2</v>
      </c>
      <c r="W4981">
        <v>0.14181640000000001</v>
      </c>
      <c r="X4981">
        <v>0.98728289999999996</v>
      </c>
      <c r="Y4981">
        <v>-3.4258160000000003E-2</v>
      </c>
      <c r="Z4981">
        <v>5.4820710000000002E-2</v>
      </c>
      <c r="AA4981">
        <v>0.99790840000000003</v>
      </c>
      <c r="AB4981">
        <v>24</v>
      </c>
      <c r="AC4981">
        <v>-1.48160000000001</v>
      </c>
      <c r="AD4981">
        <v>-1.1143536456679899</v>
      </c>
      <c r="AE4981">
        <v>-15.6724</v>
      </c>
      <c r="AF4981">
        <v>-0.53629599707925002</v>
      </c>
      <c r="AG4981">
        <v>-1.1143536456679899</v>
      </c>
      <c r="AH4981">
        <v>15.6546038612111</v>
      </c>
      <c r="AI4981">
        <v>94.069282219259193</v>
      </c>
      <c r="AJ4981">
        <v>91.962073598362494</v>
      </c>
      <c r="AK4981">
        <v>15.7033760540701</v>
      </c>
      <c r="AL4981">
        <v>81.847033136954906</v>
      </c>
      <c r="AM4981">
        <v>94.1616793683759</v>
      </c>
      <c r="AN4981">
        <v>1.0000000341045701</v>
      </c>
    </row>
    <row r="4982" spans="1:40" x14ac:dyDescent="0.25">
      <c r="A4982" t="str">
        <f>"20190304155735010"</f>
        <v>20190304155735010</v>
      </c>
      <c r="B4982" t="str">
        <f>"1551686254999581"</f>
        <v>1551686254999581</v>
      </c>
      <c r="C4982" t="s">
        <v>40</v>
      </c>
      <c r="D4982">
        <v>4.91791</v>
      </c>
      <c r="E4982">
        <v>0.51420519999999903</v>
      </c>
      <c r="F4982" t="s">
        <v>41</v>
      </c>
      <c r="G4982">
        <v>-423.31029999999998</v>
      </c>
      <c r="H4982" s="1">
        <v>-1.6729389999999999E-6</v>
      </c>
      <c r="I4982">
        <v>101.26739999999999</v>
      </c>
      <c r="J4982">
        <v>-421.87240000000003</v>
      </c>
      <c r="K4982">
        <v>1.1140730000000001</v>
      </c>
      <c r="L4982">
        <v>116.6318</v>
      </c>
      <c r="M4982">
        <v>-0.12221849999999999</v>
      </c>
      <c r="N4982">
        <v>-1.431399E-2</v>
      </c>
      <c r="O4982">
        <v>-0.99240030000000001</v>
      </c>
      <c r="P4982">
        <v>-5.338876E-2</v>
      </c>
      <c r="Q4982">
        <v>0.128967</v>
      </c>
      <c r="R4982">
        <v>-0.99021119999999996</v>
      </c>
      <c r="S4982">
        <v>-0.28497309999999998</v>
      </c>
      <c r="T4982">
        <v>-0.21723429999999999</v>
      </c>
      <c r="U4982">
        <v>-3.0417939999999999</v>
      </c>
      <c r="V4982">
        <v>-6.9381440000000003E-2</v>
      </c>
      <c r="W4982">
        <v>0.14247209999999999</v>
      </c>
      <c r="X4982">
        <v>0.98736409999999997</v>
      </c>
      <c r="Y4982">
        <v>-2.925005E-2</v>
      </c>
      <c r="Z4982">
        <v>5.606469E-2</v>
      </c>
      <c r="AA4982">
        <v>0.99799859999999896</v>
      </c>
      <c r="AB4982">
        <v>24</v>
      </c>
      <c r="AC4982">
        <v>-1.43789999999995</v>
      </c>
      <c r="AD4982">
        <v>-1.1140746729390001</v>
      </c>
      <c r="AE4982">
        <v>-15.3644</v>
      </c>
      <c r="AF4982">
        <v>-0.44854971429454399</v>
      </c>
      <c r="AG4982">
        <v>-1.1140746729390001</v>
      </c>
      <c r="AH4982">
        <v>15.3449697050767</v>
      </c>
      <c r="AI4982">
        <v>94.150732630540801</v>
      </c>
      <c r="AJ4982">
        <v>91.674339535624199</v>
      </c>
      <c r="AK4982">
        <v>15.3918957400575</v>
      </c>
      <c r="AL4982">
        <v>81.809078416231898</v>
      </c>
      <c r="AM4982">
        <v>94.019530393477595</v>
      </c>
      <c r="AN4982">
        <v>0.99999997473184599</v>
      </c>
    </row>
    <row r="4983" spans="1:40" x14ac:dyDescent="0.25">
      <c r="A4983" t="str">
        <f>"20190304155735034"</f>
        <v>20190304155735034</v>
      </c>
      <c r="B4983" t="str">
        <f>"1551686255029836"</f>
        <v>1551686255029836</v>
      </c>
      <c r="C4983" t="s">
        <v>40</v>
      </c>
      <c r="D4983">
        <v>4.8676729999999999</v>
      </c>
      <c r="E4983">
        <v>0.52790309999999996</v>
      </c>
      <c r="F4983" t="s">
        <v>41</v>
      </c>
      <c r="G4983">
        <v>-423.30900000000003</v>
      </c>
      <c r="H4983" s="1">
        <v>-1.498924E-6</v>
      </c>
      <c r="I4983">
        <v>100.9</v>
      </c>
      <c r="J4983">
        <v>-421.89699999999999</v>
      </c>
      <c r="K4983">
        <v>1.113775</v>
      </c>
      <c r="L4983">
        <v>116.3723</v>
      </c>
      <c r="M4983">
        <v>-0.1163127</v>
      </c>
      <c r="N4983">
        <v>-1.4265359999999999E-2</v>
      </c>
      <c r="O4983">
        <v>-0.99311020000000005</v>
      </c>
      <c r="P4983">
        <v>-4.937093E-2</v>
      </c>
      <c r="Q4983">
        <v>0.1296745</v>
      </c>
      <c r="R4983">
        <v>-0.9903267</v>
      </c>
      <c r="S4983">
        <v>-0.27786250000000001</v>
      </c>
      <c r="T4983">
        <v>-0.21547759999999999</v>
      </c>
      <c r="U4983">
        <v>-3.0427399999999998</v>
      </c>
      <c r="V4983">
        <v>-6.7400489999999993E-2</v>
      </c>
      <c r="W4983">
        <v>0.1431993</v>
      </c>
      <c r="X4983">
        <v>0.9873961</v>
      </c>
      <c r="Y4983">
        <v>-2.5644630000000002E-2</v>
      </c>
      <c r="Z4983">
        <v>5.5605309999999998E-2</v>
      </c>
      <c r="AA4983">
        <v>0.99812350000000005</v>
      </c>
      <c r="AB4983">
        <v>24</v>
      </c>
      <c r="AC4983">
        <v>-1.4120000000000299</v>
      </c>
      <c r="AD4983">
        <v>-1.113776498924</v>
      </c>
      <c r="AE4983">
        <v>-15.472299999999899</v>
      </c>
      <c r="AF4983">
        <v>-0.39536202767052497</v>
      </c>
      <c r="AG4983">
        <v>-1.113776498924</v>
      </c>
      <c r="AH4983">
        <v>15.452103377219499</v>
      </c>
      <c r="AI4983">
        <v>94.121364537301005</v>
      </c>
      <c r="AJ4983">
        <v>91.4656667588022</v>
      </c>
      <c r="AK4983">
        <v>15.497235495492699</v>
      </c>
      <c r="AL4983">
        <v>81.7669811705359</v>
      </c>
      <c r="AM4983">
        <v>93.905000546259899</v>
      </c>
      <c r="AN4983">
        <v>0.99999996193396901</v>
      </c>
    </row>
    <row r="4984" spans="1:40" x14ac:dyDescent="0.25">
      <c r="A4984" t="str">
        <f>"20190304155735056"</f>
        <v>20190304155735056</v>
      </c>
      <c r="B4984" t="str">
        <f>"1551686255049355"</f>
        <v>1551686255049355</v>
      </c>
      <c r="C4984" t="s">
        <v>40</v>
      </c>
      <c r="D4984">
        <v>5.0914859999999997</v>
      </c>
      <c r="E4984">
        <v>0.5288564</v>
      </c>
      <c r="F4984" t="s">
        <v>42</v>
      </c>
      <c r="G4984">
        <v>-422.00569999999999</v>
      </c>
      <c r="H4984">
        <v>1.0334299999999901</v>
      </c>
      <c r="I4984">
        <v>115.4906</v>
      </c>
      <c r="J4984">
        <v>-421.91789999999997</v>
      </c>
      <c r="K4984">
        <v>1.113531</v>
      </c>
      <c r="L4984">
        <v>116.1437</v>
      </c>
      <c r="M4984">
        <v>-0.11143500000000001</v>
      </c>
      <c r="N4984">
        <v>-1.4224509999999999E-2</v>
      </c>
      <c r="O4984">
        <v>-0.9936701</v>
      </c>
      <c r="P4984">
        <v>-4.6398839999999997E-2</v>
      </c>
      <c r="Q4984">
        <v>0.12906669999999901</v>
      </c>
      <c r="R4984">
        <v>-0.99054989999999998</v>
      </c>
      <c r="S4984">
        <v>-0.3761292</v>
      </c>
      <c r="T4984">
        <v>-0.27751969999999998</v>
      </c>
      <c r="U4984">
        <v>-3.0468899999999999</v>
      </c>
      <c r="V4984">
        <v>-6.5431829999999996E-2</v>
      </c>
      <c r="W4984">
        <v>0.14260789999999901</v>
      </c>
      <c r="X4984">
        <v>0.98761410000000005</v>
      </c>
      <c r="Y4984">
        <v>1.0787349999999999E-2</v>
      </c>
      <c r="Z4984">
        <v>7.5445880000000007E-2</v>
      </c>
      <c r="AA4984">
        <v>0.99709150000000002</v>
      </c>
      <c r="AB4984">
        <v>24</v>
      </c>
      <c r="AC4984">
        <v>-8.7800000000015602E-2</v>
      </c>
      <c r="AD4984">
        <v>-8.01010000000002E-2</v>
      </c>
      <c r="AE4984">
        <v>-0.65309999999999402</v>
      </c>
      <c r="AF4984">
        <v>1.42568475507799E-2</v>
      </c>
      <c r="AG4984">
        <v>-8.01010000000002E-2</v>
      </c>
      <c r="AH4984">
        <v>0.64922396294379803</v>
      </c>
      <c r="AI4984">
        <v>97.031906741713698</v>
      </c>
      <c r="AJ4984">
        <v>88.741996640683595</v>
      </c>
      <c r="AK4984">
        <v>0.65430205712922496</v>
      </c>
      <c r="AL4984">
        <v>81.801217374580503</v>
      </c>
      <c r="AM4984">
        <v>93.790444958384299</v>
      </c>
      <c r="AN4984">
        <v>0.99999997401918395</v>
      </c>
    </row>
    <row r="4985" spans="1:40" x14ac:dyDescent="0.25">
      <c r="A4985" t="str">
        <f>"20190304155735077"</f>
        <v>20190304155735077</v>
      </c>
      <c r="B4985" t="str">
        <f>"1551686255069852"</f>
        <v>1551686255069852</v>
      </c>
      <c r="C4985" t="s">
        <v>40</v>
      </c>
      <c r="D4985">
        <v>4.9245089999999996</v>
      </c>
      <c r="E4985">
        <v>0.52613719999999997</v>
      </c>
      <c r="F4985" t="s">
        <v>42</v>
      </c>
      <c r="G4985">
        <v>-422.02550000000002</v>
      </c>
      <c r="H4985">
        <v>1.0414300000000001</v>
      </c>
      <c r="I4985">
        <v>115.27209999999999</v>
      </c>
      <c r="J4985">
        <v>-421.93810000000002</v>
      </c>
      <c r="K4985">
        <v>1.113302</v>
      </c>
      <c r="L4985">
        <v>115.9141</v>
      </c>
      <c r="M4985">
        <v>-0.1068417</v>
      </c>
      <c r="N4985">
        <v>-1.418584E-2</v>
      </c>
      <c r="O4985">
        <v>-0.99417480000000003</v>
      </c>
      <c r="P4985">
        <v>-4.412166E-2</v>
      </c>
      <c r="Q4985">
        <v>0.12837370000000001</v>
      </c>
      <c r="R4985">
        <v>-0.99074410000000002</v>
      </c>
      <c r="S4985">
        <v>-0.3748474</v>
      </c>
      <c r="T4985">
        <v>-0.25208740000000002</v>
      </c>
      <c r="U4985">
        <v>-3.0438999999999998</v>
      </c>
      <c r="V4985">
        <v>-6.3059610000000002E-2</v>
      </c>
      <c r="W4985">
        <v>0.14193349999999999</v>
      </c>
      <c r="X4985">
        <v>0.98786560000000001</v>
      </c>
      <c r="Y4985">
        <v>1.518214E-2</v>
      </c>
      <c r="Z4985">
        <v>6.7464930000000006E-2</v>
      </c>
      <c r="AA4985">
        <v>0.99760610000000005</v>
      </c>
      <c r="AB4985">
        <v>24</v>
      </c>
      <c r="AC4985">
        <v>-8.7400000000002295E-2</v>
      </c>
      <c r="AD4985">
        <v>-7.1872000000000102E-2</v>
      </c>
      <c r="AE4985">
        <v>-0.64200000000001001</v>
      </c>
      <c r="AF4985">
        <v>1.8077903520774902E-2</v>
      </c>
      <c r="AG4985">
        <v>-7.1872000000000102E-2</v>
      </c>
      <c r="AH4985">
        <v>0.63979089075443396</v>
      </c>
      <c r="AI4985">
        <v>96.407011443593703</v>
      </c>
      <c r="AJ4985">
        <v>88.381483600587202</v>
      </c>
      <c r="AK4985">
        <v>0.64406892400740701</v>
      </c>
      <c r="AL4985">
        <v>81.840255274240306</v>
      </c>
      <c r="AM4985">
        <v>93.652474570801303</v>
      </c>
      <c r="AN4985">
        <v>1.00000003824948</v>
      </c>
    </row>
    <row r="4986" spans="1:40" x14ac:dyDescent="0.25">
      <c r="A4986" t="str">
        <f>"20190304155735100"</f>
        <v>20190304155735100</v>
      </c>
      <c r="B4986" t="str">
        <f>"1551686255089372"</f>
        <v>1551686255089372</v>
      </c>
      <c r="C4986" t="s">
        <v>40</v>
      </c>
      <c r="D4986">
        <v>4.9165510000000001</v>
      </c>
      <c r="E4986">
        <v>0.48659960000000002</v>
      </c>
      <c r="F4986" t="s">
        <v>42</v>
      </c>
      <c r="G4986">
        <v>-422.036</v>
      </c>
      <c r="H4986">
        <v>1.043892</v>
      </c>
      <c r="I4986">
        <v>115.05540000000001</v>
      </c>
      <c r="J4986">
        <v>-421.9581</v>
      </c>
      <c r="K4986">
        <v>1.113078</v>
      </c>
      <c r="L4986">
        <v>115.6782</v>
      </c>
      <c r="M4986">
        <v>-0.10245</v>
      </c>
      <c r="N4986">
        <v>-1.4148279999999999E-2</v>
      </c>
      <c r="O4986">
        <v>-0.99463760000000001</v>
      </c>
      <c r="P4986">
        <v>-4.134608E-2</v>
      </c>
      <c r="Q4986">
        <v>0.1281989</v>
      </c>
      <c r="R4986">
        <v>-0.9908863</v>
      </c>
      <c r="S4986">
        <v>-0.3461304</v>
      </c>
      <c r="T4986">
        <v>-0.2464643</v>
      </c>
      <c r="U4986">
        <v>-3.044556</v>
      </c>
      <c r="V4986">
        <v>-6.1384050000000003E-2</v>
      </c>
      <c r="W4986">
        <v>0.1417688</v>
      </c>
      <c r="X4986">
        <v>0.9879947</v>
      </c>
      <c r="Y4986">
        <v>1.030883E-2</v>
      </c>
      <c r="Z4986">
        <v>6.5767870000000006E-2</v>
      </c>
      <c r="AA4986">
        <v>0.99778169999999999</v>
      </c>
      <c r="AB4986">
        <v>24</v>
      </c>
      <c r="AC4986">
        <v>-7.7899999999999595E-2</v>
      </c>
      <c r="AD4986">
        <v>-6.91859999999999E-2</v>
      </c>
      <c r="AE4986">
        <v>-0.62279999999999702</v>
      </c>
      <c r="AF4986">
        <v>1.35135792503459E-2</v>
      </c>
      <c r="AG4986">
        <v>-6.91859999999999E-2</v>
      </c>
      <c r="AH4986">
        <v>0.61997090840624802</v>
      </c>
      <c r="AI4986">
        <v>96.366108883279196</v>
      </c>
      <c r="AJ4986">
        <v>88.751314845304705</v>
      </c>
      <c r="AK4986">
        <v>0.62396574159982798</v>
      </c>
      <c r="AL4986">
        <v>81.849787650565503</v>
      </c>
      <c r="AM4986">
        <v>93.555213431966905</v>
      </c>
      <c r="AN4986">
        <v>0.99999996073796504</v>
      </c>
    </row>
    <row r="4987" spans="1:40" x14ac:dyDescent="0.25">
      <c r="A4987" t="str">
        <f>"20190304155735122"</f>
        <v>20190304155735122</v>
      </c>
      <c r="B4987" t="str">
        <f>"1551686255119628"</f>
        <v>1551686255119628</v>
      </c>
      <c r="C4987" t="s">
        <v>40</v>
      </c>
      <c r="D4987">
        <v>4.9232459999999998</v>
      </c>
      <c r="E4987">
        <v>0.48607319999999998</v>
      </c>
      <c r="F4987" t="s">
        <v>41</v>
      </c>
      <c r="G4987">
        <v>-422.0926</v>
      </c>
      <c r="H4987" s="1">
        <v>-3.7096090000000001E-6</v>
      </c>
      <c r="I4987">
        <v>96.938429999999997</v>
      </c>
      <c r="J4987">
        <v>-421.97800000000001</v>
      </c>
      <c r="K4987">
        <v>1.112852</v>
      </c>
      <c r="L4987">
        <v>115.4359</v>
      </c>
      <c r="M4987">
        <v>-9.8274920000000002E-2</v>
      </c>
      <c r="N4987">
        <v>-1.4111429999999999E-2</v>
      </c>
      <c r="O4987">
        <v>-0.99505949999999999</v>
      </c>
      <c r="P4987">
        <v>-3.8760450000000002E-2</v>
      </c>
      <c r="Q4987">
        <v>0.12826080000000001</v>
      </c>
      <c r="R4987">
        <v>-0.99098310000000001</v>
      </c>
      <c r="S4987">
        <v>-2.1881100000000001E-2</v>
      </c>
      <c r="T4987">
        <v>-0.18116650000000001</v>
      </c>
      <c r="U4987">
        <v>-3.0501100000000001</v>
      </c>
      <c r="V4987">
        <v>-5.9733029999999999E-2</v>
      </c>
      <c r="W4987">
        <v>0.14183999999999999</v>
      </c>
      <c r="X4987">
        <v>0.98808569999999996</v>
      </c>
      <c r="Y4987">
        <v>-9.1102699999999995E-2</v>
      </c>
      <c r="Z4987">
        <v>4.4650410000000001E-2</v>
      </c>
      <c r="AA4987">
        <v>0.99483999999999995</v>
      </c>
      <c r="AB4987">
        <v>24</v>
      </c>
      <c r="AC4987">
        <v>-0.114599999999995</v>
      </c>
      <c r="AD4987">
        <v>-1.1128557096089999</v>
      </c>
      <c r="AE4987">
        <v>-18.49747</v>
      </c>
      <c r="AF4987">
        <v>-1.6978276908029499</v>
      </c>
      <c r="AG4987">
        <v>-1.1128557096089999</v>
      </c>
      <c r="AH4987">
        <v>18.3527490512448</v>
      </c>
      <c r="AI4987">
        <v>93.455277577867804</v>
      </c>
      <c r="AJ4987">
        <v>95.285435236797298</v>
      </c>
      <c r="AK4987">
        <v>18.464681541690101</v>
      </c>
      <c r="AL4987">
        <v>81.845666749254406</v>
      </c>
      <c r="AM4987">
        <v>93.459508021937907</v>
      </c>
      <c r="AN4987">
        <v>0.99999998550873503</v>
      </c>
    </row>
    <row r="4988" spans="1:40" x14ac:dyDescent="0.25">
      <c r="A4988" t="str">
        <f>"20190304155735144"</f>
        <v>20190304155735144</v>
      </c>
      <c r="B4988" t="str">
        <f>"1551686255140124"</f>
        <v>1551686255140124</v>
      </c>
      <c r="C4988" t="s">
        <v>40</v>
      </c>
      <c r="D4988">
        <v>4.8770230000000003</v>
      </c>
      <c r="E4988">
        <v>0.48867680000000002</v>
      </c>
      <c r="F4988" t="s">
        <v>41</v>
      </c>
      <c r="G4988">
        <v>-422.04450000000003</v>
      </c>
      <c r="H4988" s="1">
        <v>-3.1768269999999999E-6</v>
      </c>
      <c r="I4988">
        <v>95.726309999999998</v>
      </c>
      <c r="J4988">
        <v>-421.99650000000003</v>
      </c>
      <c r="K4988">
        <v>1.1126419999999999</v>
      </c>
      <c r="L4988">
        <v>115.20350000000001</v>
      </c>
      <c r="M4988">
        <v>-9.4575409999999999E-2</v>
      </c>
      <c r="N4988">
        <v>-1.4077910000000001E-2</v>
      </c>
      <c r="O4988">
        <v>-0.99541829999999998</v>
      </c>
      <c r="P4988">
        <v>-3.704081E-2</v>
      </c>
      <c r="Q4988">
        <v>0.12812670000000001</v>
      </c>
      <c r="R4988">
        <v>-0.99106590000000006</v>
      </c>
      <c r="S4988">
        <v>-1.0284420000000001E-2</v>
      </c>
      <c r="T4988">
        <v>-0.17216479999999901</v>
      </c>
      <c r="U4988">
        <v>-3.0491790000000001</v>
      </c>
      <c r="V4988">
        <v>-5.7695709999999997E-2</v>
      </c>
      <c r="W4988">
        <v>0.14171779999999901</v>
      </c>
      <c r="X4988">
        <v>0.98822430000000006</v>
      </c>
      <c r="Y4988">
        <v>-9.1183829999999993E-2</v>
      </c>
      <c r="Z4988">
        <v>4.1817609999999998E-2</v>
      </c>
      <c r="AA4988">
        <v>0.9949557</v>
      </c>
      <c r="AB4988">
        <v>24</v>
      </c>
      <c r="AC4988">
        <v>-4.8000000000001798E-2</v>
      </c>
      <c r="AD4988">
        <v>-1.11264517682699</v>
      </c>
      <c r="AE4988">
        <v>-19.47719</v>
      </c>
      <c r="AF4988">
        <v>-1.7886238903854399</v>
      </c>
      <c r="AG4988">
        <v>-1.11264517682699</v>
      </c>
      <c r="AH4988">
        <v>19.331326066812899</v>
      </c>
      <c r="AI4988">
        <v>93.280135668419504</v>
      </c>
      <c r="AJ4988">
        <v>95.286220602184201</v>
      </c>
      <c r="AK4988">
        <v>19.445753320769398</v>
      </c>
      <c r="AL4988">
        <v>81.852739848672201</v>
      </c>
      <c r="AM4988">
        <v>93.341318749718695</v>
      </c>
      <c r="AN4988">
        <v>0.99999999844986698</v>
      </c>
    </row>
    <row r="4989" spans="1:40" x14ac:dyDescent="0.25">
      <c r="A4989" t="str">
        <f>"20190304155735167"</f>
        <v>20190304155735167</v>
      </c>
      <c r="B4989" t="str">
        <f>"1551686255159644"</f>
        <v>1551686255159644</v>
      </c>
      <c r="C4989" t="s">
        <v>40</v>
      </c>
      <c r="D4989">
        <v>4.8963239999999999</v>
      </c>
      <c r="E4989">
        <v>0.4906779</v>
      </c>
      <c r="F4989" t="s">
        <v>41</v>
      </c>
      <c r="G4989">
        <v>-422.173</v>
      </c>
      <c r="H4989" s="1">
        <v>-2.6397549999999999E-6</v>
      </c>
      <c r="I4989">
        <v>94.3947</v>
      </c>
      <c r="J4989">
        <v>-422.01490000000001</v>
      </c>
      <c r="K4989">
        <v>1.112411</v>
      </c>
      <c r="L4989">
        <v>114.96429999999999</v>
      </c>
      <c r="M4989">
        <v>-9.106612E-2</v>
      </c>
      <c r="N4989">
        <v>-1.4045780000000001E-2</v>
      </c>
      <c r="O4989">
        <v>-0.99574580000000001</v>
      </c>
      <c r="P4989">
        <v>-3.6662170000000001E-2</v>
      </c>
      <c r="Q4989">
        <v>0.12763389999999999</v>
      </c>
      <c r="R4989">
        <v>-0.99114349999999996</v>
      </c>
      <c r="S4989">
        <v>-2.5848389999999999E-2</v>
      </c>
      <c r="T4989">
        <v>-0.16293009999999999</v>
      </c>
      <c r="U4989">
        <v>-3.0471339999999998</v>
      </c>
      <c r="V4989">
        <v>-5.4510379999999997E-2</v>
      </c>
      <c r="W4989">
        <v>0.14124429999999999</v>
      </c>
      <c r="X4989">
        <v>0.98847289999999999</v>
      </c>
      <c r="Y4989">
        <v>-8.2591559999999994E-2</v>
      </c>
      <c r="Z4989">
        <v>3.8943319999999997E-2</v>
      </c>
      <c r="AA4989">
        <v>0.99582230000000005</v>
      </c>
      <c r="AB4989">
        <v>24</v>
      </c>
      <c r="AC4989">
        <v>-0.15809999999999</v>
      </c>
      <c r="AD4989">
        <v>-1.112413639755</v>
      </c>
      <c r="AE4989">
        <v>-20.569599999999902</v>
      </c>
      <c r="AF4989">
        <v>-1.7109318430309</v>
      </c>
      <c r="AG4989">
        <v>-1.112413639755</v>
      </c>
      <c r="AH4989">
        <v>20.438738674091098</v>
      </c>
      <c r="AI4989">
        <v>93.104511038179197</v>
      </c>
      <c r="AJ4989">
        <v>94.785087593224205</v>
      </c>
      <c r="AK4989">
        <v>20.5403697743054</v>
      </c>
      <c r="AL4989">
        <v>81.880145115435397</v>
      </c>
      <c r="AM4989">
        <v>93.156439077340707</v>
      </c>
      <c r="AN4989">
        <v>1.00000000392232</v>
      </c>
    </row>
    <row r="4990" spans="1:40" x14ac:dyDescent="0.25">
      <c r="A4990" t="str">
        <f>"20190304155735201"</f>
        <v>20190304155735201</v>
      </c>
      <c r="B4990" t="str">
        <f>"1551686255189900"</f>
        <v>1551686255189900</v>
      </c>
      <c r="C4990" t="s">
        <v>40</v>
      </c>
      <c r="D4990">
        <v>4.9004190000000003</v>
      </c>
      <c r="E4990">
        <v>0.49296299999999998</v>
      </c>
      <c r="F4990" t="s">
        <v>41</v>
      </c>
      <c r="G4990">
        <v>-422.30110000000002</v>
      </c>
      <c r="H4990" s="1">
        <v>-2.4423950000000002E-6</v>
      </c>
      <c r="I4990">
        <v>93.855199999999996</v>
      </c>
      <c r="J4990">
        <v>-422.04180000000002</v>
      </c>
      <c r="K4990">
        <v>1.112115</v>
      </c>
      <c r="L4990">
        <v>114.60339999999999</v>
      </c>
      <c r="M4990">
        <v>-8.6353289999999999E-2</v>
      </c>
      <c r="N4990">
        <v>-1.400209E-2</v>
      </c>
      <c r="O4990">
        <v>-0.9961662</v>
      </c>
      <c r="P4990">
        <v>-3.6068919999999997E-2</v>
      </c>
      <c r="Q4990">
        <v>0.12686939999999999</v>
      </c>
      <c r="R4990">
        <v>-0.99126340000000002</v>
      </c>
      <c r="S4990">
        <v>-4.1290279999999999E-2</v>
      </c>
      <c r="T4990">
        <v>-0.1605171</v>
      </c>
      <c r="U4990">
        <v>-3.0459589999999999</v>
      </c>
      <c r="V4990">
        <v>-5.0316109999999997E-2</v>
      </c>
      <c r="W4990">
        <v>0.14050029999999999</v>
      </c>
      <c r="X4990">
        <v>0.98880120000000005</v>
      </c>
      <c r="Y4990">
        <v>-7.2825730000000005E-2</v>
      </c>
      <c r="Z4990">
        <v>3.8278739999999999E-2</v>
      </c>
      <c r="AA4990">
        <v>0.99660979999999999</v>
      </c>
      <c r="AB4990">
        <v>24</v>
      </c>
      <c r="AC4990">
        <v>-0.25929999999999598</v>
      </c>
      <c r="AD4990">
        <v>-1.112117442395</v>
      </c>
      <c r="AE4990">
        <v>-20.748200000000001</v>
      </c>
      <c r="AF4990">
        <v>-1.52912719167498</v>
      </c>
      <c r="AG4990">
        <v>-1.112117442395</v>
      </c>
      <c r="AH4990">
        <v>20.6338027796887</v>
      </c>
      <c r="AI4990">
        <v>93.076712995230693</v>
      </c>
      <c r="AJ4990">
        <v>94.238320640199504</v>
      </c>
      <c r="AK4990">
        <v>20.720252226386801</v>
      </c>
      <c r="AL4990">
        <v>81.923201947001402</v>
      </c>
      <c r="AM4990">
        <v>92.913038832009093</v>
      </c>
      <c r="AN4990">
        <v>0.99999992917352798</v>
      </c>
    </row>
    <row r="4991" spans="1:40" x14ac:dyDescent="0.25">
      <c r="A4991" t="str">
        <f>"20190304155735223"</f>
        <v>20190304155735223</v>
      </c>
      <c r="B4991" t="str">
        <f>"1551686255220156"</f>
        <v>1551686255220156</v>
      </c>
      <c r="C4991" t="s">
        <v>40</v>
      </c>
      <c r="D4991">
        <v>4.9060379999999997</v>
      </c>
      <c r="E4991">
        <v>0.50591949999999997</v>
      </c>
      <c r="F4991" t="s">
        <v>41</v>
      </c>
      <c r="G4991">
        <v>-422.44529999999997</v>
      </c>
      <c r="H4991" s="1">
        <v>-2.2047409999999999E-6</v>
      </c>
      <c r="I4991">
        <v>93.211740000000006</v>
      </c>
      <c r="J4991">
        <v>-422.05889999999999</v>
      </c>
      <c r="K4991">
        <v>1.1119520000000001</v>
      </c>
      <c r="L4991">
        <v>114.36799999999999</v>
      </c>
      <c r="M4991">
        <v>-8.3580699999999994E-2</v>
      </c>
      <c r="N4991">
        <v>-1.3976560000000001E-2</v>
      </c>
      <c r="O4991">
        <v>-0.99640300000000004</v>
      </c>
      <c r="P4991">
        <v>-3.5794899999999998E-2</v>
      </c>
      <c r="Q4991">
        <v>0.12735940000000001</v>
      </c>
      <c r="R4991">
        <v>-0.99121049999999999</v>
      </c>
      <c r="S4991">
        <v>-5.7434079999999998E-2</v>
      </c>
      <c r="T4991">
        <v>-0.15828349999999999</v>
      </c>
      <c r="U4991">
        <v>-3.0446010000000001</v>
      </c>
      <c r="V4991">
        <v>-4.7772120000000001E-2</v>
      </c>
      <c r="W4991">
        <v>0.1409965</v>
      </c>
      <c r="X4991">
        <v>0.98885679999999998</v>
      </c>
      <c r="Y4991">
        <v>-6.4762539999999993E-2</v>
      </c>
      <c r="Z4991">
        <v>3.7634979999999998E-2</v>
      </c>
      <c r="AA4991">
        <v>0.99719080000000004</v>
      </c>
      <c r="AB4991">
        <v>24</v>
      </c>
      <c r="AC4991">
        <v>-0.38639999999997998</v>
      </c>
      <c r="AD4991">
        <v>-1.111954204741</v>
      </c>
      <c r="AE4991">
        <v>-21.1562599999999</v>
      </c>
      <c r="AF4991">
        <v>-1.3795702771462199</v>
      </c>
      <c r="AG4991">
        <v>-1.111954204741</v>
      </c>
      <c r="AH4991">
        <v>21.0563707593044</v>
      </c>
      <c r="AI4991">
        <v>93.016437846886404</v>
      </c>
      <c r="AJ4991">
        <v>93.748544556582303</v>
      </c>
      <c r="AK4991">
        <v>21.130792835488201</v>
      </c>
      <c r="AL4991">
        <v>81.894486334372999</v>
      </c>
      <c r="AM4991">
        <v>92.765834676051597</v>
      </c>
      <c r="AN4991">
        <v>0.99999997968389198</v>
      </c>
    </row>
    <row r="4992" spans="1:40" x14ac:dyDescent="0.25">
      <c r="A4992" t="str">
        <f>"20190304155735245"</f>
        <v>20190304155735245</v>
      </c>
      <c r="B4992" t="str">
        <f>"1551686255239677"</f>
        <v>1551686255239677</v>
      </c>
      <c r="C4992" t="s">
        <v>40</v>
      </c>
      <c r="D4992">
        <v>4.9256080000000004</v>
      </c>
      <c r="E4992">
        <v>0.50514519999999996</v>
      </c>
      <c r="F4992" t="s">
        <v>41</v>
      </c>
      <c r="G4992">
        <v>-423.37689999999998</v>
      </c>
      <c r="H4992" s="1">
        <v>-4.7873050000000002E-6</v>
      </c>
      <c r="I4992">
        <v>89.294309999999996</v>
      </c>
      <c r="J4992">
        <v>-422.07569999999998</v>
      </c>
      <c r="K4992">
        <v>1.111826</v>
      </c>
      <c r="L4992">
        <v>114.12990000000001</v>
      </c>
      <c r="M4992">
        <v>-8.0985920000000003E-2</v>
      </c>
      <c r="N4992">
        <v>-1.3953149999999999E-2</v>
      </c>
      <c r="O4992">
        <v>-0.99661770000000005</v>
      </c>
      <c r="P4992">
        <v>-3.54306E-2</v>
      </c>
      <c r="Q4992">
        <v>0.12890779999999999</v>
      </c>
      <c r="R4992">
        <v>-0.99102349999999995</v>
      </c>
      <c r="S4992">
        <v>-0.15969849999999999</v>
      </c>
      <c r="T4992">
        <v>-0.13473450000000001</v>
      </c>
      <c r="U4992">
        <v>-3.0381469999999999</v>
      </c>
      <c r="V4992">
        <v>-4.549943E-2</v>
      </c>
      <c r="W4992">
        <v>0.14254420000000001</v>
      </c>
      <c r="X4992">
        <v>0.98874209999999996</v>
      </c>
      <c r="Y4992">
        <v>-2.8574909999999999E-2</v>
      </c>
      <c r="Z4992">
        <v>3.013248E-2</v>
      </c>
      <c r="AA4992">
        <v>0.99913739999999995</v>
      </c>
      <c r="AB4992">
        <v>24</v>
      </c>
      <c r="AC4992">
        <v>-1.3011999999999899</v>
      </c>
      <c r="AD4992">
        <v>-1.111830787305</v>
      </c>
      <c r="AE4992">
        <v>-24.83559</v>
      </c>
      <c r="AF4992">
        <v>-0.71317823352191401</v>
      </c>
      <c r="AG4992">
        <v>-1.111830787305</v>
      </c>
      <c r="AH4992">
        <v>24.8097981816295</v>
      </c>
      <c r="AI4992">
        <v>92.564888537261794</v>
      </c>
      <c r="AJ4992">
        <v>91.646561290201802</v>
      </c>
      <c r="AK4992">
        <v>24.844936641206299</v>
      </c>
      <c r="AL4992">
        <v>81.804904949370993</v>
      </c>
      <c r="AM4992">
        <v>92.634749237331704</v>
      </c>
      <c r="AN4992">
        <v>0.99999999369818704</v>
      </c>
    </row>
    <row r="4993" spans="1:40" x14ac:dyDescent="0.25">
      <c r="A4993" t="str">
        <f>"20190304155735267"</f>
        <v>20190304155735267</v>
      </c>
      <c r="B4993" t="str">
        <f>"1551686255260172"</f>
        <v>1551686255260172</v>
      </c>
      <c r="C4993" t="s">
        <v>40</v>
      </c>
      <c r="D4993">
        <v>4.9998319999999996</v>
      </c>
      <c r="E4993">
        <v>0.50527279999999997</v>
      </c>
      <c r="F4993" t="s">
        <v>41</v>
      </c>
      <c r="G4993">
        <v>-423.40800000000002</v>
      </c>
      <c r="H4993" s="1">
        <v>-4.191183E-6</v>
      </c>
      <c r="I4993">
        <v>87.526330000000002</v>
      </c>
      <c r="J4993">
        <v>-422.09210000000002</v>
      </c>
      <c r="K4993">
        <v>1.111713</v>
      </c>
      <c r="L4993">
        <v>113.8913</v>
      </c>
      <c r="M4993">
        <v>-7.8582159999999998E-2</v>
      </c>
      <c r="N4993">
        <v>-1.393027E-2</v>
      </c>
      <c r="O4993">
        <v>-0.99681030000000004</v>
      </c>
      <c r="P4993">
        <v>-3.4206779999999999E-2</v>
      </c>
      <c r="Q4993">
        <v>0.12900410000000001</v>
      </c>
      <c r="R4993">
        <v>-0.99105410000000005</v>
      </c>
      <c r="S4993">
        <v>-0.15216060000000001</v>
      </c>
      <c r="T4993">
        <v>-0.12697629999999999</v>
      </c>
      <c r="U4993">
        <v>-3.0382539999999998</v>
      </c>
      <c r="V4993">
        <v>-4.4291369999999997E-2</v>
      </c>
      <c r="W4993">
        <v>0.14263619999999999</v>
      </c>
      <c r="X4993">
        <v>0.98878370000000004</v>
      </c>
      <c r="Y4993">
        <v>-2.8635239999999999E-2</v>
      </c>
      <c r="Z4993">
        <v>2.7633209999999998E-2</v>
      </c>
      <c r="AA4993">
        <v>0.99920790000000004</v>
      </c>
      <c r="AB4993">
        <v>24</v>
      </c>
      <c r="AC4993">
        <v>-1.3158999999999901</v>
      </c>
      <c r="AD4993">
        <v>-1.1117171911829999</v>
      </c>
      <c r="AE4993">
        <v>-26.36497</v>
      </c>
      <c r="AF4993">
        <v>-0.75884151079073503</v>
      </c>
      <c r="AG4993">
        <v>-1.1117171911829999</v>
      </c>
      <c r="AH4993">
        <v>26.340123875078699</v>
      </c>
      <c r="AI4993">
        <v>92.415803029041697</v>
      </c>
      <c r="AJ4993">
        <v>91.650196991180394</v>
      </c>
      <c r="AK4993">
        <v>26.374493005670502</v>
      </c>
      <c r="AL4993">
        <v>81.799579439038695</v>
      </c>
      <c r="AM4993">
        <v>92.564780669428899</v>
      </c>
      <c r="AN4993">
        <v>1.0000000081963001</v>
      </c>
    </row>
    <row r="4994" spans="1:40" x14ac:dyDescent="0.25">
      <c r="A4994" t="str">
        <f>"20190304155735290"</f>
        <v>20190304155735290</v>
      </c>
      <c r="B4994" t="str">
        <f>"1551686255279693"</f>
        <v>1551686255279693</v>
      </c>
      <c r="C4994" t="s">
        <v>40</v>
      </c>
      <c r="D4994">
        <v>4.9029759999999998</v>
      </c>
      <c r="E4994">
        <v>0.50531490000000001</v>
      </c>
      <c r="F4994" t="s">
        <v>41</v>
      </c>
      <c r="G4994">
        <v>-423.40570000000002</v>
      </c>
      <c r="H4994" s="1">
        <v>-4.136712E-6</v>
      </c>
      <c r="I4994">
        <v>87.367459999999994</v>
      </c>
      <c r="J4994">
        <v>-422.10770000000002</v>
      </c>
      <c r="K4994">
        <v>1.1116090000000001</v>
      </c>
      <c r="L4994">
        <v>113.66030000000001</v>
      </c>
      <c r="M4994">
        <v>-7.6424580000000006E-2</v>
      </c>
      <c r="N4994">
        <v>-1.390299E-2</v>
      </c>
      <c r="O4994">
        <v>-0.99697849999999999</v>
      </c>
      <c r="P4994">
        <v>-3.3124580000000001E-2</v>
      </c>
      <c r="Q4994">
        <v>0.12831629999999999</v>
      </c>
      <c r="R4994">
        <v>-0.9911799</v>
      </c>
      <c r="S4994">
        <v>-0.15048220000000001</v>
      </c>
      <c r="T4994">
        <v>-0.1273541</v>
      </c>
      <c r="U4994">
        <v>-3.0384669999999998</v>
      </c>
      <c r="V4994">
        <v>-4.3198569999999999E-2</v>
      </c>
      <c r="W4994">
        <v>0.14193729999999999</v>
      </c>
      <c r="X4994">
        <v>0.98893260000000005</v>
      </c>
      <c r="Y4994">
        <v>-2.7026709999999999E-2</v>
      </c>
      <c r="Z4994">
        <v>2.7791920000000001E-2</v>
      </c>
      <c r="AA4994">
        <v>0.99924829999999998</v>
      </c>
      <c r="AB4994">
        <v>24</v>
      </c>
      <c r="AC4994">
        <v>-1.298</v>
      </c>
      <c r="AD4994">
        <v>-1.1116131367119999</v>
      </c>
      <c r="AE4994">
        <v>-26.292840000000002</v>
      </c>
      <c r="AF4994">
        <v>-0.71413688052502799</v>
      </c>
      <c r="AG4994">
        <v>-1.1116131367119999</v>
      </c>
      <c r="AH4994">
        <v>26.268297900807902</v>
      </c>
      <c r="AI4994">
        <v>92.422284146376896</v>
      </c>
      <c r="AJ4994">
        <v>91.557274604360003</v>
      </c>
      <c r="AK4994">
        <v>26.301504707058601</v>
      </c>
      <c r="AL4994">
        <v>81.840035013042296</v>
      </c>
      <c r="AM4994">
        <v>92.501205120722801</v>
      </c>
      <c r="AN4994">
        <v>1.00000000046204</v>
      </c>
    </row>
    <row r="4995" spans="1:40" x14ac:dyDescent="0.25">
      <c r="A4995" t="str">
        <f>"20190304155735312"</f>
        <v>20190304155735312</v>
      </c>
      <c r="B4995" t="str">
        <f>"1551686255300189"</f>
        <v>1551686255300189</v>
      </c>
      <c r="C4995" t="s">
        <v>40</v>
      </c>
      <c r="D4995">
        <v>5.0291480000000002</v>
      </c>
      <c r="E4995">
        <v>0.50600829999999997</v>
      </c>
      <c r="F4995" t="s">
        <v>41</v>
      </c>
      <c r="G4995">
        <v>-423.38010000000003</v>
      </c>
      <c r="H4995" s="1">
        <v>-4.1773410000000003E-6</v>
      </c>
      <c r="I4995">
        <v>87.500190000000003</v>
      </c>
      <c r="J4995">
        <v>-422.1234</v>
      </c>
      <c r="K4995">
        <v>1.1115060000000001</v>
      </c>
      <c r="L4995">
        <v>113.4212</v>
      </c>
      <c r="M4995">
        <v>-7.4344160000000006E-2</v>
      </c>
      <c r="N4995">
        <v>-1.386369E-2</v>
      </c>
      <c r="O4995">
        <v>-0.99713640000000003</v>
      </c>
      <c r="P4995">
        <v>-3.2257000000000001E-2</v>
      </c>
      <c r="Q4995">
        <v>0.12754889999999999</v>
      </c>
      <c r="R4995">
        <v>-0.99130770000000001</v>
      </c>
      <c r="S4995">
        <v>-0.1477966</v>
      </c>
      <c r="T4995">
        <v>-0.12911259999999999</v>
      </c>
      <c r="U4995">
        <v>-3.0384669999999998</v>
      </c>
      <c r="V4995">
        <v>-4.1968789999999999E-2</v>
      </c>
      <c r="W4995">
        <v>0.14114760000000001</v>
      </c>
      <c r="X4995">
        <v>0.98909849999999999</v>
      </c>
      <c r="Y4995">
        <v>-2.582315E-2</v>
      </c>
      <c r="Z4995">
        <v>2.841604E-2</v>
      </c>
      <c r="AA4995">
        <v>0.9992626</v>
      </c>
      <c r="AB4995">
        <v>24</v>
      </c>
      <c r="AC4995">
        <v>-1.2567000000000199</v>
      </c>
      <c r="AD4995">
        <v>-1.1115101773410001</v>
      </c>
      <c r="AE4995">
        <v>-25.9210099999999</v>
      </c>
      <c r="AF4995">
        <v>-0.67280487350368801</v>
      </c>
      <c r="AG4995">
        <v>-1.1115101773410001</v>
      </c>
      <c r="AH4995">
        <v>25.8951976372838</v>
      </c>
      <c r="AI4995">
        <v>92.456993365523701</v>
      </c>
      <c r="AJ4995">
        <v>91.488314919301402</v>
      </c>
      <c r="AK4995">
        <v>25.927772406169701</v>
      </c>
      <c r="AL4995">
        <v>81.885741110404396</v>
      </c>
      <c r="AM4995">
        <v>92.429680135890493</v>
      </c>
      <c r="AN4995">
        <v>0.999999933511034</v>
      </c>
    </row>
    <row r="4996" spans="1:40" x14ac:dyDescent="0.25">
      <c r="A4996" t="str">
        <f>"20190304155735334"</f>
        <v>20190304155735334</v>
      </c>
      <c r="B4996" t="str">
        <f>"1551686255329468"</f>
        <v>1551686255329468</v>
      </c>
      <c r="C4996" t="s">
        <v>40</v>
      </c>
      <c r="D4996">
        <v>4.963031</v>
      </c>
      <c r="E4996">
        <v>0.50663910000000001</v>
      </c>
      <c r="F4996" t="s">
        <v>41</v>
      </c>
      <c r="G4996">
        <v>-423.35599999999999</v>
      </c>
      <c r="H4996" s="1">
        <v>-4.5219410000000003E-6</v>
      </c>
      <c r="I4996">
        <v>88.525409999999994</v>
      </c>
      <c r="J4996">
        <v>-422.13830000000002</v>
      </c>
      <c r="K4996">
        <v>1.1114090000000001</v>
      </c>
      <c r="L4996">
        <v>113.19029999999999</v>
      </c>
      <c r="M4996">
        <v>-7.2439480000000001E-2</v>
      </c>
      <c r="N4996">
        <v>-1.381195E-2</v>
      </c>
      <c r="O4996">
        <v>-0.99727710000000003</v>
      </c>
      <c r="P4996">
        <v>-3.10589E-2</v>
      </c>
      <c r="Q4996">
        <v>0.1269962</v>
      </c>
      <c r="R4996">
        <v>-0.99141690000000005</v>
      </c>
      <c r="S4996">
        <v>-0.15045169999999999</v>
      </c>
      <c r="T4996">
        <v>-0.135674499999999</v>
      </c>
      <c r="U4996">
        <v>-3.0388639999999998</v>
      </c>
      <c r="V4996">
        <v>-4.1248779999999999E-2</v>
      </c>
      <c r="W4996">
        <v>0.1405555</v>
      </c>
      <c r="X4996">
        <v>0.98921320000000001</v>
      </c>
      <c r="Y4996">
        <v>-2.305304E-2</v>
      </c>
      <c r="Z4996">
        <v>3.0615610000000001E-2</v>
      </c>
      <c r="AA4996">
        <v>0.99926539999999997</v>
      </c>
      <c r="AB4996">
        <v>24</v>
      </c>
      <c r="AC4996">
        <v>-1.21769999999997</v>
      </c>
      <c r="AD4996">
        <v>-1.111413521941</v>
      </c>
      <c r="AE4996">
        <v>-24.66489</v>
      </c>
      <c r="AF4996">
        <v>-0.57122509410705102</v>
      </c>
      <c r="AG4996">
        <v>-1.111413521941</v>
      </c>
      <c r="AH4996">
        <v>24.638390767997802</v>
      </c>
      <c r="AI4996">
        <v>92.5821123091755</v>
      </c>
      <c r="AJ4996">
        <v>91.328127521848998</v>
      </c>
      <c r="AK4996">
        <v>24.670059541100599</v>
      </c>
      <c r="AL4996">
        <v>81.920008362984106</v>
      </c>
      <c r="AM4996">
        <v>92.3877690254144</v>
      </c>
      <c r="AN4996">
        <v>1.0000000327429801</v>
      </c>
    </row>
    <row r="4997" spans="1:40" x14ac:dyDescent="0.25">
      <c r="A4997" t="str">
        <f>"20190304155735356"</f>
        <v>20190304155735356</v>
      </c>
      <c r="B4997" t="str">
        <f>"1551686255349968"</f>
        <v>1551686255349968</v>
      </c>
      <c r="C4997" t="s">
        <v>40</v>
      </c>
      <c r="D4997">
        <v>4.9642780000000002</v>
      </c>
      <c r="E4997">
        <v>0.50643400000000005</v>
      </c>
      <c r="F4997" t="s">
        <v>41</v>
      </c>
      <c r="G4997">
        <v>-423.36579999999998</v>
      </c>
      <c r="H4997" s="1">
        <v>-4.5562179999999998E-6</v>
      </c>
      <c r="I4997">
        <v>88.620999999999995</v>
      </c>
      <c r="J4997">
        <v>-422.15339999999998</v>
      </c>
      <c r="K4997">
        <v>1.111329</v>
      </c>
      <c r="L4997">
        <v>112.9509</v>
      </c>
      <c r="M4997">
        <v>-7.0546689999999995E-2</v>
      </c>
      <c r="N4997">
        <v>-1.375035E-2</v>
      </c>
      <c r="O4997">
        <v>-0.99741380000000002</v>
      </c>
      <c r="P4997">
        <v>-2.9384609999999999E-2</v>
      </c>
      <c r="Q4997">
        <v>0.1268657</v>
      </c>
      <c r="R4997">
        <v>-0.9914849</v>
      </c>
      <c r="S4997">
        <v>-0.15182499999999999</v>
      </c>
      <c r="T4997">
        <v>-0.13746429999999901</v>
      </c>
      <c r="U4997">
        <v>-3.038834</v>
      </c>
      <c r="V4997">
        <v>-4.1020620000000001E-2</v>
      </c>
      <c r="W4997">
        <v>0.14037140000000001</v>
      </c>
      <c r="X4997">
        <v>0.98924880000000004</v>
      </c>
      <c r="Y4997">
        <v>-2.0706539999999999E-2</v>
      </c>
      <c r="Z4997">
        <v>3.1271699999999999E-2</v>
      </c>
      <c r="AA4997">
        <v>0.99929639999999997</v>
      </c>
      <c r="AB4997">
        <v>24</v>
      </c>
      <c r="AC4997">
        <v>-1.2123999999999999</v>
      </c>
      <c r="AD4997">
        <v>-1.111333556218</v>
      </c>
      <c r="AE4997">
        <v>-24.329899999999899</v>
      </c>
      <c r="AF4997">
        <v>-0.50612393394563204</v>
      </c>
      <c r="AG4997">
        <v>-1.111333556218</v>
      </c>
      <c r="AH4997">
        <v>24.304224982183399</v>
      </c>
      <c r="AI4997">
        <v>92.617513060314593</v>
      </c>
      <c r="AJ4997">
        <v>91.192984946488096</v>
      </c>
      <c r="AK4997">
        <v>24.334883926048999</v>
      </c>
      <c r="AL4997">
        <v>81.930661911259193</v>
      </c>
      <c r="AM4997">
        <v>92.374491327105005</v>
      </c>
      <c r="AN4997">
        <v>1.0000000047522899</v>
      </c>
    </row>
    <row r="4998" spans="1:40" x14ac:dyDescent="0.25">
      <c r="A4998" t="str">
        <f>"20190304155735379"</f>
        <v>20190304155735379</v>
      </c>
      <c r="B4998" t="str">
        <f>"1551686255369485"</f>
        <v>1551686255369485</v>
      </c>
      <c r="C4998" t="s">
        <v>40</v>
      </c>
      <c r="D4998">
        <v>4.4215609999999996</v>
      </c>
      <c r="E4998">
        <v>0.50330549999999996</v>
      </c>
      <c r="F4998" t="s">
        <v>41</v>
      </c>
      <c r="G4998">
        <v>-423.30430000000001</v>
      </c>
      <c r="H4998" s="1">
        <v>-4.6113459999999901E-6</v>
      </c>
      <c r="I4998">
        <v>88.815079999999995</v>
      </c>
      <c r="J4998">
        <v>-422.1678</v>
      </c>
      <c r="K4998">
        <v>1.111278</v>
      </c>
      <c r="L4998">
        <v>112.7174</v>
      </c>
      <c r="M4998">
        <v>-6.8767110000000006E-2</v>
      </c>
      <c r="N4998">
        <v>-1.3680929999999999E-2</v>
      </c>
      <c r="O4998">
        <v>-0.99753899999999995</v>
      </c>
      <c r="P4998">
        <v>-2.8001930000000001E-2</v>
      </c>
      <c r="Q4998">
        <v>0.12613479999999999</v>
      </c>
      <c r="R4998">
        <v>-0.99161820000000001</v>
      </c>
      <c r="S4998">
        <v>-0.144928</v>
      </c>
      <c r="T4998">
        <v>-0.13994770000000001</v>
      </c>
      <c r="U4998">
        <v>-3.0393680000000001</v>
      </c>
      <c r="V4998">
        <v>-4.0625210000000002E-2</v>
      </c>
      <c r="W4998">
        <v>0.13957820000000001</v>
      </c>
      <c r="X4998">
        <v>0.98937730000000002</v>
      </c>
      <c r="Y4998">
        <v>-2.1194810000000001E-2</v>
      </c>
      <c r="Z4998">
        <v>3.2153580000000001E-2</v>
      </c>
      <c r="AA4998">
        <v>0.99925819999999999</v>
      </c>
      <c r="AB4998">
        <v>24</v>
      </c>
      <c r="AC4998">
        <v>-1.1365000000000101</v>
      </c>
      <c r="AD4998">
        <v>-1.1112826113459999</v>
      </c>
      <c r="AE4998">
        <v>-23.9023199999999</v>
      </c>
      <c r="AF4998">
        <v>-0.50894046516089597</v>
      </c>
      <c r="AG4998">
        <v>-1.1112826113459999</v>
      </c>
      <c r="AH4998">
        <v>23.872402108946499</v>
      </c>
      <c r="AI4998">
        <v>92.6646433556445</v>
      </c>
      <c r="AJ4998">
        <v>91.2213150527311</v>
      </c>
      <c r="AK4998">
        <v>23.903672351556999</v>
      </c>
      <c r="AL4998">
        <v>81.9765604482415</v>
      </c>
      <c r="AM4998">
        <v>92.351323631659298</v>
      </c>
      <c r="AN4998">
        <v>0.99999996167903604</v>
      </c>
    </row>
    <row r="4999" spans="1:40" x14ac:dyDescent="0.25">
      <c r="A4999" t="str">
        <f>"20190304155735401"</f>
        <v>20190304155735401</v>
      </c>
      <c r="B4999" t="str">
        <f>"1551686255389980"</f>
        <v>1551686255389980</v>
      </c>
      <c r="C4999" t="s">
        <v>40</v>
      </c>
      <c r="D4999">
        <v>4.4540309999999996</v>
      </c>
      <c r="E4999">
        <v>0.50424840000000004</v>
      </c>
      <c r="F4999" t="s">
        <v>41</v>
      </c>
      <c r="G4999">
        <v>-423.0804</v>
      </c>
      <c r="H4999" s="1">
        <v>-4.5445789999999997E-6</v>
      </c>
      <c r="I4999">
        <v>88.735569999999996</v>
      </c>
      <c r="J4999">
        <v>-422.18209999999999</v>
      </c>
      <c r="K4999">
        <v>1.111243</v>
      </c>
      <c r="L4999">
        <v>112.47969999999999</v>
      </c>
      <c r="M4999">
        <v>-6.7010479999999997E-2</v>
      </c>
      <c r="N4999">
        <v>-1.3597679999999999E-2</v>
      </c>
      <c r="O4999">
        <v>-0.99765959999999998</v>
      </c>
      <c r="P4999">
        <v>-2.6517869999999999E-2</v>
      </c>
      <c r="Q4999">
        <v>0.12558639999999999</v>
      </c>
      <c r="R4999">
        <v>-0.99172830000000001</v>
      </c>
      <c r="S4999">
        <v>-0.11569210000000001</v>
      </c>
      <c r="T4999">
        <v>-0.14086949999999901</v>
      </c>
      <c r="U4999">
        <v>-3.040009</v>
      </c>
      <c r="V4999">
        <v>-4.0357530000000003E-2</v>
      </c>
      <c r="W4999">
        <v>0.13895160000000001</v>
      </c>
      <c r="X4999">
        <v>0.98947649999999998</v>
      </c>
      <c r="Y4999">
        <v>-2.9033050000000001E-2</v>
      </c>
      <c r="Z4999">
        <v>3.2536420000000003E-2</v>
      </c>
      <c r="AA4999">
        <v>0.99904879999999996</v>
      </c>
      <c r="AB4999">
        <v>24</v>
      </c>
      <c r="AC4999">
        <v>-0.89830000000000598</v>
      </c>
      <c r="AD4999">
        <v>-1.111247544579</v>
      </c>
      <c r="AE4999">
        <v>-23.744129999999998</v>
      </c>
      <c r="AF4999">
        <v>-0.693455465374754</v>
      </c>
      <c r="AG4999">
        <v>-1.111247544579</v>
      </c>
      <c r="AH4999">
        <v>23.6991162031096</v>
      </c>
      <c r="AI4999">
        <v>92.683476163619702</v>
      </c>
      <c r="AJ4999">
        <v>91.676042999086505</v>
      </c>
      <c r="AK4999">
        <v>23.7352872406526</v>
      </c>
      <c r="AL4999">
        <v>82.012815677369005</v>
      </c>
      <c r="AM4999">
        <v>92.335614028399206</v>
      </c>
      <c r="AN4999">
        <v>1.0000000107112501</v>
      </c>
    </row>
    <row r="5000" spans="1:40" x14ac:dyDescent="0.25">
      <c r="A5000" t="str">
        <f>"20190304155735470"</f>
        <v>20190304155735470</v>
      </c>
      <c r="B5000" t="str">
        <f>"1551686255459276"</f>
        <v>1551686255459276</v>
      </c>
      <c r="C5000" t="s">
        <v>40</v>
      </c>
      <c r="D5000">
        <v>4.6936980000000004</v>
      </c>
      <c r="E5000">
        <v>0.50258559999999997</v>
      </c>
      <c r="F5000" t="s">
        <v>41</v>
      </c>
      <c r="G5000">
        <v>-422.95490000000001</v>
      </c>
      <c r="H5000" s="1">
        <v>-2.0932539999999999E-6</v>
      </c>
      <c r="I5000">
        <v>92.635810000000006</v>
      </c>
      <c r="J5000">
        <v>-422.22269999999997</v>
      </c>
      <c r="K5000">
        <v>1.1111789999999999</v>
      </c>
      <c r="L5000">
        <v>111.76649999999999</v>
      </c>
      <c r="M5000">
        <v>-6.1878900000000001E-2</v>
      </c>
      <c r="N5000">
        <v>-1.3276059999999999E-2</v>
      </c>
      <c r="O5000">
        <v>-0.99799559999999998</v>
      </c>
      <c r="P5000">
        <v>-1.977344E-2</v>
      </c>
      <c r="Q5000">
        <v>0.12669130000000001</v>
      </c>
      <c r="R5000">
        <v>-0.99174549999999995</v>
      </c>
      <c r="S5000">
        <v>-0.11853030000000001</v>
      </c>
      <c r="T5000">
        <v>-0.17042979999999899</v>
      </c>
      <c r="U5000">
        <v>-3.0434269999999999</v>
      </c>
      <c r="V5000">
        <v>-4.198673E-2</v>
      </c>
      <c r="W5000">
        <v>0.1397331</v>
      </c>
      <c r="X5000">
        <v>0.98929860000000003</v>
      </c>
      <c r="Y5000">
        <v>-2.301986E-2</v>
      </c>
      <c r="Z5000">
        <v>4.2478439999999999E-2</v>
      </c>
      <c r="AA5000">
        <v>0.99883219999999995</v>
      </c>
      <c r="AB5000">
        <v>24</v>
      </c>
      <c r="AC5000">
        <v>-0.73220000000003405</v>
      </c>
      <c r="AD5000">
        <v>-1.1111810932540001</v>
      </c>
      <c r="AE5000">
        <v>-19.130689999999898</v>
      </c>
      <c r="AF5000">
        <v>-0.45157225244451099</v>
      </c>
      <c r="AG5000">
        <v>-1.1111810932540001</v>
      </c>
      <c r="AH5000">
        <v>19.075074707434101</v>
      </c>
      <c r="AI5000">
        <v>93.332953956307406</v>
      </c>
      <c r="AJ5000">
        <v>91.356133742863193</v>
      </c>
      <c r="AK5000">
        <v>19.112747474274201</v>
      </c>
      <c r="AL5000">
        <v>81.967597582133195</v>
      </c>
      <c r="AM5000">
        <v>92.430226424353293</v>
      </c>
      <c r="AN5000">
        <v>0.99999997234683102</v>
      </c>
    </row>
    <row r="5001" spans="1:40" x14ac:dyDescent="0.25">
      <c r="A5001" t="str">
        <f>"20190304155735491"</f>
        <v>20190304155735491</v>
      </c>
      <c r="B5001" t="str">
        <f>"1551686255479772"</f>
        <v>1551686255479772</v>
      </c>
      <c r="C5001" t="s">
        <v>40</v>
      </c>
      <c r="D5001">
        <v>4.6589410000000004</v>
      </c>
      <c r="E5001">
        <v>0.48572569999999998</v>
      </c>
      <c r="F5001" t="s">
        <v>42</v>
      </c>
      <c r="G5001">
        <v>-422.24329999999998</v>
      </c>
      <c r="H5001">
        <v>0.96805569999999996</v>
      </c>
      <c r="I5001">
        <v>111.0645</v>
      </c>
      <c r="J5001">
        <v>-422.23509999999999</v>
      </c>
      <c r="K5001">
        <v>1.1111719999999901</v>
      </c>
      <c r="L5001">
        <v>111.5337</v>
      </c>
      <c r="M5001">
        <v>-6.0202150000000003E-2</v>
      </c>
      <c r="N5001">
        <v>-1.31564E-2</v>
      </c>
      <c r="O5001">
        <v>-0.99809950000000003</v>
      </c>
      <c r="P5001">
        <v>-1.6939119999999998E-2</v>
      </c>
      <c r="Q5001">
        <v>0.1272189</v>
      </c>
      <c r="R5001">
        <v>-0.99173009999999995</v>
      </c>
      <c r="S5001">
        <v>-9.0789789999999995E-2</v>
      </c>
      <c r="T5001">
        <v>-0.63291059999999999</v>
      </c>
      <c r="U5001">
        <v>-3.1040040000000002</v>
      </c>
      <c r="V5001">
        <v>-4.3153169999999998E-2</v>
      </c>
      <c r="W5001">
        <v>0.14013729999999999</v>
      </c>
      <c r="X5001">
        <v>0.9891913</v>
      </c>
      <c r="Y5001">
        <v>-3.1466399999999999E-2</v>
      </c>
      <c r="Z5001">
        <v>0.1862646</v>
      </c>
      <c r="AA5001">
        <v>0.98199559999999997</v>
      </c>
      <c r="AB5001">
        <v>24</v>
      </c>
      <c r="AC5001">
        <v>-8.1999999999879895E-3</v>
      </c>
      <c r="AD5001">
        <v>-0.143116299999999</v>
      </c>
      <c r="AE5001">
        <v>-0.46920000000000001</v>
      </c>
      <c r="AF5001">
        <v>-1.8356803421020799E-2</v>
      </c>
      <c r="AG5001">
        <v>-0.143116299999999</v>
      </c>
      <c r="AH5001">
        <v>0.428946238128881</v>
      </c>
      <c r="AI5001">
        <v>108.435351209136</v>
      </c>
      <c r="AJ5001">
        <v>92.4504842238903</v>
      </c>
      <c r="AK5001">
        <v>0.45256394328585903</v>
      </c>
      <c r="AL5001">
        <v>81.944209070836493</v>
      </c>
      <c r="AM5001">
        <v>92.497927167812904</v>
      </c>
      <c r="AN5001">
        <v>1.0000000434640099</v>
      </c>
    </row>
    <row r="5002" spans="1:40" x14ac:dyDescent="0.25">
      <c r="A5002" t="str">
        <f>"20190304155735512"</f>
        <v>20190304155735512</v>
      </c>
      <c r="B5002" t="str">
        <f>"1551686255510028"</f>
        <v>1551686255510028</v>
      </c>
      <c r="C5002" t="s">
        <v>40</v>
      </c>
      <c r="D5002">
        <v>5.826028</v>
      </c>
      <c r="E5002">
        <v>0.4980174</v>
      </c>
      <c r="F5002" t="s">
        <v>41</v>
      </c>
      <c r="G5002">
        <v>-421.61860000000001</v>
      </c>
      <c r="H5002" s="1">
        <v>-4.4253109999999999E-6</v>
      </c>
      <c r="I5002">
        <v>79.147090000000006</v>
      </c>
      <c r="J5002">
        <v>-422.24689999999998</v>
      </c>
      <c r="K5002">
        <v>1.1111580000000001</v>
      </c>
      <c r="L5002">
        <v>111.306</v>
      </c>
      <c r="M5002">
        <v>-5.8555160000000002E-2</v>
      </c>
      <c r="N5002">
        <v>-1.3032729999999999E-2</v>
      </c>
      <c r="O5002">
        <v>-0.99819899999999995</v>
      </c>
      <c r="P5002">
        <v>-1.446975E-2</v>
      </c>
      <c r="Q5002">
        <v>0.1272847</v>
      </c>
      <c r="R5002">
        <v>-0.9917608</v>
      </c>
      <c r="S5002">
        <v>5.7861330000000002E-2</v>
      </c>
      <c r="T5002">
        <v>-0.1042806</v>
      </c>
      <c r="U5002">
        <v>-3.0393829999999999</v>
      </c>
      <c r="V5002">
        <v>-4.3986980000000002E-2</v>
      </c>
      <c r="W5002">
        <v>0.14007729999999999</v>
      </c>
      <c r="X5002">
        <v>0.98916300000000001</v>
      </c>
      <c r="Y5002">
        <v>-7.7522389999999997E-2</v>
      </c>
      <c r="Z5002">
        <v>2.111143E-2</v>
      </c>
      <c r="AA5002">
        <v>0.99676699999999996</v>
      </c>
      <c r="AB5002">
        <v>24</v>
      </c>
      <c r="AC5002">
        <v>0.628299999999967</v>
      </c>
      <c r="AD5002">
        <v>-1.111162425311</v>
      </c>
      <c r="AE5002">
        <v>-32.158909999999899</v>
      </c>
      <c r="AF5002">
        <v>-2.5074596050131799</v>
      </c>
      <c r="AG5002">
        <v>-1.111162425311</v>
      </c>
      <c r="AH5002">
        <v>32.028705080417197</v>
      </c>
      <c r="AI5002">
        <v>91.980892380208303</v>
      </c>
      <c r="AJ5002">
        <v>94.476434995190203</v>
      </c>
      <c r="AK5002">
        <v>32.145917077204999</v>
      </c>
      <c r="AL5002">
        <v>81.947680488659898</v>
      </c>
      <c r="AM5002">
        <v>92.546202207297398</v>
      </c>
      <c r="AN5002">
        <v>0.99999997247690398</v>
      </c>
    </row>
    <row r="5003" spans="1:40" x14ac:dyDescent="0.25">
      <c r="A5003" t="str">
        <f>"20190304155735536"</f>
        <v>20190304155735536</v>
      </c>
      <c r="B5003" t="str">
        <f>"1551686255529548"</f>
        <v>1551686255529548</v>
      </c>
      <c r="C5003" t="s">
        <v>40</v>
      </c>
      <c r="D5003">
        <v>7.5636460000000003</v>
      </c>
      <c r="E5003">
        <v>0.4960522</v>
      </c>
      <c r="F5003" t="s">
        <v>41</v>
      </c>
      <c r="G5003">
        <v>-422.80369999999999</v>
      </c>
      <c r="H5003" s="1">
        <v>-1.1742910000000001E-6</v>
      </c>
      <c r="I5003">
        <v>60.58746</v>
      </c>
      <c r="J5003">
        <v>-422.2595</v>
      </c>
      <c r="K5003">
        <v>1.1111500000000001</v>
      </c>
      <c r="L5003">
        <v>111.0558</v>
      </c>
      <c r="M5003">
        <v>-5.6736889999999998E-2</v>
      </c>
      <c r="N5003">
        <v>-1.289819E-2</v>
      </c>
      <c r="O5003">
        <v>-0.99830589999999997</v>
      </c>
      <c r="P5003">
        <v>-1.226084E-2</v>
      </c>
      <c r="Q5003">
        <v>0.12691659999999999</v>
      </c>
      <c r="R5003">
        <v>-0.99183779999999999</v>
      </c>
      <c r="S5003">
        <v>-3.329468E-2</v>
      </c>
      <c r="T5003">
        <v>-6.6447500000000007E-2</v>
      </c>
      <c r="U5003">
        <v>-3.0329739999999998</v>
      </c>
      <c r="V5003">
        <v>-4.4394389999999999E-2</v>
      </c>
      <c r="W5003">
        <v>0.13957449999999999</v>
      </c>
      <c r="X5003">
        <v>0.98921590000000004</v>
      </c>
      <c r="Y5003">
        <v>-4.5769129999999998E-2</v>
      </c>
      <c r="Z5003">
        <v>8.9451540000000003E-3</v>
      </c>
      <c r="AA5003">
        <v>0.99891200000000002</v>
      </c>
      <c r="AB5003">
        <v>24</v>
      </c>
      <c r="AC5003">
        <v>-0.54419999999998903</v>
      </c>
      <c r="AD5003">
        <v>-1.1111511742910001</v>
      </c>
      <c r="AE5003">
        <v>-50.468339999999998</v>
      </c>
      <c r="AF5003">
        <v>-2.31920739570731</v>
      </c>
      <c r="AG5003">
        <v>-1.1111511742910001</v>
      </c>
      <c r="AH5003">
        <v>50.3934842343646</v>
      </c>
      <c r="AI5003">
        <v>91.261803537752201</v>
      </c>
      <c r="AJ5003">
        <v>92.635005335433405</v>
      </c>
      <c r="AK5003">
        <v>50.459058980083903</v>
      </c>
      <c r="AL5003">
        <v>81.976774846673706</v>
      </c>
      <c r="AM5003">
        <v>92.569616575666501</v>
      </c>
      <c r="AN5003">
        <v>0.99999999986326504</v>
      </c>
    </row>
    <row r="5004" spans="1:40" x14ac:dyDescent="0.25">
      <c r="A5004" t="str">
        <f>"20190304155735557"</f>
        <v>20190304155735557</v>
      </c>
      <c r="B5004" t="str">
        <f>"1551686255550048"</f>
        <v>1551686255550048</v>
      </c>
      <c r="C5004" t="s">
        <v>40</v>
      </c>
      <c r="D5004">
        <v>4.9997530000000001</v>
      </c>
      <c r="E5004">
        <v>0.496859</v>
      </c>
      <c r="F5004" t="s">
        <v>83</v>
      </c>
      <c r="G5004">
        <v>-422.65230000000003</v>
      </c>
      <c r="H5004">
        <v>1.1842760000000001</v>
      </c>
      <c r="I5004">
        <v>0.4504147</v>
      </c>
      <c r="J5004">
        <v>-422.27010000000001</v>
      </c>
      <c r="K5004">
        <v>1.1111409999999999</v>
      </c>
      <c r="L5004">
        <v>110.8366</v>
      </c>
      <c r="M5004">
        <v>-5.5135179999999999E-2</v>
      </c>
      <c r="N5004">
        <v>-1.278746E-2</v>
      </c>
      <c r="O5004">
        <v>-0.99839719999999998</v>
      </c>
      <c r="P5004">
        <v>-1.0220770000000001E-2</v>
      </c>
      <c r="Q5004">
        <v>0.1261176</v>
      </c>
      <c r="R5004">
        <v>-0.99196300000000004</v>
      </c>
      <c r="S5004">
        <v>-1.074219E-2</v>
      </c>
      <c r="T5004">
        <v>1.9986629999999999E-3</v>
      </c>
      <c r="U5004">
        <v>-3.024292</v>
      </c>
      <c r="V5004">
        <v>-4.4849220000000002E-2</v>
      </c>
      <c r="W5004">
        <v>0.1386645</v>
      </c>
      <c r="X5004">
        <v>0.98932339999999996</v>
      </c>
      <c r="Y5004">
        <v>-5.1589110000000001E-2</v>
      </c>
      <c r="Z5004">
        <v>-1.344506E-2</v>
      </c>
      <c r="AA5004">
        <v>0.99857790000000002</v>
      </c>
      <c r="AB5004">
        <v>24</v>
      </c>
      <c r="AC5004">
        <v>-0.38220000000001098</v>
      </c>
      <c r="AD5004">
        <v>7.3135000000000103E-2</v>
      </c>
      <c r="AE5004">
        <v>-110.38618529999999</v>
      </c>
      <c r="AF5004">
        <v>-5.7050376695059999</v>
      </c>
      <c r="AG5004">
        <v>7.3135000000000103E-2</v>
      </c>
      <c r="AH5004">
        <v>110.239275349877</v>
      </c>
      <c r="AI5004">
        <v>89.962039607287494</v>
      </c>
      <c r="AJ5004">
        <v>92.962494398566903</v>
      </c>
      <c r="AK5004">
        <v>110.386822733534</v>
      </c>
      <c r="AL5004">
        <v>82.029426354511003</v>
      </c>
      <c r="AM5004">
        <v>92.595625329854201</v>
      </c>
      <c r="AN5004">
        <v>1.0000000429411999</v>
      </c>
    </row>
    <row r="5005" spans="1:40" x14ac:dyDescent="0.25">
      <c r="A5005" t="str">
        <f>"20190304155735580"</f>
        <v>20190304155735580</v>
      </c>
      <c r="B5005" t="str">
        <f>"1551686255569564"</f>
        <v>1551686255569564</v>
      </c>
      <c r="C5005" t="s">
        <v>40</v>
      </c>
      <c r="D5005">
        <v>5.0815359999999998</v>
      </c>
      <c r="E5005">
        <v>0.49910080000000001</v>
      </c>
      <c r="F5005" t="s">
        <v>83</v>
      </c>
      <c r="G5005">
        <v>-422.65190000000001</v>
      </c>
      <c r="H5005">
        <v>3.2181600000000001</v>
      </c>
      <c r="I5005">
        <v>1.747452</v>
      </c>
      <c r="J5005">
        <v>-422.28140000000002</v>
      </c>
      <c r="K5005">
        <v>1.111135</v>
      </c>
      <c r="L5005">
        <v>110.59569999999999</v>
      </c>
      <c r="M5005">
        <v>-5.3359520000000001E-2</v>
      </c>
      <c r="N5005">
        <v>-1.267185E-2</v>
      </c>
      <c r="O5005">
        <v>-0.99849489999999996</v>
      </c>
      <c r="P5005">
        <v>-8.0636509999999998E-3</v>
      </c>
      <c r="Q5005">
        <v>0.12564500000000001</v>
      </c>
      <c r="R5005">
        <v>-0.99204239999999999</v>
      </c>
      <c r="S5005">
        <v>-1.055908E-2</v>
      </c>
      <c r="T5005">
        <v>5.826771E-2</v>
      </c>
      <c r="U5005">
        <v>-3.0167999999999999</v>
      </c>
      <c r="V5005">
        <v>-4.5247820000000001E-2</v>
      </c>
      <c r="W5005">
        <v>0.13807610000000001</v>
      </c>
      <c r="X5005">
        <v>0.98938749999999998</v>
      </c>
      <c r="Y5005">
        <v>-4.9872279999999998E-2</v>
      </c>
      <c r="Z5005">
        <v>-3.1924229999999998E-2</v>
      </c>
      <c r="AA5005">
        <v>0.99824520000000005</v>
      </c>
      <c r="AB5005">
        <v>24</v>
      </c>
      <c r="AC5005">
        <v>-0.370499999999992</v>
      </c>
      <c r="AD5005">
        <v>2.1070250000000001</v>
      </c>
      <c r="AE5005">
        <v>-108.848248</v>
      </c>
      <c r="AF5005">
        <v>-5.4365477925760599</v>
      </c>
      <c r="AG5005">
        <v>2.1070250000000001</v>
      </c>
      <c r="AH5005">
        <v>108.672205233985</v>
      </c>
      <c r="AI5005">
        <v>88.890629052188601</v>
      </c>
      <c r="AJ5005">
        <v>92.863950130567105</v>
      </c>
      <c r="AK5005">
        <v>108.82850636055301</v>
      </c>
      <c r="AL5005">
        <v>82.063466294634097</v>
      </c>
      <c r="AM5005">
        <v>92.618492706663801</v>
      </c>
      <c r="AN5005">
        <v>0.99999999988110599</v>
      </c>
    </row>
    <row r="5006" spans="1:40" x14ac:dyDescent="0.25">
      <c r="A5006" t="str">
        <f>"20190304155735602"</f>
        <v>20190304155735602</v>
      </c>
      <c r="B5006" t="str">
        <f>"1551686255599821"</f>
        <v>1551686255599821</v>
      </c>
      <c r="C5006" t="s">
        <v>40</v>
      </c>
      <c r="D5006">
        <v>4.9444359999999996</v>
      </c>
      <c r="E5006">
        <v>0.50003140000000001</v>
      </c>
      <c r="F5006" t="s">
        <v>83</v>
      </c>
      <c r="G5006">
        <v>-423.05709999999999</v>
      </c>
      <c r="H5006">
        <v>4.6986460000000001</v>
      </c>
      <c r="I5006">
        <v>0.44631389999999999</v>
      </c>
      <c r="J5006">
        <v>-422.29199999999997</v>
      </c>
      <c r="K5006">
        <v>1.11114</v>
      </c>
      <c r="L5006">
        <v>110.3586</v>
      </c>
      <c r="M5006">
        <v>-5.1591529999999997E-2</v>
      </c>
      <c r="N5006">
        <v>-1.256269E-2</v>
      </c>
      <c r="O5006">
        <v>-0.99858950000000002</v>
      </c>
      <c r="P5006">
        <v>-6.1663259999999998E-3</v>
      </c>
      <c r="Q5006">
        <v>0.12569230000000001</v>
      </c>
      <c r="R5006">
        <v>-0.99205019999999999</v>
      </c>
      <c r="S5006">
        <v>-2.1209720000000001E-2</v>
      </c>
      <c r="T5006">
        <v>9.8080870000000001E-2</v>
      </c>
      <c r="U5006">
        <v>-3.0114589999999999</v>
      </c>
      <c r="V5006">
        <v>-4.5394480000000001E-2</v>
      </c>
      <c r="W5006">
        <v>0.13801279999999999</v>
      </c>
      <c r="X5006">
        <v>0.98938959999999998</v>
      </c>
      <c r="Y5006">
        <v>-4.457361E-2</v>
      </c>
      <c r="Z5006">
        <v>-4.5021560000000002E-2</v>
      </c>
      <c r="AA5006">
        <v>0.99799110000000002</v>
      </c>
      <c r="AB5006">
        <v>24</v>
      </c>
      <c r="AC5006">
        <v>-0.76510000000001799</v>
      </c>
      <c r="AD5006">
        <v>3.5875059999999999</v>
      </c>
      <c r="AE5006">
        <v>-109.9122861</v>
      </c>
      <c r="AF5006">
        <v>-4.90168641854775</v>
      </c>
      <c r="AG5006">
        <v>3.5875059999999999</v>
      </c>
      <c r="AH5006">
        <v>109.68851425240101</v>
      </c>
      <c r="AI5006">
        <v>88.128600806322297</v>
      </c>
      <c r="AJ5006">
        <v>92.558692895943494</v>
      </c>
      <c r="AK5006">
        <v>109.856574168072</v>
      </c>
      <c r="AL5006">
        <v>82.067128066843097</v>
      </c>
      <c r="AM5006">
        <v>92.626962487173799</v>
      </c>
      <c r="AN5006">
        <v>0.99999998618323505</v>
      </c>
    </row>
    <row r="5007" spans="1:40" x14ac:dyDescent="0.25">
      <c r="A5007" t="str">
        <f>"20190304155735624"</f>
        <v>20190304155735624</v>
      </c>
      <c r="B5007" t="str">
        <f>"1551686255619344"</f>
        <v>1551686255619344</v>
      </c>
      <c r="C5007" t="s">
        <v>40</v>
      </c>
      <c r="D5007">
        <v>4.9215109999999997</v>
      </c>
      <c r="E5007">
        <v>0.5006467</v>
      </c>
      <c r="F5007" t="s">
        <v>83</v>
      </c>
      <c r="G5007">
        <v>-423.15339999999998</v>
      </c>
      <c r="H5007">
        <v>2.8954680000000002</v>
      </c>
      <c r="I5007">
        <v>0.44532389999999999</v>
      </c>
      <c r="J5007">
        <v>-422.3021</v>
      </c>
      <c r="K5007">
        <v>1.111154</v>
      </c>
      <c r="L5007">
        <v>110.1258</v>
      </c>
      <c r="M5007">
        <v>-4.9824599999999997E-2</v>
      </c>
      <c r="N5007">
        <v>-1.246013E-2</v>
      </c>
      <c r="O5007">
        <v>-0.99868040000000002</v>
      </c>
      <c r="P5007">
        <v>-4.3586329999999998E-3</v>
      </c>
      <c r="Q5007">
        <v>0.12518180000000001</v>
      </c>
      <c r="R5007">
        <v>-0.99212449999999996</v>
      </c>
      <c r="S5007">
        <v>-2.3651120000000001E-2</v>
      </c>
      <c r="T5007">
        <v>4.89881E-2</v>
      </c>
      <c r="U5007">
        <v>-3.0176850000000002</v>
      </c>
      <c r="V5007">
        <v>-4.5456440000000001E-2</v>
      </c>
      <c r="W5007">
        <v>0.13739879999999999</v>
      </c>
      <c r="X5007">
        <v>0.98947220000000002</v>
      </c>
      <c r="Y5007">
        <v>-4.2003609999999997E-2</v>
      </c>
      <c r="Z5007">
        <v>-2.8648679999999999E-2</v>
      </c>
      <c r="AA5007">
        <v>0.9987066</v>
      </c>
      <c r="AB5007">
        <v>24</v>
      </c>
      <c r="AC5007">
        <v>-0.85129999999997996</v>
      </c>
      <c r="AD5007">
        <v>1.784314</v>
      </c>
      <c r="AE5007">
        <v>-109.68047610000001</v>
      </c>
      <c r="AF5007">
        <v>-4.6137458366067001</v>
      </c>
      <c r="AG5007">
        <v>1.784314</v>
      </c>
      <c r="AH5007">
        <v>109.55765547168301</v>
      </c>
      <c r="AI5007">
        <v>89.067759218082102</v>
      </c>
      <c r="AJ5007">
        <v>92.411443167984501</v>
      </c>
      <c r="AK5007">
        <v>109.66927691722699</v>
      </c>
      <c r="AL5007">
        <v>82.102645972179801</v>
      </c>
      <c r="AM5007">
        <v>92.630323771021907</v>
      </c>
      <c r="AN5007">
        <v>0.99999997637587601</v>
      </c>
    </row>
    <row r="5008" spans="1:40" x14ac:dyDescent="0.25">
      <c r="A5008" t="str">
        <f>"20190304155735647"</f>
        <v>20190304155735647</v>
      </c>
      <c r="B5008" t="str">
        <f>"1551686255639838"</f>
        <v>1551686255639838</v>
      </c>
      <c r="C5008" t="s">
        <v>40</v>
      </c>
      <c r="D5008">
        <v>5.0420150000000001</v>
      </c>
      <c r="E5008">
        <v>0.50072190000000005</v>
      </c>
      <c r="F5008" t="s">
        <v>83</v>
      </c>
      <c r="G5008">
        <v>-423.1576</v>
      </c>
      <c r="H5008">
        <v>2.0524870000000002</v>
      </c>
      <c r="I5008">
        <v>0.44528010000000001</v>
      </c>
      <c r="J5008">
        <v>-422.31200000000001</v>
      </c>
      <c r="K5008">
        <v>1.1111850000000001</v>
      </c>
      <c r="L5008">
        <v>109.886</v>
      </c>
      <c r="M5008">
        <v>-4.7961919999999998E-2</v>
      </c>
      <c r="N5008">
        <v>-1.236344E-2</v>
      </c>
      <c r="O5008">
        <v>-0.99877260000000001</v>
      </c>
      <c r="P5008">
        <v>-2.4895899999999999E-3</v>
      </c>
      <c r="Q5008">
        <v>0.1259152</v>
      </c>
      <c r="R5008">
        <v>-0.99203790000000003</v>
      </c>
      <c r="S5008">
        <v>-2.3559569999999998E-2</v>
      </c>
      <c r="T5008">
        <v>2.5922299999999999E-2</v>
      </c>
      <c r="U5008">
        <v>-3.0204469999999999</v>
      </c>
      <c r="V5008">
        <v>-4.5483540000000003E-2</v>
      </c>
      <c r="W5008">
        <v>0.13803119999999999</v>
      </c>
      <c r="X5008">
        <v>0.98938300000000001</v>
      </c>
      <c r="Y5008">
        <v>-4.0174090000000003E-2</v>
      </c>
      <c r="Z5008">
        <v>-2.0923569999999999E-2</v>
      </c>
      <c r="AA5008">
        <v>0.99897360000000002</v>
      </c>
      <c r="AB5008">
        <v>24</v>
      </c>
      <c r="AC5008">
        <v>-0.84560000000004698</v>
      </c>
      <c r="AD5008">
        <v>0.94130199999999897</v>
      </c>
      <c r="AE5008">
        <v>-109.4407199</v>
      </c>
      <c r="AF5008">
        <v>-4.4044359940073798</v>
      </c>
      <c r="AG5008">
        <v>0.94130199999999897</v>
      </c>
      <c r="AH5008">
        <v>109.347223343195</v>
      </c>
      <c r="AI5008">
        <v>89.507188170145398</v>
      </c>
      <c r="AJ5008">
        <v>92.306590349793495</v>
      </c>
      <c r="AK5008">
        <v>109.439939504493</v>
      </c>
      <c r="AL5008">
        <v>82.0660640877839</v>
      </c>
      <c r="AM5008">
        <v>92.632126650514394</v>
      </c>
      <c r="AN5008">
        <v>1.00000004263668</v>
      </c>
    </row>
    <row r="5009" spans="1:40" x14ac:dyDescent="0.25">
      <c r="A5009" t="str">
        <f>"20190304155735671"</f>
        <v>20190304155735671</v>
      </c>
      <c r="B5009" t="str">
        <f>"1551686255659358"</f>
        <v>1551686255659358</v>
      </c>
      <c r="C5009" t="s">
        <v>40</v>
      </c>
      <c r="D5009">
        <v>4.9169739999999997</v>
      </c>
      <c r="E5009">
        <v>0.50098129999999996</v>
      </c>
      <c r="F5009" t="s">
        <v>83</v>
      </c>
      <c r="G5009">
        <v>-423.00470000000001</v>
      </c>
      <c r="H5009">
        <v>1.475592</v>
      </c>
      <c r="I5009">
        <v>0.44683270000000003</v>
      </c>
      <c r="J5009">
        <v>-422.32119999999998</v>
      </c>
      <c r="K5009">
        <v>1.111226</v>
      </c>
      <c r="L5009">
        <v>109.64749999999999</v>
      </c>
      <c r="M5009">
        <v>-4.6054020000000001E-2</v>
      </c>
      <c r="N5009">
        <v>-1.227377E-2</v>
      </c>
      <c r="O5009">
        <v>-0.99886339999999996</v>
      </c>
      <c r="P5009">
        <v>-4.9727500000000004E-4</v>
      </c>
      <c r="Q5009">
        <v>0.12625020000000001</v>
      </c>
      <c r="R5009">
        <v>-0.99199809999999999</v>
      </c>
      <c r="S5009">
        <v>-1.9134519999999999E-2</v>
      </c>
      <c r="T5009">
        <v>1.006424E-2</v>
      </c>
      <c r="U5009">
        <v>-3.0227360000000001</v>
      </c>
      <c r="V5009">
        <v>-4.5593330000000001E-2</v>
      </c>
      <c r="W5009">
        <v>0.13827210000000001</v>
      </c>
      <c r="X5009">
        <v>0.98934420000000001</v>
      </c>
      <c r="Y5009">
        <v>-3.9731809999999999E-2</v>
      </c>
      <c r="Z5009">
        <v>-1.5594510000000001E-2</v>
      </c>
      <c r="AA5009">
        <v>0.99908869999999905</v>
      </c>
      <c r="AB5009">
        <v>24</v>
      </c>
      <c r="AC5009">
        <v>-0.68350000000003697</v>
      </c>
      <c r="AD5009">
        <v>0.36436600000000002</v>
      </c>
      <c r="AE5009">
        <v>-109.20066730000001</v>
      </c>
      <c r="AF5009">
        <v>-4.3466862411541403</v>
      </c>
      <c r="AG5009">
        <v>0.36436600000000002</v>
      </c>
      <c r="AH5009">
        <v>109.11504804107599</v>
      </c>
      <c r="AI5009">
        <v>89.808825527091003</v>
      </c>
      <c r="AJ5009">
        <v>92.2812175725484</v>
      </c>
      <c r="AK5009">
        <v>109.202198480009</v>
      </c>
      <c r="AL5009">
        <v>82.0521270469917</v>
      </c>
      <c r="AM5009">
        <v>92.638574545231904</v>
      </c>
      <c r="AN5009">
        <v>0.999999935726267</v>
      </c>
    </row>
    <row r="5010" spans="1:40" x14ac:dyDescent="0.25">
      <c r="A5010" t="str">
        <f>"20190304155735692"</f>
        <v>20190304155735692</v>
      </c>
      <c r="B5010" t="str">
        <f>"1551686255689613"</f>
        <v>1551686255689613</v>
      </c>
      <c r="C5010" t="s">
        <v>40</v>
      </c>
      <c r="D5010">
        <v>5.1237079999999997</v>
      </c>
      <c r="E5010">
        <v>0.50118229999999997</v>
      </c>
      <c r="F5010" t="s">
        <v>83</v>
      </c>
      <c r="G5010">
        <v>-422.84449999999998</v>
      </c>
      <c r="H5010">
        <v>1.0299320000000001</v>
      </c>
      <c r="I5010">
        <v>0.44845960000000001</v>
      </c>
      <c r="J5010">
        <v>-422.33</v>
      </c>
      <c r="K5010">
        <v>1.1112679999999999</v>
      </c>
      <c r="L5010">
        <v>109.41030000000001</v>
      </c>
      <c r="M5010">
        <v>-4.4086399999999998E-2</v>
      </c>
      <c r="N5010">
        <v>-1.219013E-2</v>
      </c>
      <c r="O5010">
        <v>-0.9989536</v>
      </c>
      <c r="P5010">
        <v>7.4420829999999999E-4</v>
      </c>
      <c r="Q5010">
        <v>0.12623760000000001</v>
      </c>
      <c r="R5010">
        <v>-0.99199999999999999</v>
      </c>
      <c r="S5010">
        <v>-1.4495849999999999E-2</v>
      </c>
      <c r="T5010">
        <v>-2.252221E-3</v>
      </c>
      <c r="U5010">
        <v>-3.0244749999999998</v>
      </c>
      <c r="V5010">
        <v>-4.4897619999999999E-2</v>
      </c>
      <c r="W5010">
        <v>0.1381743</v>
      </c>
      <c r="X5010">
        <v>0.98938970000000004</v>
      </c>
      <c r="Y5010">
        <v>-3.9298239999999998E-2</v>
      </c>
      <c r="Z5010">
        <v>-1.14456E-2</v>
      </c>
      <c r="AA5010">
        <v>0.99916199999999999</v>
      </c>
      <c r="AB5010">
        <v>24</v>
      </c>
      <c r="AC5010">
        <v>-0.51449999999999796</v>
      </c>
      <c r="AD5010">
        <v>-8.1335999999999797E-2</v>
      </c>
      <c r="AE5010">
        <v>-108.9618404</v>
      </c>
      <c r="AF5010">
        <v>-4.2900889439699199</v>
      </c>
      <c r="AG5010">
        <v>-8.1335999999999797E-2</v>
      </c>
      <c r="AH5010">
        <v>108.87850696707299</v>
      </c>
      <c r="AI5010">
        <v>90.042768727894995</v>
      </c>
      <c r="AJ5010">
        <v>92.256431567525397</v>
      </c>
      <c r="AK5010">
        <v>108.963024728901</v>
      </c>
      <c r="AL5010">
        <v>82.057785045353</v>
      </c>
      <c r="AM5010">
        <v>92.598248733342004</v>
      </c>
      <c r="AN5010">
        <v>0.99999995596412095</v>
      </c>
    </row>
    <row r="5011" spans="1:40" x14ac:dyDescent="0.25">
      <c r="A5011" t="str">
        <f>"20190304155735713"</f>
        <v>20190304155735713</v>
      </c>
      <c r="B5011" t="str">
        <f>"1551686255710030"</f>
        <v>1551686255710030</v>
      </c>
      <c r="C5011" t="s">
        <v>40</v>
      </c>
      <c r="D5011">
        <v>5.05572</v>
      </c>
      <c r="E5011">
        <v>0.50081940000000003</v>
      </c>
      <c r="F5011" t="s">
        <v>83</v>
      </c>
      <c r="G5011">
        <v>-422.77370000000002</v>
      </c>
      <c r="H5011">
        <v>0.313805</v>
      </c>
      <c r="I5011">
        <v>0.44917489999999999</v>
      </c>
      <c r="J5011">
        <v>-422.33780000000002</v>
      </c>
      <c r="K5011">
        <v>1.1113059999999999</v>
      </c>
      <c r="L5011">
        <v>109.1812</v>
      </c>
      <c r="M5011">
        <v>-4.2132700000000002E-2</v>
      </c>
      <c r="N5011">
        <v>-1.2115860000000001E-2</v>
      </c>
      <c r="O5011">
        <v>-0.9990386</v>
      </c>
      <c r="P5011">
        <v>2.1687020000000002E-3</v>
      </c>
      <c r="Q5011">
        <v>0.12624299999999999</v>
      </c>
      <c r="R5011">
        <v>-0.99199700000000002</v>
      </c>
      <c r="S5011">
        <v>-1.2329100000000001E-2</v>
      </c>
      <c r="T5011">
        <v>-2.2155049999999999E-2</v>
      </c>
      <c r="U5011">
        <v>-3.0270229999999998</v>
      </c>
      <c r="V5011">
        <v>-4.4396560000000002E-2</v>
      </c>
      <c r="W5011">
        <v>0.138103</v>
      </c>
      <c r="X5011">
        <v>0.98942229999999998</v>
      </c>
      <c r="Y5011">
        <v>-3.8061650000000002E-2</v>
      </c>
      <c r="Z5011">
        <v>-4.8085740000000004E-3</v>
      </c>
      <c r="AA5011">
        <v>0.99926380000000004</v>
      </c>
      <c r="AB5011">
        <v>24</v>
      </c>
      <c r="AC5011">
        <v>-0.43590000000000301</v>
      </c>
      <c r="AD5011">
        <v>-0.79750099999999902</v>
      </c>
      <c r="AE5011">
        <v>-108.73202509999901</v>
      </c>
      <c r="AF5011">
        <v>-4.1457739904466901</v>
      </c>
      <c r="AG5011">
        <v>-0.79750099999999902</v>
      </c>
      <c r="AH5011">
        <v>108.647981739752</v>
      </c>
      <c r="AI5011">
        <v>90.420250729550702</v>
      </c>
      <c r="AJ5011">
        <v>92.185223910420305</v>
      </c>
      <c r="AK5011">
        <v>108.72997464336299</v>
      </c>
      <c r="AL5011">
        <v>82.061910054308996</v>
      </c>
      <c r="AM5011">
        <v>92.569206663571805</v>
      </c>
      <c r="AN5011">
        <v>0.99999999044306098</v>
      </c>
    </row>
    <row r="5012" spans="1:40" x14ac:dyDescent="0.25">
      <c r="A5012" t="str">
        <f>"20190304155735738"</f>
        <v>20190304155735738</v>
      </c>
      <c r="B5012" t="str">
        <f>"1551686255729549"</f>
        <v>1551686255729549</v>
      </c>
      <c r="C5012" t="s">
        <v>40</v>
      </c>
      <c r="D5012">
        <v>5.1108699999999896</v>
      </c>
      <c r="E5012">
        <v>0.50072209999999995</v>
      </c>
      <c r="F5012" t="s">
        <v>84</v>
      </c>
      <c r="G5012">
        <v>-422.50540000000001</v>
      </c>
      <c r="H5012">
        <v>5.1160190000000001E-2</v>
      </c>
      <c r="I5012">
        <v>9.6151180000000007</v>
      </c>
      <c r="J5012">
        <v>-422.3458</v>
      </c>
      <c r="K5012">
        <v>1.111343</v>
      </c>
      <c r="L5012">
        <v>108.9316</v>
      </c>
      <c r="M5012">
        <v>-3.993791E-2</v>
      </c>
      <c r="N5012">
        <v>-1.203855E-2</v>
      </c>
      <c r="O5012">
        <v>-0.99912999999999996</v>
      </c>
      <c r="P5012">
        <v>3.51286E-3</v>
      </c>
      <c r="Q5012">
        <v>0.12633759999999999</v>
      </c>
      <c r="R5012">
        <v>-0.99198140000000001</v>
      </c>
      <c r="S5012">
        <v>-5.0964360000000002E-3</v>
      </c>
      <c r="T5012">
        <v>-3.2244679999999998E-2</v>
      </c>
      <c r="U5012">
        <v>-3.0283359999999999</v>
      </c>
      <c r="V5012">
        <v>-4.3576480000000001E-2</v>
      </c>
      <c r="W5012">
        <v>0.13811909999999999</v>
      </c>
      <c r="X5012">
        <v>0.98945649999999996</v>
      </c>
      <c r="Y5012">
        <v>-3.8253950000000002E-2</v>
      </c>
      <c r="Z5012">
        <v>-1.4078179999999999E-3</v>
      </c>
      <c r="AA5012">
        <v>0.99926700000000002</v>
      </c>
      <c r="AB5012">
        <v>24</v>
      </c>
      <c r="AC5012">
        <v>-0.15960000000001101</v>
      </c>
      <c r="AD5012">
        <v>-1.0601828099999999</v>
      </c>
      <c r="AE5012">
        <v>-99.316481999999993</v>
      </c>
      <c r="AF5012">
        <v>-3.8068723040632801</v>
      </c>
      <c r="AG5012">
        <v>-1.0601828099999999</v>
      </c>
      <c r="AH5012">
        <v>99.232299183660103</v>
      </c>
      <c r="AI5012">
        <v>90.611666208750606</v>
      </c>
      <c r="AJ5012">
        <v>92.196974254410193</v>
      </c>
      <c r="AK5012">
        <v>99.310953401956098</v>
      </c>
      <c r="AL5012">
        <v>82.060978586226199</v>
      </c>
      <c r="AM5012">
        <v>92.521723835012395</v>
      </c>
      <c r="AN5012">
        <v>0.99999998039312499</v>
      </c>
    </row>
    <row r="5013" spans="1:40" x14ac:dyDescent="0.25">
      <c r="A5013" t="str">
        <f>"20190304155735758"</f>
        <v>20190304155735758</v>
      </c>
      <c r="B5013" t="str">
        <f>"1551686255750045"</f>
        <v>1551686255750045</v>
      </c>
      <c r="C5013" t="s">
        <v>40</v>
      </c>
      <c r="D5013">
        <v>5.1055970000000004</v>
      </c>
      <c r="E5013">
        <v>0.5006794</v>
      </c>
      <c r="F5013" t="s">
        <v>84</v>
      </c>
      <c r="G5013">
        <v>-422.34410000000003</v>
      </c>
      <c r="H5013" s="1">
        <v>-6.7698769999999998E-6</v>
      </c>
      <c r="I5013">
        <v>27.389130000000002</v>
      </c>
      <c r="J5013">
        <v>-422.35250000000002</v>
      </c>
      <c r="K5013">
        <v>1.111372</v>
      </c>
      <c r="L5013">
        <v>108.7072</v>
      </c>
      <c r="M5013">
        <v>-3.790719E-2</v>
      </c>
      <c r="N5013">
        <v>-1.1973299999999999E-2</v>
      </c>
      <c r="O5013">
        <v>-0.99920960000000003</v>
      </c>
      <c r="P5013">
        <v>4.850048E-3</v>
      </c>
      <c r="Q5013">
        <v>0.12633989999999901</v>
      </c>
      <c r="R5013">
        <v>-0.9919753</v>
      </c>
      <c r="S5013" s="1">
        <v>6.1035159999999999E-5</v>
      </c>
      <c r="T5013">
        <v>-4.1289449999999998E-2</v>
      </c>
      <c r="U5013">
        <v>-3.0295100000000001</v>
      </c>
      <c r="V5013">
        <v>-4.2909700000000002E-2</v>
      </c>
      <c r="W5013">
        <v>0.13805580000000001</v>
      </c>
      <c r="X5013">
        <v>0.98949450000000005</v>
      </c>
      <c r="Y5013">
        <v>-3.7924220000000002E-2</v>
      </c>
      <c r="Z5013">
        <v>1.6350500000000001E-3</v>
      </c>
      <c r="AA5013">
        <v>0.99927929999999998</v>
      </c>
      <c r="AB5013">
        <v>24</v>
      </c>
      <c r="AC5013">
        <v>8.3999999999946305E-3</v>
      </c>
      <c r="AD5013">
        <v>-1.1113787698769999</v>
      </c>
      <c r="AE5013">
        <v>-81.318069999999906</v>
      </c>
      <c r="AF5013">
        <v>-3.09057697223506</v>
      </c>
      <c r="AG5013">
        <v>-1.1113787698769999</v>
      </c>
      <c r="AH5013">
        <v>81.244121507303305</v>
      </c>
      <c r="AI5013">
        <v>90.783162220841405</v>
      </c>
      <c r="AJ5013">
        <v>92.178516699692096</v>
      </c>
      <c r="AK5013">
        <v>81.310479695331495</v>
      </c>
      <c r="AL5013">
        <v>82.064640693735896</v>
      </c>
      <c r="AM5013">
        <v>92.483091427462895</v>
      </c>
      <c r="AN5013">
        <v>1.00000000589899</v>
      </c>
    </row>
    <row r="5014" spans="1:40" x14ac:dyDescent="0.25">
      <c r="A5014" t="str">
        <f>"20190304155735782"</f>
        <v>20190304155735782</v>
      </c>
      <c r="B5014" t="str">
        <f>"1551686255769565"</f>
        <v>1551686255769565</v>
      </c>
      <c r="C5014" t="s">
        <v>40</v>
      </c>
      <c r="D5014">
        <v>4.8928649999999996</v>
      </c>
      <c r="E5014">
        <v>0.50122929999999999</v>
      </c>
      <c r="F5014" t="s">
        <v>41</v>
      </c>
      <c r="G5014">
        <v>-422.26429999999999</v>
      </c>
      <c r="H5014" s="1">
        <v>-1.117558E-6</v>
      </c>
      <c r="I5014">
        <v>40.789790000000004</v>
      </c>
      <c r="J5014">
        <v>-422.35910000000001</v>
      </c>
      <c r="K5014">
        <v>1.111402</v>
      </c>
      <c r="L5014">
        <v>108.4648</v>
      </c>
      <c r="M5014">
        <v>-3.5661430000000001E-2</v>
      </c>
      <c r="N5014">
        <v>-1.1907320000000001E-2</v>
      </c>
      <c r="O5014">
        <v>-0.99929330000000005</v>
      </c>
      <c r="P5014">
        <v>6.8087909999999998E-3</v>
      </c>
      <c r="Q5014">
        <v>0.12679289999999999</v>
      </c>
      <c r="R5014">
        <v>-0.99190630000000002</v>
      </c>
      <c r="S5014">
        <v>3.9367680000000002E-3</v>
      </c>
      <c r="T5014">
        <v>-4.9591179999999999E-2</v>
      </c>
      <c r="U5014">
        <v>-3.0305789999999999</v>
      </c>
      <c r="V5014">
        <v>-4.2650250000000001E-2</v>
      </c>
      <c r="W5014">
        <v>0.1384407</v>
      </c>
      <c r="X5014">
        <v>0.98945190000000005</v>
      </c>
      <c r="Y5014">
        <v>-3.6955870000000002E-2</v>
      </c>
      <c r="Z5014">
        <v>4.4330510000000004E-3</v>
      </c>
      <c r="AA5014">
        <v>0.99930699999999995</v>
      </c>
      <c r="AB5014">
        <v>24</v>
      </c>
      <c r="AC5014">
        <v>9.4800000000020604E-2</v>
      </c>
      <c r="AD5014">
        <v>-1.1114031175579999</v>
      </c>
      <c r="AE5014">
        <v>-67.675009999999901</v>
      </c>
      <c r="AF5014">
        <v>-2.50762136944285</v>
      </c>
      <c r="AG5014">
        <v>-1.1114031175579999</v>
      </c>
      <c r="AH5014">
        <v>67.610342151876793</v>
      </c>
      <c r="AI5014">
        <v>90.941116836725996</v>
      </c>
      <c r="AJ5014">
        <v>92.124087672308605</v>
      </c>
      <c r="AK5014">
        <v>67.665957081209299</v>
      </c>
      <c r="AL5014">
        <v>82.042373419155993</v>
      </c>
      <c r="AM5014">
        <v>92.468202370410495</v>
      </c>
      <c r="AN5014">
        <v>0.99999996682757997</v>
      </c>
    </row>
    <row r="5015" spans="1:40" x14ac:dyDescent="0.25">
      <c r="A5015" t="str">
        <f>"20190304155735796"</f>
        <v>20190304155735796</v>
      </c>
      <c r="B5015" t="str">
        <f>"1551686255790061"</f>
        <v>1551686255790061</v>
      </c>
      <c r="C5015" t="s">
        <v>40</v>
      </c>
      <c r="D5015">
        <v>5.1159990000000004</v>
      </c>
      <c r="E5015">
        <v>0.50139920000000004</v>
      </c>
      <c r="F5015" t="s">
        <v>41</v>
      </c>
      <c r="G5015">
        <v>-422.262</v>
      </c>
      <c r="H5015" s="1">
        <v>-4.5763700000000004E-6</v>
      </c>
      <c r="I5015">
        <v>49.255600000000001</v>
      </c>
      <c r="J5015">
        <v>-422.36320000000001</v>
      </c>
      <c r="K5015">
        <v>1.111418</v>
      </c>
      <c r="L5015">
        <v>108.30629999999999</v>
      </c>
      <c r="M5015">
        <v>-3.417121E-2</v>
      </c>
      <c r="N5015">
        <v>-1.1865240000000001E-2</v>
      </c>
      <c r="O5015">
        <v>-0.9993457</v>
      </c>
      <c r="P5015">
        <v>8.0944950000000002E-3</v>
      </c>
      <c r="Q5015">
        <v>0.12703429999999999</v>
      </c>
      <c r="R5015">
        <v>-0.99186549999999996</v>
      </c>
      <c r="S5015">
        <v>4.9743649999999997E-3</v>
      </c>
      <c r="T5015">
        <v>-5.6908010000000002E-2</v>
      </c>
      <c r="U5015">
        <v>-3.0317229999999999</v>
      </c>
      <c r="V5015">
        <v>-4.246316E-2</v>
      </c>
      <c r="W5015">
        <v>0.13863900000000001</v>
      </c>
      <c r="X5015">
        <v>0.98943219999999998</v>
      </c>
      <c r="Y5015">
        <v>-3.5806820000000003E-2</v>
      </c>
      <c r="Z5015">
        <v>6.8802669999999998E-3</v>
      </c>
      <c r="AA5015">
        <v>0.99933510000000003</v>
      </c>
      <c r="AB5015">
        <v>24</v>
      </c>
      <c r="AC5015">
        <v>0.101200000000062</v>
      </c>
      <c r="AD5015">
        <v>-1.1114225763700001</v>
      </c>
      <c r="AE5015">
        <v>-59.0506999999999</v>
      </c>
      <c r="AF5015">
        <v>-2.1183661023260001</v>
      </c>
      <c r="AG5015">
        <v>-1.1114225763700001</v>
      </c>
      <c r="AH5015">
        <v>58.991853071796598</v>
      </c>
      <c r="AI5015">
        <v>91.078645331982102</v>
      </c>
      <c r="AJ5015">
        <v>92.056577327100399</v>
      </c>
      <c r="AK5015">
        <v>59.040337600077997</v>
      </c>
      <c r="AL5015">
        <v>82.030901184341104</v>
      </c>
      <c r="AM5015">
        <v>92.457437499542095</v>
      </c>
      <c r="AN5015">
        <v>0.999999985337512</v>
      </c>
    </row>
    <row r="5016" spans="1:40" x14ac:dyDescent="0.25">
      <c r="A5016" t="str">
        <f>"20190304155735815"</f>
        <v>20190304155735815</v>
      </c>
      <c r="B5016" t="str">
        <f>"1551686255809581"</f>
        <v>1551686255809581</v>
      </c>
      <c r="C5016" t="s">
        <v>40</v>
      </c>
      <c r="D5016">
        <v>5.1229639999999996</v>
      </c>
      <c r="E5016">
        <v>0.50146120000000005</v>
      </c>
      <c r="F5016" t="s">
        <v>41</v>
      </c>
      <c r="G5016">
        <v>-422.23840000000001</v>
      </c>
      <c r="H5016" s="1">
        <v>-3.43131999999999E-6</v>
      </c>
      <c r="I5016">
        <v>56.199260000000002</v>
      </c>
      <c r="J5016">
        <v>-422.36790000000002</v>
      </c>
      <c r="K5016">
        <v>1.111429</v>
      </c>
      <c r="L5016">
        <v>108.1092</v>
      </c>
      <c r="M5016">
        <v>-3.2301910000000003E-2</v>
      </c>
      <c r="N5016">
        <v>-1.181338E-2</v>
      </c>
      <c r="O5016">
        <v>-0.99940839999999997</v>
      </c>
      <c r="P5016">
        <v>9.0368429999999993E-3</v>
      </c>
      <c r="Q5016">
        <v>0.12741379999999999</v>
      </c>
      <c r="R5016">
        <v>-0.99180849999999998</v>
      </c>
      <c r="S5016">
        <v>7.2631839999999998E-3</v>
      </c>
      <c r="T5016">
        <v>-6.4689159999999996E-2</v>
      </c>
      <c r="U5016">
        <v>-3.0328369999999998</v>
      </c>
      <c r="V5016">
        <v>-4.155677E-2</v>
      </c>
      <c r="W5016">
        <v>0.13896810000000001</v>
      </c>
      <c r="X5016">
        <v>0.98942450000000004</v>
      </c>
      <c r="Y5016">
        <v>-3.4690760000000001E-2</v>
      </c>
      <c r="Z5016">
        <v>9.4889580000000005E-3</v>
      </c>
      <c r="AA5016">
        <v>0.99935309999999999</v>
      </c>
      <c r="AB5016">
        <v>24</v>
      </c>
      <c r="AC5016">
        <v>0.129500000000007</v>
      </c>
      <c r="AD5016">
        <v>-1.1114324313199999</v>
      </c>
      <c r="AE5016">
        <v>-51.909939999999999</v>
      </c>
      <c r="AF5016">
        <v>-1.80551185662456</v>
      </c>
      <c r="AG5016">
        <v>-1.1114324313199999</v>
      </c>
      <c r="AH5016">
        <v>51.854892745834498</v>
      </c>
      <c r="AI5016">
        <v>91.227118353933804</v>
      </c>
      <c r="AJ5016">
        <v>91.994150014817606</v>
      </c>
      <c r="AK5016">
        <v>51.898218242978203</v>
      </c>
      <c r="AL5016">
        <v>82.011860704347896</v>
      </c>
      <c r="AM5016">
        <v>92.405063654353796</v>
      </c>
      <c r="AN5016">
        <v>0.99999996957534598</v>
      </c>
    </row>
    <row r="5017" spans="1:40" x14ac:dyDescent="0.25">
      <c r="A5017" t="str">
        <f>"20190304155735836"</f>
        <v>20190304155735836</v>
      </c>
      <c r="B5017" t="str">
        <f>"1551686255830081"</f>
        <v>1551686255830081</v>
      </c>
      <c r="C5017" t="s">
        <v>40</v>
      </c>
      <c r="D5017">
        <v>5.1188739999999999</v>
      </c>
      <c r="E5017">
        <v>0.50156659999999997</v>
      </c>
      <c r="F5017" t="s">
        <v>41</v>
      </c>
      <c r="G5017">
        <v>-422.2192</v>
      </c>
      <c r="H5017" s="1">
        <v>-6.2289309999999996E-7</v>
      </c>
      <c r="I5017">
        <v>59.664670000000001</v>
      </c>
      <c r="J5017">
        <v>-422.37279999999998</v>
      </c>
      <c r="K5017">
        <v>1.1114360000000001</v>
      </c>
      <c r="L5017">
        <v>107.8806</v>
      </c>
      <c r="M5017">
        <v>-3.0118929999999999E-2</v>
      </c>
      <c r="N5017">
        <v>-1.1753130000000001E-2</v>
      </c>
      <c r="O5017">
        <v>-0.99947730000000001</v>
      </c>
      <c r="P5017">
        <v>1.029328E-2</v>
      </c>
      <c r="Q5017">
        <v>0.12761539999999999</v>
      </c>
      <c r="R5017">
        <v>-0.99177059999999995</v>
      </c>
      <c r="S5017">
        <v>9.3078610000000006E-3</v>
      </c>
      <c r="T5017">
        <v>-6.9599149999999999E-2</v>
      </c>
      <c r="U5017">
        <v>-3.0336609999999999</v>
      </c>
      <c r="V5017">
        <v>-4.0651489999999998E-2</v>
      </c>
      <c r="W5017">
        <v>0.13911219999999999</v>
      </c>
      <c r="X5017">
        <v>0.98944189999999999</v>
      </c>
      <c r="Y5017">
        <v>-3.3180689999999999E-2</v>
      </c>
      <c r="Z5017">
        <v>1.1162109999999999E-2</v>
      </c>
      <c r="AA5017">
        <v>0.99938700000000003</v>
      </c>
      <c r="AB5017">
        <v>24</v>
      </c>
      <c r="AC5017">
        <v>0.153599999999983</v>
      </c>
      <c r="AD5017">
        <v>-1.1114366228931001</v>
      </c>
      <c r="AE5017">
        <v>-48.21593</v>
      </c>
      <c r="AF5017">
        <v>-1.60498990450421</v>
      </c>
      <c r="AG5017">
        <v>-1.1114366228931001</v>
      </c>
      <c r="AH5017">
        <v>48.163833850043197</v>
      </c>
      <c r="AI5017">
        <v>91.321199197617005</v>
      </c>
      <c r="AJ5017">
        <v>91.908592486298105</v>
      </c>
      <c r="AK5017">
        <v>48.2033834403233</v>
      </c>
      <c r="AL5017">
        <v>82.003523730505904</v>
      </c>
      <c r="AM5017">
        <v>92.352689525190897</v>
      </c>
      <c r="AN5017">
        <v>1.0000000106518301</v>
      </c>
    </row>
    <row r="5018" spans="1:40" x14ac:dyDescent="0.25">
      <c r="A5018" t="str">
        <f>"20190304155735861"</f>
        <v>20190304155735861</v>
      </c>
      <c r="B5018" t="str">
        <f>"1551686255849597"</f>
        <v>1551686255849597</v>
      </c>
      <c r="C5018" t="s">
        <v>40</v>
      </c>
      <c r="D5018">
        <v>5.1709379999999996</v>
      </c>
      <c r="E5018">
        <v>0.50176080000000001</v>
      </c>
      <c r="F5018" t="s">
        <v>41</v>
      </c>
      <c r="G5018">
        <v>-422.18419999999998</v>
      </c>
      <c r="H5018" s="1">
        <v>-1.868778E-6</v>
      </c>
      <c r="I5018">
        <v>62.59055</v>
      </c>
      <c r="J5018">
        <v>-422.37759999999997</v>
      </c>
      <c r="K5018">
        <v>1.111434</v>
      </c>
      <c r="L5018">
        <v>107.63249999999999</v>
      </c>
      <c r="M5018">
        <v>-2.7741979999999999E-2</v>
      </c>
      <c r="N5018">
        <v>-1.169097E-2</v>
      </c>
      <c r="O5018">
        <v>-0.99954690000000002</v>
      </c>
      <c r="P5018">
        <v>1.204592E-2</v>
      </c>
      <c r="Q5018">
        <v>0.12805430000000001</v>
      </c>
      <c r="R5018">
        <v>-0.99169419999999997</v>
      </c>
      <c r="S5018">
        <v>1.2634279999999999E-2</v>
      </c>
      <c r="T5018">
        <v>-7.4464559999999999E-2</v>
      </c>
      <c r="U5018">
        <v>-3.0343629999999999</v>
      </c>
      <c r="V5018">
        <v>-4.0048260000000002E-2</v>
      </c>
      <c r="W5018">
        <v>0.1394909</v>
      </c>
      <c r="X5018">
        <v>0.98941319999999999</v>
      </c>
      <c r="Y5018">
        <v>-3.1898629999999997E-2</v>
      </c>
      <c r="Z5018">
        <v>1.2822729999999999E-2</v>
      </c>
      <c r="AA5018">
        <v>0.99940879999999999</v>
      </c>
      <c r="AB5018">
        <v>24</v>
      </c>
      <c r="AC5018">
        <v>0.19339999999999599</v>
      </c>
      <c r="AD5018">
        <v>-1.1114358687779999</v>
      </c>
      <c r="AE5018">
        <v>-45.0419499999999</v>
      </c>
      <c r="AF5018">
        <v>-1.44208559715055</v>
      </c>
      <c r="AG5018">
        <v>-1.1114358687779999</v>
      </c>
      <c r="AH5018">
        <v>44.991851792118403</v>
      </c>
      <c r="AI5018">
        <v>91.414366546023103</v>
      </c>
      <c r="AJ5018">
        <v>91.835824438049698</v>
      </c>
      <c r="AK5018">
        <v>45.028675621695299</v>
      </c>
      <c r="AL5018">
        <v>81.981612316025902</v>
      </c>
      <c r="AM5018">
        <v>92.317883340281199</v>
      </c>
      <c r="AN5018">
        <v>1.0000000273230301</v>
      </c>
    </row>
    <row r="5019" spans="1:40" x14ac:dyDescent="0.25">
      <c r="A5019" t="str">
        <f>"20190304155735882"</f>
        <v>20190304155735882</v>
      </c>
      <c r="B5019" t="str">
        <f>"1551686255879853"</f>
        <v>1551686255879853</v>
      </c>
      <c r="C5019" t="s">
        <v>40</v>
      </c>
      <c r="D5019">
        <v>5.3131839999999997</v>
      </c>
      <c r="E5019">
        <v>0.5018764</v>
      </c>
      <c r="F5019" t="s">
        <v>41</v>
      </c>
      <c r="G5019">
        <v>-422.14640000000003</v>
      </c>
      <c r="H5019" s="1">
        <v>-2.6436879999999999E-6</v>
      </c>
      <c r="I5019">
        <v>64.420349999999999</v>
      </c>
      <c r="J5019">
        <v>-422.38150000000002</v>
      </c>
      <c r="K5019">
        <v>1.1114200000000001</v>
      </c>
      <c r="L5019">
        <v>107.4021</v>
      </c>
      <c r="M5019">
        <v>-2.5534000000000001E-2</v>
      </c>
      <c r="N5019">
        <v>-1.1636219999999999E-2</v>
      </c>
      <c r="O5019">
        <v>-0.99960629999999995</v>
      </c>
      <c r="P5019">
        <v>1.365444E-2</v>
      </c>
      <c r="Q5019">
        <v>0.128687</v>
      </c>
      <c r="R5019">
        <v>-0.99159129999999995</v>
      </c>
      <c r="S5019">
        <v>1.6235349999999999E-2</v>
      </c>
      <c r="T5019">
        <v>-7.8062179999999995E-2</v>
      </c>
      <c r="U5019">
        <v>-3.0350190000000001</v>
      </c>
      <c r="V5019">
        <v>-3.9466099999999997E-2</v>
      </c>
      <c r="W5019">
        <v>0.14007020000000001</v>
      </c>
      <c r="X5019">
        <v>0.98935470000000003</v>
      </c>
      <c r="Y5019">
        <v>-3.0875650000000001E-2</v>
      </c>
      <c r="Z5019">
        <v>1.405819E-2</v>
      </c>
      <c r="AA5019">
        <v>0.99942430000000004</v>
      </c>
      <c r="AB5019">
        <v>24</v>
      </c>
      <c r="AC5019">
        <v>0.23509999999998801</v>
      </c>
      <c r="AD5019">
        <v>-1.1114226436879999</v>
      </c>
      <c r="AE5019">
        <v>-42.981749999999998</v>
      </c>
      <c r="AF5019">
        <v>-1.3317031727306901</v>
      </c>
      <c r="AG5019">
        <v>-1.1114226436879999</v>
      </c>
      <c r="AH5019">
        <v>42.933024895607304</v>
      </c>
      <c r="AI5019">
        <v>91.4821926956879</v>
      </c>
      <c r="AJ5019">
        <v>91.776639668043003</v>
      </c>
      <c r="AK5019">
        <v>42.968049994385296</v>
      </c>
      <c r="AL5019">
        <v>81.9480913855962</v>
      </c>
      <c r="AM5019">
        <v>92.284360393023903</v>
      </c>
      <c r="AN5019">
        <v>0.99999997819466901</v>
      </c>
    </row>
    <row r="5020" spans="1:40" x14ac:dyDescent="0.25">
      <c r="A5020" t="str">
        <f>"20190304155735904"</f>
        <v>20190304155735904</v>
      </c>
      <c r="B5020" t="str">
        <f>"1551686255899373"</f>
        <v>1551686255899373</v>
      </c>
      <c r="C5020" t="s">
        <v>40</v>
      </c>
      <c r="D5020">
        <v>5.3113839999999897</v>
      </c>
      <c r="E5020">
        <v>0.50196439999999998</v>
      </c>
      <c r="F5020" t="s">
        <v>41</v>
      </c>
      <c r="G5020">
        <v>-422.11329999999998</v>
      </c>
      <c r="H5020" s="1">
        <v>-3.4678320000000001E-6</v>
      </c>
      <c r="I5020">
        <v>66.361969999999999</v>
      </c>
      <c r="J5020">
        <v>-422.38490000000002</v>
      </c>
      <c r="K5020">
        <v>1.111408</v>
      </c>
      <c r="L5020">
        <v>107.1683</v>
      </c>
      <c r="M5020">
        <v>-2.3299449999999999E-2</v>
      </c>
      <c r="N5020">
        <v>-1.158115E-2</v>
      </c>
      <c r="O5020">
        <v>-0.99966140000000003</v>
      </c>
      <c r="P5020">
        <v>1.5852539999999998E-2</v>
      </c>
      <c r="Q5020">
        <v>0.12898119999999999</v>
      </c>
      <c r="R5020">
        <v>-0.99152039999999997</v>
      </c>
      <c r="S5020">
        <v>1.9836429999999999E-2</v>
      </c>
      <c r="T5020">
        <v>-8.221531E-2</v>
      </c>
      <c r="U5020">
        <v>-3.0358580000000002</v>
      </c>
      <c r="V5020">
        <v>-3.9446349999999998E-2</v>
      </c>
      <c r="W5020">
        <v>0.14030999999999999</v>
      </c>
      <c r="X5020">
        <v>0.98932149999999996</v>
      </c>
      <c r="Y5020">
        <v>-2.982518E-2</v>
      </c>
      <c r="Z5020">
        <v>1.547454E-2</v>
      </c>
      <c r="AA5020">
        <v>0.99943539999999997</v>
      </c>
      <c r="AB5020">
        <v>24</v>
      </c>
      <c r="AC5020">
        <v>0.27160000000003398</v>
      </c>
      <c r="AD5020">
        <v>-1.111411467832</v>
      </c>
      <c r="AE5020">
        <v>-40.806329999999903</v>
      </c>
      <c r="AF5020">
        <v>-1.22144907021559</v>
      </c>
      <c r="AG5020">
        <v>-1.111411467832</v>
      </c>
      <c r="AH5020">
        <v>40.758688300787803</v>
      </c>
      <c r="AI5020">
        <v>91.561258703789306</v>
      </c>
      <c r="AJ5020">
        <v>91.716515929856797</v>
      </c>
      <c r="AK5020">
        <v>40.792129697807397</v>
      </c>
      <c r="AL5020">
        <v>81.934214758270997</v>
      </c>
      <c r="AM5020">
        <v>92.283294981832796</v>
      </c>
      <c r="AN5020">
        <v>0.999999970495285</v>
      </c>
    </row>
    <row r="5021" spans="1:40" x14ac:dyDescent="0.25">
      <c r="A5021" t="str">
        <f>"20190304155735926"</f>
        <v>20190304155735926</v>
      </c>
      <c r="B5021" t="str">
        <f>"1551686255919400"</f>
        <v>1551686255919400</v>
      </c>
      <c r="C5021" t="s">
        <v>40</v>
      </c>
      <c r="D5021">
        <v>5.1868019999999904</v>
      </c>
      <c r="E5021">
        <v>0.50213589999999997</v>
      </c>
      <c r="F5021" t="s">
        <v>41</v>
      </c>
      <c r="G5021">
        <v>-422.04849999999999</v>
      </c>
      <c r="H5021" s="1">
        <v>-3.7604859999999999E-6</v>
      </c>
      <c r="I5021">
        <v>67.084369999999893</v>
      </c>
      <c r="J5021">
        <v>-422.3879</v>
      </c>
      <c r="K5021">
        <v>1.1113930000000001</v>
      </c>
      <c r="L5021">
        <v>106.9312</v>
      </c>
      <c r="M5021">
        <v>-2.104553E-2</v>
      </c>
      <c r="N5021">
        <v>-1.1524080000000001E-2</v>
      </c>
      <c r="O5021">
        <v>-0.99971220000000005</v>
      </c>
      <c r="P5021">
        <v>1.8003689999999999E-2</v>
      </c>
      <c r="Q5021">
        <v>0.1293096</v>
      </c>
      <c r="R5021">
        <v>-0.99144100000000002</v>
      </c>
      <c r="S5021">
        <v>2.548218E-2</v>
      </c>
      <c r="T5021">
        <v>-8.4185239999999995E-2</v>
      </c>
      <c r="U5021">
        <v>-3.0362089999999999</v>
      </c>
      <c r="V5021">
        <v>-3.9359909999999998E-2</v>
      </c>
      <c r="W5021">
        <v>0.1405825</v>
      </c>
      <c r="X5021">
        <v>0.98928629999999995</v>
      </c>
      <c r="Y5021">
        <v>-2.9429049999999998E-2</v>
      </c>
      <c r="Z5021">
        <v>1.617824E-2</v>
      </c>
      <c r="AA5021">
        <v>0.99943599999999999</v>
      </c>
      <c r="AB5021">
        <v>24</v>
      </c>
      <c r="AC5021">
        <v>0.33940000000001103</v>
      </c>
      <c r="AD5021">
        <v>-1.111396760486</v>
      </c>
      <c r="AE5021">
        <v>-39.846829999999997</v>
      </c>
      <c r="AF5021">
        <v>-1.1770624538290599</v>
      </c>
      <c r="AG5021">
        <v>-1.111396760486</v>
      </c>
      <c r="AH5021">
        <v>39.799900143664601</v>
      </c>
      <c r="AI5021">
        <v>91.598848017638403</v>
      </c>
      <c r="AJ5021">
        <v>91.694000701595499</v>
      </c>
      <c r="AK5021">
        <v>39.832809720444097</v>
      </c>
      <c r="AL5021">
        <v>81.918445698824499</v>
      </c>
      <c r="AM5021">
        <v>92.278377784713996</v>
      </c>
      <c r="AN5021">
        <v>1.0000000125945701</v>
      </c>
    </row>
    <row r="5022" spans="1:40" x14ac:dyDescent="0.25">
      <c r="A5022" t="str">
        <f>"20190304155735948"</f>
        <v>20190304155735948</v>
      </c>
      <c r="B5022" t="str">
        <f>"1551686255939896"</f>
        <v>1551686255939896</v>
      </c>
      <c r="C5022" t="s">
        <v>40</v>
      </c>
      <c r="D5022">
        <v>5.1012639999999996</v>
      </c>
      <c r="E5022">
        <v>0.50233760000000005</v>
      </c>
      <c r="F5022" t="s">
        <v>41</v>
      </c>
      <c r="G5022">
        <v>-421.99090000000001</v>
      </c>
      <c r="H5022" s="1">
        <v>-4.2842259999999999E-6</v>
      </c>
      <c r="I5022">
        <v>68.538439999999994</v>
      </c>
      <c r="J5022">
        <v>-422.39030000000002</v>
      </c>
      <c r="K5022">
        <v>1.1113839999999999</v>
      </c>
      <c r="L5022">
        <v>106.6987</v>
      </c>
      <c r="M5022">
        <v>-1.8858099999999999E-2</v>
      </c>
      <c r="N5022">
        <v>-1.146814E-2</v>
      </c>
      <c r="O5022">
        <v>-0.9997566</v>
      </c>
      <c r="P5022">
        <v>2.019783E-2</v>
      </c>
      <c r="Q5022">
        <v>0.12948579999999901</v>
      </c>
      <c r="R5022">
        <v>-0.99137600000000003</v>
      </c>
      <c r="S5022">
        <v>3.1402590000000001E-2</v>
      </c>
      <c r="T5022">
        <v>-8.790982E-2</v>
      </c>
      <c r="U5022">
        <v>-3.0368040000000001</v>
      </c>
      <c r="V5022">
        <v>-3.9381390000000002E-2</v>
      </c>
      <c r="W5022">
        <v>0.14070379999999999</v>
      </c>
      <c r="X5022">
        <v>0.98926820000000004</v>
      </c>
      <c r="Y5022">
        <v>-2.9188269999999999E-2</v>
      </c>
      <c r="Z5022">
        <v>1.745501E-2</v>
      </c>
      <c r="AA5022">
        <v>0.99942149999999996</v>
      </c>
      <c r="AB5022">
        <v>24</v>
      </c>
      <c r="AC5022">
        <v>0.39940000000001402</v>
      </c>
      <c r="AD5022">
        <v>-1.1113882842259999</v>
      </c>
      <c r="AE5022">
        <v>-38.160260000000001</v>
      </c>
      <c r="AF5022">
        <v>-1.1180578893641699</v>
      </c>
      <c r="AG5022">
        <v>-1.1113882842259999</v>
      </c>
      <c r="AH5022">
        <v>38.113615435681503</v>
      </c>
      <c r="AI5022">
        <v>91.669546711707696</v>
      </c>
      <c r="AJ5022">
        <v>91.680282276609205</v>
      </c>
      <c r="AK5022">
        <v>38.146204515538699</v>
      </c>
      <c r="AL5022">
        <v>81.911425945193102</v>
      </c>
      <c r="AM5022">
        <v>92.279661523870899</v>
      </c>
      <c r="AN5022">
        <v>1.0000000123720001</v>
      </c>
    </row>
    <row r="5023" spans="1:40" x14ac:dyDescent="0.25">
      <c r="A5023" t="str">
        <f>"20190304155735963"</f>
        <v>20190304155735963</v>
      </c>
      <c r="B5023" t="str">
        <f>"1551686255959415"</f>
        <v>1551686255959415</v>
      </c>
      <c r="C5023" t="s">
        <v>40</v>
      </c>
      <c r="D5023">
        <v>5.1048460000000002</v>
      </c>
      <c r="E5023">
        <v>0.50251979999999996</v>
      </c>
      <c r="F5023" t="s">
        <v>41</v>
      </c>
      <c r="G5023">
        <v>-421.94279999999998</v>
      </c>
      <c r="H5023" s="1">
        <v>-4.4933470000000001E-6</v>
      </c>
      <c r="I5023">
        <v>69.178019999999904</v>
      </c>
      <c r="J5023">
        <v>-422.39159999999998</v>
      </c>
      <c r="K5023">
        <v>1.111367</v>
      </c>
      <c r="L5023">
        <v>106.5438</v>
      </c>
      <c r="M5023">
        <v>-1.742022E-2</v>
      </c>
      <c r="N5023">
        <v>-1.1430310000000001E-2</v>
      </c>
      <c r="O5023">
        <v>-0.99978290000000003</v>
      </c>
      <c r="P5023">
        <v>2.1487490000000001E-2</v>
      </c>
      <c r="Q5023">
        <v>0.1296911</v>
      </c>
      <c r="R5023">
        <v>-0.99132189999999998</v>
      </c>
      <c r="S5023">
        <v>3.6224369999999999E-2</v>
      </c>
      <c r="T5023">
        <v>-8.9961769999999996E-2</v>
      </c>
      <c r="U5023">
        <v>-3.0371250000000001</v>
      </c>
      <c r="V5023">
        <v>-3.9241749999999999E-2</v>
      </c>
      <c r="W5023">
        <v>0.14087279999999999</v>
      </c>
      <c r="X5023">
        <v>0.98924970000000001</v>
      </c>
      <c r="Y5023">
        <v>-2.9335799999999999E-2</v>
      </c>
      <c r="Z5023">
        <v>1.816514E-2</v>
      </c>
      <c r="AA5023">
        <v>0.99940450000000003</v>
      </c>
      <c r="AB5023">
        <v>24</v>
      </c>
      <c r="AC5023">
        <v>0.44880000000000497</v>
      </c>
      <c r="AD5023">
        <v>-1.111371493347</v>
      </c>
      <c r="AE5023">
        <v>-37.365780000000001</v>
      </c>
      <c r="AF5023">
        <v>-1.09872269241159</v>
      </c>
      <c r="AG5023">
        <v>-1.111371493347</v>
      </c>
      <c r="AH5023">
        <v>37.319280879678303</v>
      </c>
      <c r="AI5023">
        <v>91.705030908822707</v>
      </c>
      <c r="AJ5023">
        <v>91.686366738760896</v>
      </c>
      <c r="AK5023">
        <v>37.351988749293703</v>
      </c>
      <c r="AL5023">
        <v>81.901645563150296</v>
      </c>
      <c r="AM5023">
        <v>92.271629134556505</v>
      </c>
      <c r="AN5023">
        <v>1.00000001483649</v>
      </c>
    </row>
    <row r="5024" spans="1:40" x14ac:dyDescent="0.25">
      <c r="A5024" t="str">
        <f>"20190304155735982"</f>
        <v>20190304155735982</v>
      </c>
      <c r="B5024" t="str">
        <f>"1551686255979912"</f>
        <v>1551686255979912</v>
      </c>
      <c r="C5024" t="s">
        <v>40</v>
      </c>
      <c r="D5024">
        <v>5.1001279999999998</v>
      </c>
      <c r="E5024">
        <v>0.50268699999999999</v>
      </c>
      <c r="F5024" t="s">
        <v>41</v>
      </c>
      <c r="G5024">
        <v>-421.91390000000001</v>
      </c>
      <c r="H5024" s="1">
        <v>-4.6030639999999999E-6</v>
      </c>
      <c r="I5024">
        <v>69.515500000000003</v>
      </c>
      <c r="J5024">
        <v>-422.3931</v>
      </c>
      <c r="K5024">
        <v>1.1113409999999999</v>
      </c>
      <c r="L5024">
        <v>106.3331</v>
      </c>
      <c r="M5024">
        <v>-1.5487600000000001E-2</v>
      </c>
      <c r="N5024">
        <v>-1.137903E-2</v>
      </c>
      <c r="O5024">
        <v>-0.99981540000000002</v>
      </c>
      <c r="P5024">
        <v>2.3696269999999998E-2</v>
      </c>
      <c r="Q5024">
        <v>0.13007630000000001</v>
      </c>
      <c r="R5024">
        <v>-0.99122080000000001</v>
      </c>
      <c r="S5024">
        <v>3.9184570000000002E-2</v>
      </c>
      <c r="T5024">
        <v>-9.1163519999999998E-2</v>
      </c>
      <c r="U5024">
        <v>-3.0373540000000001</v>
      </c>
      <c r="V5024">
        <v>-3.952758E-2</v>
      </c>
      <c r="W5024">
        <v>0.141208</v>
      </c>
      <c r="X5024">
        <v>0.98919049999999997</v>
      </c>
      <c r="Y5024">
        <v>-2.837667E-2</v>
      </c>
      <c r="Z5024">
        <v>1.8610950000000001E-2</v>
      </c>
      <c r="AA5024">
        <v>0.99942399999999998</v>
      </c>
      <c r="AB5024">
        <v>24</v>
      </c>
      <c r="AC5024">
        <v>0.47919999999999102</v>
      </c>
      <c r="AD5024">
        <v>-1.1113456030640001</v>
      </c>
      <c r="AE5024">
        <v>-36.817599999999999</v>
      </c>
      <c r="AF5024">
        <v>-1.0484405279917</v>
      </c>
      <c r="AG5024">
        <v>-1.1113456030640001</v>
      </c>
      <c r="AH5024">
        <v>36.7722622111757</v>
      </c>
      <c r="AI5024">
        <v>91.7303856344205</v>
      </c>
      <c r="AJ5024">
        <v>91.633158907935496</v>
      </c>
      <c r="AK5024">
        <v>36.803988706628601</v>
      </c>
      <c r="AL5024">
        <v>81.882245870972696</v>
      </c>
      <c r="AM5024">
        <v>92.288294551355705</v>
      </c>
      <c r="AN5024">
        <v>0.99999998706745297</v>
      </c>
    </row>
    <row r="5025" spans="1:40" x14ac:dyDescent="0.25">
      <c r="A5025" t="str">
        <f>"20190304155736004"</f>
        <v>20190304155736004</v>
      </c>
      <c r="B5025" t="str">
        <f>"1551686255999431"</f>
        <v>1551686255999431</v>
      </c>
      <c r="C5025" t="s">
        <v>40</v>
      </c>
      <c r="D5025">
        <v>5.0861070000000002</v>
      </c>
      <c r="E5025">
        <v>0.50288900000000003</v>
      </c>
      <c r="F5025" t="s">
        <v>41</v>
      </c>
      <c r="G5025">
        <v>-421.86040000000003</v>
      </c>
      <c r="H5025" s="1">
        <v>-5.4818669999999898E-7</v>
      </c>
      <c r="I5025">
        <v>69.71311</v>
      </c>
      <c r="J5025">
        <v>-422.39429999999999</v>
      </c>
      <c r="K5025">
        <v>1.111302</v>
      </c>
      <c r="L5025">
        <v>106.0984</v>
      </c>
      <c r="M5025">
        <v>-1.3372159999999999E-2</v>
      </c>
      <c r="N5025">
        <v>-1.1321110000000001E-2</v>
      </c>
      <c r="O5025">
        <v>-0.99984660000000003</v>
      </c>
      <c r="P5025">
        <v>2.5687979999999999E-2</v>
      </c>
      <c r="Q5025">
        <v>0.12986329999999999</v>
      </c>
      <c r="R5025">
        <v>-0.99119919999999995</v>
      </c>
      <c r="S5025">
        <v>4.4189449999999998E-2</v>
      </c>
      <c r="T5025">
        <v>-9.2184779999999994E-2</v>
      </c>
      <c r="U5025">
        <v>-3.037598</v>
      </c>
      <c r="V5025">
        <v>-3.9411649999999999E-2</v>
      </c>
      <c r="W5025">
        <v>0.14094079999999901</v>
      </c>
      <c r="X5025">
        <v>0.98923329999999998</v>
      </c>
      <c r="Y5025">
        <v>-2.7907060000000001E-2</v>
      </c>
      <c r="Z5025">
        <v>1.900344E-2</v>
      </c>
      <c r="AA5025">
        <v>0.99942989999999998</v>
      </c>
      <c r="AB5025">
        <v>24</v>
      </c>
      <c r="AC5025">
        <v>0.53389999999995996</v>
      </c>
      <c r="AD5025">
        <v>-1.1113025481866901</v>
      </c>
      <c r="AE5025">
        <v>-36.385289999999998</v>
      </c>
      <c r="AF5025">
        <v>-1.0194824876248301</v>
      </c>
      <c r="AG5025">
        <v>-1.1113025481866901</v>
      </c>
      <c r="AH5025">
        <v>36.341002978838098</v>
      </c>
      <c r="AI5025">
        <v>91.750862321492804</v>
      </c>
      <c r="AJ5025">
        <v>91.606910188624397</v>
      </c>
      <c r="AK5025">
        <v>36.372281141057101</v>
      </c>
      <c r="AL5025">
        <v>81.897710510306098</v>
      </c>
      <c r="AM5025">
        <v>92.281491730184399</v>
      </c>
      <c r="AN5025">
        <v>1.0000000545446199</v>
      </c>
    </row>
    <row r="5026" spans="1:40" x14ac:dyDescent="0.25">
      <c r="A5026" t="str">
        <f>"20190304155736027"</f>
        <v>20190304155736027</v>
      </c>
      <c r="B5026" t="str">
        <f>"1551686256019460"</f>
        <v>1551686256019460</v>
      </c>
      <c r="C5026" t="s">
        <v>40</v>
      </c>
      <c r="D5026">
        <v>5.0771350000000002</v>
      </c>
      <c r="E5026">
        <v>0.50309289999999995</v>
      </c>
      <c r="F5026" t="s">
        <v>41</v>
      </c>
      <c r="G5026">
        <v>-421.82819999999998</v>
      </c>
      <c r="H5026" s="1">
        <v>-8.9766769999999898E-7</v>
      </c>
      <c r="I5026">
        <v>70.547700000000006</v>
      </c>
      <c r="J5026">
        <v>-422.39499999999998</v>
      </c>
      <c r="K5026">
        <v>1.1112550000000001</v>
      </c>
      <c r="L5026">
        <v>105.85809999999999</v>
      </c>
      <c r="M5026">
        <v>-1.125313E-2</v>
      </c>
      <c r="N5026">
        <v>-1.126167E-2</v>
      </c>
      <c r="O5026">
        <v>-0.99987340000000002</v>
      </c>
      <c r="P5026">
        <v>2.7824080000000001E-2</v>
      </c>
      <c r="Q5026">
        <v>0.129775</v>
      </c>
      <c r="R5026">
        <v>-0.99115359999999997</v>
      </c>
      <c r="S5026">
        <v>4.8370360000000001E-2</v>
      </c>
      <c r="T5026">
        <v>-9.4960929999999999E-2</v>
      </c>
      <c r="U5026">
        <v>-3.037811</v>
      </c>
      <c r="V5026">
        <v>-3.9435110000000002E-2</v>
      </c>
      <c r="W5026">
        <v>0.140796799999999</v>
      </c>
      <c r="X5026">
        <v>0.98925280000000004</v>
      </c>
      <c r="Y5026">
        <v>-2.7162479999999999E-2</v>
      </c>
      <c r="Z5026">
        <v>1.9974530000000001E-2</v>
      </c>
      <c r="AA5026">
        <v>0.99943139999999997</v>
      </c>
      <c r="AB5026">
        <v>24</v>
      </c>
      <c r="AC5026">
        <v>0.56679999999999997</v>
      </c>
      <c r="AD5026">
        <v>-1.1112558976676901</v>
      </c>
      <c r="AE5026">
        <v>-35.310399999999902</v>
      </c>
      <c r="AF5026">
        <v>-0.96318805055721701</v>
      </c>
      <c r="AG5026">
        <v>-1.1112558976676901</v>
      </c>
      <c r="AH5026">
        <v>35.266864948058597</v>
      </c>
      <c r="AI5026">
        <v>91.804115672952094</v>
      </c>
      <c r="AJ5026">
        <v>91.564440017969801</v>
      </c>
      <c r="AK5026">
        <v>35.297512435799803</v>
      </c>
      <c r="AL5026">
        <v>81.9060436330806</v>
      </c>
      <c r="AM5026">
        <v>92.282803412659305</v>
      </c>
      <c r="AN5026">
        <v>0.99999998454939598</v>
      </c>
    </row>
    <row r="5027" spans="1:40" x14ac:dyDescent="0.25">
      <c r="A5027" t="str">
        <f>"20190304155736050"</f>
        <v>20190304155736050</v>
      </c>
      <c r="B5027" t="str">
        <f>"1551686256039957"</f>
        <v>1551686256039957</v>
      </c>
      <c r="C5027" t="s">
        <v>40</v>
      </c>
      <c r="D5027">
        <v>5.0773840000000003</v>
      </c>
      <c r="E5027">
        <v>0.50329299999999999</v>
      </c>
      <c r="F5027" t="s">
        <v>41</v>
      </c>
      <c r="G5027">
        <v>-421.78140000000002</v>
      </c>
      <c r="H5027" s="1">
        <v>-1.118922E-6</v>
      </c>
      <c r="I5027">
        <v>71.092449999999999</v>
      </c>
      <c r="J5027">
        <v>-422.3954</v>
      </c>
      <c r="K5027">
        <v>1.1112059999999999</v>
      </c>
      <c r="L5027">
        <v>105.61279999999999</v>
      </c>
      <c r="M5027">
        <v>-9.1486750000000002E-3</v>
      </c>
      <c r="N5027">
        <v>-1.1199850000000001E-2</v>
      </c>
      <c r="O5027">
        <v>-0.99989550000000005</v>
      </c>
      <c r="P5027">
        <v>2.9179050000000002E-2</v>
      </c>
      <c r="Q5027">
        <v>0.12911729999999999</v>
      </c>
      <c r="R5027">
        <v>-0.99120010000000003</v>
      </c>
      <c r="S5027">
        <v>5.3619380000000001E-2</v>
      </c>
      <c r="T5027">
        <v>-9.7106579999999998E-2</v>
      </c>
      <c r="U5027">
        <v>-3.037979</v>
      </c>
      <c r="V5027">
        <v>-3.868949E-2</v>
      </c>
      <c r="W5027">
        <v>0.14008579999999901</v>
      </c>
      <c r="X5027">
        <v>0.98938320000000002</v>
      </c>
      <c r="Y5027">
        <v>-2.678376E-2</v>
      </c>
      <c r="Z5027">
        <v>2.0740620000000001E-2</v>
      </c>
      <c r="AA5027">
        <v>0.99942609999999998</v>
      </c>
      <c r="AB5027">
        <v>24</v>
      </c>
      <c r="AC5027">
        <v>0.61399999999997501</v>
      </c>
      <c r="AD5027">
        <v>-1.1112071189220001</v>
      </c>
      <c r="AE5027">
        <v>-34.520349999999901</v>
      </c>
      <c r="AF5027">
        <v>-0.92884739161707797</v>
      </c>
      <c r="AG5027">
        <v>-1.1112071189220001</v>
      </c>
      <c r="AH5027">
        <v>34.477573464829</v>
      </c>
      <c r="AI5027">
        <v>91.845326452751706</v>
      </c>
      <c r="AJ5027">
        <v>91.543210852673596</v>
      </c>
      <c r="AK5027">
        <v>34.507978943437699</v>
      </c>
      <c r="AL5027">
        <v>81.947188946896105</v>
      </c>
      <c r="AM5027">
        <v>92.239390758449204</v>
      </c>
      <c r="AN5027">
        <v>1.00000001222017</v>
      </c>
    </row>
    <row r="5028" spans="1:40" x14ac:dyDescent="0.25">
      <c r="A5028" t="str">
        <f>"20190304155736073"</f>
        <v>20190304155736073</v>
      </c>
      <c r="B5028" t="str">
        <f>"1551686256059477"</f>
        <v>1551686256059477</v>
      </c>
      <c r="C5028" t="s">
        <v>40</v>
      </c>
      <c r="D5028">
        <v>5.0678159999999997</v>
      </c>
      <c r="E5028">
        <v>0.50339449999999997</v>
      </c>
      <c r="F5028" t="s">
        <v>41</v>
      </c>
      <c r="G5028">
        <v>-421.78309999999999</v>
      </c>
      <c r="H5028" s="1">
        <v>-1.5590959999999999E-6</v>
      </c>
      <c r="I5028">
        <v>72.117469999999997</v>
      </c>
      <c r="J5028">
        <v>-422.39530000000002</v>
      </c>
      <c r="K5028">
        <v>1.111151</v>
      </c>
      <c r="L5028">
        <v>105.37269999999999</v>
      </c>
      <c r="M5028">
        <v>-7.1632299999999996E-3</v>
      </c>
      <c r="N5028">
        <v>-1.1140270000000001E-2</v>
      </c>
      <c r="O5028">
        <v>-0.99991260000000004</v>
      </c>
      <c r="P5028">
        <v>3.0938630000000002E-2</v>
      </c>
      <c r="Q5028">
        <v>0.1284872</v>
      </c>
      <c r="R5028">
        <v>-0.99122880000000002</v>
      </c>
      <c r="S5028">
        <v>5.5541989999999999E-2</v>
      </c>
      <c r="T5028">
        <v>-0.1007894</v>
      </c>
      <c r="U5028">
        <v>-3.038116</v>
      </c>
      <c r="V5028">
        <v>-3.8465369999999999E-2</v>
      </c>
      <c r="W5028">
        <v>0.1394021</v>
      </c>
      <c r="X5028">
        <v>0.98948849999999999</v>
      </c>
      <c r="Y5028">
        <v>-2.542997E-2</v>
      </c>
      <c r="Z5028">
        <v>2.2010399999999999E-2</v>
      </c>
      <c r="AA5028">
        <v>0.9994343</v>
      </c>
      <c r="AB5028">
        <v>24</v>
      </c>
      <c r="AC5028">
        <v>0.61220000000002905</v>
      </c>
      <c r="AD5028">
        <v>-1.1111525590960001</v>
      </c>
      <c r="AE5028">
        <v>-33.255229999999997</v>
      </c>
      <c r="AF5028">
        <v>-0.84946582225213196</v>
      </c>
      <c r="AG5028">
        <v>-1.1111525590960001</v>
      </c>
      <c r="AH5028">
        <v>33.212924090524602</v>
      </c>
      <c r="AI5028">
        <v>91.915514147406597</v>
      </c>
      <c r="AJ5028">
        <v>91.465098279544307</v>
      </c>
      <c r="AK5028">
        <v>33.242361210294703</v>
      </c>
      <c r="AL5028">
        <v>81.986750249590401</v>
      </c>
      <c r="AM5028">
        <v>92.226194840661705</v>
      </c>
      <c r="AN5028">
        <v>1.0000000109029401</v>
      </c>
    </row>
    <row r="5029" spans="1:40" x14ac:dyDescent="0.25">
      <c r="A5029" t="str">
        <f>"20190304155736094"</f>
        <v>20190304155736094</v>
      </c>
      <c r="B5029" t="str">
        <f>"1551686256089733"</f>
        <v>1551686256089733</v>
      </c>
      <c r="C5029" t="s">
        <v>40</v>
      </c>
      <c r="D5029">
        <v>4.6975239999999996</v>
      </c>
      <c r="E5029">
        <v>0.56819619999999904</v>
      </c>
      <c r="F5029" t="s">
        <v>41</v>
      </c>
      <c r="G5029">
        <v>-421.75830000000002</v>
      </c>
      <c r="H5029" s="1">
        <v>-1.916839E-6</v>
      </c>
      <c r="I5029">
        <v>72.966759999999994</v>
      </c>
      <c r="J5029">
        <v>-422.39479999999998</v>
      </c>
      <c r="K5029">
        <v>1.1111040000000001</v>
      </c>
      <c r="L5029">
        <v>105.1392</v>
      </c>
      <c r="M5029">
        <v>-5.2863750000000003E-3</v>
      </c>
      <c r="N5029">
        <v>-1.1085859999999999E-2</v>
      </c>
      <c r="O5029">
        <v>-0.99992479999999995</v>
      </c>
      <c r="P5029">
        <v>3.2469739999999997E-2</v>
      </c>
      <c r="Q5029">
        <v>0.1285714</v>
      </c>
      <c r="R5029">
        <v>-0.99116890000000002</v>
      </c>
      <c r="S5029">
        <v>5.9722900000000002E-2</v>
      </c>
      <c r="T5029">
        <v>-0.10417460000000001</v>
      </c>
      <c r="U5029">
        <v>-3.0381770000000001</v>
      </c>
      <c r="V5029">
        <v>-3.81231E-2</v>
      </c>
      <c r="W5029">
        <v>0.13943710000000001</v>
      </c>
      <c r="X5029">
        <v>0.98949679999999995</v>
      </c>
      <c r="Y5029">
        <v>-2.4927540000000002E-2</v>
      </c>
      <c r="Z5029">
        <v>2.317702E-2</v>
      </c>
      <c r="AA5029">
        <v>0.99942059999999999</v>
      </c>
      <c r="AB5029">
        <v>24</v>
      </c>
      <c r="AC5029">
        <v>0.63649999999995499</v>
      </c>
      <c r="AD5029">
        <v>-1.1111059168390001</v>
      </c>
      <c r="AE5029">
        <v>-32.172440000000002</v>
      </c>
      <c r="AF5029">
        <v>-0.80561659247827999</v>
      </c>
      <c r="AG5029">
        <v>-1.1111059168390001</v>
      </c>
      <c r="AH5029">
        <v>32.130317548076</v>
      </c>
      <c r="AI5029">
        <v>91.979947534221296</v>
      </c>
      <c r="AJ5029">
        <v>91.4362995739463</v>
      </c>
      <c r="AK5029">
        <v>32.159615672341502</v>
      </c>
      <c r="AL5029">
        <v>81.984725001746696</v>
      </c>
      <c r="AM5029">
        <v>92.206387038063696</v>
      </c>
      <c r="AN5029">
        <v>0.99999999641012904</v>
      </c>
    </row>
    <row r="5030" spans="1:40" x14ac:dyDescent="0.25">
      <c r="A5030" t="str">
        <f>"20190304155736117"</f>
        <v>20190304155736117</v>
      </c>
      <c r="B5030" t="str">
        <f>"1551686256110229"</f>
        <v>1551686256110229</v>
      </c>
      <c r="C5030" t="s">
        <v>40</v>
      </c>
      <c r="D5030">
        <v>4.7332619999999999</v>
      </c>
      <c r="E5030">
        <v>0.56643840000000001</v>
      </c>
      <c r="F5030" t="s">
        <v>42</v>
      </c>
      <c r="G5030">
        <v>-422.5249</v>
      </c>
      <c r="H5030">
        <v>1.0141279999999999</v>
      </c>
      <c r="I5030">
        <v>104.25879999999999</v>
      </c>
      <c r="J5030">
        <v>-422.39389999999997</v>
      </c>
      <c r="K5030">
        <v>1.111054</v>
      </c>
      <c r="L5030">
        <v>104.89790000000001</v>
      </c>
      <c r="M5030">
        <v>-3.4093579999999999E-3</v>
      </c>
      <c r="N5030">
        <v>-1.102974E-2</v>
      </c>
      <c r="O5030">
        <v>-0.99993359999999998</v>
      </c>
      <c r="P5030">
        <v>3.3574069999999998E-2</v>
      </c>
      <c r="Q5030">
        <v>0.12823950000000001</v>
      </c>
      <c r="R5030">
        <v>-0.99117520000000003</v>
      </c>
      <c r="S5030">
        <v>-0.45465090000000002</v>
      </c>
      <c r="T5030">
        <v>-0.34018090000000001</v>
      </c>
      <c r="U5030">
        <v>-3.0857540000000001</v>
      </c>
      <c r="V5030">
        <v>-3.7353200000000003E-2</v>
      </c>
      <c r="W5030">
        <v>0.13905600000000001</v>
      </c>
      <c r="X5030">
        <v>0.98957980000000001</v>
      </c>
      <c r="Y5030">
        <v>0.14160339999999999</v>
      </c>
      <c r="Z5030">
        <v>9.7479540000000003E-2</v>
      </c>
      <c r="AA5030">
        <v>0.98511230000000005</v>
      </c>
      <c r="AB5030">
        <v>24</v>
      </c>
      <c r="AC5030">
        <v>-0.13100000000002801</v>
      </c>
      <c r="AD5030">
        <v>-9.6925999999999804E-2</v>
      </c>
      <c r="AE5030">
        <v>-0.63910000000001299</v>
      </c>
      <c r="AF5030">
        <v>0.12603809827908799</v>
      </c>
      <c r="AG5030">
        <v>-9.6925999999999804E-2</v>
      </c>
      <c r="AH5030">
        <v>0.62573093782952305</v>
      </c>
      <c r="AI5030">
        <v>98.634436549388695</v>
      </c>
      <c r="AJ5030">
        <v>78.611561364376996</v>
      </c>
      <c r="AK5030">
        <v>0.64561556537216702</v>
      </c>
      <c r="AL5030">
        <v>82.006775324848206</v>
      </c>
      <c r="AM5030">
        <v>92.161690382143107</v>
      </c>
      <c r="AN5030">
        <v>1.0000000066271399</v>
      </c>
    </row>
    <row r="5031" spans="1:40" x14ac:dyDescent="0.25">
      <c r="A5031" t="str">
        <f>"20190304155736138"</f>
        <v>20190304155736138</v>
      </c>
      <c r="B5031" t="str">
        <f>"1551686256129749"</f>
        <v>1551686256129749</v>
      </c>
      <c r="C5031" t="s">
        <v>40</v>
      </c>
      <c r="D5031">
        <v>4.7367610000000004</v>
      </c>
      <c r="E5031">
        <v>0.56636039999999999</v>
      </c>
      <c r="F5031" t="s">
        <v>42</v>
      </c>
      <c r="G5031">
        <v>-422.51429999999999</v>
      </c>
      <c r="H5031">
        <v>1.005935</v>
      </c>
      <c r="I5031">
        <v>104.04810000000001</v>
      </c>
      <c r="J5031">
        <v>-422.39269999999999</v>
      </c>
      <c r="K5031">
        <v>1.1110089999999999</v>
      </c>
      <c r="L5031">
        <v>104.6696</v>
      </c>
      <c r="M5031">
        <v>-1.7002759999999999E-3</v>
      </c>
      <c r="N5031">
        <v>-1.0976069999999999E-2</v>
      </c>
      <c r="O5031">
        <v>-0.99993829999999995</v>
      </c>
      <c r="P5031">
        <v>3.4228729999999999E-2</v>
      </c>
      <c r="Q5031">
        <v>0.1282326</v>
      </c>
      <c r="R5031">
        <v>-0.99115350000000002</v>
      </c>
      <c r="S5031">
        <v>-0.43771359999999898</v>
      </c>
      <c r="T5031">
        <v>-0.38247690000000001</v>
      </c>
      <c r="U5031">
        <v>-3.0910340000000001</v>
      </c>
      <c r="V5031">
        <v>-3.6300249999999999E-2</v>
      </c>
      <c r="W5031">
        <v>0.13900270000000001</v>
      </c>
      <c r="X5031">
        <v>0.98962649999999996</v>
      </c>
      <c r="Y5031">
        <v>0.1375624</v>
      </c>
      <c r="Z5031">
        <v>0.11072</v>
      </c>
      <c r="AA5031">
        <v>0.98428539999999998</v>
      </c>
      <c r="AB5031">
        <v>24</v>
      </c>
      <c r="AC5031">
        <v>-0.1216</v>
      </c>
      <c r="AD5031">
        <v>-0.105073999999999</v>
      </c>
      <c r="AE5031">
        <v>-0.62149999999999705</v>
      </c>
      <c r="AF5031">
        <v>0.117313494518058</v>
      </c>
      <c r="AG5031">
        <v>-0.105073999999999</v>
      </c>
      <c r="AH5031">
        <v>0.60504935407465399</v>
      </c>
      <c r="AI5031">
        <v>99.675152490668793</v>
      </c>
      <c r="AJ5031">
        <v>79.027028955106999</v>
      </c>
      <c r="AK5031">
        <v>0.62521014254264495</v>
      </c>
      <c r="AL5031">
        <v>82.009859360260805</v>
      </c>
      <c r="AM5031">
        <v>92.100710798073806</v>
      </c>
      <c r="AN5031">
        <v>1.0000000341298001</v>
      </c>
    </row>
    <row r="5032" spans="1:40" x14ac:dyDescent="0.25">
      <c r="A5032" t="str">
        <f>"20190304155736153"</f>
        <v>20190304155736153</v>
      </c>
      <c r="B5032" t="str">
        <f>"1551686256150245"</f>
        <v>1551686256150245</v>
      </c>
      <c r="C5032" t="s">
        <v>40</v>
      </c>
      <c r="D5032">
        <v>4.7695619999999996</v>
      </c>
      <c r="E5032">
        <v>0.56801480000000004</v>
      </c>
      <c r="F5032" t="s">
        <v>42</v>
      </c>
      <c r="G5032">
        <v>-422.51069999999999</v>
      </c>
      <c r="H5032">
        <v>1.004904</v>
      </c>
      <c r="I5032">
        <v>103.83369999999999</v>
      </c>
      <c r="J5032">
        <v>-422.39170000000001</v>
      </c>
      <c r="K5032">
        <v>1.110973</v>
      </c>
      <c r="L5032">
        <v>104.5121</v>
      </c>
      <c r="M5032">
        <v>-5.5870050000000004E-4</v>
      </c>
      <c r="N5032">
        <v>-1.0938359999999999E-2</v>
      </c>
      <c r="O5032">
        <v>-0.99994000000000005</v>
      </c>
      <c r="P5032">
        <v>3.483489E-2</v>
      </c>
      <c r="Q5032">
        <v>0.12844819999999901</v>
      </c>
      <c r="R5032">
        <v>-0.99110430000000005</v>
      </c>
      <c r="S5032">
        <v>-0.43457030000000002</v>
      </c>
      <c r="T5032">
        <v>-0.39282810000000001</v>
      </c>
      <c r="U5032">
        <v>-3.0926209999999998</v>
      </c>
      <c r="V5032">
        <v>-3.5764659999999997E-2</v>
      </c>
      <c r="W5032">
        <v>0.13918539999999999</v>
      </c>
      <c r="X5032">
        <v>0.98962030000000001</v>
      </c>
      <c r="Y5032">
        <v>0.13758899999999999</v>
      </c>
      <c r="Z5032">
        <v>0.1139473</v>
      </c>
      <c r="AA5032">
        <v>0.98391320000000004</v>
      </c>
      <c r="AB5032">
        <v>24</v>
      </c>
      <c r="AC5032">
        <v>-0.118999999999971</v>
      </c>
      <c r="AD5032">
        <v>-0.106068999999999</v>
      </c>
      <c r="AE5032">
        <v>-0.67840000000001</v>
      </c>
      <c r="AF5032">
        <v>0.115872881057659</v>
      </c>
      <c r="AG5032">
        <v>-0.106068999999999</v>
      </c>
      <c r="AH5032">
        <v>0.662748558458778</v>
      </c>
      <c r="AI5032">
        <v>98.959094888649602</v>
      </c>
      <c r="AJ5032">
        <v>80.082823878919697</v>
      </c>
      <c r="AK5032">
        <v>0.68111145128003103</v>
      </c>
      <c r="AL5032">
        <v>81.999288490229901</v>
      </c>
      <c r="AM5032">
        <v>92.069756092900306</v>
      </c>
      <c r="AN5032">
        <v>1.0000000123250801</v>
      </c>
    </row>
    <row r="5033" spans="1:40" x14ac:dyDescent="0.25">
      <c r="A5033" t="str">
        <f>"20190304155736172"</f>
        <v>20190304155736172</v>
      </c>
      <c r="B5033" t="str">
        <f>"1551686256160005"</f>
        <v>1551686256160005</v>
      </c>
      <c r="C5033" t="s">
        <v>40</v>
      </c>
      <c r="D5033">
        <v>4.7299850000000001</v>
      </c>
      <c r="E5033">
        <v>0.56909690000000002</v>
      </c>
      <c r="F5033" t="s">
        <v>42</v>
      </c>
      <c r="G5033">
        <v>-422.5204</v>
      </c>
      <c r="H5033">
        <v>0.99827980000000005</v>
      </c>
      <c r="I5033">
        <v>103.62130000000001</v>
      </c>
      <c r="J5033">
        <v>-422.39010000000002</v>
      </c>
      <c r="K5033">
        <v>1.110922</v>
      </c>
      <c r="L5033">
        <v>104.30289999999999</v>
      </c>
      <c r="M5033">
        <v>8.9964769999999997E-4</v>
      </c>
      <c r="N5033">
        <v>-1.0888480000000001E-2</v>
      </c>
      <c r="O5033">
        <v>-0.99994039999999995</v>
      </c>
      <c r="P5033">
        <v>3.572446E-2</v>
      </c>
      <c r="Q5033">
        <v>0.12795399999999901</v>
      </c>
      <c r="R5033">
        <v>-0.99113669999999998</v>
      </c>
      <c r="S5033">
        <v>-0.44577030000000001</v>
      </c>
      <c r="T5033">
        <v>-0.3915708</v>
      </c>
      <c r="U5033">
        <v>-3.093353</v>
      </c>
      <c r="V5033">
        <v>-3.5192569999999999E-2</v>
      </c>
      <c r="W5033">
        <v>0.13864799999999999</v>
      </c>
      <c r="X5033">
        <v>0.98971620000000005</v>
      </c>
      <c r="Y5033">
        <v>0.14249579999999901</v>
      </c>
      <c r="Z5033">
        <v>0.1134988</v>
      </c>
      <c r="AA5033">
        <v>0.98326650000000004</v>
      </c>
      <c r="AB5033">
        <v>24</v>
      </c>
      <c r="AC5033">
        <v>-0.13029999999997699</v>
      </c>
      <c r="AD5033">
        <v>-0.112642199999999</v>
      </c>
      <c r="AE5033">
        <v>-0.68159999999998799</v>
      </c>
      <c r="AF5033">
        <v>0.127552377606897</v>
      </c>
      <c r="AG5033">
        <v>-0.112642199999999</v>
      </c>
      <c r="AH5033">
        <v>0.66398746108393403</v>
      </c>
      <c r="AI5033">
        <v>99.458547090183899</v>
      </c>
      <c r="AJ5033">
        <v>79.125916739581299</v>
      </c>
      <c r="AK5033">
        <v>0.68544673223431596</v>
      </c>
      <c r="AL5033">
        <v>82.030380376377295</v>
      </c>
      <c r="AM5033">
        <v>92.036479289280194</v>
      </c>
      <c r="AN5033">
        <v>0.99999997071482205</v>
      </c>
    </row>
    <row r="5034" spans="1:40" x14ac:dyDescent="0.25">
      <c r="A5034" t="str">
        <f>"20190304155736195"</f>
        <v>20190304155736195</v>
      </c>
      <c r="B5034" t="str">
        <f>"1551686256190262"</f>
        <v>1551686256190262</v>
      </c>
      <c r="C5034" t="s">
        <v>40</v>
      </c>
      <c r="D5034">
        <v>4.8279519999999998</v>
      </c>
      <c r="E5034">
        <v>0.5671001</v>
      </c>
      <c r="F5034" t="s">
        <v>42</v>
      </c>
      <c r="G5034">
        <v>-422.52140000000003</v>
      </c>
      <c r="H5034">
        <v>0.99632039999999999</v>
      </c>
      <c r="I5034">
        <v>103.4066</v>
      </c>
      <c r="J5034">
        <v>-422.38799999999998</v>
      </c>
      <c r="K5034">
        <v>1.1108530000000001</v>
      </c>
      <c r="L5034">
        <v>104.0591</v>
      </c>
      <c r="M5034">
        <v>2.5171220000000001E-3</v>
      </c>
      <c r="N5034">
        <v>-1.082953E-2</v>
      </c>
      <c r="O5034">
        <v>-0.99993840000000001</v>
      </c>
      <c r="P5034">
        <v>3.6652009999999999E-2</v>
      </c>
      <c r="Q5034">
        <v>0.12786629999999999</v>
      </c>
      <c r="R5034">
        <v>-0.9911143</v>
      </c>
      <c r="S5034">
        <v>-0.45147710000000002</v>
      </c>
      <c r="T5034">
        <v>-0.39592909999999998</v>
      </c>
      <c r="U5034">
        <v>-3.0942080000000001</v>
      </c>
      <c r="V5034">
        <v>-3.4497140000000003E-2</v>
      </c>
      <c r="W5034">
        <v>0.1385092</v>
      </c>
      <c r="X5034">
        <v>0.98976019999999998</v>
      </c>
      <c r="Y5034">
        <v>0.14580839999999901</v>
      </c>
      <c r="Z5034">
        <v>0.1148383</v>
      </c>
      <c r="AA5034">
        <v>0.98262510000000003</v>
      </c>
      <c r="AB5034">
        <v>24</v>
      </c>
      <c r="AC5034">
        <v>-0.133399999999994</v>
      </c>
      <c r="AD5034">
        <v>-0.1145326</v>
      </c>
      <c r="AE5034">
        <v>-0.65250000000000297</v>
      </c>
      <c r="AF5034">
        <v>0.13116304544374199</v>
      </c>
      <c r="AG5034">
        <v>-0.1145326</v>
      </c>
      <c r="AH5034">
        <v>0.63342893702327696</v>
      </c>
      <c r="AI5034">
        <v>100.040595067498</v>
      </c>
      <c r="AJ5034">
        <v>78.301195305117602</v>
      </c>
      <c r="AK5034">
        <v>0.65692745353750803</v>
      </c>
      <c r="AL5034">
        <v>82.038411164045897</v>
      </c>
      <c r="AM5034">
        <v>91.996181236998197</v>
      </c>
      <c r="AN5034">
        <v>1.00000005232842</v>
      </c>
    </row>
    <row r="5035" spans="1:40" x14ac:dyDescent="0.25">
      <c r="A5035" t="str">
        <f>"20190304155736217"</f>
        <v>20190304155736217</v>
      </c>
      <c r="B5035" t="str">
        <f>"1551686256210290"</f>
        <v>1551686256210290</v>
      </c>
      <c r="C5035" t="s">
        <v>40</v>
      </c>
      <c r="D5035">
        <v>4.8814019999999996</v>
      </c>
      <c r="E5035">
        <v>0.56707619999999903</v>
      </c>
      <c r="F5035" t="s">
        <v>42</v>
      </c>
      <c r="G5035">
        <v>-422.50990000000002</v>
      </c>
      <c r="H5035">
        <v>0.99721939999999998</v>
      </c>
      <c r="I5035">
        <v>103.19070000000001</v>
      </c>
      <c r="J5035">
        <v>-422.38569999999999</v>
      </c>
      <c r="K5035">
        <v>1.110787</v>
      </c>
      <c r="L5035">
        <v>103.8218</v>
      </c>
      <c r="M5035">
        <v>4.0090730000000002E-3</v>
      </c>
      <c r="N5035">
        <v>-1.0773939999999999E-2</v>
      </c>
      <c r="O5035">
        <v>-0.99993399999999999</v>
      </c>
      <c r="P5035">
        <v>3.7104610000000003E-2</v>
      </c>
      <c r="Q5035">
        <v>0.12719939999999999</v>
      </c>
      <c r="R5035">
        <v>-0.99118300000000004</v>
      </c>
      <c r="S5035">
        <v>-0.43313600000000002</v>
      </c>
      <c r="T5035">
        <v>-0.40521249999999998</v>
      </c>
      <c r="U5035">
        <v>-3.0951840000000002</v>
      </c>
      <c r="V5035">
        <v>-3.3449439999999997E-2</v>
      </c>
      <c r="W5035">
        <v>0.1377951</v>
      </c>
      <c r="X5035">
        <v>0.98989579999999999</v>
      </c>
      <c r="Y5035">
        <v>0.141485</v>
      </c>
      <c r="Z5035">
        <v>0.1178453</v>
      </c>
      <c r="AA5035">
        <v>0.98290100000000002</v>
      </c>
      <c r="AB5035">
        <v>24</v>
      </c>
      <c r="AC5035">
        <v>-0.12420000000002999</v>
      </c>
      <c r="AD5035">
        <v>-0.1135676</v>
      </c>
      <c r="AE5035">
        <v>-0.631099999999989</v>
      </c>
      <c r="AF5035">
        <v>0.122897902100189</v>
      </c>
      <c r="AG5035">
        <v>-0.1135676</v>
      </c>
      <c r="AH5035">
        <v>0.61153230212757503</v>
      </c>
      <c r="AI5035">
        <v>100.318789704873</v>
      </c>
      <c r="AJ5035">
        <v>78.636795290463098</v>
      </c>
      <c r="AK5035">
        <v>0.634013604472206</v>
      </c>
      <c r="AL5035">
        <v>82.079721989930903</v>
      </c>
      <c r="AM5035">
        <v>91.935337840024502</v>
      </c>
      <c r="AN5035">
        <v>1.00000002473898</v>
      </c>
    </row>
    <row r="5036" spans="1:40" x14ac:dyDescent="0.25">
      <c r="A5036" t="str">
        <f>"20190304155736239"</f>
        <v>20190304155736239</v>
      </c>
      <c r="B5036" t="str">
        <f>"1551686256229807"</f>
        <v>1551686256229807</v>
      </c>
      <c r="C5036" t="s">
        <v>40</v>
      </c>
      <c r="D5036">
        <v>4.6368749999999999</v>
      </c>
      <c r="E5036">
        <v>0.56578609999999996</v>
      </c>
      <c r="F5036" t="s">
        <v>42</v>
      </c>
      <c r="G5036">
        <v>-422.50420000000003</v>
      </c>
      <c r="H5036">
        <v>0.99863230000000003</v>
      </c>
      <c r="I5036">
        <v>102.974</v>
      </c>
      <c r="J5036">
        <v>-422.38299999999998</v>
      </c>
      <c r="K5036">
        <v>1.1107199999999999</v>
      </c>
      <c r="L5036">
        <v>103.58280000000001</v>
      </c>
      <c r="M5036">
        <v>5.4240729999999997E-3</v>
      </c>
      <c r="N5036">
        <v>-1.072268E-2</v>
      </c>
      <c r="O5036">
        <v>-0.99992769999999997</v>
      </c>
      <c r="P5036">
        <v>3.8027279999999997E-2</v>
      </c>
      <c r="Q5036">
        <v>0.12593589999999999</v>
      </c>
      <c r="R5036">
        <v>-0.99130929999999995</v>
      </c>
      <c r="S5036">
        <v>-0.4316101</v>
      </c>
      <c r="T5036">
        <v>-0.40961229999999998</v>
      </c>
      <c r="U5036">
        <v>-3.0953979999999999</v>
      </c>
      <c r="V5036">
        <v>-3.2946610000000001E-2</v>
      </c>
      <c r="W5036">
        <v>0.1364891</v>
      </c>
      <c r="X5036">
        <v>0.99009349999999996</v>
      </c>
      <c r="Y5036">
        <v>0.14237659999999999</v>
      </c>
      <c r="Z5036">
        <v>0.119255</v>
      </c>
      <c r="AA5036">
        <v>0.98260219999999998</v>
      </c>
      <c r="AB5036">
        <v>24</v>
      </c>
      <c r="AC5036">
        <v>-0.121199999999987</v>
      </c>
      <c r="AD5036">
        <v>-0.1120877</v>
      </c>
      <c r="AE5036">
        <v>-0.608800000000016</v>
      </c>
      <c r="AF5036">
        <v>0.12056939579842001</v>
      </c>
      <c r="AG5036">
        <v>-0.1120877</v>
      </c>
      <c r="AH5036">
        <v>0.58893139336386602</v>
      </c>
      <c r="AI5036">
        <v>100.561888589909</v>
      </c>
      <c r="AJ5036">
        <v>78.429956606191595</v>
      </c>
      <c r="AK5036">
        <v>0.61150700550687997</v>
      </c>
      <c r="AL5036">
        <v>82.155263429228697</v>
      </c>
      <c r="AM5036">
        <v>91.905886068432906</v>
      </c>
      <c r="AN5036">
        <v>0.99999994613577403</v>
      </c>
    </row>
    <row r="5037" spans="1:40" x14ac:dyDescent="0.25">
      <c r="A5037" t="str">
        <f>"20190304155736262"</f>
        <v>20190304155736262</v>
      </c>
      <c r="B5037" t="str">
        <f>"1551686256249327"</f>
        <v>1551686256249327</v>
      </c>
      <c r="C5037" t="s">
        <v>40</v>
      </c>
      <c r="D5037">
        <v>4.7979390000000004</v>
      </c>
      <c r="E5037">
        <v>0.56547709999999995</v>
      </c>
      <c r="F5037" t="s">
        <v>42</v>
      </c>
      <c r="G5037">
        <v>-422.49489999999997</v>
      </c>
      <c r="H5037">
        <v>0.99970460000000005</v>
      </c>
      <c r="I5037">
        <v>102.7573</v>
      </c>
      <c r="J5037">
        <v>-422.38010000000003</v>
      </c>
      <c r="K5037">
        <v>1.110649</v>
      </c>
      <c r="L5037">
        <v>103.3379</v>
      </c>
      <c r="M5037">
        <v>6.7751189999999996E-3</v>
      </c>
      <c r="N5037">
        <v>-1.0672920000000001E-2</v>
      </c>
      <c r="O5037">
        <v>-0.99992040000000004</v>
      </c>
      <c r="P5037">
        <v>3.9462049999999999E-2</v>
      </c>
      <c r="Q5037">
        <v>0.12516540000000001</v>
      </c>
      <c r="R5037">
        <v>-0.99135110000000004</v>
      </c>
      <c r="S5037">
        <v>-0.41946410000000001</v>
      </c>
      <c r="T5037">
        <v>-0.41634680000000002</v>
      </c>
      <c r="U5037">
        <v>-3.0952760000000001</v>
      </c>
      <c r="V5037">
        <v>-3.3019270000000003E-2</v>
      </c>
      <c r="W5037">
        <v>0.13567470000000001</v>
      </c>
      <c r="X5037">
        <v>0.9902031</v>
      </c>
      <c r="Y5037">
        <v>0.139899</v>
      </c>
      <c r="Z5037">
        <v>0.1214662</v>
      </c>
      <c r="AA5037">
        <v>0.98268719999999998</v>
      </c>
      <c r="AB5037">
        <v>24</v>
      </c>
      <c r="AC5037">
        <v>-0.114799999999945</v>
      </c>
      <c r="AD5037">
        <v>-0.110944399999999</v>
      </c>
      <c r="AE5037">
        <v>-0.580600000000004</v>
      </c>
      <c r="AF5037">
        <v>0.114700646870006</v>
      </c>
      <c r="AG5037">
        <v>-0.110944399999999</v>
      </c>
      <c r="AH5037">
        <v>0.56012604424733903</v>
      </c>
      <c r="AI5037">
        <v>100.981416934067</v>
      </c>
      <c r="AJ5037">
        <v>78.427163865936194</v>
      </c>
      <c r="AK5037">
        <v>0.58241401402089399</v>
      </c>
      <c r="AL5037">
        <v>82.202363977340397</v>
      </c>
      <c r="AM5037">
        <v>91.909874913113498</v>
      </c>
      <c r="AN5037">
        <v>1.0000000378305101</v>
      </c>
    </row>
    <row r="5038" spans="1:40" x14ac:dyDescent="0.25">
      <c r="A5038" t="str">
        <f>"20190304155736284"</f>
        <v>20190304155736284</v>
      </c>
      <c r="B5038" t="str">
        <f>"1551686256279583"</f>
        <v>1551686256279583</v>
      </c>
      <c r="C5038" t="s">
        <v>40</v>
      </c>
      <c r="D5038">
        <v>4.8545879999999997</v>
      </c>
      <c r="E5038">
        <v>0.61209279999999999</v>
      </c>
      <c r="F5038" t="s">
        <v>42</v>
      </c>
      <c r="G5038">
        <v>-422.48719999999997</v>
      </c>
      <c r="H5038">
        <v>1.002302</v>
      </c>
      <c r="I5038">
        <v>102.53959999999999</v>
      </c>
      <c r="J5038">
        <v>-422.37700000000001</v>
      </c>
      <c r="K5038">
        <v>1.110573</v>
      </c>
      <c r="L5038">
        <v>103.0959</v>
      </c>
      <c r="M5038">
        <v>8.0067760000000002E-3</v>
      </c>
      <c r="N5038">
        <v>-1.062313E-2</v>
      </c>
      <c r="O5038">
        <v>-0.99991180000000002</v>
      </c>
      <c r="P5038">
        <v>4.0297430000000002E-2</v>
      </c>
      <c r="Q5038">
        <v>0.12422800000000001</v>
      </c>
      <c r="R5038">
        <v>-0.99143539999999997</v>
      </c>
      <c r="S5038">
        <v>-0.41378779999999998</v>
      </c>
      <c r="T5038">
        <v>-0.42037999999999998</v>
      </c>
      <c r="U5038">
        <v>-3.0957340000000002</v>
      </c>
      <c r="V5038">
        <v>-3.2609569999999997E-2</v>
      </c>
      <c r="W5038">
        <v>0.13469529999999999</v>
      </c>
      <c r="X5038">
        <v>0.99035039999999996</v>
      </c>
      <c r="Y5038">
        <v>0.13930799999999999</v>
      </c>
      <c r="Z5038">
        <v>0.1227734</v>
      </c>
      <c r="AA5038">
        <v>0.9826087</v>
      </c>
      <c r="AB5038">
        <v>24</v>
      </c>
      <c r="AC5038">
        <v>-0.11020000000002</v>
      </c>
      <c r="AD5038">
        <v>-0.10827100000000001</v>
      </c>
      <c r="AE5038">
        <v>-0.55630000000000701</v>
      </c>
      <c r="AF5038">
        <v>0.110618900405374</v>
      </c>
      <c r="AG5038">
        <v>-0.10827100000000001</v>
      </c>
      <c r="AH5038">
        <v>0.53586774208218901</v>
      </c>
      <c r="AI5038">
        <v>101.19286458253799</v>
      </c>
      <c r="AJ5038">
        <v>78.336295808256594</v>
      </c>
      <c r="AK5038">
        <v>0.557775391687512</v>
      </c>
      <c r="AL5038">
        <v>82.258999538665705</v>
      </c>
      <c r="AM5038">
        <v>91.885914248750097</v>
      </c>
      <c r="AN5038">
        <v>1.00000006133891</v>
      </c>
    </row>
    <row r="5039" spans="1:40" x14ac:dyDescent="0.25">
      <c r="A5039" t="str">
        <f>"20190304155736305"</f>
        <v>20190304155736305</v>
      </c>
      <c r="B5039" t="str">
        <f>"1551686256300078"</f>
        <v>1551686256300078</v>
      </c>
      <c r="C5039" t="s">
        <v>40</v>
      </c>
      <c r="D5039">
        <v>4.783887</v>
      </c>
      <c r="E5039">
        <v>0.62272609999999995</v>
      </c>
      <c r="F5039" t="s">
        <v>41</v>
      </c>
      <c r="G5039">
        <v>-424.79930000000002</v>
      </c>
      <c r="H5039" s="1">
        <v>-2.9503139999999999E-6</v>
      </c>
      <c r="I5039">
        <v>93.489729999999994</v>
      </c>
      <c r="J5039">
        <v>-422.37369999999999</v>
      </c>
      <c r="K5039">
        <v>1.110487</v>
      </c>
      <c r="L5039">
        <v>102.8553</v>
      </c>
      <c r="M5039">
        <v>9.1289879999999993E-3</v>
      </c>
      <c r="N5039">
        <v>-1.0575670000000001E-2</v>
      </c>
      <c r="O5039">
        <v>-0.99990270000000003</v>
      </c>
      <c r="P5039">
        <v>4.118687E-2</v>
      </c>
      <c r="Q5039">
        <v>0.12264940000000001</v>
      </c>
      <c r="R5039">
        <v>-0.99159529999999996</v>
      </c>
      <c r="S5039">
        <v>-0.78234859999999995</v>
      </c>
      <c r="T5039">
        <v>-0.35869909999999999</v>
      </c>
      <c r="U5039">
        <v>-3.1026609999999999</v>
      </c>
      <c r="V5039">
        <v>-3.2360760000000002E-2</v>
      </c>
      <c r="W5039">
        <v>0.13307729999999901</v>
      </c>
      <c r="X5039">
        <v>0.99057720000000005</v>
      </c>
      <c r="Y5039">
        <v>0.25193710000000002</v>
      </c>
      <c r="Z5039">
        <v>0.1007416</v>
      </c>
      <c r="AA5039">
        <v>0.9624857</v>
      </c>
      <c r="AB5039">
        <v>24</v>
      </c>
      <c r="AC5039">
        <v>-2.42560000000003</v>
      </c>
      <c r="AD5039">
        <v>-1.110489950314</v>
      </c>
      <c r="AE5039">
        <v>-9.3655699999999893</v>
      </c>
      <c r="AF5039">
        <v>2.4783485006113999</v>
      </c>
      <c r="AG5039">
        <v>-1.110489950314</v>
      </c>
      <c r="AH5039">
        <v>9.2215373247056505</v>
      </c>
      <c r="AI5039">
        <v>96.633510055650703</v>
      </c>
      <c r="AJ5039">
        <v>74.9568495742474</v>
      </c>
      <c r="AK5039">
        <v>9.6131238341743401</v>
      </c>
      <c r="AL5039">
        <v>82.352545779708194</v>
      </c>
      <c r="AM5039">
        <v>91.871106857254702</v>
      </c>
      <c r="AN5039">
        <v>0.99999998786145305</v>
      </c>
    </row>
    <row r="5040" spans="1:40" x14ac:dyDescent="0.25">
      <c r="A5040" t="str">
        <f>"20190304155736328"</f>
        <v>20190304155736328</v>
      </c>
      <c r="B5040" t="str">
        <f>"1551686256319599"</f>
        <v>1551686256319599</v>
      </c>
      <c r="C5040" t="s">
        <v>40</v>
      </c>
      <c r="D5040">
        <v>4.7542949999999999</v>
      </c>
      <c r="E5040">
        <v>0.63255509999999904</v>
      </c>
      <c r="F5040" t="s">
        <v>41</v>
      </c>
      <c r="G5040">
        <v>-425.24419999999998</v>
      </c>
      <c r="H5040" s="1">
        <v>-2.6601600000000001E-6</v>
      </c>
      <c r="I5040">
        <v>92.537430000000001</v>
      </c>
      <c r="J5040">
        <v>-422.37040000000002</v>
      </c>
      <c r="K5040">
        <v>1.1104039999999999</v>
      </c>
      <c r="L5040">
        <v>102.6153</v>
      </c>
      <c r="M5040">
        <v>1.014633E-2</v>
      </c>
      <c r="N5040">
        <v>-1.053346E-2</v>
      </c>
      <c r="O5040">
        <v>-0.99989309999999998</v>
      </c>
      <c r="P5040">
        <v>4.2071690000000002E-2</v>
      </c>
      <c r="Q5040">
        <v>0.12169439999999999</v>
      </c>
      <c r="R5040">
        <v>-0.99167570000000005</v>
      </c>
      <c r="S5040">
        <v>-0.86312869999999997</v>
      </c>
      <c r="T5040">
        <v>-0.333922099999999</v>
      </c>
      <c r="U5040">
        <v>-3.1025700000000001</v>
      </c>
      <c r="V5040">
        <v>-3.2211549999999999E-2</v>
      </c>
      <c r="W5040">
        <v>0.1320876</v>
      </c>
      <c r="X5040">
        <v>0.9907146</v>
      </c>
      <c r="Y5040">
        <v>0.276468099999999</v>
      </c>
      <c r="Z5040">
        <v>9.2487639999999996E-2</v>
      </c>
      <c r="AA5040">
        <v>0.95656229999999998</v>
      </c>
      <c r="AB5040">
        <v>24</v>
      </c>
      <c r="AC5040">
        <v>-2.8737999999999602</v>
      </c>
      <c r="AD5040">
        <v>-1.11040666016</v>
      </c>
      <c r="AE5040">
        <v>-10.077870000000001</v>
      </c>
      <c r="AF5040">
        <v>2.9428707232371201</v>
      </c>
      <c r="AG5040">
        <v>-1.11040666016</v>
      </c>
      <c r="AH5040">
        <v>9.9366298541947504</v>
      </c>
      <c r="AI5040">
        <v>96.115818781564798</v>
      </c>
      <c r="AJ5040">
        <v>73.502614136618703</v>
      </c>
      <c r="AK5040">
        <v>10.4225766441839</v>
      </c>
      <c r="AL5040">
        <v>82.409757087470993</v>
      </c>
      <c r="AM5040">
        <v>91.862227467699597</v>
      </c>
      <c r="AN5040">
        <v>1.00000006834015</v>
      </c>
    </row>
    <row r="5041" spans="1:40" x14ac:dyDescent="0.25">
      <c r="A5041" t="str">
        <f>"20190304155736351"</f>
        <v>20190304155736351</v>
      </c>
      <c r="B5041" t="str">
        <f>"1551686256340095"</f>
        <v>1551686256340095</v>
      </c>
      <c r="C5041" t="s">
        <v>40</v>
      </c>
      <c r="D5041">
        <v>4.748583</v>
      </c>
      <c r="E5041">
        <v>0.63777150000000005</v>
      </c>
      <c r="F5041" t="s">
        <v>41</v>
      </c>
      <c r="G5041">
        <v>-425.26979999999998</v>
      </c>
      <c r="H5041" s="1">
        <v>-2.8754449999999998E-6</v>
      </c>
      <c r="I5041">
        <v>93.023380000000003</v>
      </c>
      <c r="J5041">
        <v>-422.36669999999998</v>
      </c>
      <c r="K5041">
        <v>1.110336</v>
      </c>
      <c r="L5041">
        <v>102.36839999999999</v>
      </c>
      <c r="M5041">
        <v>1.1081499999999999E-2</v>
      </c>
      <c r="N5041">
        <v>-1.049041E-2</v>
      </c>
      <c r="O5041">
        <v>-0.99988350000000004</v>
      </c>
      <c r="P5041">
        <v>4.2822810000000003E-2</v>
      </c>
      <c r="Q5041">
        <v>0.1207676</v>
      </c>
      <c r="R5041">
        <v>-0.99175670000000005</v>
      </c>
      <c r="S5041">
        <v>-0.93984990000000002</v>
      </c>
      <c r="T5041">
        <v>-0.35993989999999998</v>
      </c>
      <c r="U5041">
        <v>-3.1092219999999999</v>
      </c>
      <c r="V5041">
        <v>-3.2009699999999898E-2</v>
      </c>
      <c r="W5041">
        <v>0.13112570000000001</v>
      </c>
      <c r="X5041">
        <v>0.99084879999999997</v>
      </c>
      <c r="Y5041">
        <v>0.29831469999999999</v>
      </c>
      <c r="Z5041">
        <v>9.949769E-2</v>
      </c>
      <c r="AA5041">
        <v>0.94926739999999998</v>
      </c>
      <c r="AB5041">
        <v>24</v>
      </c>
      <c r="AC5041">
        <v>-2.90309999999999</v>
      </c>
      <c r="AD5041">
        <v>-1.1103388754449901</v>
      </c>
      <c r="AE5041">
        <v>-9.3450199999999892</v>
      </c>
      <c r="AF5041">
        <v>2.9682685549453498</v>
      </c>
      <c r="AG5041">
        <v>-1.1103388754449901</v>
      </c>
      <c r="AH5041">
        <v>9.1939044419289608</v>
      </c>
      <c r="AI5041">
        <v>96.556114361974906</v>
      </c>
      <c r="AJ5041">
        <v>72.107233016523097</v>
      </c>
      <c r="AK5041">
        <v>9.7247801784885102</v>
      </c>
      <c r="AL5041">
        <v>82.465352630948203</v>
      </c>
      <c r="AM5041">
        <v>91.850315706013703</v>
      </c>
      <c r="AN5041">
        <v>0.99999995727800794</v>
      </c>
    </row>
    <row r="5042" spans="1:40" x14ac:dyDescent="0.25">
      <c r="A5042" t="str">
        <f>"20190304155736373"</f>
        <v>20190304155736373</v>
      </c>
      <c r="B5042" t="str">
        <f>"1551686256369375"</f>
        <v>1551686256369375</v>
      </c>
      <c r="C5042" t="s">
        <v>40</v>
      </c>
      <c r="D5042">
        <v>4.7499370000000001</v>
      </c>
      <c r="E5042">
        <v>0.64301070000000005</v>
      </c>
      <c r="F5042" t="s">
        <v>41</v>
      </c>
      <c r="G5042">
        <v>-425.25799999999998</v>
      </c>
      <c r="H5042" s="1">
        <v>-2.939898E-6</v>
      </c>
      <c r="I5042">
        <v>93.180930000000004</v>
      </c>
      <c r="J5042">
        <v>-422.363</v>
      </c>
      <c r="K5042">
        <v>1.1102590000000001</v>
      </c>
      <c r="L5042">
        <v>102.1279</v>
      </c>
      <c r="M5042">
        <v>1.1883889999999999E-2</v>
      </c>
      <c r="N5042">
        <v>-1.044789E-2</v>
      </c>
      <c r="O5042">
        <v>-0.99987499999999996</v>
      </c>
      <c r="P5042">
        <v>4.3712210000000001E-2</v>
      </c>
      <c r="Q5042">
        <v>0.1207478</v>
      </c>
      <c r="R5042">
        <v>-0.9917203</v>
      </c>
      <c r="S5042">
        <v>-0.97967530000000003</v>
      </c>
      <c r="T5042">
        <v>-0.376224</v>
      </c>
      <c r="U5042">
        <v>-3.1130680000000002</v>
      </c>
      <c r="V5042">
        <v>-3.2081289999999998E-2</v>
      </c>
      <c r="W5042">
        <v>0.1310685</v>
      </c>
      <c r="X5042">
        <v>0.99085409999999996</v>
      </c>
      <c r="Y5042">
        <v>0.309674</v>
      </c>
      <c r="Z5042">
        <v>0.10389420000000001</v>
      </c>
      <c r="AA5042">
        <v>0.94514969999999998</v>
      </c>
      <c r="AB5042">
        <v>24</v>
      </c>
      <c r="AC5042">
        <v>-2.89499999999998</v>
      </c>
      <c r="AD5042">
        <v>-1.110261939898</v>
      </c>
      <c r="AE5042">
        <v>-8.9469699999999897</v>
      </c>
      <c r="AF5042">
        <v>2.9598663612849601</v>
      </c>
      <c r="AG5042">
        <v>-1.110261939898</v>
      </c>
      <c r="AH5042">
        <v>8.7894102897668507</v>
      </c>
      <c r="AI5042">
        <v>96.826534332704895</v>
      </c>
      <c r="AJ5042">
        <v>71.388857647330695</v>
      </c>
      <c r="AK5042">
        <v>9.3406222326840602</v>
      </c>
      <c r="AL5042">
        <v>82.468658835942307</v>
      </c>
      <c r="AM5042">
        <v>91.854441156129297</v>
      </c>
      <c r="AN5042">
        <v>1.0000000041735599</v>
      </c>
    </row>
    <row r="5043" spans="1:40" x14ac:dyDescent="0.25">
      <c r="A5043" t="str">
        <f>"20190304155736395"</f>
        <v>20190304155736395</v>
      </c>
      <c r="B5043" t="str">
        <f>"1551686256389874"</f>
        <v>1551686256389874</v>
      </c>
      <c r="C5043" t="s">
        <v>40</v>
      </c>
      <c r="D5043">
        <v>4.7151019999999999</v>
      </c>
      <c r="E5043">
        <v>0.64441029999999999</v>
      </c>
      <c r="F5043" t="s">
        <v>41</v>
      </c>
      <c r="G5043">
        <v>-425.27280000000002</v>
      </c>
      <c r="H5043" s="1">
        <v>-2.9605700000000001E-6</v>
      </c>
      <c r="I5043">
        <v>93.219920000000002</v>
      </c>
      <c r="J5043">
        <v>-422.35930000000002</v>
      </c>
      <c r="K5043">
        <v>1.110195</v>
      </c>
      <c r="L5043">
        <v>101.8826</v>
      </c>
      <c r="M5043">
        <v>1.261783E-2</v>
      </c>
      <c r="N5043">
        <v>-1.040802E-2</v>
      </c>
      <c r="O5043">
        <v>-0.99986620000000004</v>
      </c>
      <c r="P5043">
        <v>4.4507339999999999E-2</v>
      </c>
      <c r="Q5043">
        <v>0.120811</v>
      </c>
      <c r="R5043">
        <v>-0.99167729999999998</v>
      </c>
      <c r="S5043">
        <v>-1.0182500000000001</v>
      </c>
      <c r="T5043">
        <v>-0.38852540000000002</v>
      </c>
      <c r="U5043">
        <v>-3.1172490000000002</v>
      </c>
      <c r="V5043">
        <v>-3.2129829999999998E-2</v>
      </c>
      <c r="W5043">
        <v>0.1310973</v>
      </c>
      <c r="X5043">
        <v>0.99084870000000003</v>
      </c>
      <c r="Y5043">
        <v>0.32047809999999999</v>
      </c>
      <c r="Z5043">
        <v>0.10703890000000001</v>
      </c>
      <c r="AA5043">
        <v>0.94118880000000005</v>
      </c>
      <c r="AB5043">
        <v>24</v>
      </c>
      <c r="AC5043">
        <v>-2.9134999999999902</v>
      </c>
      <c r="AD5043">
        <v>-1.1101979605700001</v>
      </c>
      <c r="AE5043">
        <v>-8.6626799999999893</v>
      </c>
      <c r="AF5043">
        <v>2.9786268726237402</v>
      </c>
      <c r="AG5043">
        <v>-1.1101979605700001</v>
      </c>
      <c r="AH5043">
        <v>8.4998068464606504</v>
      </c>
      <c r="AI5043">
        <v>97.027109132225306</v>
      </c>
      <c r="AJ5043">
        <v>70.687770731634501</v>
      </c>
      <c r="AK5043">
        <v>9.0747712910634508</v>
      </c>
      <c r="AL5043">
        <v>82.466994226528797</v>
      </c>
      <c r="AM5043">
        <v>91.857255134981898</v>
      </c>
      <c r="AN5043">
        <v>0.99999998716740401</v>
      </c>
    </row>
    <row r="5044" spans="1:40" x14ac:dyDescent="0.25">
      <c r="A5044" t="str">
        <f>"20190304155736417"</f>
        <v>20190304155736417</v>
      </c>
      <c r="B5044" t="str">
        <f>"1551686256409391"</f>
        <v>1551686256409391</v>
      </c>
      <c r="C5044" t="s">
        <v>40</v>
      </c>
      <c r="D5044">
        <v>4.7353740000000002</v>
      </c>
      <c r="E5044">
        <v>0.64553369999999999</v>
      </c>
      <c r="F5044" t="s">
        <v>41</v>
      </c>
      <c r="G5044">
        <v>-425.25850000000003</v>
      </c>
      <c r="H5044" s="1">
        <v>-2.896059E-6</v>
      </c>
      <c r="I5044">
        <v>93.078450000000004</v>
      </c>
      <c r="J5044">
        <v>-422.35550000000001</v>
      </c>
      <c r="K5044">
        <v>1.1101430000000001</v>
      </c>
      <c r="L5044">
        <v>101.6444</v>
      </c>
      <c r="M5044">
        <v>1.325576E-2</v>
      </c>
      <c r="N5044">
        <v>-1.037414E-2</v>
      </c>
      <c r="O5044">
        <v>-0.99985829999999998</v>
      </c>
      <c r="P5044">
        <v>4.5147E-2</v>
      </c>
      <c r="Q5044">
        <v>0.1214305</v>
      </c>
      <c r="R5044">
        <v>-0.99157240000000002</v>
      </c>
      <c r="S5044">
        <v>-1.027161</v>
      </c>
      <c r="T5044">
        <v>-0.39333050000000003</v>
      </c>
      <c r="U5044">
        <v>-3.119202</v>
      </c>
      <c r="V5044">
        <v>-3.212305E-2</v>
      </c>
      <c r="W5044">
        <v>0.13168579999999999</v>
      </c>
      <c r="X5044">
        <v>0.99077090000000001</v>
      </c>
      <c r="Y5044">
        <v>0.32328750000000001</v>
      </c>
      <c r="Z5044">
        <v>0.1083233</v>
      </c>
      <c r="AA5044">
        <v>0.94008049999999999</v>
      </c>
      <c r="AB5044">
        <v>24</v>
      </c>
      <c r="AC5044">
        <v>-2.90300000000002</v>
      </c>
      <c r="AD5044">
        <v>-1.110145896059</v>
      </c>
      <c r="AE5044">
        <v>-8.5659500000000008</v>
      </c>
      <c r="AF5044">
        <v>2.9715307977479801</v>
      </c>
      <c r="AG5044">
        <v>-1.110145896059</v>
      </c>
      <c r="AH5044">
        <v>8.4001588864481391</v>
      </c>
      <c r="AI5044">
        <v>97.101993485861698</v>
      </c>
      <c r="AJ5044">
        <v>70.518920779485001</v>
      </c>
      <c r="AK5044">
        <v>8.9791474266811608</v>
      </c>
      <c r="AL5044">
        <v>82.432980942139494</v>
      </c>
      <c r="AM5044">
        <v>91.857009201102898</v>
      </c>
      <c r="AN5044">
        <v>1.0000000082748699</v>
      </c>
    </row>
    <row r="5045" spans="1:40" x14ac:dyDescent="0.25">
      <c r="A5045" t="str">
        <f>"20190304155736440"</f>
        <v>20190304155736440</v>
      </c>
      <c r="B5045" t="str">
        <f>"1551686256429887"</f>
        <v>1551686256429887</v>
      </c>
      <c r="C5045" t="s">
        <v>40</v>
      </c>
      <c r="D5045">
        <v>4.7198180000000001</v>
      </c>
      <c r="E5045">
        <v>0.64573789999999998</v>
      </c>
      <c r="F5045" t="s">
        <v>41</v>
      </c>
      <c r="G5045">
        <v>-425.27</v>
      </c>
      <c r="H5045" s="1">
        <v>-2.7995609999999998E-6</v>
      </c>
      <c r="I5045">
        <v>92.846369999999993</v>
      </c>
      <c r="J5045">
        <v>-422.35140000000001</v>
      </c>
      <c r="K5045">
        <v>1.110101</v>
      </c>
      <c r="L5045">
        <v>101.39449999999999</v>
      </c>
      <c r="M5045">
        <v>1.3848920000000001E-2</v>
      </c>
      <c r="N5045">
        <v>-1.0342850000000001E-2</v>
      </c>
      <c r="O5045">
        <v>-0.99985080000000004</v>
      </c>
      <c r="P5045">
        <v>4.5742739999999997E-2</v>
      </c>
      <c r="Q5045">
        <v>0.1225378</v>
      </c>
      <c r="R5045">
        <v>-0.99140950000000005</v>
      </c>
      <c r="S5045">
        <v>-1.0338130000000001</v>
      </c>
      <c r="T5045">
        <v>-0.39378479999999999</v>
      </c>
      <c r="U5045">
        <v>-3.1207889999999998</v>
      </c>
      <c r="V5045">
        <v>-3.2118859999999999E-2</v>
      </c>
      <c r="W5045">
        <v>0.13276389999999999</v>
      </c>
      <c r="X5045">
        <v>0.99062709999999998</v>
      </c>
      <c r="Y5045">
        <v>0.32551069999999999</v>
      </c>
      <c r="Z5045">
        <v>0.108345899999999</v>
      </c>
      <c r="AA5045">
        <v>0.93931039999999999</v>
      </c>
      <c r="AB5045">
        <v>24</v>
      </c>
      <c r="AC5045">
        <v>-2.9185999999999601</v>
      </c>
      <c r="AD5045">
        <v>-1.1101037995609999</v>
      </c>
      <c r="AE5045">
        <v>-8.5481300000000005</v>
      </c>
      <c r="AF5045">
        <v>2.9915242586370399</v>
      </c>
      <c r="AG5045">
        <v>-1.1101037995609999</v>
      </c>
      <c r="AH5045">
        <v>8.3803108809672207</v>
      </c>
      <c r="AI5045">
        <v>97.111212164713194</v>
      </c>
      <c r="AJ5045">
        <v>70.354931645853</v>
      </c>
      <c r="AK5045">
        <v>8.9672269011925501</v>
      </c>
      <c r="AL5045">
        <v>82.370662844892394</v>
      </c>
      <c r="AM5045">
        <v>91.857036490617602</v>
      </c>
      <c r="AN5045">
        <v>0.99999996278265901</v>
      </c>
    </row>
    <row r="5046" spans="1:40" x14ac:dyDescent="0.25">
      <c r="A5046" t="str">
        <f>"20190304155736463"</f>
        <v>20190304155736463</v>
      </c>
      <c r="B5046" t="str">
        <f>"1551686256460143"</f>
        <v>1551686256460143</v>
      </c>
      <c r="C5046" t="s">
        <v>40</v>
      </c>
      <c r="D5046">
        <v>4.7366720000000004</v>
      </c>
      <c r="E5046">
        <v>0.64570240000000001</v>
      </c>
      <c r="F5046" t="s">
        <v>41</v>
      </c>
      <c r="G5046">
        <v>-425.28899999999999</v>
      </c>
      <c r="H5046" s="1">
        <v>-2.6675069999999999E-6</v>
      </c>
      <c r="I5046">
        <v>92.526740000000004</v>
      </c>
      <c r="J5046">
        <v>-422.34739999999999</v>
      </c>
      <c r="K5046">
        <v>1.1100589999999999</v>
      </c>
      <c r="L5046">
        <v>101.14790000000001</v>
      </c>
      <c r="M5046">
        <v>1.4365309999999999E-2</v>
      </c>
      <c r="N5046">
        <v>-1.0315380000000001E-2</v>
      </c>
      <c r="O5046">
        <v>-0.99984360000000005</v>
      </c>
      <c r="P5046">
        <v>4.5543960000000001E-2</v>
      </c>
      <c r="Q5046">
        <v>0.1224293</v>
      </c>
      <c r="R5046">
        <v>-0.99143199999999998</v>
      </c>
      <c r="S5046">
        <v>-1.0342100000000001</v>
      </c>
      <c r="T5046">
        <v>-0.39082620000000001</v>
      </c>
      <c r="U5046">
        <v>-3.1220089999999998</v>
      </c>
      <c r="V5046">
        <v>-3.1394320000000003E-2</v>
      </c>
      <c r="W5046">
        <v>0.13263259999999999</v>
      </c>
      <c r="X5046">
        <v>0.99066790000000005</v>
      </c>
      <c r="Y5046">
        <v>0.32602940000000002</v>
      </c>
      <c r="Z5046">
        <v>0.1074355</v>
      </c>
      <c r="AA5046">
        <v>0.93923500000000004</v>
      </c>
      <c r="AB5046">
        <v>25</v>
      </c>
      <c r="AC5046">
        <v>-2.94159999999999</v>
      </c>
      <c r="AD5046">
        <v>-1.1100616675070001</v>
      </c>
      <c r="AE5046">
        <v>-8.6211599999999997</v>
      </c>
      <c r="AF5046">
        <v>3.02029644433915</v>
      </c>
      <c r="AG5046">
        <v>-1.1100616675070001</v>
      </c>
      <c r="AH5046">
        <v>8.4524893299986594</v>
      </c>
      <c r="AI5046">
        <v>97.050049866789493</v>
      </c>
      <c r="AJ5046">
        <v>70.33685671856</v>
      </c>
      <c r="AK5046">
        <v>9.0442801477562202</v>
      </c>
      <c r="AL5046">
        <v>82.378252798179602</v>
      </c>
      <c r="AM5046">
        <v>91.815098942760301</v>
      </c>
      <c r="AN5046">
        <v>0.99999994900071498</v>
      </c>
    </row>
    <row r="5047" spans="1:40" x14ac:dyDescent="0.25">
      <c r="A5047" t="str">
        <f>"20190304155736484"</f>
        <v>20190304155736484</v>
      </c>
      <c r="B5047" t="str">
        <f>"1551686256479663"</f>
        <v>1551686256479663</v>
      </c>
      <c r="C5047" t="s">
        <v>40</v>
      </c>
      <c r="D5047">
        <v>4.7721289999999996</v>
      </c>
      <c r="E5047">
        <v>0.64529230000000004</v>
      </c>
      <c r="F5047" t="s">
        <v>41</v>
      </c>
      <c r="G5047">
        <v>-425.2758</v>
      </c>
      <c r="H5047" s="1">
        <v>-2.5677060000000002E-6</v>
      </c>
      <c r="I5047">
        <v>92.302310000000006</v>
      </c>
      <c r="J5047">
        <v>-422.34339999999997</v>
      </c>
      <c r="K5047">
        <v>1.110015</v>
      </c>
      <c r="L5047">
        <v>100.9055</v>
      </c>
      <c r="M5047">
        <v>1.4814839999999999E-2</v>
      </c>
      <c r="N5047">
        <v>-1.029163E-2</v>
      </c>
      <c r="O5047">
        <v>-0.99983759999999999</v>
      </c>
      <c r="P5047">
        <v>4.5249610000000003E-2</v>
      </c>
      <c r="Q5047">
        <v>0.12153269999999999</v>
      </c>
      <c r="R5047">
        <v>-0.99155590000000005</v>
      </c>
      <c r="S5047">
        <v>-1.0335080000000001</v>
      </c>
      <c r="T5047">
        <v>-0.39176620000000001</v>
      </c>
      <c r="U5047">
        <v>-3.1217959999999998</v>
      </c>
      <c r="V5047">
        <v>-3.063944E-2</v>
      </c>
      <c r="W5047">
        <v>0.131717</v>
      </c>
      <c r="X5047">
        <v>0.99081370000000002</v>
      </c>
      <c r="Y5047">
        <v>0.32627230000000002</v>
      </c>
      <c r="Z5047">
        <v>0.1077429</v>
      </c>
      <c r="AA5047">
        <v>0.93911549999999999</v>
      </c>
      <c r="AB5047">
        <v>25</v>
      </c>
      <c r="AC5047">
        <v>-2.9324000000000199</v>
      </c>
      <c r="AD5047">
        <v>-1.110017567706</v>
      </c>
      <c r="AE5047">
        <v>-8.6031900000000103</v>
      </c>
      <c r="AF5047">
        <v>3.0145789942208698</v>
      </c>
      <c r="AG5047">
        <v>-1.110017567706</v>
      </c>
      <c r="AH5047">
        <v>8.4330265722688207</v>
      </c>
      <c r="AI5047">
        <v>97.065553471968897</v>
      </c>
      <c r="AJ5047">
        <v>70.329403589207104</v>
      </c>
      <c r="AK5047">
        <v>9.0241765652942405</v>
      </c>
      <c r="AL5047">
        <v>82.431177281928399</v>
      </c>
      <c r="AM5047">
        <v>91.771222322122298</v>
      </c>
      <c r="AN5047">
        <v>0.99999996574010097</v>
      </c>
    </row>
    <row r="5048" spans="1:40" x14ac:dyDescent="0.25">
      <c r="A5048" t="str">
        <f>"20190304155736506"</f>
        <v>20190304155736506</v>
      </c>
      <c r="B5048" t="str">
        <f>"1551686256500159"</f>
        <v>1551686256500159</v>
      </c>
      <c r="C5048" t="s">
        <v>40</v>
      </c>
      <c r="D5048">
        <v>4.7450979999999996</v>
      </c>
      <c r="E5048">
        <v>0.64436729999999998</v>
      </c>
      <c r="F5048" t="s">
        <v>41</v>
      </c>
      <c r="G5048">
        <v>-425.2285</v>
      </c>
      <c r="H5048" s="1">
        <v>-2.5003940000000001E-6</v>
      </c>
      <c r="I5048">
        <v>92.174750000000003</v>
      </c>
      <c r="J5048">
        <v>-422.33920000000001</v>
      </c>
      <c r="K5048">
        <v>1.1099779999999999</v>
      </c>
      <c r="L5048">
        <v>100.6589</v>
      </c>
      <c r="M5048">
        <v>1.5221780000000001E-2</v>
      </c>
      <c r="N5048">
        <v>-1.027053E-2</v>
      </c>
      <c r="O5048">
        <v>-0.99983160000000004</v>
      </c>
      <c r="P5048">
        <v>4.4930610000000003E-2</v>
      </c>
      <c r="Q5048">
        <v>0.12142600000000001</v>
      </c>
      <c r="R5048">
        <v>-0.99158349999999995</v>
      </c>
      <c r="S5048">
        <v>-1.031433</v>
      </c>
      <c r="T5048">
        <v>-0.39683370000000001</v>
      </c>
      <c r="U5048">
        <v>-3.1212460000000002</v>
      </c>
      <c r="V5048">
        <v>-2.990431E-2</v>
      </c>
      <c r="W5048">
        <v>0.13159270000000001</v>
      </c>
      <c r="X5048">
        <v>0.99085270000000003</v>
      </c>
      <c r="Y5048">
        <v>0.32608769999999998</v>
      </c>
      <c r="Z5048">
        <v>0.10930289999999999</v>
      </c>
      <c r="AA5048">
        <v>0.93899929999999998</v>
      </c>
      <c r="AB5048">
        <v>25</v>
      </c>
      <c r="AC5048">
        <v>-2.8892999999999902</v>
      </c>
      <c r="AD5048">
        <v>-1.109980500394</v>
      </c>
      <c r="AE5048">
        <v>-8.4841499999999996</v>
      </c>
      <c r="AF5048">
        <v>2.9725242978375102</v>
      </c>
      <c r="AG5048">
        <v>-1.109980500394</v>
      </c>
      <c r="AH5048">
        <v>8.3117022733708001</v>
      </c>
      <c r="AI5048">
        <v>97.167030188736206</v>
      </c>
      <c r="AJ5048">
        <v>70.3213634877999</v>
      </c>
      <c r="AK5048">
        <v>8.8967607641009891</v>
      </c>
      <c r="AL5048">
        <v>82.438361866150998</v>
      </c>
      <c r="AM5048">
        <v>91.728683606927206</v>
      </c>
      <c r="AN5048">
        <v>0.99999998977357796</v>
      </c>
    </row>
    <row r="5049" spans="1:40" x14ac:dyDescent="0.25">
      <c r="A5049" t="str">
        <f>"20190304155736529"</f>
        <v>20190304155736529</v>
      </c>
      <c r="B5049" t="str">
        <f>"1551686256519679"</f>
        <v>1551686256519679</v>
      </c>
      <c r="C5049" t="s">
        <v>40</v>
      </c>
      <c r="D5049">
        <v>4.6926569999999996</v>
      </c>
      <c r="E5049">
        <v>0.64529910000000001</v>
      </c>
      <c r="F5049" t="s">
        <v>41</v>
      </c>
      <c r="G5049">
        <v>-425.18290000000002</v>
      </c>
      <c r="H5049" s="1">
        <v>-2.4153809999999999E-6</v>
      </c>
      <c r="I5049">
        <v>92.004840000000002</v>
      </c>
      <c r="J5049">
        <v>-422.33499999999998</v>
      </c>
      <c r="K5049">
        <v>1.1099410000000001</v>
      </c>
      <c r="L5049">
        <v>100.4145</v>
      </c>
      <c r="M5049">
        <v>1.558174E-2</v>
      </c>
      <c r="N5049">
        <v>-1.02527E-2</v>
      </c>
      <c r="O5049">
        <v>-0.99982599999999999</v>
      </c>
      <c r="P5049">
        <v>4.4393790000000002E-2</v>
      </c>
      <c r="Q5049">
        <v>0.1211805</v>
      </c>
      <c r="R5049">
        <v>-0.9916374</v>
      </c>
      <c r="S5049">
        <v>-1.0255430000000001</v>
      </c>
      <c r="T5049">
        <v>-0.40029540000000002</v>
      </c>
      <c r="U5049">
        <v>-3.1209410000000002</v>
      </c>
      <c r="V5049">
        <v>-2.8999569999999999E-2</v>
      </c>
      <c r="W5049">
        <v>0.13133320000000001</v>
      </c>
      <c r="X5049">
        <v>0.99091399999999996</v>
      </c>
      <c r="Y5049">
        <v>0.32481710000000003</v>
      </c>
      <c r="Z5049">
        <v>0.1104195</v>
      </c>
      <c r="AA5049">
        <v>0.93930899999999995</v>
      </c>
      <c r="AB5049">
        <v>25</v>
      </c>
      <c r="AC5049">
        <v>-2.8479000000000299</v>
      </c>
      <c r="AD5049">
        <v>-1.1099434153809999</v>
      </c>
      <c r="AE5049">
        <v>-8.4096600000000006</v>
      </c>
      <c r="AF5049">
        <v>2.9327659647210198</v>
      </c>
      <c r="AG5049">
        <v>-1.1099434153809999</v>
      </c>
      <c r="AH5049">
        <v>8.2355588132269002</v>
      </c>
      <c r="AI5049">
        <v>97.2358031224596</v>
      </c>
      <c r="AJ5049">
        <v>70.398670185265502</v>
      </c>
      <c r="AK5049">
        <v>8.8123503990304997</v>
      </c>
      <c r="AL5049">
        <v>82.453360140641706</v>
      </c>
      <c r="AM5049">
        <v>91.676309807518095</v>
      </c>
      <c r="AN5049">
        <v>0.99999996993921103</v>
      </c>
    </row>
    <row r="5050" spans="1:40" x14ac:dyDescent="0.25">
      <c r="A5050" t="str">
        <f>"20190304155736552"</f>
        <v>20190304155736552</v>
      </c>
      <c r="B5050" t="str">
        <f>"1551686256549935"</f>
        <v>1551686256549935</v>
      </c>
      <c r="C5050" t="s">
        <v>40</v>
      </c>
      <c r="D5050">
        <v>4.7560209999999996</v>
      </c>
      <c r="E5050">
        <v>0.64513339999999997</v>
      </c>
      <c r="F5050" t="s">
        <v>41</v>
      </c>
      <c r="G5050">
        <v>-425.18689999999998</v>
      </c>
      <c r="H5050" s="1">
        <v>-2.3361169999999998E-6</v>
      </c>
      <c r="I5050">
        <v>91.817599999999999</v>
      </c>
      <c r="J5050">
        <v>-422.33069999999998</v>
      </c>
      <c r="K5050">
        <v>1.109915</v>
      </c>
      <c r="L5050">
        <v>100.1606</v>
      </c>
      <c r="M5050">
        <v>1.5912639999999999E-2</v>
      </c>
      <c r="N5050">
        <v>-1.0237390000000001E-2</v>
      </c>
      <c r="O5050">
        <v>-0.99982099999999996</v>
      </c>
      <c r="P5050">
        <v>4.3659709999999997E-2</v>
      </c>
      <c r="Q5050">
        <v>0.1209963</v>
      </c>
      <c r="R5050">
        <v>-0.99169240000000003</v>
      </c>
      <c r="S5050">
        <v>-1.035309</v>
      </c>
      <c r="T5050">
        <v>-0.40294049999999998</v>
      </c>
      <c r="U5050">
        <v>-3.120911</v>
      </c>
      <c r="V5050">
        <v>-2.79277E-2</v>
      </c>
      <c r="W5050">
        <v>0.13113649999999999</v>
      </c>
      <c r="X5050">
        <v>0.99097080000000004</v>
      </c>
      <c r="Y5050">
        <v>0.3277544</v>
      </c>
      <c r="Z5050">
        <v>0.1110994</v>
      </c>
      <c r="AA5050">
        <v>0.93820789999999998</v>
      </c>
      <c r="AB5050">
        <v>25</v>
      </c>
      <c r="AC5050">
        <v>-2.8561999999999999</v>
      </c>
      <c r="AD5050">
        <v>-1.1099173361170001</v>
      </c>
      <c r="AE5050">
        <v>-8.343</v>
      </c>
      <c r="AF5050">
        <v>2.9419978108970599</v>
      </c>
      <c r="AG5050">
        <v>-1.1099173361170001</v>
      </c>
      <c r="AH5050">
        <v>8.1671095335247301</v>
      </c>
      <c r="AI5050">
        <v>97.286205314591299</v>
      </c>
      <c r="AJ5050">
        <v>70.189707133971595</v>
      </c>
      <c r="AK5050">
        <v>8.7515110549508393</v>
      </c>
      <c r="AL5050">
        <v>82.4647282570524</v>
      </c>
      <c r="AM5050">
        <v>91.614291677176695</v>
      </c>
      <c r="AN5050">
        <v>0.99999993225608697</v>
      </c>
    </row>
    <row r="5051" spans="1:40" x14ac:dyDescent="0.25">
      <c r="A5051" t="str">
        <f>"20190304155736574"</f>
        <v>20190304155736574</v>
      </c>
      <c r="B5051" t="str">
        <f>"1551686256569455"</f>
        <v>1551686256569455</v>
      </c>
      <c r="C5051" t="s">
        <v>40</v>
      </c>
      <c r="D5051">
        <v>4.6819309999999996</v>
      </c>
      <c r="E5051">
        <v>0.64452509999999996</v>
      </c>
      <c r="F5051" t="s">
        <v>41</v>
      </c>
      <c r="G5051">
        <v>-425.15</v>
      </c>
      <c r="H5051" s="1">
        <v>-2.2635169999999998E-6</v>
      </c>
      <c r="I5051">
        <v>91.671229999999994</v>
      </c>
      <c r="J5051">
        <v>-422.32650000000001</v>
      </c>
      <c r="K5051">
        <v>1.1098950000000001</v>
      </c>
      <c r="L5051">
        <v>99.91977</v>
      </c>
      <c r="M5051">
        <v>1.6194139999999999E-2</v>
      </c>
      <c r="N5051">
        <v>-1.0225120000000001E-2</v>
      </c>
      <c r="O5051">
        <v>-0.9998165</v>
      </c>
      <c r="P5051">
        <v>4.2938450000000003E-2</v>
      </c>
      <c r="Q5051">
        <v>0.12129819999999999</v>
      </c>
      <c r="R5051">
        <v>-0.99168690000000004</v>
      </c>
      <c r="S5051">
        <v>-1.036346</v>
      </c>
      <c r="T5051">
        <v>-0.40798469999999998</v>
      </c>
      <c r="U5051">
        <v>-3.120514</v>
      </c>
      <c r="V5051">
        <v>-2.6921560000000001E-2</v>
      </c>
      <c r="W5051">
        <v>0.13142770000000001</v>
      </c>
      <c r="X5051">
        <v>0.99096010000000001</v>
      </c>
      <c r="Y5051">
        <v>0.32828059999999998</v>
      </c>
      <c r="Z5051">
        <v>0.1126033</v>
      </c>
      <c r="AA5051">
        <v>0.93784449999999997</v>
      </c>
      <c r="AB5051">
        <v>25</v>
      </c>
      <c r="AC5051">
        <v>-2.8234999999999602</v>
      </c>
      <c r="AD5051">
        <v>-1.1098972635169999</v>
      </c>
      <c r="AE5051">
        <v>-8.2485399999999895</v>
      </c>
      <c r="AF5051">
        <v>2.90956065905862</v>
      </c>
      <c r="AG5051">
        <v>-1.1098972635169999</v>
      </c>
      <c r="AH5051">
        <v>8.0709294447722204</v>
      </c>
      <c r="AI5051">
        <v>97.371315967450698</v>
      </c>
      <c r="AJ5051">
        <v>70.175825687841694</v>
      </c>
      <c r="AK5051">
        <v>8.6508564470112095</v>
      </c>
      <c r="AL5051">
        <v>82.447898311024105</v>
      </c>
      <c r="AM5051">
        <v>91.556180166238804</v>
      </c>
      <c r="AN5051">
        <v>0.99999996525606605</v>
      </c>
    </row>
    <row r="5052" spans="1:40" x14ac:dyDescent="0.25">
      <c r="A5052" t="str">
        <f>"20190304155736596"</f>
        <v>20190304155736596</v>
      </c>
      <c r="B5052" t="str">
        <f>"1551686256589951"</f>
        <v>1551686256589951</v>
      </c>
      <c r="C5052" t="s">
        <v>40</v>
      </c>
      <c r="D5052">
        <v>4.7659089999999997</v>
      </c>
      <c r="E5052">
        <v>0.64428289999999999</v>
      </c>
      <c r="F5052" t="s">
        <v>41</v>
      </c>
      <c r="G5052">
        <v>-425.13170000000002</v>
      </c>
      <c r="H5052" s="1">
        <v>-2.1654419999999999E-6</v>
      </c>
      <c r="I5052">
        <v>91.453999999999994</v>
      </c>
      <c r="J5052">
        <v>-422.32209999999998</v>
      </c>
      <c r="K5052">
        <v>1.1098840000000001</v>
      </c>
      <c r="L5052">
        <v>99.66986</v>
      </c>
      <c r="M5052">
        <v>1.6460889999999999E-2</v>
      </c>
      <c r="N5052">
        <v>-1.021438E-2</v>
      </c>
      <c r="O5052">
        <v>-0.99981240000000005</v>
      </c>
      <c r="P5052">
        <v>4.2028870000000003E-2</v>
      </c>
      <c r="Q5052">
        <v>0.1221119</v>
      </c>
      <c r="R5052">
        <v>-0.99162629999999996</v>
      </c>
      <c r="S5052">
        <v>-1.0338130000000001</v>
      </c>
      <c r="T5052">
        <v>-0.40903620000000002</v>
      </c>
      <c r="U5052">
        <v>-3.1199340000000002</v>
      </c>
      <c r="V5052">
        <v>-2.574454E-2</v>
      </c>
      <c r="W5052">
        <v>0.1322313</v>
      </c>
      <c r="X5052">
        <v>0.99088449999999995</v>
      </c>
      <c r="Y5052">
        <v>0.32788529999999999</v>
      </c>
      <c r="Z5052">
        <v>0.11296970000000001</v>
      </c>
      <c r="AA5052">
        <v>0.93793870000000001</v>
      </c>
      <c r="AB5052">
        <v>25</v>
      </c>
      <c r="AC5052">
        <v>-2.8096000000000401</v>
      </c>
      <c r="AD5052">
        <v>-1.109886165442</v>
      </c>
      <c r="AE5052">
        <v>-8.2158599999999993</v>
      </c>
      <c r="AF5052">
        <v>2.8971311936587298</v>
      </c>
      <c r="AG5052">
        <v>-1.109886165442</v>
      </c>
      <c r="AH5052">
        <v>8.0371783262485099</v>
      </c>
      <c r="AI5052">
        <v>97.401931315715203</v>
      </c>
      <c r="AJ5052">
        <v>70.177480075541794</v>
      </c>
      <c r="AK5052">
        <v>8.6151872818545794</v>
      </c>
      <c r="AL5052">
        <v>82.401450266779804</v>
      </c>
      <c r="AM5052">
        <v>91.488288210402203</v>
      </c>
      <c r="AN5052">
        <v>0.99999999518987503</v>
      </c>
    </row>
    <row r="5053" spans="1:40" x14ac:dyDescent="0.25">
      <c r="A5053" t="str">
        <f>"20190304155736619"</f>
        <v>20190304155736619</v>
      </c>
      <c r="B5053" t="str">
        <f>"1551686256609471"</f>
        <v>1551686256609471</v>
      </c>
      <c r="C5053" t="s">
        <v>40</v>
      </c>
      <c r="D5053">
        <v>3.7237979999999999</v>
      </c>
      <c r="E5053">
        <v>0.64409689999999997</v>
      </c>
      <c r="F5053" t="s">
        <v>41</v>
      </c>
      <c r="G5053">
        <v>-425.1422</v>
      </c>
      <c r="H5053" s="1">
        <v>-2.047035E-6</v>
      </c>
      <c r="I5053">
        <v>91.171449999999993</v>
      </c>
      <c r="J5053">
        <v>-422.31790000000001</v>
      </c>
      <c r="K5053">
        <v>1.109872</v>
      </c>
      <c r="L5053">
        <v>99.426509999999993</v>
      </c>
      <c r="M5053">
        <v>1.669694E-2</v>
      </c>
      <c r="N5053">
        <v>-1.020563E-2</v>
      </c>
      <c r="O5053">
        <v>-0.99980849999999999</v>
      </c>
      <c r="P5053">
        <v>4.1576410000000001E-2</v>
      </c>
      <c r="Q5053">
        <v>0.12308529999999999</v>
      </c>
      <c r="R5053">
        <v>-0.99152499999999999</v>
      </c>
      <c r="S5053">
        <v>-1.035126</v>
      </c>
      <c r="T5053">
        <v>-0.4073889</v>
      </c>
      <c r="U5053">
        <v>-3.1193849999999999</v>
      </c>
      <c r="V5053">
        <v>-2.5056160000000001E-2</v>
      </c>
      <c r="W5053">
        <v>0.13319589999999901</v>
      </c>
      <c r="X5053">
        <v>0.99077300000000001</v>
      </c>
      <c r="Y5053">
        <v>0.32853080000000001</v>
      </c>
      <c r="Z5053">
        <v>0.1124869</v>
      </c>
      <c r="AA5053">
        <v>0.93777089999999996</v>
      </c>
      <c r="AB5053">
        <v>25</v>
      </c>
      <c r="AC5053">
        <v>-2.8242999999999898</v>
      </c>
      <c r="AD5053">
        <v>-1.1098740470349999</v>
      </c>
      <c r="AE5053">
        <v>-8.2550600000000003</v>
      </c>
      <c r="AF5053">
        <v>2.9145837501841498</v>
      </c>
      <c r="AG5053">
        <v>-1.1098740470349999</v>
      </c>
      <c r="AH5053">
        <v>8.0760623022906604</v>
      </c>
      <c r="AI5053">
        <v>97.365616630180398</v>
      </c>
      <c r="AJ5053">
        <v>70.155908181640896</v>
      </c>
      <c r="AK5053">
        <v>8.6573322188535506</v>
      </c>
      <c r="AL5053">
        <v>82.345689928012206</v>
      </c>
      <c r="AM5053">
        <v>91.448673190759294</v>
      </c>
      <c r="AN5053">
        <v>1.0000000482298701</v>
      </c>
    </row>
    <row r="5054" spans="1:40" x14ac:dyDescent="0.25">
      <c r="A5054" t="str">
        <f>"20190304155736641"</f>
        <v>20190304155736641</v>
      </c>
      <c r="B5054" t="str">
        <f>"1551686256629982"</f>
        <v>1551686256629982</v>
      </c>
      <c r="C5054" t="s">
        <v>40</v>
      </c>
      <c r="D5054">
        <v>5.4422879999999996</v>
      </c>
      <c r="E5054">
        <v>0.57594219999999996</v>
      </c>
      <c r="F5054" t="s">
        <v>41</v>
      </c>
      <c r="G5054">
        <v>-425.1721</v>
      </c>
      <c r="H5054" s="1">
        <v>-1.9088790000000001E-6</v>
      </c>
      <c r="I5054">
        <v>90.830879999999993</v>
      </c>
      <c r="J5054">
        <v>-422.31330000000003</v>
      </c>
      <c r="K5054">
        <v>1.109856</v>
      </c>
      <c r="L5054">
        <v>99.172120000000007</v>
      </c>
      <c r="M5054">
        <v>1.6914510000000001E-2</v>
      </c>
      <c r="N5054">
        <v>-1.019811E-2</v>
      </c>
      <c r="O5054">
        <v>-0.99980500000000005</v>
      </c>
      <c r="P5054">
        <v>4.152641E-2</v>
      </c>
      <c r="Q5054">
        <v>0.123788</v>
      </c>
      <c r="R5054">
        <v>-0.99143970000000003</v>
      </c>
      <c r="S5054">
        <v>-1.035706</v>
      </c>
      <c r="T5054">
        <v>-0.40273730000000002</v>
      </c>
      <c r="U5054">
        <v>-3.1190799999999999</v>
      </c>
      <c r="V5054">
        <v>-2.4786889999999999E-2</v>
      </c>
      <c r="W5054">
        <v>0.1338915</v>
      </c>
      <c r="X5054">
        <v>0.99068590000000001</v>
      </c>
      <c r="Y5054">
        <v>0.32897159999999998</v>
      </c>
      <c r="Z5054">
        <v>0.11111119999999999</v>
      </c>
      <c r="AA5054">
        <v>0.93778039999999996</v>
      </c>
      <c r="AB5054">
        <v>25</v>
      </c>
      <c r="AC5054">
        <v>-2.8587999999999698</v>
      </c>
      <c r="AD5054">
        <v>-1.1098579088789999</v>
      </c>
      <c r="AE5054">
        <v>-8.3412399999999796</v>
      </c>
      <c r="AF5054">
        <v>2.9527063057588601</v>
      </c>
      <c r="AG5054">
        <v>-1.1098579088789999</v>
      </c>
      <c r="AH5054">
        <v>8.1623716904629209</v>
      </c>
      <c r="AI5054">
        <v>97.286500625815506</v>
      </c>
      <c r="AJ5054">
        <v>70.112605849997706</v>
      </c>
      <c r="AK5054">
        <v>8.7506897282008502</v>
      </c>
      <c r="AL5054">
        <v>82.3054739220198</v>
      </c>
      <c r="AM5054">
        <v>91.433237267155107</v>
      </c>
      <c r="AN5054">
        <v>0.99999993807346399</v>
      </c>
    </row>
    <row r="5055" spans="1:40" x14ac:dyDescent="0.25">
      <c r="A5055" t="str">
        <f>"20190304155736665"</f>
        <v>20190304155736665</v>
      </c>
      <c r="B5055" t="str">
        <f>"1551686256660223"</f>
        <v>1551686256660223</v>
      </c>
      <c r="C5055" t="s">
        <v>40</v>
      </c>
      <c r="D5055">
        <v>5.0578180000000001</v>
      </c>
      <c r="E5055">
        <v>0.51398829999999995</v>
      </c>
      <c r="F5055" t="s">
        <v>42</v>
      </c>
      <c r="G5055">
        <v>-422.44380000000001</v>
      </c>
      <c r="H5055">
        <v>1.031309</v>
      </c>
      <c r="I5055">
        <v>98.35445</v>
      </c>
      <c r="J5055">
        <v>-422.30880000000002</v>
      </c>
      <c r="K5055">
        <v>1.1098330000000001</v>
      </c>
      <c r="L5055">
        <v>98.921689999999998</v>
      </c>
      <c r="M5055">
        <v>1.709225E-2</v>
      </c>
      <c r="N5055">
        <v>-1.019202E-2</v>
      </c>
      <c r="O5055">
        <v>-0.99980210000000003</v>
      </c>
      <c r="P5055">
        <v>4.1204039999999997E-2</v>
      </c>
      <c r="Q5055">
        <v>0.12402820000000001</v>
      </c>
      <c r="R5055">
        <v>-0.9914231</v>
      </c>
      <c r="S5055">
        <v>-0.49130249999999998</v>
      </c>
      <c r="T5055">
        <v>-0.29626069999999999</v>
      </c>
      <c r="U5055">
        <v>-3.0834959999999998</v>
      </c>
      <c r="V5055">
        <v>-2.4281589999999999E-2</v>
      </c>
      <c r="W5055">
        <v>0.13412679999999999</v>
      </c>
      <c r="X5055">
        <v>0.99066659999999995</v>
      </c>
      <c r="Y5055">
        <v>0.17355429999999999</v>
      </c>
      <c r="Z5055">
        <v>8.4138580000000004E-2</v>
      </c>
      <c r="AA5055">
        <v>0.98122350000000003</v>
      </c>
      <c r="AB5055">
        <v>25</v>
      </c>
      <c r="AC5055">
        <v>-0.13499999999998999</v>
      </c>
      <c r="AD5055">
        <v>-7.8523999999999997E-2</v>
      </c>
      <c r="AE5055">
        <v>-0.56723999999999797</v>
      </c>
      <c r="AF5055">
        <v>0.142099066362116</v>
      </c>
      <c r="AG5055">
        <v>-7.8523999999999997E-2</v>
      </c>
      <c r="AH5055">
        <v>0.55478787443670896</v>
      </c>
      <c r="AI5055">
        <v>97.807294789069601</v>
      </c>
      <c r="AJ5055">
        <v>75.633552380747403</v>
      </c>
      <c r="AK5055">
        <v>0.57805514344133802</v>
      </c>
      <c r="AL5055">
        <v>82.291869631227001</v>
      </c>
      <c r="AM5055">
        <v>91.404058771572906</v>
      </c>
      <c r="AN5055">
        <v>0.99999995322336299</v>
      </c>
    </row>
    <row r="5056" spans="1:40" x14ac:dyDescent="0.25">
      <c r="A5056" t="str">
        <f>"20190304155736687"</f>
        <v>20190304155736687</v>
      </c>
      <c r="B5056" t="str">
        <f>"1551686256679743"</f>
        <v>1551686256679743</v>
      </c>
      <c r="C5056" t="s">
        <v>40</v>
      </c>
      <c r="D5056">
        <v>5.1134060000000003</v>
      </c>
      <c r="E5056">
        <v>0.51101770000000002</v>
      </c>
      <c r="F5056" t="s">
        <v>41</v>
      </c>
      <c r="G5056">
        <v>-422.25689999999997</v>
      </c>
      <c r="H5056" s="1">
        <v>-2.0902470000000001E-6</v>
      </c>
      <c r="I5056">
        <v>63.061729999999997</v>
      </c>
      <c r="J5056">
        <v>-422.30430000000001</v>
      </c>
      <c r="K5056">
        <v>1.109804</v>
      </c>
      <c r="L5056">
        <v>98.669399999999996</v>
      </c>
      <c r="M5056">
        <v>1.7227200000000002E-2</v>
      </c>
      <c r="N5056">
        <v>-1.0187099999999999E-2</v>
      </c>
      <c r="O5056">
        <v>-0.99980000000000002</v>
      </c>
      <c r="P5056">
        <v>4.1881090000000003E-2</v>
      </c>
      <c r="Q5056">
        <v>0.1240298</v>
      </c>
      <c r="R5056">
        <v>-0.99139460000000001</v>
      </c>
      <c r="S5056">
        <v>4.3945310000000001E-3</v>
      </c>
      <c r="T5056">
        <v>-9.4009159999999994E-2</v>
      </c>
      <c r="U5056">
        <v>-3.0375369999999999</v>
      </c>
      <c r="V5056">
        <v>-2.4814909999999999E-2</v>
      </c>
      <c r="W5056">
        <v>0.13412489999999999</v>
      </c>
      <c r="X5056">
        <v>0.99065369999999997</v>
      </c>
      <c r="Y5056">
        <v>1.5778549999999999E-2</v>
      </c>
      <c r="Z5056">
        <v>2.0741809999999999E-2</v>
      </c>
      <c r="AA5056">
        <v>0.9996604</v>
      </c>
      <c r="AB5056">
        <v>25</v>
      </c>
      <c r="AC5056">
        <v>4.7400000000038703E-2</v>
      </c>
      <c r="AD5056">
        <v>-1.1098060902469999</v>
      </c>
      <c r="AE5056">
        <v>-35.607669999999899</v>
      </c>
      <c r="AF5056">
        <v>0.56550979076568697</v>
      </c>
      <c r="AG5056">
        <v>-1.1098060902469999</v>
      </c>
      <c r="AH5056">
        <v>35.568649874651101</v>
      </c>
      <c r="AI5056">
        <v>91.786926258188799</v>
      </c>
      <c r="AJ5056">
        <v>89.089124983397397</v>
      </c>
      <c r="AK5056">
        <v>35.590452719611797</v>
      </c>
      <c r="AL5056">
        <v>82.291979933418006</v>
      </c>
      <c r="AM5056">
        <v>91.434903392429007</v>
      </c>
      <c r="AN5056">
        <v>1.0000000109410001</v>
      </c>
    </row>
    <row r="5057" spans="1:40" x14ac:dyDescent="0.25">
      <c r="A5057" t="str">
        <f>"20190304155736709"</f>
        <v>20190304155736709</v>
      </c>
      <c r="B5057" t="str">
        <f>"1551686256700239"</f>
        <v>1551686256700239</v>
      </c>
      <c r="C5057" t="s">
        <v>40</v>
      </c>
      <c r="D5057">
        <v>5.0366660000000003</v>
      </c>
      <c r="E5057">
        <v>0.50982479999999997</v>
      </c>
      <c r="F5057" t="s">
        <v>41</v>
      </c>
      <c r="G5057">
        <v>-422.01069999999999</v>
      </c>
      <c r="H5057" s="1">
        <v>-4.1126859999999996E-6</v>
      </c>
      <c r="I5057">
        <v>68.024019999999993</v>
      </c>
      <c r="J5057">
        <v>-422.30009999999999</v>
      </c>
      <c r="K5057">
        <v>1.1097699999999999</v>
      </c>
      <c r="L5057">
        <v>98.431920000000005</v>
      </c>
      <c r="M5057">
        <v>1.7308799999999999E-2</v>
      </c>
      <c r="N5057">
        <v>-1.017908E-2</v>
      </c>
      <c r="O5057">
        <v>-0.99979850000000003</v>
      </c>
      <c r="P5057">
        <v>4.2336110000000003E-2</v>
      </c>
      <c r="Q5057">
        <v>0.1241389</v>
      </c>
      <c r="R5057">
        <v>-0.99136150000000001</v>
      </c>
      <c r="S5057">
        <v>2.9113770000000001E-2</v>
      </c>
      <c r="T5057">
        <v>-0.1100416</v>
      </c>
      <c r="U5057">
        <v>-3.038605</v>
      </c>
      <c r="V5057">
        <v>-2.5179239999999999E-2</v>
      </c>
      <c r="W5057">
        <v>0.1342275</v>
      </c>
      <c r="X5057">
        <v>0.99063060000000003</v>
      </c>
      <c r="Y5057">
        <v>7.7308949999999998E-3</v>
      </c>
      <c r="Z5057">
        <v>2.6007860000000001E-2</v>
      </c>
      <c r="AA5057">
        <v>0.99963179999999996</v>
      </c>
      <c r="AB5057">
        <v>25</v>
      </c>
      <c r="AC5057">
        <v>0.28939999999999999</v>
      </c>
      <c r="AD5057">
        <v>-1.1097741126859999</v>
      </c>
      <c r="AE5057">
        <v>-30.407900000000001</v>
      </c>
      <c r="AF5057">
        <v>0.236679599464198</v>
      </c>
      <c r="AG5057">
        <v>-1.1097741126859999</v>
      </c>
      <c r="AH5057">
        <v>30.367907938864999</v>
      </c>
      <c r="AI5057">
        <v>92.0928396305425</v>
      </c>
      <c r="AJ5057">
        <v>89.553460593571103</v>
      </c>
      <c r="AK5057">
        <v>30.389100815874201</v>
      </c>
      <c r="AL5057">
        <v>82.286047665689594</v>
      </c>
      <c r="AM5057">
        <v>91.455995432721394</v>
      </c>
      <c r="AN5057">
        <v>1.00000000076979</v>
      </c>
    </row>
    <row r="5058" spans="1:40" x14ac:dyDescent="0.25">
      <c r="A5058" t="str">
        <f>"20190304155736731"</f>
        <v>20190304155736731</v>
      </c>
      <c r="B5058" t="str">
        <f>"1551686256719759"</f>
        <v>1551686256719759</v>
      </c>
      <c r="C5058" t="s">
        <v>40</v>
      </c>
      <c r="D5058">
        <v>5.1417020000000004</v>
      </c>
      <c r="E5058">
        <v>0.50892539999999997</v>
      </c>
      <c r="F5058" t="s">
        <v>41</v>
      </c>
      <c r="G5058">
        <v>-421.93360000000001</v>
      </c>
      <c r="H5058" s="1">
        <v>-7.2078680000000002E-7</v>
      </c>
      <c r="I5058">
        <v>70.070009999999996</v>
      </c>
      <c r="J5058">
        <v>-422.29570000000001</v>
      </c>
      <c r="K5058">
        <v>1.1097349999999999</v>
      </c>
      <c r="L5058">
        <v>98.181880000000007</v>
      </c>
      <c r="M5058">
        <v>1.735372E-2</v>
      </c>
      <c r="N5058">
        <v>-1.0166410000000001E-2</v>
      </c>
      <c r="O5058">
        <v>-0.99979810000000002</v>
      </c>
      <c r="P5058">
        <v>4.2572110000000003E-2</v>
      </c>
      <c r="Q5058">
        <v>0.1244609</v>
      </c>
      <c r="R5058">
        <v>-0.9913111</v>
      </c>
      <c r="S5058">
        <v>3.9276119999999998E-2</v>
      </c>
      <c r="T5058">
        <v>-0.1189259</v>
      </c>
      <c r="U5058">
        <v>-3.0393370000000002</v>
      </c>
      <c r="V5058">
        <v>-2.5360959999999998E-2</v>
      </c>
      <c r="W5058">
        <v>0.1345384</v>
      </c>
      <c r="X5058">
        <v>0.99058380000000001</v>
      </c>
      <c r="Y5058">
        <v>4.4378949999999999E-3</v>
      </c>
      <c r="Z5058">
        <v>2.8928820000000001E-2</v>
      </c>
      <c r="AA5058">
        <v>0.9995716</v>
      </c>
      <c r="AB5058">
        <v>25</v>
      </c>
      <c r="AC5058">
        <v>0.36209999999999798</v>
      </c>
      <c r="AD5058">
        <v>-1.1097357207867999</v>
      </c>
      <c r="AE5058">
        <v>-28.11187</v>
      </c>
      <c r="AF5058">
        <v>0.12562934451569199</v>
      </c>
      <c r="AG5058">
        <v>-1.1097357207867999</v>
      </c>
      <c r="AH5058">
        <v>28.070185005806199</v>
      </c>
      <c r="AI5058">
        <v>92.263948112739897</v>
      </c>
      <c r="AJ5058">
        <v>89.743571937171197</v>
      </c>
      <c r="AK5058">
        <v>28.0923936744875</v>
      </c>
      <c r="AL5058">
        <v>82.268071441266201</v>
      </c>
      <c r="AM5058">
        <v>91.466568116164893</v>
      </c>
      <c r="AN5058">
        <v>1.00000001209456</v>
      </c>
    </row>
    <row r="5059" spans="1:40" x14ac:dyDescent="0.25">
      <c r="A5059" t="str">
        <f>"20190304155736753"</f>
        <v>20190304155736753</v>
      </c>
      <c r="B5059" t="str">
        <f>"1551686256750016"</f>
        <v>1551686256750016</v>
      </c>
      <c r="C5059" t="s">
        <v>40</v>
      </c>
      <c r="D5059">
        <v>5.0826840000000004</v>
      </c>
      <c r="E5059">
        <v>0.50818989999999997</v>
      </c>
      <c r="F5059" t="s">
        <v>41</v>
      </c>
      <c r="G5059">
        <v>-421.8725</v>
      </c>
      <c r="H5059" s="1">
        <v>-1.162618E-6</v>
      </c>
      <c r="I5059">
        <v>71.13785</v>
      </c>
      <c r="J5059">
        <v>-422.29109999999997</v>
      </c>
      <c r="K5059">
        <v>1.109699</v>
      </c>
      <c r="L5059">
        <v>97.924930000000003</v>
      </c>
      <c r="M5059">
        <v>1.735627E-2</v>
      </c>
      <c r="N5059">
        <v>-1.015343E-2</v>
      </c>
      <c r="O5059">
        <v>-0.99979810000000002</v>
      </c>
      <c r="P5059">
        <v>4.310816E-2</v>
      </c>
      <c r="Q5059">
        <v>0.12463349999999999</v>
      </c>
      <c r="R5059">
        <v>-0.99126619999999999</v>
      </c>
      <c r="S5059">
        <v>4.7576899999999998E-2</v>
      </c>
      <c r="T5059">
        <v>-0.1247412</v>
      </c>
      <c r="U5059">
        <v>-3.039917</v>
      </c>
      <c r="V5059">
        <v>-2.5886579999999999E-2</v>
      </c>
      <c r="W5059">
        <v>0.1346995</v>
      </c>
      <c r="X5059">
        <v>0.99054830000000005</v>
      </c>
      <c r="Y5059">
        <v>1.715587E-3</v>
      </c>
      <c r="Z5059">
        <v>3.0842479999999999E-2</v>
      </c>
      <c r="AA5059">
        <v>0.99952280000000004</v>
      </c>
      <c r="AB5059">
        <v>25</v>
      </c>
      <c r="AC5059">
        <v>0.418599999999969</v>
      </c>
      <c r="AD5059">
        <v>-1.1097001626180001</v>
      </c>
      <c r="AE5059">
        <v>-26.78708</v>
      </c>
      <c r="AF5059">
        <v>4.6331194545628701E-2</v>
      </c>
      <c r="AG5059">
        <v>-1.1097001626180001</v>
      </c>
      <c r="AH5059">
        <v>26.744423520500099</v>
      </c>
      <c r="AI5059">
        <v>92.375994010392006</v>
      </c>
      <c r="AJ5059">
        <v>89.900742700635206</v>
      </c>
      <c r="AK5059">
        <v>26.767475982512501</v>
      </c>
      <c r="AL5059">
        <v>82.258756224766699</v>
      </c>
      <c r="AM5059">
        <v>91.497003490507197</v>
      </c>
      <c r="AN5059">
        <v>1.00000000247861</v>
      </c>
    </row>
    <row r="5060" spans="1:40" x14ac:dyDescent="0.25">
      <c r="A5060" t="str">
        <f>"20190304155736776"</f>
        <v>20190304155736776</v>
      </c>
      <c r="B5060" t="str">
        <f>"1551686256769535"</f>
        <v>1551686256769535</v>
      </c>
      <c r="C5060" t="s">
        <v>40</v>
      </c>
      <c r="D5060">
        <v>5.0225900000000001</v>
      </c>
      <c r="E5060">
        <v>0.50761350000000005</v>
      </c>
      <c r="F5060" t="s">
        <v>41</v>
      </c>
      <c r="G5060">
        <v>-421.82569999999998</v>
      </c>
      <c r="H5060" s="1">
        <v>-1.4906599999999999E-6</v>
      </c>
      <c r="I5060">
        <v>71.931529999999995</v>
      </c>
      <c r="J5060">
        <v>-422.2869</v>
      </c>
      <c r="K5060">
        <v>1.109683</v>
      </c>
      <c r="L5060">
        <v>97.675319999999999</v>
      </c>
      <c r="M5060">
        <v>1.7325650000000001E-2</v>
      </c>
      <c r="N5060">
        <v>-1.014135E-2</v>
      </c>
      <c r="O5060">
        <v>-0.99979850000000003</v>
      </c>
      <c r="P5060">
        <v>4.3724619999999999E-2</v>
      </c>
      <c r="Q5060">
        <v>0.1247759</v>
      </c>
      <c r="R5060">
        <v>-0.99122129999999997</v>
      </c>
      <c r="S5060">
        <v>5.4443360000000003E-2</v>
      </c>
      <c r="T5060">
        <v>-0.12979979999999999</v>
      </c>
      <c r="U5060">
        <v>-3.0404049999999998</v>
      </c>
      <c r="V5060">
        <v>-2.6528940000000001E-2</v>
      </c>
      <c r="W5060">
        <v>0.1348309</v>
      </c>
      <c r="X5060">
        <v>0.99051339999999999</v>
      </c>
      <c r="Y5060">
        <v>-5.6767139999999998E-4</v>
      </c>
      <c r="Z5060">
        <v>3.2507019999999998E-2</v>
      </c>
      <c r="AA5060">
        <v>0.99947140000000001</v>
      </c>
      <c r="AB5060">
        <v>25</v>
      </c>
      <c r="AC5060">
        <v>0.46120000000001898</v>
      </c>
      <c r="AD5060">
        <v>-1.1096844906600001</v>
      </c>
      <c r="AE5060">
        <v>-25.743789999999901</v>
      </c>
      <c r="AF5060">
        <v>-1.50519898124032E-2</v>
      </c>
      <c r="AG5060">
        <v>-1.1096844906600001</v>
      </c>
      <c r="AH5060">
        <v>25.700179919628201</v>
      </c>
      <c r="AI5060">
        <v>92.472385776620598</v>
      </c>
      <c r="AJ5060">
        <v>90.0335567841787</v>
      </c>
      <c r="AK5060">
        <v>25.724130191951499</v>
      </c>
      <c r="AL5060">
        <v>82.251158040171305</v>
      </c>
      <c r="AM5060">
        <v>91.534187227464102</v>
      </c>
      <c r="AN5060">
        <v>0.99999997591594603</v>
      </c>
    </row>
    <row r="5061" spans="1:40" x14ac:dyDescent="0.25">
      <c r="A5061" t="str">
        <f>"20190304155736796"</f>
        <v>20190304155736796</v>
      </c>
      <c r="B5061" t="str">
        <f>"1551686256790031"</f>
        <v>1551686256790031</v>
      </c>
      <c r="C5061" t="s">
        <v>40</v>
      </c>
      <c r="D5061">
        <v>5.0212629999999896</v>
      </c>
      <c r="E5061">
        <v>0.50726740000000003</v>
      </c>
      <c r="F5061" t="s">
        <v>41</v>
      </c>
      <c r="G5061">
        <v>-421.7747</v>
      </c>
      <c r="H5061" s="1">
        <v>-1.509519E-6</v>
      </c>
      <c r="I5061">
        <v>72.007090000000005</v>
      </c>
      <c r="J5061">
        <v>-422.28280000000001</v>
      </c>
      <c r="K5061">
        <v>1.109666</v>
      </c>
      <c r="L5061">
        <v>97.436310000000006</v>
      </c>
      <c r="M5061">
        <v>1.7264450000000001E-2</v>
      </c>
      <c r="N5061">
        <v>-1.0125779999999999E-2</v>
      </c>
      <c r="O5061">
        <v>-0.99979969999999996</v>
      </c>
      <c r="P5061">
        <v>4.4424159999999997E-2</v>
      </c>
      <c r="Q5061">
        <v>0.1250078</v>
      </c>
      <c r="R5061">
        <v>-0.99116099999999996</v>
      </c>
      <c r="S5061">
        <v>6.0668949999999999E-2</v>
      </c>
      <c r="T5061">
        <v>-0.13144359999999999</v>
      </c>
      <c r="U5061">
        <v>-3.0404360000000001</v>
      </c>
      <c r="V5061">
        <v>-2.7284760000000002E-2</v>
      </c>
      <c r="W5061">
        <v>0.13504769999999999</v>
      </c>
      <c r="X5061">
        <v>0.99046339999999999</v>
      </c>
      <c r="Y5061">
        <v>-2.673552E-3</v>
      </c>
      <c r="Z5061">
        <v>3.306067E-2</v>
      </c>
      <c r="AA5061">
        <v>0.99944980000000005</v>
      </c>
      <c r="AB5061">
        <v>25</v>
      </c>
      <c r="AC5061">
        <v>0.50810000000001299</v>
      </c>
      <c r="AD5061">
        <v>-1.1096675095190001</v>
      </c>
      <c r="AE5061">
        <v>-25.429219999999901</v>
      </c>
      <c r="AF5061">
        <v>-6.88492131292614E-2</v>
      </c>
      <c r="AG5061">
        <v>-1.1096675095190001</v>
      </c>
      <c r="AH5061">
        <v>25.385880820321301</v>
      </c>
      <c r="AI5061">
        <v>92.502910335717601</v>
      </c>
      <c r="AJ5061">
        <v>90.155391876733404</v>
      </c>
      <c r="AK5061">
        <v>25.410215410723801</v>
      </c>
      <c r="AL5061">
        <v>82.238622179828496</v>
      </c>
      <c r="AM5061">
        <v>91.577954651367705</v>
      </c>
      <c r="AN5061">
        <v>1.0000000430715501</v>
      </c>
    </row>
    <row r="5062" spans="1:40" x14ac:dyDescent="0.25">
      <c r="A5062" t="str">
        <f>"20190304155736820"</f>
        <v>20190304155736820</v>
      </c>
      <c r="B5062" t="str">
        <f>"1551686256809551"</f>
        <v>1551686256809551</v>
      </c>
      <c r="C5062" t="s">
        <v>40</v>
      </c>
      <c r="D5062">
        <v>5.0029570000000003</v>
      </c>
      <c r="E5062">
        <v>0.50698390000000004</v>
      </c>
      <c r="F5062" t="s">
        <v>41</v>
      </c>
      <c r="G5062">
        <v>-421.74400000000003</v>
      </c>
      <c r="H5062" s="1">
        <v>-1.632039E-6</v>
      </c>
      <c r="I5062">
        <v>72.311779999999999</v>
      </c>
      <c r="J5062">
        <v>-422.27839999999998</v>
      </c>
      <c r="K5062">
        <v>1.109648</v>
      </c>
      <c r="L5062">
        <v>97.177760000000006</v>
      </c>
      <c r="M5062">
        <v>1.716181E-2</v>
      </c>
      <c r="N5062">
        <v>-1.010641E-2</v>
      </c>
      <c r="O5062">
        <v>-0.99980190000000002</v>
      </c>
      <c r="P5062">
        <v>4.5026249999999997E-2</v>
      </c>
      <c r="Q5062">
        <v>0.1254527</v>
      </c>
      <c r="R5062">
        <v>-0.9910776</v>
      </c>
      <c r="S5062">
        <v>6.5216060000000006E-2</v>
      </c>
      <c r="T5062">
        <v>-0.134300799999999</v>
      </c>
      <c r="U5062">
        <v>-3.0407709999999999</v>
      </c>
      <c r="V5062">
        <v>-2.7983520000000001E-2</v>
      </c>
      <c r="W5062">
        <v>0.13547439999999999</v>
      </c>
      <c r="X5062">
        <v>0.99038559999999998</v>
      </c>
      <c r="Y5062">
        <v>-4.2668050000000003E-3</v>
      </c>
      <c r="Z5062">
        <v>3.4011720000000002E-2</v>
      </c>
      <c r="AA5062">
        <v>0.99941230000000003</v>
      </c>
      <c r="AB5062">
        <v>25</v>
      </c>
      <c r="AC5062">
        <v>0.53439999999994803</v>
      </c>
      <c r="AD5062">
        <v>-1.1096496320389999</v>
      </c>
      <c r="AE5062">
        <v>-24.86598</v>
      </c>
      <c r="AF5062">
        <v>-0.10734071616973399</v>
      </c>
      <c r="AG5062">
        <v>-1.1096496320389999</v>
      </c>
      <c r="AH5062">
        <v>24.822081125853199</v>
      </c>
      <c r="AI5062">
        <v>92.559630069633798</v>
      </c>
      <c r="AJ5062">
        <v>90.247768575030193</v>
      </c>
      <c r="AK5062">
        <v>24.8471035686993</v>
      </c>
      <c r="AL5062">
        <v>82.213947078280597</v>
      </c>
      <c r="AM5062">
        <v>91.618471753484897</v>
      </c>
      <c r="AN5062">
        <v>1.0000000135671501</v>
      </c>
    </row>
    <row r="5063" spans="1:40" x14ac:dyDescent="0.25">
      <c r="A5063" t="str">
        <f>"20190304155736842"</f>
        <v>20190304155736842</v>
      </c>
      <c r="B5063" t="str">
        <f>"1551686256839807"</f>
        <v>1551686256839807</v>
      </c>
      <c r="C5063" t="s">
        <v>40</v>
      </c>
      <c r="D5063">
        <v>4.9735550000000002</v>
      </c>
      <c r="E5063">
        <v>0.50689019999999996</v>
      </c>
      <c r="F5063" t="s">
        <v>41</v>
      </c>
      <c r="G5063">
        <v>-421.7337</v>
      </c>
      <c r="H5063" s="1">
        <v>-1.9822479999999999E-6</v>
      </c>
      <c r="I5063">
        <v>73.134500000000003</v>
      </c>
      <c r="J5063">
        <v>-422.27429999999998</v>
      </c>
      <c r="K5063">
        <v>1.1096159999999999</v>
      </c>
      <c r="L5063">
        <v>96.930940000000007</v>
      </c>
      <c r="M5063">
        <v>1.7032829999999999E-2</v>
      </c>
      <c r="N5063">
        <v>-1.008622E-2</v>
      </c>
      <c r="O5063">
        <v>-0.99980429999999998</v>
      </c>
      <c r="P5063">
        <v>4.5577329999999999E-2</v>
      </c>
      <c r="Q5063">
        <v>0.12637010000000001</v>
      </c>
      <c r="R5063">
        <v>-0.99093589999999998</v>
      </c>
      <c r="S5063">
        <v>6.8908689999999995E-2</v>
      </c>
      <c r="T5063">
        <v>-0.14037920000000001</v>
      </c>
      <c r="U5063">
        <v>-3.0416560000000001</v>
      </c>
      <c r="V5063">
        <v>-2.8656689999999999E-2</v>
      </c>
      <c r="W5063">
        <v>0.1363724</v>
      </c>
      <c r="X5063">
        <v>0.99024310000000004</v>
      </c>
      <c r="Y5063">
        <v>-5.6002889999999996E-3</v>
      </c>
      <c r="Z5063">
        <v>3.6010970000000003E-2</v>
      </c>
      <c r="AA5063">
        <v>0.99933570000000005</v>
      </c>
      <c r="AB5063">
        <v>25</v>
      </c>
      <c r="AC5063">
        <v>0.54059999999998298</v>
      </c>
      <c r="AD5063">
        <v>-1.1096179822479999</v>
      </c>
      <c r="AE5063">
        <v>-23.79644</v>
      </c>
      <c r="AF5063">
        <v>-0.13488719443191299</v>
      </c>
      <c r="AG5063">
        <v>-1.1096179822479999</v>
      </c>
      <c r="AH5063">
        <v>23.750581264573199</v>
      </c>
      <c r="AI5063">
        <v>92.674848560903399</v>
      </c>
      <c r="AJ5063">
        <v>90.325397672322495</v>
      </c>
      <c r="AK5063">
        <v>23.776870210918101</v>
      </c>
      <c r="AL5063">
        <v>82.162013518533399</v>
      </c>
      <c r="AM5063">
        <v>91.657622530769103</v>
      </c>
      <c r="AN5063">
        <v>1.0000000172305601</v>
      </c>
    </row>
    <row r="5064" spans="1:40" x14ac:dyDescent="0.25">
      <c r="A5064" t="str">
        <f>"20190304155736858"</f>
        <v>20190304155736858</v>
      </c>
      <c r="B5064" t="str">
        <f>"1551686256849567"</f>
        <v>1551686256849567</v>
      </c>
      <c r="C5064" t="s">
        <v>40</v>
      </c>
      <c r="D5064">
        <v>4.9262800000000002</v>
      </c>
      <c r="E5064">
        <v>0.50679640000000004</v>
      </c>
      <c r="F5064" t="s">
        <v>41</v>
      </c>
      <c r="G5064">
        <v>-421.72199999999998</v>
      </c>
      <c r="H5064" s="1">
        <v>-2.0248859999999999E-6</v>
      </c>
      <c r="I5064">
        <v>73.241129999999998</v>
      </c>
      <c r="J5064">
        <v>-422.27140000000003</v>
      </c>
      <c r="K5064">
        <v>1.1095950000000001</v>
      </c>
      <c r="L5064">
        <v>96.753330000000005</v>
      </c>
      <c r="M5064">
        <v>1.6922659999999999E-2</v>
      </c>
      <c r="N5064">
        <v>-1.00698E-2</v>
      </c>
      <c r="O5064">
        <v>-0.99980619999999998</v>
      </c>
      <c r="P5064">
        <v>4.5743060000000002E-2</v>
      </c>
      <c r="Q5064">
        <v>0.12642149999999999</v>
      </c>
      <c r="R5064">
        <v>-0.99092159999999996</v>
      </c>
      <c r="S5064">
        <v>7.0922849999999996E-2</v>
      </c>
      <c r="T5064">
        <v>-0.1425024</v>
      </c>
      <c r="U5064">
        <v>-3.0423580000000001</v>
      </c>
      <c r="V5064">
        <v>-2.8926159999999999E-2</v>
      </c>
      <c r="W5064">
        <v>0.13640829999999901</v>
      </c>
      <c r="X5064">
        <v>0.99023030000000001</v>
      </c>
      <c r="Y5064">
        <v>-6.365669E-3</v>
      </c>
      <c r="Z5064">
        <v>3.6712149999999999E-2</v>
      </c>
      <c r="AA5064">
        <v>0.99930560000000002</v>
      </c>
      <c r="AB5064">
        <v>25</v>
      </c>
      <c r="AC5064">
        <v>0.54940000000004796</v>
      </c>
      <c r="AD5064">
        <v>-1.1095970248860001</v>
      </c>
      <c r="AE5064">
        <v>-23.5122</v>
      </c>
      <c r="AF5064">
        <v>-0.151075939462891</v>
      </c>
      <c r="AG5064">
        <v>-1.1095970248860001</v>
      </c>
      <c r="AH5064">
        <v>23.465897627377199</v>
      </c>
      <c r="AI5064">
        <v>92.707187823499396</v>
      </c>
      <c r="AJ5064">
        <v>90.368871213138405</v>
      </c>
      <c r="AK5064">
        <v>23.492602685859801</v>
      </c>
      <c r="AL5064">
        <v>82.1599370379287</v>
      </c>
      <c r="AM5064">
        <v>91.673222596803299</v>
      </c>
      <c r="AN5064">
        <v>0.99999999703966203</v>
      </c>
    </row>
    <row r="5065" spans="1:40" x14ac:dyDescent="0.25">
      <c r="A5065" t="str">
        <f>"20190304155736876"</f>
        <v>20190304155736876</v>
      </c>
      <c r="B5065" t="str">
        <f>"1551686256870063"</f>
        <v>1551686256870063</v>
      </c>
      <c r="C5065" t="s">
        <v>40</v>
      </c>
      <c r="D5065">
        <v>4.9755719999999997</v>
      </c>
      <c r="E5065">
        <v>0.50663779999999903</v>
      </c>
      <c r="F5065" t="s">
        <v>41</v>
      </c>
      <c r="G5065">
        <v>-421.71269999999998</v>
      </c>
      <c r="H5065" s="1">
        <v>-1.9972379999999999E-6</v>
      </c>
      <c r="I5065">
        <v>73.182459999999907</v>
      </c>
      <c r="J5065">
        <v>-422.26799999999997</v>
      </c>
      <c r="K5065">
        <v>1.109572</v>
      </c>
      <c r="L5065">
        <v>96.547359999999998</v>
      </c>
      <c r="M5065">
        <v>1.677878E-2</v>
      </c>
      <c r="N5065">
        <v>-1.0049870000000001E-2</v>
      </c>
      <c r="O5065">
        <v>-0.9998089</v>
      </c>
      <c r="P5065">
        <v>4.6137129999999998E-2</v>
      </c>
      <c r="Q5065">
        <v>0.1265724</v>
      </c>
      <c r="R5065">
        <v>-0.99088399999999999</v>
      </c>
      <c r="S5065">
        <v>7.2113040000000003E-2</v>
      </c>
      <c r="T5065">
        <v>-0.14322170000000001</v>
      </c>
      <c r="U5065">
        <v>-3.0424190000000002</v>
      </c>
      <c r="V5065">
        <v>-2.945681E-2</v>
      </c>
      <c r="W5065">
        <v>0.13654059999999901</v>
      </c>
      <c r="X5065">
        <v>0.99019639999999998</v>
      </c>
      <c r="Y5065">
        <v>-6.8994420000000004E-3</v>
      </c>
      <c r="Z5065">
        <v>3.696667E-2</v>
      </c>
      <c r="AA5065">
        <v>0.99929270000000003</v>
      </c>
      <c r="AB5065">
        <v>25</v>
      </c>
      <c r="AC5065">
        <v>0.55530000000004498</v>
      </c>
      <c r="AD5065">
        <v>-1.1095739972380001</v>
      </c>
      <c r="AE5065">
        <v>-23.364899999999999</v>
      </c>
      <c r="AF5065">
        <v>-0.16280063541020201</v>
      </c>
      <c r="AG5065">
        <v>-1.1095739972380001</v>
      </c>
      <c r="AH5065">
        <v>23.3183703758211</v>
      </c>
      <c r="AI5065">
        <v>92.724223168658099</v>
      </c>
      <c r="AJ5065">
        <v>90.400012419783295</v>
      </c>
      <c r="AK5065">
        <v>23.345321918667299</v>
      </c>
      <c r="AL5065">
        <v>82.152285037336597</v>
      </c>
      <c r="AM5065">
        <v>91.703958209963204</v>
      </c>
      <c r="AN5065">
        <v>0.99999997483834702</v>
      </c>
    </row>
    <row r="5066" spans="1:40" x14ac:dyDescent="0.25">
      <c r="A5066" t="str">
        <f>"20190304155736899"</f>
        <v>20190304155736899</v>
      </c>
      <c r="B5066" t="str">
        <f>"1551686256889583"</f>
        <v>1551686256889583</v>
      </c>
      <c r="C5066" t="s">
        <v>40</v>
      </c>
      <c r="D5066">
        <v>4.914568</v>
      </c>
      <c r="E5066">
        <v>0.50647869999999995</v>
      </c>
      <c r="F5066" t="s">
        <v>41</v>
      </c>
      <c r="G5066">
        <v>-421.69319999999999</v>
      </c>
      <c r="H5066" s="1">
        <v>-1.9194729999999999E-6</v>
      </c>
      <c r="I5066">
        <v>73.013249999999999</v>
      </c>
      <c r="J5066">
        <v>-422.26400000000001</v>
      </c>
      <c r="K5066">
        <v>1.1095520000000001</v>
      </c>
      <c r="L5066">
        <v>96.296539999999993</v>
      </c>
      <c r="M5066">
        <v>1.658171E-2</v>
      </c>
      <c r="N5066">
        <v>-1.0026790000000001E-2</v>
      </c>
      <c r="O5066">
        <v>-0.99981220000000004</v>
      </c>
      <c r="P5066">
        <v>4.6263680000000001E-2</v>
      </c>
      <c r="Q5066">
        <v>0.12789310000000001</v>
      </c>
      <c r="R5066">
        <v>-0.99070860000000005</v>
      </c>
      <c r="S5066">
        <v>7.4310299999999996E-2</v>
      </c>
      <c r="T5066">
        <v>-0.1434453</v>
      </c>
      <c r="U5066">
        <v>-3.0424799999999999</v>
      </c>
      <c r="V5066">
        <v>-2.9775309999999999E-2</v>
      </c>
      <c r="W5066">
        <v>0.1378385</v>
      </c>
      <c r="X5066">
        <v>0.99000699999999997</v>
      </c>
      <c r="Y5066">
        <v>-7.8169940000000007E-3</v>
      </c>
      <c r="Z5066">
        <v>3.7061719999999999E-2</v>
      </c>
      <c r="AA5066">
        <v>0.99928240000000002</v>
      </c>
      <c r="AB5066">
        <v>25</v>
      </c>
      <c r="AC5066">
        <v>0.57080000000001896</v>
      </c>
      <c r="AD5066">
        <v>-1.109553919473</v>
      </c>
      <c r="AE5066">
        <v>-23.283290000000001</v>
      </c>
      <c r="AF5066">
        <v>-0.18420725436022301</v>
      </c>
      <c r="AG5066">
        <v>-1.109553919473</v>
      </c>
      <c r="AH5066">
        <v>23.236815848926199</v>
      </c>
      <c r="AI5066">
        <v>92.733701292592301</v>
      </c>
      <c r="AJ5066">
        <v>90.454196358824603</v>
      </c>
      <c r="AK5066">
        <v>23.264020568458999</v>
      </c>
      <c r="AL5066">
        <v>82.077210725590305</v>
      </c>
      <c r="AM5066">
        <v>91.722700429657394</v>
      </c>
      <c r="AN5066">
        <v>0.99999994060842101</v>
      </c>
    </row>
    <row r="5067" spans="1:40" x14ac:dyDescent="0.25">
      <c r="A5067" t="str">
        <f>"20190304155736920"</f>
        <v>20190304155736920</v>
      </c>
      <c r="B5067" t="str">
        <f>"1551686256910079"</f>
        <v>1551686256910079</v>
      </c>
      <c r="C5067" t="s">
        <v>40</v>
      </c>
      <c r="D5067">
        <v>4.9119989999999998</v>
      </c>
      <c r="E5067">
        <v>0.5065482</v>
      </c>
      <c r="F5067" t="s">
        <v>41</v>
      </c>
      <c r="G5067">
        <v>-421.66419999999999</v>
      </c>
      <c r="H5067" s="1">
        <v>-1.653665E-6</v>
      </c>
      <c r="I5067">
        <v>72.411670000000001</v>
      </c>
      <c r="J5067">
        <v>-422.26010000000002</v>
      </c>
      <c r="K5067">
        <v>1.109545</v>
      </c>
      <c r="L5067">
        <v>96.047359999999998</v>
      </c>
      <c r="M5067">
        <v>1.6367739999999999E-2</v>
      </c>
      <c r="N5067">
        <v>-1.000383E-2</v>
      </c>
      <c r="O5067">
        <v>-0.99981609999999999</v>
      </c>
      <c r="P5067">
        <v>4.6135019999999999E-2</v>
      </c>
      <c r="Q5067">
        <v>0.1282237</v>
      </c>
      <c r="R5067">
        <v>-0.99067169999999904</v>
      </c>
      <c r="S5067">
        <v>7.6416020000000001E-2</v>
      </c>
      <c r="T5067">
        <v>-0.1413517</v>
      </c>
      <c r="U5067">
        <v>-3.0428160000000002</v>
      </c>
      <c r="V5067">
        <v>-2.9854740000000001E-2</v>
      </c>
      <c r="W5067">
        <v>0.13814650000000001</v>
      </c>
      <c r="X5067">
        <v>0.98996170000000006</v>
      </c>
      <c r="Y5067">
        <v>-8.7198069999999996E-3</v>
      </c>
      <c r="Z5067">
        <v>3.6393370000000001E-2</v>
      </c>
      <c r="AA5067">
        <v>0.99929950000000001</v>
      </c>
      <c r="AB5067">
        <v>25</v>
      </c>
      <c r="AC5067">
        <v>0.59590000000002796</v>
      </c>
      <c r="AD5067">
        <v>-1.109546653665</v>
      </c>
      <c r="AE5067">
        <v>-23.63569</v>
      </c>
      <c r="AF5067">
        <v>-0.208478882941383</v>
      </c>
      <c r="AG5067">
        <v>-1.109546653665</v>
      </c>
      <c r="AH5067">
        <v>23.5903242352205</v>
      </c>
      <c r="AI5067">
        <v>92.692758560027102</v>
      </c>
      <c r="AJ5067">
        <v>90.506336794471196</v>
      </c>
      <c r="AK5067">
        <v>23.617323191761699</v>
      </c>
      <c r="AL5067">
        <v>82.059393357327195</v>
      </c>
      <c r="AM5067">
        <v>91.727372197058102</v>
      </c>
      <c r="AN5067">
        <v>0.99999996421480297</v>
      </c>
    </row>
    <row r="5068" spans="1:40" x14ac:dyDescent="0.25">
      <c r="A5068" t="str">
        <f>"20190304155736943"</f>
        <v>20190304155736943</v>
      </c>
      <c r="B5068" t="str">
        <f>"1551686256939359"</f>
        <v>1551686256939359</v>
      </c>
      <c r="C5068" t="s">
        <v>40</v>
      </c>
      <c r="D5068">
        <v>4.8786829999999997</v>
      </c>
      <c r="E5068">
        <v>0.50666369999999905</v>
      </c>
      <c r="F5068" t="s">
        <v>41</v>
      </c>
      <c r="G5068">
        <v>-421.6678</v>
      </c>
      <c r="H5068" s="1">
        <v>-1.5476950000000001E-6</v>
      </c>
      <c r="I5068">
        <v>72.162430000000001</v>
      </c>
      <c r="J5068">
        <v>-422.25619999999998</v>
      </c>
      <c r="K5068">
        <v>1.1095349999999999</v>
      </c>
      <c r="L5068">
        <v>95.792569999999998</v>
      </c>
      <c r="M5068">
        <v>1.6136250000000001E-2</v>
      </c>
      <c r="N5068">
        <v>-9.9772230000000003E-3</v>
      </c>
      <c r="O5068">
        <v>-0.99982009999999999</v>
      </c>
      <c r="P5068">
        <v>4.5818310000000001E-2</v>
      </c>
      <c r="Q5068">
        <v>0.1285953</v>
      </c>
      <c r="R5068">
        <v>-0.99063840000000003</v>
      </c>
      <c r="S5068">
        <v>7.5469969999999997E-2</v>
      </c>
      <c r="T5068">
        <v>-0.1413604</v>
      </c>
      <c r="U5068">
        <v>-3.0430299999999999</v>
      </c>
      <c r="V5068">
        <v>-2.9765489999999999E-2</v>
      </c>
      <c r="W5068">
        <v>0.1384917</v>
      </c>
      <c r="X5068">
        <v>0.98991620000000002</v>
      </c>
      <c r="Y5068">
        <v>-8.6391019999999992E-3</v>
      </c>
      <c r="Z5068">
        <v>3.6419960000000001E-2</v>
      </c>
      <c r="AA5068">
        <v>0.99929920000000005</v>
      </c>
      <c r="AB5068">
        <v>25</v>
      </c>
      <c r="AC5068">
        <v>0.58839999999997805</v>
      </c>
      <c r="AD5068">
        <v>-1.1095365476950001</v>
      </c>
      <c r="AE5068">
        <v>-23.630140000000001</v>
      </c>
      <c r="AF5068">
        <v>-0.206547493143974</v>
      </c>
      <c r="AG5068">
        <v>-1.1095365476950001</v>
      </c>
      <c r="AH5068">
        <v>23.584593275608398</v>
      </c>
      <c r="AI5068">
        <v>92.693389316546003</v>
      </c>
      <c r="AJ5068">
        <v>90.501768122382003</v>
      </c>
      <c r="AK5068">
        <v>23.6115813361466</v>
      </c>
      <c r="AL5068">
        <v>82.039423251984601</v>
      </c>
      <c r="AM5068">
        <v>91.722290486661294</v>
      </c>
      <c r="AN5068">
        <v>1.00000000919313</v>
      </c>
    </row>
    <row r="5069" spans="1:40" x14ac:dyDescent="0.25">
      <c r="A5069" t="str">
        <f>"20190304155736965"</f>
        <v>20190304155736965</v>
      </c>
      <c r="B5069" t="str">
        <f>"1551686256959858"</f>
        <v>1551686256959858</v>
      </c>
      <c r="C5069" t="s">
        <v>40</v>
      </c>
      <c r="D5069">
        <v>4.8678429999999997</v>
      </c>
      <c r="E5069">
        <v>0.50668329999999995</v>
      </c>
      <c r="F5069" t="s">
        <v>41</v>
      </c>
      <c r="G5069">
        <v>-421.67680000000001</v>
      </c>
      <c r="H5069" s="1">
        <v>-1.373812E-6</v>
      </c>
      <c r="I5069">
        <v>71.751480000000001</v>
      </c>
      <c r="J5069">
        <v>-422.25240000000002</v>
      </c>
      <c r="K5069">
        <v>1.1095330000000001</v>
      </c>
      <c r="L5069">
        <v>95.540949999999995</v>
      </c>
      <c r="M5069">
        <v>1.5901680000000001E-2</v>
      </c>
      <c r="N5069">
        <v>-9.9505270000000007E-3</v>
      </c>
      <c r="O5069">
        <v>-0.99982420000000005</v>
      </c>
      <c r="P5069">
        <v>4.547387E-2</v>
      </c>
      <c r="Q5069">
        <v>0.1292478</v>
      </c>
      <c r="R5069">
        <v>-0.99056940000000004</v>
      </c>
      <c r="S5069">
        <v>7.3333739999999994E-2</v>
      </c>
      <c r="T5069">
        <v>-0.14044799999999999</v>
      </c>
      <c r="U5069">
        <v>-3.0431819999999998</v>
      </c>
      <c r="V5069">
        <v>-2.9654300000000001E-2</v>
      </c>
      <c r="W5069">
        <v>0.1391174</v>
      </c>
      <c r="X5069">
        <v>0.98983180000000004</v>
      </c>
      <c r="Y5069">
        <v>-8.1717979999999992E-3</v>
      </c>
      <c r="Z5069">
        <v>3.61461E-2</v>
      </c>
      <c r="AA5069">
        <v>0.99931309999999995</v>
      </c>
      <c r="AB5069">
        <v>25</v>
      </c>
      <c r="AC5069">
        <v>0.57560000000000799</v>
      </c>
      <c r="AD5069">
        <v>-1.109534373812</v>
      </c>
      <c r="AE5069">
        <v>-23.789469999999898</v>
      </c>
      <c r="AF5069">
        <v>-0.19678818779634999</v>
      </c>
      <c r="AG5069">
        <v>-1.109534373812</v>
      </c>
      <c r="AH5069">
        <v>23.743995985734099</v>
      </c>
      <c r="AI5069">
        <v>92.6753393643545</v>
      </c>
      <c r="AJ5069">
        <v>90.474851599328503</v>
      </c>
      <c r="AK5069">
        <v>23.770720171843401</v>
      </c>
      <c r="AL5069">
        <v>82.003222864839202</v>
      </c>
      <c r="AM5069">
        <v>91.716006884024495</v>
      </c>
      <c r="AN5069">
        <v>1.0000000103912401</v>
      </c>
    </row>
    <row r="5070" spans="1:40" x14ac:dyDescent="0.25">
      <c r="A5070" t="str">
        <f>"20190304155736987"</f>
        <v>20190304155736987</v>
      </c>
      <c r="B5070" t="str">
        <f>"1551686256979379"</f>
        <v>1551686256979379</v>
      </c>
      <c r="C5070" t="s">
        <v>40</v>
      </c>
      <c r="D5070">
        <v>4.8642139999999996</v>
      </c>
      <c r="E5070">
        <v>0.50666120000000003</v>
      </c>
      <c r="F5070" t="s">
        <v>41</v>
      </c>
      <c r="G5070">
        <v>-421.67700000000002</v>
      </c>
      <c r="H5070" s="1">
        <v>-1.1528100000000001E-6</v>
      </c>
      <c r="I5070">
        <v>71.23621</v>
      </c>
      <c r="J5070">
        <v>-422.24869999999999</v>
      </c>
      <c r="K5070">
        <v>1.109537</v>
      </c>
      <c r="L5070">
        <v>95.29025</v>
      </c>
      <c r="M5070">
        <v>1.5667360000000002E-2</v>
      </c>
      <c r="N5070">
        <v>-9.9265120000000002E-3</v>
      </c>
      <c r="O5070">
        <v>-0.99982800000000005</v>
      </c>
      <c r="P5070">
        <v>4.4873959999999997E-2</v>
      </c>
      <c r="Q5070">
        <v>0.12966050000000001</v>
      </c>
      <c r="R5070">
        <v>-0.9905427</v>
      </c>
      <c r="S5070">
        <v>7.2052000000000005E-2</v>
      </c>
      <c r="T5070">
        <v>-0.1389339</v>
      </c>
      <c r="U5070">
        <v>-3.043396</v>
      </c>
      <c r="V5070">
        <v>-2.9287359999999998E-2</v>
      </c>
      <c r="W5070">
        <v>0.1395055</v>
      </c>
      <c r="X5070">
        <v>0.98978809999999995</v>
      </c>
      <c r="Y5070">
        <v>-7.9843229999999998E-3</v>
      </c>
      <c r="Z5070">
        <v>3.5671370000000001E-2</v>
      </c>
      <c r="AA5070">
        <v>0.99933170000000004</v>
      </c>
      <c r="AB5070">
        <v>25</v>
      </c>
      <c r="AC5070">
        <v>0.57170000000002097</v>
      </c>
      <c r="AD5070">
        <v>-1.1095381528099999</v>
      </c>
      <c r="AE5070">
        <v>-24.054040000000001</v>
      </c>
      <c r="AF5070">
        <v>-0.194334704815676</v>
      </c>
      <c r="AG5070">
        <v>-1.1095381528099999</v>
      </c>
      <c r="AH5070">
        <v>24.008989916338301</v>
      </c>
      <c r="AI5070">
        <v>92.645866281062595</v>
      </c>
      <c r="AJ5070">
        <v>90.463756088039602</v>
      </c>
      <c r="AK5070">
        <v>24.035399678242701</v>
      </c>
      <c r="AL5070">
        <v>81.980767385306905</v>
      </c>
      <c r="AM5070">
        <v>91.694860392021297</v>
      </c>
      <c r="AN5070">
        <v>1.0000000084438101</v>
      </c>
    </row>
    <row r="5071" spans="1:40" x14ac:dyDescent="0.25">
      <c r="A5071" t="str">
        <f>"20190304155737111"</f>
        <v>20190304155737111</v>
      </c>
      <c r="B5071" t="str">
        <f>"1551686257099424"</f>
        <v>1551686257099424</v>
      </c>
      <c r="C5071" t="s">
        <v>40</v>
      </c>
      <c r="D5071">
        <v>4.8651090000000003</v>
      </c>
      <c r="E5071">
        <v>0.50589519999999999</v>
      </c>
      <c r="F5071" t="s">
        <v>41</v>
      </c>
      <c r="G5071">
        <v>-421.67899999999997</v>
      </c>
      <c r="H5071" s="1">
        <v>-9.0806220000000003E-7</v>
      </c>
      <c r="I5071">
        <v>70.664469999999994</v>
      </c>
      <c r="J5071">
        <v>-422.2287</v>
      </c>
      <c r="K5071">
        <v>1.109515</v>
      </c>
      <c r="L5071">
        <v>93.880889999999994</v>
      </c>
      <c r="M5071">
        <v>1.437507E-2</v>
      </c>
      <c r="N5071">
        <v>-9.7925779999999997E-3</v>
      </c>
      <c r="O5071">
        <v>-0.99984870000000003</v>
      </c>
      <c r="P5071">
        <v>4.4173120000000003E-2</v>
      </c>
      <c r="Q5071">
        <v>0.13374169999999999</v>
      </c>
      <c r="R5071">
        <v>-0.99003140000000001</v>
      </c>
      <c r="S5071">
        <v>7.0404049999999996E-2</v>
      </c>
      <c r="T5071">
        <v>-0.13712439999999901</v>
      </c>
      <c r="U5071">
        <v>-3.0434269999999999</v>
      </c>
      <c r="V5071">
        <v>-2.9870689999999998E-2</v>
      </c>
      <c r="W5071">
        <v>0.1434494</v>
      </c>
      <c r="X5071">
        <v>0.98920669999999999</v>
      </c>
      <c r="Y5071">
        <v>-8.7359740000000005E-3</v>
      </c>
      <c r="Z5071">
        <v>3.5213250000000001E-2</v>
      </c>
      <c r="AA5071">
        <v>0.9993417</v>
      </c>
      <c r="AB5071">
        <v>26</v>
      </c>
      <c r="AC5071">
        <v>0.54969999999997299</v>
      </c>
      <c r="AD5071">
        <v>-1.1095159080621999</v>
      </c>
      <c r="AE5071">
        <v>-23.216419999999999</v>
      </c>
      <c r="AF5071">
        <v>-0.215397852682988</v>
      </c>
      <c r="AG5071">
        <v>-1.1095159080621999</v>
      </c>
      <c r="AH5071">
        <v>23.1690371977231</v>
      </c>
      <c r="AI5071">
        <v>92.741560208884806</v>
      </c>
      <c r="AJ5071">
        <v>90.532651928123101</v>
      </c>
      <c r="AK5071">
        <v>23.196588250315099</v>
      </c>
      <c r="AL5071">
        <v>81.7525018429439</v>
      </c>
      <c r="AM5071">
        <v>91.729612791042399</v>
      </c>
      <c r="AN5071">
        <v>0.99999994190316099</v>
      </c>
    </row>
    <row r="5072" spans="1:40" x14ac:dyDescent="0.25">
      <c r="A5072" t="str">
        <f>"20190304155737132"</f>
        <v>20190304155737132</v>
      </c>
      <c r="B5072" t="str">
        <f>"1551686257129679"</f>
        <v>1551686257129679</v>
      </c>
      <c r="C5072" t="s">
        <v>40</v>
      </c>
      <c r="D5072">
        <v>4.7582329999999997</v>
      </c>
      <c r="E5072">
        <v>0.50326369999999998</v>
      </c>
      <c r="F5072" t="s">
        <v>41</v>
      </c>
      <c r="G5072">
        <v>-421.60340000000002</v>
      </c>
      <c r="H5072" s="1">
        <v>-4.2674220000000002E-6</v>
      </c>
      <c r="I5072">
        <v>68.691059999999993</v>
      </c>
      <c r="J5072">
        <v>-422.22539999999998</v>
      </c>
      <c r="K5072">
        <v>1.109502</v>
      </c>
      <c r="L5072">
        <v>93.630489999999995</v>
      </c>
      <c r="M5072">
        <v>1.4113550000000001E-2</v>
      </c>
      <c r="N5072">
        <v>-9.7659200000000009E-3</v>
      </c>
      <c r="O5072">
        <v>-0.99985259999999998</v>
      </c>
      <c r="P5072">
        <v>4.4667869999999998E-2</v>
      </c>
      <c r="Q5072">
        <v>0.134467899999999</v>
      </c>
      <c r="R5072">
        <v>-0.98991059999999997</v>
      </c>
      <c r="S5072">
        <v>7.5592039999999999E-2</v>
      </c>
      <c r="T5072">
        <v>-0.13411890000000001</v>
      </c>
      <c r="U5072">
        <v>-3.0449519999999999</v>
      </c>
      <c r="V5072">
        <v>-3.062082E-2</v>
      </c>
      <c r="W5072">
        <v>0.14414879999999999</v>
      </c>
      <c r="X5072">
        <v>0.98908220000000002</v>
      </c>
      <c r="Y5072">
        <v>-1.0688019999999999E-2</v>
      </c>
      <c r="Z5072">
        <v>3.4232209999999999E-2</v>
      </c>
      <c r="AA5072">
        <v>0.99935669999999999</v>
      </c>
      <c r="AB5072">
        <v>26</v>
      </c>
      <c r="AC5072">
        <v>0.62199999999995703</v>
      </c>
      <c r="AD5072">
        <v>-1.109506267422</v>
      </c>
      <c r="AE5072">
        <v>-24.939430000000002</v>
      </c>
      <c r="AF5072">
        <v>-0.26940445644185901</v>
      </c>
      <c r="AG5072">
        <v>-1.109506267422</v>
      </c>
      <c r="AH5072">
        <v>24.896480695968499</v>
      </c>
      <c r="AI5072">
        <v>92.551536476839701</v>
      </c>
      <c r="AJ5072">
        <v>90.619972601385101</v>
      </c>
      <c r="AK5072">
        <v>24.922647009563999</v>
      </c>
      <c r="AL5072">
        <v>81.712009260202294</v>
      </c>
      <c r="AM5072">
        <v>91.773243476206304</v>
      </c>
      <c r="AN5072">
        <v>1.00000005475787</v>
      </c>
    </row>
    <row r="5073" spans="1:40" x14ac:dyDescent="0.25">
      <c r="A5073" t="str">
        <f>"20190304155737156"</f>
        <v>20190304155737156</v>
      </c>
      <c r="B5073" t="str">
        <f>"1551686257150179"</f>
        <v>1551686257150179</v>
      </c>
      <c r="C5073" t="s">
        <v>40</v>
      </c>
      <c r="D5073">
        <v>4.7051999999999996</v>
      </c>
      <c r="E5073">
        <v>0.50188859999999902</v>
      </c>
      <c r="F5073" t="s">
        <v>41</v>
      </c>
      <c r="G5073">
        <v>-421.36930000000001</v>
      </c>
      <c r="H5073" s="1">
        <v>-3.5297310000000001E-6</v>
      </c>
      <c r="I5073">
        <v>66.967709999999997</v>
      </c>
      <c r="J5073">
        <v>-422.22199999999998</v>
      </c>
      <c r="K5073">
        <v>1.109494</v>
      </c>
      <c r="L5073">
        <v>93.36533</v>
      </c>
      <c r="M5073">
        <v>1.381455E-2</v>
      </c>
      <c r="N5073">
        <v>-9.7394040000000001E-3</v>
      </c>
      <c r="O5073">
        <v>-0.99985710000000005</v>
      </c>
      <c r="P5073">
        <v>4.5563319999999997E-2</v>
      </c>
      <c r="Q5073">
        <v>0.1352815</v>
      </c>
      <c r="R5073">
        <v>-0.9897591</v>
      </c>
      <c r="S5073">
        <v>9.7717289999999998E-2</v>
      </c>
      <c r="T5073">
        <v>-0.12664210000000001</v>
      </c>
      <c r="U5073">
        <v>-3.0433650000000001</v>
      </c>
      <c r="V5073">
        <v>-3.1808910000000003E-2</v>
      </c>
      <c r="W5073">
        <v>0.1449367</v>
      </c>
      <c r="X5073">
        <v>0.98892950000000002</v>
      </c>
      <c r="Y5073">
        <v>-1.825978E-2</v>
      </c>
      <c r="Z5073">
        <v>3.1825649999999997E-2</v>
      </c>
      <c r="AA5073">
        <v>0.99932659999999995</v>
      </c>
      <c r="AB5073">
        <v>26</v>
      </c>
      <c r="AC5073">
        <v>0.85269999999997004</v>
      </c>
      <c r="AD5073">
        <v>-1.1094975297309999</v>
      </c>
      <c r="AE5073">
        <v>-26.39762</v>
      </c>
      <c r="AF5073">
        <v>-0.48707053780005899</v>
      </c>
      <c r="AG5073">
        <v>-1.1094975297309999</v>
      </c>
      <c r="AH5073">
        <v>26.360362921531902</v>
      </c>
      <c r="AI5073">
        <v>92.409723929743194</v>
      </c>
      <c r="AJ5073">
        <v>91.0585556397956</v>
      </c>
      <c r="AK5073">
        <v>26.388197282727401</v>
      </c>
      <c r="AL5073">
        <v>81.666386396519798</v>
      </c>
      <c r="AM5073">
        <v>91.842283162459395</v>
      </c>
      <c r="AN5073">
        <v>1.0000000048662601</v>
      </c>
    </row>
    <row r="5074" spans="1:40" x14ac:dyDescent="0.25">
      <c r="A5074" t="str">
        <f>"20190304155737177"</f>
        <v>20190304155737177</v>
      </c>
      <c r="B5074" t="str">
        <f>"1551686257169695"</f>
        <v>1551686257169695</v>
      </c>
      <c r="C5074" t="s">
        <v>40</v>
      </c>
      <c r="D5074">
        <v>4.6864610000000004</v>
      </c>
      <c r="E5074">
        <v>0.50064169999999997</v>
      </c>
      <c r="F5074" t="s">
        <v>41</v>
      </c>
      <c r="G5074">
        <v>-421.22160000000002</v>
      </c>
      <c r="H5074" s="1">
        <v>-3.1173129999999999E-6</v>
      </c>
      <c r="I5074">
        <v>66.097980000000007</v>
      </c>
      <c r="J5074">
        <v>-422.21890000000002</v>
      </c>
      <c r="K5074">
        <v>1.109478</v>
      </c>
      <c r="L5074">
        <v>93.113309999999998</v>
      </c>
      <c r="M5074">
        <v>1.350109E-2</v>
      </c>
      <c r="N5074">
        <v>-9.7173750000000003E-3</v>
      </c>
      <c r="O5074">
        <v>-0.99986189999999997</v>
      </c>
      <c r="P5074">
        <v>4.6424180000000002E-2</v>
      </c>
      <c r="Q5074">
        <v>0.13616310000000001</v>
      </c>
      <c r="R5074">
        <v>-0.9895988</v>
      </c>
      <c r="S5074">
        <v>0.1116333</v>
      </c>
      <c r="T5074">
        <v>-0.1238109</v>
      </c>
      <c r="U5074">
        <v>-3.0428160000000002</v>
      </c>
      <c r="V5074">
        <v>-3.2974620000000003E-2</v>
      </c>
      <c r="W5074">
        <v>0.14579719999999999</v>
      </c>
      <c r="X5074">
        <v>0.9887648</v>
      </c>
      <c r="Y5074">
        <v>-2.314364E-2</v>
      </c>
      <c r="Z5074">
        <v>3.0922430000000001E-2</v>
      </c>
      <c r="AA5074">
        <v>0.99925379999999997</v>
      </c>
      <c r="AB5074">
        <v>26</v>
      </c>
      <c r="AC5074">
        <v>0.99729999999999497</v>
      </c>
      <c r="AD5074">
        <v>-1.1094811173129999</v>
      </c>
      <c r="AE5074">
        <v>-27.015329999999899</v>
      </c>
      <c r="AF5074">
        <v>-0.63139209190956802</v>
      </c>
      <c r="AG5074">
        <v>-1.1094811173129999</v>
      </c>
      <c r="AH5074">
        <v>26.9808879702904</v>
      </c>
      <c r="AI5074">
        <v>92.354089392144104</v>
      </c>
      <c r="AJ5074">
        <v>91.340560051569497</v>
      </c>
      <c r="AK5074">
        <v>27.0110703229021</v>
      </c>
      <c r="AL5074">
        <v>81.616553917592299</v>
      </c>
      <c r="AM5074">
        <v>91.910066590281005</v>
      </c>
      <c r="AN5074">
        <v>0.99999998940551205</v>
      </c>
    </row>
    <row r="5075" spans="1:40" x14ac:dyDescent="0.25">
      <c r="A5075" t="str">
        <f>"20190304155737194"</f>
        <v>20190304155737194</v>
      </c>
      <c r="B5075" t="str">
        <f>"1551686257190192"</f>
        <v>1551686257190192</v>
      </c>
      <c r="C5075" t="s">
        <v>40</v>
      </c>
      <c r="D5075">
        <v>4.7310980000000002</v>
      </c>
      <c r="E5075">
        <v>0.49959559999999997</v>
      </c>
      <c r="F5075" t="s">
        <v>41</v>
      </c>
      <c r="G5075">
        <v>-421.07589999999999</v>
      </c>
      <c r="H5075" s="1">
        <v>-2.7488459999999998E-6</v>
      </c>
      <c r="I5075">
        <v>65.329409999999996</v>
      </c>
      <c r="J5075">
        <v>-422.21660000000003</v>
      </c>
      <c r="K5075">
        <v>1.1094569999999999</v>
      </c>
      <c r="L5075">
        <v>92.924989999999994</v>
      </c>
      <c r="M5075">
        <v>1.3243889999999999E-2</v>
      </c>
      <c r="N5075">
        <v>-9.7026230000000005E-3</v>
      </c>
      <c r="O5075">
        <v>-0.99986529999999996</v>
      </c>
      <c r="P5075">
        <v>4.6694939999999997E-2</v>
      </c>
      <c r="Q5075">
        <v>0.1368704</v>
      </c>
      <c r="R5075">
        <v>-0.98948809999999998</v>
      </c>
      <c r="S5075">
        <v>0.1251526</v>
      </c>
      <c r="T5075">
        <v>-0.1214901</v>
      </c>
      <c r="U5075">
        <v>-3.042389</v>
      </c>
      <c r="V5075">
        <v>-3.349448E-2</v>
      </c>
      <c r="W5075">
        <v>0.1464906</v>
      </c>
      <c r="X5075">
        <v>0.98864479999999999</v>
      </c>
      <c r="Y5075">
        <v>-2.7839180000000002E-2</v>
      </c>
      <c r="Z5075">
        <v>3.0176720000000001E-2</v>
      </c>
      <c r="AA5075">
        <v>0.99915679999999996</v>
      </c>
      <c r="AB5075">
        <v>26</v>
      </c>
      <c r="AC5075">
        <v>1.14070000000003</v>
      </c>
      <c r="AD5075">
        <v>-1.1094597488459901</v>
      </c>
      <c r="AE5075">
        <v>-27.595580000000002</v>
      </c>
      <c r="AF5075">
        <v>-0.77386122365906795</v>
      </c>
      <c r="AG5075">
        <v>-1.1094597488459901</v>
      </c>
      <c r="AH5075">
        <v>27.563789920973299</v>
      </c>
      <c r="AI5075">
        <v>92.304039778226297</v>
      </c>
      <c r="AJ5075">
        <v>91.608172824956497</v>
      </c>
      <c r="AK5075">
        <v>27.596961371414501</v>
      </c>
      <c r="AL5075">
        <v>81.576393574022106</v>
      </c>
      <c r="AM5075">
        <v>91.940392142891696</v>
      </c>
      <c r="AN5075">
        <v>0.99999995832293398</v>
      </c>
    </row>
    <row r="5076" spans="1:40" x14ac:dyDescent="0.25">
      <c r="A5076" t="str">
        <f>"20190304155737210"</f>
        <v>20190304155737210</v>
      </c>
      <c r="B5076" t="str">
        <f>"1551686257199951"</f>
        <v>1551686257199951</v>
      </c>
      <c r="C5076" t="s">
        <v>40</v>
      </c>
      <c r="D5076">
        <v>4.7219720000000001</v>
      </c>
      <c r="E5076">
        <v>0.49899510000000002</v>
      </c>
      <c r="F5076" t="s">
        <v>41</v>
      </c>
      <c r="G5076">
        <v>-420.94990000000001</v>
      </c>
      <c r="H5076" s="1">
        <v>-2.1932640000000001E-6</v>
      </c>
      <c r="I5076">
        <v>64.112530000000007</v>
      </c>
      <c r="J5076">
        <v>-422.21420000000001</v>
      </c>
      <c r="K5076">
        <v>1.10944</v>
      </c>
      <c r="L5076">
        <v>92.730530000000002</v>
      </c>
      <c r="M5076">
        <v>1.29535E-2</v>
      </c>
      <c r="N5076">
        <v>-9.6886200000000002E-3</v>
      </c>
      <c r="O5076">
        <v>-0.99986940000000002</v>
      </c>
      <c r="P5076">
        <v>4.8187050000000002E-2</v>
      </c>
      <c r="Q5076">
        <v>0.13813629999999999</v>
      </c>
      <c r="R5076">
        <v>-0.98924049999999997</v>
      </c>
      <c r="S5076">
        <v>0.13372800000000001</v>
      </c>
      <c r="T5076">
        <v>-0.1171262</v>
      </c>
      <c r="U5076">
        <v>-3.0417480000000001</v>
      </c>
      <c r="V5076">
        <v>-3.5268359999999999E-2</v>
      </c>
      <c r="W5076">
        <v>0.14774289999999901</v>
      </c>
      <c r="X5076">
        <v>0.98839679999999996</v>
      </c>
      <c r="Y5076">
        <v>-3.0951090000000001E-2</v>
      </c>
      <c r="Z5076">
        <v>2.8764609999999999E-2</v>
      </c>
      <c r="AA5076">
        <v>0.99910690000000002</v>
      </c>
      <c r="AB5076">
        <v>26</v>
      </c>
      <c r="AC5076">
        <v>1.26429999999999</v>
      </c>
      <c r="AD5076">
        <v>-1.109442193264</v>
      </c>
      <c r="AE5076">
        <v>-28.617999999999899</v>
      </c>
      <c r="AF5076">
        <v>-0.89213516067565202</v>
      </c>
      <c r="AG5076">
        <v>-1.109442193264</v>
      </c>
      <c r="AH5076">
        <v>28.589093674237201</v>
      </c>
      <c r="AI5076">
        <v>92.221252445890499</v>
      </c>
      <c r="AJ5076">
        <v>91.787359822145902</v>
      </c>
      <c r="AK5076">
        <v>28.6245182359357</v>
      </c>
      <c r="AL5076">
        <v>81.503853350480497</v>
      </c>
      <c r="AM5076">
        <v>92.043583319663995</v>
      </c>
      <c r="AN5076">
        <v>1.0000000279838599</v>
      </c>
    </row>
    <row r="5077" spans="1:40" x14ac:dyDescent="0.25">
      <c r="A5077" t="str">
        <f>"20190304155737234"</f>
        <v>20190304155737234</v>
      </c>
      <c r="B5077" t="str">
        <f>"1551686257230208"</f>
        <v>1551686257230208</v>
      </c>
      <c r="C5077" t="s">
        <v>40</v>
      </c>
      <c r="D5077">
        <v>4.750508</v>
      </c>
      <c r="E5077">
        <v>0.49727579999999999</v>
      </c>
      <c r="F5077" t="s">
        <v>41</v>
      </c>
      <c r="G5077">
        <v>-420.81060000000002</v>
      </c>
      <c r="H5077" s="1">
        <v>-1.6589849999999999E-6</v>
      </c>
      <c r="I5077">
        <v>62.953499999999998</v>
      </c>
      <c r="J5077">
        <v>-422.21140000000003</v>
      </c>
      <c r="K5077">
        <v>1.10941</v>
      </c>
      <c r="L5077">
        <v>92.46942</v>
      </c>
      <c r="M5077">
        <v>1.2513969999999999E-2</v>
      </c>
      <c r="N5077">
        <v>-9.6721559999999995E-3</v>
      </c>
      <c r="O5077">
        <v>-0.99987519999999996</v>
      </c>
      <c r="P5077">
        <v>4.9060869999999999E-2</v>
      </c>
      <c r="Q5077">
        <v>0.13856479999999999</v>
      </c>
      <c r="R5077">
        <v>-0.98913779999999996</v>
      </c>
      <c r="S5077">
        <v>0.14337159999999999</v>
      </c>
      <c r="T5077">
        <v>-0.11332010000000001</v>
      </c>
      <c r="U5077">
        <v>-3.0414729999999999</v>
      </c>
      <c r="V5077">
        <v>-3.6565399999999998E-2</v>
      </c>
      <c r="W5077">
        <v>0.14815880000000001</v>
      </c>
      <c r="X5077">
        <v>0.98828740000000004</v>
      </c>
      <c r="Y5077">
        <v>-3.4556530000000002E-2</v>
      </c>
      <c r="Z5077">
        <v>2.7532009999999999E-2</v>
      </c>
      <c r="AA5077">
        <v>0.99902340000000001</v>
      </c>
      <c r="AB5077">
        <v>26</v>
      </c>
      <c r="AC5077">
        <v>1.4008</v>
      </c>
      <c r="AD5077">
        <v>-1.109411658985</v>
      </c>
      <c r="AE5077">
        <v>-29.515920000000001</v>
      </c>
      <c r="AF5077">
        <v>-1.02986010192916</v>
      </c>
      <c r="AG5077">
        <v>-1.109411658985</v>
      </c>
      <c r="AH5077">
        <v>29.489570509150202</v>
      </c>
      <c r="AI5077">
        <v>92.153167059037997</v>
      </c>
      <c r="AJ5077">
        <v>92.000119552964406</v>
      </c>
      <c r="AK5077">
        <v>29.5283960768745</v>
      </c>
      <c r="AL5077">
        <v>81.479758816105502</v>
      </c>
      <c r="AM5077">
        <v>92.118905803250399</v>
      </c>
      <c r="AN5077">
        <v>1.00000002174667</v>
      </c>
    </row>
    <row r="5078" spans="1:40" x14ac:dyDescent="0.25">
      <c r="A5078" t="str">
        <f>"20190304155737255"</f>
        <v>20190304155737255</v>
      </c>
      <c r="B5078" t="str">
        <f>"1551686257249727"</f>
        <v>1551686257249727</v>
      </c>
      <c r="C5078" t="s">
        <v>40</v>
      </c>
      <c r="D5078">
        <v>4.7526989999999998</v>
      </c>
      <c r="E5078">
        <v>0.49622949999999999</v>
      </c>
      <c r="F5078" t="s">
        <v>41</v>
      </c>
      <c r="G5078">
        <v>-420.62520000000001</v>
      </c>
      <c r="H5078" s="1">
        <v>-1.365472E-6</v>
      </c>
      <c r="I5078">
        <v>62.384250000000002</v>
      </c>
      <c r="J5078">
        <v>-422.20859999999999</v>
      </c>
      <c r="K5078">
        <v>1.10937</v>
      </c>
      <c r="L5078">
        <v>92.208070000000006</v>
      </c>
      <c r="M5078">
        <v>1.2023900000000001E-2</v>
      </c>
      <c r="N5078">
        <v>-9.6580069999999997E-3</v>
      </c>
      <c r="O5078">
        <v>-0.99988100000000002</v>
      </c>
      <c r="P5078">
        <v>4.977997E-2</v>
      </c>
      <c r="Q5078">
        <v>0.13859279999999999</v>
      </c>
      <c r="R5078">
        <v>-0.98909729999999996</v>
      </c>
      <c r="S5078">
        <v>0.1603088</v>
      </c>
      <c r="T5078">
        <v>-0.1121283</v>
      </c>
      <c r="U5078">
        <v>-3.0407099999999998</v>
      </c>
      <c r="V5078">
        <v>-3.7756600000000001E-2</v>
      </c>
      <c r="W5078">
        <v>0.14817669999999999</v>
      </c>
      <c r="X5078">
        <v>0.98823989999999995</v>
      </c>
      <c r="Y5078">
        <v>-4.0607619999999997E-2</v>
      </c>
      <c r="Z5078">
        <v>2.7155800000000001E-2</v>
      </c>
      <c r="AA5078">
        <v>0.99880610000000003</v>
      </c>
      <c r="AB5078">
        <v>26</v>
      </c>
      <c r="AC5078">
        <v>1.5833999999999799</v>
      </c>
      <c r="AD5078">
        <v>-1.1093713654720001</v>
      </c>
      <c r="AE5078">
        <v>-29.823819999999898</v>
      </c>
      <c r="AF5078">
        <v>-1.2229827187036599</v>
      </c>
      <c r="AG5078">
        <v>-1.1093713654720001</v>
      </c>
      <c r="AH5078">
        <v>29.799586967966601</v>
      </c>
      <c r="AI5078">
        <v>92.130216443188999</v>
      </c>
      <c r="AJ5078">
        <v>92.350114694704402</v>
      </c>
      <c r="AK5078">
        <v>29.845297368566801</v>
      </c>
      <c r="AL5078">
        <v>81.478721567855899</v>
      </c>
      <c r="AM5078">
        <v>92.187972950038997</v>
      </c>
      <c r="AN5078">
        <v>0.99999999760922897</v>
      </c>
    </row>
    <row r="5079" spans="1:40" x14ac:dyDescent="0.25">
      <c r="A5079" t="str">
        <f>"20190304155737278"</f>
        <v>20190304155737278</v>
      </c>
      <c r="B5079" t="str">
        <f>"1551686257270223"</f>
        <v>1551686257270223</v>
      </c>
      <c r="C5079" t="s">
        <v>40</v>
      </c>
      <c r="D5079">
        <v>4.7604879999999996</v>
      </c>
      <c r="E5079">
        <v>0.49531199999999997</v>
      </c>
      <c r="F5079" t="s">
        <v>41</v>
      </c>
      <c r="G5079">
        <v>-420.49849999999998</v>
      </c>
      <c r="H5079" s="1">
        <v>-1.1242289999999999E-6</v>
      </c>
      <c r="I5079">
        <v>61.900550000000003</v>
      </c>
      <c r="J5079">
        <v>-422.20609999999999</v>
      </c>
      <c r="K5079">
        <v>1.1093249999999999</v>
      </c>
      <c r="L5079">
        <v>91.946079999999995</v>
      </c>
      <c r="M5079">
        <v>1.148473E-2</v>
      </c>
      <c r="N5079">
        <v>-9.6459879999999994E-3</v>
      </c>
      <c r="O5079">
        <v>-0.99988750000000004</v>
      </c>
      <c r="P5079">
        <v>5.0225289999999999E-2</v>
      </c>
      <c r="Q5079">
        <v>0.13832649999999999</v>
      </c>
      <c r="R5079">
        <v>-0.9891124</v>
      </c>
      <c r="S5079">
        <v>0.17153929999999901</v>
      </c>
      <c r="T5079">
        <v>-0.111277</v>
      </c>
      <c r="U5079">
        <v>-3.0400390000000002</v>
      </c>
      <c r="V5079">
        <v>-3.8722319999999998E-2</v>
      </c>
      <c r="W5079">
        <v>0.1479027</v>
      </c>
      <c r="X5079">
        <v>0.9882436</v>
      </c>
      <c r="Y5079">
        <v>-4.4835960000000001E-2</v>
      </c>
      <c r="Z5079">
        <v>2.689016E-2</v>
      </c>
      <c r="AA5079">
        <v>0.99863239999999998</v>
      </c>
      <c r="AB5079">
        <v>26</v>
      </c>
      <c r="AC5079">
        <v>1.70760000000001</v>
      </c>
      <c r="AD5079">
        <v>-1.10932612422899</v>
      </c>
      <c r="AE5079">
        <v>-30.045529999999999</v>
      </c>
      <c r="AF5079">
        <v>-1.3605577715563699</v>
      </c>
      <c r="AG5079">
        <v>-1.10932612422899</v>
      </c>
      <c r="AH5079">
        <v>30.022365859221299</v>
      </c>
      <c r="AI5079">
        <v>92.113948137723398</v>
      </c>
      <c r="AJ5079">
        <v>92.594762797343407</v>
      </c>
      <c r="AK5079">
        <v>30.073645832931199</v>
      </c>
      <c r="AL5079">
        <v>81.494595710419802</v>
      </c>
      <c r="AM5079">
        <v>92.243870976064002</v>
      </c>
      <c r="AN5079">
        <v>1.0000000198372101</v>
      </c>
    </row>
    <row r="5080" spans="1:40" x14ac:dyDescent="0.25">
      <c r="A5080" t="str">
        <f>"20190304155737301"</f>
        <v>20190304155737301</v>
      </c>
      <c r="B5080" t="str">
        <f>"1551686257289743"</f>
        <v>1551686257289743</v>
      </c>
      <c r="C5080" t="s">
        <v>40</v>
      </c>
      <c r="D5080">
        <v>4.7541039999999999</v>
      </c>
      <c r="E5080">
        <v>0.49492550000000002</v>
      </c>
      <c r="F5080" t="s">
        <v>41</v>
      </c>
      <c r="G5080">
        <v>-420.42219999999998</v>
      </c>
      <c r="H5080" s="1">
        <v>-1.098749E-6</v>
      </c>
      <c r="I5080">
        <v>61.888449999999999</v>
      </c>
      <c r="J5080">
        <v>-422.20359999999999</v>
      </c>
      <c r="K5080">
        <v>1.1092879999999901</v>
      </c>
      <c r="L5080">
        <v>91.684200000000004</v>
      </c>
      <c r="M5080">
        <v>1.089909E-2</v>
      </c>
      <c r="N5080">
        <v>-9.6359210000000004E-3</v>
      </c>
      <c r="O5080">
        <v>-0.99989450000000002</v>
      </c>
      <c r="P5080">
        <v>5.039304E-2</v>
      </c>
      <c r="Q5080">
        <v>0.1382874</v>
      </c>
      <c r="R5080">
        <v>-0.98910980000000004</v>
      </c>
      <c r="S5080">
        <v>0.18038940000000001</v>
      </c>
      <c r="T5080">
        <v>-0.1121796</v>
      </c>
      <c r="U5080">
        <v>-3.0395509999999999</v>
      </c>
      <c r="V5080">
        <v>-3.9457699999999998E-2</v>
      </c>
      <c r="W5080">
        <v>0.1478575</v>
      </c>
      <c r="X5080">
        <v>0.98822129999999997</v>
      </c>
      <c r="Y5080">
        <v>-4.8326460000000002E-2</v>
      </c>
      <c r="Z5080">
        <v>2.7196390000000001E-2</v>
      </c>
      <c r="AA5080">
        <v>0.99846120000000005</v>
      </c>
      <c r="AB5080">
        <v>26</v>
      </c>
      <c r="AC5080">
        <v>1.7814000000000101</v>
      </c>
      <c r="AD5080">
        <v>-1.1092890987489901</v>
      </c>
      <c r="AE5080">
        <v>-29.795750000000002</v>
      </c>
      <c r="AF5080">
        <v>-1.45452377715409</v>
      </c>
      <c r="AG5080">
        <v>-1.1092890987489901</v>
      </c>
      <c r="AH5080">
        <v>29.7722775265362</v>
      </c>
      <c r="AI5080">
        <v>92.1312641394709</v>
      </c>
      <c r="AJ5080">
        <v>92.796959834482806</v>
      </c>
      <c r="AK5080">
        <v>29.8284205220458</v>
      </c>
      <c r="AL5080">
        <v>81.497214477584507</v>
      </c>
      <c r="AM5080">
        <v>92.286491320763901</v>
      </c>
      <c r="AN5080">
        <v>1.00000004408461</v>
      </c>
    </row>
    <row r="5081" spans="1:40" x14ac:dyDescent="0.25">
      <c r="A5081" t="str">
        <f>"20190304155737323"</f>
        <v>20190304155737323</v>
      </c>
      <c r="B5081" t="str">
        <f>"1551686257320000"</f>
        <v>1551686257320000</v>
      </c>
      <c r="C5081" t="s">
        <v>40</v>
      </c>
      <c r="D5081">
        <v>4.8700979999999996</v>
      </c>
      <c r="E5081">
        <v>0.49420900000000001</v>
      </c>
      <c r="F5081" t="s">
        <v>41</v>
      </c>
      <c r="G5081">
        <v>-420.35469999999998</v>
      </c>
      <c r="H5081" s="1">
        <v>-8.2641990000000002E-7</v>
      </c>
      <c r="I5081">
        <v>61.29551</v>
      </c>
      <c r="J5081">
        <v>-422.20139999999998</v>
      </c>
      <c r="K5081">
        <v>1.1092550000000001</v>
      </c>
      <c r="L5081">
        <v>91.422300000000007</v>
      </c>
      <c r="M5081">
        <v>1.027206E-2</v>
      </c>
      <c r="N5081">
        <v>-9.6276020000000007E-3</v>
      </c>
      <c r="O5081">
        <v>-0.99990100000000004</v>
      </c>
      <c r="P5081">
        <v>5.0405209999999999E-2</v>
      </c>
      <c r="Q5081">
        <v>0.1388363</v>
      </c>
      <c r="R5081">
        <v>-0.98903169999999996</v>
      </c>
      <c r="S5081">
        <v>0.18490599999999999</v>
      </c>
      <c r="T5081">
        <v>-0.1109382</v>
      </c>
      <c r="U5081">
        <v>-3.0391240000000002</v>
      </c>
      <c r="V5081">
        <v>-4.0079700000000003E-2</v>
      </c>
      <c r="W5081">
        <v>0.1484007</v>
      </c>
      <c r="X5081">
        <v>0.98811479999999996</v>
      </c>
      <c r="Y5081">
        <v>-5.0439829999999998E-2</v>
      </c>
      <c r="Z5081">
        <v>2.6799440000000001E-2</v>
      </c>
      <c r="AA5081">
        <v>0.99836749999999996</v>
      </c>
      <c r="AB5081">
        <v>26</v>
      </c>
      <c r="AC5081">
        <v>1.84669999999999</v>
      </c>
      <c r="AD5081">
        <v>-1.1092558264198999</v>
      </c>
      <c r="AE5081">
        <v>-30.12679</v>
      </c>
      <c r="AF5081">
        <v>-1.5350508064323301</v>
      </c>
      <c r="AG5081">
        <v>-1.1092558264198999</v>
      </c>
      <c r="AH5081">
        <v>30.103512672652698</v>
      </c>
      <c r="AI5081">
        <v>92.107547361582206</v>
      </c>
      <c r="AJ5081">
        <v>92.919121783851395</v>
      </c>
      <c r="AK5081">
        <v>30.163028771980699</v>
      </c>
      <c r="AL5081">
        <v>81.465743888172199</v>
      </c>
      <c r="AM5081">
        <v>92.322745805173298</v>
      </c>
      <c r="AN5081">
        <v>1.0000000040458099</v>
      </c>
    </row>
    <row r="5082" spans="1:40" x14ac:dyDescent="0.25">
      <c r="A5082" t="str">
        <f>"20190304155737344"</f>
        <v>20190304155737344</v>
      </c>
      <c r="B5082" t="str">
        <f>"1551686257339519"</f>
        <v>1551686257339519</v>
      </c>
      <c r="C5082" t="s">
        <v>40</v>
      </c>
      <c r="D5082">
        <v>4.7111260000000001</v>
      </c>
      <c r="E5082">
        <v>0.49385829999999997</v>
      </c>
      <c r="F5082" t="s">
        <v>41</v>
      </c>
      <c r="G5082">
        <v>-420.25349999999997</v>
      </c>
      <c r="H5082" s="1">
        <v>-3.9317239999999999E-7</v>
      </c>
      <c r="I5082">
        <v>60.348370000000003</v>
      </c>
      <c r="J5082">
        <v>-422.1995</v>
      </c>
      <c r="K5082">
        <v>1.1092310000000001</v>
      </c>
      <c r="L5082">
        <v>91.168149999999997</v>
      </c>
      <c r="M5082">
        <v>9.6310409999999999E-3</v>
      </c>
      <c r="N5082">
        <v>-9.6210189999999998E-3</v>
      </c>
      <c r="O5082">
        <v>-0.99990749999999995</v>
      </c>
      <c r="P5082">
        <v>4.9849730000000002E-2</v>
      </c>
      <c r="Q5082">
        <v>0.13886579999999901</v>
      </c>
      <c r="R5082">
        <v>-0.98905589999999999</v>
      </c>
      <c r="S5082">
        <v>0.19049070000000001</v>
      </c>
      <c r="T5082">
        <v>-0.1084765</v>
      </c>
      <c r="U5082">
        <v>-3.0387879999999998</v>
      </c>
      <c r="V5082">
        <v>-4.014976E-2</v>
      </c>
      <c r="W5082">
        <v>0.14842569999999999</v>
      </c>
      <c r="X5082">
        <v>0.98810819999999999</v>
      </c>
      <c r="Y5082">
        <v>-5.2915459999999997E-2</v>
      </c>
      <c r="Z5082">
        <v>2.599856E-2</v>
      </c>
      <c r="AA5082">
        <v>0.9982605</v>
      </c>
      <c r="AB5082">
        <v>26</v>
      </c>
      <c r="AC5082">
        <v>1.9460000000000199</v>
      </c>
      <c r="AD5082">
        <v>-1.1092313931723901</v>
      </c>
      <c r="AE5082">
        <v>-30.819779999999898</v>
      </c>
      <c r="AF5082">
        <v>-1.6469445936761899</v>
      </c>
      <c r="AG5082">
        <v>-1.1092313931723901</v>
      </c>
      <c r="AH5082">
        <v>30.7973585616263</v>
      </c>
      <c r="AI5082">
        <v>92.059795274813197</v>
      </c>
      <c r="AJ5082">
        <v>93.061079930969001</v>
      </c>
      <c r="AK5082">
        <v>30.861304495299802</v>
      </c>
      <c r="AL5082">
        <v>81.464295446300497</v>
      </c>
      <c r="AM5082">
        <v>92.326817070434998</v>
      </c>
      <c r="AN5082">
        <v>1.00000000327789</v>
      </c>
    </row>
    <row r="5083" spans="1:40" x14ac:dyDescent="0.25">
      <c r="A5083" t="str">
        <f>"20190304155737366"</f>
        <v>20190304155737366</v>
      </c>
      <c r="B5083" t="str">
        <f>"1551686257360019"</f>
        <v>1551686257360019</v>
      </c>
      <c r="C5083" t="s">
        <v>40</v>
      </c>
      <c r="D5083">
        <v>4.7248169999999998</v>
      </c>
      <c r="E5083">
        <v>0.49352649999999998</v>
      </c>
      <c r="F5083" t="s">
        <v>41</v>
      </c>
      <c r="G5083">
        <v>-420.23360000000002</v>
      </c>
      <c r="H5083" s="1">
        <v>-2.2245229999999999E-7</v>
      </c>
      <c r="I5083">
        <v>59.962780000000002</v>
      </c>
      <c r="J5083">
        <v>-422.19779999999997</v>
      </c>
      <c r="K5083">
        <v>1.1092089999999999</v>
      </c>
      <c r="L5083">
        <v>90.910830000000004</v>
      </c>
      <c r="M5083">
        <v>8.9577049999999998E-3</v>
      </c>
      <c r="N5083">
        <v>-9.6157099999999995E-3</v>
      </c>
      <c r="O5083">
        <v>-0.99991379999999996</v>
      </c>
      <c r="P5083">
        <v>4.9181830000000003E-2</v>
      </c>
      <c r="Q5083">
        <v>0.13908429999999999</v>
      </c>
      <c r="R5083">
        <v>-0.98905860000000001</v>
      </c>
      <c r="S5083">
        <v>0.19143679999999999</v>
      </c>
      <c r="T5083">
        <v>-0.108014</v>
      </c>
      <c r="U5083">
        <v>-3.0386959999999998</v>
      </c>
      <c r="V5083">
        <v>-4.0140910000000002E-2</v>
      </c>
      <c r="W5083">
        <v>0.14864069999999999</v>
      </c>
      <c r="X5083">
        <v>0.98807619999999896</v>
      </c>
      <c r="Y5083">
        <v>-5.38994E-2</v>
      </c>
      <c r="Z5083">
        <v>2.5852090000000001E-2</v>
      </c>
      <c r="AA5083">
        <v>0.99821170000000004</v>
      </c>
      <c r="AB5083">
        <v>26</v>
      </c>
      <c r="AC5083">
        <v>1.96419999999994</v>
      </c>
      <c r="AD5083">
        <v>-1.1092092224523</v>
      </c>
      <c r="AE5083">
        <v>-30.948049999999999</v>
      </c>
      <c r="AF5083">
        <v>-1.6847294273239299</v>
      </c>
      <c r="AG5083">
        <v>-1.1092092224523</v>
      </c>
      <c r="AH5083">
        <v>30.924837774138201</v>
      </c>
      <c r="AI5083">
        <v>92.051160177554294</v>
      </c>
      <c r="AJ5083">
        <v>93.118288347989605</v>
      </c>
      <c r="AK5083">
        <v>30.990550974437902</v>
      </c>
      <c r="AL5083">
        <v>81.4518383349902</v>
      </c>
      <c r="AM5083">
        <v>92.326380003266493</v>
      </c>
      <c r="AN5083">
        <v>0.99999996367927801</v>
      </c>
    </row>
    <row r="5084" spans="1:40" x14ac:dyDescent="0.25">
      <c r="A5084" t="str">
        <f>"20190304155737389"</f>
        <v>20190304155737389</v>
      </c>
      <c r="B5084" t="str">
        <f>"1551686257379536"</f>
        <v>1551686257379536</v>
      </c>
      <c r="C5084" t="s">
        <v>40</v>
      </c>
      <c r="D5084">
        <v>4.7625710000000003</v>
      </c>
      <c r="E5084">
        <v>0.49314789999999997</v>
      </c>
      <c r="F5084" t="s">
        <v>41</v>
      </c>
      <c r="G5084">
        <v>-420.20920000000001</v>
      </c>
      <c r="H5084" s="1">
        <v>-4.279177E-6</v>
      </c>
      <c r="I5084">
        <v>59.452269999999999</v>
      </c>
      <c r="J5084">
        <v>-422.1961</v>
      </c>
      <c r="K5084">
        <v>1.1091930000000001</v>
      </c>
      <c r="L5084">
        <v>90.647189999999995</v>
      </c>
      <c r="M5084">
        <v>8.251853E-3</v>
      </c>
      <c r="N5084">
        <v>-9.6068309999999997E-3</v>
      </c>
      <c r="O5084">
        <v>-0.99991980000000003</v>
      </c>
      <c r="P5084">
        <v>4.8198209999999998E-2</v>
      </c>
      <c r="Q5084">
        <v>0.13916429999999999</v>
      </c>
      <c r="R5084">
        <v>-0.98909550000000002</v>
      </c>
      <c r="S5084">
        <v>0.19207759999999999</v>
      </c>
      <c r="T5084">
        <v>-0.1071429</v>
      </c>
      <c r="U5084">
        <v>-3.0386959999999998</v>
      </c>
      <c r="V5084">
        <v>-3.985023E-2</v>
      </c>
      <c r="W5084">
        <v>0.14871289999999901</v>
      </c>
      <c r="X5084">
        <v>0.98807719999999999</v>
      </c>
      <c r="Y5084">
        <v>-5.481428E-2</v>
      </c>
      <c r="Z5084">
        <v>2.557427E-2</v>
      </c>
      <c r="AA5084">
        <v>0.99816899999999997</v>
      </c>
      <c r="AB5084">
        <v>26</v>
      </c>
      <c r="AC5084">
        <v>1.9868999999999899</v>
      </c>
      <c r="AD5084">
        <v>-1.109197279177</v>
      </c>
      <c r="AE5084">
        <v>-31.19492</v>
      </c>
      <c r="AF5084">
        <v>-1.72722965896173</v>
      </c>
      <c r="AG5084">
        <v>-1.109197279177</v>
      </c>
      <c r="AH5084">
        <v>31.1710039257697</v>
      </c>
      <c r="AI5084">
        <v>92.034849431511105</v>
      </c>
      <c r="AJ5084">
        <v>93.171597231247404</v>
      </c>
      <c r="AK5084">
        <v>31.238519917551798</v>
      </c>
      <c r="AL5084">
        <v>81.447655918869302</v>
      </c>
      <c r="AM5084">
        <v>92.309549519754299</v>
      </c>
      <c r="AN5084">
        <v>1.0000000603086401</v>
      </c>
    </row>
    <row r="5085" spans="1:40" x14ac:dyDescent="0.25">
      <c r="A5085" t="str">
        <f>"20190304155737412"</f>
        <v>20190304155737412</v>
      </c>
      <c r="B5085" t="str">
        <f>"1551686257400032"</f>
        <v>1551686257400032</v>
      </c>
      <c r="C5085" t="s">
        <v>40</v>
      </c>
      <c r="D5085">
        <v>4.7568910000000004</v>
      </c>
      <c r="E5085">
        <v>0.49286419999999997</v>
      </c>
      <c r="F5085" t="s">
        <v>41</v>
      </c>
      <c r="G5085">
        <v>-420.20260000000002</v>
      </c>
      <c r="H5085" s="1">
        <v>-4.168118E-6</v>
      </c>
      <c r="I5085">
        <v>59.179419999999901</v>
      </c>
      <c r="J5085">
        <v>-422.19459999999998</v>
      </c>
      <c r="K5085">
        <v>1.109186</v>
      </c>
      <c r="L5085">
        <v>90.381129999999999</v>
      </c>
      <c r="M5085">
        <v>7.5313949999999998E-3</v>
      </c>
      <c r="N5085">
        <v>-9.5941470000000008E-3</v>
      </c>
      <c r="O5085">
        <v>-0.99992570000000003</v>
      </c>
      <c r="P5085">
        <v>4.7186190000000003E-2</v>
      </c>
      <c r="Q5085">
        <v>0.13956589999999999</v>
      </c>
      <c r="R5085">
        <v>-0.98908790000000002</v>
      </c>
      <c r="S5085">
        <v>0.19250490000000001</v>
      </c>
      <c r="T5085">
        <v>-0.1071122</v>
      </c>
      <c r="U5085">
        <v>-3.0387569999999999</v>
      </c>
      <c r="V5085">
        <v>-3.9547300000000001E-2</v>
      </c>
      <c r="W5085">
        <v>0.14910190000000001</v>
      </c>
      <c r="X5085">
        <v>0.98803070000000004</v>
      </c>
      <c r="Y5085">
        <v>-5.5672039999999999E-2</v>
      </c>
      <c r="Z5085">
        <v>2.5575250000000001E-2</v>
      </c>
      <c r="AA5085">
        <v>0.99812149999999999</v>
      </c>
      <c r="AB5085">
        <v>26</v>
      </c>
      <c r="AC5085">
        <v>1.99199999999996</v>
      </c>
      <c r="AD5085">
        <v>-1.1091901681180001</v>
      </c>
      <c r="AE5085">
        <v>-31.201709999999999</v>
      </c>
      <c r="AF5085">
        <v>-1.75473179053049</v>
      </c>
      <c r="AG5085">
        <v>-1.1091901681180001</v>
      </c>
      <c r="AH5085">
        <v>31.176589281281402</v>
      </c>
      <c r="AI5085">
        <v>92.034373450419295</v>
      </c>
      <c r="AJ5085">
        <v>93.221415992986607</v>
      </c>
      <c r="AK5085">
        <v>31.245625384995201</v>
      </c>
      <c r="AL5085">
        <v>81.425116181065903</v>
      </c>
      <c r="AM5085">
        <v>92.292119537945197</v>
      </c>
      <c r="AN5085">
        <v>1.0000000148316901</v>
      </c>
    </row>
    <row r="5086" spans="1:40" x14ac:dyDescent="0.25">
      <c r="A5086" t="str">
        <f>"20190304155737434"</f>
        <v>20190304155737434</v>
      </c>
      <c r="B5086" t="str">
        <f>"1551686257430288"</f>
        <v>1551686257430288</v>
      </c>
      <c r="C5086" t="s">
        <v>40</v>
      </c>
      <c r="D5086">
        <v>4.7304740000000001</v>
      </c>
      <c r="E5086">
        <v>0.49251650000000002</v>
      </c>
      <c r="F5086" t="s">
        <v>41</v>
      </c>
      <c r="G5086">
        <v>-420.1875</v>
      </c>
      <c r="H5086" s="1">
        <v>-3.8768059999999996E-6</v>
      </c>
      <c r="I5086">
        <v>58.509720000000002</v>
      </c>
      <c r="J5086">
        <v>-422.19349999999997</v>
      </c>
      <c r="K5086">
        <v>1.1091799999999901</v>
      </c>
      <c r="L5086">
        <v>90.124790000000004</v>
      </c>
      <c r="M5086">
        <v>6.8345659999999898E-3</v>
      </c>
      <c r="N5086">
        <v>-9.5823939999999993E-3</v>
      </c>
      <c r="O5086">
        <v>-0.99993069999999895</v>
      </c>
      <c r="P5086">
        <v>4.5956240000000002E-2</v>
      </c>
      <c r="Q5086">
        <v>0.13994709999999999</v>
      </c>
      <c r="R5086">
        <v>-0.98909210000000003</v>
      </c>
      <c r="S5086">
        <v>0.19137570000000001</v>
      </c>
      <c r="T5086">
        <v>-0.105760199999999</v>
      </c>
      <c r="U5086">
        <v>-3.03891</v>
      </c>
      <c r="V5086">
        <v>-3.900518E-2</v>
      </c>
      <c r="W5086">
        <v>0.1494711</v>
      </c>
      <c r="X5086">
        <v>0.98799650000000006</v>
      </c>
      <c r="Y5086">
        <v>-5.5996039999999997E-2</v>
      </c>
      <c r="Z5086">
        <v>2.5141980000000001E-2</v>
      </c>
      <c r="AA5086">
        <v>0.99811439999999996</v>
      </c>
      <c r="AB5086">
        <v>26</v>
      </c>
      <c r="AC5086">
        <v>2.00599999999997</v>
      </c>
      <c r="AD5086">
        <v>-1.1091838768059901</v>
      </c>
      <c r="AE5086">
        <v>-31.615069999999999</v>
      </c>
      <c r="AF5086">
        <v>-1.78767632634411</v>
      </c>
      <c r="AG5086">
        <v>-1.1091838768059901</v>
      </c>
      <c r="AH5086">
        <v>31.589315284700799</v>
      </c>
      <c r="AI5086">
        <v>92.007769424986407</v>
      </c>
      <c r="AJ5086">
        <v>93.238980496591395</v>
      </c>
      <c r="AK5086">
        <v>31.659294301619699</v>
      </c>
      <c r="AL5086">
        <v>81.403723140516803</v>
      </c>
      <c r="AM5086">
        <v>92.260809841269406</v>
      </c>
      <c r="AN5086">
        <v>1.0000000489071399</v>
      </c>
    </row>
    <row r="5087" spans="1:40" x14ac:dyDescent="0.25">
      <c r="A5087" t="str">
        <f>"20190304155737456"</f>
        <v>20190304155737456</v>
      </c>
      <c r="B5087" t="str">
        <f>"1551686257449807"</f>
        <v>1551686257449807</v>
      </c>
      <c r="C5087" t="s">
        <v>40</v>
      </c>
      <c r="D5087">
        <v>4.7198370000000001</v>
      </c>
      <c r="E5087">
        <v>0.49229089999999998</v>
      </c>
      <c r="F5087" t="s">
        <v>41</v>
      </c>
      <c r="G5087">
        <v>-420.17320000000001</v>
      </c>
      <c r="H5087" s="1">
        <v>-3.6013390000000002E-6</v>
      </c>
      <c r="I5087">
        <v>57.8765199999999</v>
      </c>
      <c r="J5087">
        <v>-422.19240000000002</v>
      </c>
      <c r="K5087">
        <v>1.109183</v>
      </c>
      <c r="L5087">
        <v>89.858059999999995</v>
      </c>
      <c r="M5087">
        <v>6.1109900000000002E-3</v>
      </c>
      <c r="N5087">
        <v>-9.5720630000000004E-3</v>
      </c>
      <c r="O5087">
        <v>-0.99993569999999998</v>
      </c>
      <c r="P5087">
        <v>4.4916530000000003E-2</v>
      </c>
      <c r="Q5087">
        <v>0.14014939999999901</v>
      </c>
      <c r="R5087">
        <v>-0.98911130000000003</v>
      </c>
      <c r="S5087">
        <v>0.19039919999999999</v>
      </c>
      <c r="T5087">
        <v>-0.104528</v>
      </c>
      <c r="U5087">
        <v>-3.0390320000000002</v>
      </c>
      <c r="V5087">
        <v>-3.8680390000000002E-2</v>
      </c>
      <c r="W5087">
        <v>0.1496625</v>
      </c>
      <c r="X5087">
        <v>0.98798019999999998</v>
      </c>
      <c r="Y5087">
        <v>-5.639719E-2</v>
      </c>
      <c r="Z5087">
        <v>2.4746750000000001E-2</v>
      </c>
      <c r="AA5087">
        <v>0.99810169999999998</v>
      </c>
      <c r="AB5087">
        <v>26</v>
      </c>
      <c r="AC5087">
        <v>2.0192000000000099</v>
      </c>
      <c r="AD5087">
        <v>-1.1091866013389999</v>
      </c>
      <c r="AE5087">
        <v>-31.981539999999999</v>
      </c>
      <c r="AF5087">
        <v>-1.82153217891373</v>
      </c>
      <c r="AG5087">
        <v>-1.1091866013389999</v>
      </c>
      <c r="AH5087">
        <v>31.954998278677099</v>
      </c>
      <c r="AI5087">
        <v>91.984770250806505</v>
      </c>
      <c r="AJ5087">
        <v>93.262503239656994</v>
      </c>
      <c r="AK5087">
        <v>32.026086076598098</v>
      </c>
      <c r="AL5087">
        <v>81.392631165738294</v>
      </c>
      <c r="AM5087">
        <v>92.242040676181404</v>
      </c>
      <c r="AN5087">
        <v>0.99999995603442005</v>
      </c>
    </row>
    <row r="5088" spans="1:40" x14ac:dyDescent="0.25">
      <c r="A5088" t="str">
        <f>"20190304155737480"</f>
        <v>20190304155737480</v>
      </c>
      <c r="B5088" t="str">
        <f>"1551686257470303"</f>
        <v>1551686257470303</v>
      </c>
      <c r="C5088" t="s">
        <v>40</v>
      </c>
      <c r="D5088">
        <v>4.7147949999999996</v>
      </c>
      <c r="E5088">
        <v>0.49189889999999997</v>
      </c>
      <c r="F5088" t="s">
        <v>41</v>
      </c>
      <c r="G5088">
        <v>-420.17939999999999</v>
      </c>
      <c r="H5088" s="1">
        <v>-3.424376E-6</v>
      </c>
      <c r="I5088">
        <v>57.460149999999999</v>
      </c>
      <c r="J5088">
        <v>-422.19159999999999</v>
      </c>
      <c r="K5088">
        <v>1.109181</v>
      </c>
      <c r="L5088">
        <v>89.590119999999999</v>
      </c>
      <c r="M5088">
        <v>5.3871730000000003E-3</v>
      </c>
      <c r="N5088">
        <v>-9.5629719999999994E-3</v>
      </c>
      <c r="O5088">
        <v>-0.99993980000000005</v>
      </c>
      <c r="P5088">
        <v>4.4470009999999997E-2</v>
      </c>
      <c r="Q5088">
        <v>0.1403895</v>
      </c>
      <c r="R5088">
        <v>-0.98909749999999996</v>
      </c>
      <c r="S5088">
        <v>0.18884280000000001</v>
      </c>
      <c r="T5088">
        <v>-0.10405159999999999</v>
      </c>
      <c r="U5088">
        <v>-3.039215</v>
      </c>
      <c r="V5088">
        <v>-3.894943E-2</v>
      </c>
      <c r="W5088">
        <v>0.14989350000000001</v>
      </c>
      <c r="X5088">
        <v>0.9879346</v>
      </c>
      <c r="Y5088">
        <v>-5.6607230000000001E-2</v>
      </c>
      <c r="Z5088">
        <v>2.4597870000000001E-2</v>
      </c>
      <c r="AA5088">
        <v>0.99809349999999997</v>
      </c>
      <c r="AB5088">
        <v>26</v>
      </c>
      <c r="AC5088">
        <v>2.0122</v>
      </c>
      <c r="AD5088">
        <v>-1.1091844243760001</v>
      </c>
      <c r="AE5088">
        <v>-32.12997</v>
      </c>
      <c r="AF5088">
        <v>-1.83689261004981</v>
      </c>
      <c r="AG5088">
        <v>-1.1091844243760001</v>
      </c>
      <c r="AH5088">
        <v>32.102235761834798</v>
      </c>
      <c r="AI5088">
        <v>91.975646032263896</v>
      </c>
      <c r="AJ5088">
        <v>93.274898245600497</v>
      </c>
      <c r="AK5088">
        <v>32.173871471375001</v>
      </c>
      <c r="AL5088">
        <v>81.379244756162507</v>
      </c>
      <c r="AM5088">
        <v>92.257723122277795</v>
      </c>
      <c r="AN5088">
        <v>0.999999946658366</v>
      </c>
    </row>
    <row r="5089" spans="1:40" x14ac:dyDescent="0.25">
      <c r="A5089" t="str">
        <f>"20190304155737502"</f>
        <v>20190304155737502</v>
      </c>
      <c r="B5089" t="str">
        <f>"1551686257489824"</f>
        <v>1551686257489824</v>
      </c>
      <c r="C5089" t="s">
        <v>40</v>
      </c>
      <c r="D5089">
        <v>4.5614109999999997</v>
      </c>
      <c r="E5089">
        <v>0.4916258</v>
      </c>
      <c r="F5089" t="s">
        <v>41</v>
      </c>
      <c r="G5089">
        <v>-420.16609999999997</v>
      </c>
      <c r="H5089" s="1">
        <v>-3.3183839999999998E-6</v>
      </c>
      <c r="I5089">
        <v>57.221310000000003</v>
      </c>
      <c r="J5089">
        <v>-422.19099999999997</v>
      </c>
      <c r="K5089">
        <v>1.109183</v>
      </c>
      <c r="L5089">
        <v>89.321010000000001</v>
      </c>
      <c r="M5089">
        <v>4.6639130000000004E-3</v>
      </c>
      <c r="N5089">
        <v>-9.5547800000000006E-3</v>
      </c>
      <c r="O5089">
        <v>-0.99994360000000004</v>
      </c>
      <c r="P5089">
        <v>4.3515659999999998E-2</v>
      </c>
      <c r="Q5089">
        <v>0.1408285</v>
      </c>
      <c r="R5089">
        <v>-0.98907750000000005</v>
      </c>
      <c r="S5089">
        <v>0.19018550000000001</v>
      </c>
      <c r="T5089">
        <v>-0.10414809999999999</v>
      </c>
      <c r="U5089">
        <v>-3.039307</v>
      </c>
      <c r="V5089">
        <v>-3.8710849999999998E-2</v>
      </c>
      <c r="W5089">
        <v>0.15032390000000001</v>
      </c>
      <c r="X5089">
        <v>0.98787860000000005</v>
      </c>
      <c r="Y5089">
        <v>-5.7766440000000002E-2</v>
      </c>
      <c r="Z5089">
        <v>2.463508E-2</v>
      </c>
      <c r="AA5089">
        <v>0.99802610000000003</v>
      </c>
      <c r="AB5089">
        <v>26</v>
      </c>
      <c r="AC5089">
        <v>2.0249000000000001</v>
      </c>
      <c r="AD5089">
        <v>-1.1091863183840001</v>
      </c>
      <c r="AE5089">
        <v>-32.099699999999999</v>
      </c>
      <c r="AF5089">
        <v>-1.87293351811798</v>
      </c>
      <c r="AG5089">
        <v>-1.1091863183840001</v>
      </c>
      <c r="AH5089">
        <v>32.070654406852697</v>
      </c>
      <c r="AI5089">
        <v>91.977459007016407</v>
      </c>
      <c r="AJ5089">
        <v>93.342290292887995</v>
      </c>
      <c r="AK5089">
        <v>32.144440395439403</v>
      </c>
      <c r="AL5089">
        <v>81.3543022111499</v>
      </c>
      <c r="AM5089">
        <v>92.244034964382195</v>
      </c>
      <c r="AN5089">
        <v>0.99999996657844503</v>
      </c>
    </row>
    <row r="5090" spans="1:40" x14ac:dyDescent="0.25">
      <c r="A5090" t="str">
        <f>"20190304155737523"</f>
        <v>20190304155737523</v>
      </c>
      <c r="B5090" t="str">
        <f>"1551686257520080"</f>
        <v>1551686257520080</v>
      </c>
      <c r="C5090" t="s">
        <v>40</v>
      </c>
      <c r="D5090">
        <v>4.5239699999999896</v>
      </c>
      <c r="E5090">
        <v>0.43825190000000003</v>
      </c>
      <c r="F5090" t="s">
        <v>41</v>
      </c>
      <c r="G5090">
        <v>-420.16480000000001</v>
      </c>
      <c r="H5090" s="1">
        <v>-3.1021689999999999E-6</v>
      </c>
      <c r="I5090">
        <v>56.718150000000001</v>
      </c>
      <c r="J5090">
        <v>-422.19049999999999</v>
      </c>
      <c r="K5090">
        <v>1.1091839999999999</v>
      </c>
      <c r="L5090">
        <v>89.067930000000004</v>
      </c>
      <c r="M5090">
        <v>3.986903E-3</v>
      </c>
      <c r="N5090">
        <v>-9.5481219999999992E-3</v>
      </c>
      <c r="O5090">
        <v>-0.99994649999999996</v>
      </c>
      <c r="P5090">
        <v>4.3026979999999999E-2</v>
      </c>
      <c r="Q5090">
        <v>0.14100689999999999</v>
      </c>
      <c r="R5090">
        <v>-0.98907319999999999</v>
      </c>
      <c r="S5090">
        <v>0.18890380000000001</v>
      </c>
      <c r="T5090">
        <v>-0.1034089</v>
      </c>
      <c r="U5090">
        <v>-3.0395509999999999</v>
      </c>
      <c r="V5090">
        <v>-3.889165E-2</v>
      </c>
      <c r="W5090">
        <v>0.1504955</v>
      </c>
      <c r="X5090">
        <v>0.98784539999999998</v>
      </c>
      <c r="Y5090">
        <v>-5.8018519999999997E-2</v>
      </c>
      <c r="Z5090">
        <v>2.4396729999999998E-2</v>
      </c>
      <c r="AA5090">
        <v>0.99801740000000005</v>
      </c>
      <c r="AB5090">
        <v>26</v>
      </c>
      <c r="AC5090">
        <v>2.0256999999999699</v>
      </c>
      <c r="AD5090">
        <v>-1.1091871021689901</v>
      </c>
      <c r="AE5090">
        <v>-32.349779999999903</v>
      </c>
      <c r="AF5090">
        <v>-1.89448409411923</v>
      </c>
      <c r="AG5090">
        <v>-1.1091871021689901</v>
      </c>
      <c r="AH5090">
        <v>32.319752163281898</v>
      </c>
      <c r="AI5090">
        <v>91.962206727114406</v>
      </c>
      <c r="AJ5090">
        <v>93.354663082187201</v>
      </c>
      <c r="AK5090">
        <v>32.394223959009402</v>
      </c>
      <c r="AL5090">
        <v>81.344357366210602</v>
      </c>
      <c r="AM5090">
        <v>92.2545806886355</v>
      </c>
      <c r="AN5090">
        <v>0.99999999513056603</v>
      </c>
    </row>
    <row r="5091" spans="1:40" x14ac:dyDescent="0.25">
      <c r="A5091" t="str">
        <f>"20190304155737545"</f>
        <v>20190304155737545</v>
      </c>
      <c r="B5091" t="str">
        <f>"1551686257539599"</f>
        <v>1551686257539599</v>
      </c>
      <c r="C5091" t="s">
        <v>40</v>
      </c>
      <c r="D5091">
        <v>4.4809890000000001</v>
      </c>
      <c r="E5091">
        <v>0.43668430000000003</v>
      </c>
      <c r="F5091" t="s">
        <v>41</v>
      </c>
      <c r="G5091">
        <v>-413.55939999999998</v>
      </c>
      <c r="H5091" s="1">
        <v>-4.1358280000000002E-6</v>
      </c>
      <c r="I5091">
        <v>46.610390000000002</v>
      </c>
      <c r="J5091">
        <v>-422.1902</v>
      </c>
      <c r="K5091">
        <v>1.1091789999999999</v>
      </c>
      <c r="L5091">
        <v>88.797359999999998</v>
      </c>
      <c r="M5091">
        <v>3.26626E-3</v>
      </c>
      <c r="N5091">
        <v>-9.5421889999999995E-3</v>
      </c>
      <c r="O5091">
        <v>-0.99994910000000004</v>
      </c>
      <c r="P5091">
        <v>4.306078E-2</v>
      </c>
      <c r="Q5091">
        <v>0.14121600000000001</v>
      </c>
      <c r="R5091">
        <v>-0.98904210000000004</v>
      </c>
      <c r="S5091">
        <v>0.61346440000000002</v>
      </c>
      <c r="T5091">
        <v>-7.8836320000000001E-2</v>
      </c>
      <c r="U5091">
        <v>-3.0177</v>
      </c>
      <c r="V5091">
        <v>-3.9637949999999998E-2</v>
      </c>
      <c r="W5091">
        <v>0.15069920000000001</v>
      </c>
      <c r="X5091">
        <v>0.98778469999999996</v>
      </c>
      <c r="Y5091">
        <v>-0.19595380000000001</v>
      </c>
      <c r="Z5091">
        <v>1.6063709999999998E-2</v>
      </c>
      <c r="AA5091">
        <v>0.98048159999999895</v>
      </c>
      <c r="AB5091">
        <v>26</v>
      </c>
      <c r="AC5091">
        <v>8.6308000000000202</v>
      </c>
      <c r="AD5091">
        <v>-1.109183135828</v>
      </c>
      <c r="AE5091">
        <v>-42.186970000000002</v>
      </c>
      <c r="AF5091">
        <v>-8.4873227046035193</v>
      </c>
      <c r="AG5091">
        <v>-1.109183135828</v>
      </c>
      <c r="AH5091">
        <v>42.186945516391098</v>
      </c>
      <c r="AI5091">
        <v>91.476508198117102</v>
      </c>
      <c r="AJ5091">
        <v>101.375126090008</v>
      </c>
      <c r="AK5091">
        <v>43.046524899506501</v>
      </c>
      <c r="AL5091">
        <v>81.332551744370505</v>
      </c>
      <c r="AM5091">
        <v>92.297939420737094</v>
      </c>
      <c r="AN5091">
        <v>1.0000000147574599</v>
      </c>
    </row>
    <row r="5092" spans="1:40" x14ac:dyDescent="0.25">
      <c r="A5092" t="str">
        <f>"20190304155737567"</f>
        <v>20190304155737567</v>
      </c>
      <c r="B5092" t="str">
        <f>"1551686257560099"</f>
        <v>1551686257560099</v>
      </c>
      <c r="C5092" t="s">
        <v>40</v>
      </c>
      <c r="D5092">
        <v>4.4533940000000003</v>
      </c>
      <c r="E5092">
        <v>0.4361332</v>
      </c>
      <c r="F5092" t="s">
        <v>41</v>
      </c>
      <c r="G5092">
        <v>-412.87560000000002</v>
      </c>
      <c r="H5092" s="1">
        <v>-3.3397789999999998E-6</v>
      </c>
      <c r="I5092">
        <v>43.891779999999997</v>
      </c>
      <c r="J5092">
        <v>-422.19009999999997</v>
      </c>
      <c r="K5092">
        <v>1.109175</v>
      </c>
      <c r="L5092">
        <v>88.530330000000006</v>
      </c>
      <c r="M5092">
        <v>2.5566880000000001E-3</v>
      </c>
      <c r="N5092">
        <v>-9.5374569999999992E-3</v>
      </c>
      <c r="O5092">
        <v>-0.99995149999999999</v>
      </c>
      <c r="P5092">
        <v>4.3204050000000001E-2</v>
      </c>
      <c r="Q5092">
        <v>0.14173740000000001</v>
      </c>
      <c r="R5092">
        <v>-0.98896130000000004</v>
      </c>
      <c r="S5092">
        <v>0.62573239999999997</v>
      </c>
      <c r="T5092">
        <v>-7.4511770000000005E-2</v>
      </c>
      <c r="U5092">
        <v>-3.016632</v>
      </c>
      <c r="V5092">
        <v>-4.0482520000000001E-2</v>
      </c>
      <c r="W5092">
        <v>0.15121579999999901</v>
      </c>
      <c r="X5092">
        <v>0.98767150000000004</v>
      </c>
      <c r="Y5092">
        <v>-0.20054620000000001</v>
      </c>
      <c r="Z5092">
        <v>1.46514E-2</v>
      </c>
      <c r="AA5092">
        <v>0.97957470000000002</v>
      </c>
      <c r="AB5092">
        <v>27</v>
      </c>
      <c r="AC5092">
        <v>9.3144999999999492</v>
      </c>
      <c r="AD5092">
        <v>-1.109178339779</v>
      </c>
      <c r="AE5092">
        <v>-44.638550000000002</v>
      </c>
      <c r="AF5092">
        <v>-9.1948972832586708</v>
      </c>
      <c r="AG5092">
        <v>-1.109178339779</v>
      </c>
      <c r="AH5092">
        <v>44.635810165417197</v>
      </c>
      <c r="AI5092">
        <v>91.394216801210305</v>
      </c>
      <c r="AJ5092">
        <v>101.64000239557301</v>
      </c>
      <c r="AK5092">
        <v>45.586532679753901</v>
      </c>
      <c r="AL5092">
        <v>81.302609681264201</v>
      </c>
      <c r="AM5092">
        <v>92.347116362186597</v>
      </c>
      <c r="AN5092">
        <v>1.00000002225372</v>
      </c>
    </row>
    <row r="5093" spans="1:40" x14ac:dyDescent="0.25">
      <c r="A5093" t="str">
        <f>"20190304155737590"</f>
        <v>20190304155737590</v>
      </c>
      <c r="B5093" t="str">
        <f>"1551686257579616"</f>
        <v>1551686257579616</v>
      </c>
      <c r="C5093" t="s">
        <v>40</v>
      </c>
      <c r="D5093">
        <v>4.4511240000000001</v>
      </c>
      <c r="E5093">
        <v>0.43549909999999997</v>
      </c>
      <c r="F5093" t="s">
        <v>41</v>
      </c>
      <c r="G5093">
        <v>-412.66460000000001</v>
      </c>
      <c r="H5093" s="1">
        <v>-3.0741529999999999E-6</v>
      </c>
      <c r="I5093">
        <v>42.946240000000003</v>
      </c>
      <c r="J5093">
        <v>-422.1902</v>
      </c>
      <c r="K5093">
        <v>1.1091759999999999</v>
      </c>
      <c r="L5093">
        <v>88.267910000000001</v>
      </c>
      <c r="M5093">
        <v>1.860626E-3</v>
      </c>
      <c r="N5093">
        <v>-9.5338130000000004E-3</v>
      </c>
      <c r="O5093">
        <v>-0.99995290000000003</v>
      </c>
      <c r="P5093">
        <v>4.3433180000000002E-2</v>
      </c>
      <c r="Q5093">
        <v>0.14249709999999999</v>
      </c>
      <c r="R5093">
        <v>-0.988842</v>
      </c>
      <c r="S5093">
        <v>0.63034060000000003</v>
      </c>
      <c r="T5093">
        <v>-7.3398710000000006E-2</v>
      </c>
      <c r="U5093">
        <v>-3.0164789999999999</v>
      </c>
      <c r="V5093">
        <v>-4.1399310000000002E-2</v>
      </c>
      <c r="W5093">
        <v>0.15197179999999999</v>
      </c>
      <c r="X5093">
        <v>0.98751739999999999</v>
      </c>
      <c r="Y5093">
        <v>-0.20267289999999999</v>
      </c>
      <c r="Z5093">
        <v>1.4285539999999999E-2</v>
      </c>
      <c r="AA5093">
        <v>0.97914219999999996</v>
      </c>
      <c r="AB5093">
        <v>27</v>
      </c>
      <c r="AC5093">
        <v>9.5255999999999901</v>
      </c>
      <c r="AD5093">
        <v>-1.1091790741530001</v>
      </c>
      <c r="AE5093">
        <v>-45.321669999999997</v>
      </c>
      <c r="AF5093">
        <v>-9.4358404930886604</v>
      </c>
      <c r="AG5093">
        <v>-1.1091790741530001</v>
      </c>
      <c r="AH5093">
        <v>45.31332364979</v>
      </c>
      <c r="AI5093">
        <v>91.372769937431798</v>
      </c>
      <c r="AJ5093">
        <v>101.762913999587</v>
      </c>
      <c r="AK5093">
        <v>46.298624863165898</v>
      </c>
      <c r="AL5093">
        <v>81.258787181591799</v>
      </c>
      <c r="AM5093">
        <v>92.400583115683403</v>
      </c>
      <c r="AN5093">
        <v>0.99999997308323696</v>
      </c>
    </row>
    <row r="5094" spans="1:40" x14ac:dyDescent="0.25">
      <c r="A5094" t="str">
        <f>"20190304155737612"</f>
        <v>20190304155737612</v>
      </c>
      <c r="B5094" t="str">
        <f>"1551686257609872"</f>
        <v>1551686257609872</v>
      </c>
      <c r="C5094" t="s">
        <v>40</v>
      </c>
      <c r="D5094">
        <v>4.4366839999999996</v>
      </c>
      <c r="E5094">
        <v>0.43502030000000003</v>
      </c>
      <c r="F5094" t="s">
        <v>41</v>
      </c>
      <c r="G5094">
        <v>-411.96170000000001</v>
      </c>
      <c r="H5094" s="1">
        <v>-2.1848339999999999E-6</v>
      </c>
      <c r="I5094">
        <v>39.783389999999997</v>
      </c>
      <c r="J5094">
        <v>-422.19040000000001</v>
      </c>
      <c r="K5094">
        <v>1.109173</v>
      </c>
      <c r="L5094">
        <v>88.003140000000002</v>
      </c>
      <c r="M5094">
        <v>1.1579489999999999E-3</v>
      </c>
      <c r="N5094">
        <v>-9.5309910000000008E-3</v>
      </c>
      <c r="O5094">
        <v>-0.99995389999999995</v>
      </c>
      <c r="P5094">
        <v>4.3504599999999997E-2</v>
      </c>
      <c r="Q5094">
        <v>0.14244699999999999</v>
      </c>
      <c r="R5094">
        <v>-0.98884609999999995</v>
      </c>
      <c r="S5094">
        <v>0.63623050000000003</v>
      </c>
      <c r="T5094">
        <v>-6.8993209999999999E-2</v>
      </c>
      <c r="U5094">
        <v>-3.0158390000000002</v>
      </c>
      <c r="V5094">
        <v>-4.2165300000000003E-2</v>
      </c>
      <c r="W5094">
        <v>0.15191950000000001</v>
      </c>
      <c r="X5094">
        <v>0.98749310000000001</v>
      </c>
      <c r="Y5094">
        <v>-0.20523849999999999</v>
      </c>
      <c r="Z5094">
        <v>1.285292E-2</v>
      </c>
      <c r="AA5094">
        <v>0.97862760000000004</v>
      </c>
      <c r="AB5094">
        <v>27</v>
      </c>
      <c r="AC5094">
        <v>10.2287</v>
      </c>
      <c r="AD5094">
        <v>-1.1091751848339999</v>
      </c>
      <c r="AE5094">
        <v>-48.219749999999998</v>
      </c>
      <c r="AF5094">
        <v>-10.1677063629502</v>
      </c>
      <c r="AG5094">
        <v>-1.1091751848339999</v>
      </c>
      <c r="AH5094">
        <v>48.207153716022603</v>
      </c>
      <c r="AI5094">
        <v>91.2896938399021</v>
      </c>
      <c r="AJ5094">
        <v>101.910088763009</v>
      </c>
      <c r="AK5094">
        <v>49.280241392205703</v>
      </c>
      <c r="AL5094">
        <v>81.261819496599401</v>
      </c>
      <c r="AM5094">
        <v>92.4450065423258</v>
      </c>
      <c r="AN5094">
        <v>1.0000000347759701</v>
      </c>
    </row>
    <row r="5095" spans="1:40" x14ac:dyDescent="0.25">
      <c r="A5095" t="str">
        <f>"20190304155737636"</f>
        <v>20190304155737636</v>
      </c>
      <c r="B5095" t="str">
        <f>"1551686257630371"</f>
        <v>1551686257630371</v>
      </c>
      <c r="C5095" t="s">
        <v>40</v>
      </c>
      <c r="D5095">
        <v>4.4498749999999996</v>
      </c>
      <c r="E5095">
        <v>0.43492510000000001</v>
      </c>
      <c r="F5095" t="s">
        <v>84</v>
      </c>
      <c r="G5095">
        <v>-411.5351</v>
      </c>
      <c r="H5095" s="1">
        <v>-3.2722319999999998E-6</v>
      </c>
      <c r="I5095">
        <v>37.855960000000003</v>
      </c>
      <c r="J5095">
        <v>-422.1909</v>
      </c>
      <c r="K5095">
        <v>1.1091740000000001</v>
      </c>
      <c r="L5095">
        <v>87.722899999999996</v>
      </c>
      <c r="M5095">
        <v>4.1418999999999999E-4</v>
      </c>
      <c r="N5095">
        <v>-9.5289639999999991E-3</v>
      </c>
      <c r="O5095">
        <v>-0.99995460000000003</v>
      </c>
      <c r="P5095">
        <v>4.3507560000000001E-2</v>
      </c>
      <c r="Q5095">
        <v>0.14245849999999999</v>
      </c>
      <c r="R5095">
        <v>-0.98884419999999995</v>
      </c>
      <c r="S5095">
        <v>0.64068599999999998</v>
      </c>
      <c r="T5095">
        <v>-6.6692710000000002E-2</v>
      </c>
      <c r="U5095">
        <v>-3.0152589999999999</v>
      </c>
      <c r="V5095">
        <v>-4.2903549999999999E-2</v>
      </c>
      <c r="W5095">
        <v>0.15193029999999999</v>
      </c>
      <c r="X5095">
        <v>0.98745959999999999</v>
      </c>
      <c r="Y5095">
        <v>-0.2073904</v>
      </c>
      <c r="Z5095">
        <v>1.210402E-2</v>
      </c>
      <c r="AA5095">
        <v>0.97818340000000004</v>
      </c>
      <c r="AB5095">
        <v>27</v>
      </c>
      <c r="AC5095">
        <v>10.655799999999999</v>
      </c>
      <c r="AD5095">
        <v>-1.1091772722319999</v>
      </c>
      <c r="AE5095">
        <v>-49.86694</v>
      </c>
      <c r="AF5095">
        <v>-10.630114277781299</v>
      </c>
      <c r="AG5095">
        <v>-1.1091772722319999</v>
      </c>
      <c r="AH5095">
        <v>49.847764701745902</v>
      </c>
      <c r="AI5095">
        <v>91.246672213245404</v>
      </c>
      <c r="AJ5095">
        <v>102.038094512445</v>
      </c>
      <c r="AK5095">
        <v>50.9806752558315</v>
      </c>
      <c r="AL5095">
        <v>81.261193094685197</v>
      </c>
      <c r="AM5095">
        <v>92.487845843509305</v>
      </c>
      <c r="AN5095">
        <v>0.99999999614642598</v>
      </c>
    </row>
    <row r="5096" spans="1:40" x14ac:dyDescent="0.25">
      <c r="A5096" t="str">
        <f>"20190304155737656"</f>
        <v>20190304155737656</v>
      </c>
      <c r="B5096" t="str">
        <f>"1551686257649888"</f>
        <v>1551686257649888</v>
      </c>
      <c r="C5096" t="s">
        <v>40</v>
      </c>
      <c r="D5096">
        <v>4.449846</v>
      </c>
      <c r="E5096">
        <v>0.4348379</v>
      </c>
      <c r="F5096" t="s">
        <v>84</v>
      </c>
      <c r="G5096">
        <v>-411.66430000000003</v>
      </c>
      <c r="H5096" s="1">
        <v>-3.0641379999999998E-6</v>
      </c>
      <c r="I5096">
        <v>38.184060000000002</v>
      </c>
      <c r="J5096">
        <v>-422.19159999999999</v>
      </c>
      <c r="K5096">
        <v>1.1091679999999999</v>
      </c>
      <c r="L5096">
        <v>87.470519999999993</v>
      </c>
      <c r="M5096">
        <v>-2.5562799999999999E-4</v>
      </c>
      <c r="N5096">
        <v>-9.5278810000000002E-3</v>
      </c>
      <c r="O5096">
        <v>-0.99995460000000003</v>
      </c>
      <c r="P5096">
        <v>4.3722560000000001E-2</v>
      </c>
      <c r="Q5096">
        <v>0.1427524</v>
      </c>
      <c r="R5096">
        <v>-0.98879240000000002</v>
      </c>
      <c r="S5096">
        <v>0.64074709999999901</v>
      </c>
      <c r="T5096">
        <v>-6.7514539999999998E-2</v>
      </c>
      <c r="U5096">
        <v>-3.0153810000000001</v>
      </c>
      <c r="V5096">
        <v>-4.3780149999999997E-2</v>
      </c>
      <c r="W5096">
        <v>0.15222339999999901</v>
      </c>
      <c r="X5096">
        <v>0.98737600000000003</v>
      </c>
      <c r="Y5096">
        <v>-0.2080555</v>
      </c>
      <c r="Z5096">
        <v>1.236843E-2</v>
      </c>
      <c r="AA5096">
        <v>0.97803879999999999</v>
      </c>
      <c r="AB5096">
        <v>27</v>
      </c>
      <c r="AC5096">
        <v>10.527299999999901</v>
      </c>
      <c r="AD5096">
        <v>-1.1091710641379999</v>
      </c>
      <c r="AE5096">
        <v>-49.286459999999998</v>
      </c>
      <c r="AF5096">
        <v>-10.534796608776499</v>
      </c>
      <c r="AG5096">
        <v>-1.1091710641379999</v>
      </c>
      <c r="AH5096">
        <v>49.259907740897198</v>
      </c>
      <c r="AI5096">
        <v>91.2613808022477</v>
      </c>
      <c r="AJ5096">
        <v>102.071515169489</v>
      </c>
      <c r="AK5096">
        <v>50.386017015433097</v>
      </c>
      <c r="AL5096">
        <v>81.244202241653497</v>
      </c>
      <c r="AM5096">
        <v>92.538826025685296</v>
      </c>
      <c r="AN5096">
        <v>1.00000001520879</v>
      </c>
    </row>
    <row r="5097" spans="1:40" x14ac:dyDescent="0.25">
      <c r="A5097" t="str">
        <f>"20190304155737681"</f>
        <v>20190304155737681</v>
      </c>
      <c r="B5097" t="str">
        <f>"1551686257670384"</f>
        <v>1551686257670384</v>
      </c>
      <c r="C5097" t="s">
        <v>40</v>
      </c>
      <c r="D5097">
        <v>4.3956689999999998</v>
      </c>
      <c r="E5097">
        <v>0.43467660000000002</v>
      </c>
      <c r="F5097" t="s">
        <v>84</v>
      </c>
      <c r="G5097">
        <v>-411.69540000000001</v>
      </c>
      <c r="H5097" s="1">
        <v>-3.055478E-6</v>
      </c>
      <c r="I5097">
        <v>38.187269999999998</v>
      </c>
      <c r="J5097">
        <v>-422.19240000000002</v>
      </c>
      <c r="K5097">
        <v>1.1091660000000001</v>
      </c>
      <c r="L5097">
        <v>87.190519999999907</v>
      </c>
      <c r="M5097">
        <v>-9.9887780000000007E-4</v>
      </c>
      <c r="N5097">
        <v>-9.5273570000000002E-3</v>
      </c>
      <c r="O5097">
        <v>-0.99995429999999996</v>
      </c>
      <c r="P5097">
        <v>4.3965619999999997E-2</v>
      </c>
      <c r="Q5097">
        <v>0.14291960000000001</v>
      </c>
      <c r="R5097">
        <v>-0.98875760000000001</v>
      </c>
      <c r="S5097">
        <v>0.64221189999999995</v>
      </c>
      <c r="T5097">
        <v>-6.7865010000000003E-2</v>
      </c>
      <c r="U5097">
        <v>-3.0154109999999998</v>
      </c>
      <c r="V5097">
        <v>-4.4757789999999999E-2</v>
      </c>
      <c r="W5097">
        <v>0.15239069999999999</v>
      </c>
      <c r="X5097">
        <v>0.98730640000000003</v>
      </c>
      <c r="Y5097">
        <v>-0.20923430000000001</v>
      </c>
      <c r="Z5097">
        <v>1.24777E-2</v>
      </c>
      <c r="AA5097">
        <v>0.97778589999999999</v>
      </c>
      <c r="AB5097">
        <v>27</v>
      </c>
      <c r="AC5097">
        <v>10.497</v>
      </c>
      <c r="AD5097">
        <v>-1.109169055478</v>
      </c>
      <c r="AE5097">
        <v>-49.003250000000001</v>
      </c>
      <c r="AF5097">
        <v>-10.540781852898199</v>
      </c>
      <c r="AG5097">
        <v>-1.109169055478</v>
      </c>
      <c r="AH5097">
        <v>48.968752610620299</v>
      </c>
      <c r="AI5097">
        <v>91.268513307859493</v>
      </c>
      <c r="AJ5097">
        <v>102.147858882931</v>
      </c>
      <c r="AK5097">
        <v>50.1026653014004</v>
      </c>
      <c r="AL5097">
        <v>81.234503868325703</v>
      </c>
      <c r="AM5097">
        <v>92.595625741863699</v>
      </c>
      <c r="AN5097">
        <v>1.0000000563465601</v>
      </c>
    </row>
    <row r="5098" spans="1:40" x14ac:dyDescent="0.25">
      <c r="A5098" t="str">
        <f>"20190304155737703"</f>
        <v>20190304155737703</v>
      </c>
      <c r="B5098" t="str">
        <f>"1551686257699664"</f>
        <v>1551686257699664</v>
      </c>
      <c r="C5098" t="s">
        <v>40</v>
      </c>
      <c r="D5098">
        <v>4.3800970000000001</v>
      </c>
      <c r="E5098">
        <v>0.43441780000000002</v>
      </c>
      <c r="F5098" t="s">
        <v>84</v>
      </c>
      <c r="G5098">
        <v>-411.64409999999998</v>
      </c>
      <c r="H5098" s="1">
        <v>-3.2972949999999998E-6</v>
      </c>
      <c r="I5098">
        <v>37.765940000000001</v>
      </c>
      <c r="J5098">
        <v>-422.19349999999997</v>
      </c>
      <c r="K5098">
        <v>1.1091610000000001</v>
      </c>
      <c r="L5098">
        <v>86.91977</v>
      </c>
      <c r="M5098">
        <v>-1.7176470000000001E-3</v>
      </c>
      <c r="N5098">
        <v>-9.5274139999999997E-3</v>
      </c>
      <c r="O5098">
        <v>-0.99995339999999999</v>
      </c>
      <c r="P5098">
        <v>4.4661100000000002E-2</v>
      </c>
      <c r="Q5098">
        <v>0.1432871</v>
      </c>
      <c r="R5098">
        <v>-0.98867329999999998</v>
      </c>
      <c r="S5098">
        <v>0.64352419999999899</v>
      </c>
      <c r="T5098">
        <v>-6.7667370000000004E-2</v>
      </c>
      <c r="U5098">
        <v>-3.0152589999999999</v>
      </c>
      <c r="V5098">
        <v>-4.6162259999999997E-2</v>
      </c>
      <c r="W5098">
        <v>0.1527588</v>
      </c>
      <c r="X5098">
        <v>0.98718479999999997</v>
      </c>
      <c r="Y5098">
        <v>-0.21035419999999999</v>
      </c>
      <c r="Z5098">
        <v>1.2410259999999999E-2</v>
      </c>
      <c r="AA5098">
        <v>0.97754649999999998</v>
      </c>
      <c r="AB5098">
        <v>27</v>
      </c>
      <c r="AC5098">
        <v>10.549399999999901</v>
      </c>
      <c r="AD5098">
        <v>-1.109164297295</v>
      </c>
      <c r="AE5098">
        <v>-49.153829999999999</v>
      </c>
      <c r="AF5098">
        <v>-10.6286435193232</v>
      </c>
      <c r="AG5098">
        <v>-1.109164297295</v>
      </c>
      <c r="AH5098">
        <v>49.1117306297459</v>
      </c>
      <c r="AI5098">
        <v>91.264513033042604</v>
      </c>
      <c r="AJ5098">
        <v>102.211492103312</v>
      </c>
      <c r="AK5098">
        <v>50.2609231306784</v>
      </c>
      <c r="AL5098">
        <v>81.213163091877504</v>
      </c>
      <c r="AM5098">
        <v>92.677287352694805</v>
      </c>
      <c r="AN5098">
        <v>1.0000000172883901</v>
      </c>
    </row>
    <row r="5099" spans="1:40" x14ac:dyDescent="0.25">
      <c r="A5099" t="str">
        <f>"20190304155737725"</f>
        <v>20190304155737725</v>
      </c>
      <c r="B5099" t="str">
        <f>"1551686257720160"</f>
        <v>1551686257720160</v>
      </c>
      <c r="C5099" t="s">
        <v>40</v>
      </c>
      <c r="D5099">
        <v>4.6611649999999996</v>
      </c>
      <c r="E5099">
        <v>0.43632929999999998</v>
      </c>
      <c r="F5099" t="s">
        <v>84</v>
      </c>
      <c r="G5099">
        <v>-411.52699999999999</v>
      </c>
      <c r="H5099" s="1">
        <v>-3.6058840000000001E-6</v>
      </c>
      <c r="I5099">
        <v>37.249189999999999</v>
      </c>
      <c r="J5099">
        <v>-422.19470000000001</v>
      </c>
      <c r="K5099">
        <v>1.1091599999999999</v>
      </c>
      <c r="L5099">
        <v>86.657290000000003</v>
      </c>
      <c r="M5099">
        <v>-2.4141200000000001E-3</v>
      </c>
      <c r="N5099">
        <v>-9.5279739999999998E-3</v>
      </c>
      <c r="O5099">
        <v>-0.9999517</v>
      </c>
      <c r="P5099">
        <v>4.4088229999999999E-2</v>
      </c>
      <c r="Q5099">
        <v>0.14269579999999901</v>
      </c>
      <c r="R5099">
        <v>-0.98878440000000001</v>
      </c>
      <c r="S5099">
        <v>0.64743039999999996</v>
      </c>
      <c r="T5099">
        <v>-6.7323800000000003E-2</v>
      </c>
      <c r="U5099">
        <v>-3.0148929999999998</v>
      </c>
      <c r="V5099">
        <v>-4.6278560000000003E-2</v>
      </c>
      <c r="W5099">
        <v>0.15216930000000001</v>
      </c>
      <c r="X5099">
        <v>0.98727039999999999</v>
      </c>
      <c r="Y5099">
        <v>-0.21227019999999999</v>
      </c>
      <c r="Z5099">
        <v>1.229268E-2</v>
      </c>
      <c r="AA5099">
        <v>0.97713369999999999</v>
      </c>
      <c r="AB5099">
        <v>27</v>
      </c>
      <c r="AC5099">
        <v>10.6677</v>
      </c>
      <c r="AD5099">
        <v>-1.109163605884</v>
      </c>
      <c r="AE5099">
        <v>-49.408099999999997</v>
      </c>
      <c r="AF5099">
        <v>-10.7817598612663</v>
      </c>
      <c r="AG5099">
        <v>-1.109163605884</v>
      </c>
      <c r="AH5099">
        <v>49.358435058011999</v>
      </c>
      <c r="AI5099">
        <v>91.257666478412403</v>
      </c>
      <c r="AJ5099">
        <v>102.322028471644</v>
      </c>
      <c r="AK5099">
        <v>50.534460529292403</v>
      </c>
      <c r="AL5099">
        <v>81.247338538138393</v>
      </c>
      <c r="AM5099">
        <v>92.683790215366301</v>
      </c>
      <c r="AN5099">
        <v>1.0000000218471601</v>
      </c>
    </row>
    <row r="5100" spans="1:40" x14ac:dyDescent="0.25">
      <c r="A5100" t="str">
        <f>"20190304155737747"</f>
        <v>20190304155737747</v>
      </c>
      <c r="B5100" t="str">
        <f>"1551686257739681"</f>
        <v>1551686257739681</v>
      </c>
      <c r="C5100" t="s">
        <v>40</v>
      </c>
      <c r="D5100">
        <v>4.6462019999999997</v>
      </c>
      <c r="E5100">
        <v>0.51650659999999904</v>
      </c>
      <c r="F5100" t="s">
        <v>41</v>
      </c>
      <c r="G5100">
        <v>-412.4468</v>
      </c>
      <c r="H5100" s="1">
        <v>-2.1266370000000001E-6</v>
      </c>
      <c r="I5100">
        <v>39.991680000000002</v>
      </c>
      <c r="J5100">
        <v>-422.1961</v>
      </c>
      <c r="K5100">
        <v>1.1091519999999999</v>
      </c>
      <c r="L5100">
        <v>86.388819999999996</v>
      </c>
      <c r="M5100">
        <v>-3.1267320000000001E-3</v>
      </c>
      <c r="N5100">
        <v>-9.5290329999999993E-3</v>
      </c>
      <c r="O5100">
        <v>-0.99995009999999995</v>
      </c>
      <c r="P5100">
        <v>4.4062820000000003E-2</v>
      </c>
      <c r="Q5100">
        <v>0.1424966</v>
      </c>
      <c r="R5100">
        <v>-0.98881459999999999</v>
      </c>
      <c r="S5100">
        <v>0.63006589999999996</v>
      </c>
      <c r="T5100">
        <v>-7.1692229999999996E-2</v>
      </c>
      <c r="U5100">
        <v>-3.0162960000000001</v>
      </c>
      <c r="V5100">
        <v>-4.6957409999999998E-2</v>
      </c>
      <c r="W5100">
        <v>0.1519723</v>
      </c>
      <c r="X5100">
        <v>0.9872687</v>
      </c>
      <c r="Y5100">
        <v>-0.20748240000000001</v>
      </c>
      <c r="Z5100">
        <v>1.3721560000000001E-2</v>
      </c>
      <c r="AA5100">
        <v>0.97814250000000003</v>
      </c>
      <c r="AB5100">
        <v>27</v>
      </c>
      <c r="AC5100">
        <v>9.7492999999999999</v>
      </c>
      <c r="AD5100">
        <v>-1.109154126637</v>
      </c>
      <c r="AE5100">
        <v>-46.397139999999901</v>
      </c>
      <c r="AF5100">
        <v>-9.8889179418636601</v>
      </c>
      <c r="AG5100">
        <v>-1.109154126637</v>
      </c>
      <c r="AH5100">
        <v>46.341065215845902</v>
      </c>
      <c r="AI5100">
        <v>91.340909575675298</v>
      </c>
      <c r="AJ5100">
        <v>102.045914722041</v>
      </c>
      <c r="AK5100">
        <v>47.397418139354698</v>
      </c>
      <c r="AL5100">
        <v>81.258758717492</v>
      </c>
      <c r="AM5100">
        <v>92.723103995322404</v>
      </c>
      <c r="AN5100">
        <v>1.0000000321604401</v>
      </c>
    </row>
    <row r="5101" spans="1:40" x14ac:dyDescent="0.25">
      <c r="A5101" t="str">
        <f>"20190304155737768"</f>
        <v>20190304155737768</v>
      </c>
      <c r="B5101" t="str">
        <f>"1551686257760175"</f>
        <v>1551686257760175</v>
      </c>
      <c r="C5101" t="s">
        <v>40</v>
      </c>
      <c r="D5101">
        <v>4.5806849999999999</v>
      </c>
      <c r="E5101">
        <v>0.52534809999999998</v>
      </c>
      <c r="F5101" t="s">
        <v>41</v>
      </c>
      <c r="G5101">
        <v>-422.29610000000002</v>
      </c>
      <c r="H5101" s="1">
        <v>-3.1273780000000001E-6</v>
      </c>
      <c r="I5101">
        <v>55.455010000000001</v>
      </c>
      <c r="J5101">
        <v>-422.1977</v>
      </c>
      <c r="K5101">
        <v>1.1091530000000001</v>
      </c>
      <c r="L5101">
        <v>86.125399999999999</v>
      </c>
      <c r="M5101">
        <v>-3.8254700000000001E-3</v>
      </c>
      <c r="N5101">
        <v>-9.5303939999999993E-3</v>
      </c>
      <c r="O5101">
        <v>-0.99994740000000004</v>
      </c>
      <c r="P5101">
        <v>4.3851649999999999E-2</v>
      </c>
      <c r="Q5101">
        <v>0.1425061</v>
      </c>
      <c r="R5101">
        <v>-0.98882230000000004</v>
      </c>
      <c r="S5101">
        <v>-9.8571779999999994E-3</v>
      </c>
      <c r="T5101">
        <v>-0.10936510000000001</v>
      </c>
      <c r="U5101">
        <v>-3.0501399999999999</v>
      </c>
      <c r="V5101">
        <v>-4.7436569999999997E-2</v>
      </c>
      <c r="W5101">
        <v>0.15198410000000001</v>
      </c>
      <c r="X5101">
        <v>0.98724400000000001</v>
      </c>
      <c r="Y5101">
        <v>-5.9494099999999998E-4</v>
      </c>
      <c r="Z5101">
        <v>2.6306400000000001E-2</v>
      </c>
      <c r="AA5101">
        <v>0.99965380000000004</v>
      </c>
      <c r="AB5101">
        <v>27</v>
      </c>
      <c r="AC5101">
        <v>-9.8400000000026397E-2</v>
      </c>
      <c r="AD5101">
        <v>-1.109156127378</v>
      </c>
      <c r="AE5101">
        <v>-30.670390000000001</v>
      </c>
      <c r="AF5101">
        <v>-1.8909959583861099E-2</v>
      </c>
      <c r="AG5101">
        <v>-1.109156127378</v>
      </c>
      <c r="AH5101">
        <v>30.630483368330498</v>
      </c>
      <c r="AI5101">
        <v>92.073822922222703</v>
      </c>
      <c r="AJ5101">
        <v>90.035371976479794</v>
      </c>
      <c r="AK5101">
        <v>30.6505643712973</v>
      </c>
      <c r="AL5101">
        <v>81.258074884268893</v>
      </c>
      <c r="AM5101">
        <v>92.750917182489701</v>
      </c>
      <c r="AN5101">
        <v>1.0000000551810799</v>
      </c>
    </row>
    <row r="5102" spans="1:40" x14ac:dyDescent="0.25">
      <c r="A5102" t="str">
        <f>"20190304155737792"</f>
        <v>20190304155737792</v>
      </c>
      <c r="B5102" t="str">
        <f>"1551686257789456"</f>
        <v>1551686257789456</v>
      </c>
      <c r="C5102" t="s">
        <v>40</v>
      </c>
      <c r="D5102">
        <v>4.5786199999999999</v>
      </c>
      <c r="E5102">
        <v>0.52958309999999997</v>
      </c>
      <c r="F5102" t="s">
        <v>41</v>
      </c>
      <c r="G5102">
        <v>-423.03179999999998</v>
      </c>
      <c r="H5102" s="1">
        <v>-3.0825460000000001E-6</v>
      </c>
      <c r="I5102">
        <v>54.894210000000001</v>
      </c>
      <c r="J5102">
        <v>-422.1995</v>
      </c>
      <c r="K5102">
        <v>1.109154</v>
      </c>
      <c r="L5102">
        <v>85.845249999999993</v>
      </c>
      <c r="M5102">
        <v>-4.5688949999999999E-3</v>
      </c>
      <c r="N5102">
        <v>-9.5321820000000002E-3</v>
      </c>
      <c r="O5102">
        <v>-0.99994430000000001</v>
      </c>
      <c r="P5102">
        <v>4.351008E-2</v>
      </c>
      <c r="Q5102">
        <v>0.14344219999999999</v>
      </c>
      <c r="R5102">
        <v>-0.98870219999999998</v>
      </c>
      <c r="S5102">
        <v>-8.1542970000000006E-2</v>
      </c>
      <c r="T5102">
        <v>-0.1084311</v>
      </c>
      <c r="U5102">
        <v>-3.0531619999999999</v>
      </c>
      <c r="V5102">
        <v>-4.7827830000000002E-2</v>
      </c>
      <c r="W5102">
        <v>0.152920899999999</v>
      </c>
      <c r="X5102">
        <v>0.98708039999999997</v>
      </c>
      <c r="Y5102">
        <v>2.2116710000000001E-2</v>
      </c>
      <c r="Z5102">
        <v>2.5953569999999999E-2</v>
      </c>
      <c r="AA5102">
        <v>0.99941840000000004</v>
      </c>
      <c r="AB5102">
        <v>27</v>
      </c>
      <c r="AC5102">
        <v>-0.83229999999997495</v>
      </c>
      <c r="AD5102">
        <v>-1.109157082546</v>
      </c>
      <c r="AE5102">
        <v>-30.9510399999999</v>
      </c>
      <c r="AF5102">
        <v>0.68998741174684997</v>
      </c>
      <c r="AG5102">
        <v>-1.109157082546</v>
      </c>
      <c r="AH5102">
        <v>30.914847354858601</v>
      </c>
      <c r="AI5102">
        <v>92.054254719677701</v>
      </c>
      <c r="AJ5102">
        <v>88.721429745913099</v>
      </c>
      <c r="AK5102">
        <v>30.942432015540401</v>
      </c>
      <c r="AL5102">
        <v>81.2037649591812</v>
      </c>
      <c r="AM5102">
        <v>92.774030623479703</v>
      </c>
      <c r="AN5102">
        <v>1.0000000095217301</v>
      </c>
    </row>
    <row r="5103" spans="1:40" x14ac:dyDescent="0.25">
      <c r="A5103" t="str">
        <f>"20190304155737814"</f>
        <v>20190304155737814</v>
      </c>
      <c r="B5103" t="str">
        <f>"1551686257809952"</f>
        <v>1551686257809952</v>
      </c>
      <c r="C5103" t="s">
        <v>40</v>
      </c>
      <c r="D5103">
        <v>4.6028960000000003</v>
      </c>
      <c r="E5103">
        <v>0.53084119999999901</v>
      </c>
      <c r="F5103" t="s">
        <v>41</v>
      </c>
      <c r="G5103">
        <v>-423.50349999999997</v>
      </c>
      <c r="H5103" s="1">
        <v>-1.7860769999999999E-6</v>
      </c>
      <c r="I5103">
        <v>51.579520000000002</v>
      </c>
      <c r="J5103">
        <v>-422.20159999999998</v>
      </c>
      <c r="K5103">
        <v>1.1091549999999999</v>
      </c>
      <c r="L5103">
        <v>85.573880000000003</v>
      </c>
      <c r="M5103">
        <v>-5.2886770000000003E-3</v>
      </c>
      <c r="N5103">
        <v>-9.5342599999999993E-3</v>
      </c>
      <c r="O5103">
        <v>-0.99994050000000001</v>
      </c>
      <c r="P5103">
        <v>4.2957670000000003E-2</v>
      </c>
      <c r="Q5103">
        <v>0.1440797</v>
      </c>
      <c r="R5103">
        <v>-0.98863330000000005</v>
      </c>
      <c r="S5103">
        <v>-0.11621090000000001</v>
      </c>
      <c r="T5103">
        <v>-9.8847270000000001E-2</v>
      </c>
      <c r="U5103">
        <v>-3.053741</v>
      </c>
      <c r="V5103">
        <v>-4.7984930000000002E-2</v>
      </c>
      <c r="W5103">
        <v>0.1535599</v>
      </c>
      <c r="X5103">
        <v>0.98697360000000001</v>
      </c>
      <c r="Y5103">
        <v>3.2725700000000003E-2</v>
      </c>
      <c r="Z5103">
        <v>2.2801470000000001E-2</v>
      </c>
      <c r="AA5103">
        <v>0.99920419999999999</v>
      </c>
      <c r="AB5103">
        <v>27</v>
      </c>
      <c r="AC5103">
        <v>-1.3018999999999801</v>
      </c>
      <c r="AD5103">
        <v>-1.109156786077</v>
      </c>
      <c r="AE5103">
        <v>-33.99436</v>
      </c>
      <c r="AF5103">
        <v>1.1208968981690599</v>
      </c>
      <c r="AG5103">
        <v>-1.109156786077</v>
      </c>
      <c r="AH5103">
        <v>33.964665546400397</v>
      </c>
      <c r="AI5103">
        <v>91.869380539931896</v>
      </c>
      <c r="AJ5103">
        <v>88.109819122858298</v>
      </c>
      <c r="AK5103">
        <v>34.001252099169299</v>
      </c>
      <c r="AL5103">
        <v>81.166715647613003</v>
      </c>
      <c r="AM5103">
        <v>92.783428862346497</v>
      </c>
      <c r="AN5103">
        <v>1.00000004174603</v>
      </c>
    </row>
    <row r="5104" spans="1:40" x14ac:dyDescent="0.25">
      <c r="A5104" t="str">
        <f>"20190304155737836"</f>
        <v>20190304155737836</v>
      </c>
      <c r="B5104" t="str">
        <f>"1551686257830380"</f>
        <v>1551686257830380</v>
      </c>
      <c r="C5104" t="s">
        <v>40</v>
      </c>
      <c r="D5104">
        <v>4.5625819999999999</v>
      </c>
      <c r="E5104">
        <v>0.5311266</v>
      </c>
      <c r="F5104" t="s">
        <v>41</v>
      </c>
      <c r="G5104">
        <v>-423.71749999999997</v>
      </c>
      <c r="H5104" s="1">
        <v>-4.8652740000000004E-6</v>
      </c>
      <c r="I5104">
        <v>49.345880000000001</v>
      </c>
      <c r="J5104">
        <v>-422.2038</v>
      </c>
      <c r="K5104">
        <v>1.109154</v>
      </c>
      <c r="L5104">
        <v>85.302149999999997</v>
      </c>
      <c r="M5104">
        <v>-6.0091629999999997E-3</v>
      </c>
      <c r="N5104">
        <v>-9.5365569999999993E-3</v>
      </c>
      <c r="O5104">
        <v>-0.99993670000000001</v>
      </c>
      <c r="P5104">
        <v>4.2681219999999999E-2</v>
      </c>
      <c r="Q5104">
        <v>0.14458789999999999</v>
      </c>
      <c r="R5104">
        <v>-0.98857130000000004</v>
      </c>
      <c r="S5104">
        <v>-0.1277771</v>
      </c>
      <c r="T5104">
        <v>-9.3491790000000005E-2</v>
      </c>
      <c r="U5104">
        <v>-3.0536799999999999</v>
      </c>
      <c r="V5104">
        <v>-4.8419179999999999E-2</v>
      </c>
      <c r="W5104">
        <v>0.1540697</v>
      </c>
      <c r="X5104">
        <v>0.98687290000000005</v>
      </c>
      <c r="Y5104">
        <v>3.5786020000000002E-2</v>
      </c>
      <c r="Z5104">
        <v>2.104549E-2</v>
      </c>
      <c r="AA5104">
        <v>0.99913790000000002</v>
      </c>
      <c r="AB5104">
        <v>27</v>
      </c>
      <c r="AC5104">
        <v>-1.5136999999999701</v>
      </c>
      <c r="AD5104">
        <v>-1.1091588652740001</v>
      </c>
      <c r="AE5104">
        <v>-35.956270000000004</v>
      </c>
      <c r="AF5104">
        <v>1.2963644118859701</v>
      </c>
      <c r="AG5104">
        <v>-1.1091588652740001</v>
      </c>
      <c r="AH5104">
        <v>35.930587440635499</v>
      </c>
      <c r="AI5104">
        <v>91.766980957803995</v>
      </c>
      <c r="AJ5104">
        <v>87.933682402247499</v>
      </c>
      <c r="AK5104">
        <v>35.971070430360697</v>
      </c>
      <c r="AL5104">
        <v>81.1371541457425</v>
      </c>
      <c r="AM5104">
        <v>92.808864079658704</v>
      </c>
      <c r="AN5104">
        <v>1.00000000510218</v>
      </c>
    </row>
    <row r="5105" spans="1:40" x14ac:dyDescent="0.25">
      <c r="A5105" t="str">
        <f>"20190304155737858"</f>
        <v>20190304155737858</v>
      </c>
      <c r="B5105" t="str">
        <f>"1551686257849900"</f>
        <v>1551686257849900</v>
      </c>
      <c r="C5105" t="s">
        <v>40</v>
      </c>
      <c r="D5105">
        <v>4.6455950000000001</v>
      </c>
      <c r="E5105">
        <v>0.53085139999999997</v>
      </c>
      <c r="F5105" t="s">
        <v>41</v>
      </c>
      <c r="G5105">
        <v>-423.76670000000001</v>
      </c>
      <c r="H5105" s="1">
        <v>-4.7263430000000001E-6</v>
      </c>
      <c r="I5105">
        <v>48.911960000000001</v>
      </c>
      <c r="J5105">
        <v>-422.20620000000002</v>
      </c>
      <c r="K5105">
        <v>1.1091530000000001</v>
      </c>
      <c r="L5105">
        <v>85.037899999999993</v>
      </c>
      <c r="M5105">
        <v>-6.7063790000000002E-3</v>
      </c>
      <c r="N5105">
        <v>-9.5389989999999994E-3</v>
      </c>
      <c r="O5105">
        <v>-0.99993220000000005</v>
      </c>
      <c r="P5105">
        <v>4.25402E-2</v>
      </c>
      <c r="Q5105">
        <v>0.1449095</v>
      </c>
      <c r="R5105">
        <v>-0.98853029999999997</v>
      </c>
      <c r="S5105">
        <v>-0.13116459999999999</v>
      </c>
      <c r="T5105">
        <v>-9.3083379999999993E-2</v>
      </c>
      <c r="U5105">
        <v>-3.0539550000000002</v>
      </c>
      <c r="V5105">
        <v>-4.896677E-2</v>
      </c>
      <c r="W5105">
        <v>0.15439430000000001</v>
      </c>
      <c r="X5105">
        <v>0.98679510000000004</v>
      </c>
      <c r="Y5105">
        <v>3.6191769999999998E-2</v>
      </c>
      <c r="Z5105">
        <v>2.0905859999999998E-2</v>
      </c>
      <c r="AA5105">
        <v>0.99912619999999996</v>
      </c>
      <c r="AB5105">
        <v>27</v>
      </c>
      <c r="AC5105">
        <v>-1.56049999999999</v>
      </c>
      <c r="AD5105">
        <v>-1.1091577263429999</v>
      </c>
      <c r="AE5105">
        <v>-36.1259399999999</v>
      </c>
      <c r="AF5105">
        <v>1.3169405849114999</v>
      </c>
      <c r="AG5105">
        <v>-1.1091577263429999</v>
      </c>
      <c r="AH5105">
        <v>36.101625657149398</v>
      </c>
      <c r="AI5105">
        <v>91.7585876109125</v>
      </c>
      <c r="AJ5105">
        <v>87.910850455447402</v>
      </c>
      <c r="AK5105">
        <v>36.142660921064397</v>
      </c>
      <c r="AL5105">
        <v>81.118330275396403</v>
      </c>
      <c r="AM5105">
        <v>92.840802388551893</v>
      </c>
      <c r="AN5105">
        <v>0.99999995691036503</v>
      </c>
    </row>
    <row r="5106" spans="1:40" x14ac:dyDescent="0.25">
      <c r="A5106" t="str">
        <f>"20190304155737875"</f>
        <v>20190304155737875</v>
      </c>
      <c r="B5106" t="str">
        <f>"1551686257869420"</f>
        <v>1551686257869420</v>
      </c>
      <c r="C5106" t="s">
        <v>40</v>
      </c>
      <c r="D5106">
        <v>4.6314000000000002</v>
      </c>
      <c r="E5106">
        <v>0.53064509999999998</v>
      </c>
      <c r="F5106" t="s">
        <v>41</v>
      </c>
      <c r="G5106">
        <v>-423.71039999999999</v>
      </c>
      <c r="H5106" s="1">
        <v>-4.9523099999999999E-6</v>
      </c>
      <c r="I5106">
        <v>49.605330000000002</v>
      </c>
      <c r="J5106">
        <v>-422.20800000000003</v>
      </c>
      <c r="K5106">
        <v>1.1091569999999999</v>
      </c>
      <c r="L5106">
        <v>84.83887</v>
      </c>
      <c r="M5106">
        <v>-7.2278109999999998E-3</v>
      </c>
      <c r="N5106">
        <v>-9.5409980000000002E-3</v>
      </c>
      <c r="O5106">
        <v>-0.99992840000000005</v>
      </c>
      <c r="P5106">
        <v>4.1777979999999999E-2</v>
      </c>
      <c r="Q5106">
        <v>0.14500460000000001</v>
      </c>
      <c r="R5106">
        <v>-0.98854889999999995</v>
      </c>
      <c r="S5106">
        <v>-0.12966920000000001</v>
      </c>
      <c r="T5106">
        <v>-9.5613359999999994E-2</v>
      </c>
      <c r="U5106">
        <v>-3.0544129999999998</v>
      </c>
      <c r="V5106">
        <v>-4.872042E-2</v>
      </c>
      <c r="W5106">
        <v>0.1544904</v>
      </c>
      <c r="X5106">
        <v>0.98679229999999996</v>
      </c>
      <c r="Y5106">
        <v>3.517526E-2</v>
      </c>
      <c r="Z5106">
        <v>2.1726760000000001E-2</v>
      </c>
      <c r="AA5106">
        <v>0.99914499999999995</v>
      </c>
      <c r="AB5106">
        <v>27</v>
      </c>
      <c r="AC5106">
        <v>-1.50239999999996</v>
      </c>
      <c r="AD5106">
        <v>-1.10916195231</v>
      </c>
      <c r="AE5106">
        <v>-35.233539999999998</v>
      </c>
      <c r="AF5106">
        <v>1.2464547970058799</v>
      </c>
      <c r="AG5106">
        <v>-1.10916195231</v>
      </c>
      <c r="AH5106">
        <v>35.208650396536001</v>
      </c>
      <c r="AI5106">
        <v>91.803237013979398</v>
      </c>
      <c r="AJ5106">
        <v>87.972464567391</v>
      </c>
      <c r="AK5106">
        <v>35.248162399519799</v>
      </c>
      <c r="AL5106">
        <v>81.112757699419006</v>
      </c>
      <c r="AM5106">
        <v>92.826541659724498</v>
      </c>
      <c r="AN5106">
        <v>1.0000000031782099</v>
      </c>
    </row>
    <row r="5107" spans="1:40" x14ac:dyDescent="0.25">
      <c r="A5107" t="str">
        <f>"20190304155737893"</f>
        <v>20190304155737893</v>
      </c>
      <c r="B5107" t="str">
        <f>"1551686257889916"</f>
        <v>1551686257889916</v>
      </c>
      <c r="C5107" t="s">
        <v>40</v>
      </c>
      <c r="D5107">
        <v>4.6452439999999999</v>
      </c>
      <c r="E5107">
        <v>0.53041079999999996</v>
      </c>
      <c r="F5107" t="s">
        <v>41</v>
      </c>
      <c r="G5107">
        <v>-423.66579999999999</v>
      </c>
      <c r="H5107" s="1">
        <v>-1.3953879999999999E-6</v>
      </c>
      <c r="I5107">
        <v>50.568150000000003</v>
      </c>
      <c r="J5107">
        <v>-422.21019999999999</v>
      </c>
      <c r="K5107">
        <v>1.1091599999999999</v>
      </c>
      <c r="L5107">
        <v>84.617099999999994</v>
      </c>
      <c r="M5107">
        <v>-7.8025019999999898E-3</v>
      </c>
      <c r="N5107">
        <v>-9.5432659999999999E-3</v>
      </c>
      <c r="O5107">
        <v>-0.99992400000000004</v>
      </c>
      <c r="P5107">
        <v>4.1389860000000001E-2</v>
      </c>
      <c r="Q5107">
        <v>0.14487739999999999</v>
      </c>
      <c r="R5107">
        <v>-0.98858369999999995</v>
      </c>
      <c r="S5107">
        <v>-0.1299438</v>
      </c>
      <c r="T5107">
        <v>-9.8865750000000002E-2</v>
      </c>
      <c r="U5107">
        <v>-3.0547490000000002</v>
      </c>
      <c r="V5107">
        <v>-4.8902059999999997E-2</v>
      </c>
      <c r="W5107">
        <v>0.15436549999999999</v>
      </c>
      <c r="X5107">
        <v>0.98680290000000004</v>
      </c>
      <c r="Y5107">
        <v>3.4684819999999998E-2</v>
      </c>
      <c r="Z5107">
        <v>2.27837E-2</v>
      </c>
      <c r="AA5107">
        <v>0.99913850000000004</v>
      </c>
      <c r="AB5107">
        <v>27</v>
      </c>
      <c r="AC5107">
        <v>-1.4556</v>
      </c>
      <c r="AD5107">
        <v>-1.109161395388</v>
      </c>
      <c r="AE5107">
        <v>-34.048949999999898</v>
      </c>
      <c r="AF5107">
        <v>1.1886175672061901</v>
      </c>
      <c r="AG5107">
        <v>-1.109161395388</v>
      </c>
      <c r="AH5107">
        <v>34.023232967089001</v>
      </c>
      <c r="AI5107">
        <v>91.8660502822122</v>
      </c>
      <c r="AJ5107">
        <v>87.999158862619893</v>
      </c>
      <c r="AK5107">
        <v>34.062052672364104</v>
      </c>
      <c r="AL5107">
        <v>81.120001171339496</v>
      </c>
      <c r="AM5107">
        <v>92.837031993261107</v>
      </c>
      <c r="AN5107">
        <v>1.0000000412554499</v>
      </c>
    </row>
    <row r="5108" spans="1:40" x14ac:dyDescent="0.25">
      <c r="A5108" t="str">
        <f>"20190304155737915"</f>
        <v>20190304155737915</v>
      </c>
      <c r="B5108" t="str">
        <f>"1551686257910412"</f>
        <v>1551686257910412</v>
      </c>
      <c r="C5108" t="s">
        <v>40</v>
      </c>
      <c r="D5108">
        <v>4.6736959999999996</v>
      </c>
      <c r="E5108">
        <v>0.53013060000000001</v>
      </c>
      <c r="F5108" t="s">
        <v>41</v>
      </c>
      <c r="G5108">
        <v>-423.60660000000001</v>
      </c>
      <c r="H5108" s="1">
        <v>-1.832446E-6</v>
      </c>
      <c r="I5108">
        <v>51.623649999999998</v>
      </c>
      <c r="J5108">
        <v>-422.2131</v>
      </c>
      <c r="K5108">
        <v>1.109164</v>
      </c>
      <c r="L5108">
        <v>84.343990000000005</v>
      </c>
      <c r="M5108">
        <v>-8.4975709999999902E-3</v>
      </c>
      <c r="N5108">
        <v>-9.5461560000000001E-3</v>
      </c>
      <c r="O5108">
        <v>-0.99991830000000004</v>
      </c>
      <c r="P5108">
        <v>4.0610019999999997E-2</v>
      </c>
      <c r="Q5108">
        <v>0.14487139999999901</v>
      </c>
      <c r="R5108">
        <v>-0.98861690000000002</v>
      </c>
      <c r="S5108">
        <v>-0.129303</v>
      </c>
      <c r="T5108">
        <v>-0.1027057</v>
      </c>
      <c r="U5108">
        <v>-3.0551149999999998</v>
      </c>
      <c r="V5108">
        <v>-4.8812220000000003E-2</v>
      </c>
      <c r="W5108">
        <v>0.15436129999999901</v>
      </c>
      <c r="X5108">
        <v>0.98680789999999996</v>
      </c>
      <c r="Y5108">
        <v>3.3774539999999999E-2</v>
      </c>
      <c r="Z5108">
        <v>2.4031650000000002E-2</v>
      </c>
      <c r="AA5108">
        <v>0.99914049999999999</v>
      </c>
      <c r="AB5108">
        <v>27</v>
      </c>
      <c r="AC5108">
        <v>-1.39350000000001</v>
      </c>
      <c r="AD5108">
        <v>-1.1091658324460001</v>
      </c>
      <c r="AE5108">
        <v>-32.72034</v>
      </c>
      <c r="AF5108">
        <v>1.11411568216641</v>
      </c>
      <c r="AG5108">
        <v>-1.1091658324460001</v>
      </c>
      <c r="AH5108">
        <v>32.693500384839702</v>
      </c>
      <c r="AI5108">
        <v>91.941955726945295</v>
      </c>
      <c r="AJ5108">
        <v>88.048253227104297</v>
      </c>
      <c r="AK5108">
        <v>32.731276632765699</v>
      </c>
      <c r="AL5108">
        <v>81.120243805296994</v>
      </c>
      <c r="AM5108">
        <v>92.831814130818401</v>
      </c>
      <c r="AN5108">
        <v>0.99999993763071204</v>
      </c>
    </row>
    <row r="5109" spans="1:40" x14ac:dyDescent="0.25">
      <c r="A5109" t="str">
        <f>"20190304155737937"</f>
        <v>20190304155737937</v>
      </c>
      <c r="B5109" t="str">
        <f>"1551686257930440"</f>
        <v>1551686257930440</v>
      </c>
      <c r="C5109" t="s">
        <v>40</v>
      </c>
      <c r="D5109">
        <v>4.6614309999999897</v>
      </c>
      <c r="E5109">
        <v>0.52995369999999997</v>
      </c>
      <c r="F5109" t="s">
        <v>41</v>
      </c>
      <c r="G5109">
        <v>-423.59660000000002</v>
      </c>
      <c r="H5109" s="1">
        <v>-2.0052120000000002E-6</v>
      </c>
      <c r="I5109">
        <v>52.032550000000001</v>
      </c>
      <c r="J5109">
        <v>-422.21609999999998</v>
      </c>
      <c r="K5109">
        <v>1.1091610000000001</v>
      </c>
      <c r="L5109">
        <v>84.075289999999995</v>
      </c>
      <c r="M5109">
        <v>-9.1646200000000001E-3</v>
      </c>
      <c r="N5109">
        <v>-9.549096E-3</v>
      </c>
      <c r="O5109">
        <v>-0.99991249999999998</v>
      </c>
      <c r="P5109">
        <v>3.9702719999999997E-2</v>
      </c>
      <c r="Q5109">
        <v>0.14436089999999999</v>
      </c>
      <c r="R5109">
        <v>-0.9887283</v>
      </c>
      <c r="S5109">
        <v>-0.1308289</v>
      </c>
      <c r="T5109">
        <v>-0.10488020000000001</v>
      </c>
      <c r="U5109">
        <v>-3.0552980000000001</v>
      </c>
      <c r="V5109">
        <v>-4.8569550000000003E-2</v>
      </c>
      <c r="W5109">
        <v>0.15385289999999999</v>
      </c>
      <c r="X5109">
        <v>0.98689930000000003</v>
      </c>
      <c r="Y5109">
        <v>3.3602559999999997E-2</v>
      </c>
      <c r="Z5109">
        <v>2.4736419999999999E-2</v>
      </c>
      <c r="AA5109">
        <v>0.99912909999999999</v>
      </c>
      <c r="AB5109">
        <v>27</v>
      </c>
      <c r="AC5109">
        <v>-1.38050000000004</v>
      </c>
      <c r="AD5109">
        <v>-1.1091630052120001</v>
      </c>
      <c r="AE5109">
        <v>-32.042739999999903</v>
      </c>
      <c r="AF5109">
        <v>1.08547091264495</v>
      </c>
      <c r="AG5109">
        <v>-1.1091630052120001</v>
      </c>
      <c r="AH5109">
        <v>32.015756148206101</v>
      </c>
      <c r="AI5109">
        <v>91.983039278303806</v>
      </c>
      <c r="AJ5109">
        <v>88.058172108354</v>
      </c>
      <c r="AK5109">
        <v>32.053348209129801</v>
      </c>
      <c r="AL5109">
        <v>81.149725469945693</v>
      </c>
      <c r="AM5109">
        <v>92.817497968088603</v>
      </c>
      <c r="AN5109">
        <v>0.99999997218305003</v>
      </c>
    </row>
    <row r="5110" spans="1:40" x14ac:dyDescent="0.25">
      <c r="A5110" t="str">
        <f>"20190304155737959"</f>
        <v>20190304155737959</v>
      </c>
      <c r="B5110" t="str">
        <f>"1551686257949960"</f>
        <v>1551686257949960</v>
      </c>
      <c r="C5110" t="s">
        <v>40</v>
      </c>
      <c r="D5110">
        <v>4.6727759999999998</v>
      </c>
      <c r="E5110">
        <v>0.5298522</v>
      </c>
      <c r="F5110" t="s">
        <v>41</v>
      </c>
      <c r="G5110">
        <v>-423.55849999999998</v>
      </c>
      <c r="H5110" s="1">
        <v>-2.4009819999999999E-6</v>
      </c>
      <c r="I5110">
        <v>52.97878</v>
      </c>
      <c r="J5110">
        <v>-422.2192</v>
      </c>
      <c r="K5110">
        <v>1.1091719999999901</v>
      </c>
      <c r="L5110">
        <v>83.807919999999996</v>
      </c>
      <c r="M5110">
        <v>-9.8082329999999995E-3</v>
      </c>
      <c r="N5110">
        <v>-9.552095E-3</v>
      </c>
      <c r="O5110">
        <v>-0.99990630000000003</v>
      </c>
      <c r="P5110">
        <v>3.8943480000000003E-2</v>
      </c>
      <c r="Q5110">
        <v>0.1437215</v>
      </c>
      <c r="R5110">
        <v>-0.98885140000000005</v>
      </c>
      <c r="S5110">
        <v>-0.13189699999999999</v>
      </c>
      <c r="T5110">
        <v>-0.108982</v>
      </c>
      <c r="U5110">
        <v>-3.0554199999999998</v>
      </c>
      <c r="V5110">
        <v>-4.8453469999999998E-2</v>
      </c>
      <c r="W5110">
        <v>0.15321589999999999</v>
      </c>
      <c r="X5110">
        <v>0.98700410000000005</v>
      </c>
      <c r="Y5110">
        <v>3.3304559999999997E-2</v>
      </c>
      <c r="Z5110">
        <v>2.6071090000000002E-2</v>
      </c>
      <c r="AA5110">
        <v>0.99910520000000003</v>
      </c>
      <c r="AB5110">
        <v>27</v>
      </c>
      <c r="AC5110">
        <v>-1.33929999999998</v>
      </c>
      <c r="AD5110">
        <v>-1.1091744009819999</v>
      </c>
      <c r="AE5110">
        <v>-30.829139999999899</v>
      </c>
      <c r="AF5110">
        <v>1.03550453712082</v>
      </c>
      <c r="AG5110">
        <v>-1.1091744009819999</v>
      </c>
      <c r="AH5110">
        <v>30.8009992134523</v>
      </c>
      <c r="AI5110">
        <v>92.061222905244094</v>
      </c>
      <c r="AJ5110">
        <v>88.074487720599095</v>
      </c>
      <c r="AK5110">
        <v>30.838354204549901</v>
      </c>
      <c r="AL5110">
        <v>81.186660813580602</v>
      </c>
      <c r="AM5110">
        <v>92.810477061087298</v>
      </c>
      <c r="AN5110">
        <v>0.99999997209233005</v>
      </c>
    </row>
    <row r="5111" spans="1:40" x14ac:dyDescent="0.25">
      <c r="A5111" t="str">
        <f>"20190304155737982"</f>
        <v>20190304155737982</v>
      </c>
      <c r="B5111" t="str">
        <f>"1551686257969479"</f>
        <v>1551686257969479</v>
      </c>
      <c r="C5111" t="s">
        <v>40</v>
      </c>
      <c r="D5111">
        <v>4.6803100000000004</v>
      </c>
      <c r="E5111">
        <v>0.5297636</v>
      </c>
      <c r="F5111" t="s">
        <v>41</v>
      </c>
      <c r="G5111">
        <v>-423.52260000000001</v>
      </c>
      <c r="H5111" s="1">
        <v>-2.7593820000000001E-6</v>
      </c>
      <c r="I5111">
        <v>53.836480000000002</v>
      </c>
      <c r="J5111">
        <v>-422.22269999999997</v>
      </c>
      <c r="K5111">
        <v>1.1091899999999999</v>
      </c>
      <c r="L5111">
        <v>83.530429999999996</v>
      </c>
      <c r="M5111">
        <v>-1.044984E-2</v>
      </c>
      <c r="N5111">
        <v>-9.5552710000000006E-3</v>
      </c>
      <c r="O5111">
        <v>-0.99990000000000001</v>
      </c>
      <c r="P5111">
        <v>3.8237790000000001E-2</v>
      </c>
      <c r="Q5111">
        <v>0.1432927</v>
      </c>
      <c r="R5111">
        <v>-0.98894150000000003</v>
      </c>
      <c r="S5111">
        <v>-0.13287349999999901</v>
      </c>
      <c r="T5111">
        <v>-0.1130763</v>
      </c>
      <c r="U5111">
        <v>-3.0554809999999999</v>
      </c>
      <c r="V5111">
        <v>-4.8389399999999999E-2</v>
      </c>
      <c r="W5111">
        <v>0.15278900000000001</v>
      </c>
      <c r="X5111">
        <v>0.98707339999999999</v>
      </c>
      <c r="Y5111">
        <v>3.2979429999999997E-2</v>
      </c>
      <c r="Z5111">
        <v>2.7403609999999998E-2</v>
      </c>
      <c r="AA5111">
        <v>0.99908030000000003</v>
      </c>
      <c r="AB5111">
        <v>27</v>
      </c>
      <c r="AC5111">
        <v>-1.29990000000003</v>
      </c>
      <c r="AD5111">
        <v>-1.1091927593819999</v>
      </c>
      <c r="AE5111">
        <v>-29.693950000000001</v>
      </c>
      <c r="AF5111">
        <v>0.98814175381423197</v>
      </c>
      <c r="AG5111">
        <v>-1.1091927593819999</v>
      </c>
      <c r="AH5111">
        <v>29.664600048312899</v>
      </c>
      <c r="AI5111">
        <v>92.140170148392798</v>
      </c>
      <c r="AJ5111">
        <v>88.092156117767601</v>
      </c>
      <c r="AK5111">
        <v>29.701771474601699</v>
      </c>
      <c r="AL5111">
        <v>81.211411652216597</v>
      </c>
      <c r="AM5111">
        <v>92.806569974037799</v>
      </c>
      <c r="AN5111">
        <v>0.999999954770459</v>
      </c>
    </row>
    <row r="5112" spans="1:40" x14ac:dyDescent="0.25">
      <c r="A5112" t="str">
        <f>"20190304155738003"</f>
        <v>20190304155738003</v>
      </c>
      <c r="B5112" t="str">
        <f>"1551686257999736"</f>
        <v>1551686257999736</v>
      </c>
      <c r="C5112" t="s">
        <v>40</v>
      </c>
      <c r="D5112">
        <v>4.8625339999999904</v>
      </c>
      <c r="E5112">
        <v>0.52986040000000001</v>
      </c>
      <c r="F5112" t="s">
        <v>41</v>
      </c>
      <c r="G5112">
        <v>-423.50659999999999</v>
      </c>
      <c r="H5112" s="1">
        <v>-2.9628190000000001E-6</v>
      </c>
      <c r="I5112">
        <v>54.320619999999998</v>
      </c>
      <c r="J5112">
        <v>-422.22620000000001</v>
      </c>
      <c r="K5112">
        <v>1.109205</v>
      </c>
      <c r="L5112">
        <v>83.262299999999996</v>
      </c>
      <c r="M5112">
        <v>-1.1039119999999999E-2</v>
      </c>
      <c r="N5112">
        <v>-9.5584269999999995E-3</v>
      </c>
      <c r="O5112">
        <v>-0.99989349999999999</v>
      </c>
      <c r="P5112">
        <v>3.7577159999999998E-2</v>
      </c>
      <c r="Q5112">
        <v>0.14283779999999999</v>
      </c>
      <c r="R5112">
        <v>-0.98903280000000005</v>
      </c>
      <c r="S5112">
        <v>-0.13430790000000001</v>
      </c>
      <c r="T5112">
        <v>-0.1160302</v>
      </c>
      <c r="U5112">
        <v>-3.0555729999999999</v>
      </c>
      <c r="V5112">
        <v>-4.8320330000000002E-2</v>
      </c>
      <c r="W5112">
        <v>0.15233559999999999</v>
      </c>
      <c r="X5112">
        <v>0.98714690000000005</v>
      </c>
      <c r="Y5112">
        <v>3.2855889999999999E-2</v>
      </c>
      <c r="Z5112">
        <v>2.8363019999999999E-2</v>
      </c>
      <c r="AA5112">
        <v>0.99905759999999999</v>
      </c>
      <c r="AB5112">
        <v>27</v>
      </c>
      <c r="AC5112">
        <v>-1.28039999999998</v>
      </c>
      <c r="AD5112">
        <v>-1.1092079628189999</v>
      </c>
      <c r="AE5112">
        <v>-28.941680000000002</v>
      </c>
      <c r="AF5112">
        <v>0.95941025750576603</v>
      </c>
      <c r="AG5112">
        <v>-1.1092079628189999</v>
      </c>
      <c r="AH5112">
        <v>28.911667422696699</v>
      </c>
      <c r="AI5112">
        <v>92.1958909686699</v>
      </c>
      <c r="AJ5112">
        <v>88.099383423428904</v>
      </c>
      <c r="AK5112">
        <v>28.9488397609923</v>
      </c>
      <c r="AL5112">
        <v>81.237697625152094</v>
      </c>
      <c r="AM5112">
        <v>92.802361988788903</v>
      </c>
      <c r="AN5112">
        <v>0.999999995749139</v>
      </c>
    </row>
    <row r="5113" spans="1:40" x14ac:dyDescent="0.25">
      <c r="A5113" t="str">
        <f>"20190304155738026"</f>
        <v>20190304155738026</v>
      </c>
      <c r="B5113" t="str">
        <f>"1551686258020232"</f>
        <v>1551686258020232</v>
      </c>
      <c r="C5113" t="s">
        <v>40</v>
      </c>
      <c r="D5113">
        <v>4.7092199999999904</v>
      </c>
      <c r="E5113">
        <v>0.52969029999999995</v>
      </c>
      <c r="F5113" t="s">
        <v>41</v>
      </c>
      <c r="G5113">
        <v>-423.51670000000001</v>
      </c>
      <c r="H5113" s="1">
        <v>-3.0555019999999999E-6</v>
      </c>
      <c r="I5113">
        <v>54.530430000000003</v>
      </c>
      <c r="J5113">
        <v>-422.22989999999999</v>
      </c>
      <c r="K5113">
        <v>1.1092280000000001</v>
      </c>
      <c r="L5113">
        <v>82.981229999999996</v>
      </c>
      <c r="M5113">
        <v>-1.162272E-2</v>
      </c>
      <c r="N5113">
        <v>-9.5618479999999995E-3</v>
      </c>
      <c r="O5113">
        <v>-0.99988699999999997</v>
      </c>
      <c r="P5113">
        <v>3.7372269999999999E-2</v>
      </c>
      <c r="Q5113">
        <v>0.14284430000000001</v>
      </c>
      <c r="R5113">
        <v>-0.98903980000000002</v>
      </c>
      <c r="S5113">
        <v>-0.13723750000000001</v>
      </c>
      <c r="T5113">
        <v>-0.11795949999999999</v>
      </c>
      <c r="U5113">
        <v>-3.0555110000000001</v>
      </c>
      <c r="V5113">
        <v>-4.8701080000000001E-2</v>
      </c>
      <c r="W5113">
        <v>0.15234320000000001</v>
      </c>
      <c r="X5113">
        <v>0.98712699999999998</v>
      </c>
      <c r="Y5113">
        <v>3.3228439999999998E-2</v>
      </c>
      <c r="Z5113">
        <v>2.898879E-2</v>
      </c>
      <c r="AA5113">
        <v>0.99902729999999995</v>
      </c>
      <c r="AB5113">
        <v>27</v>
      </c>
      <c r="AC5113">
        <v>-1.2868000000000199</v>
      </c>
      <c r="AD5113">
        <v>-1.109231055502</v>
      </c>
      <c r="AE5113">
        <v>-28.450800000000001</v>
      </c>
      <c r="AF5113">
        <v>0.95457433225221699</v>
      </c>
      <c r="AG5113">
        <v>-1.109231055502</v>
      </c>
      <c r="AH5113">
        <v>28.4207224334695</v>
      </c>
      <c r="AI5113">
        <v>92.233801570488495</v>
      </c>
      <c r="AJ5113">
        <v>88.076314632530298</v>
      </c>
      <c r="AK5113">
        <v>28.458374326911301</v>
      </c>
      <c r="AL5113">
        <v>81.237256895263599</v>
      </c>
      <c r="AM5113">
        <v>92.824465008212002</v>
      </c>
      <c r="AN5113">
        <v>0.99999997995420298</v>
      </c>
    </row>
    <row r="5114" spans="1:40" x14ac:dyDescent="0.25">
      <c r="A5114" t="str">
        <f>"20190304155738048"</f>
        <v>20190304155738048</v>
      </c>
      <c r="B5114" t="str">
        <f>"1551686258039752"</f>
        <v>1551686258039752</v>
      </c>
      <c r="C5114" t="s">
        <v>40</v>
      </c>
      <c r="D5114">
        <v>4.6765019999999904</v>
      </c>
      <c r="E5114">
        <v>0.52961369999999997</v>
      </c>
      <c r="F5114" t="s">
        <v>41</v>
      </c>
      <c r="G5114">
        <v>-423.49520000000001</v>
      </c>
      <c r="H5114" s="1">
        <v>-3.0692740000000001E-6</v>
      </c>
      <c r="I5114">
        <v>54.575830000000003</v>
      </c>
      <c r="J5114">
        <v>-422.23360000000002</v>
      </c>
      <c r="K5114">
        <v>1.109251</v>
      </c>
      <c r="L5114">
        <v>82.710139999999996</v>
      </c>
      <c r="M5114">
        <v>-1.215253E-2</v>
      </c>
      <c r="N5114">
        <v>-9.565245E-3</v>
      </c>
      <c r="O5114">
        <v>-0.99988080000000001</v>
      </c>
      <c r="P5114">
        <v>3.6929320000000002E-2</v>
      </c>
      <c r="Q5114">
        <v>0.14296400000000001</v>
      </c>
      <c r="R5114">
        <v>-0.98903909999999995</v>
      </c>
      <c r="S5114">
        <v>-0.13610839999999999</v>
      </c>
      <c r="T5114">
        <v>-0.1193224</v>
      </c>
      <c r="U5114">
        <v>-3.055634</v>
      </c>
      <c r="V5114">
        <v>-4.8790529999999999E-2</v>
      </c>
      <c r="W5114">
        <v>0.15246289999999901</v>
      </c>
      <c r="X5114">
        <v>0.98710410000000004</v>
      </c>
      <c r="Y5114">
        <v>3.2328200000000001E-2</v>
      </c>
      <c r="Z5114">
        <v>2.9429259999999999E-2</v>
      </c>
      <c r="AA5114">
        <v>0.99904389999999998</v>
      </c>
      <c r="AB5114">
        <v>27</v>
      </c>
      <c r="AC5114">
        <v>-1.2615999999999801</v>
      </c>
      <c r="AD5114">
        <v>-1.1092540692739901</v>
      </c>
      <c r="AE5114">
        <v>-28.1343099999999</v>
      </c>
      <c r="AF5114">
        <v>0.91816385854425098</v>
      </c>
      <c r="AG5114">
        <v>-1.1092540692739901</v>
      </c>
      <c r="AH5114">
        <v>28.1039647471523</v>
      </c>
      <c r="AI5114">
        <v>92.259067944247803</v>
      </c>
      <c r="AJ5114">
        <v>88.128797489812797</v>
      </c>
      <c r="AK5114">
        <v>28.140829837986601</v>
      </c>
      <c r="AL5114">
        <v>81.230317509992403</v>
      </c>
      <c r="AM5114">
        <v>92.829709860370997</v>
      </c>
      <c r="AN5114">
        <v>0.99999997796545004</v>
      </c>
    </row>
    <row r="5115" spans="1:40" x14ac:dyDescent="0.25">
      <c r="A5115" t="str">
        <f>"20190304155738071"</f>
        <v>20190304155738071</v>
      </c>
      <c r="B5115" t="str">
        <f>"1551686258060248"</f>
        <v>1551686258060248</v>
      </c>
      <c r="C5115" t="s">
        <v>40</v>
      </c>
      <c r="D5115">
        <v>4.753393</v>
      </c>
      <c r="E5115">
        <v>0.52956099999999995</v>
      </c>
      <c r="F5115" t="s">
        <v>41</v>
      </c>
      <c r="G5115">
        <v>-423.5086</v>
      </c>
      <c r="H5115" s="1">
        <v>-2.9747469999999999E-6</v>
      </c>
      <c r="I5115">
        <v>54.347160000000002</v>
      </c>
      <c r="J5115">
        <v>-422.23759999999999</v>
      </c>
      <c r="K5115">
        <v>1.109275</v>
      </c>
      <c r="L5115">
        <v>82.428190000000001</v>
      </c>
      <c r="M5115">
        <v>-1.267048E-2</v>
      </c>
      <c r="N5115">
        <v>-9.5688600000000002E-3</v>
      </c>
      <c r="O5115">
        <v>-0.99987409999999999</v>
      </c>
      <c r="P5115">
        <v>3.6328619999999999E-2</v>
      </c>
      <c r="Q5115">
        <v>0.14276849999999999</v>
      </c>
      <c r="R5115">
        <v>-0.98908949999999995</v>
      </c>
      <c r="S5115">
        <v>-0.1373596</v>
      </c>
      <c r="T5115">
        <v>-0.119503399999999</v>
      </c>
      <c r="U5115">
        <v>-3.055634</v>
      </c>
      <c r="V5115">
        <v>-4.8711530000000003E-2</v>
      </c>
      <c r="W5115">
        <v>0.15226819999999999</v>
      </c>
      <c r="X5115">
        <v>0.98713810000000002</v>
      </c>
      <c r="Y5115">
        <v>3.2218660000000003E-2</v>
      </c>
      <c r="Z5115">
        <v>2.9484170000000001E-2</v>
      </c>
      <c r="AA5115">
        <v>0.99904579999999998</v>
      </c>
      <c r="AB5115">
        <v>28</v>
      </c>
      <c r="AC5115">
        <v>-1.2710000000000099</v>
      </c>
      <c r="AD5115">
        <v>-1.1092779747470001</v>
      </c>
      <c r="AE5115">
        <v>-28.081029999999998</v>
      </c>
      <c r="AF5115">
        <v>0.91365878055050798</v>
      </c>
      <c r="AG5115">
        <v>-1.1092779747470001</v>
      </c>
      <c r="AH5115">
        <v>28.051197051238699</v>
      </c>
      <c r="AI5115">
        <v>92.263369139715493</v>
      </c>
      <c r="AJ5115">
        <v>88.134472057181398</v>
      </c>
      <c r="AK5115">
        <v>28.087985438616901</v>
      </c>
      <c r="AL5115">
        <v>81.241605185542596</v>
      </c>
      <c r="AM5115">
        <v>92.825038368707496</v>
      </c>
      <c r="AN5115">
        <v>1.0000000231788899</v>
      </c>
    </row>
    <row r="5116" spans="1:40" x14ac:dyDescent="0.25">
      <c r="A5116" t="str">
        <f>"20190304155738094"</f>
        <v>20190304155738094</v>
      </c>
      <c r="B5116" t="str">
        <f>"1551686258089527"</f>
        <v>1551686258089527</v>
      </c>
      <c r="C5116" t="s">
        <v>40</v>
      </c>
      <c r="D5116">
        <v>4.7042960000000003</v>
      </c>
      <c r="E5116">
        <v>0.52951780000000004</v>
      </c>
      <c r="F5116" t="s">
        <v>41</v>
      </c>
      <c r="G5116">
        <v>-423.52010000000001</v>
      </c>
      <c r="H5116" s="1">
        <v>-2.9307149999999999E-6</v>
      </c>
      <c r="I5116">
        <v>54.237400000000001</v>
      </c>
      <c r="J5116">
        <v>-422.24169999999998</v>
      </c>
      <c r="K5116">
        <v>1.1092949999999999</v>
      </c>
      <c r="L5116">
        <v>82.147310000000004</v>
      </c>
      <c r="M5116">
        <v>-1.3156640000000001E-2</v>
      </c>
      <c r="N5116">
        <v>-9.5724290000000004E-3</v>
      </c>
      <c r="O5116">
        <v>-0.99986779999999997</v>
      </c>
      <c r="P5116">
        <v>3.6133770000000003E-2</v>
      </c>
      <c r="Q5116">
        <v>0.14308180000000001</v>
      </c>
      <c r="R5116">
        <v>-0.98905129999999997</v>
      </c>
      <c r="S5116">
        <v>-0.13900760000000001</v>
      </c>
      <c r="T5116">
        <v>-0.12023349999999999</v>
      </c>
      <c r="U5116">
        <v>-3.0555729999999999</v>
      </c>
      <c r="V5116">
        <v>-4.9003789999999998E-2</v>
      </c>
      <c r="W5116">
        <v>0.15258260000000001</v>
      </c>
      <c r="X5116">
        <v>0.98707509999999998</v>
      </c>
      <c r="Y5116">
        <v>3.2270930000000003E-2</v>
      </c>
      <c r="Z5116">
        <v>2.9718919999999999E-2</v>
      </c>
      <c r="AA5116">
        <v>0.99903719999999996</v>
      </c>
      <c r="AB5116">
        <v>28</v>
      </c>
      <c r="AC5116">
        <v>-1.27840000000003</v>
      </c>
      <c r="AD5116">
        <v>-1.1092979307149999</v>
      </c>
      <c r="AE5116">
        <v>-27.90991</v>
      </c>
      <c r="AF5116">
        <v>0.90963797907773003</v>
      </c>
      <c r="AG5116">
        <v>-1.1092979307149999</v>
      </c>
      <c r="AH5116">
        <v>27.8803634306751</v>
      </c>
      <c r="AI5116">
        <v>92.277259932843506</v>
      </c>
      <c r="AJ5116">
        <v>88.131303564444806</v>
      </c>
      <c r="AK5116">
        <v>27.917246429019301</v>
      </c>
      <c r="AL5116">
        <v>81.223378536157</v>
      </c>
      <c r="AM5116">
        <v>92.842141452306194</v>
      </c>
      <c r="AN5116">
        <v>1.00000003714856</v>
      </c>
    </row>
    <row r="5117" spans="1:40" x14ac:dyDescent="0.25">
      <c r="A5117" t="str">
        <f>"20190304155738117"</f>
        <v>20190304155738117</v>
      </c>
      <c r="B5117" t="str">
        <f>"1551686258110024"</f>
        <v>1551686258110024</v>
      </c>
      <c r="C5117" t="s">
        <v>40</v>
      </c>
      <c r="D5117">
        <v>4.7318800000000003</v>
      </c>
      <c r="E5117">
        <v>0.52943189999999996</v>
      </c>
      <c r="F5117" t="s">
        <v>41</v>
      </c>
      <c r="G5117">
        <v>-423.53480000000002</v>
      </c>
      <c r="H5117" s="1">
        <v>-2.7671390000000002E-6</v>
      </c>
      <c r="I5117">
        <v>53.846980000000002</v>
      </c>
      <c r="J5117">
        <v>-422.24599999999998</v>
      </c>
      <c r="K5117">
        <v>1.1093029999999999</v>
      </c>
      <c r="L5117">
        <v>81.862819999999999</v>
      </c>
      <c r="M5117">
        <v>-1.362847E-2</v>
      </c>
      <c r="N5117">
        <v>-9.5761330000000006E-3</v>
      </c>
      <c r="O5117">
        <v>-0.99986160000000002</v>
      </c>
      <c r="P5117">
        <v>3.5949160000000001E-2</v>
      </c>
      <c r="Q5117">
        <v>0.14333979999999999</v>
      </c>
      <c r="R5117">
        <v>-0.98902069999999997</v>
      </c>
      <c r="S5117">
        <v>-0.13961789999999999</v>
      </c>
      <c r="T5117">
        <v>-0.119772699999999</v>
      </c>
      <c r="U5117">
        <v>-3.055634</v>
      </c>
      <c r="V5117">
        <v>-4.9290309999999997E-2</v>
      </c>
      <c r="W5117">
        <v>0.1528427</v>
      </c>
      <c r="X5117">
        <v>0.98702060000000003</v>
      </c>
      <c r="Y5117">
        <v>3.1997810000000002E-2</v>
      </c>
      <c r="Z5117">
        <v>2.9563780000000001E-2</v>
      </c>
      <c r="AA5117">
        <v>0.99905060000000001</v>
      </c>
      <c r="AB5117">
        <v>28</v>
      </c>
      <c r="AC5117">
        <v>-1.2888000000000299</v>
      </c>
      <c r="AD5117">
        <v>-1.1093057671390001</v>
      </c>
      <c r="AE5117">
        <v>-28.015840000000001</v>
      </c>
      <c r="AF5117">
        <v>0.90543332283825095</v>
      </c>
      <c r="AG5117">
        <v>-1.1093057671390001</v>
      </c>
      <c r="AH5117">
        <v>27.987017202623601</v>
      </c>
      <c r="AI5117">
        <v>92.268626970415298</v>
      </c>
      <c r="AJ5117">
        <v>88.147018673457893</v>
      </c>
      <c r="AK5117">
        <v>28.023623974908499</v>
      </c>
      <c r="AL5117">
        <v>81.208299102868494</v>
      </c>
      <c r="AM5117">
        <v>92.8588892563683</v>
      </c>
      <c r="AN5117">
        <v>1.0000000452137701</v>
      </c>
    </row>
    <row r="5118" spans="1:40" x14ac:dyDescent="0.25">
      <c r="A5118" t="str">
        <f>"20190304155738137"</f>
        <v>20190304155738137</v>
      </c>
      <c r="B5118" t="str">
        <f>"1551686258129544"</f>
        <v>1551686258129544</v>
      </c>
      <c r="C5118" t="s">
        <v>40</v>
      </c>
      <c r="D5118">
        <v>4.6465350000000001</v>
      </c>
      <c r="E5118">
        <v>0.50852439999999999</v>
      </c>
      <c r="F5118" t="s">
        <v>41</v>
      </c>
      <c r="G5118">
        <v>-423.5378</v>
      </c>
      <c r="H5118" s="1">
        <v>-2.6345630000000002E-6</v>
      </c>
      <c r="I5118">
        <v>53.53613</v>
      </c>
      <c r="J5118">
        <v>-422.24990000000003</v>
      </c>
      <c r="K5118">
        <v>1.1093109999999999</v>
      </c>
      <c r="L5118">
        <v>81.607089999999999</v>
      </c>
      <c r="M5118">
        <v>-1.4037010000000001E-2</v>
      </c>
      <c r="N5118">
        <v>-9.5795210000000006E-3</v>
      </c>
      <c r="O5118">
        <v>-0.99985559999999996</v>
      </c>
      <c r="P5118">
        <v>3.5261510000000003E-2</v>
      </c>
      <c r="Q5118">
        <v>0.14344199999999999</v>
      </c>
      <c r="R5118">
        <v>-0.98903030000000003</v>
      </c>
      <c r="S5118">
        <v>-0.1393433</v>
      </c>
      <c r="T5118">
        <v>-0.1196656</v>
      </c>
      <c r="U5118">
        <v>-3.0557249999999998</v>
      </c>
      <c r="V5118">
        <v>-4.9010400000000003E-2</v>
      </c>
      <c r="W5118">
        <v>0.15294639999999901</v>
      </c>
      <c r="X5118">
        <v>0.98701839999999996</v>
      </c>
      <c r="Y5118">
        <v>3.1498610000000003E-2</v>
      </c>
      <c r="Z5118">
        <v>2.9524439999999999E-2</v>
      </c>
      <c r="AA5118">
        <v>0.9990677</v>
      </c>
      <c r="AB5118">
        <v>28</v>
      </c>
      <c r="AC5118">
        <v>-1.2878999999999701</v>
      </c>
      <c r="AD5118">
        <v>-1.1093136345629999</v>
      </c>
      <c r="AE5118">
        <v>-28.0709599999999</v>
      </c>
      <c r="AF5118">
        <v>0.89233206096781204</v>
      </c>
      <c r="AG5118">
        <v>-1.1093136345629999</v>
      </c>
      <c r="AH5118">
        <v>28.042571441161499</v>
      </c>
      <c r="AI5118">
        <v>92.264191906550096</v>
      </c>
      <c r="AJ5118">
        <v>88.177427651395405</v>
      </c>
      <c r="AK5118">
        <v>28.078686690789201</v>
      </c>
      <c r="AL5118">
        <v>81.202286185910907</v>
      </c>
      <c r="AM5118">
        <v>92.842687216101297</v>
      </c>
      <c r="AN5118">
        <v>0.99999997125983897</v>
      </c>
    </row>
    <row r="5119" spans="1:40" x14ac:dyDescent="0.25">
      <c r="A5119" t="str">
        <f>"20190304155738159"</f>
        <v>20190304155738159</v>
      </c>
      <c r="B5119" t="str">
        <f>"1551686258150041"</f>
        <v>1551686258150041</v>
      </c>
      <c r="C5119" t="s">
        <v>40</v>
      </c>
      <c r="D5119">
        <v>4.6428760000000002</v>
      </c>
      <c r="E5119">
        <v>0.50679649999999998</v>
      </c>
      <c r="F5119" t="s">
        <v>41</v>
      </c>
      <c r="G5119">
        <v>-422.05439999999999</v>
      </c>
      <c r="H5119" s="1">
        <v>-3.8861589999999997E-6</v>
      </c>
      <c r="I5119">
        <v>57.373620000000003</v>
      </c>
      <c r="J5119">
        <v>-422.2543</v>
      </c>
      <c r="K5119">
        <v>1.109321</v>
      </c>
      <c r="L5119">
        <v>81.327029999999993</v>
      </c>
      <c r="M5119">
        <v>-1.44683E-2</v>
      </c>
      <c r="N5119">
        <v>-9.5832290000000004E-3</v>
      </c>
      <c r="O5119">
        <v>-0.99984960000000001</v>
      </c>
      <c r="P5119">
        <v>3.4742450000000001E-2</v>
      </c>
      <c r="Q5119">
        <v>0.1429744</v>
      </c>
      <c r="R5119">
        <v>-0.98911669999999996</v>
      </c>
      <c r="S5119">
        <v>2.4627690000000001E-2</v>
      </c>
      <c r="T5119">
        <v>-0.13973829999999901</v>
      </c>
      <c r="U5119">
        <v>-3.0526430000000002</v>
      </c>
      <c r="V5119">
        <v>-4.8923130000000002E-2</v>
      </c>
      <c r="W5119">
        <v>0.1524817</v>
      </c>
      <c r="X5119">
        <v>0.98709460000000004</v>
      </c>
      <c r="Y5119">
        <v>-2.2523809999999998E-2</v>
      </c>
      <c r="Z5119">
        <v>3.6138709999999998E-2</v>
      </c>
      <c r="AA5119">
        <v>0.99909289999999995</v>
      </c>
      <c r="AB5119">
        <v>28</v>
      </c>
      <c r="AC5119">
        <v>0.19990000000001301</v>
      </c>
      <c r="AD5119">
        <v>-1.1093248861589999</v>
      </c>
      <c r="AE5119">
        <v>-23.953410000000002</v>
      </c>
      <c r="AF5119">
        <v>-0.54529059612663899</v>
      </c>
      <c r="AG5119">
        <v>-1.1093248861589999</v>
      </c>
      <c r="AH5119">
        <v>23.8967604578005</v>
      </c>
      <c r="AI5119">
        <v>92.657160647043398</v>
      </c>
      <c r="AJ5119">
        <v>91.307182574713494</v>
      </c>
      <c r="AK5119">
        <v>23.928708780767401</v>
      </c>
      <c r="AL5119">
        <v>81.229227318145504</v>
      </c>
      <c r="AM5119">
        <v>92.837414990280294</v>
      </c>
      <c r="AN5119">
        <v>0.99999994541652204</v>
      </c>
    </row>
    <row r="5120" spans="1:40" x14ac:dyDescent="0.25">
      <c r="A5120" t="str">
        <f>"20190304155738183"</f>
        <v>20190304155738183</v>
      </c>
      <c r="B5120" t="str">
        <f>"1551686258180296"</f>
        <v>1551686258180296</v>
      </c>
      <c r="C5120" t="s">
        <v>40</v>
      </c>
      <c r="D5120">
        <v>4.7913370000000004</v>
      </c>
      <c r="E5120">
        <v>0.50546709999999995</v>
      </c>
      <c r="F5120" t="s">
        <v>41</v>
      </c>
      <c r="G5120">
        <v>-421.96620000000001</v>
      </c>
      <c r="H5120" s="1">
        <v>-3.800897E-6</v>
      </c>
      <c r="I5120">
        <v>57.22963</v>
      </c>
      <c r="J5120">
        <v>-422.25889999999998</v>
      </c>
      <c r="K5120">
        <v>1.1093360000000001</v>
      </c>
      <c r="L5120">
        <v>81.045869999999994</v>
      </c>
      <c r="M5120">
        <v>-1.488388E-2</v>
      </c>
      <c r="N5120">
        <v>-9.5869530000000005E-3</v>
      </c>
      <c r="O5120">
        <v>-0.99984320000000004</v>
      </c>
      <c r="P5120">
        <v>3.4914430000000003E-2</v>
      </c>
      <c r="Q5120">
        <v>0.14293149999999999</v>
      </c>
      <c r="R5120">
        <v>-0.98911649999999995</v>
      </c>
      <c r="S5120">
        <v>3.649902E-2</v>
      </c>
      <c r="T5120">
        <v>-0.1405004</v>
      </c>
      <c r="U5120">
        <v>-3.0520320000000001</v>
      </c>
      <c r="V5120">
        <v>-4.9509900000000003E-2</v>
      </c>
      <c r="W5120">
        <v>0.1524412</v>
      </c>
      <c r="X5120">
        <v>0.98707160000000005</v>
      </c>
      <c r="Y5120">
        <v>-2.6825169999999999E-2</v>
      </c>
      <c r="Z5120">
        <v>3.6389009999999999E-2</v>
      </c>
      <c r="AA5120">
        <v>0.99897760000000002</v>
      </c>
      <c r="AB5120">
        <v>28</v>
      </c>
      <c r="AC5120">
        <v>0.29269999999996799</v>
      </c>
      <c r="AD5120">
        <v>-1.1093398008969999</v>
      </c>
      <c r="AE5120">
        <v>-23.816239999999901</v>
      </c>
      <c r="AF5120">
        <v>-0.645761105940314</v>
      </c>
      <c r="AG5120">
        <v>-1.1093398008969999</v>
      </c>
      <c r="AH5120">
        <v>23.757707585870001</v>
      </c>
      <c r="AI5120">
        <v>92.672435421575301</v>
      </c>
      <c r="AJ5120">
        <v>91.556980107108799</v>
      </c>
      <c r="AK5120">
        <v>23.792358267635102</v>
      </c>
      <c r="AL5120">
        <v>81.231575256367407</v>
      </c>
      <c r="AM5120">
        <v>92.871456312436194</v>
      </c>
      <c r="AN5120">
        <v>0.999999946591003</v>
      </c>
    </row>
    <row r="5121" spans="1:40" x14ac:dyDescent="0.25">
      <c r="A5121" t="str">
        <f>"20190304155738204"</f>
        <v>20190304155738204</v>
      </c>
      <c r="B5121" t="str">
        <f>"1551686258199819"</f>
        <v>1551686258199819</v>
      </c>
      <c r="C5121" t="s">
        <v>40</v>
      </c>
      <c r="D5121">
        <v>4.6734479999999996</v>
      </c>
      <c r="E5121">
        <v>0.50503069999999906</v>
      </c>
      <c r="F5121" t="s">
        <v>41</v>
      </c>
      <c r="G5121">
        <v>-421.90699999999998</v>
      </c>
      <c r="H5121" s="1">
        <v>-4.24010299999999E-6</v>
      </c>
      <c r="I5121">
        <v>58.452500000000001</v>
      </c>
      <c r="J5121">
        <v>-422.26339999999999</v>
      </c>
      <c r="K5121">
        <v>1.1093470000000001</v>
      </c>
      <c r="L5121">
        <v>80.77158</v>
      </c>
      <c r="M5121">
        <v>-1.5269659999999999E-2</v>
      </c>
      <c r="N5121">
        <v>-9.5904809999999997E-3</v>
      </c>
      <c r="O5121">
        <v>-0.99983739999999999</v>
      </c>
      <c r="P5121">
        <v>3.4790710000000002E-2</v>
      </c>
      <c r="Q5121">
        <v>0.14296909999999999</v>
      </c>
      <c r="R5121">
        <v>-0.98911530000000003</v>
      </c>
      <c r="S5121">
        <v>4.7546390000000001E-2</v>
      </c>
      <c r="T5121">
        <v>-0.1499035</v>
      </c>
      <c r="U5121">
        <v>-3.0530089999999999</v>
      </c>
      <c r="V5121">
        <v>-4.9773169999999999E-2</v>
      </c>
      <c r="W5121">
        <v>0.1524808</v>
      </c>
      <c r="X5121">
        <v>0.98705229999999999</v>
      </c>
      <c r="Y5121">
        <v>-3.0817629999999999E-2</v>
      </c>
      <c r="Z5121">
        <v>3.9435659999999997E-2</v>
      </c>
      <c r="AA5121">
        <v>0.99874680000000005</v>
      </c>
      <c r="AB5121">
        <v>28</v>
      </c>
      <c r="AC5121">
        <v>0.35640000000000699</v>
      </c>
      <c r="AD5121">
        <v>-1.1093512401029999</v>
      </c>
      <c r="AE5121">
        <v>-22.31908</v>
      </c>
      <c r="AF5121">
        <v>-0.69546118561635895</v>
      </c>
      <c r="AG5121">
        <v>-1.1093512401029999</v>
      </c>
      <c r="AH5121">
        <v>22.256065581958499</v>
      </c>
      <c r="AI5121">
        <v>92.852150578916806</v>
      </c>
      <c r="AJ5121">
        <v>91.789805511488595</v>
      </c>
      <c r="AK5121">
        <v>22.294546006210901</v>
      </c>
      <c r="AL5121">
        <v>81.229280002432404</v>
      </c>
      <c r="AM5121">
        <v>92.886755936302507</v>
      </c>
      <c r="AN5121">
        <v>1.0000000028778799</v>
      </c>
    </row>
    <row r="5122" spans="1:40" x14ac:dyDescent="0.25">
      <c r="A5122" t="str">
        <f>"20190304155738226"</f>
        <v>20190304155738226</v>
      </c>
      <c r="B5122" t="str">
        <f>"1551686258220316"</f>
        <v>1551686258220316</v>
      </c>
      <c r="C5122" t="s">
        <v>40</v>
      </c>
      <c r="D5122">
        <v>4.6607589999999997</v>
      </c>
      <c r="E5122">
        <v>0.50506419999999996</v>
      </c>
      <c r="F5122" t="s">
        <v>41</v>
      </c>
      <c r="G5122">
        <v>-421.89210000000003</v>
      </c>
      <c r="H5122" s="1">
        <v>-4.0556529999999997E-6</v>
      </c>
      <c r="I5122">
        <v>57.918239999999997</v>
      </c>
      <c r="J5122">
        <v>-422.26799999999997</v>
      </c>
      <c r="K5122">
        <v>1.1093599999999999</v>
      </c>
      <c r="L5122">
        <v>80.494749999999996</v>
      </c>
      <c r="M5122">
        <v>-1.5632469999999999E-2</v>
      </c>
      <c r="N5122">
        <v>-9.5941289999999999E-3</v>
      </c>
      <c r="O5122">
        <v>-0.9998319</v>
      </c>
      <c r="P5122">
        <v>3.4856730000000002E-2</v>
      </c>
      <c r="Q5122">
        <v>0.14284369999999999</v>
      </c>
      <c r="R5122">
        <v>-0.98913130000000005</v>
      </c>
      <c r="S5122">
        <v>4.9591059999999999E-2</v>
      </c>
      <c r="T5122">
        <v>-0.14818499999999901</v>
      </c>
      <c r="U5122">
        <v>-3.0527039999999999</v>
      </c>
      <c r="V5122">
        <v>-5.0205729999999997E-2</v>
      </c>
      <c r="W5122">
        <v>0.152357299999999</v>
      </c>
      <c r="X5122">
        <v>0.98704950000000002</v>
      </c>
      <c r="Y5122">
        <v>-3.1850799999999999E-2</v>
      </c>
      <c r="Z5122">
        <v>3.887446E-2</v>
      </c>
      <c r="AA5122">
        <v>0.99873639999999997</v>
      </c>
      <c r="AB5122">
        <v>28</v>
      </c>
      <c r="AC5122">
        <v>0.37590000000000101</v>
      </c>
      <c r="AD5122">
        <v>-1.109364055653</v>
      </c>
      <c r="AE5122">
        <v>-22.576509999999899</v>
      </c>
      <c r="AF5122">
        <v>-0.72704189230840699</v>
      </c>
      <c r="AG5122">
        <v>-1.109364055653</v>
      </c>
      <c r="AH5122">
        <v>22.513529732957199</v>
      </c>
      <c r="AI5122">
        <v>92.819525515021098</v>
      </c>
      <c r="AJ5122">
        <v>91.849641558136398</v>
      </c>
      <c r="AK5122">
        <v>22.552567471529599</v>
      </c>
      <c r="AL5122">
        <v>81.236440002672595</v>
      </c>
      <c r="AM5122">
        <v>92.911808909344899</v>
      </c>
      <c r="AN5122">
        <v>1.0000000388191801</v>
      </c>
    </row>
    <row r="5123" spans="1:40" x14ac:dyDescent="0.25">
      <c r="A5123" t="str">
        <f>"20190304155738260"</f>
        <v>20190304155738260</v>
      </c>
      <c r="B5123" t="str">
        <f>"1551686258249592"</f>
        <v>1551686258249592</v>
      </c>
      <c r="C5123" t="s">
        <v>40</v>
      </c>
      <c r="D5123">
        <v>4.6589159999999996</v>
      </c>
      <c r="E5123">
        <v>0.50476650000000001</v>
      </c>
      <c r="F5123" t="s">
        <v>41</v>
      </c>
      <c r="G5123">
        <v>-421.87639999999999</v>
      </c>
      <c r="H5123" s="1">
        <v>-3.3308590000000001E-6</v>
      </c>
      <c r="I5123">
        <v>56.18965</v>
      </c>
      <c r="J5123">
        <v>-422.27510000000001</v>
      </c>
      <c r="K5123">
        <v>1.1093949999999999</v>
      </c>
      <c r="L5123">
        <v>80.078130000000002</v>
      </c>
      <c r="M5123">
        <v>-1.6105649999999999E-2</v>
      </c>
      <c r="N5123">
        <v>-9.5999190000000002E-3</v>
      </c>
      <c r="O5123">
        <v>-0.99982439999999995</v>
      </c>
      <c r="P5123">
        <v>3.4787400000000003E-2</v>
      </c>
      <c r="Q5123">
        <v>0.14199890000000001</v>
      </c>
      <c r="R5123">
        <v>-0.98925540000000001</v>
      </c>
      <c r="S5123">
        <v>4.9163819999999997E-2</v>
      </c>
      <c r="T5123">
        <v>-0.1392726</v>
      </c>
      <c r="U5123">
        <v>-3.0513309999999998</v>
      </c>
      <c r="V5123">
        <v>-5.0622309999999997E-2</v>
      </c>
      <c r="W5123">
        <v>0.1515137</v>
      </c>
      <c r="X5123">
        <v>0.98715810000000004</v>
      </c>
      <c r="Y5123">
        <v>-3.2193409999999999E-2</v>
      </c>
      <c r="Z5123">
        <v>3.5978839999999998E-2</v>
      </c>
      <c r="AA5123">
        <v>0.99883390000000005</v>
      </c>
      <c r="AB5123">
        <v>28</v>
      </c>
      <c r="AC5123">
        <v>0.39870000000001898</v>
      </c>
      <c r="AD5123">
        <v>-1.1093983308589901</v>
      </c>
      <c r="AE5123">
        <v>-23.888479999999898</v>
      </c>
      <c r="AF5123">
        <v>-0.78171993850997001</v>
      </c>
      <c r="AG5123">
        <v>-1.1093983308589901</v>
      </c>
      <c r="AH5123">
        <v>23.8275840425244</v>
      </c>
      <c r="AI5123">
        <v>92.664301374300706</v>
      </c>
      <c r="AJ5123">
        <v>91.879048849543906</v>
      </c>
      <c r="AK5123">
        <v>23.8662022957642</v>
      </c>
      <c r="AL5123">
        <v>81.285342706652699</v>
      </c>
      <c r="AM5123">
        <v>92.935605003926398</v>
      </c>
      <c r="AN5123">
        <v>1.0000000669765099</v>
      </c>
    </row>
    <row r="5124" spans="1:40" x14ac:dyDescent="0.25">
      <c r="A5124" t="str">
        <f>"20190304155738283"</f>
        <v>20190304155738283</v>
      </c>
      <c r="B5124" t="str">
        <f>"1551686258279848"</f>
        <v>1551686258279848</v>
      </c>
      <c r="C5124" t="s">
        <v>40</v>
      </c>
      <c r="D5124">
        <v>4.6757739999999997</v>
      </c>
      <c r="E5124">
        <v>0.50463349999999996</v>
      </c>
      <c r="F5124" t="s">
        <v>41</v>
      </c>
      <c r="G5124">
        <v>-421.84829999999999</v>
      </c>
      <c r="H5124" s="1">
        <v>-2.7120870000000001E-6</v>
      </c>
      <c r="I5124">
        <v>54.764679999999998</v>
      </c>
      <c r="J5124">
        <v>-422.28</v>
      </c>
      <c r="K5124">
        <v>1.109426</v>
      </c>
      <c r="L5124">
        <v>79.791989999999998</v>
      </c>
      <c r="M5124">
        <v>-1.6376450000000001E-2</v>
      </c>
      <c r="N5124">
        <v>-9.6039320000000008E-3</v>
      </c>
      <c r="O5124">
        <v>-0.99981989999999998</v>
      </c>
      <c r="P5124">
        <v>3.4545020000000003E-2</v>
      </c>
      <c r="Q5124">
        <v>0.14190649999999999</v>
      </c>
      <c r="R5124">
        <v>-0.98927719999999997</v>
      </c>
      <c r="S5124">
        <v>5.1422120000000002E-2</v>
      </c>
      <c r="T5124">
        <v>-0.1336687</v>
      </c>
      <c r="U5124">
        <v>-3.049957</v>
      </c>
      <c r="V5124">
        <v>-5.0659750000000003E-2</v>
      </c>
      <c r="W5124">
        <v>0.1514218</v>
      </c>
      <c r="X5124">
        <v>0.9871702</v>
      </c>
      <c r="Y5124">
        <v>-3.32118E-2</v>
      </c>
      <c r="Z5124">
        <v>3.4162329999999998E-2</v>
      </c>
      <c r="AA5124">
        <v>0.99886430000000004</v>
      </c>
      <c r="AB5124">
        <v>28</v>
      </c>
      <c r="AC5124">
        <v>0.43169999999997699</v>
      </c>
      <c r="AD5124">
        <v>-1.1094287120869999</v>
      </c>
      <c r="AE5124">
        <v>-25.02731</v>
      </c>
      <c r="AF5124">
        <v>-0.83986956099750398</v>
      </c>
      <c r="AG5124">
        <v>-1.1094287120869999</v>
      </c>
      <c r="AH5124">
        <v>24.967835318427401</v>
      </c>
      <c r="AI5124">
        <v>92.542788958790695</v>
      </c>
      <c r="AJ5124">
        <v>91.926592471814402</v>
      </c>
      <c r="AK5124">
        <v>25.006579402925201</v>
      </c>
      <c r="AL5124">
        <v>81.290668954494194</v>
      </c>
      <c r="AM5124">
        <v>92.9377364144067</v>
      </c>
      <c r="AN5124">
        <v>0.99999998777667098</v>
      </c>
    </row>
    <row r="5125" spans="1:40" x14ac:dyDescent="0.25">
      <c r="A5125" t="str">
        <f>"20190304155738306"</f>
        <v>20190304155738306</v>
      </c>
      <c r="B5125" t="str">
        <f>"1551686258300344"</f>
        <v>1551686258300344</v>
      </c>
      <c r="C5125" t="s">
        <v>40</v>
      </c>
      <c r="D5125">
        <v>4.6874099999999999</v>
      </c>
      <c r="E5125">
        <v>0.50453970000000004</v>
      </c>
      <c r="F5125" t="s">
        <v>41</v>
      </c>
      <c r="G5125">
        <v>-421.84230000000002</v>
      </c>
      <c r="H5125" s="1">
        <v>-2.5297609999999999E-6</v>
      </c>
      <c r="I5125">
        <v>54.343409999999999</v>
      </c>
      <c r="J5125">
        <v>-422.28500000000003</v>
      </c>
      <c r="K5125">
        <v>1.1094649999999999</v>
      </c>
      <c r="L5125">
        <v>79.502229999999997</v>
      </c>
      <c r="M5125">
        <v>-1.6601330000000001E-2</v>
      </c>
      <c r="N5125">
        <v>-9.6079689999999992E-3</v>
      </c>
      <c r="O5125">
        <v>-0.99981620000000004</v>
      </c>
      <c r="P5125">
        <v>3.4463220000000003E-2</v>
      </c>
      <c r="Q5125">
        <v>0.14188979999999901</v>
      </c>
      <c r="R5125">
        <v>-0.98928260000000001</v>
      </c>
      <c r="S5125">
        <v>5.2459720000000001E-2</v>
      </c>
      <c r="T5125">
        <v>-0.1329533</v>
      </c>
      <c r="U5125">
        <v>-3.049744</v>
      </c>
      <c r="V5125">
        <v>-5.0813810000000001E-2</v>
      </c>
      <c r="W5125">
        <v>0.15140479999999901</v>
      </c>
      <c r="X5125">
        <v>0.98716490000000001</v>
      </c>
      <c r="Y5125">
        <v>-3.3777540000000002E-2</v>
      </c>
      <c r="Z5125">
        <v>3.3926669999999999E-2</v>
      </c>
      <c r="AA5125">
        <v>0.9988534</v>
      </c>
      <c r="AB5125">
        <v>28</v>
      </c>
      <c r="AC5125">
        <v>0.44270000000000198</v>
      </c>
      <c r="AD5125">
        <v>-1.1094675297609999</v>
      </c>
      <c r="AE5125">
        <v>-25.158819999999999</v>
      </c>
      <c r="AF5125">
        <v>-0.85865876302955702</v>
      </c>
      <c r="AG5125">
        <v>-1.1094675297609999</v>
      </c>
      <c r="AH5125">
        <v>25.099207881123501</v>
      </c>
      <c r="AI5125">
        <v>92.529536377021898</v>
      </c>
      <c r="AJ5125">
        <v>91.959358392882393</v>
      </c>
      <c r="AK5125">
        <v>25.138385973064601</v>
      </c>
      <c r="AL5125">
        <v>81.291654435859698</v>
      </c>
      <c r="AM5125">
        <v>92.946670357054202</v>
      </c>
      <c r="AN5125">
        <v>0.99999999827088304</v>
      </c>
    </row>
    <row r="5126" spans="1:40" x14ac:dyDescent="0.25">
      <c r="A5126" t="str">
        <f>"20190304155738327"</f>
        <v>20190304155738327</v>
      </c>
      <c r="B5126" t="str">
        <f>"1551686258319866"</f>
        <v>1551686258319866</v>
      </c>
      <c r="C5126" t="s">
        <v>40</v>
      </c>
      <c r="D5126">
        <v>4.683859</v>
      </c>
      <c r="E5126">
        <v>0.50452240000000004</v>
      </c>
      <c r="F5126" t="s">
        <v>41</v>
      </c>
      <c r="G5126">
        <v>-421.8415</v>
      </c>
      <c r="H5126" s="1">
        <v>-2.139615E-6</v>
      </c>
      <c r="I5126">
        <v>53.434460000000001</v>
      </c>
      <c r="J5126">
        <v>-422.28960000000001</v>
      </c>
      <c r="K5126">
        <v>1.109502</v>
      </c>
      <c r="L5126">
        <v>79.234589999999997</v>
      </c>
      <c r="M5126">
        <v>-1.675505E-2</v>
      </c>
      <c r="N5126">
        <v>-9.6117149999999998E-3</v>
      </c>
      <c r="O5126">
        <v>-0.99981339999999996</v>
      </c>
      <c r="P5126">
        <v>3.341769E-2</v>
      </c>
      <c r="Q5126">
        <v>0.14197360000000001</v>
      </c>
      <c r="R5126">
        <v>-0.98930629999999997</v>
      </c>
      <c r="S5126">
        <v>5.1879880000000003E-2</v>
      </c>
      <c r="T5126">
        <v>-0.1297816</v>
      </c>
      <c r="U5126">
        <v>-3.0493160000000001</v>
      </c>
      <c r="V5126">
        <v>-4.993384E-2</v>
      </c>
      <c r="W5126">
        <v>0.15148819999999999</v>
      </c>
      <c r="X5126">
        <v>0.98719699999999999</v>
      </c>
      <c r="Y5126">
        <v>-3.3744499999999997E-2</v>
      </c>
      <c r="Z5126">
        <v>3.2891910000000003E-2</v>
      </c>
      <c r="AA5126">
        <v>0.99888909999999997</v>
      </c>
      <c r="AB5126">
        <v>28</v>
      </c>
      <c r="AC5126">
        <v>0.44810000000000999</v>
      </c>
      <c r="AD5126">
        <v>-1.1095041396150001</v>
      </c>
      <c r="AE5126">
        <v>-25.800129999999999</v>
      </c>
      <c r="AF5126">
        <v>-0.87871499740845105</v>
      </c>
      <c r="AG5126">
        <v>-1.1095041396150001</v>
      </c>
      <c r="AH5126">
        <v>25.741409701586399</v>
      </c>
      <c r="AI5126">
        <v>92.466595472596893</v>
      </c>
      <c r="AJ5126">
        <v>91.955103428866494</v>
      </c>
      <c r="AK5126">
        <v>25.780289232423701</v>
      </c>
      <c r="AL5126">
        <v>81.286820134261205</v>
      </c>
      <c r="AM5126">
        <v>92.895634902183403</v>
      </c>
      <c r="AN5126">
        <v>0.99999998996269202</v>
      </c>
    </row>
    <row r="5127" spans="1:40" x14ac:dyDescent="0.25">
      <c r="A5127" t="str">
        <f>"20190304155738350"</f>
        <v>20190304155738350</v>
      </c>
      <c r="B5127" t="str">
        <f>"1551686258340360"</f>
        <v>1551686258340360</v>
      </c>
      <c r="C5127" t="s">
        <v>40</v>
      </c>
      <c r="D5127">
        <v>4.6737339999999996</v>
      </c>
      <c r="E5127">
        <v>0.5047374</v>
      </c>
      <c r="F5127" t="s">
        <v>41</v>
      </c>
      <c r="G5127">
        <v>-421.8528</v>
      </c>
      <c r="H5127" s="1">
        <v>-1.803386E-6</v>
      </c>
      <c r="I5127">
        <v>52.643650000000001</v>
      </c>
      <c r="J5127">
        <v>-422.2946</v>
      </c>
      <c r="K5127">
        <v>1.109537</v>
      </c>
      <c r="L5127">
        <v>78.951629999999994</v>
      </c>
      <c r="M5127">
        <v>-1.6860219999999999E-2</v>
      </c>
      <c r="N5127">
        <v>-9.6157699999999992E-3</v>
      </c>
      <c r="O5127">
        <v>-0.99981160000000002</v>
      </c>
      <c r="P5127">
        <v>3.2843150000000002E-2</v>
      </c>
      <c r="Q5127">
        <v>0.14141400000000001</v>
      </c>
      <c r="R5127">
        <v>-0.9894058</v>
      </c>
      <c r="S5127">
        <v>5.0079350000000002E-2</v>
      </c>
      <c r="T5127">
        <v>-0.12721840000000001</v>
      </c>
      <c r="U5127">
        <v>-3.0489809999999999</v>
      </c>
      <c r="V5127">
        <v>-4.9480099999999999E-2</v>
      </c>
      <c r="W5127">
        <v>0.15092829999999999</v>
      </c>
      <c r="X5127">
        <v>0.98730560000000001</v>
      </c>
      <c r="Y5127">
        <v>-3.3262479999999997E-2</v>
      </c>
      <c r="Z5127">
        <v>3.2054729999999997E-2</v>
      </c>
      <c r="AA5127">
        <v>0.9989325</v>
      </c>
      <c r="AB5127">
        <v>28</v>
      </c>
      <c r="AC5127">
        <v>0.44180000000000003</v>
      </c>
      <c r="AD5127">
        <v>-1.1095388033859901</v>
      </c>
      <c r="AE5127">
        <v>-26.307980000000001</v>
      </c>
      <c r="AF5127">
        <v>-0.88374454156415505</v>
      </c>
      <c r="AG5127">
        <v>-1.1095388033859901</v>
      </c>
      <c r="AH5127">
        <v>26.250112259972401</v>
      </c>
      <c r="AI5127">
        <v>92.418966428591702</v>
      </c>
      <c r="AJ5127">
        <v>91.928209476104001</v>
      </c>
      <c r="AK5127">
        <v>26.2884095074639</v>
      </c>
      <c r="AL5127">
        <v>81.319273189083006</v>
      </c>
      <c r="AM5127">
        <v>92.869051858696295</v>
      </c>
      <c r="AN5127">
        <v>0.99999998991412997</v>
      </c>
    </row>
    <row r="5128" spans="1:40" x14ac:dyDescent="0.25">
      <c r="A5128" t="str">
        <f>"20190304155738372"</f>
        <v>20190304155738372</v>
      </c>
      <c r="B5128" t="str">
        <f>"1551686258369641"</f>
        <v>1551686258369641</v>
      </c>
      <c r="C5128" t="s">
        <v>40</v>
      </c>
      <c r="D5128">
        <v>4.6794909999999996</v>
      </c>
      <c r="E5128">
        <v>0.50451880000000005</v>
      </c>
      <c r="F5128" t="s">
        <v>41</v>
      </c>
      <c r="G5128">
        <v>-421.8954</v>
      </c>
      <c r="H5128" s="1">
        <v>-1.8882420000000001E-6</v>
      </c>
      <c r="I5128">
        <v>52.815069999999999</v>
      </c>
      <c r="J5128">
        <v>-422.29939999999999</v>
      </c>
      <c r="K5128">
        <v>1.1095759999999999</v>
      </c>
      <c r="L5128">
        <v>78.669280000000001</v>
      </c>
      <c r="M5128">
        <v>-1.6913379999999999E-2</v>
      </c>
      <c r="N5128">
        <v>-9.6198450000000001E-3</v>
      </c>
      <c r="O5128">
        <v>-0.99981089999999995</v>
      </c>
      <c r="P5128">
        <v>3.2068010000000001E-2</v>
      </c>
      <c r="Q5128">
        <v>0.14076620000000001</v>
      </c>
      <c r="R5128">
        <v>-0.98952359999999995</v>
      </c>
      <c r="S5128">
        <v>4.6569819999999998E-2</v>
      </c>
      <c r="T5128">
        <v>-0.129438</v>
      </c>
      <c r="U5128">
        <v>-3.0490719999999998</v>
      </c>
      <c r="V5128">
        <v>-4.8774070000000003E-2</v>
      </c>
      <c r="W5128">
        <v>0.15028059999999999</v>
      </c>
      <c r="X5128">
        <v>0.98743950000000003</v>
      </c>
      <c r="Y5128">
        <v>-3.2165399999999997E-2</v>
      </c>
      <c r="Z5128">
        <v>3.2776489999999998E-2</v>
      </c>
      <c r="AA5128">
        <v>0.99894499999999997</v>
      </c>
      <c r="AB5128">
        <v>28</v>
      </c>
      <c r="AC5128">
        <v>0.40399999999999597</v>
      </c>
      <c r="AD5128">
        <v>-1.109577888242</v>
      </c>
      <c r="AE5128">
        <v>-25.854209999999998</v>
      </c>
      <c r="AF5128">
        <v>-0.83969820662544303</v>
      </c>
      <c r="AG5128">
        <v>-1.109577888242</v>
      </c>
      <c r="AH5128">
        <v>25.796177158241701</v>
      </c>
      <c r="AI5128">
        <v>92.461658324022196</v>
      </c>
      <c r="AJ5128">
        <v>91.864391812163902</v>
      </c>
      <c r="AK5128">
        <v>25.833679802685399</v>
      </c>
      <c r="AL5128">
        <v>81.356811632357406</v>
      </c>
      <c r="AM5128">
        <v>92.827797504916802</v>
      </c>
      <c r="AN5128">
        <v>0.99999996740048602</v>
      </c>
    </row>
    <row r="5129" spans="1:40" x14ac:dyDescent="0.25">
      <c r="A5129" t="str">
        <f>"20190304155738395"</f>
        <v>20190304155738395</v>
      </c>
      <c r="B5129" t="str">
        <f>"1551686258390140"</f>
        <v>1551686258390140</v>
      </c>
      <c r="C5129" t="s">
        <v>40</v>
      </c>
      <c r="D5129">
        <v>4.7342719999999998</v>
      </c>
      <c r="E5129">
        <v>0.504308599999999</v>
      </c>
      <c r="F5129" t="s">
        <v>41</v>
      </c>
      <c r="G5129">
        <v>-421.9101</v>
      </c>
      <c r="H5129" s="1">
        <v>-1.6959210000000001E-6</v>
      </c>
      <c r="I5129">
        <v>52.357640000000004</v>
      </c>
      <c r="J5129">
        <v>-422.30419999999998</v>
      </c>
      <c r="K5129">
        <v>1.1096060000000001</v>
      </c>
      <c r="L5129">
        <v>78.386629999999997</v>
      </c>
      <c r="M5129">
        <v>-1.693424E-2</v>
      </c>
      <c r="N5129">
        <v>-9.6238829999999997E-3</v>
      </c>
      <c r="O5129">
        <v>-0.99981050000000005</v>
      </c>
      <c r="P5129">
        <v>3.2197360000000001E-2</v>
      </c>
      <c r="Q5129">
        <v>0.140763</v>
      </c>
      <c r="R5129">
        <v>-0.98951999999999996</v>
      </c>
      <c r="S5129">
        <v>4.5104980000000003E-2</v>
      </c>
      <c r="T5129">
        <v>-0.12856049999999999</v>
      </c>
      <c r="U5129">
        <v>-3.048584</v>
      </c>
      <c r="V5129">
        <v>-4.8934180000000001E-2</v>
      </c>
      <c r="W5129">
        <v>0.1502782</v>
      </c>
      <c r="X5129">
        <v>0.98743199999999998</v>
      </c>
      <c r="Y5129">
        <v>-3.1709090000000002E-2</v>
      </c>
      <c r="Z5129">
        <v>3.2492680000000003E-2</v>
      </c>
      <c r="AA5129">
        <v>0.99896879999999999</v>
      </c>
      <c r="AB5129">
        <v>28</v>
      </c>
      <c r="AC5129">
        <v>0.39409999999998002</v>
      </c>
      <c r="AD5129">
        <v>-1.1096076959209999</v>
      </c>
      <c r="AE5129">
        <v>-26.02899</v>
      </c>
      <c r="AF5129">
        <v>-0.83333091005619697</v>
      </c>
      <c r="AG5129">
        <v>-1.1096076959209999</v>
      </c>
      <c r="AH5129">
        <v>25.971396402395701</v>
      </c>
      <c r="AI5129">
        <v>92.445172915909296</v>
      </c>
      <c r="AJ5129">
        <v>91.8377898448325</v>
      </c>
      <c r="AK5129">
        <v>26.008442874091401</v>
      </c>
      <c r="AL5129">
        <v>81.356951205983606</v>
      </c>
      <c r="AM5129">
        <v>92.837086651204004</v>
      </c>
      <c r="AN5129">
        <v>1.00000002299575</v>
      </c>
    </row>
    <row r="5130" spans="1:40" x14ac:dyDescent="0.25">
      <c r="A5130" t="str">
        <f>"20190304155738416"</f>
        <v>20190304155738416</v>
      </c>
      <c r="B5130" t="str">
        <f>"1551686258409656"</f>
        <v>1551686258409656</v>
      </c>
      <c r="C5130" t="s">
        <v>40</v>
      </c>
      <c r="D5130">
        <v>4.9011230000000001</v>
      </c>
      <c r="E5130">
        <v>0.45934609999999898</v>
      </c>
      <c r="F5130" t="s">
        <v>41</v>
      </c>
      <c r="G5130">
        <v>-421.89819999999997</v>
      </c>
      <c r="H5130" s="1">
        <v>-1.6045489999999999E-6</v>
      </c>
      <c r="I5130">
        <v>52.15204</v>
      </c>
      <c r="J5130">
        <v>-422.30900000000003</v>
      </c>
      <c r="K5130">
        <v>1.109621</v>
      </c>
      <c r="L5130">
        <v>78.106870000000001</v>
      </c>
      <c r="M5130">
        <v>-1.6932539999999999E-2</v>
      </c>
      <c r="N5130">
        <v>-9.627778E-3</v>
      </c>
      <c r="O5130">
        <v>-0.99981019999999998</v>
      </c>
      <c r="P5130">
        <v>3.2771689999999999E-2</v>
      </c>
      <c r="Q5130">
        <v>0.1403411</v>
      </c>
      <c r="R5130">
        <v>-0.98956100000000002</v>
      </c>
      <c r="S5130">
        <v>4.7180180000000002E-2</v>
      </c>
      <c r="T5130">
        <v>-0.12894169999999999</v>
      </c>
      <c r="U5130">
        <v>-3.048584</v>
      </c>
      <c r="V5130">
        <v>-4.9514160000000002E-2</v>
      </c>
      <c r="W5130">
        <v>0.14985809999999999</v>
      </c>
      <c r="X5130">
        <v>0.98746690000000004</v>
      </c>
      <c r="Y5130">
        <v>-3.2386999999999999E-2</v>
      </c>
      <c r="Z5130">
        <v>3.2612719999999998E-2</v>
      </c>
      <c r="AA5130">
        <v>0.99894320000000003</v>
      </c>
      <c r="AB5130">
        <v>28</v>
      </c>
      <c r="AC5130">
        <v>0.41080000000005101</v>
      </c>
      <c r="AD5130">
        <v>-1.1096226045490001</v>
      </c>
      <c r="AE5130">
        <v>-25.954829999999902</v>
      </c>
      <c r="AF5130">
        <v>-0.84869190314164</v>
      </c>
      <c r="AG5130">
        <v>-1.1096226045490001</v>
      </c>
      <c r="AH5130">
        <v>25.896831612275399</v>
      </c>
      <c r="AI5130">
        <v>92.452183238419707</v>
      </c>
      <c r="AJ5130">
        <v>91.877027572983806</v>
      </c>
      <c r="AK5130">
        <v>25.9344833730215</v>
      </c>
      <c r="AL5130">
        <v>81.381296577994306</v>
      </c>
      <c r="AM5130">
        <v>92.870555299734704</v>
      </c>
      <c r="AN5130">
        <v>0.99999999038586196</v>
      </c>
    </row>
    <row r="5131" spans="1:40" x14ac:dyDescent="0.25">
      <c r="A5131" t="str">
        <f>"20190304155738438"</f>
        <v>20190304155738438</v>
      </c>
      <c r="B5131" t="str">
        <f>"1551686258430153"</f>
        <v>1551686258430153</v>
      </c>
      <c r="C5131" t="s">
        <v>40</v>
      </c>
      <c r="D5131">
        <v>4.5955440000000003</v>
      </c>
      <c r="E5131">
        <v>0.44558219999999998</v>
      </c>
      <c r="F5131" t="s">
        <v>41</v>
      </c>
      <c r="G5131">
        <v>-417.39890000000003</v>
      </c>
      <c r="H5131" s="1">
        <v>-1.371097E-6</v>
      </c>
      <c r="I5131">
        <v>41.643380000000001</v>
      </c>
      <c r="J5131">
        <v>-422.31369999999998</v>
      </c>
      <c r="K5131">
        <v>1.1096250000000001</v>
      </c>
      <c r="L5131">
        <v>77.823759999999993</v>
      </c>
      <c r="M5131">
        <v>-1.6912239999999999E-2</v>
      </c>
      <c r="N5131">
        <v>-9.6318140000000007E-3</v>
      </c>
      <c r="O5131">
        <v>-0.99981089999999995</v>
      </c>
      <c r="P5131">
        <v>3.3815190000000002E-2</v>
      </c>
      <c r="Q5131">
        <v>0.13981350000000001</v>
      </c>
      <c r="R5131">
        <v>-0.98960079999999995</v>
      </c>
      <c r="S5131">
        <v>0.4081726</v>
      </c>
      <c r="T5131">
        <v>-9.2243190000000003E-2</v>
      </c>
      <c r="U5131">
        <v>-3.0312190000000001</v>
      </c>
      <c r="V5131">
        <v>-5.0542770000000001E-2</v>
      </c>
      <c r="W5131">
        <v>0.14933339999999901</v>
      </c>
      <c r="X5131">
        <v>0.98749430000000005</v>
      </c>
      <c r="Y5131">
        <v>-0.15013779999999999</v>
      </c>
      <c r="Z5131">
        <v>2.0462629999999999E-2</v>
      </c>
      <c r="AA5131">
        <v>0.98845329999999998</v>
      </c>
      <c r="AB5131">
        <v>28</v>
      </c>
      <c r="AC5131">
        <v>4.9147999999999499</v>
      </c>
      <c r="AD5131">
        <v>-1.109626371097</v>
      </c>
      <c r="AE5131">
        <v>-36.1803799999999</v>
      </c>
      <c r="AF5131">
        <v>-5.5209175588116102</v>
      </c>
      <c r="AG5131">
        <v>-1.109626371097</v>
      </c>
      <c r="AH5131">
        <v>36.058778282088497</v>
      </c>
      <c r="AI5131">
        <v>91.742299517025998</v>
      </c>
      <c r="AJ5131">
        <v>98.704889245185001</v>
      </c>
      <c r="AK5131">
        <v>36.4958530873228</v>
      </c>
      <c r="AL5131">
        <v>81.411702023372996</v>
      </c>
      <c r="AM5131">
        <v>92.930004358901897</v>
      </c>
      <c r="AN5131">
        <v>1.00000001424366</v>
      </c>
    </row>
    <row r="5132" spans="1:40" x14ac:dyDescent="0.25">
      <c r="A5132" t="str">
        <f>"20190304155738461"</f>
        <v>20190304155738461</v>
      </c>
      <c r="B5132" t="str">
        <f>"1551686258449672"</f>
        <v>1551686258449672</v>
      </c>
      <c r="C5132" t="s">
        <v>40</v>
      </c>
      <c r="D5132">
        <v>4.6889599999999998</v>
      </c>
      <c r="E5132">
        <v>0.44045400000000001</v>
      </c>
      <c r="F5132" t="s">
        <v>41</v>
      </c>
      <c r="G5132">
        <v>-417.51859999999999</v>
      </c>
      <c r="H5132" s="1">
        <v>-7.4658289999999999E-7</v>
      </c>
      <c r="I5132">
        <v>49.901820000000001</v>
      </c>
      <c r="J5132">
        <v>-422.31849999999997</v>
      </c>
      <c r="K5132">
        <v>1.109629</v>
      </c>
      <c r="L5132">
        <v>77.540859999999995</v>
      </c>
      <c r="M5132">
        <v>-1.687431E-2</v>
      </c>
      <c r="N5132">
        <v>-9.6358950000000002E-3</v>
      </c>
      <c r="O5132">
        <v>-0.99981140000000002</v>
      </c>
      <c r="P5132">
        <v>3.561682E-2</v>
      </c>
      <c r="Q5132">
        <v>0.13936599999999999</v>
      </c>
      <c r="R5132">
        <v>-0.98960049999999999</v>
      </c>
      <c r="S5132">
        <v>0.52047730000000003</v>
      </c>
      <c r="T5132">
        <v>-0.1204433</v>
      </c>
      <c r="U5132">
        <v>-3.0307620000000002</v>
      </c>
      <c r="V5132">
        <v>-5.2310139999999998E-2</v>
      </c>
      <c r="W5132">
        <v>0.148888299999999</v>
      </c>
      <c r="X5132">
        <v>0.98746940000000005</v>
      </c>
      <c r="Y5132">
        <v>-0.18574460000000001</v>
      </c>
      <c r="Z5132">
        <v>2.9425380000000001E-2</v>
      </c>
      <c r="AA5132">
        <v>0.98215730000000001</v>
      </c>
      <c r="AB5132">
        <v>28</v>
      </c>
      <c r="AC5132">
        <v>4.7998999999999796</v>
      </c>
      <c r="AD5132">
        <v>-1.1096297465828999</v>
      </c>
      <c r="AE5132">
        <v>-27.639039999999898</v>
      </c>
      <c r="AF5132">
        <v>-5.2574020224954303</v>
      </c>
      <c r="AG5132">
        <v>-1.1096297465828999</v>
      </c>
      <c r="AH5132">
        <v>27.5110615413498</v>
      </c>
      <c r="AI5132">
        <v>92.268702400339293</v>
      </c>
      <c r="AJ5132">
        <v>100.818860890762</v>
      </c>
      <c r="AK5132">
        <v>28.030876927641302</v>
      </c>
      <c r="AL5132">
        <v>81.437492115622902</v>
      </c>
      <c r="AM5132">
        <v>93.032348533205706</v>
      </c>
      <c r="AN5132">
        <v>0.99999994628003297</v>
      </c>
    </row>
    <row r="5133" spans="1:40" x14ac:dyDescent="0.25">
      <c r="A5133" t="str">
        <f>"20190304155738483"</f>
        <v>20190304155738483</v>
      </c>
      <c r="B5133" t="str">
        <f>"1551686258479928"</f>
        <v>1551686258479928</v>
      </c>
      <c r="C5133" t="s">
        <v>40</v>
      </c>
      <c r="D5133">
        <v>4.7033639999999997</v>
      </c>
      <c r="E5133">
        <v>0.43673279999999998</v>
      </c>
      <c r="F5133" t="s">
        <v>41</v>
      </c>
      <c r="G5133">
        <v>-417.6746</v>
      </c>
      <c r="H5133" s="1">
        <v>-1.734759E-6</v>
      </c>
      <c r="I5133">
        <v>52.715000000000003</v>
      </c>
      <c r="J5133">
        <v>-422.32330000000002</v>
      </c>
      <c r="K5133">
        <v>1.1096459999999999</v>
      </c>
      <c r="L5133">
        <v>77.256500000000003</v>
      </c>
      <c r="M5133">
        <v>-1.6820720000000001E-2</v>
      </c>
      <c r="N5133">
        <v>-9.6399510000000008E-3</v>
      </c>
      <c r="O5133">
        <v>-0.99981209999999998</v>
      </c>
      <c r="P5133">
        <v>3.7235879999999999E-2</v>
      </c>
      <c r="Q5133">
        <v>0.13949890000000001</v>
      </c>
      <c r="R5133">
        <v>-0.98952220000000002</v>
      </c>
      <c r="S5133">
        <v>0.56683349999999999</v>
      </c>
      <c r="T5133">
        <v>-0.13544010000000001</v>
      </c>
      <c r="U5133">
        <v>-3.0302120000000001</v>
      </c>
      <c r="V5133">
        <v>-5.3879759999999999E-2</v>
      </c>
      <c r="W5133">
        <v>0.14902270000000001</v>
      </c>
      <c r="X5133">
        <v>0.98736480000000004</v>
      </c>
      <c r="Y5133">
        <v>-0.20022129999999999</v>
      </c>
      <c r="Z5133">
        <v>3.4163689999999997E-2</v>
      </c>
      <c r="AA5133">
        <v>0.97915490000000005</v>
      </c>
      <c r="AB5133">
        <v>28</v>
      </c>
      <c r="AC5133">
        <v>4.6487000000000096</v>
      </c>
      <c r="AD5133">
        <v>-1.1096477347589999</v>
      </c>
      <c r="AE5133">
        <v>-24.541499999999999</v>
      </c>
      <c r="AF5133">
        <v>-5.0508986750912301</v>
      </c>
      <c r="AG5133">
        <v>-1.1096477347589999</v>
      </c>
      <c r="AH5133">
        <v>24.411650734039199</v>
      </c>
      <c r="AI5133">
        <v>92.548716187097298</v>
      </c>
      <c r="AJ5133">
        <v>101.68984703967099</v>
      </c>
      <c r="AK5133">
        <v>24.953388288607499</v>
      </c>
      <c r="AL5133">
        <v>81.429705329972407</v>
      </c>
      <c r="AM5133">
        <v>93.123489991166807</v>
      </c>
      <c r="AN5133">
        <v>1.0000000209659901</v>
      </c>
    </row>
    <row r="5134" spans="1:40" x14ac:dyDescent="0.25">
      <c r="A5134" t="str">
        <f>"20190304155738507"</f>
        <v>20190304155738507</v>
      </c>
      <c r="B5134" t="str">
        <f>"1551686258499448"</f>
        <v>1551686258499448</v>
      </c>
      <c r="C5134" t="s">
        <v>40</v>
      </c>
      <c r="D5134">
        <v>4.7987760000000002</v>
      </c>
      <c r="E5134">
        <v>0.43502970000000002</v>
      </c>
      <c r="F5134" t="s">
        <v>41</v>
      </c>
      <c r="G5134">
        <v>-417.25959999999998</v>
      </c>
      <c r="H5134" s="1">
        <v>-1.448771E-6</v>
      </c>
      <c r="I5134">
        <v>51.762689999999999</v>
      </c>
      <c r="J5134">
        <v>-422.32819999999998</v>
      </c>
      <c r="K5134">
        <v>1.1096629999999901</v>
      </c>
      <c r="L5134">
        <v>76.96414</v>
      </c>
      <c r="M5134">
        <v>-1.6753690000000002E-2</v>
      </c>
      <c r="N5134">
        <v>-9.6441159999999995E-3</v>
      </c>
      <c r="O5134">
        <v>-0.99981330000000002</v>
      </c>
      <c r="P5134">
        <v>3.8206799999999999E-2</v>
      </c>
      <c r="Q5134">
        <v>0.13968239999999901</v>
      </c>
      <c r="R5134">
        <v>-0.98945930000000004</v>
      </c>
      <c r="S5134">
        <v>0.60137940000000001</v>
      </c>
      <c r="T5134">
        <v>-0.1317846</v>
      </c>
      <c r="U5134">
        <v>-3.0277099999999999</v>
      </c>
      <c r="V5134">
        <v>-5.4788280000000002E-2</v>
      </c>
      <c r="W5134">
        <v>0.14920749999999999</v>
      </c>
      <c r="X5134">
        <v>0.98728689999999997</v>
      </c>
      <c r="Y5134">
        <v>-0.2110669</v>
      </c>
      <c r="Z5134">
        <v>3.2917960000000003E-2</v>
      </c>
      <c r="AA5134">
        <v>0.97691709999999998</v>
      </c>
      <c r="AB5134">
        <v>28</v>
      </c>
      <c r="AC5134">
        <v>5.0686</v>
      </c>
      <c r="AD5134">
        <v>-1.1096644487709999</v>
      </c>
      <c r="AE5134">
        <v>-25.201450000000001</v>
      </c>
      <c r="AF5134">
        <v>-5.4799140058640603</v>
      </c>
      <c r="AG5134">
        <v>-1.1096644487709999</v>
      </c>
      <c r="AH5134">
        <v>25.066281868415999</v>
      </c>
      <c r="AI5134">
        <v>92.476372759987598</v>
      </c>
      <c r="AJ5134">
        <v>102.331811813394</v>
      </c>
      <c r="AK5134">
        <v>25.682275977946599</v>
      </c>
      <c r="AL5134">
        <v>81.4189974166745</v>
      </c>
      <c r="AM5134">
        <v>93.1763014027038</v>
      </c>
      <c r="AN5134">
        <v>1.0000000282966</v>
      </c>
    </row>
    <row r="5135" spans="1:40" x14ac:dyDescent="0.25">
      <c r="A5135" t="str">
        <f>"20190304155738528"</f>
        <v>20190304155738528</v>
      </c>
      <c r="B5135" t="str">
        <f>"1551686258519945"</f>
        <v>1551686258519945</v>
      </c>
      <c r="C5135" t="s">
        <v>40</v>
      </c>
      <c r="D5135">
        <v>4.6785100000000002</v>
      </c>
      <c r="E5135">
        <v>0.43391109999999999</v>
      </c>
      <c r="F5135" t="s">
        <v>41</v>
      </c>
      <c r="G5135">
        <v>-417.23579999999998</v>
      </c>
      <c r="H5135" s="1">
        <v>-1.53505599999999E-6</v>
      </c>
      <c r="I5135">
        <v>51.997680000000003</v>
      </c>
      <c r="J5135">
        <v>-422.33269999999999</v>
      </c>
      <c r="K5135">
        <v>1.109677</v>
      </c>
      <c r="L5135">
        <v>76.689300000000003</v>
      </c>
      <c r="M5135">
        <v>-1.6681709999999999E-2</v>
      </c>
      <c r="N5135">
        <v>-9.6480460000000004E-3</v>
      </c>
      <c r="O5135">
        <v>-0.99981430000000004</v>
      </c>
      <c r="P5135">
        <v>3.8817419999999998E-2</v>
      </c>
      <c r="Q5135">
        <v>0.1398172</v>
      </c>
      <c r="R5135">
        <v>-0.98941639999999997</v>
      </c>
      <c r="S5135">
        <v>0.61743159999999997</v>
      </c>
      <c r="T5135">
        <v>-0.13454449999999901</v>
      </c>
      <c r="U5135">
        <v>-3.0271300000000001</v>
      </c>
      <c r="V5135">
        <v>-5.53318E-2</v>
      </c>
      <c r="W5135">
        <v>0.1493438</v>
      </c>
      <c r="X5135">
        <v>0.987236</v>
      </c>
      <c r="Y5135">
        <v>-0.21600030000000001</v>
      </c>
      <c r="Z5135">
        <v>3.3765919999999998E-2</v>
      </c>
      <c r="AA5135">
        <v>0.97580929999999999</v>
      </c>
      <c r="AB5135">
        <v>28</v>
      </c>
      <c r="AC5135">
        <v>5.0968999999999998</v>
      </c>
      <c r="AD5135">
        <v>-1.1096785350559999</v>
      </c>
      <c r="AE5135">
        <v>-24.69162</v>
      </c>
      <c r="AF5135">
        <v>-5.4974586726368004</v>
      </c>
      <c r="AG5135">
        <v>-1.1096785350559999</v>
      </c>
      <c r="AH5135">
        <v>24.555585941711399</v>
      </c>
      <c r="AI5135">
        <v>92.525041206706405</v>
      </c>
      <c r="AJ5135">
        <v>102.619187714788</v>
      </c>
      <c r="AK5135">
        <v>25.187898666805999</v>
      </c>
      <c r="AL5135">
        <v>81.411099691851007</v>
      </c>
      <c r="AM5135">
        <v>93.207911047030393</v>
      </c>
      <c r="AN5135">
        <v>1.00000004919283</v>
      </c>
    </row>
    <row r="5136" spans="1:40" x14ac:dyDescent="0.25">
      <c r="A5136" t="str">
        <f>"20190304155738551"</f>
        <v>20190304155738551</v>
      </c>
      <c r="B5136" t="str">
        <f>"1551686258539465"</f>
        <v>1551686258539465</v>
      </c>
      <c r="C5136" t="s">
        <v>40</v>
      </c>
      <c r="D5136">
        <v>4.6709019999999999</v>
      </c>
      <c r="E5136">
        <v>0.43304769999999998</v>
      </c>
      <c r="F5136" t="s">
        <v>41</v>
      </c>
      <c r="G5136">
        <v>-417.12380000000002</v>
      </c>
      <c r="H5136" s="1">
        <v>-1.42011599999999E-6</v>
      </c>
      <c r="I5136">
        <v>51.572319999999998</v>
      </c>
      <c r="J5136">
        <v>-422.3374</v>
      </c>
      <c r="K5136">
        <v>1.109688</v>
      </c>
      <c r="L5136">
        <v>76.399050000000003</v>
      </c>
      <c r="M5136">
        <v>-1.659602E-2</v>
      </c>
      <c r="N5136">
        <v>-9.6521690000000004E-3</v>
      </c>
      <c r="O5136">
        <v>-0.99981569999999997</v>
      </c>
      <c r="P5136">
        <v>3.9367920000000001E-2</v>
      </c>
      <c r="Q5136">
        <v>0.14037259999999999</v>
      </c>
      <c r="R5136">
        <v>-0.98931599999999997</v>
      </c>
      <c r="S5136">
        <v>0.62762450000000003</v>
      </c>
      <c r="T5136">
        <v>-0.13370609999999999</v>
      </c>
      <c r="U5136">
        <v>-3.026367</v>
      </c>
      <c r="V5136">
        <v>-5.5799670000000003E-2</v>
      </c>
      <c r="W5136">
        <v>0.14990100000000001</v>
      </c>
      <c r="X5136">
        <v>0.98712520000000004</v>
      </c>
      <c r="Y5136">
        <v>-0.21911839999999999</v>
      </c>
      <c r="Z5136">
        <v>3.3472549999999997E-2</v>
      </c>
      <c r="AA5136">
        <v>0.97512390000000004</v>
      </c>
      <c r="AB5136">
        <v>28</v>
      </c>
      <c r="AC5136">
        <v>5.21359999999998</v>
      </c>
      <c r="AD5136">
        <v>-1.1096894201159999</v>
      </c>
      <c r="AE5136">
        <v>-24.826730000000001</v>
      </c>
      <c r="AF5136">
        <v>-5.6141834186281798</v>
      </c>
      <c r="AG5136">
        <v>-1.1096894201159999</v>
      </c>
      <c r="AH5136">
        <v>24.689538707516299</v>
      </c>
      <c r="AI5136">
        <v>92.509492708890804</v>
      </c>
      <c r="AJ5136">
        <v>102.81071957220099</v>
      </c>
      <c r="AK5136">
        <v>25.344107552980901</v>
      </c>
      <c r="AL5136">
        <v>81.378810909558894</v>
      </c>
      <c r="AM5136">
        <v>93.235341202019796</v>
      </c>
      <c r="AN5136">
        <v>1.00000003672407</v>
      </c>
    </row>
    <row r="5137" spans="1:40" x14ac:dyDescent="0.25">
      <c r="A5137" t="str">
        <f>"20190304155738573"</f>
        <v>20190304155738573</v>
      </c>
      <c r="B5137" t="str">
        <f>"1551686258569721"</f>
        <v>1551686258569721</v>
      </c>
      <c r="C5137" t="s">
        <v>40</v>
      </c>
      <c r="D5137">
        <v>4.6742819999999998</v>
      </c>
      <c r="E5137">
        <v>0.43226750000000003</v>
      </c>
      <c r="F5137" t="s">
        <v>41</v>
      </c>
      <c r="G5137">
        <v>-416.98630000000003</v>
      </c>
      <c r="H5137" s="1">
        <v>-1.2470699999999999E-6</v>
      </c>
      <c r="I5137">
        <v>50.956319999999998</v>
      </c>
      <c r="J5137">
        <v>-422.34210000000002</v>
      </c>
      <c r="K5137">
        <v>1.1096950000000001</v>
      </c>
      <c r="L5137">
        <v>76.112979999999993</v>
      </c>
      <c r="M5137">
        <v>-1.6503339999999998E-2</v>
      </c>
      <c r="N5137">
        <v>-9.6561879999999996E-3</v>
      </c>
      <c r="O5137">
        <v>-0.99981739999999997</v>
      </c>
      <c r="P5137">
        <v>3.9715559999999997E-2</v>
      </c>
      <c r="Q5137">
        <v>0.14086270000000001</v>
      </c>
      <c r="R5137">
        <v>-0.98923240000000001</v>
      </c>
      <c r="S5137">
        <v>0.63638309999999998</v>
      </c>
      <c r="T5137">
        <v>-0.13197029999999901</v>
      </c>
      <c r="U5137">
        <v>-3.0257869999999998</v>
      </c>
      <c r="V5137">
        <v>-5.6057139999999998E-2</v>
      </c>
      <c r="W5137">
        <v>0.1503932</v>
      </c>
      <c r="X5137">
        <v>0.98703569999999996</v>
      </c>
      <c r="Y5137">
        <v>-0.22177269999999999</v>
      </c>
      <c r="Z5137">
        <v>3.2891940000000001E-2</v>
      </c>
      <c r="AA5137">
        <v>0.97454350000000001</v>
      </c>
      <c r="AB5137">
        <v>29</v>
      </c>
      <c r="AC5137">
        <v>5.3557999999999799</v>
      </c>
      <c r="AD5137">
        <v>-1.10969624707</v>
      </c>
      <c r="AE5137">
        <v>-25.156659999999999</v>
      </c>
      <c r="AF5137">
        <v>-5.75953763368467</v>
      </c>
      <c r="AG5137">
        <v>-1.10969624707</v>
      </c>
      <c r="AH5137">
        <v>25.018270731497498</v>
      </c>
      <c r="AI5137">
        <v>92.475058118618605</v>
      </c>
      <c r="AJ5137">
        <v>102.964368899017</v>
      </c>
      <c r="AK5137">
        <v>25.6966451099963</v>
      </c>
      <c r="AL5137">
        <v>81.350286205262094</v>
      </c>
      <c r="AM5137">
        <v>93.2505318173842</v>
      </c>
      <c r="AN5137">
        <v>0.999999995312854</v>
      </c>
    </row>
    <row r="5138" spans="1:40" x14ac:dyDescent="0.25">
      <c r="A5138" t="str">
        <f>"20190304155738596"</f>
        <v>20190304155738596</v>
      </c>
      <c r="B5138" t="str">
        <f>"1551686258590219"</f>
        <v>1551686258590219</v>
      </c>
      <c r="C5138" t="s">
        <v>40</v>
      </c>
      <c r="D5138">
        <v>4.7373789999999998</v>
      </c>
      <c r="E5138">
        <v>0.4319383</v>
      </c>
      <c r="F5138" t="s">
        <v>41</v>
      </c>
      <c r="G5138">
        <v>-417.10059999999999</v>
      </c>
      <c r="H5138" s="1">
        <v>-1.3955809999999999E-6</v>
      </c>
      <c r="I5138">
        <v>51.482109999999999</v>
      </c>
      <c r="J5138">
        <v>-422.34679999999997</v>
      </c>
      <c r="K5138">
        <v>1.1096969999999999</v>
      </c>
      <c r="L5138">
        <v>75.824519999999893</v>
      </c>
      <c r="M5138">
        <v>-1.6404470000000001E-2</v>
      </c>
      <c r="N5138">
        <v>-9.6603049999999992E-3</v>
      </c>
      <c r="O5138">
        <v>-0.99981900000000001</v>
      </c>
      <c r="P5138">
        <v>3.986195E-2</v>
      </c>
      <c r="Q5138">
        <v>0.1411676</v>
      </c>
      <c r="R5138">
        <v>-0.98918340000000005</v>
      </c>
      <c r="S5138">
        <v>0.6439819</v>
      </c>
      <c r="T5138">
        <v>-0.136340299999999</v>
      </c>
      <c r="U5138">
        <v>-3.0262150000000001</v>
      </c>
      <c r="V5138">
        <v>-5.6105299999999997E-2</v>
      </c>
      <c r="W5138">
        <v>0.15070149999999999</v>
      </c>
      <c r="X5138">
        <v>0.98698589999999997</v>
      </c>
      <c r="Y5138">
        <v>-0.2239786</v>
      </c>
      <c r="Z5138">
        <v>3.4266289999999998E-2</v>
      </c>
      <c r="AA5138">
        <v>0.97399150000000001</v>
      </c>
      <c r="AB5138">
        <v>29</v>
      </c>
      <c r="AC5138">
        <v>5.2461999999999804</v>
      </c>
      <c r="AD5138">
        <v>-1.109698395581</v>
      </c>
      <c r="AE5138">
        <v>-24.342409999999902</v>
      </c>
      <c r="AF5138">
        <v>-5.6336488022101499</v>
      </c>
      <c r="AG5138">
        <v>-1.109698395581</v>
      </c>
      <c r="AH5138">
        <v>24.204999409467</v>
      </c>
      <c r="AI5138">
        <v>92.5566926858248</v>
      </c>
      <c r="AJ5138">
        <v>103.102175866103</v>
      </c>
      <c r="AK5138">
        <v>24.876724578772301</v>
      </c>
      <c r="AL5138">
        <v>81.332417935428793</v>
      </c>
      <c r="AM5138">
        <v>93.253482228218303</v>
      </c>
      <c r="AN5138">
        <v>0.99999995679457399</v>
      </c>
    </row>
    <row r="5139" spans="1:40" x14ac:dyDescent="0.25">
      <c r="A5139" t="str">
        <f>"20190304155738617"</f>
        <v>20190304155738617</v>
      </c>
      <c r="B5139" t="str">
        <f>"1551686258609736"</f>
        <v>1551686258609736</v>
      </c>
      <c r="C5139" t="s">
        <v>40</v>
      </c>
      <c r="D5139">
        <v>4.6362870000000003</v>
      </c>
      <c r="E5139">
        <v>0.43164970000000003</v>
      </c>
      <c r="F5139" t="s">
        <v>41</v>
      </c>
      <c r="G5139">
        <v>-417.07220000000001</v>
      </c>
      <c r="H5139" s="1">
        <v>-1.2955600000000001E-6</v>
      </c>
      <c r="I5139">
        <v>51.165950000000002</v>
      </c>
      <c r="J5139">
        <v>-422.35120000000001</v>
      </c>
      <c r="K5139">
        <v>1.1096980000000001</v>
      </c>
      <c r="L5139">
        <v>75.545319999999904</v>
      </c>
      <c r="M5139">
        <v>-1.6307189999999999E-2</v>
      </c>
      <c r="N5139">
        <v>-9.6642269999999992E-3</v>
      </c>
      <c r="O5139">
        <v>-0.99982020000000005</v>
      </c>
      <c r="P5139">
        <v>4.0687439999999998E-2</v>
      </c>
      <c r="Q5139">
        <v>0.1408761</v>
      </c>
      <c r="R5139">
        <v>-0.98919089999999998</v>
      </c>
      <c r="S5139">
        <v>0.64730829999999995</v>
      </c>
      <c r="T5139">
        <v>-0.13618459999999999</v>
      </c>
      <c r="U5139">
        <v>-3.026154</v>
      </c>
      <c r="V5139">
        <v>-5.6835400000000001E-2</v>
      </c>
      <c r="W5139">
        <v>0.15041350000000001</v>
      </c>
      <c r="X5139">
        <v>0.98698810000000003</v>
      </c>
      <c r="Y5139">
        <v>-0.2249119</v>
      </c>
      <c r="Z5139">
        <v>3.4203509999999999E-2</v>
      </c>
      <c r="AA5139">
        <v>0.97377860000000005</v>
      </c>
      <c r="AB5139">
        <v>29</v>
      </c>
      <c r="AC5139">
        <v>5.2789999999999901</v>
      </c>
      <c r="AD5139">
        <v>-1.10969929555999</v>
      </c>
      <c r="AE5139">
        <v>-24.379369999999899</v>
      </c>
      <c r="AF5139">
        <v>-5.6646647318056598</v>
      </c>
      <c r="AG5139">
        <v>-1.10969929555999</v>
      </c>
      <c r="AH5139">
        <v>24.242061032897301</v>
      </c>
      <c r="AI5139">
        <v>92.552270473298705</v>
      </c>
      <c r="AJ5139">
        <v>103.15236458222699</v>
      </c>
      <c r="AK5139">
        <v>24.919819063810301</v>
      </c>
      <c r="AL5139">
        <v>81.349109729352804</v>
      </c>
      <c r="AM5139">
        <v>93.295719833580705</v>
      </c>
      <c r="AN5139">
        <v>0.99999999660851002</v>
      </c>
    </row>
    <row r="5140" spans="1:40" x14ac:dyDescent="0.25">
      <c r="A5140" t="str">
        <f>"20190304155738639"</f>
        <v>20190304155738639</v>
      </c>
      <c r="B5140" t="str">
        <f>"1551686258630232"</f>
        <v>1551686258630232</v>
      </c>
      <c r="C5140" t="s">
        <v>40</v>
      </c>
      <c r="D5140">
        <v>4.6781129999999997</v>
      </c>
      <c r="E5140">
        <v>0.43137740000000002</v>
      </c>
      <c r="F5140" t="s">
        <v>41</v>
      </c>
      <c r="G5140">
        <v>-417.05560000000003</v>
      </c>
      <c r="H5140" s="1">
        <v>-1.2330619999999999E-6</v>
      </c>
      <c r="I5140">
        <v>50.969329999999999</v>
      </c>
      <c r="J5140">
        <v>-422.35590000000002</v>
      </c>
      <c r="K5140">
        <v>1.109699</v>
      </c>
      <c r="L5140">
        <v>75.256619999999998</v>
      </c>
      <c r="M5140">
        <v>-1.6207200000000001E-2</v>
      </c>
      <c r="N5140">
        <v>-9.668243E-3</v>
      </c>
      <c r="O5140">
        <v>-0.99982210000000005</v>
      </c>
      <c r="P5140">
        <v>4.1129010000000001E-2</v>
      </c>
      <c r="Q5140">
        <v>0.141206</v>
      </c>
      <c r="R5140">
        <v>-0.98912599999999995</v>
      </c>
      <c r="S5140">
        <v>0.65191650000000001</v>
      </c>
      <c r="T5140">
        <v>-0.13660919999999999</v>
      </c>
      <c r="U5140">
        <v>-3.0254210000000001</v>
      </c>
      <c r="V5140">
        <v>-5.7177440000000003E-2</v>
      </c>
      <c r="W5140">
        <v>0.15074679999999999</v>
      </c>
      <c r="X5140">
        <v>0.9869175</v>
      </c>
      <c r="Y5140">
        <v>-0.2262788</v>
      </c>
      <c r="Z5140">
        <v>3.433257E-2</v>
      </c>
      <c r="AA5140">
        <v>0.97345729999999997</v>
      </c>
      <c r="AB5140">
        <v>29</v>
      </c>
      <c r="AC5140">
        <v>5.3002999999999902</v>
      </c>
      <c r="AD5140">
        <v>-1.1097002330620001</v>
      </c>
      <c r="AE5140">
        <v>-24.287289999999999</v>
      </c>
      <c r="AF5140">
        <v>-5.6819285437520399</v>
      </c>
      <c r="AG5140">
        <v>-1.1097002330620001</v>
      </c>
      <c r="AH5140">
        <v>24.150068253689401</v>
      </c>
      <c r="AI5140">
        <v>92.561069348405297</v>
      </c>
      <c r="AJ5140">
        <v>103.23952974996099</v>
      </c>
      <c r="AK5140">
        <v>24.8342816131536</v>
      </c>
      <c r="AL5140">
        <v>81.329792860010201</v>
      </c>
      <c r="AM5140">
        <v>93.315746273928298</v>
      </c>
      <c r="AN5140">
        <v>1.00000000458072</v>
      </c>
    </row>
    <row r="5141" spans="1:40" x14ac:dyDescent="0.25">
      <c r="A5141" t="str">
        <f>"20190304155738662"</f>
        <v>20190304155738662</v>
      </c>
      <c r="B5141" t="str">
        <f>"1551686258659513"</f>
        <v>1551686258659513</v>
      </c>
      <c r="C5141" t="s">
        <v>40</v>
      </c>
      <c r="D5141">
        <v>4.6373280000000001</v>
      </c>
      <c r="E5141">
        <v>0.4310271</v>
      </c>
      <c r="F5141" t="s">
        <v>41</v>
      </c>
      <c r="G5141">
        <v>-416.95740000000001</v>
      </c>
      <c r="H5141" s="1">
        <v>-1.0442530000000001E-6</v>
      </c>
      <c r="I5141">
        <v>50.337710000000001</v>
      </c>
      <c r="J5141">
        <v>-422.3603</v>
      </c>
      <c r="K5141">
        <v>1.1096950000000001</v>
      </c>
      <c r="L5141">
        <v>74.975459999999998</v>
      </c>
      <c r="M5141">
        <v>-1.611158E-2</v>
      </c>
      <c r="N5141">
        <v>-9.6721979999999999E-3</v>
      </c>
      <c r="O5141">
        <v>-0.99982360000000003</v>
      </c>
      <c r="P5141">
        <v>4.1725070000000003E-2</v>
      </c>
      <c r="Q5141">
        <v>0.141955</v>
      </c>
      <c r="R5141">
        <v>-0.98899369999999998</v>
      </c>
      <c r="S5141">
        <v>0.65533450000000004</v>
      </c>
      <c r="T5141">
        <v>-0.134709</v>
      </c>
      <c r="U5141">
        <v>-3.0249630000000001</v>
      </c>
      <c r="V5141">
        <v>-5.7676619999999998E-2</v>
      </c>
      <c r="W5141">
        <v>0.1514981</v>
      </c>
      <c r="X5141">
        <v>0.98677340000000002</v>
      </c>
      <c r="Y5141">
        <v>-0.22727159999999999</v>
      </c>
      <c r="Z5141">
        <v>3.3713720000000003E-2</v>
      </c>
      <c r="AA5141">
        <v>0.97324759999999999</v>
      </c>
      <c r="AB5141">
        <v>29</v>
      </c>
      <c r="AC5141">
        <v>5.4028999999999803</v>
      </c>
      <c r="AD5141">
        <v>-1.1096960442529999</v>
      </c>
      <c r="AE5141">
        <v>-24.63775</v>
      </c>
      <c r="AF5141">
        <v>-5.7879672339226502</v>
      </c>
      <c r="AG5141">
        <v>-1.1096960442529999</v>
      </c>
      <c r="AH5141">
        <v>24.5000769437329</v>
      </c>
      <c r="AI5141">
        <v>92.523975576180405</v>
      </c>
      <c r="AJ5141">
        <v>103.292014080332</v>
      </c>
      <c r="AK5141">
        <v>25.1989237917103</v>
      </c>
      <c r="AL5141">
        <v>81.286246413756103</v>
      </c>
      <c r="AM5141">
        <v>93.345115832263502</v>
      </c>
      <c r="AN5141">
        <v>1.0000000048728901</v>
      </c>
    </row>
    <row r="5142" spans="1:40" x14ac:dyDescent="0.25">
      <c r="A5142" t="str">
        <f>"20190304155738685"</f>
        <v>20190304155738685</v>
      </c>
      <c r="B5142" t="str">
        <f>"1551686258680009"</f>
        <v>1551686258680009</v>
      </c>
      <c r="C5142" t="s">
        <v>40</v>
      </c>
      <c r="D5142">
        <v>4.6405010000000004</v>
      </c>
      <c r="E5142">
        <v>0.43088209999999999</v>
      </c>
      <c r="F5142" t="s">
        <v>41</v>
      </c>
      <c r="G5142">
        <v>-416.76889999999997</v>
      </c>
      <c r="H5142" s="1">
        <v>-4.7530699999999999E-6</v>
      </c>
      <c r="I5142">
        <v>49.376289999999997</v>
      </c>
      <c r="J5142">
        <v>-422.36509999999998</v>
      </c>
      <c r="K5142">
        <v>1.109688</v>
      </c>
      <c r="L5142">
        <v>74.674930000000003</v>
      </c>
      <c r="M5142">
        <v>-1.601124E-2</v>
      </c>
      <c r="N5142">
        <v>-9.6763779999999994E-3</v>
      </c>
      <c r="O5142">
        <v>-0.99982499999999996</v>
      </c>
      <c r="P5142">
        <v>4.2713590000000003E-2</v>
      </c>
      <c r="Q5142">
        <v>0.14181839999999901</v>
      </c>
      <c r="R5142">
        <v>-0.98897100000000004</v>
      </c>
      <c r="S5142">
        <v>0.66058349999999999</v>
      </c>
      <c r="T5142">
        <v>-0.13110279999999999</v>
      </c>
      <c r="U5142">
        <v>-3.0243530000000001</v>
      </c>
      <c r="V5142">
        <v>-5.856571E-2</v>
      </c>
      <c r="W5142">
        <v>0.15136520000000001</v>
      </c>
      <c r="X5142">
        <v>0.98674139999999999</v>
      </c>
      <c r="Y5142">
        <v>-0.22883609999999999</v>
      </c>
      <c r="Z5142">
        <v>3.2542410000000001E-2</v>
      </c>
      <c r="AA5142">
        <v>0.97292080000000003</v>
      </c>
      <c r="AB5142">
        <v>29</v>
      </c>
      <c r="AC5142">
        <v>5.5961999999999996</v>
      </c>
      <c r="AD5142">
        <v>-1.10969275307</v>
      </c>
      <c r="AE5142">
        <v>-25.298639999999999</v>
      </c>
      <c r="AF5142">
        <v>-5.9895776059058301</v>
      </c>
      <c r="AG5142">
        <v>-1.10969275307</v>
      </c>
      <c r="AH5142">
        <v>25.159640778710799</v>
      </c>
      <c r="AI5142">
        <v>92.456881125024495</v>
      </c>
      <c r="AJ5142">
        <v>103.390745510782</v>
      </c>
      <c r="AK5142">
        <v>25.886559872203101</v>
      </c>
      <c r="AL5142">
        <v>81.293949628049205</v>
      </c>
      <c r="AM5142">
        <v>93.396671158483699</v>
      </c>
      <c r="AN5142">
        <v>0.99999997831640097</v>
      </c>
    </row>
    <row r="5143" spans="1:40" x14ac:dyDescent="0.25">
      <c r="A5143" t="str">
        <f>"20190304155738709"</f>
        <v>20190304155738709</v>
      </c>
      <c r="B5143" t="str">
        <f>"1551686258699529"</f>
        <v>1551686258699529</v>
      </c>
      <c r="C5143" t="s">
        <v>40</v>
      </c>
      <c r="D5143">
        <v>4.5239229999999999</v>
      </c>
      <c r="E5143">
        <v>0.43068610000000002</v>
      </c>
      <c r="F5143" t="s">
        <v>41</v>
      </c>
      <c r="G5143">
        <v>-416.73880000000003</v>
      </c>
      <c r="H5143" s="1">
        <v>-4.6318899999999998E-6</v>
      </c>
      <c r="I5143">
        <v>49.08137</v>
      </c>
      <c r="J5143">
        <v>-422.36970000000002</v>
      </c>
      <c r="K5143">
        <v>1.109694</v>
      </c>
      <c r="L5143">
        <v>74.379149999999996</v>
      </c>
      <c r="M5143">
        <v>-1.591424E-2</v>
      </c>
      <c r="N5143">
        <v>-9.6805729999999996E-3</v>
      </c>
      <c r="O5143">
        <v>-0.9998264</v>
      </c>
      <c r="P5143">
        <v>4.3619100000000001E-2</v>
      </c>
      <c r="Q5143">
        <v>0.14184469999999999</v>
      </c>
      <c r="R5143">
        <v>-0.98892740000000001</v>
      </c>
      <c r="S5143">
        <v>0.66467290000000001</v>
      </c>
      <c r="T5143">
        <v>-0.1310964</v>
      </c>
      <c r="U5143">
        <v>-3.0235599999999998</v>
      </c>
      <c r="V5143">
        <v>-5.9374700000000002E-2</v>
      </c>
      <c r="W5143">
        <v>0.151394899999999</v>
      </c>
      <c r="X5143">
        <v>0.98668849999999997</v>
      </c>
      <c r="Y5143">
        <v>-0.23005010000000001</v>
      </c>
      <c r="Z5143">
        <v>3.2534880000000002E-2</v>
      </c>
      <c r="AA5143">
        <v>0.97263480000000002</v>
      </c>
      <c r="AB5143">
        <v>29</v>
      </c>
      <c r="AC5143">
        <v>5.6308999999999898</v>
      </c>
      <c r="AD5143">
        <v>-1.10969863189</v>
      </c>
      <c r="AE5143">
        <v>-25.297779999999999</v>
      </c>
      <c r="AF5143">
        <v>-6.0217607092646297</v>
      </c>
      <c r="AG5143">
        <v>-1.10969863189</v>
      </c>
      <c r="AH5143">
        <v>25.158835426029</v>
      </c>
      <c r="AI5143">
        <v>92.456259627823897</v>
      </c>
      <c r="AJ5143">
        <v>103.460500047821</v>
      </c>
      <c r="AK5143">
        <v>25.893243000583599</v>
      </c>
      <c r="AL5143">
        <v>81.292228148402401</v>
      </c>
      <c r="AM5143">
        <v>93.443662682830706</v>
      </c>
      <c r="AN5143">
        <v>0.99999998338917395</v>
      </c>
    </row>
    <row r="5144" spans="1:40" x14ac:dyDescent="0.25">
      <c r="A5144" t="str">
        <f>"20190304155738730"</f>
        <v>20190304155738730</v>
      </c>
      <c r="B5144" t="str">
        <f>"1551686258720024"</f>
        <v>1551686258720024</v>
      </c>
      <c r="C5144" t="s">
        <v>40</v>
      </c>
      <c r="D5144">
        <v>4.5059809999999896</v>
      </c>
      <c r="E5144">
        <v>0.40613539999999998</v>
      </c>
      <c r="F5144" t="s">
        <v>41</v>
      </c>
      <c r="G5144">
        <v>-416.68709999999999</v>
      </c>
      <c r="H5144" s="1">
        <v>-4.470154E-6</v>
      </c>
      <c r="I5144">
        <v>48.682960000000001</v>
      </c>
      <c r="J5144">
        <v>-422.3741</v>
      </c>
      <c r="K5144">
        <v>1.109691</v>
      </c>
      <c r="L5144">
        <v>74.100679999999997</v>
      </c>
      <c r="M5144">
        <v>-1.582273E-2</v>
      </c>
      <c r="N5144">
        <v>-9.6844949999999996E-3</v>
      </c>
      <c r="O5144">
        <v>-0.9998281</v>
      </c>
      <c r="P5144">
        <v>4.4246540000000001E-2</v>
      </c>
      <c r="Q5144">
        <v>0.14154539999999999</v>
      </c>
      <c r="R5144">
        <v>-0.9889426</v>
      </c>
      <c r="S5144">
        <v>0.66848750000000001</v>
      </c>
      <c r="T5144">
        <v>-0.13054180000000001</v>
      </c>
      <c r="U5144">
        <v>-3.0228269999999999</v>
      </c>
      <c r="V5144">
        <v>-5.9911899999999997E-2</v>
      </c>
      <c r="W5144">
        <v>0.15109929999999999</v>
      </c>
      <c r="X5144">
        <v>0.98670139999999995</v>
      </c>
      <c r="Y5144">
        <v>-0.231182</v>
      </c>
      <c r="Z5144">
        <v>3.2351280000000003E-2</v>
      </c>
      <c r="AA5144">
        <v>0.97237249999999997</v>
      </c>
      <c r="AB5144">
        <v>29</v>
      </c>
      <c r="AC5144">
        <v>5.68700000000001</v>
      </c>
      <c r="AD5144">
        <v>-1.1096954701540001</v>
      </c>
      <c r="AE5144">
        <v>-25.417719999999999</v>
      </c>
      <c r="AF5144">
        <v>-6.0774528159657804</v>
      </c>
      <c r="AG5144">
        <v>-1.1096954701540001</v>
      </c>
      <c r="AH5144">
        <v>25.278664279963198</v>
      </c>
      <c r="AI5144">
        <v>92.444031654580996</v>
      </c>
      <c r="AJ5144">
        <v>103.51839120011699</v>
      </c>
      <c r="AK5144">
        <v>26.022638692989201</v>
      </c>
      <c r="AL5144">
        <v>81.309362414333293</v>
      </c>
      <c r="AM5144">
        <v>93.4746983354447</v>
      </c>
      <c r="AN5144">
        <v>1.00000004349202</v>
      </c>
    </row>
    <row r="5145" spans="1:40" x14ac:dyDescent="0.25">
      <c r="A5145" t="str">
        <f>"20190304155738754"</f>
        <v>20190304155738754</v>
      </c>
      <c r="B5145" t="str">
        <f>"1551686258750281"</f>
        <v>1551686258750281</v>
      </c>
      <c r="C5145" t="s">
        <v>40</v>
      </c>
      <c r="D5145">
        <v>4.5141429999999998</v>
      </c>
      <c r="E5145">
        <v>0.40926889999999999</v>
      </c>
      <c r="F5145" t="s">
        <v>84</v>
      </c>
      <c r="G5145">
        <v>-410.54020000000003</v>
      </c>
      <c r="H5145" s="1">
        <v>-5.8813699999999997E-6</v>
      </c>
      <c r="I5145">
        <v>33.087780000000002</v>
      </c>
      <c r="J5145">
        <v>-422.37869999999998</v>
      </c>
      <c r="K5145">
        <v>1.1096919999999999</v>
      </c>
      <c r="L5145">
        <v>73.797609999999906</v>
      </c>
      <c r="M5145">
        <v>-1.5723629999999999E-2</v>
      </c>
      <c r="N5145">
        <v>-9.6887850000000001E-3</v>
      </c>
      <c r="O5145">
        <v>-0.99982950000000004</v>
      </c>
      <c r="P5145">
        <v>4.4042039999999998E-2</v>
      </c>
      <c r="Q5145">
        <v>0.14142199999999999</v>
      </c>
      <c r="R5145">
        <v>-0.98896910000000005</v>
      </c>
      <c r="S5145">
        <v>0.86746219999999996</v>
      </c>
      <c r="T5145">
        <v>-8.1344369999999999E-2</v>
      </c>
      <c r="U5145">
        <v>-3.0063780000000002</v>
      </c>
      <c r="V5145">
        <v>-5.9610000000000003E-2</v>
      </c>
      <c r="W5145">
        <v>0.15098059999999999</v>
      </c>
      <c r="X5145">
        <v>0.9867378</v>
      </c>
      <c r="Y5145">
        <v>-0.29221849999999999</v>
      </c>
      <c r="Z5145">
        <v>1.6215520000000001E-2</v>
      </c>
      <c r="AA5145">
        <v>0.95621409999999996</v>
      </c>
      <c r="AB5145">
        <v>29</v>
      </c>
      <c r="AC5145">
        <v>11.8384999999999</v>
      </c>
      <c r="AD5145">
        <v>-1.10969788136999</v>
      </c>
      <c r="AE5145">
        <v>-40.709829999999897</v>
      </c>
      <c r="AF5145">
        <v>-12.4686303692233</v>
      </c>
      <c r="AG5145">
        <v>-1.10969788136999</v>
      </c>
      <c r="AH5145">
        <v>40.490903515132501</v>
      </c>
      <c r="AI5145">
        <v>91.500369737932203</v>
      </c>
      <c r="AJ5145">
        <v>107.115513443582</v>
      </c>
      <c r="AK5145">
        <v>42.381734746751597</v>
      </c>
      <c r="AL5145">
        <v>81.316241882310194</v>
      </c>
      <c r="AM5145">
        <v>93.457104453014793</v>
      </c>
      <c r="AN5145">
        <v>0.99999998981259997</v>
      </c>
    </row>
    <row r="5146" spans="1:40" x14ac:dyDescent="0.25">
      <c r="A5146" t="str">
        <f>"20190304155738774"</f>
        <v>20190304155738774</v>
      </c>
      <c r="B5146" t="str">
        <f>"1551686258769801"</f>
        <v>1551686258769801</v>
      </c>
      <c r="C5146" t="s">
        <v>40</v>
      </c>
      <c r="D5146">
        <v>4.501258</v>
      </c>
      <c r="E5146">
        <v>0.41046670000000002</v>
      </c>
      <c r="F5146" t="s">
        <v>41</v>
      </c>
      <c r="G5146">
        <v>-414.01089999999999</v>
      </c>
      <c r="H5146" s="1">
        <v>-3.0167939999999999E-6</v>
      </c>
      <c r="I5146">
        <v>43.830329999999996</v>
      </c>
      <c r="J5146">
        <v>-422.38290000000001</v>
      </c>
      <c r="K5146">
        <v>1.109693</v>
      </c>
      <c r="L5146">
        <v>73.525049999999993</v>
      </c>
      <c r="M5146">
        <v>-1.563405E-2</v>
      </c>
      <c r="N5146">
        <v>-9.6926489999999994E-3</v>
      </c>
      <c r="O5146">
        <v>-0.99983069999999996</v>
      </c>
      <c r="P5146">
        <v>4.4236270000000001E-2</v>
      </c>
      <c r="Q5146">
        <v>0.14126320000000001</v>
      </c>
      <c r="R5146">
        <v>-0.98898339999999996</v>
      </c>
      <c r="S5146">
        <v>0.8410339</v>
      </c>
      <c r="T5146">
        <v>-0.1115336</v>
      </c>
      <c r="U5146">
        <v>-3.0119630000000002</v>
      </c>
      <c r="V5146">
        <v>-5.9715879999999999E-2</v>
      </c>
      <c r="W5146">
        <v>0.1508255</v>
      </c>
      <c r="X5146">
        <v>0.9867551</v>
      </c>
      <c r="Y5146">
        <v>-0.28381770000000001</v>
      </c>
      <c r="Z5146">
        <v>2.584939E-2</v>
      </c>
      <c r="AA5146">
        <v>0.95852979999999999</v>
      </c>
      <c r="AB5146">
        <v>29</v>
      </c>
      <c r="AC5146">
        <v>8.3720000000000105</v>
      </c>
      <c r="AD5146">
        <v>-1.109696016794</v>
      </c>
      <c r="AE5146">
        <v>-29.69472</v>
      </c>
      <c r="AF5146">
        <v>-8.8238319301924406</v>
      </c>
      <c r="AG5146">
        <v>-1.109696016794</v>
      </c>
      <c r="AH5146">
        <v>29.522003497087699</v>
      </c>
      <c r="AI5146">
        <v>92.062587564188803</v>
      </c>
      <c r="AJ5146">
        <v>106.640879888515</v>
      </c>
      <c r="AK5146">
        <v>30.832452475663199</v>
      </c>
      <c r="AL5146">
        <v>81.325231249998097</v>
      </c>
      <c r="AM5146">
        <v>93.463169500782598</v>
      </c>
      <c r="AN5146">
        <v>0.999999972575216</v>
      </c>
    </row>
    <row r="5147" spans="1:40" x14ac:dyDescent="0.25">
      <c r="A5147" t="str">
        <f>"20190304155738797"</f>
        <v>20190304155738797</v>
      </c>
      <c r="B5147" t="str">
        <f>"1551686258790300"</f>
        <v>1551686258790300</v>
      </c>
      <c r="C5147" t="s">
        <v>40</v>
      </c>
      <c r="D5147">
        <v>4.5169699999999997</v>
      </c>
      <c r="E5147">
        <v>0.4117268</v>
      </c>
      <c r="F5147" t="s">
        <v>41</v>
      </c>
      <c r="G5147">
        <v>-414.71620000000001</v>
      </c>
      <c r="H5147" s="1">
        <v>-3.5599169999999998E-6</v>
      </c>
      <c r="I5147">
        <v>45.746270000000003</v>
      </c>
      <c r="J5147">
        <v>-422.38729999999998</v>
      </c>
      <c r="K5147">
        <v>1.1096919999999999</v>
      </c>
      <c r="L5147">
        <v>73.234709999999893</v>
      </c>
      <c r="M5147">
        <v>-1.55357E-2</v>
      </c>
      <c r="N5147">
        <v>-9.6967540000000001E-3</v>
      </c>
      <c r="O5147">
        <v>-0.99983259999999996</v>
      </c>
      <c r="P5147">
        <v>4.4815260000000003E-2</v>
      </c>
      <c r="Q5147">
        <v>0.14143620000000001</v>
      </c>
      <c r="R5147">
        <v>-0.98893279999999995</v>
      </c>
      <c r="S5147">
        <v>0.83166499999999999</v>
      </c>
      <c r="T5147">
        <v>-0.120378</v>
      </c>
      <c r="U5147">
        <v>-3.0133969999999999</v>
      </c>
      <c r="V5147">
        <v>-6.0196979999999997E-2</v>
      </c>
      <c r="W5147">
        <v>0.15100229999999901</v>
      </c>
      <c r="X5147">
        <v>0.98669890000000005</v>
      </c>
      <c r="Y5147">
        <v>-0.28081319999999999</v>
      </c>
      <c r="Z5147">
        <v>2.867755E-2</v>
      </c>
      <c r="AA5147">
        <v>0.95933389999999996</v>
      </c>
      <c r="AB5147">
        <v>29</v>
      </c>
      <c r="AC5147">
        <v>7.6710999999999601</v>
      </c>
      <c r="AD5147">
        <v>-1.109695559917</v>
      </c>
      <c r="AE5147">
        <v>-27.488439999999901</v>
      </c>
      <c r="AF5147">
        <v>-8.0850220603387992</v>
      </c>
      <c r="AG5147">
        <v>-1.109695559917</v>
      </c>
      <c r="AH5147">
        <v>27.324627224878</v>
      </c>
      <c r="AI5147">
        <v>92.230120410399095</v>
      </c>
      <c r="AJ5147">
        <v>106.482839389627</v>
      </c>
      <c r="AK5147">
        <v>28.5172624725868</v>
      </c>
      <c r="AL5147">
        <v>81.314984628177996</v>
      </c>
      <c r="AM5147">
        <v>93.491200088752507</v>
      </c>
      <c r="AN5147">
        <v>1.0000000451338</v>
      </c>
    </row>
    <row r="5148" spans="1:40" x14ac:dyDescent="0.25">
      <c r="A5148" t="str">
        <f>"20190304155738820"</f>
        <v>20190304155738820</v>
      </c>
      <c r="B5148" t="str">
        <f>"1551686258809817"</f>
        <v>1551686258809817</v>
      </c>
      <c r="C5148" t="s">
        <v>40</v>
      </c>
      <c r="D5148">
        <v>4.5365339999999996</v>
      </c>
      <c r="E5148">
        <v>0.41289100000000001</v>
      </c>
      <c r="F5148" t="s">
        <v>41</v>
      </c>
      <c r="G5148">
        <v>-415.16160000000002</v>
      </c>
      <c r="H5148" s="1">
        <v>-3.9261630000000002E-6</v>
      </c>
      <c r="I5148">
        <v>46.784140000000001</v>
      </c>
      <c r="J5148">
        <v>-422.39190000000002</v>
      </c>
      <c r="K5148">
        <v>1.109699</v>
      </c>
      <c r="L5148">
        <v>72.933139999999995</v>
      </c>
      <c r="M5148">
        <v>-1.542782E-2</v>
      </c>
      <c r="N5148">
        <v>-9.7009590000000003E-3</v>
      </c>
      <c r="O5148">
        <v>-0.99983379999999999</v>
      </c>
      <c r="P5148">
        <v>4.5377099999999997E-2</v>
      </c>
      <c r="Q5148">
        <v>0.1415122</v>
      </c>
      <c r="R5148">
        <v>-0.98889579999999999</v>
      </c>
      <c r="S5148">
        <v>0.82345579999999996</v>
      </c>
      <c r="T5148">
        <v>-0.12646250000000001</v>
      </c>
      <c r="U5148">
        <v>-3.0143430000000002</v>
      </c>
      <c r="V5148">
        <v>-6.065309E-2</v>
      </c>
      <c r="W5148">
        <v>0.15108099999999999</v>
      </c>
      <c r="X5148">
        <v>0.98665890000000001</v>
      </c>
      <c r="Y5148">
        <v>-0.278184599999999</v>
      </c>
      <c r="Z5148">
        <v>3.0629420000000001E-2</v>
      </c>
      <c r="AA5148">
        <v>0.96003910000000003</v>
      </c>
      <c r="AB5148">
        <v>29</v>
      </c>
      <c r="AC5148">
        <v>7.2302999999999997</v>
      </c>
      <c r="AD5148">
        <v>-1.109702926163</v>
      </c>
      <c r="AE5148">
        <v>-26.149000000000001</v>
      </c>
      <c r="AF5148">
        <v>-7.6201316728763198</v>
      </c>
      <c r="AG5148">
        <v>-1.109702926163</v>
      </c>
      <c r="AH5148">
        <v>25.9908506635999</v>
      </c>
      <c r="AI5148">
        <v>92.346170745017005</v>
      </c>
      <c r="AJ5148">
        <v>106.340354068972</v>
      </c>
      <c r="AK5148">
        <v>27.107603463121901</v>
      </c>
      <c r="AL5148">
        <v>81.310422945511604</v>
      </c>
      <c r="AM5148">
        <v>93.517728843004093</v>
      </c>
      <c r="AN5148">
        <v>1.0000000254183701</v>
      </c>
    </row>
    <row r="5149" spans="1:40" x14ac:dyDescent="0.25">
      <c r="A5149" t="str">
        <f>"20190304155738842"</f>
        <v>20190304155738842</v>
      </c>
      <c r="B5149" t="str">
        <f>"1551686258830313"</f>
        <v>1551686258830313</v>
      </c>
      <c r="C5149" t="s">
        <v>40</v>
      </c>
      <c r="D5149">
        <v>4.5197190000000003</v>
      </c>
      <c r="E5149">
        <v>0.41374470000000002</v>
      </c>
      <c r="F5149" t="s">
        <v>41</v>
      </c>
      <c r="G5149">
        <v>-415.53750000000002</v>
      </c>
      <c r="H5149" s="1">
        <v>-4.2169479999999999E-6</v>
      </c>
      <c r="I5149">
        <v>47.61739</v>
      </c>
      <c r="J5149">
        <v>-422.39620000000002</v>
      </c>
      <c r="K5149">
        <v>1.1096969999999999</v>
      </c>
      <c r="L5149">
        <v>72.651250000000005</v>
      </c>
      <c r="M5149">
        <v>-1.531801E-2</v>
      </c>
      <c r="N5149">
        <v>-9.704898E-3</v>
      </c>
      <c r="O5149">
        <v>-0.99983580000000005</v>
      </c>
      <c r="P5149">
        <v>4.5729220000000001E-2</v>
      </c>
      <c r="Q5149">
        <v>0.141208</v>
      </c>
      <c r="R5149">
        <v>-0.98892329999999995</v>
      </c>
      <c r="S5149">
        <v>0.81637569999999904</v>
      </c>
      <c r="T5149">
        <v>-0.13216700000000001</v>
      </c>
      <c r="U5149">
        <v>-3.0151370000000002</v>
      </c>
      <c r="V5149">
        <v>-6.0899149999999999E-2</v>
      </c>
      <c r="W5149">
        <v>0.1507802</v>
      </c>
      <c r="X5149">
        <v>0.9866897</v>
      </c>
      <c r="Y5149">
        <v>-0.27589799999999998</v>
      </c>
      <c r="Z5149">
        <v>3.2459370000000001E-2</v>
      </c>
      <c r="AA5149">
        <v>0.96063869999999896</v>
      </c>
      <c r="AB5149">
        <v>29</v>
      </c>
      <c r="AC5149">
        <v>6.85869999999999</v>
      </c>
      <c r="AD5149">
        <v>-1.1097012169479901</v>
      </c>
      <c r="AE5149">
        <v>-25.033860000000001</v>
      </c>
      <c r="AF5149">
        <v>-7.2281706401248602</v>
      </c>
      <c r="AG5149">
        <v>-1.1097012169479901</v>
      </c>
      <c r="AH5149">
        <v>24.880380297540199</v>
      </c>
      <c r="AI5149">
        <v>92.452514360237998</v>
      </c>
      <c r="AJ5149">
        <v>106.19947325530001</v>
      </c>
      <c r="AK5149">
        <v>25.932821121966001</v>
      </c>
      <c r="AL5149">
        <v>81.327856749058796</v>
      </c>
      <c r="AM5149">
        <v>93.531853687047899</v>
      </c>
      <c r="AN5149">
        <v>0.99999996963442495</v>
      </c>
    </row>
    <row r="5150" spans="1:40" x14ac:dyDescent="0.25">
      <c r="A5150" t="str">
        <f>"20190304155738864"</f>
        <v>20190304155738864</v>
      </c>
      <c r="B5150" t="str">
        <f>"1551686258859593"</f>
        <v>1551686258859593</v>
      </c>
      <c r="C5150" t="s">
        <v>40</v>
      </c>
      <c r="D5150">
        <v>4.4597350000000002</v>
      </c>
      <c r="E5150">
        <v>0.41430109999999998</v>
      </c>
      <c r="F5150" t="s">
        <v>41</v>
      </c>
      <c r="G5150">
        <v>-415.85469999999998</v>
      </c>
      <c r="H5150" s="1">
        <v>-4.4586500000000001E-6</v>
      </c>
      <c r="I5150">
        <v>48.311990000000002</v>
      </c>
      <c r="J5150">
        <v>-422.40050000000002</v>
      </c>
      <c r="K5150">
        <v>1.1097060000000001</v>
      </c>
      <c r="L5150">
        <v>72.361850000000004</v>
      </c>
      <c r="M5150">
        <v>-1.519147E-2</v>
      </c>
      <c r="N5150">
        <v>-9.7089770000000006E-3</v>
      </c>
      <c r="O5150">
        <v>-0.99983770000000005</v>
      </c>
      <c r="P5150">
        <v>4.5943409999999997E-2</v>
      </c>
      <c r="Q5150">
        <v>0.14098620000000001</v>
      </c>
      <c r="R5150">
        <v>-0.98894499999999996</v>
      </c>
      <c r="S5150">
        <v>0.81051640000000003</v>
      </c>
      <c r="T5150">
        <v>-0.13749720000000001</v>
      </c>
      <c r="U5150">
        <v>-3.0157470000000002</v>
      </c>
      <c r="V5150">
        <v>-6.0992480000000002E-2</v>
      </c>
      <c r="W5150">
        <v>0.15056149999999999</v>
      </c>
      <c r="X5150">
        <v>0.98671730000000002</v>
      </c>
      <c r="Y5150">
        <v>-0.2739703</v>
      </c>
      <c r="Z5150">
        <v>3.416868E-2</v>
      </c>
      <c r="AA5150">
        <v>0.96113099999999996</v>
      </c>
      <c r="AB5150">
        <v>29</v>
      </c>
      <c r="AC5150">
        <v>6.5458000000000398</v>
      </c>
      <c r="AD5150">
        <v>-1.10971045865</v>
      </c>
      <c r="AE5150">
        <v>-24.049859999999999</v>
      </c>
      <c r="AF5150">
        <v>-6.8967433792374102</v>
      </c>
      <c r="AG5150">
        <v>-1.10971045865</v>
      </c>
      <c r="AH5150">
        <v>23.9002632551428</v>
      </c>
      <c r="AI5150">
        <v>92.554310223770301</v>
      </c>
      <c r="AJ5150">
        <v>106.096208876368</v>
      </c>
      <c r="AK5150">
        <v>24.9001829351959</v>
      </c>
      <c r="AL5150">
        <v>81.340531770506203</v>
      </c>
      <c r="AM5150">
        <v>93.537153948281897</v>
      </c>
      <c r="AN5150">
        <v>0.99999993900904305</v>
      </c>
    </row>
    <row r="5151" spans="1:40" x14ac:dyDescent="0.25">
      <c r="A5151" t="str">
        <f>"20190304155738886"</f>
        <v>20190304155738886</v>
      </c>
      <c r="B5151" t="str">
        <f>"1551686258880088"</f>
        <v>1551686258880088</v>
      </c>
      <c r="C5151" t="s">
        <v>40</v>
      </c>
      <c r="D5151">
        <v>4.4409530000000004</v>
      </c>
      <c r="E5151">
        <v>0.41442669999999998</v>
      </c>
      <c r="F5151" t="s">
        <v>41</v>
      </c>
      <c r="G5151">
        <v>-416.13229999999999</v>
      </c>
      <c r="H5151" s="1">
        <v>-4.680028E-6</v>
      </c>
      <c r="I5151">
        <v>48.942790000000002</v>
      </c>
      <c r="J5151">
        <v>-422.40480000000002</v>
      </c>
      <c r="K5151">
        <v>1.109721</v>
      </c>
      <c r="L5151">
        <v>72.065579999999997</v>
      </c>
      <c r="M5151">
        <v>-1.504372E-2</v>
      </c>
      <c r="N5151">
        <v>-9.7132209999999993E-3</v>
      </c>
      <c r="O5151">
        <v>-0.99983979999999995</v>
      </c>
      <c r="P5151">
        <v>4.5973229999999997E-2</v>
      </c>
      <c r="Q5151">
        <v>0.14103789999999999</v>
      </c>
      <c r="R5151">
        <v>-0.98893640000000005</v>
      </c>
      <c r="S5151">
        <v>0.80734249999999996</v>
      </c>
      <c r="T5151">
        <v>-0.14293149999999999</v>
      </c>
      <c r="U5151">
        <v>-3.0163880000000001</v>
      </c>
      <c r="V5151">
        <v>-6.088093E-2</v>
      </c>
      <c r="W5151">
        <v>0.1506152</v>
      </c>
      <c r="X5151">
        <v>0.98671600000000004</v>
      </c>
      <c r="Y5151">
        <v>-0.27281569999999999</v>
      </c>
      <c r="Z5151">
        <v>3.5900899999999999E-2</v>
      </c>
      <c r="AA5151">
        <v>0.96139620000000003</v>
      </c>
      <c r="AB5151">
        <v>29</v>
      </c>
      <c r="AC5151">
        <v>6.2725000000000302</v>
      </c>
      <c r="AD5151">
        <v>-1.109725680028</v>
      </c>
      <c r="AE5151">
        <v>-23.122789999999998</v>
      </c>
      <c r="AF5151">
        <v>-6.6054876703888903</v>
      </c>
      <c r="AG5151">
        <v>-1.109725680028</v>
      </c>
      <c r="AH5151">
        <v>22.976512522734499</v>
      </c>
      <c r="AI5151">
        <v>92.657654630662194</v>
      </c>
      <c r="AJ5151">
        <v>106.03934518709001</v>
      </c>
      <c r="AK5151">
        <v>23.932908017120401</v>
      </c>
      <c r="AL5151">
        <v>81.337419551940499</v>
      </c>
      <c r="AM5151">
        <v>93.530705817310107</v>
      </c>
      <c r="AN5151">
        <v>0.99999994538235104</v>
      </c>
    </row>
    <row r="5152" spans="1:40" x14ac:dyDescent="0.25">
      <c r="A5152" t="str">
        <f>"20190304155738909"</f>
        <v>20190304155738909</v>
      </c>
      <c r="B5152" t="str">
        <f>"1551686258899610"</f>
        <v>1551686258899610</v>
      </c>
      <c r="C5152" t="s">
        <v>40</v>
      </c>
      <c r="D5152">
        <v>4.4005739999999998</v>
      </c>
      <c r="E5152">
        <v>0.41428749999999998</v>
      </c>
      <c r="F5152" t="s">
        <v>41</v>
      </c>
      <c r="G5152">
        <v>-416.16989999999998</v>
      </c>
      <c r="H5152" s="1">
        <v>-4.585371E-6</v>
      </c>
      <c r="I5152">
        <v>48.737699999999997</v>
      </c>
      <c r="J5152">
        <v>-422.40910000000002</v>
      </c>
      <c r="K5152">
        <v>1.1097429999999999</v>
      </c>
      <c r="L5152">
        <v>71.771029999999996</v>
      </c>
      <c r="M5152">
        <v>-1.4874719999999999E-2</v>
      </c>
      <c r="N5152">
        <v>-9.7174710000000001E-3</v>
      </c>
      <c r="O5152">
        <v>-0.99984220000000001</v>
      </c>
      <c r="P5152">
        <v>4.6158879999999999E-2</v>
      </c>
      <c r="Q5152">
        <v>0.141378</v>
      </c>
      <c r="R5152">
        <v>-0.98887910000000001</v>
      </c>
      <c r="S5152">
        <v>0.80624390000000001</v>
      </c>
      <c r="T5152">
        <v>-0.14349909999999999</v>
      </c>
      <c r="U5152">
        <v>-3.0165410000000001</v>
      </c>
      <c r="V5152">
        <v>-6.0905019999999997E-2</v>
      </c>
      <c r="W5152">
        <v>0.15095610000000001</v>
      </c>
      <c r="X5152">
        <v>0.98666240000000005</v>
      </c>
      <c r="Y5152">
        <v>-0.27231230000000001</v>
      </c>
      <c r="Z5152">
        <v>3.6081160000000001E-2</v>
      </c>
      <c r="AA5152">
        <v>0.96153219999999995</v>
      </c>
      <c r="AB5152">
        <v>29</v>
      </c>
      <c r="AC5152">
        <v>6.2392000000000296</v>
      </c>
      <c r="AD5152">
        <v>-1.1097475853709999</v>
      </c>
      <c r="AE5152">
        <v>-23.033329999999999</v>
      </c>
      <c r="AF5152">
        <v>-6.5669382480908904</v>
      </c>
      <c r="AG5152">
        <v>-1.1097475853709999</v>
      </c>
      <c r="AH5152">
        <v>22.888471275134801</v>
      </c>
      <c r="AI5152">
        <v>92.668324079571207</v>
      </c>
      <c r="AJ5152">
        <v>106.008730823565</v>
      </c>
      <c r="AK5152">
        <v>23.837750207814199</v>
      </c>
      <c r="AL5152">
        <v>81.317661368628507</v>
      </c>
      <c r="AM5152">
        <v>93.532290741516903</v>
      </c>
      <c r="AN5152">
        <v>0.999999928581082</v>
      </c>
    </row>
    <row r="5153" spans="1:40" x14ac:dyDescent="0.25">
      <c r="A5153" t="str">
        <f>"20190304155738932"</f>
        <v>20190304155738932</v>
      </c>
      <c r="B5153" t="str">
        <f>"1551686258920104"</f>
        <v>1551686258920104</v>
      </c>
      <c r="C5153" t="s">
        <v>40</v>
      </c>
      <c r="D5153">
        <v>4.4197100000000002</v>
      </c>
      <c r="E5153">
        <v>0.41447909999999999</v>
      </c>
      <c r="F5153" t="s">
        <v>41</v>
      </c>
      <c r="G5153">
        <v>-416.08300000000003</v>
      </c>
      <c r="H5153" s="1">
        <v>-4.3558480000000003E-6</v>
      </c>
      <c r="I5153">
        <v>48.166739999999997</v>
      </c>
      <c r="J5153">
        <v>-422.41329999999999</v>
      </c>
      <c r="K5153">
        <v>1.109764</v>
      </c>
      <c r="L5153">
        <v>71.476559999999907</v>
      </c>
      <c r="M5153">
        <v>-1.46798E-2</v>
      </c>
      <c r="N5153">
        <v>-9.7216779999999992E-3</v>
      </c>
      <c r="O5153">
        <v>-0.99984510000000004</v>
      </c>
      <c r="P5153">
        <v>4.64819E-2</v>
      </c>
      <c r="Q5153">
        <v>0.142213899999999</v>
      </c>
      <c r="R5153">
        <v>-0.98874399999999996</v>
      </c>
      <c r="S5153">
        <v>0.80838009999999905</v>
      </c>
      <c r="T5153">
        <v>-0.14180870000000001</v>
      </c>
      <c r="U5153">
        <v>-3.0162659999999999</v>
      </c>
      <c r="V5153">
        <v>-6.104014E-2</v>
      </c>
      <c r="W5153">
        <v>0.15179219999999999</v>
      </c>
      <c r="X5153">
        <v>0.98652580000000001</v>
      </c>
      <c r="Y5153">
        <v>-0.27278770000000002</v>
      </c>
      <c r="Z5153">
        <v>3.5535459999999998E-2</v>
      </c>
      <c r="AA5153">
        <v>0.96141779999999999</v>
      </c>
      <c r="AB5153">
        <v>29</v>
      </c>
      <c r="AC5153">
        <v>6.3302999999999603</v>
      </c>
      <c r="AD5153">
        <v>-1.109768355848</v>
      </c>
      <c r="AE5153">
        <v>-23.309819999999899</v>
      </c>
      <c r="AF5153">
        <v>-6.6577630769167104</v>
      </c>
      <c r="AG5153">
        <v>-1.109768355848</v>
      </c>
      <c r="AH5153">
        <v>23.165474382616399</v>
      </c>
      <c r="AI5153">
        <v>92.636169768433206</v>
      </c>
      <c r="AJ5153">
        <v>106.03466412898599</v>
      </c>
      <c r="AK5153">
        <v>24.1287504517672</v>
      </c>
      <c r="AL5153">
        <v>81.269198192667105</v>
      </c>
      <c r="AM5153">
        <v>93.540596286394305</v>
      </c>
      <c r="AN5153">
        <v>0.99999996236884903</v>
      </c>
    </row>
    <row r="5154" spans="1:40" x14ac:dyDescent="0.25">
      <c r="A5154" t="str">
        <f>"20190304155738975"</f>
        <v>20190304155738975</v>
      </c>
      <c r="B5154" t="str">
        <f>"1551686258969884"</f>
        <v>1551686258969884</v>
      </c>
      <c r="C5154" t="s">
        <v>40</v>
      </c>
      <c r="D5154">
        <v>4.0562279999999999</v>
      </c>
      <c r="E5154">
        <v>0.4140047</v>
      </c>
      <c r="F5154" t="s">
        <v>41</v>
      </c>
      <c r="G5154">
        <v>-416.03710000000001</v>
      </c>
      <c r="H5154" s="1">
        <v>-4.1559850000000003E-6</v>
      </c>
      <c r="I5154">
        <v>47.68188</v>
      </c>
      <c r="J5154">
        <v>-422.42129999999997</v>
      </c>
      <c r="K5154">
        <v>1.1097939999999999</v>
      </c>
      <c r="L5154">
        <v>70.899749999999997</v>
      </c>
      <c r="M5154">
        <v>-1.4232E-2</v>
      </c>
      <c r="N5154">
        <v>-9.7299410000000006E-3</v>
      </c>
      <c r="O5154">
        <v>-0.99985159999999995</v>
      </c>
      <c r="P5154">
        <v>4.795961E-2</v>
      </c>
      <c r="Q5154">
        <v>0.14302110000000001</v>
      </c>
      <c r="R5154">
        <v>-0.98855700000000002</v>
      </c>
      <c r="S5154">
        <v>0.80828859999999902</v>
      </c>
      <c r="T5154">
        <v>-0.14068229999999901</v>
      </c>
      <c r="U5154">
        <v>-3.0163880000000001</v>
      </c>
      <c r="V5154">
        <v>-6.2085069999999999E-2</v>
      </c>
      <c r="W5154">
        <v>0.15260090000000001</v>
      </c>
      <c r="X5154">
        <v>0.98633590000000004</v>
      </c>
      <c r="Y5154">
        <v>-0.2723236</v>
      </c>
      <c r="Z5154">
        <v>3.5170680000000003E-2</v>
      </c>
      <c r="AA5154">
        <v>0.96156269999999999</v>
      </c>
      <c r="AB5154">
        <v>29</v>
      </c>
      <c r="AC5154">
        <v>6.3841999999999599</v>
      </c>
      <c r="AD5154">
        <v>-1.1097981559850001</v>
      </c>
      <c r="AE5154">
        <v>-23.217870000000001</v>
      </c>
      <c r="AF5154">
        <v>-6.6997741854828599</v>
      </c>
      <c r="AG5154">
        <v>-1.1097981559850001</v>
      </c>
      <c r="AH5154">
        <v>23.075637488243402</v>
      </c>
      <c r="AI5154">
        <v>92.644418804786199</v>
      </c>
      <c r="AJ5154">
        <v>106.190112062246</v>
      </c>
      <c r="AK5154">
        <v>24.054181997571899</v>
      </c>
      <c r="AL5154">
        <v>81.222317704977499</v>
      </c>
      <c r="AM5154">
        <v>93.601740153989795</v>
      </c>
      <c r="AN5154">
        <v>1.0000000491132599</v>
      </c>
    </row>
    <row r="5155" spans="1:40" x14ac:dyDescent="0.25">
      <c r="A5155" t="str">
        <f>"20190304155738997"</f>
        <v>20190304155738997</v>
      </c>
      <c r="B5155" t="str">
        <f>"1551686258990379"</f>
        <v>1551686258990379</v>
      </c>
      <c r="C5155" t="s">
        <v>40</v>
      </c>
      <c r="D5155">
        <v>4.03552</v>
      </c>
      <c r="E5155">
        <v>0.39680280000000001</v>
      </c>
      <c r="F5155" t="s">
        <v>41</v>
      </c>
      <c r="G5155">
        <v>-415.76670000000001</v>
      </c>
      <c r="H5155" s="1">
        <v>-3.64275E-6</v>
      </c>
      <c r="I5155">
        <v>46.373710000000003</v>
      </c>
      <c r="J5155">
        <v>-422.42500000000001</v>
      </c>
      <c r="K5155">
        <v>1.109807</v>
      </c>
      <c r="L5155">
        <v>70.613069999999993</v>
      </c>
      <c r="M5155">
        <v>-1.3984430000000001E-2</v>
      </c>
      <c r="N5155">
        <v>-9.7339509999999994E-3</v>
      </c>
      <c r="O5155">
        <v>-0.99985489999999999</v>
      </c>
      <c r="P5155">
        <v>4.8778469999999997E-2</v>
      </c>
      <c r="Q5155">
        <v>0.14344979999999999</v>
      </c>
      <c r="R5155">
        <v>-0.98845510000000003</v>
      </c>
      <c r="S5155">
        <v>0.81799319999999998</v>
      </c>
      <c r="T5155">
        <v>-0.13641909999999999</v>
      </c>
      <c r="U5155">
        <v>-3.0148009999999998</v>
      </c>
      <c r="V5155">
        <v>-6.2663099999999999E-2</v>
      </c>
      <c r="W5155">
        <v>0.15303020000000001</v>
      </c>
      <c r="X5155">
        <v>0.98623280000000002</v>
      </c>
      <c r="Y5155">
        <v>-0.27510970000000001</v>
      </c>
      <c r="Z5155">
        <v>3.3794789999999998E-2</v>
      </c>
      <c r="AA5155">
        <v>0.96081870000000003</v>
      </c>
      <c r="AB5155">
        <v>29</v>
      </c>
      <c r="AC5155">
        <v>6.6582999999999899</v>
      </c>
      <c r="AD5155">
        <v>-1.1098106427500001</v>
      </c>
      <c r="AE5155">
        <v>-24.239360000000001</v>
      </c>
      <c r="AF5155">
        <v>-6.9830269758877401</v>
      </c>
      <c r="AG5155">
        <v>-1.1098106427500001</v>
      </c>
      <c r="AH5155">
        <v>24.0969021005175</v>
      </c>
      <c r="AI5155">
        <v>92.532894196542003</v>
      </c>
      <c r="AJ5155">
        <v>106.16102834859301</v>
      </c>
      <c r="AK5155">
        <v>25.112846040436398</v>
      </c>
      <c r="AL5155">
        <v>81.197428045582598</v>
      </c>
      <c r="AM5155">
        <v>93.635562894941501</v>
      </c>
      <c r="AN5155">
        <v>1.0000000210047399</v>
      </c>
    </row>
    <row r="5156" spans="1:40" x14ac:dyDescent="0.25">
      <c r="A5156" t="str">
        <f>"20190304155739020"</f>
        <v>20190304155739020</v>
      </c>
      <c r="B5156" t="str">
        <f>"1551686259009897"</f>
        <v>1551686259009897</v>
      </c>
      <c r="C5156" t="s">
        <v>40</v>
      </c>
      <c r="D5156">
        <v>4.0489449999999998</v>
      </c>
      <c r="E5156">
        <v>0.39784999999999998</v>
      </c>
      <c r="F5156" t="s">
        <v>84</v>
      </c>
      <c r="G5156">
        <v>-409.16129999999998</v>
      </c>
      <c r="H5156" s="1">
        <v>-3.4101280000000001E-6</v>
      </c>
      <c r="I5156">
        <v>29.124749999999999</v>
      </c>
      <c r="J5156">
        <v>-422.42899999999997</v>
      </c>
      <c r="K5156">
        <v>1.1098220000000001</v>
      </c>
      <c r="L5156">
        <v>70.308040000000005</v>
      </c>
      <c r="M5156">
        <v>-1.370741E-2</v>
      </c>
      <c r="N5156">
        <v>-9.7384159999999997E-3</v>
      </c>
      <c r="O5156">
        <v>-0.99985849999999998</v>
      </c>
      <c r="P5156">
        <v>4.9452330000000003E-2</v>
      </c>
      <c r="Q5156">
        <v>0.14406169999999999</v>
      </c>
      <c r="R5156">
        <v>-0.98833210000000005</v>
      </c>
      <c r="S5156">
        <v>0.95889279999999999</v>
      </c>
      <c r="T5156">
        <v>-8.0232739999999997E-2</v>
      </c>
      <c r="U5156">
        <v>-2.9993590000000001</v>
      </c>
      <c r="V5156">
        <v>-6.3065699999999905E-2</v>
      </c>
      <c r="W5156">
        <v>0.15364369999999999</v>
      </c>
      <c r="X5156">
        <v>0.98611170000000004</v>
      </c>
      <c r="Y5156">
        <v>-0.31745380000000001</v>
      </c>
      <c r="Z5156">
        <v>1.565484E-2</v>
      </c>
      <c r="AA5156">
        <v>0.94814449999999995</v>
      </c>
      <c r="AB5156">
        <v>29</v>
      </c>
      <c r="AC5156">
        <v>13.2677</v>
      </c>
      <c r="AD5156">
        <v>-1.1098254101279901</v>
      </c>
      <c r="AE5156">
        <v>-41.18329</v>
      </c>
      <c r="AF5156">
        <v>-13.821902570522401</v>
      </c>
      <c r="AG5156">
        <v>-1.1098254101279901</v>
      </c>
      <c r="AH5156">
        <v>40.970590085857999</v>
      </c>
      <c r="AI5156">
        <v>91.470292107556403</v>
      </c>
      <c r="AJ5156">
        <v>108.64241802742001</v>
      </c>
      <c r="AK5156">
        <v>43.253508009101203</v>
      </c>
      <c r="AL5156">
        <v>81.161856021252305</v>
      </c>
      <c r="AM5156">
        <v>93.659305640729698</v>
      </c>
      <c r="AN5156">
        <v>0.99999997697153398</v>
      </c>
    </row>
    <row r="5157" spans="1:40" x14ac:dyDescent="0.25">
      <c r="A5157" t="str">
        <f>"20190304155739042"</f>
        <v>20190304155739042</v>
      </c>
      <c r="B5157" t="str">
        <f>"1551686259040153"</f>
        <v>1551686259040153</v>
      </c>
      <c r="C5157" t="s">
        <v>40</v>
      </c>
      <c r="D5157">
        <v>4.6065889999999996</v>
      </c>
      <c r="E5157">
        <v>0.441243</v>
      </c>
      <c r="F5157" t="s">
        <v>84</v>
      </c>
      <c r="G5157">
        <v>-408.69740000000002</v>
      </c>
      <c r="H5157" s="1">
        <v>-3.276396E-6</v>
      </c>
      <c r="I5157">
        <v>27.068960000000001</v>
      </c>
      <c r="J5157">
        <v>-422.43270000000001</v>
      </c>
      <c r="K5157">
        <v>1.109834</v>
      </c>
      <c r="L5157">
        <v>70.019840000000002</v>
      </c>
      <c r="M5157">
        <v>-1.343719E-2</v>
      </c>
      <c r="N5157">
        <v>-9.7426890000000006E-3</v>
      </c>
      <c r="O5157">
        <v>-0.99986229999999998</v>
      </c>
      <c r="P5157">
        <v>5.0301560000000002E-2</v>
      </c>
      <c r="Q5157">
        <v>0.1447378</v>
      </c>
      <c r="R5157">
        <v>-0.98819069999999998</v>
      </c>
      <c r="S5157">
        <v>0.95239260000000003</v>
      </c>
      <c r="T5157">
        <v>-7.6974870000000001E-2</v>
      </c>
      <c r="U5157">
        <v>-2.9989620000000001</v>
      </c>
      <c r="V5157">
        <v>-6.364852E-2</v>
      </c>
      <c r="W5157">
        <v>0.15432129999999999</v>
      </c>
      <c r="X5157">
        <v>0.98596850000000003</v>
      </c>
      <c r="Y5157">
        <v>-0.31537399999999999</v>
      </c>
      <c r="Z5157">
        <v>1.46394E-2</v>
      </c>
      <c r="AA5157">
        <v>0.94885459999999999</v>
      </c>
      <c r="AB5157">
        <v>29</v>
      </c>
      <c r="AC5157">
        <v>13.735299999999899</v>
      </c>
      <c r="AD5157">
        <v>-1.1098372763959901</v>
      </c>
      <c r="AE5157">
        <v>-42.950879999999998</v>
      </c>
      <c r="AF5157">
        <v>-14.3025626480523</v>
      </c>
      <c r="AG5157">
        <v>-1.1098372763959901</v>
      </c>
      <c r="AH5157">
        <v>42.736541969906902</v>
      </c>
      <c r="AI5157">
        <v>91.410723314210003</v>
      </c>
      <c r="AJ5157">
        <v>108.503756532566</v>
      </c>
      <c r="AK5157">
        <v>45.0800072829093</v>
      </c>
      <c r="AL5157">
        <v>81.122564350688194</v>
      </c>
      <c r="AM5157">
        <v>93.6935647415592</v>
      </c>
      <c r="AN5157">
        <v>1.0000000403620599</v>
      </c>
    </row>
    <row r="5158" spans="1:40" x14ac:dyDescent="0.25">
      <c r="A5158" t="str">
        <f>"20190304155739065"</f>
        <v>20190304155739065</v>
      </c>
      <c r="B5158" t="str">
        <f>"1551686259059673"</f>
        <v>1551686259059673</v>
      </c>
      <c r="C5158" t="s">
        <v>40</v>
      </c>
      <c r="D5158">
        <v>4.538646</v>
      </c>
      <c r="E5158">
        <v>0.45786369999999998</v>
      </c>
      <c r="F5158" t="s">
        <v>84</v>
      </c>
      <c r="G5158">
        <v>-414.88749999999999</v>
      </c>
      <c r="H5158" s="1">
        <v>-5.3106520000000002E-6</v>
      </c>
      <c r="I5158">
        <v>32.634399999999999</v>
      </c>
      <c r="J5158">
        <v>-422.43650000000002</v>
      </c>
      <c r="K5158">
        <v>1.1098429999999999</v>
      </c>
      <c r="L5158">
        <v>69.7179</v>
      </c>
      <c r="M5158">
        <v>-1.315003E-2</v>
      </c>
      <c r="N5158">
        <v>-9.7471190000000003E-3</v>
      </c>
      <c r="O5158">
        <v>-0.99986620000000004</v>
      </c>
      <c r="P5158">
        <v>5.089341E-2</v>
      </c>
      <c r="Q5158">
        <v>0.14439089999999999</v>
      </c>
      <c r="R5158">
        <v>-0.98821130000000001</v>
      </c>
      <c r="S5158">
        <v>0.60910030000000004</v>
      </c>
      <c r="T5158">
        <v>-8.9592809999999995E-2</v>
      </c>
      <c r="U5158">
        <v>-3.0179749999999999</v>
      </c>
      <c r="V5158">
        <v>-6.3959470000000004E-2</v>
      </c>
      <c r="W5158">
        <v>0.153977799999999</v>
      </c>
      <c r="X5158">
        <v>0.98600200000000005</v>
      </c>
      <c r="Y5158">
        <v>-0.2106325</v>
      </c>
      <c r="Z5158">
        <v>1.928699E-2</v>
      </c>
      <c r="AA5158">
        <v>0.97737499999999999</v>
      </c>
      <c r="AB5158">
        <v>29</v>
      </c>
      <c r="AC5158">
        <v>7.5490000000000297</v>
      </c>
      <c r="AD5158">
        <v>-1.1098483106520001</v>
      </c>
      <c r="AE5158">
        <v>-37.083500000000001</v>
      </c>
      <c r="AF5158">
        <v>-8.0291138644457405</v>
      </c>
      <c r="AG5158">
        <v>-1.1098483106520001</v>
      </c>
      <c r="AH5158">
        <v>36.9492402060987</v>
      </c>
      <c r="AI5158">
        <v>91.681268772050103</v>
      </c>
      <c r="AJ5158">
        <v>102.25984345612601</v>
      </c>
      <c r="AK5158">
        <v>37.827830819766497</v>
      </c>
      <c r="AL5158">
        <v>81.142482819324201</v>
      </c>
      <c r="AM5158">
        <v>93.711433304877502</v>
      </c>
      <c r="AN5158">
        <v>0.99999996034975902</v>
      </c>
    </row>
    <row r="5159" spans="1:40" x14ac:dyDescent="0.25">
      <c r="A5159" t="str">
        <f>"20190304155739087"</f>
        <v>20190304155739087</v>
      </c>
      <c r="B5159" t="str">
        <f>"1551686259080172"</f>
        <v>1551686259080172</v>
      </c>
      <c r="C5159" t="s">
        <v>40</v>
      </c>
      <c r="D5159">
        <v>4.5098469999999997</v>
      </c>
      <c r="E5159">
        <v>0.46520699999999998</v>
      </c>
      <c r="F5159" t="s">
        <v>41</v>
      </c>
      <c r="G5159">
        <v>-418.56389999999999</v>
      </c>
      <c r="H5159" s="1">
        <v>-2.6199370000000001E-6</v>
      </c>
      <c r="I5159">
        <v>45.14611</v>
      </c>
      <c r="J5159">
        <v>-422.44009999999997</v>
      </c>
      <c r="K5159">
        <v>1.1098460000000001</v>
      </c>
      <c r="L5159">
        <v>69.427309999999906</v>
      </c>
      <c r="M5159">
        <v>-1.287231E-2</v>
      </c>
      <c r="N5159">
        <v>-9.7513459999999993E-3</v>
      </c>
      <c r="O5159">
        <v>-0.99986949999999997</v>
      </c>
      <c r="P5159">
        <v>5.1444869999999997E-2</v>
      </c>
      <c r="Q5159">
        <v>0.14542739999999901</v>
      </c>
      <c r="R5159">
        <v>-0.98803050000000003</v>
      </c>
      <c r="S5159">
        <v>0.47772219999999999</v>
      </c>
      <c r="T5159">
        <v>-0.13691120000000001</v>
      </c>
      <c r="U5159">
        <v>-3.0311889999999999</v>
      </c>
      <c r="V5159">
        <v>-6.4236189999999999E-2</v>
      </c>
      <c r="W5159">
        <v>0.15501609999999999</v>
      </c>
      <c r="X5159">
        <v>0.98582139999999996</v>
      </c>
      <c r="Y5159">
        <v>-0.16824520000000001</v>
      </c>
      <c r="Z5159">
        <v>3.4766610000000003E-2</v>
      </c>
      <c r="AA5159">
        <v>0.98513189999999995</v>
      </c>
      <c r="AB5159">
        <v>30</v>
      </c>
      <c r="AC5159">
        <v>3.8761999999999799</v>
      </c>
      <c r="AD5159">
        <v>-1.1098486199369999</v>
      </c>
      <c r="AE5159">
        <v>-24.281199999999899</v>
      </c>
      <c r="AF5159">
        <v>-4.1799330052001196</v>
      </c>
      <c r="AG5159">
        <v>-1.1098486199369999</v>
      </c>
      <c r="AH5159">
        <v>24.180027711088801</v>
      </c>
      <c r="AI5159">
        <v>92.589642148789594</v>
      </c>
      <c r="AJ5159">
        <v>99.807631898511403</v>
      </c>
      <c r="AK5159">
        <v>24.563740431704598</v>
      </c>
      <c r="AL5159">
        <v>81.082270502686697</v>
      </c>
      <c r="AM5159">
        <v>93.728126545172401</v>
      </c>
      <c r="AN5159">
        <v>1.0000000560314399</v>
      </c>
    </row>
    <row r="5160" spans="1:40" x14ac:dyDescent="0.25">
      <c r="A5160" t="str">
        <f>"20190304155739110"</f>
        <v>20190304155739110</v>
      </c>
      <c r="B5160" t="str">
        <f>"1551686259099689"</f>
        <v>1551686259099689</v>
      </c>
      <c r="C5160" t="s">
        <v>40</v>
      </c>
      <c r="D5160">
        <v>4.4729530000000004</v>
      </c>
      <c r="E5160">
        <v>0.46991500000000003</v>
      </c>
      <c r="F5160" t="s">
        <v>41</v>
      </c>
      <c r="G5160">
        <v>-419.37110000000001</v>
      </c>
      <c r="H5160" s="1">
        <v>-3.3789509999999999E-6</v>
      </c>
      <c r="I5160">
        <v>47.249160000000003</v>
      </c>
      <c r="J5160">
        <v>-422.4436</v>
      </c>
      <c r="K5160">
        <v>1.1098509999999999</v>
      </c>
      <c r="L5160">
        <v>69.129940000000005</v>
      </c>
      <c r="M5160">
        <v>-1.258866E-2</v>
      </c>
      <c r="N5160">
        <v>-9.7556359999999998E-3</v>
      </c>
      <c r="O5160">
        <v>-0.99987329999999996</v>
      </c>
      <c r="P5160">
        <v>5.2241969999999999E-2</v>
      </c>
      <c r="Q5160">
        <v>0.1456605</v>
      </c>
      <c r="R5160">
        <v>-0.98795460000000002</v>
      </c>
      <c r="S5160">
        <v>0.42022710000000002</v>
      </c>
      <c r="T5160">
        <v>-0.15197069999999999</v>
      </c>
      <c r="U5160">
        <v>-3.036835</v>
      </c>
      <c r="V5160">
        <v>-6.4753169999999999E-2</v>
      </c>
      <c r="W5160">
        <v>0.1552521</v>
      </c>
      <c r="X5160">
        <v>0.98575040000000003</v>
      </c>
      <c r="Y5160">
        <v>-0.14937890000000001</v>
      </c>
      <c r="Z5160">
        <v>3.970423E-2</v>
      </c>
      <c r="AA5160">
        <v>0.98798260000000004</v>
      </c>
      <c r="AB5160">
        <v>30</v>
      </c>
      <c r="AC5160">
        <v>3.07249999999999</v>
      </c>
      <c r="AD5160">
        <v>-1.109854378951</v>
      </c>
      <c r="AE5160">
        <v>-21.880780000000001</v>
      </c>
      <c r="AF5160">
        <v>-3.33929406676473</v>
      </c>
      <c r="AG5160">
        <v>-1.109854378951</v>
      </c>
      <c r="AH5160">
        <v>21.785399779611001</v>
      </c>
      <c r="AI5160">
        <v>92.882793348269402</v>
      </c>
      <c r="AJ5160">
        <v>98.714543280496699</v>
      </c>
      <c r="AK5160">
        <v>22.0677662024112</v>
      </c>
      <c r="AL5160">
        <v>81.068582660125699</v>
      </c>
      <c r="AM5160">
        <v>93.758315186172794</v>
      </c>
      <c r="AN5160">
        <v>1.0000000193398</v>
      </c>
    </row>
    <row r="5161" spans="1:40" x14ac:dyDescent="0.25">
      <c r="A5161" t="str">
        <f>"20190304155739133"</f>
        <v>20190304155739133</v>
      </c>
      <c r="B5161" t="str">
        <f>"1551686259129945"</f>
        <v>1551686259129945</v>
      </c>
      <c r="C5161" t="s">
        <v>40</v>
      </c>
      <c r="D5161">
        <v>4.5138910000000001</v>
      </c>
      <c r="E5161">
        <v>0.4736746</v>
      </c>
      <c r="F5161" t="s">
        <v>41</v>
      </c>
      <c r="G5161">
        <v>-419.51549999999997</v>
      </c>
      <c r="H5161" s="1">
        <v>-2.8464169999999998E-6</v>
      </c>
      <c r="I5161">
        <v>46.067500000000003</v>
      </c>
      <c r="J5161">
        <v>-422.44709999999998</v>
      </c>
      <c r="K5161">
        <v>1.1098490000000001</v>
      </c>
      <c r="L5161">
        <v>68.824550000000002</v>
      </c>
      <c r="M5161">
        <v>-1.2297270000000001E-2</v>
      </c>
      <c r="N5161">
        <v>-9.760075E-3</v>
      </c>
      <c r="O5161">
        <v>-0.99987720000000002</v>
      </c>
      <c r="P5161">
        <v>5.2747889999999999E-2</v>
      </c>
      <c r="Q5161">
        <v>0.14578740000000001</v>
      </c>
      <c r="R5161">
        <v>-0.98790929999999999</v>
      </c>
      <c r="S5161">
        <v>0.3856812</v>
      </c>
      <c r="T5161">
        <v>-0.14618680000000001</v>
      </c>
      <c r="U5161">
        <v>-3.0377200000000002</v>
      </c>
      <c r="V5161">
        <v>-6.4970860000000005E-2</v>
      </c>
      <c r="W5161">
        <v>0.15538260000000001</v>
      </c>
      <c r="X5161">
        <v>0.98571549999999997</v>
      </c>
      <c r="Y5161">
        <v>-0.1380142</v>
      </c>
      <c r="Z5161">
        <v>3.7883279999999998E-2</v>
      </c>
      <c r="AA5161">
        <v>0.98970550000000002</v>
      </c>
      <c r="AB5161">
        <v>30</v>
      </c>
      <c r="AC5161">
        <v>2.9316</v>
      </c>
      <c r="AD5161">
        <v>-1.109851846417</v>
      </c>
      <c r="AE5161">
        <v>-22.75705</v>
      </c>
      <c r="AF5161">
        <v>-3.2037454713444502</v>
      </c>
      <c r="AG5161">
        <v>-1.109851846417</v>
      </c>
      <c r="AH5161">
        <v>22.666245714892199</v>
      </c>
      <c r="AI5161">
        <v>92.775700862695302</v>
      </c>
      <c r="AJ5161">
        <v>98.0451405753698</v>
      </c>
      <c r="AK5161">
        <v>22.918430377624599</v>
      </c>
      <c r="AL5161">
        <v>81.061013588647597</v>
      </c>
      <c r="AM5161">
        <v>93.771046785383703</v>
      </c>
      <c r="AN5161">
        <v>1.0000000059860701</v>
      </c>
    </row>
    <row r="5162" spans="1:40" x14ac:dyDescent="0.25">
      <c r="A5162" t="str">
        <f>"20190304155739154"</f>
        <v>20190304155739154</v>
      </c>
      <c r="B5162" t="str">
        <f>"1551686259149465"</f>
        <v>1551686259149465</v>
      </c>
      <c r="C5162" t="s">
        <v>40</v>
      </c>
      <c r="D5162">
        <v>4.5380960000000004</v>
      </c>
      <c r="E5162">
        <v>0.47493829999999998</v>
      </c>
      <c r="F5162" t="s">
        <v>41</v>
      </c>
      <c r="G5162">
        <v>-419.63130000000001</v>
      </c>
      <c r="H5162" s="1">
        <v>-2.3365949999999999E-6</v>
      </c>
      <c r="I5162">
        <v>44.927</v>
      </c>
      <c r="J5162">
        <v>-422.45030000000003</v>
      </c>
      <c r="K5162">
        <v>1.10985</v>
      </c>
      <c r="L5162">
        <v>68.54083</v>
      </c>
      <c r="M5162">
        <v>-1.20272E-2</v>
      </c>
      <c r="N5162">
        <v>-9.7641929999999991E-3</v>
      </c>
      <c r="O5162">
        <v>-0.99987999999999999</v>
      </c>
      <c r="P5162">
        <v>5.2661890000000003E-2</v>
      </c>
      <c r="Q5162">
        <v>0.14651910000000001</v>
      </c>
      <c r="R5162">
        <v>-0.98780539999999994</v>
      </c>
      <c r="S5162">
        <v>0.35800169999999998</v>
      </c>
      <c r="T5162">
        <v>-0.1411105</v>
      </c>
      <c r="U5162">
        <v>-3.0384220000000002</v>
      </c>
      <c r="V5162">
        <v>-6.4617809999999998E-2</v>
      </c>
      <c r="W5162">
        <v>0.156117899999999</v>
      </c>
      <c r="X5162">
        <v>0.98562249999999996</v>
      </c>
      <c r="Y5162">
        <v>-0.12884010000000001</v>
      </c>
      <c r="Z5162">
        <v>3.6271989999999997E-2</v>
      </c>
      <c r="AA5162">
        <v>0.99100180000000004</v>
      </c>
      <c r="AB5162">
        <v>30</v>
      </c>
      <c r="AC5162">
        <v>2.8190000000000102</v>
      </c>
      <c r="AD5162">
        <v>-1.1098523365949999</v>
      </c>
      <c r="AE5162">
        <v>-23.61383</v>
      </c>
      <c r="AF5162">
        <v>-3.0960747203727501</v>
      </c>
      <c r="AG5162">
        <v>-1.1098523365949999</v>
      </c>
      <c r="AH5162">
        <v>23.5269745219728</v>
      </c>
      <c r="AI5162">
        <v>92.677793467796107</v>
      </c>
      <c r="AJ5162">
        <v>97.496863492143007</v>
      </c>
      <c r="AK5162">
        <v>23.7557567978949</v>
      </c>
      <c r="AL5162">
        <v>81.0183633412624</v>
      </c>
      <c r="AM5162">
        <v>93.750966546270107</v>
      </c>
      <c r="AN5162">
        <v>0.99999998628792797</v>
      </c>
    </row>
    <row r="5163" spans="1:40" x14ac:dyDescent="0.25">
      <c r="A5163" t="str">
        <f>"20190304155739176"</f>
        <v>20190304155739176</v>
      </c>
      <c r="B5163" t="str">
        <f>"1551686259169964"</f>
        <v>1551686259169964</v>
      </c>
      <c r="C5163" t="s">
        <v>40</v>
      </c>
      <c r="D5163">
        <v>4.5042869999999997</v>
      </c>
      <c r="E5163">
        <v>0.4763232</v>
      </c>
      <c r="F5163" t="s">
        <v>41</v>
      </c>
      <c r="G5163">
        <v>-419.72309999999999</v>
      </c>
      <c r="H5163" s="1">
        <v>-2.2219580000000002E-6</v>
      </c>
      <c r="I5163">
        <v>44.69773</v>
      </c>
      <c r="J5163">
        <v>-422.45359999999999</v>
      </c>
      <c r="K5163">
        <v>1.1098479999999999</v>
      </c>
      <c r="L5163">
        <v>68.242679999999993</v>
      </c>
      <c r="M5163">
        <v>-1.1743740000000001E-2</v>
      </c>
      <c r="N5163">
        <v>-9.7685180000000003E-3</v>
      </c>
      <c r="O5163">
        <v>-0.99988359999999998</v>
      </c>
      <c r="P5163">
        <v>5.2771489999999997E-2</v>
      </c>
      <c r="Q5163">
        <v>0.14640029999999901</v>
      </c>
      <c r="R5163">
        <v>-0.98781699999999995</v>
      </c>
      <c r="S5163">
        <v>0.34765629999999997</v>
      </c>
      <c r="T5163">
        <v>-0.14148259999999999</v>
      </c>
      <c r="U5163">
        <v>-3.0394899999999998</v>
      </c>
      <c r="V5163">
        <v>-6.4447920000000006E-2</v>
      </c>
      <c r="W5163">
        <v>0.1560039</v>
      </c>
      <c r="X5163">
        <v>0.98565170000000002</v>
      </c>
      <c r="Y5163">
        <v>-0.12518979999999999</v>
      </c>
      <c r="Z5163">
        <v>3.6393170000000002E-2</v>
      </c>
      <c r="AA5163">
        <v>0.99146509999999999</v>
      </c>
      <c r="AB5163">
        <v>30</v>
      </c>
      <c r="AC5163">
        <v>2.7305000000000001</v>
      </c>
      <c r="AD5163">
        <v>-1.109850221958</v>
      </c>
      <c r="AE5163">
        <v>-23.54495</v>
      </c>
      <c r="AF5163">
        <v>-3.0002526463781098</v>
      </c>
      <c r="AG5163">
        <v>-1.109850221958</v>
      </c>
      <c r="AH5163">
        <v>23.4598236983418</v>
      </c>
      <c r="AI5163">
        <v>92.686710926871996</v>
      </c>
      <c r="AJ5163">
        <v>97.28793711534</v>
      </c>
      <c r="AK5163">
        <v>23.676921493609701</v>
      </c>
      <c r="AL5163">
        <v>81.024976320110596</v>
      </c>
      <c r="AM5163">
        <v>93.741022214268398</v>
      </c>
      <c r="AN5163">
        <v>1.00000001246021</v>
      </c>
    </row>
    <row r="5164" spans="1:40" x14ac:dyDescent="0.25">
      <c r="A5164" t="str">
        <f>"20190304155739199"</f>
        <v>20190304155739199</v>
      </c>
      <c r="B5164" t="str">
        <f>"1551686259189482"</f>
        <v>1551686259189482</v>
      </c>
      <c r="C5164" t="s">
        <v>40</v>
      </c>
      <c r="D5164">
        <v>4.5566740000000001</v>
      </c>
      <c r="E5164">
        <v>0.4768657</v>
      </c>
      <c r="F5164" t="s">
        <v>41</v>
      </c>
      <c r="G5164">
        <v>-419.85399999999998</v>
      </c>
      <c r="H5164" s="1">
        <v>-2.2439919999999998E-6</v>
      </c>
      <c r="I5164">
        <v>44.803220000000003</v>
      </c>
      <c r="J5164">
        <v>-422.45679999999999</v>
      </c>
      <c r="K5164">
        <v>1.1098539999999999</v>
      </c>
      <c r="L5164">
        <v>67.948300000000003</v>
      </c>
      <c r="M5164">
        <v>-1.146315E-2</v>
      </c>
      <c r="N5164">
        <v>-9.7726930000000007E-3</v>
      </c>
      <c r="O5164">
        <v>-0.99988670000000002</v>
      </c>
      <c r="P5164">
        <v>5.2179370000000003E-2</v>
      </c>
      <c r="Q5164">
        <v>0.146928799999999</v>
      </c>
      <c r="R5164">
        <v>-0.98777029999999999</v>
      </c>
      <c r="S5164">
        <v>0.33718870000000001</v>
      </c>
      <c r="T5164">
        <v>-0.14395929999999901</v>
      </c>
      <c r="U5164">
        <v>-3.0403440000000002</v>
      </c>
      <c r="V5164">
        <v>-6.3579079999999996E-2</v>
      </c>
      <c r="W5164">
        <v>0.15653610000000001</v>
      </c>
      <c r="X5164">
        <v>0.98562369999999999</v>
      </c>
      <c r="Y5164">
        <v>-0.12150560000000001</v>
      </c>
      <c r="Z5164">
        <v>3.7202890000000002E-2</v>
      </c>
      <c r="AA5164">
        <v>0.99189329999999998</v>
      </c>
      <c r="AB5164">
        <v>30</v>
      </c>
      <c r="AC5164">
        <v>2.6027999999999398</v>
      </c>
      <c r="AD5164">
        <v>-1.1098562439919999</v>
      </c>
      <c r="AE5164">
        <v>-23.14508</v>
      </c>
      <c r="AF5164">
        <v>-2.8614596262086902</v>
      </c>
      <c r="AG5164">
        <v>-1.1098562439919999</v>
      </c>
      <c r="AH5164">
        <v>23.061356177446601</v>
      </c>
      <c r="AI5164">
        <v>92.7343677762738</v>
      </c>
      <c r="AJ5164">
        <v>97.073125354996407</v>
      </c>
      <c r="AK5164">
        <v>23.264691719810202</v>
      </c>
      <c r="AL5164">
        <v>80.994103783276202</v>
      </c>
      <c r="AM5164">
        <v>93.690833374257593</v>
      </c>
      <c r="AN5164">
        <v>0.99999996400927205</v>
      </c>
    </row>
    <row r="5165" spans="1:40" x14ac:dyDescent="0.25">
      <c r="A5165" t="str">
        <f>"20190304155739221"</f>
        <v>20190304155739221</v>
      </c>
      <c r="B5165" t="str">
        <f>"1551686259209977"</f>
        <v>1551686259209977</v>
      </c>
      <c r="C5165" t="s">
        <v>40</v>
      </c>
      <c r="D5165">
        <v>4.580044</v>
      </c>
      <c r="E5165">
        <v>0.47745130000000002</v>
      </c>
      <c r="F5165" t="s">
        <v>41</v>
      </c>
      <c r="G5165">
        <v>-419.93389999999999</v>
      </c>
      <c r="H5165" s="1">
        <v>-2.215292E-6</v>
      </c>
      <c r="I5165">
        <v>44.769350000000003</v>
      </c>
      <c r="J5165">
        <v>-422.46</v>
      </c>
      <c r="K5165">
        <v>1.1098589999999999</v>
      </c>
      <c r="L5165">
        <v>67.641050000000007</v>
      </c>
      <c r="M5165">
        <v>-1.1167089999999999E-2</v>
      </c>
      <c r="N5165">
        <v>-9.7770630000000008E-3</v>
      </c>
      <c r="O5165">
        <v>-0.99988999999999995</v>
      </c>
      <c r="P5165">
        <v>5.1669930000000003E-2</v>
      </c>
      <c r="Q5165">
        <v>0.14782879999999901</v>
      </c>
      <c r="R5165">
        <v>-0.98766259999999995</v>
      </c>
      <c r="S5165">
        <v>0.33102419999999999</v>
      </c>
      <c r="T5165">
        <v>-0.145624799999999</v>
      </c>
      <c r="U5165">
        <v>-3.0413209999999999</v>
      </c>
      <c r="V5165">
        <v>-6.2777529999999998E-2</v>
      </c>
      <c r="W5165">
        <v>0.15743979999999999</v>
      </c>
      <c r="X5165">
        <v>0.98553120000000005</v>
      </c>
      <c r="Y5165">
        <v>-0.11918810000000001</v>
      </c>
      <c r="Z5165">
        <v>3.7738250000000001E-2</v>
      </c>
      <c r="AA5165">
        <v>0.99215419999999999</v>
      </c>
      <c r="AB5165">
        <v>30</v>
      </c>
      <c r="AC5165">
        <v>2.52609999999998</v>
      </c>
      <c r="AD5165">
        <v>-1.109861215292</v>
      </c>
      <c r="AE5165">
        <v>-22.871700000000001</v>
      </c>
      <c r="AF5165">
        <v>-2.7749095672814099</v>
      </c>
      <c r="AG5165">
        <v>-1.109861215292</v>
      </c>
      <c r="AH5165">
        <v>22.789047924457801</v>
      </c>
      <c r="AI5165">
        <v>92.767777518059603</v>
      </c>
      <c r="AJ5165">
        <v>96.942446835887907</v>
      </c>
      <c r="AK5165">
        <v>22.984181959056901</v>
      </c>
      <c r="AL5165">
        <v>80.941676080212403</v>
      </c>
      <c r="AM5165">
        <v>93.644769880287697</v>
      </c>
      <c r="AN5165">
        <v>1.0000000275351899</v>
      </c>
    </row>
    <row r="5166" spans="1:40" x14ac:dyDescent="0.25">
      <c r="A5166" t="str">
        <f>"20190304155739244"</f>
        <v>20190304155739244</v>
      </c>
      <c r="B5166" t="str">
        <f>"1551686259240234"</f>
        <v>1551686259240234</v>
      </c>
      <c r="C5166" t="s">
        <v>40</v>
      </c>
      <c r="D5166">
        <v>4.6071289999999996</v>
      </c>
      <c r="E5166">
        <v>0.4779986</v>
      </c>
      <c r="F5166" t="s">
        <v>41</v>
      </c>
      <c r="G5166">
        <v>-419.9699</v>
      </c>
      <c r="H5166" s="1">
        <v>-2.0236E-6</v>
      </c>
      <c r="I5166">
        <v>44.324840000000002</v>
      </c>
      <c r="J5166">
        <v>-422.46300000000002</v>
      </c>
      <c r="K5166">
        <v>1.1098650000000001</v>
      </c>
      <c r="L5166">
        <v>67.353089999999995</v>
      </c>
      <c r="M5166">
        <v>-1.088357E-2</v>
      </c>
      <c r="N5166">
        <v>-9.7811979999999996E-3</v>
      </c>
      <c r="O5166">
        <v>-0.99989289999999997</v>
      </c>
      <c r="P5166">
        <v>5.0985219999999998E-2</v>
      </c>
      <c r="Q5166">
        <v>0.14837990000000001</v>
      </c>
      <c r="R5166">
        <v>-0.98761549999999998</v>
      </c>
      <c r="S5166">
        <v>0.32489010000000001</v>
      </c>
      <c r="T5166">
        <v>-0.1448073</v>
      </c>
      <c r="U5166">
        <v>-3.0421450000000001</v>
      </c>
      <c r="V5166">
        <v>-6.1815170000000003E-2</v>
      </c>
      <c r="W5166">
        <v>0.157994</v>
      </c>
      <c r="X5166">
        <v>0.98550329999999997</v>
      </c>
      <c r="Y5166">
        <v>-0.11690159999999999</v>
      </c>
      <c r="Z5166">
        <v>3.7467220000000002E-2</v>
      </c>
      <c r="AA5166">
        <v>0.99243650000000005</v>
      </c>
      <c r="AB5166">
        <v>30</v>
      </c>
      <c r="AC5166">
        <v>2.4931000000000201</v>
      </c>
      <c r="AD5166">
        <v>-1.1098670235999999</v>
      </c>
      <c r="AE5166">
        <v>-23.02825</v>
      </c>
      <c r="AF5166">
        <v>-2.7373092134658399</v>
      </c>
      <c r="AG5166">
        <v>-1.1098670235999999</v>
      </c>
      <c r="AH5166">
        <v>22.9470658876069</v>
      </c>
      <c r="AI5166">
        <v>92.749569533400503</v>
      </c>
      <c r="AJ5166">
        <v>96.802553599032507</v>
      </c>
      <c r="AK5166">
        <v>23.136389074148401</v>
      </c>
      <c r="AL5166">
        <v>80.9095199364141</v>
      </c>
      <c r="AM5166">
        <v>93.589145209865194</v>
      </c>
      <c r="AN5166">
        <v>0.99999998679450897</v>
      </c>
    </row>
    <row r="5167" spans="1:40" x14ac:dyDescent="0.25">
      <c r="A5167" t="str">
        <f>"20190304155739266"</f>
        <v>20190304155739266</v>
      </c>
      <c r="B5167" t="str">
        <f>"1551686259259753"</f>
        <v>1551686259259753</v>
      </c>
      <c r="C5167" t="s">
        <v>40</v>
      </c>
      <c r="D5167">
        <v>4.5929419999999999</v>
      </c>
      <c r="E5167">
        <v>0.47814139999999999</v>
      </c>
      <c r="F5167" t="s">
        <v>41</v>
      </c>
      <c r="G5167">
        <v>-420.04509999999999</v>
      </c>
      <c r="H5167" s="1">
        <v>-2.0239039999999999E-6</v>
      </c>
      <c r="I5167">
        <v>44.2789</v>
      </c>
      <c r="J5167">
        <v>-422.46589999999998</v>
      </c>
      <c r="K5167">
        <v>1.1098779999999999</v>
      </c>
      <c r="L5167">
        <v>67.047449999999998</v>
      </c>
      <c r="M5167">
        <v>-1.057256E-2</v>
      </c>
      <c r="N5167">
        <v>-9.7855860000000006E-3</v>
      </c>
      <c r="O5167">
        <v>-0.99989649999999997</v>
      </c>
      <c r="P5167">
        <v>5.0177050000000001E-2</v>
      </c>
      <c r="Q5167">
        <v>0.15005979999999999</v>
      </c>
      <c r="R5167">
        <v>-0.98740320000000004</v>
      </c>
      <c r="S5167">
        <v>0.3188782</v>
      </c>
      <c r="T5167">
        <v>-0.14637539999999999</v>
      </c>
      <c r="U5167">
        <v>-3.0431520000000001</v>
      </c>
      <c r="V5167">
        <v>-6.0702159999999998E-2</v>
      </c>
      <c r="W5167">
        <v>0.1596756</v>
      </c>
      <c r="X5167">
        <v>0.98530139999999999</v>
      </c>
      <c r="Y5167">
        <v>-0.1146171</v>
      </c>
      <c r="Z5167">
        <v>3.7969620000000003E-2</v>
      </c>
      <c r="AA5167">
        <v>0.99268380000000001</v>
      </c>
      <c r="AB5167">
        <v>30</v>
      </c>
      <c r="AC5167">
        <v>2.4207999999999799</v>
      </c>
      <c r="AD5167">
        <v>-1.1098800239040001</v>
      </c>
      <c r="AE5167">
        <v>-22.768550000000001</v>
      </c>
      <c r="AF5167">
        <v>-2.6551593659973198</v>
      </c>
      <c r="AG5167">
        <v>-1.1098800239040001</v>
      </c>
      <c r="AH5167">
        <v>22.6883727729608</v>
      </c>
      <c r="AI5167">
        <v>92.781635286277194</v>
      </c>
      <c r="AJ5167">
        <v>96.674810394668199</v>
      </c>
      <c r="AK5167">
        <v>22.870154437850498</v>
      </c>
      <c r="AL5167">
        <v>80.811932135138093</v>
      </c>
      <c r="AM5167">
        <v>93.525405867208093</v>
      </c>
      <c r="AN5167">
        <v>0.99999994915299095</v>
      </c>
    </row>
    <row r="5168" spans="1:40" x14ac:dyDescent="0.25">
      <c r="A5168" t="str">
        <f>"20190304155739299"</f>
        <v>20190304155739299</v>
      </c>
      <c r="B5168" t="str">
        <f>"1551686259290009"</f>
        <v>1551686259290009</v>
      </c>
      <c r="C5168" t="s">
        <v>40</v>
      </c>
      <c r="D5168">
        <v>4.5616680000000001</v>
      </c>
      <c r="E5168">
        <v>0.47854859999999999</v>
      </c>
      <c r="F5168" t="s">
        <v>41</v>
      </c>
      <c r="G5168">
        <v>-420.04649999999998</v>
      </c>
      <c r="H5168" s="1">
        <v>-1.774634E-6</v>
      </c>
      <c r="I5168">
        <v>43.69699</v>
      </c>
      <c r="J5168">
        <v>-422.47</v>
      </c>
      <c r="K5168">
        <v>1.1099000000000001</v>
      </c>
      <c r="L5168">
        <v>66.609219999999993</v>
      </c>
      <c r="M5168">
        <v>-1.010112E-2</v>
      </c>
      <c r="N5168">
        <v>-9.7917679999999993E-3</v>
      </c>
      <c r="O5168">
        <v>-0.99990120000000005</v>
      </c>
      <c r="P5168">
        <v>4.9685090000000001E-2</v>
      </c>
      <c r="Q5168">
        <v>0.15112790000000001</v>
      </c>
      <c r="R5168">
        <v>-0.98726530000000001</v>
      </c>
      <c r="S5168">
        <v>0.31542969999999998</v>
      </c>
      <c r="T5168">
        <v>-0.1446974</v>
      </c>
      <c r="U5168">
        <v>-3.0442499999999999</v>
      </c>
      <c r="V5168">
        <v>-5.9750070000000002E-2</v>
      </c>
      <c r="W5168">
        <v>0.16074739999999901</v>
      </c>
      <c r="X5168">
        <v>0.98518539999999999</v>
      </c>
      <c r="Y5168">
        <v>-0.11300200000000001</v>
      </c>
      <c r="Z5168">
        <v>3.7407900000000001E-2</v>
      </c>
      <c r="AA5168">
        <v>0.9928903</v>
      </c>
      <c r="AB5168">
        <v>30</v>
      </c>
      <c r="AC5168">
        <v>2.4235000000000402</v>
      </c>
      <c r="AD5168">
        <v>-1.1099017746340001</v>
      </c>
      <c r="AE5168">
        <v>-22.912229999999902</v>
      </c>
      <c r="AF5168">
        <v>-2.64868003251547</v>
      </c>
      <c r="AG5168">
        <v>-1.1099017746340001</v>
      </c>
      <c r="AH5168">
        <v>22.8335918267232</v>
      </c>
      <c r="AI5168">
        <v>92.764352160254205</v>
      </c>
      <c r="AJ5168">
        <v>96.616696748988005</v>
      </c>
      <c r="AK5168">
        <v>23.0134809095318</v>
      </c>
      <c r="AL5168">
        <v>80.749719685932106</v>
      </c>
      <c r="AM5168">
        <v>93.470655038639805</v>
      </c>
      <c r="AN5168">
        <v>1.00000003492246</v>
      </c>
    </row>
    <row r="5169" spans="1:40" x14ac:dyDescent="0.25">
      <c r="A5169" t="str">
        <f>"20190304155739323"</f>
        <v>20190304155739323</v>
      </c>
      <c r="B5169" t="str">
        <f>"1551686259320265"</f>
        <v>1551686259320265</v>
      </c>
      <c r="C5169" t="s">
        <v>40</v>
      </c>
      <c r="D5169">
        <v>4.5920529999999999</v>
      </c>
      <c r="E5169">
        <v>0.47861700000000001</v>
      </c>
      <c r="F5169" t="s">
        <v>41</v>
      </c>
      <c r="G5169">
        <v>-420.05489999999998</v>
      </c>
      <c r="H5169" s="1">
        <v>-1.4611869999999999E-6</v>
      </c>
      <c r="I5169">
        <v>42.961129999999997</v>
      </c>
      <c r="J5169">
        <v>-422.47289999999998</v>
      </c>
      <c r="K5169">
        <v>1.1099129999999999</v>
      </c>
      <c r="L5169">
        <v>66.293549999999996</v>
      </c>
      <c r="M5169">
        <v>-9.743392E-3</v>
      </c>
      <c r="N5169">
        <v>-9.7962229999999997E-3</v>
      </c>
      <c r="O5169">
        <v>-0.99990460000000003</v>
      </c>
      <c r="P5169">
        <v>4.9870190000000002E-2</v>
      </c>
      <c r="Q5169">
        <v>0.15139859999999999</v>
      </c>
      <c r="R5169">
        <v>-0.98721429999999999</v>
      </c>
      <c r="S5169">
        <v>0.31097409999999998</v>
      </c>
      <c r="T5169">
        <v>-0.1429106</v>
      </c>
      <c r="U5169">
        <v>-3.0449220000000001</v>
      </c>
      <c r="V5169">
        <v>-5.9586720000000003E-2</v>
      </c>
      <c r="W5169">
        <v>0.16102040000000001</v>
      </c>
      <c r="X5169">
        <v>0.98515070000000005</v>
      </c>
      <c r="Y5169">
        <v>-0.1111893</v>
      </c>
      <c r="Z5169">
        <v>3.6820220000000001E-2</v>
      </c>
      <c r="AA5169">
        <v>0.99311689999999997</v>
      </c>
      <c r="AB5169">
        <v>30</v>
      </c>
      <c r="AC5169">
        <v>2.4180000000000001</v>
      </c>
      <c r="AD5169">
        <v>-1.109914461187</v>
      </c>
      <c r="AE5169">
        <v>-23.332419999999999</v>
      </c>
      <c r="AF5169">
        <v>-2.6393240383394301</v>
      </c>
      <c r="AG5169">
        <v>-1.109914461187</v>
      </c>
      <c r="AH5169">
        <v>23.2556862921206</v>
      </c>
      <c r="AI5169">
        <v>92.715055260945903</v>
      </c>
      <c r="AJ5169">
        <v>96.4748825038576</v>
      </c>
      <c r="AK5169">
        <v>23.431280084708</v>
      </c>
      <c r="AL5169">
        <v>80.733871388033606</v>
      </c>
      <c r="AM5169">
        <v>93.461311372069304</v>
      </c>
      <c r="AN5169">
        <v>1.0000000240635001</v>
      </c>
    </row>
    <row r="5170" spans="1:40" x14ac:dyDescent="0.25">
      <c r="A5170" t="str">
        <f>"20190304155739344"</f>
        <v>20190304155739344</v>
      </c>
      <c r="B5170" t="str">
        <f>"1551686259339785"</f>
        <v>1551686259339785</v>
      </c>
      <c r="C5170" t="s">
        <v>40</v>
      </c>
      <c r="D5170">
        <v>4.5080280000000004</v>
      </c>
      <c r="E5170">
        <v>0.47875839999999997</v>
      </c>
      <c r="F5170" t="s">
        <v>41</v>
      </c>
      <c r="G5170">
        <v>-420.09469999999999</v>
      </c>
      <c r="H5170" s="1">
        <v>-1.4899510000000001E-6</v>
      </c>
      <c r="I5170">
        <v>43.003489999999999</v>
      </c>
      <c r="J5170">
        <v>-422.47539999999998</v>
      </c>
      <c r="K5170">
        <v>1.1099190000000001</v>
      </c>
      <c r="L5170">
        <v>66.000889999999998</v>
      </c>
      <c r="M5170">
        <v>-9.3988289999999992E-3</v>
      </c>
      <c r="N5170">
        <v>-9.8003659999999996E-3</v>
      </c>
      <c r="O5170">
        <v>-0.99990800000000002</v>
      </c>
      <c r="P5170">
        <v>5.021569E-2</v>
      </c>
      <c r="Q5170">
        <v>0.1515861</v>
      </c>
      <c r="R5170">
        <v>-0.98716789999999999</v>
      </c>
      <c r="S5170">
        <v>0.31097409999999998</v>
      </c>
      <c r="T5170">
        <v>-0.1451325</v>
      </c>
      <c r="U5170">
        <v>-3.04541</v>
      </c>
      <c r="V5170">
        <v>-5.9595660000000002E-2</v>
      </c>
      <c r="W5170">
        <v>0.16120999999999999</v>
      </c>
      <c r="X5170">
        <v>0.98511910000000003</v>
      </c>
      <c r="Y5170">
        <v>-0.1108277</v>
      </c>
      <c r="Z5170">
        <v>3.7533320000000002E-2</v>
      </c>
      <c r="AA5170">
        <v>0.99313059999999997</v>
      </c>
      <c r="AB5170">
        <v>30</v>
      </c>
      <c r="AC5170">
        <v>2.3806999999999898</v>
      </c>
      <c r="AD5170">
        <v>-1.109920489951</v>
      </c>
      <c r="AE5170">
        <v>-22.997399999999999</v>
      </c>
      <c r="AF5170">
        <v>-2.5907830656498101</v>
      </c>
      <c r="AG5170">
        <v>-1.109920489951</v>
      </c>
      <c r="AH5170">
        <v>22.921182922596898</v>
      </c>
      <c r="AI5170">
        <v>92.754774074004601</v>
      </c>
      <c r="AJ5170">
        <v>96.448776542860102</v>
      </c>
      <c r="AK5170">
        <v>23.093824000334401</v>
      </c>
      <c r="AL5170">
        <v>80.722863839002699</v>
      </c>
      <c r="AM5170">
        <v>93.461940197835702</v>
      </c>
      <c r="AN5170">
        <v>0.99999997398782203</v>
      </c>
    </row>
    <row r="5171" spans="1:40" x14ac:dyDescent="0.25">
      <c r="A5171" t="str">
        <f>"20190304155739366"</f>
        <v>20190304155739366</v>
      </c>
      <c r="B5171" t="str">
        <f>"1551686259360284"</f>
        <v>1551686259360284</v>
      </c>
      <c r="C5171" t="s">
        <v>40</v>
      </c>
      <c r="D5171">
        <v>4.5614319999999999</v>
      </c>
      <c r="E5171">
        <v>0.47891339999999999</v>
      </c>
      <c r="F5171" t="s">
        <v>41</v>
      </c>
      <c r="G5171">
        <v>-420.14249999999998</v>
      </c>
      <c r="H5171" s="1">
        <v>-1.5599070000000001E-6</v>
      </c>
      <c r="I5171">
        <v>43.13693</v>
      </c>
      <c r="J5171">
        <v>-422.4778</v>
      </c>
      <c r="K5171">
        <v>1.1099270000000001</v>
      </c>
      <c r="L5171">
        <v>65.702789999999993</v>
      </c>
      <c r="M5171">
        <v>-9.036601E-3</v>
      </c>
      <c r="N5171">
        <v>-9.8082399999999993E-3</v>
      </c>
      <c r="O5171">
        <v>-0.99991110000000005</v>
      </c>
      <c r="P5171">
        <v>5.0735599999999999E-2</v>
      </c>
      <c r="Q5171">
        <v>0.15187999999999999</v>
      </c>
      <c r="R5171">
        <v>-0.98709590000000003</v>
      </c>
      <c r="S5171">
        <v>0.31079099999999998</v>
      </c>
      <c r="T5171">
        <v>-0.14786179999999999</v>
      </c>
      <c r="U5171">
        <v>-3.0458980000000002</v>
      </c>
      <c r="V5171">
        <v>-5.9761790000000002E-2</v>
      </c>
      <c r="W5171">
        <v>0.16150980000000001</v>
      </c>
      <c r="X5171">
        <v>0.98506000000000005</v>
      </c>
      <c r="Y5171">
        <v>-0.1103888</v>
      </c>
      <c r="Z5171">
        <v>3.8407900000000002E-2</v>
      </c>
      <c r="AA5171">
        <v>0.99314610000000003</v>
      </c>
      <c r="AB5171">
        <v>30</v>
      </c>
      <c r="AC5171">
        <v>2.3353000000000099</v>
      </c>
      <c r="AD5171">
        <v>-1.1099285599069999</v>
      </c>
      <c r="AE5171">
        <v>-22.565860000000001</v>
      </c>
      <c r="AF5171">
        <v>-2.5330698429788399</v>
      </c>
      <c r="AG5171">
        <v>-1.1099285599069999</v>
      </c>
      <c r="AH5171">
        <v>22.4900012522608</v>
      </c>
      <c r="AI5171">
        <v>92.807650340339194</v>
      </c>
      <c r="AJ5171">
        <v>96.4261948185638</v>
      </c>
      <c r="AK5171">
        <v>22.659402917204101</v>
      </c>
      <c r="AL5171">
        <v>80.705459146338299</v>
      </c>
      <c r="AM5171">
        <v>93.4717749710438</v>
      </c>
      <c r="AN5171">
        <v>1.00000004532002</v>
      </c>
    </row>
    <row r="5172" spans="1:40" x14ac:dyDescent="0.25">
      <c r="A5172" t="str">
        <f>"20190304155739389"</f>
        <v>20190304155739389</v>
      </c>
      <c r="B5172" t="str">
        <f>"1551686259379801"</f>
        <v>1551686259379801</v>
      </c>
      <c r="C5172" t="s">
        <v>40</v>
      </c>
      <c r="D5172">
        <v>4.6119729999999999</v>
      </c>
      <c r="E5172">
        <v>0.47905569999999997</v>
      </c>
      <c r="F5172" t="s">
        <v>41</v>
      </c>
      <c r="G5172">
        <v>-420.13679999999999</v>
      </c>
      <c r="H5172" s="1">
        <v>-1.3992239999999999E-6</v>
      </c>
      <c r="I5172">
        <v>42.765889999999999</v>
      </c>
      <c r="J5172">
        <v>-422.4803</v>
      </c>
      <c r="K5172">
        <v>1.109944</v>
      </c>
      <c r="L5172">
        <v>65.398349999999994</v>
      </c>
      <c r="M5172">
        <v>-8.6582450000000002E-3</v>
      </c>
      <c r="N5172">
        <v>-9.8252470000000005E-3</v>
      </c>
      <c r="O5172">
        <v>-0.99991419999999998</v>
      </c>
      <c r="P5172">
        <v>5.1135449999999999E-2</v>
      </c>
      <c r="Q5172">
        <v>0.152309</v>
      </c>
      <c r="R5172">
        <v>-0.98700920000000003</v>
      </c>
      <c r="S5172">
        <v>0.31088259999999901</v>
      </c>
      <c r="T5172">
        <v>-0.1473941</v>
      </c>
      <c r="U5172">
        <v>-3.0459290000000001</v>
      </c>
      <c r="V5172">
        <v>-5.979027E-2</v>
      </c>
      <c r="W5172">
        <v>0.1619535</v>
      </c>
      <c r="X5172">
        <v>0.98498540000000001</v>
      </c>
      <c r="Y5172">
        <v>-0.110042</v>
      </c>
      <c r="Z5172">
        <v>3.8239460000000003E-2</v>
      </c>
      <c r="AA5172">
        <v>0.99319109999999999</v>
      </c>
      <c r="AB5172">
        <v>30</v>
      </c>
      <c r="AC5172">
        <v>2.3435000000000001</v>
      </c>
      <c r="AD5172">
        <v>-1.109945399224</v>
      </c>
      <c r="AE5172">
        <v>-22.632459999999899</v>
      </c>
      <c r="AF5172">
        <v>-2.5333505827795801</v>
      </c>
      <c r="AG5172">
        <v>-1.109945399224</v>
      </c>
      <c r="AH5172">
        <v>22.5576413274866</v>
      </c>
      <c r="AI5172">
        <v>92.799388260613696</v>
      </c>
      <c r="AJ5172">
        <v>96.407790257321295</v>
      </c>
      <c r="AK5172">
        <v>22.726570929730201</v>
      </c>
      <c r="AL5172">
        <v>80.679697669255404</v>
      </c>
      <c r="AM5172">
        <v>93.473687849088194</v>
      </c>
      <c r="AN5172">
        <v>1.0000000253810399</v>
      </c>
    </row>
    <row r="5173" spans="1:40" x14ac:dyDescent="0.25">
      <c r="A5173" t="str">
        <f>"20190304155739411"</f>
        <v>20190304155739411</v>
      </c>
      <c r="B5173" t="str">
        <f>"1551686259399321"</f>
        <v>1551686259399321</v>
      </c>
      <c r="C5173" t="s">
        <v>40</v>
      </c>
      <c r="D5173">
        <v>4.6054740000000001</v>
      </c>
      <c r="E5173">
        <v>0.4791089</v>
      </c>
      <c r="F5173" t="s">
        <v>41</v>
      </c>
      <c r="G5173">
        <v>-420.12810000000002</v>
      </c>
      <c r="H5173" s="1">
        <v>-1.2205049999999999E-6</v>
      </c>
      <c r="I5173">
        <v>42.354660000000003</v>
      </c>
      <c r="J5173">
        <v>-422.48239999999998</v>
      </c>
      <c r="K5173">
        <v>1.1099600000000001</v>
      </c>
      <c r="L5173">
        <v>65.102909999999994</v>
      </c>
      <c r="M5173">
        <v>-8.2864440000000004E-3</v>
      </c>
      <c r="N5173">
        <v>-9.8474889999999992E-3</v>
      </c>
      <c r="O5173">
        <v>-0.99991730000000001</v>
      </c>
      <c r="P5173">
        <v>5.1623969999999998E-2</v>
      </c>
      <c r="Q5173">
        <v>0.15259719999999999</v>
      </c>
      <c r="R5173">
        <v>-0.98693940000000002</v>
      </c>
      <c r="S5173">
        <v>0.3109131</v>
      </c>
      <c r="T5173">
        <v>-0.14671770000000001</v>
      </c>
      <c r="U5173">
        <v>-3.0460210000000001</v>
      </c>
      <c r="V5173">
        <v>-5.9914000000000002E-2</v>
      </c>
      <c r="W5173">
        <v>0.16226260000000001</v>
      </c>
      <c r="X5173">
        <v>0.984927</v>
      </c>
      <c r="Y5173">
        <v>-0.10968029999999999</v>
      </c>
      <c r="Z5173">
        <v>3.7997019999999999E-2</v>
      </c>
      <c r="AA5173">
        <v>0.99324040000000002</v>
      </c>
      <c r="AB5173">
        <v>30</v>
      </c>
      <c r="AC5173">
        <v>2.3542999999999599</v>
      </c>
      <c r="AD5173">
        <v>-1.109961220505</v>
      </c>
      <c r="AE5173">
        <v>-22.748249999999999</v>
      </c>
      <c r="AF5173">
        <v>-2.5367549210767701</v>
      </c>
      <c r="AG5173">
        <v>-1.109961220505</v>
      </c>
      <c r="AH5173">
        <v>22.674548113578101</v>
      </c>
      <c r="AI5173">
        <v>92.785149448083899</v>
      </c>
      <c r="AJ5173">
        <v>96.383521424678406</v>
      </c>
      <c r="AK5173">
        <v>22.8429917391659</v>
      </c>
      <c r="AL5173">
        <v>80.661750074060606</v>
      </c>
      <c r="AM5173">
        <v>93.481064528725796</v>
      </c>
      <c r="AN5173">
        <v>1.0000000170418799</v>
      </c>
    </row>
    <row r="5174" spans="1:40" x14ac:dyDescent="0.25">
      <c r="A5174" t="str">
        <f>"20190304155739433"</f>
        <v>20190304155739433</v>
      </c>
      <c r="B5174" t="str">
        <f>"1551686259429577"</f>
        <v>1551686259429577</v>
      </c>
      <c r="C5174" t="s">
        <v>40</v>
      </c>
      <c r="D5174">
        <v>4.6797550000000001</v>
      </c>
      <c r="E5174">
        <v>0.47946660000000002</v>
      </c>
      <c r="F5174" t="s">
        <v>41</v>
      </c>
      <c r="G5174">
        <v>-420.12569999999999</v>
      </c>
      <c r="H5174" s="1">
        <v>-1.10167E-6</v>
      </c>
      <c r="I5174">
        <v>42.079180000000001</v>
      </c>
      <c r="J5174">
        <v>-422.48450000000003</v>
      </c>
      <c r="K5174">
        <v>1.109977</v>
      </c>
      <c r="L5174">
        <v>64.803309999999996</v>
      </c>
      <c r="M5174">
        <v>-7.9068300000000001E-3</v>
      </c>
      <c r="N5174">
        <v>-9.8756739999999992E-3</v>
      </c>
      <c r="O5174">
        <v>-0.99992000000000003</v>
      </c>
      <c r="P5174">
        <v>5.2021629999999999E-2</v>
      </c>
      <c r="Q5174">
        <v>0.15285589999999999</v>
      </c>
      <c r="R5174">
        <v>-0.98687829999999999</v>
      </c>
      <c r="S5174">
        <v>0.31179810000000002</v>
      </c>
      <c r="T5174">
        <v>-0.14684990000000001</v>
      </c>
      <c r="U5174">
        <v>-3.0460820000000002</v>
      </c>
      <c r="V5174">
        <v>-5.9938379999999999E-2</v>
      </c>
      <c r="W5174">
        <v>0.1625482</v>
      </c>
      <c r="X5174">
        <v>0.98487840000000004</v>
      </c>
      <c r="Y5174">
        <v>-0.1095864</v>
      </c>
      <c r="Z5174">
        <v>3.801086E-2</v>
      </c>
      <c r="AA5174">
        <v>0.99325019999999997</v>
      </c>
      <c r="AB5174">
        <v>30</v>
      </c>
      <c r="AC5174">
        <v>2.35880000000002</v>
      </c>
      <c r="AD5174">
        <v>-1.1099781016700001</v>
      </c>
      <c r="AE5174">
        <v>-22.724129999999899</v>
      </c>
      <c r="AF5174">
        <v>-2.5324330965845099</v>
      </c>
      <c r="AG5174">
        <v>-1.1099781016700001</v>
      </c>
      <c r="AH5174">
        <v>22.651300157978898</v>
      </c>
      <c r="AI5174">
        <v>92.7880691485543</v>
      </c>
      <c r="AJ5174">
        <v>96.379222187537295</v>
      </c>
      <c r="AK5174">
        <v>22.819436181065502</v>
      </c>
      <c r="AL5174">
        <v>80.645166024190999</v>
      </c>
      <c r="AM5174">
        <v>93.482648970287897</v>
      </c>
      <c r="AN5174">
        <v>0.99999999475341195</v>
      </c>
    </row>
    <row r="5175" spans="1:40" x14ac:dyDescent="0.25">
      <c r="A5175" t="str">
        <f>"20190304155739455"</f>
        <v>20190304155739455</v>
      </c>
      <c r="B5175" t="str">
        <f>"1551686259450073"</f>
        <v>1551686259450073</v>
      </c>
      <c r="C5175" t="s">
        <v>40</v>
      </c>
      <c r="D5175">
        <v>4.6457300000000004</v>
      </c>
      <c r="E5175">
        <v>0.524599699999999</v>
      </c>
      <c r="F5175" t="s">
        <v>41</v>
      </c>
      <c r="G5175">
        <v>-420.1293</v>
      </c>
      <c r="H5175" s="1">
        <v>-9.3730990000000003E-7</v>
      </c>
      <c r="I5175">
        <v>41.693809999999999</v>
      </c>
      <c r="J5175">
        <v>-422.48649999999998</v>
      </c>
      <c r="K5175">
        <v>1.1099909999999999</v>
      </c>
      <c r="L5175">
        <v>64.497380000000007</v>
      </c>
      <c r="M5175">
        <v>-7.51909E-3</v>
      </c>
      <c r="N5175">
        <v>-9.9082479999999997E-3</v>
      </c>
      <c r="O5175">
        <v>-0.9999228</v>
      </c>
      <c r="P5175">
        <v>5.2081750000000003E-2</v>
      </c>
      <c r="Q5175">
        <v>0.15294839999999901</v>
      </c>
      <c r="R5175">
        <v>-0.98686079999999998</v>
      </c>
      <c r="S5175">
        <v>0.31045529999999999</v>
      </c>
      <c r="T5175">
        <v>-0.14631140000000001</v>
      </c>
      <c r="U5175">
        <v>-3.046173</v>
      </c>
      <c r="V5175">
        <v>-5.9616379999999997E-2</v>
      </c>
      <c r="W5175">
        <v>0.16267290000000001</v>
      </c>
      <c r="X5175">
        <v>0.98487729999999996</v>
      </c>
      <c r="Y5175">
        <v>-0.1087656</v>
      </c>
      <c r="Z5175">
        <v>3.7805270000000002E-2</v>
      </c>
      <c r="AA5175">
        <v>0.99334829999999996</v>
      </c>
      <c r="AB5175">
        <v>30</v>
      </c>
      <c r="AC5175">
        <v>2.35719999999997</v>
      </c>
      <c r="AD5175">
        <v>-1.1099919373099001</v>
      </c>
      <c r="AE5175">
        <v>-22.803570000000001</v>
      </c>
      <c r="AF5175">
        <v>-2.5226898361137802</v>
      </c>
      <c r="AG5175">
        <v>-1.1099919373099001</v>
      </c>
      <c r="AH5175">
        <v>22.731909435284901</v>
      </c>
      <c r="AI5175">
        <v>92.778484327080903</v>
      </c>
      <c r="AJ5175">
        <v>96.332528445263094</v>
      </c>
      <c r="AK5175">
        <v>22.8983788221813</v>
      </c>
      <c r="AL5175">
        <v>80.637924351499194</v>
      </c>
      <c r="AM5175">
        <v>93.463989078951201</v>
      </c>
      <c r="AN5175">
        <v>0.99999994060700004</v>
      </c>
    </row>
    <row r="5176" spans="1:40" x14ac:dyDescent="0.25">
      <c r="A5176" t="str">
        <f>"20190304155739477"</f>
        <v>20190304155739477</v>
      </c>
      <c r="B5176" t="str">
        <f>"1551686259469593"</f>
        <v>1551686259469593</v>
      </c>
      <c r="C5176" t="s">
        <v>40</v>
      </c>
      <c r="D5176">
        <v>4.5703079999999998</v>
      </c>
      <c r="E5176">
        <v>0.53153169999999905</v>
      </c>
      <c r="F5176" t="s">
        <v>41</v>
      </c>
      <c r="G5176">
        <v>-422.8664</v>
      </c>
      <c r="H5176" s="1">
        <v>-1.290524E-6</v>
      </c>
      <c r="I5176">
        <v>40.81955</v>
      </c>
      <c r="J5176">
        <v>-422.48840000000001</v>
      </c>
      <c r="K5176">
        <v>1.1100000000000001</v>
      </c>
      <c r="L5176">
        <v>64.200379999999996</v>
      </c>
      <c r="M5176">
        <v>-7.142949E-3</v>
      </c>
      <c r="N5176">
        <v>-9.9444249999999998E-3</v>
      </c>
      <c r="O5176">
        <v>-0.99992499999999995</v>
      </c>
      <c r="P5176">
        <v>5.2070869999999998E-2</v>
      </c>
      <c r="Q5176">
        <v>0.15305659999999999</v>
      </c>
      <c r="R5176">
        <v>-0.98684450000000001</v>
      </c>
      <c r="S5176">
        <v>-4.9163819999999997E-2</v>
      </c>
      <c r="T5176">
        <v>-0.14367559999999999</v>
      </c>
      <c r="U5176">
        <v>-3.064819</v>
      </c>
      <c r="V5176">
        <v>-5.9235030000000001E-2</v>
      </c>
      <c r="W5176">
        <v>0.16281689999999999</v>
      </c>
      <c r="X5176">
        <v>0.98487659999999999</v>
      </c>
      <c r="Y5176">
        <v>8.8830590000000004E-3</v>
      </c>
      <c r="Z5176">
        <v>3.6886549999999997E-2</v>
      </c>
      <c r="AA5176">
        <v>0.99927999999999995</v>
      </c>
      <c r="AB5176">
        <v>30</v>
      </c>
      <c r="AC5176">
        <v>-0.37799999999998501</v>
      </c>
      <c r="AD5176">
        <v>-1.110001290524</v>
      </c>
      <c r="AE5176">
        <v>-23.38083</v>
      </c>
      <c r="AF5176">
        <v>0.21049970123675299</v>
      </c>
      <c r="AG5176">
        <v>-1.110001290524</v>
      </c>
      <c r="AH5176">
        <v>23.330363980679699</v>
      </c>
      <c r="AI5176">
        <v>92.723827373080098</v>
      </c>
      <c r="AJ5176">
        <v>89.483059191848596</v>
      </c>
      <c r="AK5176">
        <v>23.357703150356699</v>
      </c>
      <c r="AL5176">
        <v>80.629563069945803</v>
      </c>
      <c r="AM5176">
        <v>93.441886750063503</v>
      </c>
      <c r="AN5176">
        <v>1.00000002446613</v>
      </c>
    </row>
    <row r="5177" spans="1:40" x14ac:dyDescent="0.25">
      <c r="A5177" t="str">
        <f>"20190304155739499"</f>
        <v>20190304155739499</v>
      </c>
      <c r="B5177" t="str">
        <f>"1551686259490089"</f>
        <v>1551686259490089</v>
      </c>
      <c r="C5177" t="s">
        <v>40</v>
      </c>
      <c r="D5177">
        <v>4.5373099999999997</v>
      </c>
      <c r="E5177">
        <v>0.53401330000000002</v>
      </c>
      <c r="F5177" t="s">
        <v>84</v>
      </c>
      <c r="G5177">
        <v>-423.47390000000001</v>
      </c>
      <c r="H5177" s="1">
        <v>-3.2716020000000002E-6</v>
      </c>
      <c r="I5177">
        <v>35.237029999999997</v>
      </c>
      <c r="J5177">
        <v>-422.49020000000002</v>
      </c>
      <c r="K5177">
        <v>1.110009</v>
      </c>
      <c r="L5177">
        <v>63.897370000000002</v>
      </c>
      <c r="M5177">
        <v>-6.7604350000000004E-3</v>
      </c>
      <c r="N5177">
        <v>-9.9847660000000008E-3</v>
      </c>
      <c r="O5177">
        <v>-0.99992729999999996</v>
      </c>
      <c r="P5177">
        <v>5.2374289999999997E-2</v>
      </c>
      <c r="Q5177">
        <v>0.1536225</v>
      </c>
      <c r="R5177">
        <v>-0.98674070000000003</v>
      </c>
      <c r="S5177">
        <v>-0.10424799999999999</v>
      </c>
      <c r="T5177">
        <v>-0.11741409999999999</v>
      </c>
      <c r="U5177">
        <v>-3.0636899999999998</v>
      </c>
      <c r="V5177">
        <v>-5.9161409999999998E-2</v>
      </c>
      <c r="W5177">
        <v>0.16342100000000001</v>
      </c>
      <c r="X5177">
        <v>0.98478100000000002</v>
      </c>
      <c r="Y5177">
        <v>2.722946E-2</v>
      </c>
      <c r="Z5177">
        <v>2.8298630000000002E-2</v>
      </c>
      <c r="AA5177">
        <v>0.99922860000000002</v>
      </c>
      <c r="AB5177">
        <v>30</v>
      </c>
      <c r="AC5177">
        <v>-0.98369999999999802</v>
      </c>
      <c r="AD5177">
        <v>-1.110012271602</v>
      </c>
      <c r="AE5177">
        <v>-28.660340000000001</v>
      </c>
      <c r="AF5177">
        <v>0.78872978696875695</v>
      </c>
      <c r="AG5177">
        <v>-1.110012271602</v>
      </c>
      <c r="AH5177">
        <v>28.623450743565101</v>
      </c>
      <c r="AI5177">
        <v>92.219965393995196</v>
      </c>
      <c r="AJ5177">
        <v>88.421592987089099</v>
      </c>
      <c r="AK5177">
        <v>28.655822347112199</v>
      </c>
      <c r="AL5177">
        <v>80.594481119497203</v>
      </c>
      <c r="AM5177">
        <v>93.437952195639696</v>
      </c>
      <c r="AN5177">
        <v>1.00000005681759</v>
      </c>
    </row>
    <row r="5178" spans="1:40" x14ac:dyDescent="0.25">
      <c r="A5178" t="str">
        <f>"20190304155739523"</f>
        <v>20190304155739523</v>
      </c>
      <c r="B5178" t="str">
        <f>"1551686259520345"</f>
        <v>1551686259520345</v>
      </c>
      <c r="C5178" t="s">
        <v>40</v>
      </c>
      <c r="D5178">
        <v>4.5384580000000003</v>
      </c>
      <c r="E5178">
        <v>0.53562719999999997</v>
      </c>
      <c r="F5178" t="s">
        <v>84</v>
      </c>
      <c r="G5178">
        <v>-423.76100000000002</v>
      </c>
      <c r="H5178" s="1">
        <v>-4.6666399999999998E-6</v>
      </c>
      <c r="I5178">
        <v>32.125149999999998</v>
      </c>
      <c r="J5178">
        <v>-422.49189999999999</v>
      </c>
      <c r="K5178">
        <v>1.110012</v>
      </c>
      <c r="L5178">
        <v>63.58719</v>
      </c>
      <c r="M5178">
        <v>-6.3695449999999999E-3</v>
      </c>
      <c r="N5178">
        <v>-1.003239E-2</v>
      </c>
      <c r="O5178">
        <v>-0.99992950000000003</v>
      </c>
      <c r="P5178">
        <v>5.2360450000000003E-2</v>
      </c>
      <c r="Q5178">
        <v>0.1542858</v>
      </c>
      <c r="R5178">
        <v>-0.98663780000000001</v>
      </c>
      <c r="S5178">
        <v>-0.1225281</v>
      </c>
      <c r="T5178">
        <v>-0.1070275</v>
      </c>
      <c r="U5178">
        <v>-3.0634769999999998</v>
      </c>
      <c r="V5178">
        <v>-5.8762759999999997E-2</v>
      </c>
      <c r="W5178">
        <v>0.16413029999999901</v>
      </c>
      <c r="X5178">
        <v>0.98468690000000003</v>
      </c>
      <c r="Y5178">
        <v>3.3578950000000003E-2</v>
      </c>
      <c r="Z5178">
        <v>2.4863730000000001E-2</v>
      </c>
      <c r="AA5178">
        <v>0.99912670000000003</v>
      </c>
      <c r="AB5178">
        <v>30</v>
      </c>
      <c r="AC5178">
        <v>-1.2690999999999799</v>
      </c>
      <c r="AD5178">
        <v>-1.11001666664</v>
      </c>
      <c r="AE5178">
        <v>-31.462039999999998</v>
      </c>
      <c r="AF5178">
        <v>1.0673388886616999</v>
      </c>
      <c r="AG5178">
        <v>-1.11001666664</v>
      </c>
      <c r="AH5178">
        <v>31.430425952159499</v>
      </c>
      <c r="AI5178">
        <v>92.0214888071242</v>
      </c>
      <c r="AJ5178">
        <v>88.055052693216496</v>
      </c>
      <c r="AK5178">
        <v>31.468127126310701</v>
      </c>
      <c r="AL5178">
        <v>80.553284953102093</v>
      </c>
      <c r="AM5178">
        <v>93.415166655019306</v>
      </c>
      <c r="AN5178">
        <v>1.0000000541862499</v>
      </c>
    </row>
    <row r="5179" spans="1:40" x14ac:dyDescent="0.25">
      <c r="A5179" t="str">
        <f>"20190304155739545"</f>
        <v>20190304155739545</v>
      </c>
      <c r="B5179" t="str">
        <f>"1551686259539865"</f>
        <v>1551686259539865</v>
      </c>
      <c r="C5179" t="s">
        <v>40</v>
      </c>
      <c r="D5179">
        <v>4.6059659999999996</v>
      </c>
      <c r="E5179">
        <v>0.5358579</v>
      </c>
      <c r="F5179" t="s">
        <v>84</v>
      </c>
      <c r="G5179">
        <v>-423.98079999999999</v>
      </c>
      <c r="H5179" s="1">
        <v>-5.7941330000000004E-6</v>
      </c>
      <c r="I5179">
        <v>29.9374</v>
      </c>
      <c r="J5179">
        <v>-422.49340000000001</v>
      </c>
      <c r="K5179">
        <v>1.1100209999999999</v>
      </c>
      <c r="L5179">
        <v>63.280299999999997</v>
      </c>
      <c r="M5179">
        <v>-5.9836489999999997E-3</v>
      </c>
      <c r="N5179">
        <v>-1.008764E-2</v>
      </c>
      <c r="O5179">
        <v>-0.99993140000000003</v>
      </c>
      <c r="P5179">
        <v>5.2234240000000001E-2</v>
      </c>
      <c r="Q5179">
        <v>0.15434990000000001</v>
      </c>
      <c r="R5179">
        <v>-0.98663480000000003</v>
      </c>
      <c r="S5179">
        <v>-0.13555909999999999</v>
      </c>
      <c r="T5179">
        <v>-0.1010611</v>
      </c>
      <c r="U5179">
        <v>-3.0636290000000002</v>
      </c>
      <c r="V5179">
        <v>-5.8255889999999998E-2</v>
      </c>
      <c r="W5179">
        <v>0.164249799999999</v>
      </c>
      <c r="X5179">
        <v>0.98469700000000004</v>
      </c>
      <c r="Y5179">
        <v>3.8205889999999999E-2</v>
      </c>
      <c r="Z5179">
        <v>2.2857929999999999E-2</v>
      </c>
      <c r="AA5179">
        <v>0.99900840000000002</v>
      </c>
      <c r="AB5179">
        <v>30</v>
      </c>
      <c r="AC5179">
        <v>-1.4873999999999701</v>
      </c>
      <c r="AD5179">
        <v>-1.110026794133</v>
      </c>
      <c r="AE5179">
        <v>-33.3429</v>
      </c>
      <c r="AF5179">
        <v>1.28642811813129</v>
      </c>
      <c r="AG5179">
        <v>-1.110026794133</v>
      </c>
      <c r="AH5179">
        <v>33.314354347267603</v>
      </c>
      <c r="AI5179">
        <v>91.906956308708104</v>
      </c>
      <c r="AJ5179">
        <v>87.788631924925397</v>
      </c>
      <c r="AK5179">
        <v>33.3576567276858</v>
      </c>
      <c r="AL5179">
        <v>80.546343045387502</v>
      </c>
      <c r="AM5179">
        <v>93.385742628861706</v>
      </c>
      <c r="AN5179">
        <v>0.99999996366436505</v>
      </c>
    </row>
    <row r="5180" spans="1:40" x14ac:dyDescent="0.25">
      <c r="A5180" t="str">
        <f>"20190304155739567"</f>
        <v>20190304155739567</v>
      </c>
      <c r="B5180" t="str">
        <f>"1551686259560365"</f>
        <v>1551686259560365</v>
      </c>
      <c r="C5180" t="s">
        <v>40</v>
      </c>
      <c r="D5180">
        <v>4.541334</v>
      </c>
      <c r="E5180">
        <v>0.53638169999999996</v>
      </c>
      <c r="F5180" t="s">
        <v>84</v>
      </c>
      <c r="G5180">
        <v>-423.95890000000003</v>
      </c>
      <c r="H5180" s="1">
        <v>-5.387926E-6</v>
      </c>
      <c r="I5180">
        <v>30.732119999999998</v>
      </c>
      <c r="J5180">
        <v>-422.4948</v>
      </c>
      <c r="K5180">
        <v>1.110028</v>
      </c>
      <c r="L5180">
        <v>62.985959999999999</v>
      </c>
      <c r="M5180">
        <v>-5.613743E-3</v>
      </c>
      <c r="N5180">
        <v>-1.014811E-2</v>
      </c>
      <c r="O5180">
        <v>-0.99993279999999995</v>
      </c>
      <c r="P5180">
        <v>5.224927E-2</v>
      </c>
      <c r="Q5180">
        <v>0.1549644</v>
      </c>
      <c r="R5180">
        <v>-0.98653749999999996</v>
      </c>
      <c r="S5180">
        <v>-0.13797000000000001</v>
      </c>
      <c r="T5180">
        <v>-0.10450520000000001</v>
      </c>
      <c r="U5180">
        <v>-3.0643009999999999</v>
      </c>
      <c r="V5180">
        <v>-5.7906529999999998E-2</v>
      </c>
      <c r="W5180">
        <v>0.16492279999999901</v>
      </c>
      <c r="X5180">
        <v>0.98460510000000001</v>
      </c>
      <c r="Y5180">
        <v>3.9348630000000002E-2</v>
      </c>
      <c r="Z5180">
        <v>2.3910359999999999E-2</v>
      </c>
      <c r="AA5180">
        <v>0.99893949999999998</v>
      </c>
      <c r="AB5180">
        <v>30</v>
      </c>
      <c r="AC5180">
        <v>-1.4641000000000299</v>
      </c>
      <c r="AD5180">
        <v>-1.110033387926</v>
      </c>
      <c r="AE5180">
        <v>-32.253839999999997</v>
      </c>
      <c r="AF5180">
        <v>1.2814881329118699</v>
      </c>
      <c r="AG5180">
        <v>-1.110033387926</v>
      </c>
      <c r="AH5180">
        <v>32.223463281709599</v>
      </c>
      <c r="AI5180">
        <v>91.971386924429197</v>
      </c>
      <c r="AJ5180">
        <v>87.722616294779996</v>
      </c>
      <c r="AK5180">
        <v>32.2680332810165</v>
      </c>
      <c r="AL5180">
        <v>80.507249722359902</v>
      </c>
      <c r="AM5180">
        <v>93.365798576628706</v>
      </c>
      <c r="AN5180">
        <v>0.99999994956124405</v>
      </c>
    </row>
    <row r="5181" spans="1:40" x14ac:dyDescent="0.25">
      <c r="A5181" t="str">
        <f>"20190304155739589"</f>
        <v>20190304155739589</v>
      </c>
      <c r="B5181" t="str">
        <f>"1551686259579881"</f>
        <v>1551686259579881</v>
      </c>
      <c r="C5181" t="s">
        <v>40</v>
      </c>
      <c r="D5181">
        <v>4.5629210000000002</v>
      </c>
      <c r="E5181">
        <v>0.53682680000000005</v>
      </c>
      <c r="F5181" t="s">
        <v>84</v>
      </c>
      <c r="G5181">
        <v>-424.06330000000003</v>
      </c>
      <c r="H5181" s="1">
        <v>-6.1133579999999999E-6</v>
      </c>
      <c r="I5181">
        <v>29.245999999999999</v>
      </c>
      <c r="J5181">
        <v>-422.49619999999999</v>
      </c>
      <c r="K5181">
        <v>1.110044</v>
      </c>
      <c r="L5181">
        <v>62.680419999999998</v>
      </c>
      <c r="M5181">
        <v>-5.2304680000000003E-3</v>
      </c>
      <c r="N5181">
        <v>-1.021793E-2</v>
      </c>
      <c r="O5181">
        <v>-0.99993399999999999</v>
      </c>
      <c r="P5181">
        <v>5.2700450000000003E-2</v>
      </c>
      <c r="Q5181">
        <v>0.15501760000000001</v>
      </c>
      <c r="R5181">
        <v>-0.98650499999999997</v>
      </c>
      <c r="S5181">
        <v>-0.1424561</v>
      </c>
      <c r="T5181">
        <v>-0.1008155</v>
      </c>
      <c r="U5181">
        <v>-3.0643310000000001</v>
      </c>
      <c r="V5181">
        <v>-5.797998E-2</v>
      </c>
      <c r="W5181">
        <v>0.16504460000000001</v>
      </c>
      <c r="X5181">
        <v>0.98458040000000002</v>
      </c>
      <c r="Y5181">
        <v>4.1191619999999998E-2</v>
      </c>
      <c r="Z5181">
        <v>2.2636670000000001E-2</v>
      </c>
      <c r="AA5181">
        <v>0.99889479999999997</v>
      </c>
      <c r="AB5181">
        <v>30</v>
      </c>
      <c r="AC5181">
        <v>-1.5671000000000299</v>
      </c>
      <c r="AD5181">
        <v>-1.1100501133580001</v>
      </c>
      <c r="AE5181">
        <v>-33.434420000000003</v>
      </c>
      <c r="AF5181">
        <v>1.3906621885438999</v>
      </c>
      <c r="AG5181">
        <v>-1.1100501133580001</v>
      </c>
      <c r="AH5181">
        <v>33.405417812196099</v>
      </c>
      <c r="AI5181">
        <v>91.901572167119994</v>
      </c>
      <c r="AJ5181">
        <v>87.616162345854605</v>
      </c>
      <c r="AK5181">
        <v>33.452774052149998</v>
      </c>
      <c r="AL5181">
        <v>80.500174436339506</v>
      </c>
      <c r="AM5181">
        <v>93.370142349963501</v>
      </c>
      <c r="AN5181">
        <v>0.99999998106706001</v>
      </c>
    </row>
    <row r="5182" spans="1:40" x14ac:dyDescent="0.25">
      <c r="A5182" t="str">
        <f>"20190304155739612"</f>
        <v>20190304155739612</v>
      </c>
      <c r="B5182" t="str">
        <f>"1551686259600377"</f>
        <v>1551686259600377</v>
      </c>
      <c r="C5182" t="s">
        <v>40</v>
      </c>
      <c r="D5182">
        <v>4.651618</v>
      </c>
      <c r="E5182">
        <v>0.53699379999999997</v>
      </c>
      <c r="F5182" t="s">
        <v>84</v>
      </c>
      <c r="G5182">
        <v>-424.1</v>
      </c>
      <c r="H5182" s="1">
        <v>-6.322054E-6</v>
      </c>
      <c r="I5182">
        <v>28.73883</v>
      </c>
      <c r="J5182">
        <v>-422.4973</v>
      </c>
      <c r="K5182">
        <v>1.1100559999999999</v>
      </c>
      <c r="L5182">
        <v>62.37744</v>
      </c>
      <c r="M5182">
        <v>-4.8507649999999999E-3</v>
      </c>
      <c r="N5182">
        <v>-1.029423E-2</v>
      </c>
      <c r="O5182">
        <v>-0.99993520000000002</v>
      </c>
      <c r="P5182">
        <v>5.3256199999999997E-2</v>
      </c>
      <c r="Q5182">
        <v>0.1552569</v>
      </c>
      <c r="R5182">
        <v>-0.98643760000000003</v>
      </c>
      <c r="S5182">
        <v>-0.14480589999999999</v>
      </c>
      <c r="T5182">
        <v>-0.1002241</v>
      </c>
      <c r="U5182">
        <v>-3.064514</v>
      </c>
      <c r="V5182">
        <v>-5.8161860000000003E-2</v>
      </c>
      <c r="W5182">
        <v>0.16535830000000001</v>
      </c>
      <c r="X5182">
        <v>0.98451699999999998</v>
      </c>
      <c r="Y5182">
        <v>4.233249E-2</v>
      </c>
      <c r="Z5182">
        <v>2.2364559999999999E-2</v>
      </c>
      <c r="AA5182">
        <v>0.9988532</v>
      </c>
      <c r="AB5182">
        <v>30</v>
      </c>
      <c r="AC5182">
        <v>-1.60270000000002</v>
      </c>
      <c r="AD5182">
        <v>-1.110062322054</v>
      </c>
      <c r="AE5182">
        <v>-33.63861</v>
      </c>
      <c r="AF5182">
        <v>1.4379371621800501</v>
      </c>
      <c r="AG5182">
        <v>-1.110062322054</v>
      </c>
      <c r="AH5182">
        <v>33.609471890090603</v>
      </c>
      <c r="AI5182">
        <v>91.889964459213303</v>
      </c>
      <c r="AJ5182">
        <v>87.550169270870398</v>
      </c>
      <c r="AK5182">
        <v>33.658527929367501</v>
      </c>
      <c r="AL5182">
        <v>80.481950014202894</v>
      </c>
      <c r="AM5182">
        <v>93.380907019999796</v>
      </c>
      <c r="AN5182">
        <v>0.99999994631327305</v>
      </c>
    </row>
    <row r="5183" spans="1:40" x14ac:dyDescent="0.25">
      <c r="A5183" t="str">
        <f>"20190304155739634"</f>
        <v>20190304155739634</v>
      </c>
      <c r="B5183" t="str">
        <f>"1551686259630518"</f>
        <v>1551686259630518</v>
      </c>
      <c r="C5183" t="s">
        <v>40</v>
      </c>
      <c r="D5183">
        <v>4.5438199999999904</v>
      </c>
      <c r="E5183">
        <v>0.53739740000000003</v>
      </c>
      <c r="F5183" t="s">
        <v>84</v>
      </c>
      <c r="G5183">
        <v>-424.11849999999998</v>
      </c>
      <c r="H5183" s="1">
        <v>-6.6197530000000003E-6</v>
      </c>
      <c r="I5183">
        <v>28.010560000000002</v>
      </c>
      <c r="J5183">
        <v>-422.4984</v>
      </c>
      <c r="K5183">
        <v>1.1100669999999999</v>
      </c>
      <c r="L5183">
        <v>62.075650000000003</v>
      </c>
      <c r="M5183">
        <v>-4.4723280000000002E-3</v>
      </c>
      <c r="N5183">
        <v>-1.0375290000000001E-2</v>
      </c>
      <c r="O5183">
        <v>-0.99993639999999995</v>
      </c>
      <c r="P5183">
        <v>5.3652940000000003E-2</v>
      </c>
      <c r="Q5183">
        <v>0.15546289999999999</v>
      </c>
      <c r="R5183">
        <v>-0.98638400000000004</v>
      </c>
      <c r="S5183">
        <v>-0.14456179999999999</v>
      </c>
      <c r="T5183">
        <v>-9.8988889999999996E-2</v>
      </c>
      <c r="U5183">
        <v>-3.0646360000000001</v>
      </c>
      <c r="V5183">
        <v>-5.8184850000000003E-2</v>
      </c>
      <c r="W5183">
        <v>0.16564329999999999</v>
      </c>
      <c r="X5183">
        <v>0.9844678</v>
      </c>
      <c r="Y5183">
        <v>4.2629769999999997E-2</v>
      </c>
      <c r="Z5183">
        <v>2.187994E-2</v>
      </c>
      <c r="AA5183">
        <v>0.9988513</v>
      </c>
      <c r="AB5183">
        <v>30</v>
      </c>
      <c r="AC5183">
        <v>-1.6200999999999699</v>
      </c>
      <c r="AD5183">
        <v>-1.1100736197529999</v>
      </c>
      <c r="AE5183">
        <v>-34.065089999999998</v>
      </c>
      <c r="AF5183">
        <v>1.46617195628303</v>
      </c>
      <c r="AG5183">
        <v>-1.1100736197529999</v>
      </c>
      <c r="AH5183">
        <v>34.0359340238318</v>
      </c>
      <c r="AI5183">
        <v>91.866296034315894</v>
      </c>
      <c r="AJ5183">
        <v>87.533384526377205</v>
      </c>
      <c r="AK5183">
        <v>34.085579480497302</v>
      </c>
      <c r="AL5183">
        <v>80.465393036050699</v>
      </c>
      <c r="AM5183">
        <v>93.382408949525498</v>
      </c>
      <c r="AN5183">
        <v>1.00000001442062</v>
      </c>
    </row>
    <row r="5184" spans="1:40" x14ac:dyDescent="0.25">
      <c r="A5184" t="str">
        <f>"20190304155739656"</f>
        <v>20190304155739656</v>
      </c>
      <c r="B5184" t="str">
        <f>"1551686259650038"</f>
        <v>1551686259650038</v>
      </c>
      <c r="C5184" t="s">
        <v>40</v>
      </c>
      <c r="D5184">
        <v>4.5509320000000004</v>
      </c>
      <c r="E5184">
        <v>0.53717959999999998</v>
      </c>
      <c r="F5184" t="s">
        <v>84</v>
      </c>
      <c r="G5184">
        <v>-424.15699999999998</v>
      </c>
      <c r="H5184" s="1">
        <v>-6.8636499999999999E-6</v>
      </c>
      <c r="I5184">
        <v>27.41724</v>
      </c>
      <c r="J5184">
        <v>-422.49939999999998</v>
      </c>
      <c r="K5184">
        <v>1.110079</v>
      </c>
      <c r="L5184">
        <v>61.767029999999998</v>
      </c>
      <c r="M5184">
        <v>-4.0855040000000002E-3</v>
      </c>
      <c r="N5184">
        <v>-1.0458189999999999E-2</v>
      </c>
      <c r="O5184">
        <v>-0.99993690000000002</v>
      </c>
      <c r="P5184">
        <v>5.4096810000000002E-2</v>
      </c>
      <c r="Q5184">
        <v>0.15605339999999901</v>
      </c>
      <c r="R5184">
        <v>-0.98626610000000003</v>
      </c>
      <c r="S5184">
        <v>-0.14666750000000001</v>
      </c>
      <c r="T5184">
        <v>-9.8164080000000001E-2</v>
      </c>
      <c r="U5184">
        <v>-3.0648499999999999</v>
      </c>
      <c r="V5184">
        <v>-5.824766E-2</v>
      </c>
      <c r="W5184">
        <v>0.16631479999999901</v>
      </c>
      <c r="X5184">
        <v>0.98435090000000003</v>
      </c>
      <c r="Y5184">
        <v>4.3697769999999997E-2</v>
      </c>
      <c r="Z5184">
        <v>2.1525059999999999E-2</v>
      </c>
      <c r="AA5184">
        <v>0.9988129</v>
      </c>
      <c r="AB5184">
        <v>30</v>
      </c>
      <c r="AC5184">
        <v>-1.6576</v>
      </c>
      <c r="AD5184">
        <v>-1.1100858636499999</v>
      </c>
      <c r="AE5184">
        <v>-34.349789999999999</v>
      </c>
      <c r="AF5184">
        <v>1.51566300192264</v>
      </c>
      <c r="AG5184">
        <v>-1.1100858636499999</v>
      </c>
      <c r="AH5184">
        <v>34.320514883968798</v>
      </c>
      <c r="AI5184">
        <v>91.850764826247101</v>
      </c>
      <c r="AJ5184">
        <v>87.471346087743498</v>
      </c>
      <c r="AK5184">
        <v>34.371896468783902</v>
      </c>
      <c r="AL5184">
        <v>80.426378078694398</v>
      </c>
      <c r="AM5184">
        <v>93.386452923770406</v>
      </c>
      <c r="AN5184">
        <v>1.0000000484626601</v>
      </c>
    </row>
    <row r="5185" spans="1:40" x14ac:dyDescent="0.25">
      <c r="A5185" t="str">
        <f>"20190304155739679"</f>
        <v>20190304155739679</v>
      </c>
      <c r="B5185" t="str">
        <f>"1551686259669558"</f>
        <v>1551686259669558</v>
      </c>
      <c r="C5185" t="s">
        <v>40</v>
      </c>
      <c r="D5185">
        <v>4.5668680000000004</v>
      </c>
      <c r="E5185">
        <v>0.53747429999999996</v>
      </c>
      <c r="F5185" t="s">
        <v>84</v>
      </c>
      <c r="G5185">
        <v>-424.14080000000001</v>
      </c>
      <c r="H5185" s="1">
        <v>-7.1856570000000004E-6</v>
      </c>
      <c r="I5185">
        <v>26.62435</v>
      </c>
      <c r="J5185">
        <v>-422.50020000000001</v>
      </c>
      <c r="K5185">
        <v>1.11009</v>
      </c>
      <c r="L5185">
        <v>61.465699999999998</v>
      </c>
      <c r="M5185">
        <v>-3.7070750000000002E-3</v>
      </c>
      <c r="N5185">
        <v>-1.053892E-2</v>
      </c>
      <c r="O5185">
        <v>-0.99993759999999998</v>
      </c>
      <c r="P5185">
        <v>5.50106E-2</v>
      </c>
      <c r="Q5185">
        <v>0.15580639999999901</v>
      </c>
      <c r="R5185">
        <v>-0.98625459999999998</v>
      </c>
      <c r="S5185">
        <v>-0.14315799999999901</v>
      </c>
      <c r="T5185">
        <v>-9.6815349999999994E-2</v>
      </c>
      <c r="U5185">
        <v>-3.0649410000000001</v>
      </c>
      <c r="V5185">
        <v>-5.8788170000000001E-2</v>
      </c>
      <c r="W5185">
        <v>0.1661464</v>
      </c>
      <c r="X5185">
        <v>0.98434719999999998</v>
      </c>
      <c r="Y5185">
        <v>4.2933979999999997E-2</v>
      </c>
      <c r="Z5185">
        <v>2.1005679999999999E-2</v>
      </c>
      <c r="AA5185">
        <v>0.99885710000000005</v>
      </c>
      <c r="AB5185">
        <v>30</v>
      </c>
      <c r="AC5185">
        <v>-1.6406000000000001</v>
      </c>
      <c r="AD5185">
        <v>-1.1100971856569899</v>
      </c>
      <c r="AE5185">
        <v>-34.841349999999998</v>
      </c>
      <c r="AF5185">
        <v>1.5098926728506901</v>
      </c>
      <c r="AG5185">
        <v>-1.1100971856569899</v>
      </c>
      <c r="AH5185">
        <v>34.811931437279199</v>
      </c>
      <c r="AI5185">
        <v>91.824738073883495</v>
      </c>
      <c r="AJ5185">
        <v>87.516475320493896</v>
      </c>
      <c r="AK5185">
        <v>34.862338734499197</v>
      </c>
      <c r="AL5185">
        <v>80.4361627675123</v>
      </c>
      <c r="AM5185">
        <v>93.417816226553796</v>
      </c>
      <c r="AN5185">
        <v>1.00000004265637</v>
      </c>
    </row>
    <row r="5186" spans="1:40" x14ac:dyDescent="0.25">
      <c r="A5186" t="str">
        <f>"20190304155739702"</f>
        <v>20190304155739702</v>
      </c>
      <c r="B5186" t="str">
        <f>"1551686259690054"</f>
        <v>1551686259690054</v>
      </c>
      <c r="C5186" t="s">
        <v>40</v>
      </c>
      <c r="D5186">
        <v>4.5532539999999999</v>
      </c>
      <c r="E5186">
        <v>0.53772609999999998</v>
      </c>
      <c r="F5186" t="s">
        <v>84</v>
      </c>
      <c r="G5186">
        <v>-424.12720000000002</v>
      </c>
      <c r="H5186" s="1">
        <v>-7.2159259999999899E-6</v>
      </c>
      <c r="I5186">
        <v>26.548089999999998</v>
      </c>
      <c r="J5186">
        <v>-422.5009</v>
      </c>
      <c r="K5186">
        <v>1.110098</v>
      </c>
      <c r="L5186">
        <v>61.149749999999997</v>
      </c>
      <c r="M5186">
        <v>-3.3103199999999998E-3</v>
      </c>
      <c r="N5186">
        <v>-1.062252E-2</v>
      </c>
      <c r="O5186">
        <v>-0.99993829999999995</v>
      </c>
      <c r="P5186">
        <v>5.5709620000000001E-2</v>
      </c>
      <c r="Q5186">
        <v>0.1561496</v>
      </c>
      <c r="R5186">
        <v>-0.98616139999999997</v>
      </c>
      <c r="S5186">
        <v>-0.14282230000000001</v>
      </c>
      <c r="T5186">
        <v>-9.7448110000000004E-2</v>
      </c>
      <c r="U5186">
        <v>-3.0651860000000002</v>
      </c>
      <c r="V5186">
        <v>-5.9096009999999997E-2</v>
      </c>
      <c r="W5186">
        <v>0.166571</v>
      </c>
      <c r="X5186">
        <v>0.98425700000000005</v>
      </c>
      <c r="Y5186">
        <v>4.3217199999999997E-2</v>
      </c>
      <c r="Z5186">
        <v>2.1125419999999999E-2</v>
      </c>
      <c r="AA5186">
        <v>0.99884229999999996</v>
      </c>
      <c r="AB5186">
        <v>30</v>
      </c>
      <c r="AC5186">
        <v>-1.6263000000000101</v>
      </c>
      <c r="AD5186">
        <v>-1.1101052159260001</v>
      </c>
      <c r="AE5186">
        <v>-34.601659999999903</v>
      </c>
      <c r="AF5186">
        <v>1.5101910947258099</v>
      </c>
      <c r="AG5186">
        <v>-1.1101052159260001</v>
      </c>
      <c r="AH5186">
        <v>34.571349030646203</v>
      </c>
      <c r="AI5186">
        <v>91.837416287876096</v>
      </c>
      <c r="AJ5186">
        <v>87.498720671515599</v>
      </c>
      <c r="AK5186">
        <v>34.6221198734534</v>
      </c>
      <c r="AL5186">
        <v>80.411491156414996</v>
      </c>
      <c r="AM5186">
        <v>93.435984714738098</v>
      </c>
      <c r="AN5186">
        <v>1.0000000392439501</v>
      </c>
    </row>
    <row r="5187" spans="1:40" x14ac:dyDescent="0.25">
      <c r="A5187" t="str">
        <f>"20190304155739725"</f>
        <v>20190304155739725</v>
      </c>
      <c r="B5187" t="str">
        <f>"1551686259720310"</f>
        <v>1551686259720310</v>
      </c>
      <c r="C5187" t="s">
        <v>40</v>
      </c>
      <c r="D5187">
        <v>4.543285</v>
      </c>
      <c r="E5187">
        <v>0.53805139999999996</v>
      </c>
      <c r="F5187" t="s">
        <v>84</v>
      </c>
      <c r="G5187">
        <v>-424.14210000000003</v>
      </c>
      <c r="H5187" s="1">
        <v>-7.4705229999999901E-6</v>
      </c>
      <c r="I5187">
        <v>25.925129999999999</v>
      </c>
      <c r="J5187">
        <v>-422.50150000000002</v>
      </c>
      <c r="K5187">
        <v>1.1101129999999999</v>
      </c>
      <c r="L5187">
        <v>60.843719999999998</v>
      </c>
      <c r="M5187">
        <v>-2.925366E-3</v>
      </c>
      <c r="N5187">
        <v>-1.070897E-2</v>
      </c>
      <c r="O5187">
        <v>-0.99993829999999995</v>
      </c>
      <c r="P5187">
        <v>5.6496579999999998E-2</v>
      </c>
      <c r="Q5187">
        <v>0.1565936</v>
      </c>
      <c r="R5187">
        <v>-0.98604599999999998</v>
      </c>
      <c r="S5187">
        <v>-0.14282230000000001</v>
      </c>
      <c r="T5187">
        <v>-9.6608159999999998E-2</v>
      </c>
      <c r="U5187">
        <v>-3.0654599999999999</v>
      </c>
      <c r="V5187">
        <v>-5.9503630000000002E-2</v>
      </c>
      <c r="W5187">
        <v>0.16709849999999901</v>
      </c>
      <c r="X5187">
        <v>0.98414299999999999</v>
      </c>
      <c r="Y5187">
        <v>4.3597879999999999E-2</v>
      </c>
      <c r="Z5187">
        <v>2.0762449999999998E-2</v>
      </c>
      <c r="AA5187">
        <v>0.99883339999999998</v>
      </c>
      <c r="AB5187">
        <v>30</v>
      </c>
      <c r="AC5187">
        <v>-1.6406000000000001</v>
      </c>
      <c r="AD5187">
        <v>-1.1101204705229999</v>
      </c>
      <c r="AE5187">
        <v>-34.918589999999902</v>
      </c>
      <c r="AF5187">
        <v>1.53688753029368</v>
      </c>
      <c r="AG5187">
        <v>-1.1101204705229999</v>
      </c>
      <c r="AH5187">
        <v>34.888056139776303</v>
      </c>
      <c r="AI5187">
        <v>91.820743486365402</v>
      </c>
      <c r="AJ5187">
        <v>87.4776389257662</v>
      </c>
      <c r="AK5187">
        <v>34.939531364230199</v>
      </c>
      <c r="AL5187">
        <v>80.380837815485094</v>
      </c>
      <c r="AM5187">
        <v>93.460027136486602</v>
      </c>
      <c r="AN5187">
        <v>1.0000000175672099</v>
      </c>
    </row>
    <row r="5188" spans="1:40" x14ac:dyDescent="0.25">
      <c r="A5188" t="str">
        <f>"20190304155739747"</f>
        <v>20190304155739747</v>
      </c>
      <c r="B5188" t="str">
        <f>"1551686259739830"</f>
        <v>1551686259739830</v>
      </c>
      <c r="C5188" t="s">
        <v>40</v>
      </c>
      <c r="D5188">
        <v>4.5652819999999998</v>
      </c>
      <c r="E5188">
        <v>0.53828849999999995</v>
      </c>
      <c r="F5188" t="s">
        <v>84</v>
      </c>
      <c r="G5188">
        <v>-424.17380000000003</v>
      </c>
      <c r="H5188" s="1">
        <v>-7.8580210000000008E-6</v>
      </c>
      <c r="I5188">
        <v>24.978269999999998</v>
      </c>
      <c r="J5188">
        <v>-422.50200000000001</v>
      </c>
      <c r="K5188">
        <v>1.110128</v>
      </c>
      <c r="L5188">
        <v>60.53839</v>
      </c>
      <c r="M5188">
        <v>-2.5412690000000001E-3</v>
      </c>
      <c r="N5188">
        <v>-1.080358E-2</v>
      </c>
      <c r="O5188">
        <v>-0.99993880000000002</v>
      </c>
      <c r="P5188">
        <v>5.7069979999999999E-2</v>
      </c>
      <c r="Q5188">
        <v>0.15645789999999901</v>
      </c>
      <c r="R5188">
        <v>-0.98603490000000005</v>
      </c>
      <c r="S5188">
        <v>-0.1429443</v>
      </c>
      <c r="T5188">
        <v>-9.4890829999999995E-2</v>
      </c>
      <c r="U5188">
        <v>-3.0657040000000002</v>
      </c>
      <c r="V5188">
        <v>-5.9698349999999997E-2</v>
      </c>
      <c r="W5188">
        <v>0.16705619999999999</v>
      </c>
      <c r="X5188">
        <v>0.98413839999999997</v>
      </c>
      <c r="Y5188">
        <v>4.4018179999999997E-2</v>
      </c>
      <c r="Z5188">
        <v>2.010607E-2</v>
      </c>
      <c r="AA5188">
        <v>0.99882839999999995</v>
      </c>
      <c r="AB5188">
        <v>31</v>
      </c>
      <c r="AC5188">
        <v>-1.6718000000000699</v>
      </c>
      <c r="AD5188">
        <v>-1.1101358580209999</v>
      </c>
      <c r="AE5188">
        <v>-35.560119999999998</v>
      </c>
      <c r="AF5188">
        <v>1.5798851732056201</v>
      </c>
      <c r="AG5188">
        <v>-1.1101358580209999</v>
      </c>
      <c r="AH5188">
        <v>35.529703065684501</v>
      </c>
      <c r="AI5188">
        <v>91.787875436722203</v>
      </c>
      <c r="AJ5188">
        <v>87.453928577230499</v>
      </c>
      <c r="AK5188">
        <v>35.582133701051298</v>
      </c>
      <c r="AL5188">
        <v>80.383296087000105</v>
      </c>
      <c r="AM5188">
        <v>93.471338291379695</v>
      </c>
      <c r="AN5188">
        <v>1.0000000286528601</v>
      </c>
    </row>
    <row r="5189" spans="1:40" x14ac:dyDescent="0.25">
      <c r="A5189" t="str">
        <f>"20190304155739768"</f>
        <v>20190304155739768</v>
      </c>
      <c r="B5189" t="str">
        <f>"1551686259760326"</f>
        <v>1551686259760326</v>
      </c>
      <c r="C5189" t="s">
        <v>40</v>
      </c>
      <c r="D5189">
        <v>4.5364089999999999</v>
      </c>
      <c r="E5189">
        <v>0.53851280000000001</v>
      </c>
      <c r="F5189" t="s">
        <v>84</v>
      </c>
      <c r="G5189">
        <v>-424.16</v>
      </c>
      <c r="H5189" s="1">
        <v>-7.9227210000000003E-6</v>
      </c>
      <c r="I5189">
        <v>24.817450000000001</v>
      </c>
      <c r="J5189">
        <v>-422.50229999999999</v>
      </c>
      <c r="K5189">
        <v>1.110142</v>
      </c>
      <c r="L5189">
        <v>60.244750000000003</v>
      </c>
      <c r="M5189">
        <v>-2.1713219999999998E-3</v>
      </c>
      <c r="N5189">
        <v>-1.090413E-2</v>
      </c>
      <c r="O5189">
        <v>-0.99993829999999995</v>
      </c>
      <c r="P5189">
        <v>5.7673549999999997E-2</v>
      </c>
      <c r="Q5189">
        <v>0.1552963</v>
      </c>
      <c r="R5189">
        <v>-0.98618289999999997</v>
      </c>
      <c r="S5189">
        <v>-0.1423035</v>
      </c>
      <c r="T5189">
        <v>-9.5280770000000001E-2</v>
      </c>
      <c r="U5189">
        <v>-3.0658569999999998</v>
      </c>
      <c r="V5189">
        <v>-5.9937299999999999E-2</v>
      </c>
      <c r="W5189">
        <v>0.16599549999999999</v>
      </c>
      <c r="X5189">
        <v>0.98430329999999999</v>
      </c>
      <c r="Y5189">
        <v>4.4176920000000001E-2</v>
      </c>
      <c r="Z5189">
        <v>2.0130889999999999E-2</v>
      </c>
      <c r="AA5189">
        <v>0.99882090000000001</v>
      </c>
      <c r="AB5189">
        <v>31</v>
      </c>
      <c r="AC5189">
        <v>-1.6577000000000299</v>
      </c>
      <c r="AD5189">
        <v>-1.1101499227210001</v>
      </c>
      <c r="AE5189">
        <v>-35.427300000000002</v>
      </c>
      <c r="AF5189">
        <v>1.5792201312688701</v>
      </c>
      <c r="AG5189">
        <v>-1.1101499227210001</v>
      </c>
      <c r="AH5189">
        <v>35.396134966131498</v>
      </c>
      <c r="AI5189">
        <v>91.794628463116993</v>
      </c>
      <c r="AJ5189">
        <v>87.445407999808907</v>
      </c>
      <c r="AK5189">
        <v>35.448733963493197</v>
      </c>
      <c r="AL5189">
        <v>80.444929905226104</v>
      </c>
      <c r="AM5189">
        <v>93.484616134919094</v>
      </c>
      <c r="AN5189">
        <v>0.99999998617121399</v>
      </c>
    </row>
    <row r="5190" spans="1:40" x14ac:dyDescent="0.25">
      <c r="A5190" t="str">
        <f>"20190304155739791"</f>
        <v>20190304155739791</v>
      </c>
      <c r="B5190" t="str">
        <f>"1551686259779846"</f>
        <v>1551686259779846</v>
      </c>
      <c r="C5190" t="s">
        <v>40</v>
      </c>
      <c r="D5190">
        <v>4.7098149999999999</v>
      </c>
      <c r="E5190">
        <v>0.53847749999999905</v>
      </c>
      <c r="F5190" t="s">
        <v>84</v>
      </c>
      <c r="G5190">
        <v>-424.11309999999997</v>
      </c>
      <c r="H5190" s="1">
        <v>-7.5981150000000004E-6</v>
      </c>
      <c r="I5190">
        <v>25.60774</v>
      </c>
      <c r="J5190">
        <v>-422.50259999999997</v>
      </c>
      <c r="K5190">
        <v>1.1101700000000001</v>
      </c>
      <c r="L5190">
        <v>59.941470000000002</v>
      </c>
      <c r="M5190">
        <v>-1.7883829999999999E-3</v>
      </c>
      <c r="N5190">
        <v>-1.102062E-2</v>
      </c>
      <c r="O5190">
        <v>-0.99993810000000005</v>
      </c>
      <c r="P5190">
        <v>5.9687520000000001E-2</v>
      </c>
      <c r="Q5190">
        <v>0.1567634</v>
      </c>
      <c r="R5190">
        <v>-0.98583140000000002</v>
      </c>
      <c r="S5190">
        <v>-0.14257810000000001</v>
      </c>
      <c r="T5190">
        <v>-9.8263740000000002E-2</v>
      </c>
      <c r="U5190">
        <v>-3.0658569999999998</v>
      </c>
      <c r="V5190">
        <v>-6.1575970000000001E-2</v>
      </c>
      <c r="W5190">
        <v>0.16757149999999901</v>
      </c>
      <c r="X5190">
        <v>0.98393509999999995</v>
      </c>
      <c r="Y5190">
        <v>4.4647489999999998E-2</v>
      </c>
      <c r="Z5190">
        <v>2.0984760000000002E-2</v>
      </c>
      <c r="AA5190">
        <v>0.99878239999999996</v>
      </c>
      <c r="AB5190">
        <v>31</v>
      </c>
      <c r="AC5190">
        <v>-1.6105</v>
      </c>
      <c r="AD5190">
        <v>-1.1101775981149999</v>
      </c>
      <c r="AE5190">
        <v>-34.333730000000003</v>
      </c>
      <c r="AF5190">
        <v>1.54747745642618</v>
      </c>
      <c r="AG5190">
        <v>-1.1101775981149999</v>
      </c>
      <c r="AH5190">
        <v>34.300771171019797</v>
      </c>
      <c r="AI5190">
        <v>91.851903753057201</v>
      </c>
      <c r="AJ5190">
        <v>87.416855563736107</v>
      </c>
      <c r="AK5190">
        <v>34.3536036494596</v>
      </c>
      <c r="AL5190">
        <v>80.353349587772897</v>
      </c>
      <c r="AM5190">
        <v>93.580976248352897</v>
      </c>
      <c r="AN5190">
        <v>1.0000000443528401</v>
      </c>
    </row>
    <row r="5191" spans="1:40" x14ac:dyDescent="0.25">
      <c r="A5191" t="str">
        <f>"20190304155739813"</f>
        <v>20190304155739813</v>
      </c>
      <c r="B5191" t="str">
        <f>"1551686259810102"</f>
        <v>1551686259810102</v>
      </c>
      <c r="C5191" t="s">
        <v>40</v>
      </c>
      <c r="D5191">
        <v>4.5529960000000003</v>
      </c>
      <c r="E5191">
        <v>0.45224589999999998</v>
      </c>
      <c r="F5191" t="s">
        <v>84</v>
      </c>
      <c r="G5191">
        <v>-424.09980000000002</v>
      </c>
      <c r="H5191" s="1">
        <v>-8.3120779999999994E-6</v>
      </c>
      <c r="I5191">
        <v>23.852930000000001</v>
      </c>
      <c r="J5191">
        <v>-422.5027</v>
      </c>
      <c r="K5191">
        <v>1.110198</v>
      </c>
      <c r="L5191">
        <v>59.637390000000003</v>
      </c>
      <c r="M5191">
        <v>-1.4034939999999999E-3</v>
      </c>
      <c r="N5191">
        <v>-1.1144909999999999E-2</v>
      </c>
      <c r="O5191">
        <v>-0.99993710000000002</v>
      </c>
      <c r="P5191">
        <v>6.373405E-2</v>
      </c>
      <c r="Q5191">
        <v>0.1585049</v>
      </c>
      <c r="R5191">
        <v>-0.98529920000000004</v>
      </c>
      <c r="S5191">
        <v>-0.13571169999999999</v>
      </c>
      <c r="T5191">
        <v>-9.4328880000000004E-2</v>
      </c>
      <c r="U5191">
        <v>-3.0663450000000001</v>
      </c>
      <c r="V5191">
        <v>-6.5245549999999999E-2</v>
      </c>
      <c r="W5191">
        <v>0.16942570000000001</v>
      </c>
      <c r="X5191">
        <v>0.9833809</v>
      </c>
      <c r="Y5191">
        <v>4.2794459999999999E-2</v>
      </c>
      <c r="Z5191">
        <v>1.9577750000000001E-2</v>
      </c>
      <c r="AA5191">
        <v>0.99889209999999995</v>
      </c>
      <c r="AB5191">
        <v>31</v>
      </c>
      <c r="AC5191">
        <v>-1.59710000000001</v>
      </c>
      <c r="AD5191">
        <v>-1.1102063120779999</v>
      </c>
      <c r="AE5191">
        <v>-35.784460000000003</v>
      </c>
      <c r="AF5191">
        <v>1.5453875031286399</v>
      </c>
      <c r="AG5191">
        <v>-1.1102063120779999</v>
      </c>
      <c r="AH5191">
        <v>35.752321809818902</v>
      </c>
      <c r="AI5191">
        <v>91.776959230493901</v>
      </c>
      <c r="AJ5191">
        <v>87.524941205617097</v>
      </c>
      <c r="AK5191">
        <v>35.8029230005464</v>
      </c>
      <c r="AL5191">
        <v>80.245570487565402</v>
      </c>
      <c r="AM5191">
        <v>93.795908240504403</v>
      </c>
      <c r="AN5191">
        <v>1.00000002205005</v>
      </c>
    </row>
    <row r="5192" spans="1:40" x14ac:dyDescent="0.25">
      <c r="A5192" t="str">
        <f>"20190304155739836"</f>
        <v>20190304155739836</v>
      </c>
      <c r="B5192" t="str">
        <f>"1551686259829929"</f>
        <v>1551686259829929</v>
      </c>
      <c r="C5192" t="s">
        <v>40</v>
      </c>
      <c r="D5192">
        <v>4.4871610000000004</v>
      </c>
      <c r="E5192">
        <v>0.43948979999999999</v>
      </c>
      <c r="F5192" t="s">
        <v>84</v>
      </c>
      <c r="G5192">
        <v>-418.0967</v>
      </c>
      <c r="H5192" s="1">
        <v>-2.8211209999999999E-6</v>
      </c>
      <c r="I5192">
        <v>35.954540000000001</v>
      </c>
      <c r="J5192">
        <v>-422.50259999999997</v>
      </c>
      <c r="K5192">
        <v>1.110209</v>
      </c>
      <c r="L5192">
        <v>59.315800000000003</v>
      </c>
      <c r="M5192">
        <v>-9.9707120000000005E-4</v>
      </c>
      <c r="N5192">
        <v>-1.127336E-2</v>
      </c>
      <c r="O5192">
        <v>-0.99993620000000005</v>
      </c>
      <c r="P5192">
        <v>6.8612489999999998E-2</v>
      </c>
      <c r="Q5192">
        <v>0.15759690000000001</v>
      </c>
      <c r="R5192">
        <v>-0.98511729999999997</v>
      </c>
      <c r="S5192">
        <v>0.56390379999999996</v>
      </c>
      <c r="T5192">
        <v>-0.14209269999999999</v>
      </c>
      <c r="U5192">
        <v>-3.0311279999999998</v>
      </c>
      <c r="V5192">
        <v>-6.9724090000000002E-2</v>
      </c>
      <c r="W5192">
        <v>0.16863800000000001</v>
      </c>
      <c r="X5192">
        <v>0.98320890000000005</v>
      </c>
      <c r="Y5192">
        <v>-0.18371019999999999</v>
      </c>
      <c r="Z5192">
        <v>3.4768729999999998E-2</v>
      </c>
      <c r="AA5192">
        <v>0.98236540000000006</v>
      </c>
      <c r="AB5192">
        <v>31</v>
      </c>
      <c r="AC5192">
        <v>4.4058999999999697</v>
      </c>
      <c r="AD5192">
        <v>-1.1102118211209999</v>
      </c>
      <c r="AE5192">
        <v>-23.361260000000001</v>
      </c>
      <c r="AF5192">
        <v>-4.4195534265146703</v>
      </c>
      <c r="AG5192">
        <v>-1.1102118211209999</v>
      </c>
      <c r="AH5192">
        <v>23.306026507347099</v>
      </c>
      <c r="AI5192">
        <v>92.679612164061297</v>
      </c>
      <c r="AJ5192">
        <v>100.73757993393301</v>
      </c>
      <c r="AK5192">
        <v>23.747334468077501</v>
      </c>
      <c r="AL5192">
        <v>80.291360887202103</v>
      </c>
      <c r="AM5192">
        <v>94.056329799146695</v>
      </c>
      <c r="AN5192">
        <v>0.99999998240476895</v>
      </c>
    </row>
    <row r="5193" spans="1:40" x14ac:dyDescent="0.25">
      <c r="A5193" t="str">
        <f>"20190304155739858"</f>
        <v>20190304155739858</v>
      </c>
      <c r="B5193" t="str">
        <f>"1551686259850433"</f>
        <v>1551686259850433</v>
      </c>
      <c r="C5193" t="s">
        <v>40</v>
      </c>
      <c r="D5193">
        <v>4.5126809999999997</v>
      </c>
      <c r="E5193">
        <v>0.43495279999999997</v>
      </c>
      <c r="F5193" t="s">
        <v>84</v>
      </c>
      <c r="G5193">
        <v>-416.6277</v>
      </c>
      <c r="H5193" s="1">
        <v>-4.604073E-6</v>
      </c>
      <c r="I5193">
        <v>33.263829999999999</v>
      </c>
      <c r="J5193">
        <v>-422.5025</v>
      </c>
      <c r="K5193">
        <v>1.1102190000000001</v>
      </c>
      <c r="L5193">
        <v>59.022829999999999</v>
      </c>
      <c r="M5193">
        <v>-6.2550349999999997E-4</v>
      </c>
      <c r="N5193">
        <v>-1.1388819999999999E-2</v>
      </c>
      <c r="O5193">
        <v>-0.99993500000000002</v>
      </c>
      <c r="P5193">
        <v>7.3737869999999997E-2</v>
      </c>
      <c r="Q5193">
        <v>0.15545800000000001</v>
      </c>
      <c r="R5193">
        <v>-0.98508669999999998</v>
      </c>
      <c r="S5193">
        <v>0.68069460000000004</v>
      </c>
      <c r="T5193">
        <v>-0.128634199999999</v>
      </c>
      <c r="U5193">
        <v>-3.018494</v>
      </c>
      <c r="V5193">
        <v>-7.4482640000000003E-2</v>
      </c>
      <c r="W5193">
        <v>0.16660910000000001</v>
      </c>
      <c r="X5193">
        <v>0.98320589999999997</v>
      </c>
      <c r="Y5193">
        <v>-0.2204284</v>
      </c>
      <c r="Z5193">
        <v>3.0150369999999999E-2</v>
      </c>
      <c r="AA5193">
        <v>0.9749371</v>
      </c>
      <c r="AB5193">
        <v>31</v>
      </c>
      <c r="AC5193">
        <v>5.8747999999999898</v>
      </c>
      <c r="AD5193">
        <v>-1.110223604073</v>
      </c>
      <c r="AE5193">
        <v>-25.759</v>
      </c>
      <c r="AF5193">
        <v>-5.8805284145430496</v>
      </c>
      <c r="AG5193">
        <v>-1.110223604073</v>
      </c>
      <c r="AH5193">
        <v>25.709921487884198</v>
      </c>
      <c r="AI5193">
        <v>92.410477056287505</v>
      </c>
      <c r="AJ5193">
        <v>102.883419776769</v>
      </c>
      <c r="AK5193">
        <v>26.397220948396399</v>
      </c>
      <c r="AL5193">
        <v>80.409277343527705</v>
      </c>
      <c r="AM5193">
        <v>94.332160121060497</v>
      </c>
      <c r="AN5193">
        <v>1.00000004882949</v>
      </c>
    </row>
    <row r="5194" spans="1:40" x14ac:dyDescent="0.25">
      <c r="A5194" t="str">
        <f>"20190304155739879"</f>
        <v>20190304155739879</v>
      </c>
      <c r="B5194" t="str">
        <f>"1551686259869945"</f>
        <v>1551686259869945</v>
      </c>
      <c r="C5194" t="s">
        <v>40</v>
      </c>
      <c r="D5194">
        <v>4.499695</v>
      </c>
      <c r="E5194">
        <v>0.43302429999999997</v>
      </c>
      <c r="F5194" t="s">
        <v>84</v>
      </c>
      <c r="G5194">
        <v>-415.82510000000002</v>
      </c>
      <c r="H5194" s="1">
        <v>-5.6140550000000004E-6</v>
      </c>
      <c r="I5194">
        <v>31.613</v>
      </c>
      <c r="J5194">
        <v>-422.50220000000002</v>
      </c>
      <c r="K5194">
        <v>1.1102259999999999</v>
      </c>
      <c r="L5194">
        <v>58.72681</v>
      </c>
      <c r="M5194">
        <v>-2.4699980000000003E-4</v>
      </c>
      <c r="N5194">
        <v>-1.1506250000000001E-2</v>
      </c>
      <c r="O5194">
        <v>-0.99993379999999998</v>
      </c>
      <c r="P5194">
        <v>7.9495259999999998E-2</v>
      </c>
      <c r="Q5194">
        <v>0.1538793</v>
      </c>
      <c r="R5194">
        <v>-0.98488659999999995</v>
      </c>
      <c r="S5194">
        <v>0.73321530000000001</v>
      </c>
      <c r="T5194">
        <v>-0.1219094</v>
      </c>
      <c r="U5194">
        <v>-3.0097659999999999</v>
      </c>
      <c r="V5194">
        <v>-7.9865400000000003E-2</v>
      </c>
      <c r="W5194">
        <v>0.16514010000000001</v>
      </c>
      <c r="X5194">
        <v>0.98303119999999999</v>
      </c>
      <c r="Y5194">
        <v>-0.23677000000000001</v>
      </c>
      <c r="Z5194">
        <v>2.7822E-2</v>
      </c>
      <c r="AA5194">
        <v>0.97116729999999996</v>
      </c>
      <c r="AB5194">
        <v>31</v>
      </c>
      <c r="AC5194">
        <v>6.6770999999999896</v>
      </c>
      <c r="AD5194">
        <v>-1.1102316140549999</v>
      </c>
      <c r="AE5194">
        <v>-27.113810000000001</v>
      </c>
      <c r="AF5194">
        <v>-6.6732482954426002</v>
      </c>
      <c r="AG5194">
        <v>-1.1102316140549999</v>
      </c>
      <c r="AH5194">
        <v>27.069368649476399</v>
      </c>
      <c r="AI5194">
        <v>92.280432584620897</v>
      </c>
      <c r="AJ5194">
        <v>103.848644397583</v>
      </c>
      <c r="AK5194">
        <v>27.9018919812032</v>
      </c>
      <c r="AL5194">
        <v>80.494627102983401</v>
      </c>
      <c r="AM5194">
        <v>94.6447376691888</v>
      </c>
      <c r="AN5194">
        <v>1.0000000374593001</v>
      </c>
    </row>
    <row r="5195" spans="1:40" x14ac:dyDescent="0.25">
      <c r="A5195" t="str">
        <f>"20190304155739903"</f>
        <v>20190304155739903</v>
      </c>
      <c r="B5195" t="str">
        <f>"1551686259900202"</f>
        <v>1551686259900202</v>
      </c>
      <c r="C5195" t="s">
        <v>40</v>
      </c>
      <c r="D5195">
        <v>4.4998339999999999</v>
      </c>
      <c r="E5195">
        <v>0.43184260000000002</v>
      </c>
      <c r="F5195" t="s">
        <v>84</v>
      </c>
      <c r="G5195">
        <v>-415.52699999999999</v>
      </c>
      <c r="H5195" s="1">
        <v>-5.7374649999999998E-6</v>
      </c>
      <c r="I5195">
        <v>31.409939999999999</v>
      </c>
      <c r="J5195">
        <v>-422.5018</v>
      </c>
      <c r="K5195">
        <v>1.1102430000000001</v>
      </c>
      <c r="L5195">
        <v>58.413089999999997</v>
      </c>
      <c r="M5195">
        <v>1.5806420000000001E-4</v>
      </c>
      <c r="N5195">
        <v>-1.16287E-2</v>
      </c>
      <c r="O5195">
        <v>-0.9999323</v>
      </c>
      <c r="P5195">
        <v>8.4394720000000006E-2</v>
      </c>
      <c r="Q5195">
        <v>0.1532955</v>
      </c>
      <c r="R5195">
        <v>-0.98456999999999995</v>
      </c>
      <c r="S5195">
        <v>0.76684569999999996</v>
      </c>
      <c r="T5195">
        <v>-0.122058399999999</v>
      </c>
      <c r="U5195">
        <v>-3.0032040000000002</v>
      </c>
      <c r="V5195">
        <v>-8.4366070000000001E-2</v>
      </c>
      <c r="W5195">
        <v>0.16466979999999901</v>
      </c>
      <c r="X5195">
        <v>0.98273410000000005</v>
      </c>
      <c r="Y5195">
        <v>-0.2470841</v>
      </c>
      <c r="Z5195">
        <v>2.772763E-2</v>
      </c>
      <c r="AA5195">
        <v>0.96859720000000005</v>
      </c>
      <c r="AB5195">
        <v>31</v>
      </c>
      <c r="AC5195">
        <v>6.9748000000000099</v>
      </c>
      <c r="AD5195">
        <v>-1.1102487374650001</v>
      </c>
      <c r="AE5195">
        <v>-27.003150000000002</v>
      </c>
      <c r="AF5195">
        <v>-6.9595022742411796</v>
      </c>
      <c r="AG5195">
        <v>-1.1102487374650001</v>
      </c>
      <c r="AH5195">
        <v>26.961524744398101</v>
      </c>
      <c r="AI5195">
        <v>92.283293083584695</v>
      </c>
      <c r="AJ5195">
        <v>104.47366009235201</v>
      </c>
      <c r="AK5195">
        <v>27.867384891787101</v>
      </c>
      <c r="AL5195">
        <v>80.521947399032001</v>
      </c>
      <c r="AM5195">
        <v>94.906715869304605</v>
      </c>
      <c r="AN5195">
        <v>1.0000000440510399</v>
      </c>
    </row>
    <row r="5196" spans="1:40" x14ac:dyDescent="0.25">
      <c r="A5196" t="str">
        <f>"20190304155739925"</f>
        <v>20190304155739925</v>
      </c>
      <c r="B5196" t="str">
        <f>"1551686259919722"</f>
        <v>1551686259919722</v>
      </c>
      <c r="C5196" t="s">
        <v>40</v>
      </c>
      <c r="D5196">
        <v>4.5041339999999996</v>
      </c>
      <c r="E5196">
        <v>0.43153160000000002</v>
      </c>
      <c r="F5196" t="s">
        <v>84</v>
      </c>
      <c r="G5196">
        <v>-415.25240000000002</v>
      </c>
      <c r="H5196" s="1">
        <v>-5.9513409999999997E-6</v>
      </c>
      <c r="I5196">
        <v>30.95815</v>
      </c>
      <c r="J5196">
        <v>-422.50130000000001</v>
      </c>
      <c r="K5196">
        <v>1.110263</v>
      </c>
      <c r="L5196">
        <v>58.104979999999998</v>
      </c>
      <c r="M5196">
        <v>5.645801E-4</v>
      </c>
      <c r="N5196">
        <v>-1.1744289999999999E-2</v>
      </c>
      <c r="O5196">
        <v>-0.99993089999999996</v>
      </c>
      <c r="P5196">
        <v>8.7982190000000002E-2</v>
      </c>
      <c r="Q5196">
        <v>0.15385170000000001</v>
      </c>
      <c r="R5196">
        <v>-0.98416910000000002</v>
      </c>
      <c r="S5196">
        <v>0.79162600000000005</v>
      </c>
      <c r="T5196">
        <v>-0.1212379</v>
      </c>
      <c r="U5196">
        <v>-2.9980470000000001</v>
      </c>
      <c r="V5196">
        <v>-8.7555869999999994E-2</v>
      </c>
      <c r="W5196">
        <v>0.16533200000000001</v>
      </c>
      <c r="X5196">
        <v>0.98234379999999999</v>
      </c>
      <c r="Y5196">
        <v>-0.25458140000000001</v>
      </c>
      <c r="Z5196">
        <v>2.733501E-2</v>
      </c>
      <c r="AA5196">
        <v>0.966665</v>
      </c>
      <c r="AB5196">
        <v>30</v>
      </c>
      <c r="AC5196">
        <v>7.2488999999999901</v>
      </c>
      <c r="AD5196">
        <v>-1.110268951341</v>
      </c>
      <c r="AE5196">
        <v>-27.146830000000001</v>
      </c>
      <c r="AF5196">
        <v>-7.2222945508618697</v>
      </c>
      <c r="AG5196">
        <v>-1.110268951341</v>
      </c>
      <c r="AH5196">
        <v>27.1085919863824</v>
      </c>
      <c r="AI5196">
        <v>92.266347942893006</v>
      </c>
      <c r="AJ5196">
        <v>104.918268022158</v>
      </c>
      <c r="AK5196">
        <v>28.076146373886001</v>
      </c>
      <c r="AL5196">
        <v>80.483478641133701</v>
      </c>
      <c r="AM5196">
        <v>95.093288870466296</v>
      </c>
      <c r="AN5196">
        <v>1.00000002099694</v>
      </c>
    </row>
    <row r="5197" spans="1:40" x14ac:dyDescent="0.25">
      <c r="A5197" t="str">
        <f>"20190304155739947"</f>
        <v>20190304155739947</v>
      </c>
      <c r="B5197" t="str">
        <f>"1551686259939749"</f>
        <v>1551686259939749</v>
      </c>
      <c r="C5197" t="s">
        <v>40</v>
      </c>
      <c r="D5197">
        <v>4.5201599999999997</v>
      </c>
      <c r="E5197">
        <v>0.43147829999999898</v>
      </c>
      <c r="F5197" t="s">
        <v>84</v>
      </c>
      <c r="G5197">
        <v>-415.13189999999997</v>
      </c>
      <c r="H5197" s="1">
        <v>-6.0659940000000003E-6</v>
      </c>
      <c r="I5197">
        <v>30.704910000000002</v>
      </c>
      <c r="J5197">
        <v>-422.50060000000002</v>
      </c>
      <c r="K5197">
        <v>1.1102879999999999</v>
      </c>
      <c r="L5197">
        <v>57.803069999999998</v>
      </c>
      <c r="M5197">
        <v>9.7966299999999997E-4</v>
      </c>
      <c r="N5197">
        <v>-1.185611E-2</v>
      </c>
      <c r="O5197">
        <v>-0.99992950000000003</v>
      </c>
      <c r="P5197">
        <v>9.0333949999999996E-2</v>
      </c>
      <c r="Q5197">
        <v>0.15378120000000001</v>
      </c>
      <c r="R5197">
        <v>-0.98396719999999904</v>
      </c>
      <c r="S5197">
        <v>0.80557250000000002</v>
      </c>
      <c r="T5197">
        <v>-0.1213678</v>
      </c>
      <c r="U5197">
        <v>-2.995209</v>
      </c>
      <c r="V5197">
        <v>-8.9503360000000004E-2</v>
      </c>
      <c r="W5197">
        <v>0.16536529999999999</v>
      </c>
      <c r="X5197">
        <v>0.98216270000000006</v>
      </c>
      <c r="Y5197">
        <v>-0.25860450000000001</v>
      </c>
      <c r="Z5197">
        <v>2.725721E-2</v>
      </c>
      <c r="AA5197">
        <v>0.96559859999999997</v>
      </c>
      <c r="AB5197">
        <v>30</v>
      </c>
      <c r="AC5197">
        <v>7.3687000000000404</v>
      </c>
      <c r="AD5197">
        <v>-1.1102940659939999</v>
      </c>
      <c r="AE5197">
        <v>-27.098159999999901</v>
      </c>
      <c r="AF5197">
        <v>-7.3306881999850999</v>
      </c>
      <c r="AG5197">
        <v>-1.1102940659939999</v>
      </c>
      <c r="AH5197">
        <v>27.063061335710699</v>
      </c>
      <c r="AI5197">
        <v>92.267678940223405</v>
      </c>
      <c r="AJ5197">
        <v>105.15625563902699</v>
      </c>
      <c r="AK5197">
        <v>28.060310605173601</v>
      </c>
      <c r="AL5197">
        <v>80.481544356428699</v>
      </c>
      <c r="AM5197">
        <v>95.206916873913897</v>
      </c>
      <c r="AN5197">
        <v>1.0000000515833301</v>
      </c>
    </row>
    <row r="5198" spans="1:40" x14ac:dyDescent="0.25">
      <c r="A5198" t="str">
        <f>"20190304155739970"</f>
        <v>20190304155739970</v>
      </c>
      <c r="B5198" t="str">
        <f>"1551686259960245"</f>
        <v>1551686259960245</v>
      </c>
      <c r="C5198" t="s">
        <v>40</v>
      </c>
      <c r="D5198">
        <v>4.4988199999999896</v>
      </c>
      <c r="E5198">
        <v>0.43157289999999998</v>
      </c>
      <c r="F5198" t="s">
        <v>84</v>
      </c>
      <c r="G5198">
        <v>-415.1035</v>
      </c>
      <c r="H5198" s="1">
        <v>-6.1333689999999998E-6</v>
      </c>
      <c r="I5198">
        <v>30.538630000000001</v>
      </c>
      <c r="J5198">
        <v>-422.49979999999999</v>
      </c>
      <c r="K5198">
        <v>1.110311</v>
      </c>
      <c r="L5198">
        <v>57.504759999999997</v>
      </c>
      <c r="M5198">
        <v>1.4173300000000001E-3</v>
      </c>
      <c r="N5198">
        <v>-1.196271E-2</v>
      </c>
      <c r="O5198">
        <v>-0.99992760000000003</v>
      </c>
      <c r="P5198">
        <v>9.2677399999999993E-2</v>
      </c>
      <c r="Q5198">
        <v>0.1539015</v>
      </c>
      <c r="R5198">
        <v>-0.9837304</v>
      </c>
      <c r="S5198">
        <v>0.81213380000000002</v>
      </c>
      <c r="T5198">
        <v>-0.1218998</v>
      </c>
      <c r="U5198">
        <v>-2.9933779999999999</v>
      </c>
      <c r="V5198">
        <v>-9.1423240000000003E-2</v>
      </c>
      <c r="W5198">
        <v>0.1655826</v>
      </c>
      <c r="X5198">
        <v>0.98194919999999997</v>
      </c>
      <c r="Y5198">
        <v>-0.26029980000000003</v>
      </c>
      <c r="Z5198">
        <v>2.732561E-2</v>
      </c>
      <c r="AA5198">
        <v>0.96514109999999997</v>
      </c>
      <c r="AB5198">
        <v>30</v>
      </c>
      <c r="AC5198">
        <v>7.3962999999999903</v>
      </c>
      <c r="AD5198">
        <v>-1.1103171333690001</v>
      </c>
      <c r="AE5198">
        <v>-26.96613</v>
      </c>
      <c r="AF5198">
        <v>-7.3464865614879997</v>
      </c>
      <c r="AG5198">
        <v>-1.1103171333690001</v>
      </c>
      <c r="AH5198">
        <v>26.934119011624102</v>
      </c>
      <c r="AI5198">
        <v>92.277486143105506</v>
      </c>
      <c r="AJ5198">
        <v>105.25673780369</v>
      </c>
      <c r="AK5198">
        <v>27.940122330925899</v>
      </c>
      <c r="AL5198">
        <v>80.468919630787894</v>
      </c>
      <c r="AM5198">
        <v>95.319123089170404</v>
      </c>
      <c r="AN5198">
        <v>1.00000001880774</v>
      </c>
    </row>
    <row r="5199" spans="1:40" x14ac:dyDescent="0.25">
      <c r="A5199" t="str">
        <f>"20190304155739992"</f>
        <v>20190304155739992</v>
      </c>
      <c r="B5199" t="str">
        <f>"1551686259979765"</f>
        <v>1551686259979765</v>
      </c>
      <c r="C5199" t="s">
        <v>40</v>
      </c>
      <c r="D5199">
        <v>4.5130699999999999</v>
      </c>
      <c r="E5199">
        <v>0.43177339999999997</v>
      </c>
      <c r="F5199" t="s">
        <v>84</v>
      </c>
      <c r="G5199">
        <v>-415.09809999999999</v>
      </c>
      <c r="H5199" s="1">
        <v>-6.1810479999999901E-6</v>
      </c>
      <c r="I5199">
        <v>30.41489</v>
      </c>
      <c r="J5199">
        <v>-422.49880000000002</v>
      </c>
      <c r="K5199">
        <v>1.1103430000000001</v>
      </c>
      <c r="L5199">
        <v>57.200200000000002</v>
      </c>
      <c r="M5199">
        <v>1.9055630000000001E-3</v>
      </c>
      <c r="N5199">
        <v>-1.206753E-2</v>
      </c>
      <c r="O5199">
        <v>-0.99992530000000002</v>
      </c>
      <c r="P5199">
        <v>9.4213389999999994E-2</v>
      </c>
      <c r="Q5199">
        <v>0.15397949999999999</v>
      </c>
      <c r="R5199">
        <v>-0.98357209999999995</v>
      </c>
      <c r="S5199">
        <v>0.81744380000000005</v>
      </c>
      <c r="T5199">
        <v>-0.1226228</v>
      </c>
      <c r="U5199">
        <v>-2.9917910000000001</v>
      </c>
      <c r="V5199">
        <v>-9.248895E-2</v>
      </c>
      <c r="W5199">
        <v>0.16575570000000001</v>
      </c>
      <c r="X5199">
        <v>0.98182020000000003</v>
      </c>
      <c r="Y5199">
        <v>-0.2615497</v>
      </c>
      <c r="Z5199">
        <v>2.7458659999999999E-2</v>
      </c>
      <c r="AA5199">
        <v>0.96479930000000003</v>
      </c>
      <c r="AB5199">
        <v>30</v>
      </c>
      <c r="AC5199">
        <v>7.40070000000002</v>
      </c>
      <c r="AD5199">
        <v>-1.110349181048</v>
      </c>
      <c r="AE5199">
        <v>-26.785309999999999</v>
      </c>
      <c r="AF5199">
        <v>-7.3379265463182701</v>
      </c>
      <c r="AG5199">
        <v>-1.110349181048</v>
      </c>
      <c r="AH5199">
        <v>26.756647175816099</v>
      </c>
      <c r="AI5199">
        <v>92.291774590015905</v>
      </c>
      <c r="AJ5199">
        <v>105.336125844645</v>
      </c>
      <c r="AK5199">
        <v>27.7668184960777</v>
      </c>
      <c r="AL5199">
        <v>80.458862882172596</v>
      </c>
      <c r="AM5199">
        <v>95.381468460573402</v>
      </c>
      <c r="AN5199">
        <v>1.00000003154131</v>
      </c>
    </row>
    <row r="5200" spans="1:40" x14ac:dyDescent="0.25">
      <c r="A5200" t="str">
        <f>"20190304155740014"</f>
        <v>20190304155740014</v>
      </c>
      <c r="B5200" t="str">
        <f>"1551686260010021"</f>
        <v>1551686260010021</v>
      </c>
      <c r="C5200" t="s">
        <v>40</v>
      </c>
      <c r="D5200">
        <v>4.4544969999999999</v>
      </c>
      <c r="E5200">
        <v>0.4320695</v>
      </c>
      <c r="F5200" t="s">
        <v>84</v>
      </c>
      <c r="G5200">
        <v>-415.16559999999998</v>
      </c>
      <c r="H5200" s="1">
        <v>-6.1536609999999899E-6</v>
      </c>
      <c r="I5200">
        <v>30.45936</v>
      </c>
      <c r="J5200">
        <v>-422.49759999999998</v>
      </c>
      <c r="K5200">
        <v>1.1103860000000001</v>
      </c>
      <c r="L5200">
        <v>56.893459999999997</v>
      </c>
      <c r="M5200">
        <v>2.4436269999999999E-3</v>
      </c>
      <c r="N5200">
        <v>-1.216651E-2</v>
      </c>
      <c r="O5200">
        <v>-0.99992300000000001</v>
      </c>
      <c r="P5200">
        <v>9.528942E-2</v>
      </c>
      <c r="Q5200">
        <v>0.1540231</v>
      </c>
      <c r="R5200">
        <v>-0.98346129999999998</v>
      </c>
      <c r="S5200">
        <v>0.82022090000000003</v>
      </c>
      <c r="T5200">
        <v>-0.124194</v>
      </c>
      <c r="U5200">
        <v>-2.9909970000000001</v>
      </c>
      <c r="V5200">
        <v>-9.3048629999999993E-2</v>
      </c>
      <c r="W5200">
        <v>0.1658888</v>
      </c>
      <c r="X5200">
        <v>0.98174479999999997</v>
      </c>
      <c r="Y5200">
        <v>-0.26192399999999999</v>
      </c>
      <c r="Z5200">
        <v>2.786961E-2</v>
      </c>
      <c r="AA5200">
        <v>0.96468600000000004</v>
      </c>
      <c r="AB5200">
        <v>30</v>
      </c>
      <c r="AC5200">
        <v>7.3319999999999901</v>
      </c>
      <c r="AD5200">
        <v>-1.110392153661</v>
      </c>
      <c r="AE5200">
        <v>-26.434100000000001</v>
      </c>
      <c r="AF5200">
        <v>-7.2554904418390596</v>
      </c>
      <c r="AG5200">
        <v>-1.110392153661</v>
      </c>
      <c r="AH5200">
        <v>26.408669619670398</v>
      </c>
      <c r="AI5200">
        <v>92.321738069037195</v>
      </c>
      <c r="AJ5200">
        <v>105.362345422445</v>
      </c>
      <c r="AK5200">
        <v>27.4097235186244</v>
      </c>
      <c r="AL5200">
        <v>80.451129420386593</v>
      </c>
      <c r="AM5200">
        <v>95.414253848371899</v>
      </c>
      <c r="AN5200">
        <v>0.99999999691867802</v>
      </c>
    </row>
    <row r="5201" spans="1:40" x14ac:dyDescent="0.25">
      <c r="A5201" t="str">
        <f>"20190304155740036"</f>
        <v>20190304155740036</v>
      </c>
      <c r="B5201" t="str">
        <f>"1551686260030047"</f>
        <v>1551686260030047</v>
      </c>
      <c r="C5201" t="s">
        <v>40</v>
      </c>
      <c r="D5201">
        <v>4.4477080000000004</v>
      </c>
      <c r="E5201">
        <v>0.43226769999999998</v>
      </c>
      <c r="F5201" t="s">
        <v>84</v>
      </c>
      <c r="G5201">
        <v>-415.2045</v>
      </c>
      <c r="H5201" s="1">
        <v>-6.2030240000000004E-6</v>
      </c>
      <c r="I5201">
        <v>30.31288</v>
      </c>
      <c r="J5201">
        <v>-422.49619999999999</v>
      </c>
      <c r="K5201">
        <v>1.1104290000000001</v>
      </c>
      <c r="L5201">
        <v>56.591250000000002</v>
      </c>
      <c r="M5201">
        <v>3.0139170000000001E-3</v>
      </c>
      <c r="N5201">
        <v>-1.225504E-2</v>
      </c>
      <c r="O5201">
        <v>-0.99992040000000004</v>
      </c>
      <c r="P5201">
        <v>9.5982380000000006E-2</v>
      </c>
      <c r="Q5201">
        <v>0.153532</v>
      </c>
      <c r="R5201">
        <v>-0.98347119999999999</v>
      </c>
      <c r="S5201">
        <v>0.82052610000000004</v>
      </c>
      <c r="T5201">
        <v>-0.1249272</v>
      </c>
      <c r="U5201">
        <v>-2.9905089999999999</v>
      </c>
      <c r="V5201">
        <v>-9.3192800000000006E-2</v>
      </c>
      <c r="W5201">
        <v>0.16547779999999901</v>
      </c>
      <c r="X5201">
        <v>0.98180049999999996</v>
      </c>
      <c r="Y5201">
        <v>-0.26150319999999999</v>
      </c>
      <c r="Z5201">
        <v>2.8026120000000002E-2</v>
      </c>
      <c r="AA5201">
        <v>0.96479559999999998</v>
      </c>
      <c r="AB5201">
        <v>30</v>
      </c>
      <c r="AC5201">
        <v>7.2916999999999899</v>
      </c>
      <c r="AD5201">
        <v>-1.1104352030239999</v>
      </c>
      <c r="AE5201">
        <v>-26.278369999999999</v>
      </c>
      <c r="AF5201">
        <v>-7.2005218740986798</v>
      </c>
      <c r="AG5201">
        <v>-1.1104352030239999</v>
      </c>
      <c r="AH5201">
        <v>26.256696106504599</v>
      </c>
      <c r="AI5201">
        <v>92.335551575751893</v>
      </c>
      <c r="AJ5201">
        <v>105.33552783109</v>
      </c>
      <c r="AK5201">
        <v>27.2487554216486</v>
      </c>
      <c r="AL5201">
        <v>80.475008147431893</v>
      </c>
      <c r="AM5201">
        <v>95.422286950469399</v>
      </c>
      <c r="AN5201">
        <v>1.0000000110324601</v>
      </c>
    </row>
    <row r="5202" spans="1:40" x14ac:dyDescent="0.25">
      <c r="A5202" t="str">
        <f>"20190304155740058"</f>
        <v>20190304155740058</v>
      </c>
      <c r="B5202" t="str">
        <f>"1551686260050543"</f>
        <v>1551686260050543</v>
      </c>
      <c r="C5202" t="s">
        <v>40</v>
      </c>
      <c r="D5202">
        <v>4.4538640000000003</v>
      </c>
      <c r="E5202">
        <v>0.43245529999999999</v>
      </c>
      <c r="F5202" t="s">
        <v>84</v>
      </c>
      <c r="G5202">
        <v>-415.2715</v>
      </c>
      <c r="H5202" s="1">
        <v>-6.20846199999999E-6</v>
      </c>
      <c r="I5202">
        <v>30.270869999999999</v>
      </c>
      <c r="J5202">
        <v>-422.49459999999999</v>
      </c>
      <c r="K5202">
        <v>1.110468</v>
      </c>
      <c r="L5202">
        <v>56.289949999999997</v>
      </c>
      <c r="M5202">
        <v>3.6265680000000002E-3</v>
      </c>
      <c r="N5202">
        <v>-1.233625E-2</v>
      </c>
      <c r="O5202">
        <v>-0.99991739999999996</v>
      </c>
      <c r="P5202">
        <v>9.6068169999999994E-2</v>
      </c>
      <c r="Q5202">
        <v>0.15303639999999999</v>
      </c>
      <c r="R5202">
        <v>-0.98354019999999998</v>
      </c>
      <c r="S5202">
        <v>0.82073969999999896</v>
      </c>
      <c r="T5202">
        <v>-0.1261466</v>
      </c>
      <c r="U5202">
        <v>-2.990021</v>
      </c>
      <c r="V5202">
        <v>-9.268817E-2</v>
      </c>
      <c r="W5202">
        <v>0.16505729999999999</v>
      </c>
      <c r="X5202">
        <v>0.98191910000000004</v>
      </c>
      <c r="Y5202">
        <v>-0.26101249999999998</v>
      </c>
      <c r="Z5202">
        <v>2.8347190000000001E-2</v>
      </c>
      <c r="AA5202">
        <v>0.96491910000000003</v>
      </c>
      <c r="AB5202">
        <v>30</v>
      </c>
      <c r="AC5202">
        <v>7.2230999999999801</v>
      </c>
      <c r="AD5202">
        <v>-1.1104742084620001</v>
      </c>
      <c r="AE5202">
        <v>-26.019079999999899</v>
      </c>
      <c r="AF5202">
        <v>-7.1166497960684696</v>
      </c>
      <c r="AG5202">
        <v>-1.1104742084620001</v>
      </c>
      <c r="AH5202">
        <v>26.001133240435799</v>
      </c>
      <c r="AI5202">
        <v>92.358882849239393</v>
      </c>
      <c r="AJ5202">
        <v>105.307266840072</v>
      </c>
      <c r="AK5202">
        <v>26.980340751636898</v>
      </c>
      <c r="AL5202">
        <v>80.499437456996404</v>
      </c>
      <c r="AM5202">
        <v>95.392451817062096</v>
      </c>
      <c r="AN5202">
        <v>1.00000006404302</v>
      </c>
    </row>
    <row r="5203" spans="1:40" x14ac:dyDescent="0.25">
      <c r="A5203" t="str">
        <f>"20190304155740080"</f>
        <v>20190304155740080</v>
      </c>
      <c r="B5203" t="str">
        <f>"1551686260070063"</f>
        <v>1551686260070063</v>
      </c>
      <c r="C5203" t="s">
        <v>40</v>
      </c>
      <c r="D5203">
        <v>4.4251930000000002</v>
      </c>
      <c r="E5203">
        <v>0.43259940000000002</v>
      </c>
      <c r="F5203" t="s">
        <v>84</v>
      </c>
      <c r="G5203">
        <v>-415.39929999999998</v>
      </c>
      <c r="H5203" s="1">
        <v>-6.1475269999999997E-6</v>
      </c>
      <c r="I5203">
        <v>30.37914</v>
      </c>
      <c r="J5203">
        <v>-422.49279999999999</v>
      </c>
      <c r="K5203">
        <v>1.110511</v>
      </c>
      <c r="L5203">
        <v>55.987879999999997</v>
      </c>
      <c r="M5203">
        <v>4.2909009999999997E-3</v>
      </c>
      <c r="N5203">
        <v>-1.2414130000000001E-2</v>
      </c>
      <c r="O5203">
        <v>-0.99991390000000002</v>
      </c>
      <c r="P5203">
        <v>9.6647510000000006E-2</v>
      </c>
      <c r="Q5203">
        <v>0.15277569999999999</v>
      </c>
      <c r="R5203">
        <v>-0.98352399999999995</v>
      </c>
      <c r="S5203">
        <v>0.81881709999999996</v>
      </c>
      <c r="T5203">
        <v>-0.1281515</v>
      </c>
      <c r="U5203">
        <v>-2.990173</v>
      </c>
      <c r="V5203">
        <v>-9.2627970000000004E-2</v>
      </c>
      <c r="W5203">
        <v>0.1648654</v>
      </c>
      <c r="X5203">
        <v>0.98195699999999997</v>
      </c>
      <c r="Y5203">
        <v>-0.2597758</v>
      </c>
      <c r="Z5203">
        <v>2.89243E-2</v>
      </c>
      <c r="AA5203">
        <v>0.96523570000000003</v>
      </c>
      <c r="AB5203">
        <v>30</v>
      </c>
      <c r="AC5203">
        <v>7.0934999999999997</v>
      </c>
      <c r="AD5203">
        <v>-1.1105171475269999</v>
      </c>
      <c r="AE5203">
        <v>-25.608740000000001</v>
      </c>
      <c r="AF5203">
        <v>-6.9713661735480796</v>
      </c>
      <c r="AG5203">
        <v>-1.1105171475269999</v>
      </c>
      <c r="AH5203">
        <v>25.5942436933591</v>
      </c>
      <c r="AI5203">
        <v>92.397238941252397</v>
      </c>
      <c r="AJ5203">
        <v>105.23660997523299</v>
      </c>
      <c r="AK5203">
        <v>26.549924762524199</v>
      </c>
      <c r="AL5203">
        <v>80.510585062077197</v>
      </c>
      <c r="AM5203">
        <v>95.388763330961297</v>
      </c>
      <c r="AN5203">
        <v>1.0000000453962301</v>
      </c>
    </row>
    <row r="5204" spans="1:40" x14ac:dyDescent="0.25">
      <c r="A5204" t="str">
        <f>"20190304155740104"</f>
        <v>20190304155740104</v>
      </c>
      <c r="B5204" t="str">
        <f>"1551686260100320"</f>
        <v>1551686260100320</v>
      </c>
      <c r="C5204" t="s">
        <v>40</v>
      </c>
      <c r="D5204">
        <v>4.4171709999999997</v>
      </c>
      <c r="E5204">
        <v>0.43274600000000002</v>
      </c>
      <c r="F5204" t="s">
        <v>84</v>
      </c>
      <c r="G5204">
        <v>-415.46019999999999</v>
      </c>
      <c r="H5204" s="1">
        <v>-6.158063E-6</v>
      </c>
      <c r="I5204">
        <v>30.326170000000001</v>
      </c>
      <c r="J5204">
        <v>-422.4907</v>
      </c>
      <c r="K5204">
        <v>1.11056</v>
      </c>
      <c r="L5204">
        <v>55.67944</v>
      </c>
      <c r="M5204">
        <v>5.0258489999999998E-3</v>
      </c>
      <c r="N5204">
        <v>-1.248778E-2</v>
      </c>
      <c r="O5204">
        <v>-0.99990979999999996</v>
      </c>
      <c r="P5204">
        <v>9.7006839999999997E-2</v>
      </c>
      <c r="Q5204">
        <v>0.15246219999999999</v>
      </c>
      <c r="R5204">
        <v>-0.98353740000000001</v>
      </c>
      <c r="S5204">
        <v>0.8193665</v>
      </c>
      <c r="T5204">
        <v>-0.1293859</v>
      </c>
      <c r="U5204">
        <v>-2.9898380000000002</v>
      </c>
      <c r="V5204">
        <v>-9.2279730000000004E-2</v>
      </c>
      <c r="W5204">
        <v>0.16461619999999999</v>
      </c>
      <c r="X5204">
        <v>0.98203149999999995</v>
      </c>
      <c r="Y5204">
        <v>-0.25925490000000001</v>
      </c>
      <c r="Z5204">
        <v>2.9255750000000001E-2</v>
      </c>
      <c r="AA5204">
        <v>0.96536569999999999</v>
      </c>
      <c r="AB5204">
        <v>30</v>
      </c>
      <c r="AC5204">
        <v>7.0305000000000097</v>
      </c>
      <c r="AD5204">
        <v>-1.110566158063</v>
      </c>
      <c r="AE5204">
        <v>-25.353269999999998</v>
      </c>
      <c r="AF5204">
        <v>-6.8907020843091704</v>
      </c>
      <c r="AG5204">
        <v>-1.110566158063</v>
      </c>
      <c r="AH5204">
        <v>25.3431315611498</v>
      </c>
      <c r="AI5204">
        <v>92.421367118202795</v>
      </c>
      <c r="AJ5204">
        <v>105.210790888782</v>
      </c>
      <c r="AK5204">
        <v>26.286678179866801</v>
      </c>
      <c r="AL5204">
        <v>80.525060085542407</v>
      </c>
      <c r="AM5204">
        <v>95.368217668755804</v>
      </c>
      <c r="AN5204">
        <v>0.99999995443178002</v>
      </c>
    </row>
    <row r="5205" spans="1:40" x14ac:dyDescent="0.25">
      <c r="A5205" t="str">
        <f>"20190304155740126"</f>
        <v>20190304155740126</v>
      </c>
      <c r="B5205" t="str">
        <f>"1551686260119839"</f>
        <v>1551686260119839</v>
      </c>
      <c r="C5205" t="s">
        <v>40</v>
      </c>
      <c r="D5205">
        <v>4.43147</v>
      </c>
      <c r="E5205">
        <v>0.43276330000000002</v>
      </c>
      <c r="F5205" t="s">
        <v>84</v>
      </c>
      <c r="G5205">
        <v>-415.53930000000003</v>
      </c>
      <c r="H5205" s="1">
        <v>-6.1533739999999999E-6</v>
      </c>
      <c r="I5205">
        <v>30.305900000000001</v>
      </c>
      <c r="J5205">
        <v>-422.48829999999998</v>
      </c>
      <c r="K5205">
        <v>1.110609</v>
      </c>
      <c r="L5205">
        <v>55.377319999999997</v>
      </c>
      <c r="M5205">
        <v>5.8041100000000003E-3</v>
      </c>
      <c r="N5205">
        <v>-1.2552290000000001E-2</v>
      </c>
      <c r="O5205">
        <v>-0.99990460000000003</v>
      </c>
      <c r="P5205">
        <v>9.7966819999999996E-2</v>
      </c>
      <c r="Q5205">
        <v>0.1524858</v>
      </c>
      <c r="R5205">
        <v>-0.98343840000000005</v>
      </c>
      <c r="S5205">
        <v>0.81906129999999999</v>
      </c>
      <c r="T5205">
        <v>-0.13085579999999999</v>
      </c>
      <c r="U5205">
        <v>-2.989716</v>
      </c>
      <c r="V5205">
        <v>-9.2492550000000007E-2</v>
      </c>
      <c r="W5205">
        <v>0.1646928</v>
      </c>
      <c r="X5205">
        <v>0.9819987</v>
      </c>
      <c r="Y5205">
        <v>-0.25841720000000001</v>
      </c>
      <c r="Z5205">
        <v>2.9672759999999999E-2</v>
      </c>
      <c r="AA5205">
        <v>0.96557760000000004</v>
      </c>
      <c r="AB5205">
        <v>30</v>
      </c>
      <c r="AC5205">
        <v>6.9489999999999501</v>
      </c>
      <c r="AD5205">
        <v>-1.1106151533740001</v>
      </c>
      <c r="AE5205">
        <v>-25.07142</v>
      </c>
      <c r="AF5205">
        <v>-6.7909788652102296</v>
      </c>
      <c r="AG5205">
        <v>-1.1106151533740001</v>
      </c>
      <c r="AH5205">
        <v>25.065655842275302</v>
      </c>
      <c r="AI5205">
        <v>92.448845790494204</v>
      </c>
      <c r="AJ5205">
        <v>105.15910179888699</v>
      </c>
      <c r="AK5205">
        <v>25.993036813154902</v>
      </c>
      <c r="AL5205">
        <v>80.520611110382802</v>
      </c>
      <c r="AM5205">
        <v>95.380704199814303</v>
      </c>
      <c r="AN5205">
        <v>1.0000000184895099</v>
      </c>
    </row>
    <row r="5206" spans="1:40" x14ac:dyDescent="0.25">
      <c r="A5206" t="str">
        <f>"20190304155740149"</f>
        <v>20190304155740149</v>
      </c>
      <c r="B5206" t="str">
        <f>"1551686260140335"</f>
        <v>1551686260140335</v>
      </c>
      <c r="C5206" t="s">
        <v>40</v>
      </c>
      <c r="D5206">
        <v>4.4221320000000004</v>
      </c>
      <c r="E5206">
        <v>0.43278129999999998</v>
      </c>
      <c r="F5206" t="s">
        <v>84</v>
      </c>
      <c r="G5206">
        <v>-415.5129</v>
      </c>
      <c r="H5206" s="1">
        <v>-6.2719199999999997E-6</v>
      </c>
      <c r="I5206">
        <v>30.003579999999999</v>
      </c>
      <c r="J5206">
        <v>-422.48570000000001</v>
      </c>
      <c r="K5206">
        <v>1.110665</v>
      </c>
      <c r="L5206">
        <v>55.076050000000002</v>
      </c>
      <c r="M5206">
        <v>6.6386639999999998E-3</v>
      </c>
      <c r="N5206">
        <v>-1.261369E-2</v>
      </c>
      <c r="O5206">
        <v>-0.99989859999999997</v>
      </c>
      <c r="P5206">
        <v>9.9047839999999998E-2</v>
      </c>
      <c r="Q5206">
        <v>0.15253420000000001</v>
      </c>
      <c r="R5206">
        <v>-0.98332260000000005</v>
      </c>
      <c r="S5206">
        <v>0.82168580000000002</v>
      </c>
      <c r="T5206">
        <v>-0.1308272</v>
      </c>
      <c r="U5206">
        <v>-2.988953</v>
      </c>
      <c r="V5206">
        <v>-9.2772430000000003E-2</v>
      </c>
      <c r="W5206">
        <v>0.16478970000000001</v>
      </c>
      <c r="X5206">
        <v>0.98195600000000005</v>
      </c>
      <c r="Y5206">
        <v>-0.25846229999999998</v>
      </c>
      <c r="Z5206">
        <v>2.9608639999999999E-2</v>
      </c>
      <c r="AA5206">
        <v>0.96556750000000002</v>
      </c>
      <c r="AB5206">
        <v>30</v>
      </c>
      <c r="AC5206">
        <v>6.9728000000000003</v>
      </c>
      <c r="AD5206">
        <v>-1.11067127192</v>
      </c>
      <c r="AE5206">
        <v>-25.072469999999999</v>
      </c>
      <c r="AF5206">
        <v>-6.7938106597410401</v>
      </c>
      <c r="AG5206">
        <v>-1.11067127192</v>
      </c>
      <c r="AH5206">
        <v>25.072542185366</v>
      </c>
      <c r="AI5206">
        <v>92.448273787493093</v>
      </c>
      <c r="AJ5206">
        <v>105.161158527816</v>
      </c>
      <c r="AK5206">
        <v>26.000419719528299</v>
      </c>
      <c r="AL5206">
        <v>80.514981848481298</v>
      </c>
      <c r="AM5206">
        <v>95.397123371940395</v>
      </c>
      <c r="AN5206">
        <v>0.99999997746509695</v>
      </c>
    </row>
    <row r="5207" spans="1:40" x14ac:dyDescent="0.25">
      <c r="A5207" t="str">
        <f>"20190304155740172"</f>
        <v>20190304155740172</v>
      </c>
      <c r="B5207" t="str">
        <f>"1551686260159855"</f>
        <v>1551686260159855</v>
      </c>
      <c r="C5207" t="s">
        <v>40</v>
      </c>
      <c r="D5207">
        <v>4.4330069999999999</v>
      </c>
      <c r="E5207">
        <v>0.4327645</v>
      </c>
      <c r="F5207" t="s">
        <v>84</v>
      </c>
      <c r="G5207">
        <v>-415.48860000000002</v>
      </c>
      <c r="H5207" s="1">
        <v>-6.3776289999999897E-6</v>
      </c>
      <c r="I5207">
        <v>29.734269999999999</v>
      </c>
      <c r="J5207">
        <v>-422.48259999999999</v>
      </c>
      <c r="K5207">
        <v>1.110722</v>
      </c>
      <c r="L5207">
        <v>54.761380000000003</v>
      </c>
      <c r="M5207">
        <v>7.5815819999999999E-3</v>
      </c>
      <c r="N5207">
        <v>-1.267575E-2</v>
      </c>
      <c r="O5207">
        <v>-0.99989119999999998</v>
      </c>
      <c r="P5207">
        <v>0.10118530000000001</v>
      </c>
      <c r="Q5207">
        <v>0.153089</v>
      </c>
      <c r="R5207">
        <v>-0.98301890000000003</v>
      </c>
      <c r="S5207">
        <v>0.82504270000000002</v>
      </c>
      <c r="T5207">
        <v>-0.13096140000000001</v>
      </c>
      <c r="U5207">
        <v>-2.9880979999999999</v>
      </c>
      <c r="V5207">
        <v>-9.4006439999999997E-2</v>
      </c>
      <c r="W5207">
        <v>0.16538889999999901</v>
      </c>
      <c r="X5207">
        <v>0.98173790000000005</v>
      </c>
      <c r="Y5207">
        <v>-0.25862950000000001</v>
      </c>
      <c r="Z5207">
        <v>2.959562E-2</v>
      </c>
      <c r="AA5207">
        <v>0.96552309999999997</v>
      </c>
      <c r="AB5207">
        <v>30</v>
      </c>
      <c r="AC5207">
        <v>6.9939999999999696</v>
      </c>
      <c r="AD5207">
        <v>-1.110728377629</v>
      </c>
      <c r="AE5207">
        <v>-25.02711</v>
      </c>
      <c r="AF5207">
        <v>-6.7916304182797003</v>
      </c>
      <c r="AG5207">
        <v>-1.110728377629</v>
      </c>
      <c r="AH5207">
        <v>25.0336840616825</v>
      </c>
      <c r="AI5207">
        <v>92.451989069626407</v>
      </c>
      <c r="AJ5207">
        <v>105.17895872243</v>
      </c>
      <c r="AK5207">
        <v>25.962382382352899</v>
      </c>
      <c r="AL5207">
        <v>80.4801728174007</v>
      </c>
      <c r="AM5207">
        <v>95.469688209369906</v>
      </c>
      <c r="AN5207">
        <v>1.0000000016505399</v>
      </c>
    </row>
    <row r="5208" spans="1:40" x14ac:dyDescent="0.25">
      <c r="A5208" t="str">
        <f>"20190304155740193"</f>
        <v>20190304155740193</v>
      </c>
      <c r="B5208" t="str">
        <f>"1551686260190111"</f>
        <v>1551686260190111</v>
      </c>
      <c r="C5208" t="s">
        <v>40</v>
      </c>
      <c r="D5208">
        <v>4.423635</v>
      </c>
      <c r="E5208">
        <v>0.43268020000000001</v>
      </c>
      <c r="F5208" t="s">
        <v>84</v>
      </c>
      <c r="G5208">
        <v>-415.35160000000002</v>
      </c>
      <c r="H5208" s="1">
        <v>-8.8496650000000003E-6</v>
      </c>
      <c r="I5208">
        <v>29.135629999999999</v>
      </c>
      <c r="J5208">
        <v>-422.4794</v>
      </c>
      <c r="K5208">
        <v>1.1107769999999999</v>
      </c>
      <c r="L5208">
        <v>54.4741199999999</v>
      </c>
      <c r="M5208">
        <v>8.5084059999999996E-3</v>
      </c>
      <c r="N5208">
        <v>-1.27326E-2</v>
      </c>
      <c r="O5208">
        <v>-0.99988279999999996</v>
      </c>
      <c r="P5208">
        <v>0.1038302</v>
      </c>
      <c r="Q5208">
        <v>0.15324649999999901</v>
      </c>
      <c r="R5208">
        <v>-0.98271810000000004</v>
      </c>
      <c r="S5208">
        <v>0.83105469999999904</v>
      </c>
      <c r="T5208">
        <v>-0.1294457</v>
      </c>
      <c r="U5208">
        <v>-2.98645</v>
      </c>
      <c r="V5208">
        <v>-9.5762299999999995E-2</v>
      </c>
      <c r="W5208">
        <v>0.1655855</v>
      </c>
      <c r="X5208">
        <v>0.98153500000000005</v>
      </c>
      <c r="Y5208">
        <v>-0.25967980000000002</v>
      </c>
      <c r="Z5208">
        <v>2.905692E-2</v>
      </c>
      <c r="AA5208">
        <v>0.96525749999999999</v>
      </c>
      <c r="AB5208">
        <v>30</v>
      </c>
      <c r="AC5208">
        <v>7.1277999999999704</v>
      </c>
      <c r="AD5208">
        <v>-1.110785849665</v>
      </c>
      <c r="AE5208">
        <v>-25.33849</v>
      </c>
      <c r="AF5208">
        <v>-6.8996471618888098</v>
      </c>
      <c r="AG5208">
        <v>-1.110785849665</v>
      </c>
      <c r="AH5208">
        <v>25.3530740380398</v>
      </c>
      <c r="AI5208">
        <v>92.420746147627895</v>
      </c>
      <c r="AJ5208">
        <v>105.223924879256</v>
      </c>
      <c r="AK5208">
        <v>26.298618582364799</v>
      </c>
      <c r="AL5208">
        <v>80.468750639868006</v>
      </c>
      <c r="AM5208">
        <v>95.572359003937805</v>
      </c>
      <c r="AN5208">
        <v>0.99999996606826902</v>
      </c>
    </row>
    <row r="5209" spans="1:40" x14ac:dyDescent="0.25">
      <c r="A5209" t="str">
        <f>"20190304155740215"</f>
        <v>20190304155740215</v>
      </c>
      <c r="B5209" t="str">
        <f>"1551686260209631"</f>
        <v>1551686260209631</v>
      </c>
      <c r="C5209" t="s">
        <v>40</v>
      </c>
      <c r="D5209">
        <v>4.4152719999999999</v>
      </c>
      <c r="E5209">
        <v>0.43260359999999998</v>
      </c>
      <c r="F5209" t="s">
        <v>84</v>
      </c>
      <c r="G5209">
        <v>-415.27670000000001</v>
      </c>
      <c r="H5209" s="1">
        <v>-8.8454839999999998E-6</v>
      </c>
      <c r="I5209">
        <v>28.864750000000001</v>
      </c>
      <c r="J5209">
        <v>-422.47570000000002</v>
      </c>
      <c r="K5209">
        <v>1.1108420000000001</v>
      </c>
      <c r="L5209">
        <v>54.171909999999997</v>
      </c>
      <c r="M5209">
        <v>9.5404210000000003E-3</v>
      </c>
      <c r="N5209">
        <v>-1.278996E-2</v>
      </c>
      <c r="O5209">
        <v>-0.99987300000000001</v>
      </c>
      <c r="P5209">
        <v>0.10667210000000001</v>
      </c>
      <c r="Q5209">
        <v>0.1532058</v>
      </c>
      <c r="R5209">
        <v>-0.98242039999999997</v>
      </c>
      <c r="S5209">
        <v>0.83932499999999999</v>
      </c>
      <c r="T5209">
        <v>-0.12943959999999999</v>
      </c>
      <c r="U5209">
        <v>-2.9842529999999998</v>
      </c>
      <c r="V5209">
        <v>-9.7611370000000003E-2</v>
      </c>
      <c r="W5209">
        <v>0.16558399999999901</v>
      </c>
      <c r="X5209">
        <v>0.98135309999999998</v>
      </c>
      <c r="Y5209">
        <v>-0.26134629999999998</v>
      </c>
      <c r="Z5209">
        <v>2.9003810000000001E-2</v>
      </c>
      <c r="AA5209">
        <v>0.96480920000000003</v>
      </c>
      <c r="AB5209">
        <v>30</v>
      </c>
      <c r="AC5209">
        <v>7.1990000000000096</v>
      </c>
      <c r="AD5209">
        <v>-1.110850845484</v>
      </c>
      <c r="AE5209">
        <v>-25.30716</v>
      </c>
      <c r="AF5209">
        <v>-6.9448324721381596</v>
      </c>
      <c r="AG5209">
        <v>-1.110850845484</v>
      </c>
      <c r="AH5209">
        <v>25.329545083381301</v>
      </c>
      <c r="AI5209">
        <v>92.421881068385204</v>
      </c>
      <c r="AJ5209">
        <v>105.332516102352</v>
      </c>
      <c r="AK5209">
        <v>26.2878401889167</v>
      </c>
      <c r="AL5209">
        <v>80.468837860396405</v>
      </c>
      <c r="AM5209">
        <v>95.680304451492503</v>
      </c>
      <c r="AN5209">
        <v>0.99999997374444305</v>
      </c>
    </row>
    <row r="5210" spans="1:40" x14ac:dyDescent="0.25">
      <c r="A5210" t="str">
        <f>"20190304155740237"</f>
        <v>20190304155740237</v>
      </c>
      <c r="B5210" t="str">
        <f>"1551686260230134"</f>
        <v>1551686260230134</v>
      </c>
      <c r="C5210" t="s">
        <v>40</v>
      </c>
      <c r="D5210">
        <v>4.4357569999999997</v>
      </c>
      <c r="E5210">
        <v>0.43253419999999998</v>
      </c>
      <c r="F5210" t="s">
        <v>84</v>
      </c>
      <c r="G5210">
        <v>-415.22480000000002</v>
      </c>
      <c r="H5210" s="1">
        <v>-8.8436169999999993E-6</v>
      </c>
      <c r="I5210">
        <v>28.68627</v>
      </c>
      <c r="J5210">
        <v>-422.4717</v>
      </c>
      <c r="K5210">
        <v>1.110889</v>
      </c>
      <c r="L5210">
        <v>53.871279999999999</v>
      </c>
      <c r="M5210">
        <v>1.0630580000000001E-2</v>
      </c>
      <c r="N5210">
        <v>-1.2841969999999999E-2</v>
      </c>
      <c r="O5210">
        <v>-0.999861</v>
      </c>
      <c r="P5210">
        <v>0.1098278</v>
      </c>
      <c r="Q5210">
        <v>0.1533312</v>
      </c>
      <c r="R5210">
        <v>-0.98205279999999995</v>
      </c>
      <c r="S5210">
        <v>0.84835819999999995</v>
      </c>
      <c r="T5210">
        <v>-0.12997059999999999</v>
      </c>
      <c r="U5210">
        <v>-2.9818419999999999</v>
      </c>
      <c r="V5210">
        <v>-9.9717940000000005E-2</v>
      </c>
      <c r="W5210">
        <v>0.1657421</v>
      </c>
      <c r="X5210">
        <v>0.98111459999999995</v>
      </c>
      <c r="Y5210">
        <v>-0.2632005</v>
      </c>
      <c r="Z5210">
        <v>2.912932E-2</v>
      </c>
      <c r="AA5210">
        <v>0.96430130000000003</v>
      </c>
      <c r="AB5210">
        <v>30</v>
      </c>
      <c r="AC5210">
        <v>7.2468999999999797</v>
      </c>
      <c r="AD5210">
        <v>-1.1108978436170001</v>
      </c>
      <c r="AE5210">
        <v>-25.185009999999998</v>
      </c>
      <c r="AF5210">
        <v>-6.9662197001724397</v>
      </c>
      <c r="AG5210">
        <v>-1.1108978436170001</v>
      </c>
      <c r="AH5210">
        <v>25.2153231186103</v>
      </c>
      <c r="AI5210">
        <v>92.431642381929095</v>
      </c>
      <c r="AJ5210">
        <v>105.443841701841</v>
      </c>
      <c r="AK5210">
        <v>26.183483933692798</v>
      </c>
      <c r="AL5210">
        <v>80.459652584060194</v>
      </c>
      <c r="AM5210">
        <v>95.803465407582905</v>
      </c>
      <c r="AN5210">
        <v>0.99999998480170604</v>
      </c>
    </row>
    <row r="5211" spans="1:40" x14ac:dyDescent="0.25">
      <c r="A5211" t="str">
        <f>"20190304155740260"</f>
        <v>20190304155740260</v>
      </c>
      <c r="B5211" t="str">
        <f>"1551686260249648"</f>
        <v>1551686260249648</v>
      </c>
      <c r="C5211" t="s">
        <v>40</v>
      </c>
      <c r="D5211">
        <v>4.6660570000000003</v>
      </c>
      <c r="E5211">
        <v>0.43259049999999999</v>
      </c>
      <c r="F5211" t="s">
        <v>84</v>
      </c>
      <c r="G5211">
        <v>-415.14580000000001</v>
      </c>
      <c r="H5211" s="1">
        <v>-8.8421479999999992E-6</v>
      </c>
      <c r="I5211">
        <v>28.42652</v>
      </c>
      <c r="J5211">
        <v>-422.46719999999999</v>
      </c>
      <c r="K5211">
        <v>1.1109469999999999</v>
      </c>
      <c r="L5211">
        <v>53.568510000000003</v>
      </c>
      <c r="M5211">
        <v>1.1801509999999999E-2</v>
      </c>
      <c r="N5211">
        <v>-1.288897E-2</v>
      </c>
      <c r="O5211">
        <v>-0.9998475</v>
      </c>
      <c r="P5211">
        <v>0.112238</v>
      </c>
      <c r="Q5211">
        <v>0.15321109999999999</v>
      </c>
      <c r="R5211">
        <v>-0.98179919999999998</v>
      </c>
      <c r="S5211">
        <v>0.85775759999999901</v>
      </c>
      <c r="T5211">
        <v>-0.1300703</v>
      </c>
      <c r="U5211">
        <v>-2.9792179999999999</v>
      </c>
      <c r="V5211">
        <v>-0.1010008</v>
      </c>
      <c r="W5211">
        <v>0.16565079999999999</v>
      </c>
      <c r="X5211">
        <v>0.98099879999999995</v>
      </c>
      <c r="Y5211">
        <v>-0.26510450000000002</v>
      </c>
      <c r="Z5211">
        <v>2.9122579999999999E-2</v>
      </c>
      <c r="AA5211">
        <v>0.96377979999999996</v>
      </c>
      <c r="AB5211">
        <v>30</v>
      </c>
      <c r="AC5211">
        <v>7.3213999999999801</v>
      </c>
      <c r="AD5211">
        <v>-1.1109558421479999</v>
      </c>
      <c r="AE5211">
        <v>-25.14199</v>
      </c>
      <c r="AF5211">
        <v>-7.0115320561030003</v>
      </c>
      <c r="AG5211">
        <v>-1.1109558421479999</v>
      </c>
      <c r="AH5211">
        <v>25.181326017630902</v>
      </c>
      <c r="AI5211">
        <v>92.433687965221296</v>
      </c>
      <c r="AJ5211">
        <v>105.55942171987</v>
      </c>
      <c r="AK5211">
        <v>26.162855055654301</v>
      </c>
      <c r="AL5211">
        <v>80.464957133951302</v>
      </c>
      <c r="AM5211">
        <v>95.878295877771293</v>
      </c>
      <c r="AN5211">
        <v>0.99999999737136003</v>
      </c>
    </row>
    <row r="5212" spans="1:40" x14ac:dyDescent="0.25">
      <c r="A5212" t="str">
        <f>"20190304155740282"</f>
        <v>20190304155740282</v>
      </c>
      <c r="B5212" t="str">
        <f>"1551686260270143"</f>
        <v>1551686260270143</v>
      </c>
      <c r="C5212" t="s">
        <v>40</v>
      </c>
      <c r="D5212">
        <v>4.5261380000000004</v>
      </c>
      <c r="E5212">
        <v>0.4968341</v>
      </c>
      <c r="F5212" t="s">
        <v>84</v>
      </c>
      <c r="G5212">
        <v>-415.13170000000002</v>
      </c>
      <c r="H5212" s="1">
        <v>-8.8326139999999906E-6</v>
      </c>
      <c r="I5212">
        <v>28.29768</v>
      </c>
      <c r="J5212">
        <v>-422.46230000000003</v>
      </c>
      <c r="K5212">
        <v>1.1110120000000001</v>
      </c>
      <c r="L5212">
        <v>53.267490000000002</v>
      </c>
      <c r="M5212">
        <v>1.3045269999999999E-2</v>
      </c>
      <c r="N5212">
        <v>-1.293095E-2</v>
      </c>
      <c r="O5212">
        <v>-0.99983129999999998</v>
      </c>
      <c r="P5212">
        <v>0.11423369999999999</v>
      </c>
      <c r="Q5212">
        <v>0.15285099999999999</v>
      </c>
      <c r="R5212">
        <v>-0.98162479999999996</v>
      </c>
      <c r="S5212">
        <v>0.86422730000000003</v>
      </c>
      <c r="T5212">
        <v>-0.13088640000000001</v>
      </c>
      <c r="U5212">
        <v>-2.9772639999999999</v>
      </c>
      <c r="V5212">
        <v>-0.101799899999999</v>
      </c>
      <c r="W5212">
        <v>0.16531499999999999</v>
      </c>
      <c r="X5212">
        <v>0.98097279999999998</v>
      </c>
      <c r="Y5212">
        <v>-0.26600279999999998</v>
      </c>
      <c r="Z5212">
        <v>2.9353979999999998E-2</v>
      </c>
      <c r="AA5212">
        <v>0.96352519999999997</v>
      </c>
      <c r="AB5212">
        <v>30</v>
      </c>
      <c r="AC5212">
        <v>7.3305999999999996</v>
      </c>
      <c r="AD5212">
        <v>-1.1110208326140001</v>
      </c>
      <c r="AE5212">
        <v>-24.969809999999999</v>
      </c>
      <c r="AF5212">
        <v>-6.99146780419394</v>
      </c>
      <c r="AG5212">
        <v>-1.1110208326140001</v>
      </c>
      <c r="AH5212">
        <v>25.017723404350601</v>
      </c>
      <c r="AI5212">
        <v>92.449081688350702</v>
      </c>
      <c r="AJ5212">
        <v>105.613583527993</v>
      </c>
      <c r="AK5212">
        <v>26.000028340064802</v>
      </c>
      <c r="AL5212">
        <v>80.484465593129201</v>
      </c>
      <c r="AM5212">
        <v>95.924630281366305</v>
      </c>
      <c r="AN5212">
        <v>0.99999995160242305</v>
      </c>
    </row>
    <row r="5213" spans="1:40" x14ac:dyDescent="0.25">
      <c r="A5213" t="str">
        <f>"20190304155740304"</f>
        <v>20190304155740304</v>
      </c>
      <c r="B5213" t="str">
        <f>"1551686260300399"</f>
        <v>1551686260300399</v>
      </c>
      <c r="C5213" t="s">
        <v>40</v>
      </c>
      <c r="D5213">
        <v>4.5155760000000003</v>
      </c>
      <c r="E5213">
        <v>0.50997609999999904</v>
      </c>
      <c r="F5213" t="s">
        <v>84</v>
      </c>
      <c r="G5213">
        <v>-418.73610000000002</v>
      </c>
      <c r="H5213" s="1">
        <v>-6.8564019999999997E-6</v>
      </c>
      <c r="I5213">
        <v>21.976040000000001</v>
      </c>
      <c r="J5213">
        <v>-422.45699999999999</v>
      </c>
      <c r="K5213">
        <v>1.1110930000000001</v>
      </c>
      <c r="L5213">
        <v>52.968780000000002</v>
      </c>
      <c r="M5213">
        <v>1.436426E-2</v>
      </c>
      <c r="N5213">
        <v>-1.2968220000000001E-2</v>
      </c>
      <c r="O5213">
        <v>-0.99981279999999995</v>
      </c>
      <c r="P5213">
        <v>0.11701400000000001</v>
      </c>
      <c r="Q5213">
        <v>0.1532818</v>
      </c>
      <c r="R5213">
        <v>-0.9812303</v>
      </c>
      <c r="S5213">
        <v>0.36093140000000001</v>
      </c>
      <c r="T5213">
        <v>-0.10761419999999999</v>
      </c>
      <c r="U5213">
        <v>-3.0309140000000001</v>
      </c>
      <c r="V5213">
        <v>-0.1033169</v>
      </c>
      <c r="W5213">
        <v>0.16575899999999999</v>
      </c>
      <c r="X5213">
        <v>0.98073929999999998</v>
      </c>
      <c r="Y5213">
        <v>-0.10390919999999999</v>
      </c>
      <c r="Z5213">
        <v>2.2305209999999999E-2</v>
      </c>
      <c r="AA5213">
        <v>0.99433669999999996</v>
      </c>
      <c r="AB5213">
        <v>30</v>
      </c>
      <c r="AC5213">
        <v>3.7208999999999701</v>
      </c>
      <c r="AD5213">
        <v>-1.111099856402</v>
      </c>
      <c r="AE5213">
        <v>-30.992740000000001</v>
      </c>
      <c r="AF5213">
        <v>-3.2711463720240701</v>
      </c>
      <c r="AG5213">
        <v>-1.111099856402</v>
      </c>
      <c r="AH5213">
        <v>31.0037131594319</v>
      </c>
      <c r="AI5213">
        <v>92.041147132227593</v>
      </c>
      <c r="AJ5213">
        <v>96.022892356759996</v>
      </c>
      <c r="AK5213">
        <v>31.195595380605099</v>
      </c>
      <c r="AL5213">
        <v>80.458670861985496</v>
      </c>
      <c r="AM5213">
        <v>96.013696803968998</v>
      </c>
      <c r="AN5213">
        <v>1.0000000012355399</v>
      </c>
    </row>
    <row r="5214" spans="1:40" x14ac:dyDescent="0.25">
      <c r="A5214" t="str">
        <f>"20190304155740338"</f>
        <v>20190304155740338</v>
      </c>
      <c r="B5214" t="str">
        <f>"1551686260329679"</f>
        <v>1551686260329679</v>
      </c>
      <c r="C5214" t="s">
        <v>40</v>
      </c>
      <c r="D5214">
        <v>4.4905999999999997</v>
      </c>
      <c r="E5214">
        <v>0.51519749999999997</v>
      </c>
      <c r="F5214" t="s">
        <v>84</v>
      </c>
      <c r="G5214">
        <v>-419.69420000000002</v>
      </c>
      <c r="H5214" s="1">
        <v>-6.4352009999999899E-6</v>
      </c>
      <c r="I5214">
        <v>21.22137</v>
      </c>
      <c r="J5214">
        <v>-422.44810000000001</v>
      </c>
      <c r="K5214">
        <v>1.1112169999999999</v>
      </c>
      <c r="L5214">
        <v>52.518889999999999</v>
      </c>
      <c r="M5214">
        <v>1.6528959999999999E-2</v>
      </c>
      <c r="N5214">
        <v>-1.3016440000000001E-2</v>
      </c>
      <c r="O5214">
        <v>-0.99977890000000003</v>
      </c>
      <c r="P5214">
        <v>0.1199118</v>
      </c>
      <c r="Q5214">
        <v>0.1537782</v>
      </c>
      <c r="R5214">
        <v>-0.98080299999999998</v>
      </c>
      <c r="S5214">
        <v>0.26477050000000002</v>
      </c>
      <c r="T5214">
        <v>-0.10648000000000001</v>
      </c>
      <c r="U5214">
        <v>-3.0424500000000001</v>
      </c>
      <c r="V5214">
        <v>-0.1041397</v>
      </c>
      <c r="W5214">
        <v>0.16627059999999999</v>
      </c>
      <c r="X5214">
        <v>0.98056569999999998</v>
      </c>
      <c r="Y5214">
        <v>-7.0175260000000003E-2</v>
      </c>
      <c r="Z5214">
        <v>2.1858510000000001E-2</v>
      </c>
      <c r="AA5214">
        <v>0.99729509999999999</v>
      </c>
      <c r="AB5214">
        <v>30</v>
      </c>
      <c r="AC5214">
        <v>2.7538999999999798</v>
      </c>
      <c r="AD5214">
        <v>-1.111223435201</v>
      </c>
      <c r="AE5214">
        <v>-31.297519999999999</v>
      </c>
      <c r="AF5214">
        <v>-2.2333707654920301</v>
      </c>
      <c r="AG5214">
        <v>-1.111223435201</v>
      </c>
      <c r="AH5214">
        <v>31.299612931093801</v>
      </c>
      <c r="AI5214">
        <v>92.028153479423693</v>
      </c>
      <c r="AJ5214">
        <v>94.081398936794201</v>
      </c>
      <c r="AK5214">
        <v>31.398861956054802</v>
      </c>
      <c r="AL5214">
        <v>80.428946236731306</v>
      </c>
      <c r="AM5214">
        <v>96.062298937433894</v>
      </c>
      <c r="AN5214">
        <v>1.0000000407784599</v>
      </c>
    </row>
    <row r="5215" spans="1:40" x14ac:dyDescent="0.25">
      <c r="A5215" t="str">
        <f>"20190304155740361"</f>
        <v>20190304155740361</v>
      </c>
      <c r="B5215" t="str">
        <f>"1551686260350176"</f>
        <v>1551686260350176</v>
      </c>
      <c r="C5215" t="s">
        <v>40</v>
      </c>
      <c r="D5215">
        <v>4.5360360000000002</v>
      </c>
      <c r="E5215">
        <v>0.51725410000000005</v>
      </c>
      <c r="F5215" t="s">
        <v>84</v>
      </c>
      <c r="G5215">
        <v>-419.92520000000002</v>
      </c>
      <c r="H5215" s="1">
        <v>-1.2941900000000001E-5</v>
      </c>
      <c r="I5215">
        <v>19.26342</v>
      </c>
      <c r="J5215">
        <v>-422.44119999999998</v>
      </c>
      <c r="K5215">
        <v>1.1112979999999999</v>
      </c>
      <c r="L5215">
        <v>52.205539999999999</v>
      </c>
      <c r="M5215">
        <v>1.8156950000000002E-2</v>
      </c>
      <c r="N5215">
        <v>-1.3044979999999999E-2</v>
      </c>
      <c r="O5215">
        <v>-0.99975029999999998</v>
      </c>
      <c r="P5215">
        <v>0.1219977</v>
      </c>
      <c r="Q5215">
        <v>0.15477289999999999</v>
      </c>
      <c r="R5215">
        <v>-0.98038879999999995</v>
      </c>
      <c r="S5215">
        <v>0.2311096</v>
      </c>
      <c r="T5215">
        <v>-0.10179589999999999</v>
      </c>
      <c r="U5215">
        <v>-3.0464169999999999</v>
      </c>
      <c r="V5215">
        <v>-0.1046656</v>
      </c>
      <c r="W5215">
        <v>0.1672701</v>
      </c>
      <c r="X5215">
        <v>0.98033959999999998</v>
      </c>
      <c r="Y5215">
        <v>-5.7493530000000001E-2</v>
      </c>
      <c r="Z5215">
        <v>2.028104E-2</v>
      </c>
      <c r="AA5215">
        <v>0.99813989999999997</v>
      </c>
      <c r="AB5215">
        <v>30</v>
      </c>
      <c r="AC5215">
        <v>2.51599999999996</v>
      </c>
      <c r="AD5215">
        <v>-1.11131094189999</v>
      </c>
      <c r="AE5215">
        <v>-32.942120000000003</v>
      </c>
      <c r="AF5215">
        <v>-1.9152389617010099</v>
      </c>
      <c r="AG5215">
        <v>-1.11131094189999</v>
      </c>
      <c r="AH5215">
        <v>32.945098992217503</v>
      </c>
      <c r="AI5215">
        <v>91.928726676050402</v>
      </c>
      <c r="AJ5215">
        <v>93.327103050559202</v>
      </c>
      <c r="AK5215">
        <v>33.019429127363999</v>
      </c>
      <c r="AL5215">
        <v>80.370864876177905</v>
      </c>
      <c r="AM5215">
        <v>96.094078146752693</v>
      </c>
      <c r="AN5215">
        <v>0.99999995275276299</v>
      </c>
    </row>
    <row r="5216" spans="1:40" x14ac:dyDescent="0.25">
      <c r="A5216" t="str">
        <f>"20190304155740383"</f>
        <v>20190304155740383</v>
      </c>
      <c r="B5216" t="str">
        <f>"1551686260380431"</f>
        <v>1551686260380431</v>
      </c>
      <c r="C5216" t="s">
        <v>40</v>
      </c>
      <c r="D5216">
        <v>4.5214819999999998</v>
      </c>
      <c r="E5216">
        <v>0.51892919999999998</v>
      </c>
      <c r="F5216" t="s">
        <v>84</v>
      </c>
      <c r="G5216">
        <v>-419.92270000000002</v>
      </c>
      <c r="H5216" s="1">
        <v>-1.3347409999999999E-5</v>
      </c>
      <c r="I5216">
        <v>17.425829999999898</v>
      </c>
      <c r="J5216">
        <v>-422.43419999999998</v>
      </c>
      <c r="K5216">
        <v>1.1113710000000001</v>
      </c>
      <c r="L5216">
        <v>51.916499999999999</v>
      </c>
      <c r="M5216">
        <v>1.9737399999999999E-2</v>
      </c>
      <c r="N5216">
        <v>-1.306792E-2</v>
      </c>
      <c r="O5216">
        <v>-0.99971989999999999</v>
      </c>
      <c r="P5216">
        <v>0.1241057</v>
      </c>
      <c r="Q5216">
        <v>0.15523229999999999</v>
      </c>
      <c r="R5216">
        <v>-0.98005160000000002</v>
      </c>
      <c r="S5216">
        <v>0.22070310000000001</v>
      </c>
      <c r="T5216">
        <v>-9.7389580000000003E-2</v>
      </c>
      <c r="U5216">
        <v>-3.0479129999999999</v>
      </c>
      <c r="V5216">
        <v>-0.10525370000000001</v>
      </c>
      <c r="W5216">
        <v>0.16773179999999999</v>
      </c>
      <c r="X5216">
        <v>0.98019780000000001</v>
      </c>
      <c r="Y5216">
        <v>-5.2492360000000002E-2</v>
      </c>
      <c r="Z5216">
        <v>1.88089E-2</v>
      </c>
      <c r="AA5216">
        <v>0.9984442</v>
      </c>
      <c r="AB5216">
        <v>30</v>
      </c>
      <c r="AC5216">
        <v>2.5114999999999501</v>
      </c>
      <c r="AD5216">
        <v>-1.11138434740999</v>
      </c>
      <c r="AE5216">
        <v>-34.490670000000001</v>
      </c>
      <c r="AF5216">
        <v>-1.8283081309631599</v>
      </c>
      <c r="AG5216">
        <v>-1.11138434740999</v>
      </c>
      <c r="AH5216">
        <v>34.497894287247703</v>
      </c>
      <c r="AI5216">
        <v>91.842618825813901</v>
      </c>
      <c r="AJ5216">
        <v>93.033704818806399</v>
      </c>
      <c r="AK5216">
        <v>34.564180824135398</v>
      </c>
      <c r="AL5216">
        <v>80.344032904100999</v>
      </c>
      <c r="AM5216">
        <v>96.128939788064102</v>
      </c>
      <c r="AN5216">
        <v>1.00000001260988</v>
      </c>
    </row>
    <row r="5217" spans="1:40" x14ac:dyDescent="0.25">
      <c r="A5217" t="str">
        <f>"20190304155740404"</f>
        <v>20190304155740404</v>
      </c>
      <c r="B5217" t="str">
        <f>"1551686260399951"</f>
        <v>1551686260399951</v>
      </c>
      <c r="C5217" t="s">
        <v>40</v>
      </c>
      <c r="D5217">
        <v>4.511037</v>
      </c>
      <c r="E5217">
        <v>0.52000150000000001</v>
      </c>
      <c r="F5217" t="s">
        <v>84</v>
      </c>
      <c r="G5217">
        <v>-419.93490000000003</v>
      </c>
      <c r="H5217" s="1">
        <v>-1.3595629999999999E-5</v>
      </c>
      <c r="I5217">
        <v>16.320129999999999</v>
      </c>
      <c r="J5217">
        <v>-422.42649999999998</v>
      </c>
      <c r="K5217">
        <v>1.1114299999999999</v>
      </c>
      <c r="L5217">
        <v>51.617310000000003</v>
      </c>
      <c r="M5217">
        <v>2.1453380000000001E-2</v>
      </c>
      <c r="N5217">
        <v>-1.308865E-2</v>
      </c>
      <c r="O5217">
        <v>-0.99968429999999997</v>
      </c>
      <c r="P5217">
        <v>0.12627160000000001</v>
      </c>
      <c r="Q5217">
        <v>0.1553822</v>
      </c>
      <c r="R5217">
        <v>-0.97975120000000004</v>
      </c>
      <c r="S5217">
        <v>0.21408079999999999</v>
      </c>
      <c r="T5217">
        <v>-9.5196719999999999E-2</v>
      </c>
      <c r="U5217">
        <v>-3.049042</v>
      </c>
      <c r="V5217">
        <v>-0.105765</v>
      </c>
      <c r="W5217">
        <v>0.16788410000000001</v>
      </c>
      <c r="X5217">
        <v>0.98011669999999995</v>
      </c>
      <c r="Y5217">
        <v>-4.8595939999999997E-2</v>
      </c>
      <c r="Z5217">
        <v>1.8064029999999998E-2</v>
      </c>
      <c r="AA5217">
        <v>0.99865510000000002</v>
      </c>
      <c r="AB5217">
        <v>30</v>
      </c>
      <c r="AC5217">
        <v>2.4915999999999401</v>
      </c>
      <c r="AD5217">
        <v>-1.1114435956299999</v>
      </c>
      <c r="AE5217">
        <v>-35.297179999999997</v>
      </c>
      <c r="AF5217">
        <v>-1.7320090906071799</v>
      </c>
      <c r="AG5217">
        <v>-1.1114435956299999</v>
      </c>
      <c r="AH5217">
        <v>35.307678608287198</v>
      </c>
      <c r="AI5217">
        <v>91.800843376636294</v>
      </c>
      <c r="AJ5217">
        <v>92.808378503523798</v>
      </c>
      <c r="AK5217">
        <v>35.367602845857597</v>
      </c>
      <c r="AL5217">
        <v>80.335181367803102</v>
      </c>
      <c r="AM5217">
        <v>96.158990297096494</v>
      </c>
      <c r="AN5217">
        <v>1.0000000259383399</v>
      </c>
    </row>
    <row r="5218" spans="1:40" x14ac:dyDescent="0.25">
      <c r="A5218" t="str">
        <f>"20190304155740426"</f>
        <v>20190304155740426</v>
      </c>
      <c r="B5218" t="str">
        <f>"1551686260420455"</f>
        <v>1551686260420455</v>
      </c>
      <c r="C5218" t="s">
        <v>40</v>
      </c>
      <c r="D5218">
        <v>4.5139880000000003</v>
      </c>
      <c r="E5218">
        <v>0.52091769999999904</v>
      </c>
      <c r="F5218" t="s">
        <v>84</v>
      </c>
      <c r="G5218">
        <v>-419.95549999999997</v>
      </c>
      <c r="H5218" s="1">
        <v>-1.366841E-5</v>
      </c>
      <c r="I5218">
        <v>16.019570000000002</v>
      </c>
      <c r="J5218">
        <v>-422.41840000000002</v>
      </c>
      <c r="K5218">
        <v>1.111497</v>
      </c>
      <c r="L5218">
        <v>51.325870000000002</v>
      </c>
      <c r="M5218">
        <v>2.320063E-2</v>
      </c>
      <c r="N5218">
        <v>-1.3106339999999999E-2</v>
      </c>
      <c r="O5218">
        <v>-0.99964520000000001</v>
      </c>
      <c r="P5218">
        <v>0.1286262</v>
      </c>
      <c r="Q5218">
        <v>0.1564286</v>
      </c>
      <c r="R5218">
        <v>-0.97927839999999999</v>
      </c>
      <c r="S5218">
        <v>0.21170040000000001</v>
      </c>
      <c r="T5218">
        <v>-9.5222000000000001E-2</v>
      </c>
      <c r="U5218">
        <v>-3.0498050000000001</v>
      </c>
      <c r="V5218">
        <v>-0.1064402</v>
      </c>
      <c r="W5218">
        <v>0.16892750000000001</v>
      </c>
      <c r="X5218">
        <v>0.97986419999999996</v>
      </c>
      <c r="Y5218">
        <v>-4.6057620000000001E-2</v>
      </c>
      <c r="Z5218">
        <v>1.8048430000000001E-2</v>
      </c>
      <c r="AA5218">
        <v>0.99877570000000004</v>
      </c>
      <c r="AB5218">
        <v>30</v>
      </c>
      <c r="AC5218">
        <v>2.4629000000000398</v>
      </c>
      <c r="AD5218">
        <v>-1.11151066841</v>
      </c>
      <c r="AE5218">
        <v>-35.3063</v>
      </c>
      <c r="AF5218">
        <v>-1.64141946138297</v>
      </c>
      <c r="AG5218">
        <v>-1.11151066841</v>
      </c>
      <c r="AH5218">
        <v>35.319104988036798</v>
      </c>
      <c r="AI5218">
        <v>91.800591014777794</v>
      </c>
      <c r="AJ5218">
        <v>92.660848486134299</v>
      </c>
      <c r="AK5218">
        <v>35.3746928038981</v>
      </c>
      <c r="AL5218">
        <v>80.274531843077298</v>
      </c>
      <c r="AM5218">
        <v>96.199588730705699</v>
      </c>
      <c r="AN5218">
        <v>0.99999993343696203</v>
      </c>
    </row>
    <row r="5219" spans="1:40" x14ac:dyDescent="0.25">
      <c r="A5219" t="str">
        <f>"20190304155740449"</f>
        <v>20190304155740449</v>
      </c>
      <c r="B5219" t="str">
        <f>"1551686260439968"</f>
        <v>1551686260439968</v>
      </c>
      <c r="C5219" t="s">
        <v>40</v>
      </c>
      <c r="D5219">
        <v>4.5047889999999997</v>
      </c>
      <c r="E5219">
        <v>0.52190179999999997</v>
      </c>
      <c r="F5219" t="s">
        <v>84</v>
      </c>
      <c r="G5219">
        <v>-419.9486</v>
      </c>
      <c r="H5219" s="1">
        <v>-1.3761849999999999E-5</v>
      </c>
      <c r="I5219">
        <v>15.58731</v>
      </c>
      <c r="J5219">
        <v>-422.40949999999998</v>
      </c>
      <c r="K5219">
        <v>1.111567</v>
      </c>
      <c r="L5219">
        <v>51.023560000000003</v>
      </c>
      <c r="M5219">
        <v>2.508384E-2</v>
      </c>
      <c r="N5219">
        <v>-1.3122470000000001E-2</v>
      </c>
      <c r="O5219">
        <v>-0.99959929999999997</v>
      </c>
      <c r="P5219">
        <v>0.13126940000000001</v>
      </c>
      <c r="Q5219">
        <v>0.1579168</v>
      </c>
      <c r="R5219">
        <v>-0.97868829999999996</v>
      </c>
      <c r="S5219">
        <v>0.2108459</v>
      </c>
      <c r="T5219">
        <v>-9.4887609999999997E-2</v>
      </c>
      <c r="U5219">
        <v>-3.0509339999999998</v>
      </c>
      <c r="V5219">
        <v>-0.10727680000000001</v>
      </c>
      <c r="W5219">
        <v>0.17040920000000001</v>
      </c>
      <c r="X5219">
        <v>0.97951639999999995</v>
      </c>
      <c r="Y5219">
        <v>-4.3872460000000002E-2</v>
      </c>
      <c r="Z5219">
        <v>1.7912089999999999E-2</v>
      </c>
      <c r="AA5219">
        <v>0.9988766</v>
      </c>
      <c r="AB5219">
        <v>30</v>
      </c>
      <c r="AC5219">
        <v>2.4608999999999801</v>
      </c>
      <c r="AD5219">
        <v>-1.11158076185</v>
      </c>
      <c r="AE5219">
        <v>-35.436249999999902</v>
      </c>
      <c r="AF5219">
        <v>-1.56963477326413</v>
      </c>
      <c r="AG5219">
        <v>-1.11158076185</v>
      </c>
      <c r="AH5219">
        <v>35.452115468401601</v>
      </c>
      <c r="AI5219">
        <v>91.794131502697695</v>
      </c>
      <c r="AJ5219">
        <v>92.535102673190494</v>
      </c>
      <c r="AK5219">
        <v>35.504251242582697</v>
      </c>
      <c r="AL5219">
        <v>80.188388272606701</v>
      </c>
      <c r="AM5219">
        <v>96.250133367174001</v>
      </c>
      <c r="AN5219">
        <v>0.99999999256591998</v>
      </c>
    </row>
    <row r="5220" spans="1:40" x14ac:dyDescent="0.25">
      <c r="A5220" t="str">
        <f>"20190304155740473"</f>
        <v>20190304155740473</v>
      </c>
      <c r="B5220" t="str">
        <f>"1551686260460464"</f>
        <v>1551686260460464</v>
      </c>
      <c r="C5220" t="s">
        <v>40</v>
      </c>
      <c r="D5220">
        <v>4.5147120000000003</v>
      </c>
      <c r="E5220">
        <v>0.52275649999999996</v>
      </c>
      <c r="F5220" t="s">
        <v>84</v>
      </c>
      <c r="G5220">
        <v>-419.94709999999998</v>
      </c>
      <c r="H5220" s="1">
        <v>-1.378871E-5</v>
      </c>
      <c r="I5220">
        <v>15.463710000000001</v>
      </c>
      <c r="J5220">
        <v>-422.3997</v>
      </c>
      <c r="K5220">
        <v>1.1116220000000001</v>
      </c>
      <c r="L5220">
        <v>50.718899999999998</v>
      </c>
      <c r="M5220">
        <v>2.7055269999999999E-2</v>
      </c>
      <c r="N5220">
        <v>-1.313634E-2</v>
      </c>
      <c r="O5220">
        <v>-0.99954779999999999</v>
      </c>
      <c r="P5220">
        <v>0.13382820000000001</v>
      </c>
      <c r="Q5220">
        <v>0.1583831</v>
      </c>
      <c r="R5220">
        <v>-0.97826639999999998</v>
      </c>
      <c r="S5220">
        <v>0.21136469999999999</v>
      </c>
      <c r="T5220">
        <v>-9.5415349999999996E-2</v>
      </c>
      <c r="U5220">
        <v>-3.052368</v>
      </c>
      <c r="V5220">
        <v>-0.107935</v>
      </c>
      <c r="W5220">
        <v>0.17086970000000001</v>
      </c>
      <c r="X5220">
        <v>0.97936389999999995</v>
      </c>
      <c r="Y5220">
        <v>-4.2038979999999997E-2</v>
      </c>
      <c r="Z5220">
        <v>1.805559E-2</v>
      </c>
      <c r="AA5220">
        <v>0.99895279999999997</v>
      </c>
      <c r="AB5220">
        <v>30</v>
      </c>
      <c r="AC5220">
        <v>2.4526000000000101</v>
      </c>
      <c r="AD5220">
        <v>-1.1116357887099999</v>
      </c>
      <c r="AE5220">
        <v>-35.255189999999999</v>
      </c>
      <c r="AF5220">
        <v>-1.49630074533242</v>
      </c>
      <c r="AG5220">
        <v>-1.1116357887099999</v>
      </c>
      <c r="AH5220">
        <v>35.273743034756997</v>
      </c>
      <c r="AI5220">
        <v>91.803431953619395</v>
      </c>
      <c r="AJ5220">
        <v>92.429012147732493</v>
      </c>
      <c r="AK5220">
        <v>35.322961338615002</v>
      </c>
      <c r="AL5220">
        <v>80.161611243225707</v>
      </c>
      <c r="AM5220">
        <v>96.289146287870906</v>
      </c>
      <c r="AN5220">
        <v>1.00000003361314</v>
      </c>
    </row>
    <row r="5221" spans="1:40" x14ac:dyDescent="0.25">
      <c r="A5221" t="str">
        <f>"20190304155740494"</f>
        <v>20190304155740494</v>
      </c>
      <c r="B5221" t="str">
        <f>"1551686260489743"</f>
        <v>1551686260489743</v>
      </c>
      <c r="C5221" t="s">
        <v>40</v>
      </c>
      <c r="D5221">
        <v>4.4876699999999996</v>
      </c>
      <c r="E5221">
        <v>0.52375000000000005</v>
      </c>
      <c r="F5221" t="s">
        <v>84</v>
      </c>
      <c r="G5221">
        <v>-420.00009999999997</v>
      </c>
      <c r="H5221" s="1">
        <v>-1.0874620000000001E-5</v>
      </c>
      <c r="I5221">
        <v>16.171410000000002</v>
      </c>
      <c r="J5221">
        <v>-422.3895</v>
      </c>
      <c r="K5221">
        <v>1.1116740000000001</v>
      </c>
      <c r="L5221">
        <v>50.420529999999999</v>
      </c>
      <c r="M5221">
        <v>2.9050059999999999E-2</v>
      </c>
      <c r="N5221">
        <v>-1.3148119999999999E-2</v>
      </c>
      <c r="O5221">
        <v>-0.99949169999999998</v>
      </c>
      <c r="P5221">
        <v>0.13724710000000001</v>
      </c>
      <c r="Q5221">
        <v>0.158514299999999</v>
      </c>
      <c r="R5221">
        <v>-0.97777159999999996</v>
      </c>
      <c r="S5221">
        <v>0.21209720000000001</v>
      </c>
      <c r="T5221">
        <v>-9.82542E-2</v>
      </c>
      <c r="U5221">
        <v>-3.0535580000000002</v>
      </c>
      <c r="V5221">
        <v>-0.10943020000000001</v>
      </c>
      <c r="W5221">
        <v>0.1709909</v>
      </c>
      <c r="X5221">
        <v>0.97917679999999996</v>
      </c>
      <c r="Y5221">
        <v>-4.0255680000000002E-2</v>
      </c>
      <c r="Z5221">
        <v>1.8957450000000001E-2</v>
      </c>
      <c r="AA5221">
        <v>0.99900949999999999</v>
      </c>
      <c r="AB5221">
        <v>30</v>
      </c>
      <c r="AC5221">
        <v>2.3894000000000202</v>
      </c>
      <c r="AD5221">
        <v>-1.1116848746200001</v>
      </c>
      <c r="AE5221">
        <v>-34.249119999999998</v>
      </c>
      <c r="AF5221">
        <v>-1.3919072426586701</v>
      </c>
      <c r="AG5221">
        <v>-1.1116848746200001</v>
      </c>
      <c r="AH5221">
        <v>34.268152016805999</v>
      </c>
      <c r="AI5221">
        <v>91.856537187232703</v>
      </c>
      <c r="AJ5221">
        <v>92.325967142729993</v>
      </c>
      <c r="AK5221">
        <v>34.314421045379</v>
      </c>
      <c r="AL5221">
        <v>80.154563245917601</v>
      </c>
      <c r="AM5221">
        <v>96.376764110554902</v>
      </c>
      <c r="AN5221">
        <v>1.00000003110654</v>
      </c>
    </row>
    <row r="5222" spans="1:40" x14ac:dyDescent="0.25">
      <c r="A5222" t="str">
        <f>"20190304155740517"</f>
        <v>20190304155740517</v>
      </c>
      <c r="B5222" t="str">
        <f>"1551686260510243"</f>
        <v>1551686260510243</v>
      </c>
      <c r="C5222" t="s">
        <v>40</v>
      </c>
      <c r="D5222">
        <v>4.5864129999999896</v>
      </c>
      <c r="E5222">
        <v>0.52423169999999997</v>
      </c>
      <c r="F5222" t="s">
        <v>84</v>
      </c>
      <c r="G5222">
        <v>-420.07619999999997</v>
      </c>
      <c r="H5222" s="1">
        <v>-1.096319E-5</v>
      </c>
      <c r="I5222">
        <v>17.335260000000002</v>
      </c>
      <c r="J5222">
        <v>-422.37869999999998</v>
      </c>
      <c r="K5222">
        <v>1.1117220000000001</v>
      </c>
      <c r="L5222">
        <v>50.123989999999999</v>
      </c>
      <c r="M5222">
        <v>3.108329E-2</v>
      </c>
      <c r="N5222">
        <v>-1.3158400000000001E-2</v>
      </c>
      <c r="O5222">
        <v>-0.99943029999999999</v>
      </c>
      <c r="P5222">
        <v>0.14059189999999999</v>
      </c>
      <c r="Q5222">
        <v>0.15903010000000001</v>
      </c>
      <c r="R5222">
        <v>-0.97721230000000003</v>
      </c>
      <c r="S5222">
        <v>0.21359249999999999</v>
      </c>
      <c r="T5222">
        <v>-0.1026444</v>
      </c>
      <c r="U5222">
        <v>-3.05484</v>
      </c>
      <c r="V5222">
        <v>-0.11081530000000001</v>
      </c>
      <c r="W5222">
        <v>0.17149539999999999</v>
      </c>
      <c r="X5222">
        <v>0.97893269999999999</v>
      </c>
      <c r="Y5222">
        <v>-3.8678789999999998E-2</v>
      </c>
      <c r="Z5222">
        <v>2.036427E-2</v>
      </c>
      <c r="AA5222">
        <v>0.99904420000000005</v>
      </c>
      <c r="AB5222">
        <v>30</v>
      </c>
      <c r="AC5222">
        <v>2.3025000000000002</v>
      </c>
      <c r="AD5222">
        <v>-1.1117329631899999</v>
      </c>
      <c r="AE5222">
        <v>-32.788730000000001</v>
      </c>
      <c r="AF5222">
        <v>-1.28065247839221</v>
      </c>
      <c r="AG5222">
        <v>-1.1117329631899999</v>
      </c>
      <c r="AH5222">
        <v>32.806928922818003</v>
      </c>
      <c r="AI5222">
        <v>91.939371432839394</v>
      </c>
      <c r="AJ5222">
        <v>92.235465131216003</v>
      </c>
      <c r="AK5222">
        <v>32.850732203387601</v>
      </c>
      <c r="AL5222">
        <v>80.125223512981506</v>
      </c>
      <c r="AM5222">
        <v>96.458396268964606</v>
      </c>
      <c r="AN5222">
        <v>0.99999996703226901</v>
      </c>
    </row>
    <row r="5223" spans="1:40" x14ac:dyDescent="0.25">
      <c r="A5223" t="str">
        <f>"20190304155740538"</f>
        <v>20190304155740538</v>
      </c>
      <c r="B5223" t="str">
        <f>"1551686260529760"</f>
        <v>1551686260529760</v>
      </c>
      <c r="C5223" t="s">
        <v>40</v>
      </c>
      <c r="D5223">
        <v>4.4553960000000004</v>
      </c>
      <c r="E5223">
        <v>0.53716180000000002</v>
      </c>
      <c r="F5223" t="s">
        <v>84</v>
      </c>
      <c r="G5223">
        <v>-420.0197</v>
      </c>
      <c r="H5223" s="1">
        <v>-1.0989869999999999E-5</v>
      </c>
      <c r="I5223">
        <v>17.39667</v>
      </c>
      <c r="J5223">
        <v>-422.3673</v>
      </c>
      <c r="K5223">
        <v>1.111774</v>
      </c>
      <c r="L5223">
        <v>49.829279999999997</v>
      </c>
      <c r="M5223">
        <v>3.3158569999999998E-2</v>
      </c>
      <c r="N5223">
        <v>-1.316728E-2</v>
      </c>
      <c r="O5223">
        <v>-0.99936340000000001</v>
      </c>
      <c r="P5223">
        <v>0.14392750000000001</v>
      </c>
      <c r="Q5223">
        <v>0.15992819999999999</v>
      </c>
      <c r="R5223">
        <v>-0.97658</v>
      </c>
      <c r="S5223">
        <v>0.22021479999999999</v>
      </c>
      <c r="T5223">
        <v>-0.103783</v>
      </c>
      <c r="U5223">
        <v>-3.0551759999999999</v>
      </c>
      <c r="V5223">
        <v>-0.11215410000000001</v>
      </c>
      <c r="W5223">
        <v>0.1723818</v>
      </c>
      <c r="X5223">
        <v>0.97862450000000001</v>
      </c>
      <c r="Y5223">
        <v>-3.8750149999999997E-2</v>
      </c>
      <c r="Z5223">
        <v>2.0718440000000001E-2</v>
      </c>
      <c r="AA5223">
        <v>0.99903410000000004</v>
      </c>
      <c r="AB5223">
        <v>30</v>
      </c>
      <c r="AC5223">
        <v>2.3475999999999999</v>
      </c>
      <c r="AD5223">
        <v>-1.1117849898700001</v>
      </c>
      <c r="AE5223">
        <v>-32.432609999999997</v>
      </c>
      <c r="AF5223">
        <v>-1.2693128651963801</v>
      </c>
      <c r="AG5223">
        <v>-1.1117849898700001</v>
      </c>
      <c r="AH5223">
        <v>32.454683150037198</v>
      </c>
      <c r="AI5223">
        <v>91.960489991313494</v>
      </c>
      <c r="AJ5223">
        <v>92.239714453855697</v>
      </c>
      <c r="AK5223">
        <v>32.498518110565598</v>
      </c>
      <c r="AL5223">
        <v>80.073668785271195</v>
      </c>
      <c r="AM5223">
        <v>96.537791884787893</v>
      </c>
      <c r="AN5223">
        <v>0.99999996955914905</v>
      </c>
    </row>
    <row r="5224" spans="1:40" x14ac:dyDescent="0.25">
      <c r="A5224" t="str">
        <f>"20190304155740562"</f>
        <v>20190304155740562</v>
      </c>
      <c r="B5224" t="str">
        <f>"1551686260560016"</f>
        <v>1551686260560016</v>
      </c>
      <c r="C5224" t="s">
        <v>40</v>
      </c>
      <c r="D5224">
        <v>4.4549539999999999</v>
      </c>
      <c r="E5224">
        <v>0.52988919999999995</v>
      </c>
      <c r="F5224" t="s">
        <v>84</v>
      </c>
      <c r="G5224">
        <v>-421.4633</v>
      </c>
      <c r="H5224" s="1">
        <v>-6.5040519999999996E-6</v>
      </c>
      <c r="I5224">
        <v>27.916260000000001</v>
      </c>
      <c r="J5224">
        <v>-422.3544</v>
      </c>
      <c r="K5224">
        <v>1.111828</v>
      </c>
      <c r="L5224">
        <v>49.513950000000001</v>
      </c>
      <c r="M5224">
        <v>3.5449300000000003E-2</v>
      </c>
      <c r="N5224">
        <v>-1.3175630000000001E-2</v>
      </c>
      <c r="O5224">
        <v>-0.99928479999999997</v>
      </c>
      <c r="P5224">
        <v>0.14760609999999999</v>
      </c>
      <c r="Q5224">
        <v>0.16037899999999999</v>
      </c>
      <c r="R5224">
        <v>-0.97595659999999895</v>
      </c>
      <c r="S5224">
        <v>0.12701419999999999</v>
      </c>
      <c r="T5224">
        <v>-0.15620599999999901</v>
      </c>
      <c r="U5224">
        <v>-3.0787960000000001</v>
      </c>
      <c r="V5224">
        <v>-0.1136263</v>
      </c>
      <c r="W5224">
        <v>0.17281769999999999</v>
      </c>
      <c r="X5224">
        <v>0.97837779999999996</v>
      </c>
      <c r="Y5224">
        <v>-5.7399119999999998E-3</v>
      </c>
      <c r="Z5224">
        <v>3.7447790000000002E-2</v>
      </c>
      <c r="AA5224">
        <v>0.99928209999999995</v>
      </c>
      <c r="AB5224">
        <v>30</v>
      </c>
      <c r="AC5224">
        <v>0.89109999999999401</v>
      </c>
      <c r="AD5224">
        <v>-1.1118345040519999</v>
      </c>
      <c r="AE5224">
        <v>-21.59769</v>
      </c>
      <c r="AF5224">
        <v>-0.124521072810432</v>
      </c>
      <c r="AG5224">
        <v>-1.1118345040519999</v>
      </c>
      <c r="AH5224">
        <v>21.5586686038301</v>
      </c>
      <c r="AI5224">
        <v>92.952222056831005</v>
      </c>
      <c r="AJ5224">
        <v>90.330931966453605</v>
      </c>
      <c r="AK5224">
        <v>21.5876787411649</v>
      </c>
      <c r="AL5224">
        <v>80.048313387150799</v>
      </c>
      <c r="AM5224">
        <v>96.624508353959797</v>
      </c>
      <c r="AN5224">
        <v>1.0000000065089001</v>
      </c>
    </row>
    <row r="5225" spans="1:40" x14ac:dyDescent="0.25">
      <c r="A5225" t="str">
        <f>"20190304155740583"</f>
        <v>20190304155740583</v>
      </c>
      <c r="B5225" t="str">
        <f>"1551686260579536"</f>
        <v>1551686260579536</v>
      </c>
      <c r="C5225" t="s">
        <v>40</v>
      </c>
      <c r="D5225">
        <v>4.4681930000000003</v>
      </c>
      <c r="E5225">
        <v>0.53079279999999995</v>
      </c>
      <c r="F5225" t="s">
        <v>84</v>
      </c>
      <c r="G5225">
        <v>-420.90280000000001</v>
      </c>
      <c r="H5225" s="1">
        <v>-6.9175070000000002E-6</v>
      </c>
      <c r="I5225">
        <v>26.821269999999998</v>
      </c>
      <c r="J5225">
        <v>-422.34210000000002</v>
      </c>
      <c r="K5225">
        <v>1.111885</v>
      </c>
      <c r="L5225">
        <v>49.231630000000003</v>
      </c>
      <c r="M5225">
        <v>3.7570930000000002E-2</v>
      </c>
      <c r="N5225">
        <v>-1.318243E-2</v>
      </c>
      <c r="O5225">
        <v>-0.99920699999999996</v>
      </c>
      <c r="P5225">
        <v>0.15089369999999999</v>
      </c>
      <c r="Q5225">
        <v>0.16037119999999999</v>
      </c>
      <c r="R5225">
        <v>-0.97545490000000001</v>
      </c>
      <c r="S5225">
        <v>0.19631960000000001</v>
      </c>
      <c r="T5225">
        <v>-0.15036369999999999</v>
      </c>
      <c r="U5225">
        <v>-3.0689389999999999</v>
      </c>
      <c r="V5225">
        <v>-0.11487</v>
      </c>
      <c r="W5225">
        <v>0.17279520000000001</v>
      </c>
      <c r="X5225">
        <v>0.97823660000000001</v>
      </c>
      <c r="Y5225">
        <v>-2.6245350000000001E-2</v>
      </c>
      <c r="Z5225">
        <v>3.5671550000000003E-2</v>
      </c>
      <c r="AA5225">
        <v>0.99901890000000004</v>
      </c>
      <c r="AB5225">
        <v>30</v>
      </c>
      <c r="AC5225">
        <v>1.4393</v>
      </c>
      <c r="AD5225">
        <v>-1.1118919175069999</v>
      </c>
      <c r="AE5225">
        <v>-22.410359999999901</v>
      </c>
      <c r="AF5225">
        <v>-0.59477426645524101</v>
      </c>
      <c r="AG5225">
        <v>-1.1118919175069999</v>
      </c>
      <c r="AH5225">
        <v>22.393716061630698</v>
      </c>
      <c r="AI5225">
        <v>92.841513026868796</v>
      </c>
      <c r="AJ5225">
        <v>91.521410976854</v>
      </c>
      <c r="AK5225">
        <v>22.429190335658301</v>
      </c>
      <c r="AL5225">
        <v>80.049622889109401</v>
      </c>
      <c r="AM5225">
        <v>96.6973199164009</v>
      </c>
      <c r="AN5225">
        <v>1.00000007181129</v>
      </c>
    </row>
    <row r="5226" spans="1:40" x14ac:dyDescent="0.25">
      <c r="A5226" t="str">
        <f>"20190304155740606"</f>
        <v>20190304155740606</v>
      </c>
      <c r="B5226" t="str">
        <f>"1551686260600031"</f>
        <v>1551686260600031</v>
      </c>
      <c r="C5226" t="s">
        <v>40</v>
      </c>
      <c r="D5226">
        <v>4.4554999999999998</v>
      </c>
      <c r="E5226">
        <v>0.53128369999999903</v>
      </c>
      <c r="F5226" t="s">
        <v>84</v>
      </c>
      <c r="G5226">
        <v>-420.8621</v>
      </c>
      <c r="H5226" s="1">
        <v>-7.0620450000000001E-6</v>
      </c>
      <c r="I5226">
        <v>26.460599999999999</v>
      </c>
      <c r="J5226">
        <v>-422.32799999999997</v>
      </c>
      <c r="K5226">
        <v>1.1119600000000001</v>
      </c>
      <c r="L5226">
        <v>48.922449999999998</v>
      </c>
      <c r="M5226">
        <v>3.9979500000000001E-2</v>
      </c>
      <c r="N5226">
        <v>-1.3189360000000001E-2</v>
      </c>
      <c r="O5226">
        <v>-0.99911340000000004</v>
      </c>
      <c r="P5226">
        <v>0.15462960000000001</v>
      </c>
      <c r="Q5226">
        <v>0.1607172</v>
      </c>
      <c r="R5226">
        <v>-0.97481249999999997</v>
      </c>
      <c r="S5226">
        <v>0.19949339999999999</v>
      </c>
      <c r="T5226">
        <v>-0.14987039999999999</v>
      </c>
      <c r="U5226">
        <v>-3.0692750000000002</v>
      </c>
      <c r="V5226">
        <v>-0.1162951</v>
      </c>
      <c r="W5226">
        <v>0.17312060000000001</v>
      </c>
      <c r="X5226">
        <v>0.97801059999999995</v>
      </c>
      <c r="Y5226">
        <v>-2.4858359999999999E-2</v>
      </c>
      <c r="Z5226">
        <v>3.5493139999999999E-2</v>
      </c>
      <c r="AA5226">
        <v>0.99906070000000002</v>
      </c>
      <c r="AB5226">
        <v>30</v>
      </c>
      <c r="AC5226">
        <v>1.46590000000003</v>
      </c>
      <c r="AD5226">
        <v>-1.111967062045</v>
      </c>
      <c r="AE5226">
        <v>-22.461849999999998</v>
      </c>
      <c r="AF5226">
        <v>-0.56525670760459101</v>
      </c>
      <c r="AG5226">
        <v>-1.111967062045</v>
      </c>
      <c r="AH5226">
        <v>22.447720026472499</v>
      </c>
      <c r="AI5226">
        <v>92.834980330373298</v>
      </c>
      <c r="AJ5226">
        <v>91.442461903795405</v>
      </c>
      <c r="AK5226">
        <v>22.4823513067352</v>
      </c>
      <c r="AL5226">
        <v>80.030692972426294</v>
      </c>
      <c r="AM5226">
        <v>96.781191532230494</v>
      </c>
      <c r="AN5226">
        <v>1.0000000130703599</v>
      </c>
    </row>
    <row r="5227" spans="1:40" x14ac:dyDescent="0.25">
      <c r="A5227" t="str">
        <f>"20190304155740628"</f>
        <v>20190304155740628</v>
      </c>
      <c r="B5227" t="str">
        <f>"1551686260619552"</f>
        <v>1551686260619552</v>
      </c>
      <c r="C5227" t="s">
        <v>40</v>
      </c>
      <c r="D5227">
        <v>4.5012129999999999</v>
      </c>
      <c r="E5227">
        <v>0.53219050000000001</v>
      </c>
      <c r="F5227" t="s">
        <v>84</v>
      </c>
      <c r="G5227">
        <v>-420.76850000000002</v>
      </c>
      <c r="H5227" s="1">
        <v>-7.2947109999999999E-6</v>
      </c>
      <c r="I5227">
        <v>25.87603</v>
      </c>
      <c r="J5227">
        <v>-422.3141</v>
      </c>
      <c r="K5227">
        <v>1.1120350000000001</v>
      </c>
      <c r="L5227">
        <v>48.637970000000003</v>
      </c>
      <c r="M5227">
        <v>4.2288930000000002E-2</v>
      </c>
      <c r="N5227">
        <v>-1.319534E-2</v>
      </c>
      <c r="O5227">
        <v>-0.99901830000000003</v>
      </c>
      <c r="P5227">
        <v>0.1579826</v>
      </c>
      <c r="Q5227">
        <v>0.16125909999999999</v>
      </c>
      <c r="R5227">
        <v>-0.97418550000000004</v>
      </c>
      <c r="S5227">
        <v>0.2076721</v>
      </c>
      <c r="T5227">
        <v>-0.14807619999999999</v>
      </c>
      <c r="U5227">
        <v>-3.069</v>
      </c>
      <c r="V5227">
        <v>-0.117437899999999</v>
      </c>
      <c r="W5227">
        <v>0.17363999999999999</v>
      </c>
      <c r="X5227">
        <v>0.97778200000000004</v>
      </c>
      <c r="Y5227">
        <v>-2.5205399999999999E-2</v>
      </c>
      <c r="Z5227">
        <v>3.490045E-2</v>
      </c>
      <c r="AA5227">
        <v>0.99907290000000004</v>
      </c>
      <c r="AB5227">
        <v>30</v>
      </c>
      <c r="AC5227">
        <v>1.5455999999999701</v>
      </c>
      <c r="AD5227">
        <v>-1.112042294711</v>
      </c>
      <c r="AE5227">
        <v>-22.761939999999999</v>
      </c>
      <c r="AF5227">
        <v>-0.58017678282448404</v>
      </c>
      <c r="AG5227">
        <v>-1.112042294711</v>
      </c>
      <c r="AH5227">
        <v>22.752883272232101</v>
      </c>
      <c r="AI5227">
        <v>92.797184614358301</v>
      </c>
      <c r="AJ5227">
        <v>91.460671109003201</v>
      </c>
      <c r="AK5227">
        <v>22.787429437397499</v>
      </c>
      <c r="AL5227">
        <v>80.000476528575206</v>
      </c>
      <c r="AM5227">
        <v>96.848784453852105</v>
      </c>
      <c r="AN5227">
        <v>1.0000000747402</v>
      </c>
    </row>
    <row r="5228" spans="1:40" x14ac:dyDescent="0.25">
      <c r="A5228" t="str">
        <f>"20190304155740651"</f>
        <v>20190304155740651</v>
      </c>
      <c r="B5228" t="str">
        <f>"1551686260640048"</f>
        <v>1551686260640048</v>
      </c>
      <c r="C5228" t="s">
        <v>40</v>
      </c>
      <c r="D5228">
        <v>4.4844080000000002</v>
      </c>
      <c r="E5228">
        <v>0.53305159999999996</v>
      </c>
      <c r="F5228" t="s">
        <v>84</v>
      </c>
      <c r="G5228">
        <v>-420.69479999999999</v>
      </c>
      <c r="H5228" s="1">
        <v>-7.6204559999999998E-6</v>
      </c>
      <c r="I5228">
        <v>25.065770000000001</v>
      </c>
      <c r="J5228">
        <v>-422.29840000000002</v>
      </c>
      <c r="K5228">
        <v>1.1121190000000001</v>
      </c>
      <c r="L5228">
        <v>48.331209999999999</v>
      </c>
      <c r="M5228">
        <v>4.4893589999999997E-2</v>
      </c>
      <c r="N5228">
        <v>-1.3201569999999999E-2</v>
      </c>
      <c r="O5228">
        <v>-0.99890469999999998</v>
      </c>
      <c r="P5228">
        <v>0.16103210000000001</v>
      </c>
      <c r="Q5228">
        <v>0.16145580000000001</v>
      </c>
      <c r="R5228">
        <v>-0.97365349999999995</v>
      </c>
      <c r="S5228">
        <v>0.2108459</v>
      </c>
      <c r="T5228">
        <v>-0.14479610000000001</v>
      </c>
      <c r="U5228">
        <v>-3.0692750000000002</v>
      </c>
      <c r="V5228">
        <v>-0.11798989999999999</v>
      </c>
      <c r="W5228">
        <v>0.17381469999999999</v>
      </c>
      <c r="X5228">
        <v>0.97768440000000001</v>
      </c>
      <c r="Y5228">
        <v>-2.362448E-2</v>
      </c>
      <c r="Z5228">
        <v>3.3819849999999999E-2</v>
      </c>
      <c r="AA5228">
        <v>0.9991487</v>
      </c>
      <c r="AB5228">
        <v>30</v>
      </c>
      <c r="AC5228">
        <v>1.6036000000000199</v>
      </c>
      <c r="AD5228">
        <v>-1.1121266204560001</v>
      </c>
      <c r="AE5228">
        <v>-23.265440000000002</v>
      </c>
      <c r="AF5228">
        <v>-0.55615812916766105</v>
      </c>
      <c r="AG5228">
        <v>-1.1121266204560001</v>
      </c>
      <c r="AH5228">
        <v>23.261076524519499</v>
      </c>
      <c r="AI5228">
        <v>92.736481803055895</v>
      </c>
      <c r="AJ5228">
        <v>91.369646134969699</v>
      </c>
      <c r="AK5228">
        <v>23.294287251687301</v>
      </c>
      <c r="AL5228">
        <v>79.990311402448</v>
      </c>
      <c r="AM5228">
        <v>96.881348574469897</v>
      </c>
      <c r="AN5228">
        <v>0.999999976220729</v>
      </c>
    </row>
    <row r="5229" spans="1:40" x14ac:dyDescent="0.25">
      <c r="A5229" t="str">
        <f>"20190304155740672"</f>
        <v>20190304155740672</v>
      </c>
      <c r="B5229" t="str">
        <f>"1551686260659567"</f>
        <v>1551686260659567</v>
      </c>
      <c r="C5229" t="s">
        <v>40</v>
      </c>
      <c r="D5229">
        <v>4.6075619999999997</v>
      </c>
      <c r="E5229">
        <v>0.53246610000000005</v>
      </c>
      <c r="F5229" t="s">
        <v>84</v>
      </c>
      <c r="G5229">
        <v>-420.63749999999999</v>
      </c>
      <c r="H5229" s="1">
        <v>-7.9037360000000004E-6</v>
      </c>
      <c r="I5229">
        <v>24.362089999999998</v>
      </c>
      <c r="J5229">
        <v>-422.28300000000002</v>
      </c>
      <c r="K5229">
        <v>1.112206</v>
      </c>
      <c r="L5229">
        <v>48.047759999999997</v>
      </c>
      <c r="M5229">
        <v>4.7412679999999999E-2</v>
      </c>
      <c r="N5229">
        <v>-1.3207E-2</v>
      </c>
      <c r="O5229">
        <v>-0.99878809999999996</v>
      </c>
      <c r="P5229">
        <v>0.16414770000000001</v>
      </c>
      <c r="Q5229">
        <v>0.16195399999999999</v>
      </c>
      <c r="R5229">
        <v>-0.97305019999999998</v>
      </c>
      <c r="S5229">
        <v>0.21270749999999999</v>
      </c>
      <c r="T5229">
        <v>-0.14242479999999999</v>
      </c>
      <c r="U5229">
        <v>-3.0696110000000001</v>
      </c>
      <c r="V5229">
        <v>-0.11869639999999999</v>
      </c>
      <c r="W5229">
        <v>0.17428850000000001</v>
      </c>
      <c r="X5229">
        <v>0.97751460000000001</v>
      </c>
      <c r="Y5229">
        <v>-2.1701419999999999E-2</v>
      </c>
      <c r="Z5229">
        <v>3.3034389999999997E-2</v>
      </c>
      <c r="AA5229">
        <v>0.99921859999999996</v>
      </c>
      <c r="AB5229">
        <v>30</v>
      </c>
      <c r="AC5229">
        <v>1.6455000000000199</v>
      </c>
      <c r="AD5229">
        <v>-1.1122139037359999</v>
      </c>
      <c r="AE5229">
        <v>-23.685669999999998</v>
      </c>
      <c r="AF5229">
        <v>-0.51941032219828198</v>
      </c>
      <c r="AG5229">
        <v>-1.1122139037359999</v>
      </c>
      <c r="AH5229">
        <v>23.685078145083999</v>
      </c>
      <c r="AI5229">
        <v>92.687899107571695</v>
      </c>
      <c r="AJ5229">
        <v>91.2562867547434</v>
      </c>
      <c r="AK5229">
        <v>23.716866015331998</v>
      </c>
      <c r="AL5229">
        <v>79.962744683285905</v>
      </c>
      <c r="AM5229">
        <v>96.923344860602995</v>
      </c>
      <c r="AN5229">
        <v>1.0000000549091801</v>
      </c>
    </row>
    <row r="5230" spans="1:40" x14ac:dyDescent="0.25">
      <c r="A5230" t="str">
        <f>"20190304155740695"</f>
        <v>20190304155740695</v>
      </c>
      <c r="B5230" t="str">
        <f>"1551686260689823"</f>
        <v>1551686260689823</v>
      </c>
      <c r="C5230" t="s">
        <v>40</v>
      </c>
      <c r="D5230">
        <v>4.5789859999999996</v>
      </c>
      <c r="E5230">
        <v>0.49722509999999998</v>
      </c>
      <c r="F5230" t="s">
        <v>84</v>
      </c>
      <c r="G5230">
        <v>-420.52789999999999</v>
      </c>
      <c r="H5230" s="1">
        <v>-7.9011120000000008E-6</v>
      </c>
      <c r="I5230">
        <v>24.352920000000001</v>
      </c>
      <c r="J5230">
        <v>-422.2654</v>
      </c>
      <c r="K5230">
        <v>1.1122909999999999</v>
      </c>
      <c r="L5230">
        <v>47.741520000000001</v>
      </c>
      <c r="M5230">
        <v>5.0235759999999997E-2</v>
      </c>
      <c r="N5230">
        <v>-1.3212410000000001E-2</v>
      </c>
      <c r="O5230">
        <v>-0.99865020000000004</v>
      </c>
      <c r="P5230">
        <v>0.16750590000000001</v>
      </c>
      <c r="Q5230">
        <v>0.1625209</v>
      </c>
      <c r="R5230">
        <v>-0.97238340000000001</v>
      </c>
      <c r="S5230">
        <v>0.22729489999999999</v>
      </c>
      <c r="T5230">
        <v>-0.14404320000000001</v>
      </c>
      <c r="U5230">
        <v>-3.0687259999999998</v>
      </c>
      <c r="V5230">
        <v>-0.1193512</v>
      </c>
      <c r="W5230">
        <v>0.17483219999999999</v>
      </c>
      <c r="X5230">
        <v>0.97733769999999998</v>
      </c>
      <c r="Y5230">
        <v>-2.3618670000000001E-2</v>
      </c>
      <c r="Z5230">
        <v>3.3550879999999998E-2</v>
      </c>
      <c r="AA5230">
        <v>0.99915790000000004</v>
      </c>
      <c r="AB5230">
        <v>30</v>
      </c>
      <c r="AC5230">
        <v>1.73750000000001</v>
      </c>
      <c r="AD5230">
        <v>-1.1122989011119999</v>
      </c>
      <c r="AE5230">
        <v>-23.3886</v>
      </c>
      <c r="AF5230">
        <v>-0.55900205722974405</v>
      </c>
      <c r="AG5230">
        <v>-1.1122989011119999</v>
      </c>
      <c r="AH5230">
        <v>23.393737169503702</v>
      </c>
      <c r="AI5230">
        <v>92.7214090024532</v>
      </c>
      <c r="AJ5230">
        <v>91.368843486190102</v>
      </c>
      <c r="AK5230">
        <v>23.426835699710299</v>
      </c>
      <c r="AL5230">
        <v>79.931106597736701</v>
      </c>
      <c r="AM5230">
        <v>96.962412040561105</v>
      </c>
      <c r="AN5230">
        <v>0.99999999346978496</v>
      </c>
    </row>
    <row r="5231" spans="1:40" x14ac:dyDescent="0.25">
      <c r="A5231" t="str">
        <f>"20190304155740718"</f>
        <v>20190304155740718</v>
      </c>
      <c r="B5231" t="str">
        <f>"1551686260710320"</f>
        <v>1551686260710320</v>
      </c>
      <c r="C5231" t="s">
        <v>40</v>
      </c>
      <c r="D5231">
        <v>4.5681729999999998</v>
      </c>
      <c r="E5231">
        <v>0.48694460000000001</v>
      </c>
      <c r="F5231" t="s">
        <v>84</v>
      </c>
      <c r="G5231">
        <v>-418.29640000000001</v>
      </c>
      <c r="H5231" s="1">
        <v>-7.2888859999999998E-6</v>
      </c>
      <c r="I5231">
        <v>24.44905</v>
      </c>
      <c r="J5231">
        <v>-422.24790000000002</v>
      </c>
      <c r="K5231">
        <v>1.1123719999999999</v>
      </c>
      <c r="L5231">
        <v>47.452120000000001</v>
      </c>
      <c r="M5231">
        <v>5.300183E-2</v>
      </c>
      <c r="N5231">
        <v>-1.321689E-2</v>
      </c>
      <c r="O5231">
        <v>-0.99850700000000003</v>
      </c>
      <c r="P5231">
        <v>0.1703431</v>
      </c>
      <c r="Q5231">
        <v>0.16300770000000001</v>
      </c>
      <c r="R5231">
        <v>-0.97180860000000002</v>
      </c>
      <c r="S5231">
        <v>0.51470950000000004</v>
      </c>
      <c r="T5231">
        <v>-0.14424589999999901</v>
      </c>
      <c r="U5231">
        <v>-3.0206300000000001</v>
      </c>
      <c r="V5231">
        <v>-0.119534</v>
      </c>
      <c r="W5231">
        <v>0.17529979999999901</v>
      </c>
      <c r="X5231">
        <v>0.97723159999999998</v>
      </c>
      <c r="Y5231">
        <v>-0.1153449</v>
      </c>
      <c r="Z5231">
        <v>3.395397E-2</v>
      </c>
      <c r="AA5231">
        <v>0.99274499999999999</v>
      </c>
      <c r="AB5231">
        <v>30</v>
      </c>
      <c r="AC5231">
        <v>3.9514999999999998</v>
      </c>
      <c r="AD5231">
        <v>-1.112379288886</v>
      </c>
      <c r="AE5231">
        <v>-23.003070000000001</v>
      </c>
      <c r="AF5231">
        <v>-2.7204542301579901</v>
      </c>
      <c r="AG5231">
        <v>-1.112379288886</v>
      </c>
      <c r="AH5231">
        <v>23.127653180499699</v>
      </c>
      <c r="AI5231">
        <v>92.734828189152097</v>
      </c>
      <c r="AJ5231">
        <v>96.708746629952998</v>
      </c>
      <c r="AK5231">
        <v>23.313656953344001</v>
      </c>
      <c r="AL5231">
        <v>79.9038949033216</v>
      </c>
      <c r="AM5231">
        <v>96.973720480459704</v>
      </c>
      <c r="AN5231">
        <v>0.99999999853729904</v>
      </c>
    </row>
    <row r="5232" spans="1:40" x14ac:dyDescent="0.25">
      <c r="A5232" t="str">
        <f>"20190304155740740"</f>
        <v>20190304155740740</v>
      </c>
      <c r="B5232" t="str">
        <f>"1551686260729840"</f>
        <v>1551686260729840</v>
      </c>
      <c r="C5232" t="s">
        <v>40</v>
      </c>
      <c r="D5232">
        <v>4.5196350000000001</v>
      </c>
      <c r="E5232">
        <v>0.48347649999999998</v>
      </c>
      <c r="F5232" t="s">
        <v>84</v>
      </c>
      <c r="G5232">
        <v>-417.6395</v>
      </c>
      <c r="H5232" s="1">
        <v>-7.529052E-6</v>
      </c>
      <c r="I5232">
        <v>24.534220000000001</v>
      </c>
      <c r="J5232">
        <v>-422.22859999999997</v>
      </c>
      <c r="K5232">
        <v>1.1124510000000001</v>
      </c>
      <c r="L5232">
        <v>47.1492</v>
      </c>
      <c r="M5232">
        <v>5.6008910000000002E-2</v>
      </c>
      <c r="N5232">
        <v>-1.322136E-2</v>
      </c>
      <c r="O5232">
        <v>-0.99834290000000003</v>
      </c>
      <c r="P5232">
        <v>0.17322409999999999</v>
      </c>
      <c r="Q5232">
        <v>0.16316159999999999</v>
      </c>
      <c r="R5232">
        <v>-0.97127359999999896</v>
      </c>
      <c r="S5232">
        <v>0.60437010000000002</v>
      </c>
      <c r="T5232">
        <v>-0.1458824</v>
      </c>
      <c r="U5232">
        <v>-3.0055540000000001</v>
      </c>
      <c r="V5232">
        <v>-0.11952409999999999</v>
      </c>
      <c r="W5232">
        <v>0.17543590000000001</v>
      </c>
      <c r="X5232">
        <v>0.97720839999999998</v>
      </c>
      <c r="Y5232">
        <v>-0.14174039999999999</v>
      </c>
      <c r="Z5232">
        <v>3.4509449999999997E-2</v>
      </c>
      <c r="AA5232">
        <v>0.98930220000000002</v>
      </c>
      <c r="AB5232">
        <v>30</v>
      </c>
      <c r="AC5232">
        <v>4.58909999999997</v>
      </c>
      <c r="AD5232">
        <v>-1.1124585290519999</v>
      </c>
      <c r="AE5232">
        <v>-22.614979999999999</v>
      </c>
      <c r="AF5232">
        <v>-3.3074574258495</v>
      </c>
      <c r="AG5232">
        <v>-1.1124585290519999</v>
      </c>
      <c r="AH5232">
        <v>22.783576509129599</v>
      </c>
      <c r="AI5232">
        <v>92.766421228741294</v>
      </c>
      <c r="AJ5232">
        <v>98.259842044665504</v>
      </c>
      <c r="AK5232">
        <v>23.0492558914606</v>
      </c>
      <c r="AL5232">
        <v>79.895974330319007</v>
      </c>
      <c r="AM5232">
        <v>96.973312512539906</v>
      </c>
      <c r="AN5232">
        <v>1.00000001126009</v>
      </c>
    </row>
    <row r="5233" spans="1:40" x14ac:dyDescent="0.25">
      <c r="A5233" t="str">
        <f>"20190304155740764"</f>
        <v>20190304155740764</v>
      </c>
      <c r="B5233" t="str">
        <f>"1551686260760096"</f>
        <v>1551686260760096</v>
      </c>
      <c r="C5233" t="s">
        <v>40</v>
      </c>
      <c r="D5233">
        <v>4.4866809999999999</v>
      </c>
      <c r="E5233">
        <v>0.48191869999999998</v>
      </c>
      <c r="F5233" t="s">
        <v>84</v>
      </c>
      <c r="G5233">
        <v>-417.45150000000001</v>
      </c>
      <c r="H5233" s="1">
        <v>-7.6190369999999998E-6</v>
      </c>
      <c r="I5233">
        <v>24.74776</v>
      </c>
      <c r="J5233">
        <v>-422.20839999999998</v>
      </c>
      <c r="K5233">
        <v>1.112533</v>
      </c>
      <c r="L5233">
        <v>46.847499999999997</v>
      </c>
      <c r="M5233">
        <v>5.9116439999999999E-2</v>
      </c>
      <c r="N5233">
        <v>-1.3225900000000001E-2</v>
      </c>
      <c r="O5233">
        <v>-0.99816349999999998</v>
      </c>
      <c r="P5233">
        <v>0.17621709999999999</v>
      </c>
      <c r="Q5233">
        <v>0.1634255</v>
      </c>
      <c r="R5233">
        <v>-0.97069030000000001</v>
      </c>
      <c r="S5233">
        <v>0.639679</v>
      </c>
      <c r="T5233">
        <v>-0.14896379999999901</v>
      </c>
      <c r="U5233">
        <v>-2.9996640000000001</v>
      </c>
      <c r="V5233">
        <v>-0.11953279999999999</v>
      </c>
      <c r="W5233">
        <v>0.17568</v>
      </c>
      <c r="X5233">
        <v>0.97716349999999996</v>
      </c>
      <c r="Y5233">
        <v>-0.15018219999999999</v>
      </c>
      <c r="Z5233">
        <v>3.5510510000000002E-2</v>
      </c>
      <c r="AA5233">
        <v>0.98802040000000002</v>
      </c>
      <c r="AB5233">
        <v>30</v>
      </c>
      <c r="AC5233">
        <v>4.7568999999999697</v>
      </c>
      <c r="AD5233">
        <v>-1.112540619037</v>
      </c>
      <c r="AE5233">
        <v>-22.099740000000001</v>
      </c>
      <c r="AF5233">
        <v>-3.43369030302518</v>
      </c>
      <c r="AG5233">
        <v>-1.112540619037</v>
      </c>
      <c r="AH5233">
        <v>22.288334350606402</v>
      </c>
      <c r="AI5233">
        <v>92.824329843093494</v>
      </c>
      <c r="AJ5233">
        <v>98.758004289239196</v>
      </c>
      <c r="AK5233">
        <v>22.5787028823739</v>
      </c>
      <c r="AL5233">
        <v>79.881767973763701</v>
      </c>
      <c r="AM5233">
        <v>96.974132378936005</v>
      </c>
      <c r="AN5233">
        <v>1.0000000292040401</v>
      </c>
    </row>
    <row r="5234" spans="1:40" x14ac:dyDescent="0.25">
      <c r="A5234" t="str">
        <f>"20190304155740786"</f>
        <v>20190304155740786</v>
      </c>
      <c r="B5234" t="str">
        <f>"1551686260779616"</f>
        <v>1551686260779616</v>
      </c>
      <c r="C5234" t="s">
        <v>40</v>
      </c>
      <c r="D5234">
        <v>4.4389710000000004</v>
      </c>
      <c r="E5234">
        <v>0.48165619999999998</v>
      </c>
      <c r="F5234" t="s">
        <v>84</v>
      </c>
      <c r="G5234">
        <v>-417.19310000000002</v>
      </c>
      <c r="H5234" s="1">
        <v>-7.6397859999999993E-6</v>
      </c>
      <c r="I5234">
        <v>24.125640000000001</v>
      </c>
      <c r="J5234">
        <v>-422.1875</v>
      </c>
      <c r="K5234">
        <v>1.1126199999999999</v>
      </c>
      <c r="L5234">
        <v>46.549619999999997</v>
      </c>
      <c r="M5234">
        <v>6.229763E-2</v>
      </c>
      <c r="N5234">
        <v>-1.3230560000000001E-2</v>
      </c>
      <c r="O5234">
        <v>-0.99797000000000002</v>
      </c>
      <c r="P5234">
        <v>0.1789152</v>
      </c>
      <c r="Q5234">
        <v>0.1638097</v>
      </c>
      <c r="R5234">
        <v>-0.97013199999999999</v>
      </c>
      <c r="S5234">
        <v>0.66113279999999996</v>
      </c>
      <c r="T5234">
        <v>-0.14665719999999999</v>
      </c>
      <c r="U5234">
        <v>-2.9952390000000002</v>
      </c>
      <c r="V5234">
        <v>-0.1191782</v>
      </c>
      <c r="W5234">
        <v>0.17604520000000001</v>
      </c>
      <c r="X5234">
        <v>0.97714109999999998</v>
      </c>
      <c r="Y5234">
        <v>-0.15409059999999999</v>
      </c>
      <c r="Z5234">
        <v>3.4766039999999998E-2</v>
      </c>
      <c r="AA5234">
        <v>0.98744489999999996</v>
      </c>
      <c r="AB5234">
        <v>30</v>
      </c>
      <c r="AC5234">
        <v>4.9943999999999802</v>
      </c>
      <c r="AD5234">
        <v>-1.112627639786</v>
      </c>
      <c r="AE5234">
        <v>-22.42398</v>
      </c>
      <c r="AF5234">
        <v>-3.5792189870857598</v>
      </c>
      <c r="AG5234">
        <v>-1.112627639786</v>
      </c>
      <c r="AH5234">
        <v>22.638482837011502</v>
      </c>
      <c r="AI5234">
        <v>92.779221315407696</v>
      </c>
      <c r="AJ5234">
        <v>98.984285712790907</v>
      </c>
      <c r="AK5234">
        <v>22.946669779817601</v>
      </c>
      <c r="AL5234">
        <v>79.860512416484696</v>
      </c>
      <c r="AM5234">
        <v>96.953803968307497</v>
      </c>
      <c r="AN5234">
        <v>1.0000000425537401</v>
      </c>
    </row>
    <row r="5235" spans="1:40" x14ac:dyDescent="0.25">
      <c r="A5235" t="str">
        <f>"20190304155740807"</f>
        <v>20190304155740807</v>
      </c>
      <c r="B5235" t="str">
        <f>"1551686260800112"</f>
        <v>1551686260800112</v>
      </c>
      <c r="C5235" t="s">
        <v>40</v>
      </c>
      <c r="D5235">
        <v>4.4779749999999998</v>
      </c>
      <c r="E5235">
        <v>0.48116639999999999</v>
      </c>
      <c r="F5235" t="s">
        <v>84</v>
      </c>
      <c r="G5235">
        <v>-416.97300000000001</v>
      </c>
      <c r="H5235" s="1">
        <v>-7.62568E-6</v>
      </c>
      <c r="I5235">
        <v>23.313490000000002</v>
      </c>
      <c r="J5235">
        <v>-422.16629999999998</v>
      </c>
      <c r="K5235">
        <v>1.1127089999999999</v>
      </c>
      <c r="L5235">
        <v>46.263060000000003</v>
      </c>
      <c r="M5235">
        <v>6.5468020000000002E-2</v>
      </c>
      <c r="N5235">
        <v>-1.3235139999999999E-2</v>
      </c>
      <c r="O5235">
        <v>-0.99776690000000001</v>
      </c>
      <c r="P5235">
        <v>0.18191170000000001</v>
      </c>
      <c r="Q5235">
        <v>0.16406229999999999</v>
      </c>
      <c r="R5235">
        <v>-0.9695317</v>
      </c>
      <c r="S5235">
        <v>0.67160030000000004</v>
      </c>
      <c r="T5235">
        <v>-0.1433014</v>
      </c>
      <c r="U5235">
        <v>-2.9927060000000001</v>
      </c>
      <c r="V5235">
        <v>-0.1191345</v>
      </c>
      <c r="W5235">
        <v>0.17627709999999999</v>
      </c>
      <c r="X5235">
        <v>0.97710459999999999</v>
      </c>
      <c r="Y5235">
        <v>-0.15442700000000001</v>
      </c>
      <c r="Z5235">
        <v>3.3678989999999999E-2</v>
      </c>
      <c r="AA5235">
        <v>0.98743000000000003</v>
      </c>
      <c r="AB5235">
        <v>30</v>
      </c>
      <c r="AC5235">
        <v>5.1932999999999598</v>
      </c>
      <c r="AD5235">
        <v>-1.1127166256799901</v>
      </c>
      <c r="AE5235">
        <v>-22.949570000000001</v>
      </c>
      <c r="AF5235">
        <v>-3.6713519192850899</v>
      </c>
      <c r="AG5235">
        <v>-1.1127166256799901</v>
      </c>
      <c r="AH5235">
        <v>23.188495174417401</v>
      </c>
      <c r="AI5235">
        <v>92.713523517535705</v>
      </c>
      <c r="AJ5235">
        <v>98.996758191772898</v>
      </c>
      <c r="AK5235">
        <v>23.503686341897101</v>
      </c>
      <c r="AL5235">
        <v>79.847014226679093</v>
      </c>
      <c r="AM5235">
        <v>96.951536240613706</v>
      </c>
      <c r="AN5235">
        <v>1.0000000222079</v>
      </c>
    </row>
    <row r="5236" spans="1:40" x14ac:dyDescent="0.25">
      <c r="A5236" t="str">
        <f>"20190304155740829"</f>
        <v>20190304155740829</v>
      </c>
      <c r="B5236" t="str">
        <f>"1551686260819632"</f>
        <v>1551686260819632</v>
      </c>
      <c r="C5236" t="s">
        <v>40</v>
      </c>
      <c r="D5236">
        <v>4.4475309999999997</v>
      </c>
      <c r="E5236">
        <v>0.48085109999999998</v>
      </c>
      <c r="F5236" t="s">
        <v>84</v>
      </c>
      <c r="G5236">
        <v>-416.84480000000002</v>
      </c>
      <c r="H5236" s="1">
        <v>-7.6381689999999993E-6</v>
      </c>
      <c r="I5236">
        <v>23.02441</v>
      </c>
      <c r="J5236">
        <v>-422.14400000000001</v>
      </c>
      <c r="K5236">
        <v>1.1128009999999999</v>
      </c>
      <c r="L5236">
        <v>45.97598</v>
      </c>
      <c r="M5236">
        <v>6.8754599999999999E-2</v>
      </c>
      <c r="N5236">
        <v>-1.3239809999999999E-2</v>
      </c>
      <c r="O5236">
        <v>-0.99754569999999998</v>
      </c>
      <c r="P5236">
        <v>0.1847848</v>
      </c>
      <c r="Q5236">
        <v>0.16419439999999999</v>
      </c>
      <c r="R5236">
        <v>-0.96896610000000005</v>
      </c>
      <c r="S5236">
        <v>0.68469239999999998</v>
      </c>
      <c r="T5236">
        <v>-0.14316870000000001</v>
      </c>
      <c r="U5236">
        <v>-2.990021</v>
      </c>
      <c r="V5236">
        <v>-0.1188521</v>
      </c>
      <c r="W5236">
        <v>0.17638970000000001</v>
      </c>
      <c r="X5236">
        <v>0.97711870000000001</v>
      </c>
      <c r="Y5236">
        <v>-0.15547359999999999</v>
      </c>
      <c r="Z5236">
        <v>3.3637E-2</v>
      </c>
      <c r="AA5236">
        <v>0.98726720000000001</v>
      </c>
      <c r="AB5236">
        <v>30</v>
      </c>
      <c r="AC5236">
        <v>5.2991999999999804</v>
      </c>
      <c r="AD5236">
        <v>-1.1128086381690001</v>
      </c>
      <c r="AE5236">
        <v>-22.95157</v>
      </c>
      <c r="AF5236">
        <v>-3.70023508695837</v>
      </c>
      <c r="AG5236">
        <v>-1.1128086381690001</v>
      </c>
      <c r="AH5236">
        <v>23.209823932457699</v>
      </c>
      <c r="AI5236">
        <v>92.710796491411003</v>
      </c>
      <c r="AJ5236">
        <v>99.058172752791094</v>
      </c>
      <c r="AK5236">
        <v>23.529258588821399</v>
      </c>
      <c r="AL5236">
        <v>79.840460315666206</v>
      </c>
      <c r="AM5236">
        <v>96.935119675296804</v>
      </c>
      <c r="AN5236">
        <v>1.0000000509150899</v>
      </c>
    </row>
    <row r="5237" spans="1:40" x14ac:dyDescent="0.25">
      <c r="A5237" t="str">
        <f>"20190304155740852"</f>
        <v>20190304155740852</v>
      </c>
      <c r="B5237" t="str">
        <f>"1551686260849888"</f>
        <v>1551686260849888</v>
      </c>
      <c r="C5237" t="s">
        <v>40</v>
      </c>
      <c r="D5237">
        <v>4.4069799999999999</v>
      </c>
      <c r="E5237">
        <v>0.48071839999999999</v>
      </c>
      <c r="F5237" t="s">
        <v>84</v>
      </c>
      <c r="G5237">
        <v>-416.74579999999997</v>
      </c>
      <c r="H5237" s="1">
        <v>-7.6480170000000001E-6</v>
      </c>
      <c r="I5237">
        <v>22.800049999999999</v>
      </c>
      <c r="J5237">
        <v>-422.11930000000001</v>
      </c>
      <c r="K5237">
        <v>1.112903</v>
      </c>
      <c r="L5237">
        <v>45.673430000000003</v>
      </c>
      <c r="M5237">
        <v>7.2349819999999995E-2</v>
      </c>
      <c r="N5237">
        <v>-1.324476E-2</v>
      </c>
      <c r="O5237">
        <v>-0.99729159999999994</v>
      </c>
      <c r="P5237">
        <v>0.1882064</v>
      </c>
      <c r="Q5237">
        <v>0.1644872</v>
      </c>
      <c r="R5237">
        <v>-0.96825740000000005</v>
      </c>
      <c r="S5237">
        <v>0.69589230000000002</v>
      </c>
      <c r="T5237">
        <v>-0.1434551</v>
      </c>
      <c r="U5237">
        <v>-2.9876710000000002</v>
      </c>
      <c r="V5237">
        <v>-0.11882760000000001</v>
      </c>
      <c r="W5237">
        <v>0.17666009999999999</v>
      </c>
      <c r="X5237">
        <v>0.97707279999999996</v>
      </c>
      <c r="Y5237">
        <v>-0.1555945</v>
      </c>
      <c r="Z5237">
        <v>3.3730610000000001E-2</v>
      </c>
      <c r="AA5237">
        <v>0.98724500000000004</v>
      </c>
      <c r="AB5237">
        <v>30</v>
      </c>
      <c r="AC5237">
        <v>5.3735000000000301</v>
      </c>
      <c r="AD5237">
        <v>-1.1129106480169999</v>
      </c>
      <c r="AE5237">
        <v>-22.873380000000001</v>
      </c>
      <c r="AF5237">
        <v>-3.69609332330494</v>
      </c>
      <c r="AG5237">
        <v>-1.1129106480169999</v>
      </c>
      <c r="AH5237">
        <v>23.150293306896899</v>
      </c>
      <c r="AI5237">
        <v>92.717908028462404</v>
      </c>
      <c r="AJ5237">
        <v>99.071082480796406</v>
      </c>
      <c r="AK5237">
        <v>23.469890416455002</v>
      </c>
      <c r="AL5237">
        <v>79.824720072829294</v>
      </c>
      <c r="AM5237">
        <v>96.9340265517571</v>
      </c>
      <c r="AN5237">
        <v>1.0000000229768</v>
      </c>
    </row>
    <row r="5238" spans="1:40" x14ac:dyDescent="0.25">
      <c r="A5238" t="str">
        <f>"20190304155740873"</f>
        <v>20190304155740873</v>
      </c>
      <c r="B5238" t="str">
        <f>"1551686260870384"</f>
        <v>1551686260870384</v>
      </c>
      <c r="C5238" t="s">
        <v>40</v>
      </c>
      <c r="D5238">
        <v>4.3908120000000004</v>
      </c>
      <c r="E5238">
        <v>0.4808692</v>
      </c>
      <c r="F5238" t="s">
        <v>84</v>
      </c>
      <c r="G5238">
        <v>-416.65910000000002</v>
      </c>
      <c r="H5238" s="1">
        <v>-7.6624240000000003E-6</v>
      </c>
      <c r="I5238">
        <v>22.628609999999998</v>
      </c>
      <c r="J5238">
        <v>-422.09519999999998</v>
      </c>
      <c r="K5238">
        <v>1.1129899999999999</v>
      </c>
      <c r="L5238">
        <v>45.392209999999999</v>
      </c>
      <c r="M5238">
        <v>7.5801969999999996E-2</v>
      </c>
      <c r="N5238">
        <v>-1.324936E-2</v>
      </c>
      <c r="O5238">
        <v>-0.99703489999999995</v>
      </c>
      <c r="P5238">
        <v>0.1912664</v>
      </c>
      <c r="Q5238">
        <v>0.16531129999999999</v>
      </c>
      <c r="R5238">
        <v>-0.96751730000000002</v>
      </c>
      <c r="S5238">
        <v>0.70733639999999998</v>
      </c>
      <c r="T5238">
        <v>-0.14417249999999901</v>
      </c>
      <c r="U5238">
        <v>-2.9853519999999998</v>
      </c>
      <c r="V5238">
        <v>-0.1185865</v>
      </c>
      <c r="W5238">
        <v>0.17746400000000001</v>
      </c>
      <c r="X5238">
        <v>0.97695639999999995</v>
      </c>
      <c r="Y5238">
        <v>-0.15592839999999999</v>
      </c>
      <c r="Z5238">
        <v>3.3962880000000001E-2</v>
      </c>
      <c r="AA5238">
        <v>0.98718430000000001</v>
      </c>
      <c r="AB5238">
        <v>30</v>
      </c>
      <c r="AC5238">
        <v>5.43609999999995</v>
      </c>
      <c r="AD5238">
        <v>-1.1129976624239999</v>
      </c>
      <c r="AE5238">
        <v>-22.7636</v>
      </c>
      <c r="AF5238">
        <v>-3.68644253398746</v>
      </c>
      <c r="AG5238">
        <v>-1.1129976624239999</v>
      </c>
      <c r="AH5238">
        <v>23.058049821926598</v>
      </c>
      <c r="AI5238">
        <v>92.728884161360497</v>
      </c>
      <c r="AJ5238">
        <v>99.083382790959504</v>
      </c>
      <c r="AK5238">
        <v>23.377388304586201</v>
      </c>
      <c r="AL5238">
        <v>79.777920500993403</v>
      </c>
      <c r="AM5238">
        <v>96.920910542970205</v>
      </c>
      <c r="AN5238">
        <v>1.0000000183896001</v>
      </c>
    </row>
    <row r="5239" spans="1:40" x14ac:dyDescent="0.25">
      <c r="A5239" t="str">
        <f>"20190304155740896"</f>
        <v>20190304155740896</v>
      </c>
      <c r="B5239" t="str">
        <f>"1551686260889904"</f>
        <v>1551686260889904</v>
      </c>
      <c r="C5239" t="s">
        <v>40</v>
      </c>
      <c r="D5239">
        <v>4.3811960000000001</v>
      </c>
      <c r="E5239">
        <v>0.48086980000000001</v>
      </c>
      <c r="F5239" t="s">
        <v>84</v>
      </c>
      <c r="G5239">
        <v>-416.48750000000001</v>
      </c>
      <c r="H5239" s="1">
        <v>-7.6634659999999906E-6</v>
      </c>
      <c r="I5239">
        <v>22.014220000000002</v>
      </c>
      <c r="J5239">
        <v>-422.0684</v>
      </c>
      <c r="K5239">
        <v>1.113073</v>
      </c>
      <c r="L5239">
        <v>45.093020000000003</v>
      </c>
      <c r="M5239">
        <v>7.9572920000000005E-2</v>
      </c>
      <c r="N5239">
        <v>-1.32541E-2</v>
      </c>
      <c r="O5239">
        <v>-0.99674110000000005</v>
      </c>
      <c r="P5239">
        <v>0.19470560000000001</v>
      </c>
      <c r="Q5239">
        <v>0.16563349999999999</v>
      </c>
      <c r="R5239">
        <v>-0.96677610000000003</v>
      </c>
      <c r="S5239">
        <v>0.71566770000000002</v>
      </c>
      <c r="T5239">
        <v>-0.1420418</v>
      </c>
      <c r="U5239">
        <v>-2.9835210000000001</v>
      </c>
      <c r="V5239">
        <v>-0.1184052</v>
      </c>
      <c r="W5239">
        <v>0.17776900000000001</v>
      </c>
      <c r="X5239">
        <v>0.97692290000000004</v>
      </c>
      <c r="Y5239">
        <v>-0.15494279999999999</v>
      </c>
      <c r="Z5239">
        <v>3.3266690000000002E-2</v>
      </c>
      <c r="AA5239">
        <v>0.9873632</v>
      </c>
      <c r="AB5239">
        <v>30</v>
      </c>
      <c r="AC5239">
        <v>5.5808999999999802</v>
      </c>
      <c r="AD5239">
        <v>-1.113080663466</v>
      </c>
      <c r="AE5239">
        <v>-23.078800000000001</v>
      </c>
      <c r="AF5239">
        <v>-3.71842006273212</v>
      </c>
      <c r="AG5239">
        <v>-1.113080663466</v>
      </c>
      <c r="AH5239">
        <v>23.3983130497638</v>
      </c>
      <c r="AI5239">
        <v>92.689859169597497</v>
      </c>
      <c r="AJ5239">
        <v>99.029836735893198</v>
      </c>
      <c r="AK5239">
        <v>23.718065897139599</v>
      </c>
      <c r="AL5239">
        <v>79.760162548723898</v>
      </c>
      <c r="AM5239">
        <v>96.910666633375101</v>
      </c>
      <c r="AN5239">
        <v>0.99999998064622397</v>
      </c>
    </row>
    <row r="5240" spans="1:40" x14ac:dyDescent="0.25">
      <c r="A5240" t="str">
        <f>"20190304155740919"</f>
        <v>20190304155740919</v>
      </c>
      <c r="B5240" t="str">
        <f>"1551686260910403"</f>
        <v>1551686260910403</v>
      </c>
      <c r="C5240" t="s">
        <v>40</v>
      </c>
      <c r="D5240">
        <v>4.367731</v>
      </c>
      <c r="E5240">
        <v>0.4809118</v>
      </c>
      <c r="F5240" t="s">
        <v>84</v>
      </c>
      <c r="G5240">
        <v>-416.36829999999998</v>
      </c>
      <c r="H5240" s="1">
        <v>-7.6758239999999992E-6</v>
      </c>
      <c r="I5240">
        <v>21.704229999999999</v>
      </c>
      <c r="J5240">
        <v>-422.04090000000002</v>
      </c>
      <c r="K5240">
        <v>1.1131439999999999</v>
      </c>
      <c r="L5240">
        <v>44.798920000000003</v>
      </c>
      <c r="M5240">
        <v>8.3376240000000004E-2</v>
      </c>
      <c r="N5240">
        <v>-1.3258209999999999E-2</v>
      </c>
      <c r="O5240">
        <v>-0.99643009999999999</v>
      </c>
      <c r="P5240">
        <v>0.19827839999999999</v>
      </c>
      <c r="Q5240">
        <v>0.16569519999999999</v>
      </c>
      <c r="R5240">
        <v>-0.96603919999999999</v>
      </c>
      <c r="S5240">
        <v>0.72653199999999996</v>
      </c>
      <c r="T5240">
        <v>-0.141872</v>
      </c>
      <c r="U5240">
        <v>-2.9811100000000001</v>
      </c>
      <c r="V5240">
        <v>-0.1183208</v>
      </c>
      <c r="W5240">
        <v>0.177815</v>
      </c>
      <c r="X5240">
        <v>0.97692480000000004</v>
      </c>
      <c r="Y5240">
        <v>-0.15475359999999999</v>
      </c>
      <c r="Z5240">
        <v>3.3211020000000001E-2</v>
      </c>
      <c r="AA5240">
        <v>0.98739480000000002</v>
      </c>
      <c r="AB5240">
        <v>30</v>
      </c>
      <c r="AC5240">
        <v>5.6726000000000401</v>
      </c>
      <c r="AD5240">
        <v>-1.1131516758239901</v>
      </c>
      <c r="AE5240">
        <v>-23.09469</v>
      </c>
      <c r="AF5240">
        <v>-3.7189796656150098</v>
      </c>
      <c r="AG5240">
        <v>-1.1131516758239901</v>
      </c>
      <c r="AH5240">
        <v>23.435916769504601</v>
      </c>
      <c r="AI5240">
        <v>92.685816610737803</v>
      </c>
      <c r="AJ5240">
        <v>99.016920726823898</v>
      </c>
      <c r="AK5240">
        <v>23.755254392108601</v>
      </c>
      <c r="AL5240">
        <v>79.757484736059894</v>
      </c>
      <c r="AM5240">
        <v>96.905774949067407</v>
      </c>
      <c r="AN5240">
        <v>1.0000000253963299</v>
      </c>
    </row>
    <row r="5241" spans="1:40" x14ac:dyDescent="0.25">
      <c r="A5241" t="str">
        <f>"20190304155740936"</f>
        <v>20190304155740936</v>
      </c>
      <c r="B5241" t="str">
        <f>"1551686260929920"</f>
        <v>1551686260929920</v>
      </c>
      <c r="C5241" t="s">
        <v>40</v>
      </c>
      <c r="D5241">
        <v>4.3283239999999896</v>
      </c>
      <c r="E5241">
        <v>0.4812189</v>
      </c>
      <c r="F5241" t="s">
        <v>84</v>
      </c>
      <c r="G5241">
        <v>-416.26620000000003</v>
      </c>
      <c r="H5241" s="1">
        <v>-7.6895199999999995E-6</v>
      </c>
      <c r="I5241">
        <v>21.469919999999998</v>
      </c>
      <c r="J5241">
        <v>-422.0197</v>
      </c>
      <c r="K5241">
        <v>1.1131979999999999</v>
      </c>
      <c r="L5241">
        <v>44.579990000000002</v>
      </c>
      <c r="M5241">
        <v>8.6272429999999997E-2</v>
      </c>
      <c r="N5241">
        <v>-1.3261230000000001E-2</v>
      </c>
      <c r="O5241">
        <v>-0.9961835</v>
      </c>
      <c r="P5241">
        <v>0.20117090000000001</v>
      </c>
      <c r="Q5241">
        <v>0.16598499999999999</v>
      </c>
      <c r="R5241">
        <v>-0.96539109999999995</v>
      </c>
      <c r="S5241">
        <v>0.73727419999999899</v>
      </c>
      <c r="T5241">
        <v>-0.142121</v>
      </c>
      <c r="U5241">
        <v>-2.9785159999999999</v>
      </c>
      <c r="V5241">
        <v>-0.1184369</v>
      </c>
      <c r="W5241">
        <v>0.1780909</v>
      </c>
      <c r="X5241">
        <v>0.97686050000000002</v>
      </c>
      <c r="Y5241">
        <v>-0.15543680000000001</v>
      </c>
      <c r="Z5241">
        <v>3.3295610000000003E-2</v>
      </c>
      <c r="AA5241">
        <v>0.98728450000000001</v>
      </c>
      <c r="AB5241">
        <v>30</v>
      </c>
      <c r="AC5241">
        <v>5.7534999999999696</v>
      </c>
      <c r="AD5241">
        <v>-1.11320568952</v>
      </c>
      <c r="AE5241">
        <v>-23.11007</v>
      </c>
      <c r="AF5241">
        <v>-3.7299583257232798</v>
      </c>
      <c r="AG5241">
        <v>-1.11320568952</v>
      </c>
      <c r="AH5241">
        <v>23.469025414093501</v>
      </c>
      <c r="AI5241">
        <v>92.682061919021095</v>
      </c>
      <c r="AJ5241">
        <v>99.030552938313605</v>
      </c>
      <c r="AK5241">
        <v>23.789639970083201</v>
      </c>
      <c r="AL5241">
        <v>79.741420706354802</v>
      </c>
      <c r="AM5241">
        <v>96.912936175759</v>
      </c>
      <c r="AN5241">
        <v>1.00000005220233</v>
      </c>
    </row>
    <row r="5242" spans="1:40" x14ac:dyDescent="0.25">
      <c r="A5242" t="str">
        <f>"20190304155740951"</f>
        <v>20190304155740951</v>
      </c>
      <c r="B5242" t="str">
        <f>"1551686260940102"</f>
        <v>1551686260940102</v>
      </c>
      <c r="C5242" t="s">
        <v>40</v>
      </c>
      <c r="D5242">
        <v>4.321116</v>
      </c>
      <c r="E5242">
        <v>0.4814967</v>
      </c>
      <c r="F5242" t="s">
        <v>84</v>
      </c>
      <c r="G5242">
        <v>-416.06610000000001</v>
      </c>
      <c r="H5242" s="1">
        <v>-7.6909529999999995E-6</v>
      </c>
      <c r="I5242">
        <v>20.755939999999999</v>
      </c>
      <c r="J5242">
        <v>-421.99900000000002</v>
      </c>
      <c r="K5242">
        <v>1.1132500000000001</v>
      </c>
      <c r="L5242">
        <v>44.373019999999997</v>
      </c>
      <c r="M5242">
        <v>8.9062660000000002E-2</v>
      </c>
      <c r="N5242">
        <v>-1.326428E-2</v>
      </c>
      <c r="O5242">
        <v>-0.99593779999999998</v>
      </c>
      <c r="P5242">
        <v>0.20394139999999999</v>
      </c>
      <c r="Q5242">
        <v>0.16584489999999999</v>
      </c>
      <c r="R5242">
        <v>-0.96483350000000001</v>
      </c>
      <c r="S5242">
        <v>0.74380489999999999</v>
      </c>
      <c r="T5242">
        <v>-0.13907900000000001</v>
      </c>
      <c r="U5242">
        <v>-2.9764710000000001</v>
      </c>
      <c r="V5242">
        <v>-0.1185254</v>
      </c>
      <c r="W5242">
        <v>0.17793789999999901</v>
      </c>
      <c r="X5242">
        <v>0.97687760000000001</v>
      </c>
      <c r="Y5242">
        <v>-0.15487679999999901</v>
      </c>
      <c r="Z5242">
        <v>3.2310270000000002E-2</v>
      </c>
      <c r="AA5242">
        <v>0.98740530000000004</v>
      </c>
      <c r="AB5242">
        <v>30</v>
      </c>
      <c r="AC5242">
        <v>5.9329000000000098</v>
      </c>
      <c r="AD5242">
        <v>-1.1132576909530001</v>
      </c>
      <c r="AE5242">
        <v>-23.617080000000001</v>
      </c>
      <c r="AF5242">
        <v>-3.7977961568237202</v>
      </c>
      <c r="AG5242">
        <v>-1.1132576909530001</v>
      </c>
      <c r="AH5242">
        <v>24.001491171825901</v>
      </c>
      <c r="AI5242">
        <v>92.623050946733201</v>
      </c>
      <c r="AJ5242">
        <v>98.991461201089095</v>
      </c>
      <c r="AK5242">
        <v>24.325586874862601</v>
      </c>
      <c r="AL5242">
        <v>79.750328770194898</v>
      </c>
      <c r="AM5242">
        <v>96.917931786122793</v>
      </c>
      <c r="AN5242">
        <v>1.0000000060416601</v>
      </c>
    </row>
    <row r="5243" spans="1:40" x14ac:dyDescent="0.25">
      <c r="A5243" t="str">
        <f>"20190304155740968"</f>
        <v>20190304155740968</v>
      </c>
      <c r="B5243" t="str">
        <f>"1551686260960599"</f>
        <v>1551686260960599</v>
      </c>
      <c r="C5243" t="s">
        <v>40</v>
      </c>
      <c r="D5243">
        <v>4.3121049999999999</v>
      </c>
      <c r="E5243">
        <v>0.48192410000000002</v>
      </c>
      <c r="F5243" t="s">
        <v>84</v>
      </c>
      <c r="G5243">
        <v>-415.90800000000002</v>
      </c>
      <c r="H5243" s="1">
        <v>-7.6951700000000001E-6</v>
      </c>
      <c r="I5243">
        <v>20.222660000000001</v>
      </c>
      <c r="J5243">
        <v>-421.97539999999998</v>
      </c>
      <c r="K5243">
        <v>1.1133139999999999</v>
      </c>
      <c r="L5243">
        <v>44.145659999999999</v>
      </c>
      <c r="M5243">
        <v>9.2199039999999996E-2</v>
      </c>
      <c r="N5243">
        <v>-1.3268149999999999E-2</v>
      </c>
      <c r="O5243">
        <v>-0.99565219999999999</v>
      </c>
      <c r="P5243">
        <v>0.2073728</v>
      </c>
      <c r="Q5243">
        <v>0.1660952</v>
      </c>
      <c r="R5243">
        <v>-0.96405870000000005</v>
      </c>
      <c r="S5243">
        <v>0.75015259999999995</v>
      </c>
      <c r="T5243">
        <v>-0.1371077</v>
      </c>
      <c r="U5243">
        <v>-2.974335</v>
      </c>
      <c r="V5243">
        <v>-0.1189592</v>
      </c>
      <c r="W5243">
        <v>0.1781683</v>
      </c>
      <c r="X5243">
        <v>0.97678290000000001</v>
      </c>
      <c r="Y5243">
        <v>-0.15392020000000001</v>
      </c>
      <c r="Z5243">
        <v>3.1673899999999998E-2</v>
      </c>
      <c r="AA5243">
        <v>0.98757550000000005</v>
      </c>
      <c r="AB5243">
        <v>30</v>
      </c>
      <c r="AC5243">
        <v>6.0673999999999602</v>
      </c>
      <c r="AD5243">
        <v>-1.11332169517</v>
      </c>
      <c r="AE5243">
        <v>-23.922999999999998</v>
      </c>
      <c r="AF5243">
        <v>-3.8278908925516602</v>
      </c>
      <c r="AG5243">
        <v>-1.11332169517</v>
      </c>
      <c r="AH5243">
        <v>24.331031600990201</v>
      </c>
      <c r="AI5243">
        <v>92.588081966058695</v>
      </c>
      <c r="AJ5243">
        <v>98.940800410046506</v>
      </c>
      <c r="AK5243">
        <v>24.655452391927401</v>
      </c>
      <c r="AL5243">
        <v>79.736913748446099</v>
      </c>
      <c r="AM5243">
        <v>96.943671109856894</v>
      </c>
      <c r="AN5243">
        <v>1.0000000340609601</v>
      </c>
    </row>
    <row r="5244" spans="1:40" x14ac:dyDescent="0.25">
      <c r="A5244" t="str">
        <f>"20190304155740987"</f>
        <v>20190304155740987</v>
      </c>
      <c r="B5244" t="str">
        <f>"1551686260980118"</f>
        <v>1551686260980118</v>
      </c>
      <c r="C5244" t="s">
        <v>40</v>
      </c>
      <c r="D5244">
        <v>4.2786099999999996</v>
      </c>
      <c r="E5244">
        <v>0.48220740000000001</v>
      </c>
      <c r="F5244" t="s">
        <v>84</v>
      </c>
      <c r="G5244">
        <v>-415.61860000000001</v>
      </c>
      <c r="H5244" s="1">
        <v>-1.1630150000000001E-5</v>
      </c>
      <c r="I5244">
        <v>19.208030000000001</v>
      </c>
      <c r="J5244">
        <v>-421.94959999999998</v>
      </c>
      <c r="K5244">
        <v>1.1133879999999901</v>
      </c>
      <c r="L5244">
        <v>43.905610000000003</v>
      </c>
      <c r="M5244">
        <v>9.5587729999999996E-2</v>
      </c>
      <c r="N5244">
        <v>-1.327278E-2</v>
      </c>
      <c r="O5244">
        <v>-0.99533280000000002</v>
      </c>
      <c r="P5244">
        <v>0.21117179999999999</v>
      </c>
      <c r="Q5244">
        <v>0.16628780000000001</v>
      </c>
      <c r="R5244">
        <v>-0.96320070000000002</v>
      </c>
      <c r="S5244">
        <v>0.75753780000000004</v>
      </c>
      <c r="T5244">
        <v>-0.13267300000000001</v>
      </c>
      <c r="U5244">
        <v>-2.9717709999999999</v>
      </c>
      <c r="V5244">
        <v>-0.1195232</v>
      </c>
      <c r="W5244">
        <v>0.17833860000000001</v>
      </c>
      <c r="X5244">
        <v>0.97668299999999997</v>
      </c>
      <c r="Y5244">
        <v>-0.1530774</v>
      </c>
      <c r="Z5244">
        <v>3.02353E-2</v>
      </c>
      <c r="AA5244">
        <v>0.9877515</v>
      </c>
      <c r="AB5244">
        <v>30</v>
      </c>
      <c r="AC5244">
        <v>6.3309999999999498</v>
      </c>
      <c r="AD5244">
        <v>-1.11339963014999</v>
      </c>
      <c r="AE5244">
        <v>-24.697579999999999</v>
      </c>
      <c r="AF5244">
        <v>-3.93351112690508</v>
      </c>
      <c r="AG5244">
        <v>-1.11339963014999</v>
      </c>
      <c r="AH5244">
        <v>25.1417434906583</v>
      </c>
      <c r="AI5244">
        <v>92.505244824936</v>
      </c>
      <c r="AJ5244">
        <v>98.8920347430752</v>
      </c>
      <c r="AK5244">
        <v>25.471934246773699</v>
      </c>
      <c r="AL5244">
        <v>79.726997806798593</v>
      </c>
      <c r="AM5244">
        <v>96.976974776681402</v>
      </c>
      <c r="AN5244">
        <v>1.00000006703859</v>
      </c>
    </row>
    <row r="5245" spans="1:40" x14ac:dyDescent="0.25">
      <c r="A5245" t="str">
        <f>"20190304155741008"</f>
        <v>20190304155741008</v>
      </c>
      <c r="B5245" t="str">
        <f>"1551686260999639"</f>
        <v>1551686260999639</v>
      </c>
      <c r="C5245" t="s">
        <v>40</v>
      </c>
      <c r="D5245">
        <v>4.2922099999999999</v>
      </c>
      <c r="E5245">
        <v>0.48920419999999998</v>
      </c>
      <c r="F5245" t="s">
        <v>84</v>
      </c>
      <c r="G5245">
        <v>-415.37490000000003</v>
      </c>
      <c r="H5245" s="1">
        <v>-1.1724230000000001E-5</v>
      </c>
      <c r="I5245">
        <v>18.44378</v>
      </c>
      <c r="J5245">
        <v>-421.91980000000001</v>
      </c>
      <c r="K5245">
        <v>1.1134919999999999</v>
      </c>
      <c r="L5245">
        <v>43.636960000000002</v>
      </c>
      <c r="M5245">
        <v>9.9486069999999996E-2</v>
      </c>
      <c r="N5245">
        <v>-1.3278379999999999E-2</v>
      </c>
      <c r="O5245">
        <v>-0.99495040000000001</v>
      </c>
      <c r="P5245">
        <v>0.2155289</v>
      </c>
      <c r="Q5245">
        <v>0.1662556</v>
      </c>
      <c r="R5245">
        <v>-0.96224030000000005</v>
      </c>
      <c r="S5245">
        <v>0.76663210000000004</v>
      </c>
      <c r="T5245">
        <v>-0.1298261</v>
      </c>
      <c r="U5245">
        <v>-2.9689329999999998</v>
      </c>
      <c r="V5245">
        <v>-0.1201578</v>
      </c>
      <c r="W5245">
        <v>0.17827950000000001</v>
      </c>
      <c r="X5245">
        <v>0.97661580000000003</v>
      </c>
      <c r="Y5245">
        <v>-0.15227879999999999</v>
      </c>
      <c r="Z5245">
        <v>2.9311070000000002E-2</v>
      </c>
      <c r="AA5245">
        <v>0.98790279999999997</v>
      </c>
      <c r="AB5245">
        <v>30</v>
      </c>
      <c r="AC5245">
        <v>6.5448999999999797</v>
      </c>
      <c r="AD5245">
        <v>-1.1135037242300001</v>
      </c>
      <c r="AE5245">
        <v>-25.193179999999899</v>
      </c>
      <c r="AF5245">
        <v>-3.9985160551054699</v>
      </c>
      <c r="AG5245">
        <v>-1.1135037242300001</v>
      </c>
      <c r="AH5245">
        <v>25.672376462989199</v>
      </c>
      <c r="AI5245">
        <v>92.454018012419695</v>
      </c>
      <c r="AJ5245">
        <v>98.852786485089297</v>
      </c>
      <c r="AK5245">
        <v>26.005748103914499</v>
      </c>
      <c r="AL5245">
        <v>79.730437909806795</v>
      </c>
      <c r="AM5245">
        <v>97.014128338554698</v>
      </c>
      <c r="AN5245">
        <v>0.99999994891536303</v>
      </c>
    </row>
    <row r="5246" spans="1:40" x14ac:dyDescent="0.25">
      <c r="A5246" t="str">
        <f>"20190304155741030"</f>
        <v>20190304155741030</v>
      </c>
      <c r="B5246" t="str">
        <f>"1551686261020134"</f>
        <v>1551686261020134</v>
      </c>
      <c r="C5246" t="s">
        <v>40</v>
      </c>
      <c r="D5246">
        <v>4.3084009999999999</v>
      </c>
      <c r="E5246">
        <v>0.48933739999999998</v>
      </c>
      <c r="F5246" t="s">
        <v>84</v>
      </c>
      <c r="G5246">
        <v>-413.22789999999998</v>
      </c>
      <c r="H5246">
        <v>7.9986570000000007E-2</v>
      </c>
      <c r="I5246">
        <v>8.1277789999999897</v>
      </c>
      <c r="J5246">
        <v>-421.8852</v>
      </c>
      <c r="K5246">
        <v>1.1136079999999999</v>
      </c>
      <c r="L5246">
        <v>43.338099999999997</v>
      </c>
      <c r="M5246">
        <v>0.1039675</v>
      </c>
      <c r="N5246">
        <v>-1.3285470000000001E-2</v>
      </c>
      <c r="O5246">
        <v>-0.99449219999999905</v>
      </c>
      <c r="P5246">
        <v>0.22079499999999999</v>
      </c>
      <c r="Q5246">
        <v>0.16695979999999999</v>
      </c>
      <c r="R5246">
        <v>-0.96092370000000005</v>
      </c>
      <c r="S5246">
        <v>0.72695919999999903</v>
      </c>
      <c r="T5246">
        <v>-8.6438299999999996E-2</v>
      </c>
      <c r="U5246">
        <v>-2.969849</v>
      </c>
      <c r="V5246">
        <v>-0.1211757</v>
      </c>
      <c r="W5246">
        <v>0.1789462</v>
      </c>
      <c r="X5246">
        <v>0.97636809999999996</v>
      </c>
      <c r="Y5246">
        <v>-0.13541239999999999</v>
      </c>
      <c r="Z5246">
        <v>1.518945E-2</v>
      </c>
      <c r="AA5246">
        <v>0.99067289999999997</v>
      </c>
      <c r="AB5246">
        <v>30</v>
      </c>
      <c r="AC5246">
        <v>8.65730000000001</v>
      </c>
      <c r="AD5246">
        <v>-1.03362143</v>
      </c>
      <c r="AE5246">
        <v>-35.210321</v>
      </c>
      <c r="AF5246">
        <v>-4.9453052030997702</v>
      </c>
      <c r="AG5246">
        <v>-1.03362143</v>
      </c>
      <c r="AH5246">
        <v>35.890463355710303</v>
      </c>
      <c r="AI5246">
        <v>91.634192542740394</v>
      </c>
      <c r="AJ5246">
        <v>97.845317937847796</v>
      </c>
      <c r="AK5246">
        <v>36.244306817760297</v>
      </c>
      <c r="AL5246">
        <v>79.691614829598805</v>
      </c>
      <c r="AM5246">
        <v>97.074724404596495</v>
      </c>
      <c r="AN5246">
        <v>0.99999997973126897</v>
      </c>
    </row>
    <row r="5247" spans="1:40" x14ac:dyDescent="0.25">
      <c r="A5247" t="str">
        <f>"20190304155741053"</f>
        <v>20190304155741053</v>
      </c>
      <c r="B5247" t="str">
        <f>"1551686261050392"</f>
        <v>1551686261050392</v>
      </c>
      <c r="C5247" t="s">
        <v>40</v>
      </c>
      <c r="D5247">
        <v>4.3081690000000004</v>
      </c>
      <c r="E5247">
        <v>0.49024390000000001</v>
      </c>
      <c r="F5247" t="s">
        <v>84</v>
      </c>
      <c r="G5247">
        <v>-413.16879999999998</v>
      </c>
      <c r="H5247">
        <v>7.9986559999999998E-2</v>
      </c>
      <c r="I5247">
        <v>8.4766349999999999</v>
      </c>
      <c r="J5247">
        <v>-421.85050000000001</v>
      </c>
      <c r="K5247">
        <v>1.1137269999999999</v>
      </c>
      <c r="L5247">
        <v>43.051969999999997</v>
      </c>
      <c r="M5247">
        <v>0.1084157</v>
      </c>
      <c r="N5247">
        <v>-1.329325E-2</v>
      </c>
      <c r="O5247">
        <v>-0.99401669999999998</v>
      </c>
      <c r="P5247">
        <v>0.22614509999999999</v>
      </c>
      <c r="Q5247">
        <v>0.16715139999999901</v>
      </c>
      <c r="R5247">
        <v>-0.95964519999999998</v>
      </c>
      <c r="S5247">
        <v>0.74179079999999997</v>
      </c>
      <c r="T5247">
        <v>-8.7964650000000005E-2</v>
      </c>
      <c r="U5247">
        <v>-2.9668269999999999</v>
      </c>
      <c r="V5247">
        <v>-0.12230439999999999</v>
      </c>
      <c r="W5247">
        <v>0.1791005</v>
      </c>
      <c r="X5247">
        <v>0.97619909999999999</v>
      </c>
      <c r="Y5247">
        <v>-0.13587679999999999</v>
      </c>
      <c r="Z5247">
        <v>1.5681870000000001E-2</v>
      </c>
      <c r="AA5247">
        <v>0.99060159999999997</v>
      </c>
      <c r="AB5247">
        <v>30</v>
      </c>
      <c r="AC5247">
        <v>8.6817000000000295</v>
      </c>
      <c r="AD5247">
        <v>-1.0337404400000001</v>
      </c>
      <c r="AE5247">
        <v>-34.575334999999903</v>
      </c>
      <c r="AF5247">
        <v>-4.8775758008779997</v>
      </c>
      <c r="AG5247">
        <v>-1.0337404400000001</v>
      </c>
      <c r="AH5247">
        <v>35.283146312445901</v>
      </c>
      <c r="AI5247">
        <v>91.662395255900705</v>
      </c>
      <c r="AJ5247">
        <v>97.870738121327307</v>
      </c>
      <c r="AK5247">
        <v>35.633688816849499</v>
      </c>
      <c r="AL5247">
        <v>79.682629332344504</v>
      </c>
      <c r="AM5247">
        <v>97.141168737913503</v>
      </c>
      <c r="AN5247">
        <v>1.0000000191002001</v>
      </c>
    </row>
    <row r="5248" spans="1:40" x14ac:dyDescent="0.25">
      <c r="A5248" t="str">
        <f>"20190304155741075"</f>
        <v>20190304155741075</v>
      </c>
      <c r="B5248" t="str">
        <f>"1551686261069911"</f>
        <v>1551686261069911</v>
      </c>
      <c r="C5248" t="s">
        <v>40</v>
      </c>
      <c r="D5248">
        <v>4.2916220000000003</v>
      </c>
      <c r="E5248">
        <v>0.4906819</v>
      </c>
      <c r="F5248" t="s">
        <v>84</v>
      </c>
      <c r="G5248">
        <v>-413.05919999999998</v>
      </c>
      <c r="H5248">
        <v>7.9986550000000003E-2</v>
      </c>
      <c r="I5248">
        <v>8.3798979999999901</v>
      </c>
      <c r="J5248">
        <v>-421.81279999999998</v>
      </c>
      <c r="K5248">
        <v>1.113836</v>
      </c>
      <c r="L5248">
        <v>42.753810000000001</v>
      </c>
      <c r="M5248">
        <v>0.1131847</v>
      </c>
      <c r="N5248">
        <v>-1.3301210000000001E-2</v>
      </c>
      <c r="O5248">
        <v>-0.99348510000000001</v>
      </c>
      <c r="P5248">
        <v>0.23207359999999999</v>
      </c>
      <c r="Q5248">
        <v>0.16730490000000001</v>
      </c>
      <c r="R5248">
        <v>-0.9582022</v>
      </c>
      <c r="S5248">
        <v>0.75164790000000004</v>
      </c>
      <c r="T5248">
        <v>-8.8383439999999994E-2</v>
      </c>
      <c r="U5248">
        <v>-2.9644170000000001</v>
      </c>
      <c r="V5248">
        <v>-0.12370929999999999</v>
      </c>
      <c r="W5248">
        <v>0.1792155</v>
      </c>
      <c r="X5248">
        <v>0.97600089999999995</v>
      </c>
      <c r="Y5248">
        <v>-0.134409</v>
      </c>
      <c r="Z5248">
        <v>1.5812280000000001E-2</v>
      </c>
      <c r="AA5248">
        <v>0.99079980000000001</v>
      </c>
      <c r="AB5248">
        <v>29</v>
      </c>
      <c r="AC5248">
        <v>8.7536000000000005</v>
      </c>
      <c r="AD5248">
        <v>-1.0338494499999999</v>
      </c>
      <c r="AE5248">
        <v>-34.373911999999997</v>
      </c>
      <c r="AF5248">
        <v>-4.8023150194240296</v>
      </c>
      <c r="AG5248">
        <v>-1.0338494499999999</v>
      </c>
      <c r="AH5248">
        <v>35.114016305805599</v>
      </c>
      <c r="AI5248">
        <v>91.670906796464394</v>
      </c>
      <c r="AJ5248">
        <v>97.787655866943297</v>
      </c>
      <c r="AK5248">
        <v>35.455961633488897</v>
      </c>
      <c r="AL5248">
        <v>79.675931460342795</v>
      </c>
      <c r="AM5248">
        <v>97.223788545953198</v>
      </c>
      <c r="AN5248">
        <v>0.99999997157377396</v>
      </c>
    </row>
    <row r="5249" spans="1:40" x14ac:dyDescent="0.25">
      <c r="A5249" t="str">
        <f>"20190304155741097"</f>
        <v>20190304155741097</v>
      </c>
      <c r="B5249" t="str">
        <f>"1551686261090410"</f>
        <v>1551686261090410</v>
      </c>
      <c r="C5249" t="s">
        <v>40</v>
      </c>
      <c r="D5249">
        <v>4.2990899999999996</v>
      </c>
      <c r="E5249">
        <v>0.49114760000000002</v>
      </c>
      <c r="F5249" t="s">
        <v>84</v>
      </c>
      <c r="G5249">
        <v>-412.70929999999998</v>
      </c>
      <c r="H5249">
        <v>7.9986559999999998E-2</v>
      </c>
      <c r="I5249">
        <v>7.5880549999999998</v>
      </c>
      <c r="J5249">
        <v>-421.77589999999998</v>
      </c>
      <c r="K5249">
        <v>1.1139319999999999</v>
      </c>
      <c r="L5249">
        <v>42.472560000000001</v>
      </c>
      <c r="M5249">
        <v>0.1178172</v>
      </c>
      <c r="N5249">
        <v>-1.3308159999999999E-2</v>
      </c>
      <c r="O5249">
        <v>-0.9929462</v>
      </c>
      <c r="P5249">
        <v>0.23707300000000001</v>
      </c>
      <c r="Q5249">
        <v>0.16761400000000001</v>
      </c>
      <c r="R5249">
        <v>-0.95692310000000003</v>
      </c>
      <c r="S5249">
        <v>0.76638790000000001</v>
      </c>
      <c r="T5249">
        <v>-8.7035180000000004E-2</v>
      </c>
      <c r="U5249">
        <v>-2.9604490000000001</v>
      </c>
      <c r="V5249">
        <v>-0.1243046</v>
      </c>
      <c r="W5249">
        <v>0.17949599999999999</v>
      </c>
      <c r="X5249">
        <v>0.97587369999999996</v>
      </c>
      <c r="Y5249">
        <v>-0.134734299999999</v>
      </c>
      <c r="Z5249">
        <v>1.5371869999999999E-2</v>
      </c>
      <c r="AA5249">
        <v>0.99076249999999999</v>
      </c>
      <c r="AB5249">
        <v>29</v>
      </c>
      <c r="AC5249">
        <v>9.0665999999999904</v>
      </c>
      <c r="AD5249">
        <v>-1.0339454400000001</v>
      </c>
      <c r="AE5249">
        <v>-34.884504999999898</v>
      </c>
      <c r="AF5249">
        <v>-4.88906109099596</v>
      </c>
      <c r="AG5249">
        <v>-1.0339454400000001</v>
      </c>
      <c r="AH5249">
        <v>35.680436603006399</v>
      </c>
      <c r="AI5249">
        <v>91.6444912903047</v>
      </c>
      <c r="AJ5249">
        <v>97.802284331601001</v>
      </c>
      <c r="AK5249">
        <v>36.028676324638198</v>
      </c>
      <c r="AL5249">
        <v>79.659594997757793</v>
      </c>
      <c r="AM5249">
        <v>97.259116196391503</v>
      </c>
      <c r="AN5249">
        <v>0.99999996297442395</v>
      </c>
    </row>
    <row r="5250" spans="1:40" x14ac:dyDescent="0.25">
      <c r="A5250" t="str">
        <f>"20190304155741120"</f>
        <v>20190304155741120</v>
      </c>
      <c r="B5250" t="str">
        <f>"1551686261109927"</f>
        <v>1551686261109927</v>
      </c>
      <c r="C5250" t="s">
        <v>40</v>
      </c>
      <c r="D5250">
        <v>4.2900049999999998</v>
      </c>
      <c r="E5250">
        <v>0.49148239999999999</v>
      </c>
      <c r="F5250" t="s">
        <v>84</v>
      </c>
      <c r="G5250">
        <v>-412.43290000000002</v>
      </c>
      <c r="H5250">
        <v>7.9986559999999998E-2</v>
      </c>
      <c r="I5250">
        <v>6.999371</v>
      </c>
      <c r="J5250">
        <v>-421.73430000000002</v>
      </c>
      <c r="K5250">
        <v>1.114036</v>
      </c>
      <c r="L5250">
        <v>42.169429999999998</v>
      </c>
      <c r="M5250">
        <v>0.1229703</v>
      </c>
      <c r="N5250">
        <v>-1.3316130000000001E-2</v>
      </c>
      <c r="O5250">
        <v>-0.99232129999999996</v>
      </c>
      <c r="P5250">
        <v>0.2428381</v>
      </c>
      <c r="Q5250">
        <v>0.16805619999999999</v>
      </c>
      <c r="R5250">
        <v>-0.955399</v>
      </c>
      <c r="S5250">
        <v>0.77886959999999905</v>
      </c>
      <c r="T5250">
        <v>-8.6193679999999995E-2</v>
      </c>
      <c r="U5250">
        <v>-2.9571839999999998</v>
      </c>
      <c r="V5250">
        <v>-0.12518479999999901</v>
      </c>
      <c r="W5250">
        <v>0.17990320000000001</v>
      </c>
      <c r="X5250">
        <v>0.97568630000000001</v>
      </c>
      <c r="Y5250">
        <v>-0.1337719</v>
      </c>
      <c r="Z5250">
        <v>1.509157E-2</v>
      </c>
      <c r="AA5250">
        <v>0.99089720000000003</v>
      </c>
      <c r="AB5250">
        <v>29</v>
      </c>
      <c r="AC5250">
        <v>9.3013999999999992</v>
      </c>
      <c r="AD5250">
        <v>-1.03404944</v>
      </c>
      <c r="AE5250">
        <v>-35.170058999999902</v>
      </c>
      <c r="AF5250">
        <v>-4.9015780153980799</v>
      </c>
      <c r="AG5250">
        <v>-1.03404944</v>
      </c>
      <c r="AH5250">
        <v>36.017880245398302</v>
      </c>
      <c r="AI5250">
        <v>91.629460911842102</v>
      </c>
      <c r="AJ5250">
        <v>97.749624606908398</v>
      </c>
      <c r="AK5250">
        <v>36.364576481202903</v>
      </c>
      <c r="AL5250">
        <v>79.635879262084202</v>
      </c>
      <c r="AM5250">
        <v>97.311352723485697</v>
      </c>
      <c r="AN5250">
        <v>1.00000007576448</v>
      </c>
    </row>
    <row r="5251" spans="1:40" x14ac:dyDescent="0.25">
      <c r="A5251" t="str">
        <f>"20190304155741137"</f>
        <v>20190304155741137</v>
      </c>
      <c r="B5251" t="str">
        <f>"1551686261130423"</f>
        <v>1551686261130423</v>
      </c>
      <c r="C5251" t="s">
        <v>40</v>
      </c>
      <c r="D5251">
        <v>4.2997620000000003</v>
      </c>
      <c r="E5251">
        <v>0.49810880000000002</v>
      </c>
      <c r="F5251" t="s">
        <v>84</v>
      </c>
      <c r="G5251">
        <v>-412.017</v>
      </c>
      <c r="H5251">
        <v>7.9986570000000007E-2</v>
      </c>
      <c r="I5251">
        <v>6.0832819999999996</v>
      </c>
      <c r="J5251">
        <v>-421.70499999999998</v>
      </c>
      <c r="K5251">
        <v>1.114114</v>
      </c>
      <c r="L5251">
        <v>41.962429999999998</v>
      </c>
      <c r="M5251">
        <v>0.1265868</v>
      </c>
      <c r="N5251">
        <v>-1.332234E-2</v>
      </c>
      <c r="O5251">
        <v>-0.99186620000000003</v>
      </c>
      <c r="P5251">
        <v>0.24666260000000001</v>
      </c>
      <c r="Q5251">
        <v>0.16856119999999999</v>
      </c>
      <c r="R5251">
        <v>-0.95432950000000005</v>
      </c>
      <c r="S5251">
        <v>0.7951355</v>
      </c>
      <c r="T5251">
        <v>-8.4613079999999993E-2</v>
      </c>
      <c r="U5251">
        <v>-2.95282</v>
      </c>
      <c r="V5251">
        <v>-0.12558710000000001</v>
      </c>
      <c r="W5251">
        <v>0.18038489999999999</v>
      </c>
      <c r="X5251">
        <v>0.97554560000000001</v>
      </c>
      <c r="Y5251">
        <v>-0.13561809999999999</v>
      </c>
      <c r="Z5251">
        <v>1.457727E-2</v>
      </c>
      <c r="AA5251">
        <v>0.99065389999999998</v>
      </c>
      <c r="AB5251">
        <v>29</v>
      </c>
      <c r="AC5251">
        <v>9.6879999999999793</v>
      </c>
      <c r="AD5251">
        <v>-1.0341274300000001</v>
      </c>
      <c r="AE5251">
        <v>-35.879148000000001</v>
      </c>
      <c r="AF5251">
        <v>-5.0639013993286204</v>
      </c>
      <c r="AG5251">
        <v>-1.0341274300000001</v>
      </c>
      <c r="AH5251">
        <v>36.788464907970301</v>
      </c>
      <c r="AI5251">
        <v>91.595133144755295</v>
      </c>
      <c r="AJ5251">
        <v>97.837464164091401</v>
      </c>
      <c r="AK5251">
        <v>37.149746529533203</v>
      </c>
      <c r="AL5251">
        <v>79.607820322219197</v>
      </c>
      <c r="AM5251">
        <v>97.335639720291397</v>
      </c>
      <c r="AN5251">
        <v>1.0000000247568801</v>
      </c>
    </row>
    <row r="5252" spans="1:40" x14ac:dyDescent="0.25">
      <c r="A5252" t="str">
        <f>"20190304155741153"</f>
        <v>20190304155741153</v>
      </c>
      <c r="B5252" t="str">
        <f>"1551686261149944"</f>
        <v>1551686261149944</v>
      </c>
      <c r="C5252" t="s">
        <v>40</v>
      </c>
      <c r="D5252">
        <v>4.2817020000000001</v>
      </c>
      <c r="E5252">
        <v>0.49395729999999999</v>
      </c>
      <c r="F5252" t="s">
        <v>44</v>
      </c>
      <c r="G5252">
        <v>-410.02339999999998</v>
      </c>
      <c r="H5252">
        <v>-0.05</v>
      </c>
      <c r="I5252">
        <v>-3.8361510000000001</v>
      </c>
      <c r="J5252">
        <v>-421.67360000000002</v>
      </c>
      <c r="K5252">
        <v>1.1141989999999999</v>
      </c>
      <c r="L5252">
        <v>41.747160000000001</v>
      </c>
      <c r="M5252">
        <v>0.13043279999999999</v>
      </c>
      <c r="N5252">
        <v>-1.3329489999999999E-2</v>
      </c>
      <c r="O5252">
        <v>-0.99136760000000002</v>
      </c>
      <c r="P5252">
        <v>0.25136540000000002</v>
      </c>
      <c r="Q5252">
        <v>0.16866600000000001</v>
      </c>
      <c r="R5252">
        <v>-0.95308269999999995</v>
      </c>
      <c r="S5252">
        <v>0.75540160000000001</v>
      </c>
      <c r="T5252">
        <v>-7.5278520000000002E-2</v>
      </c>
      <c r="U5252">
        <v>-2.9616090000000002</v>
      </c>
      <c r="V5252">
        <v>-0.12665799999999999</v>
      </c>
      <c r="W5252">
        <v>0.18045800000000001</v>
      </c>
      <c r="X5252">
        <v>0.97539359999999997</v>
      </c>
      <c r="Y5252">
        <v>-0.1185963</v>
      </c>
      <c r="Z5252">
        <v>1.149263E-2</v>
      </c>
      <c r="AA5252">
        <v>0.99287610000000004</v>
      </c>
      <c r="AB5252">
        <v>29</v>
      </c>
      <c r="AC5252">
        <v>11.6502</v>
      </c>
      <c r="AD5252">
        <v>-1.164199</v>
      </c>
      <c r="AE5252">
        <v>-45.583311000000002</v>
      </c>
      <c r="AF5252">
        <v>-5.6011399792571597</v>
      </c>
      <c r="AG5252">
        <v>-1.164199</v>
      </c>
      <c r="AH5252">
        <v>46.684948341926599</v>
      </c>
      <c r="AI5252">
        <v>91.4183414237569</v>
      </c>
      <c r="AJ5252">
        <v>96.841498428331903</v>
      </c>
      <c r="AK5252">
        <v>47.034163435392301</v>
      </c>
      <c r="AL5252">
        <v>79.603561932686503</v>
      </c>
      <c r="AM5252">
        <v>97.398641879451205</v>
      </c>
      <c r="AN5252">
        <v>1.0000000068244701</v>
      </c>
    </row>
    <row r="5253" spans="1:40" x14ac:dyDescent="0.25">
      <c r="A5253" t="str">
        <f>"20190304155741177"</f>
        <v>20190304155741177</v>
      </c>
      <c r="B5253" t="str">
        <f>"1551686261170439"</f>
        <v>1551686261170439</v>
      </c>
      <c r="C5253" t="s">
        <v>40</v>
      </c>
      <c r="D5253">
        <v>4.5174669999999999</v>
      </c>
      <c r="E5253">
        <v>0.45728439999999998</v>
      </c>
      <c r="F5253" t="s">
        <v>83</v>
      </c>
      <c r="G5253">
        <v>-410.46679999999998</v>
      </c>
      <c r="H5253">
        <v>0.25215959999999998</v>
      </c>
      <c r="I5253">
        <v>0.57433889999999999</v>
      </c>
      <c r="J5253">
        <v>-421.62849999999997</v>
      </c>
      <c r="K5253">
        <v>1.1143299999999901</v>
      </c>
      <c r="L5253">
        <v>41.449129999999997</v>
      </c>
      <c r="M5253">
        <v>0.1359223</v>
      </c>
      <c r="N5253">
        <v>-1.334049E-2</v>
      </c>
      <c r="O5253">
        <v>-0.9906298</v>
      </c>
      <c r="P5253">
        <v>0.25810139999999998</v>
      </c>
      <c r="Q5253">
        <v>0.16861099999999901</v>
      </c>
      <c r="R5253">
        <v>-0.95129079999999999</v>
      </c>
      <c r="S5253">
        <v>0.80215449999999999</v>
      </c>
      <c r="T5253">
        <v>-6.1704519999999999E-2</v>
      </c>
      <c r="U5253">
        <v>-2.9470519999999998</v>
      </c>
      <c r="V5253">
        <v>-0.1282142</v>
      </c>
      <c r="W5253">
        <v>0.18035580000000001</v>
      </c>
      <c r="X5253">
        <v>0.9752092</v>
      </c>
      <c r="Y5253">
        <v>-0.12899840000000001</v>
      </c>
      <c r="Z5253">
        <v>7.0906969999999904E-3</v>
      </c>
      <c r="AA5253">
        <v>0.99161949999999999</v>
      </c>
      <c r="AB5253">
        <v>29</v>
      </c>
      <c r="AC5253">
        <v>11.1616999999999</v>
      </c>
      <c r="AD5253">
        <v>-0.862170399999999</v>
      </c>
      <c r="AE5253">
        <v>-40.874791100000003</v>
      </c>
      <c r="AF5253">
        <v>-5.4995289333935498</v>
      </c>
      <c r="AG5253">
        <v>-0.862170399999999</v>
      </c>
      <c r="AH5253">
        <v>41.9952559591623</v>
      </c>
      <c r="AI5253">
        <v>91.166173435203206</v>
      </c>
      <c r="AJ5253">
        <v>97.460767563879202</v>
      </c>
      <c r="AK5253">
        <v>42.362597646549297</v>
      </c>
      <c r="AL5253">
        <v>79.609515588436906</v>
      </c>
      <c r="AM5253">
        <v>97.489920609305003</v>
      </c>
      <c r="AN5253">
        <v>1.00000003971995</v>
      </c>
    </row>
    <row r="5254" spans="1:40" x14ac:dyDescent="0.25">
      <c r="A5254" t="str">
        <f>"20190304155741197"</f>
        <v>20190304155741197</v>
      </c>
      <c r="B5254" t="str">
        <f>"1551686261189959"</f>
        <v>1551686261189959</v>
      </c>
      <c r="C5254" t="s">
        <v>40</v>
      </c>
      <c r="D5254">
        <v>3.7736070000000002</v>
      </c>
      <c r="E5254">
        <v>0.40778710000000001</v>
      </c>
      <c r="F5254" t="s">
        <v>84</v>
      </c>
      <c r="G5254">
        <v>-410.8759</v>
      </c>
      <c r="H5254" s="1">
        <v>-1.1258670000000001E-5</v>
      </c>
      <c r="I5254">
        <v>13.49944</v>
      </c>
      <c r="J5254">
        <v>-421.5856</v>
      </c>
      <c r="K5254">
        <v>1.1144540000000001</v>
      </c>
      <c r="L5254">
        <v>41.176699999999997</v>
      </c>
      <c r="M5254">
        <v>0.14108799999999999</v>
      </c>
      <c r="N5254">
        <v>-1.335097E-2</v>
      </c>
      <c r="O5254">
        <v>-0.98990699999999998</v>
      </c>
      <c r="P5254">
        <v>0.26402629999999999</v>
      </c>
      <c r="Q5254">
        <v>0.16906360000000001</v>
      </c>
      <c r="R5254">
        <v>-0.94958279999999995</v>
      </c>
      <c r="S5254">
        <v>1.1056520000000001</v>
      </c>
      <c r="T5254">
        <v>-0.11458359999999999</v>
      </c>
      <c r="U5254">
        <v>-2.8739620000000001</v>
      </c>
      <c r="V5254">
        <v>-0.1292779</v>
      </c>
      <c r="W5254">
        <v>0.1807676</v>
      </c>
      <c r="X5254">
        <v>0.97499250000000004</v>
      </c>
      <c r="Y5254">
        <v>-0.22359490000000001</v>
      </c>
      <c r="Z5254">
        <v>2.4409400000000001E-2</v>
      </c>
      <c r="AA5254">
        <v>0.97437649999999998</v>
      </c>
      <c r="AB5254">
        <v>29</v>
      </c>
      <c r="AC5254">
        <v>10.7096999999999</v>
      </c>
      <c r="AD5254">
        <v>-1.1144652586699999</v>
      </c>
      <c r="AE5254">
        <v>-27.67726</v>
      </c>
      <c r="AF5254">
        <v>-6.6878434313624702</v>
      </c>
      <c r="AG5254">
        <v>-1.1144652586699999</v>
      </c>
      <c r="AH5254">
        <v>28.870786698944599</v>
      </c>
      <c r="AI5254">
        <v>92.153652304109897</v>
      </c>
      <c r="AJ5254">
        <v>103.04238037009701</v>
      </c>
      <c r="AK5254">
        <v>29.6562237513673</v>
      </c>
      <c r="AL5254">
        <v>79.585526881258403</v>
      </c>
      <c r="AM5254">
        <v>97.553003831455797</v>
      </c>
      <c r="AN5254">
        <v>1.0000000378472</v>
      </c>
    </row>
    <row r="5255" spans="1:40" x14ac:dyDescent="0.25">
      <c r="A5255" t="str">
        <f>"20190304155741221"</f>
        <v>20190304155741221</v>
      </c>
      <c r="B5255" t="str">
        <f>"1551686261210455"</f>
        <v>1551686261210455</v>
      </c>
      <c r="C5255" t="s">
        <v>40</v>
      </c>
      <c r="D5255">
        <v>3.935524</v>
      </c>
      <c r="E5255">
        <v>0.4058639</v>
      </c>
      <c r="F5255" t="s">
        <v>83</v>
      </c>
      <c r="G5255">
        <v>-399.44290000000001</v>
      </c>
      <c r="H5255">
        <v>0.19405059999999999</v>
      </c>
      <c r="I5255">
        <v>0.68645480000000003</v>
      </c>
      <c r="J5255">
        <v>-421.53809999999999</v>
      </c>
      <c r="K5255">
        <v>1.1145750000000001</v>
      </c>
      <c r="L5255">
        <v>40.885860000000001</v>
      </c>
      <c r="M5255">
        <v>0.14676169999999999</v>
      </c>
      <c r="N5255">
        <v>-1.336215E-2</v>
      </c>
      <c r="O5255">
        <v>-0.98908169999999995</v>
      </c>
      <c r="P5255">
        <v>0.27057109999999901</v>
      </c>
      <c r="Q5255">
        <v>0.1685323</v>
      </c>
      <c r="R5255">
        <v>-0.94783329999999999</v>
      </c>
      <c r="S5255">
        <v>1.5049440000000001</v>
      </c>
      <c r="T5255">
        <v>-6.2557699999999994E-2</v>
      </c>
      <c r="U5255">
        <v>-2.7519529999999999</v>
      </c>
      <c r="V5255">
        <v>-0.1304526</v>
      </c>
      <c r="W5255">
        <v>0.18019489999999999</v>
      </c>
      <c r="X5255">
        <v>0.97494199999999998</v>
      </c>
      <c r="Y5255">
        <v>-0.34574680000000002</v>
      </c>
      <c r="Z5255">
        <v>7.3802800000000003E-3</v>
      </c>
      <c r="AA5255">
        <v>0.93829879999999999</v>
      </c>
      <c r="AB5255">
        <v>29</v>
      </c>
      <c r="AC5255">
        <v>22.095199999999899</v>
      </c>
      <c r="AD5255">
        <v>-0.92052440000000002</v>
      </c>
      <c r="AE5255">
        <v>-40.199405200000001</v>
      </c>
      <c r="AF5255">
        <v>-15.9492253797363</v>
      </c>
      <c r="AG5255">
        <v>-0.92052440000000002</v>
      </c>
      <c r="AH5255">
        <v>42.9897492907333</v>
      </c>
      <c r="AI5255">
        <v>91.150090402650406</v>
      </c>
      <c r="AJ5255">
        <v>110.354887062803</v>
      </c>
      <c r="AK5255">
        <v>45.862225190942603</v>
      </c>
      <c r="AL5255">
        <v>79.618887546086597</v>
      </c>
      <c r="AM5255">
        <v>97.621222232789094</v>
      </c>
      <c r="AN5255">
        <v>0.99999999309838505</v>
      </c>
    </row>
    <row r="5256" spans="1:40" x14ac:dyDescent="0.25">
      <c r="A5256" t="str">
        <f>"20190304155741242"</f>
        <v>20190304155741242</v>
      </c>
      <c r="B5256" t="str">
        <f>"1551686261239735"</f>
        <v>1551686261239735</v>
      </c>
      <c r="C5256" t="s">
        <v>40</v>
      </c>
      <c r="D5256">
        <v>3.9237579999999999</v>
      </c>
      <c r="E5256">
        <v>0.405024</v>
      </c>
      <c r="F5256" t="s">
        <v>83</v>
      </c>
      <c r="G5256">
        <v>-398.93599999999998</v>
      </c>
      <c r="H5256">
        <v>0.19993379999999999</v>
      </c>
      <c r="I5256">
        <v>0.69160840000000001</v>
      </c>
      <c r="J5256">
        <v>-421.48989999999998</v>
      </c>
      <c r="K5256">
        <v>1.114687</v>
      </c>
      <c r="L5256">
        <v>40.602139999999999</v>
      </c>
      <c r="M5256">
        <v>0.15246009999999999</v>
      </c>
      <c r="N5256">
        <v>-1.3373100000000001E-2</v>
      </c>
      <c r="O5256">
        <v>-0.98821930000000002</v>
      </c>
      <c r="P5256">
        <v>0.27763729999999998</v>
      </c>
      <c r="Q5256">
        <v>0.1681137</v>
      </c>
      <c r="R5256">
        <v>-0.9458626</v>
      </c>
      <c r="S5256">
        <v>1.5390010000000001</v>
      </c>
      <c r="T5256">
        <v>-6.2280769999999999E-2</v>
      </c>
      <c r="U5256">
        <v>-2.7368769999999998</v>
      </c>
      <c r="V5256">
        <v>-0.13214870000000001</v>
      </c>
      <c r="W5256">
        <v>0.1797291</v>
      </c>
      <c r="X5256">
        <v>0.97479959999999999</v>
      </c>
      <c r="Y5256">
        <v>-0.35142259999999997</v>
      </c>
      <c r="Z5256">
        <v>7.3027509999999997E-3</v>
      </c>
      <c r="AA5256">
        <v>0.93618849999999998</v>
      </c>
      <c r="AB5256">
        <v>29</v>
      </c>
      <c r="AC5256">
        <v>22.553899999999999</v>
      </c>
      <c r="AD5256">
        <v>-0.91475319999999904</v>
      </c>
      <c r="AE5256">
        <v>-39.910531599999999</v>
      </c>
      <c r="AF5256">
        <v>-16.198432460558401</v>
      </c>
      <c r="AG5256">
        <v>-0.91475319999999904</v>
      </c>
      <c r="AH5256">
        <v>42.865687627803801</v>
      </c>
      <c r="AI5256">
        <v>91.143599864545493</v>
      </c>
      <c r="AJ5256">
        <v>110.700981161526</v>
      </c>
      <c r="AK5256">
        <v>45.833319358307797</v>
      </c>
      <c r="AL5256">
        <v>79.646019413888098</v>
      </c>
      <c r="AM5256">
        <v>97.720237630133596</v>
      </c>
      <c r="AN5256">
        <v>1.00000004422932</v>
      </c>
    </row>
    <row r="5257" spans="1:40" x14ac:dyDescent="0.25">
      <c r="A5257" t="str">
        <f>"20190304155741265"</f>
        <v>20190304155741265</v>
      </c>
      <c r="B5257" t="str">
        <f>"1551686261260234"</f>
        <v>1551686261260234</v>
      </c>
      <c r="C5257" t="s">
        <v>40</v>
      </c>
      <c r="D5257">
        <v>3.8782239999999999</v>
      </c>
      <c r="E5257">
        <v>0.40456609999999998</v>
      </c>
      <c r="F5257" t="s">
        <v>83</v>
      </c>
      <c r="G5257">
        <v>-398.53840000000002</v>
      </c>
      <c r="H5257">
        <v>0.19463279999999999</v>
      </c>
      <c r="I5257">
        <v>0.69565010000000005</v>
      </c>
      <c r="J5257">
        <v>-421.43939999999998</v>
      </c>
      <c r="K5257">
        <v>1.1147990000000001</v>
      </c>
      <c r="L5257">
        <v>40.315890000000003</v>
      </c>
      <c r="M5257">
        <v>0.15837290000000001</v>
      </c>
      <c r="N5257">
        <v>-1.3384699999999999E-2</v>
      </c>
      <c r="O5257">
        <v>-0.98728879999999997</v>
      </c>
      <c r="P5257">
        <v>0.28454079999999998</v>
      </c>
      <c r="Q5257">
        <v>0.1679041</v>
      </c>
      <c r="R5257">
        <v>-0.94384590000000002</v>
      </c>
      <c r="S5257">
        <v>1.5661620000000001</v>
      </c>
      <c r="T5257">
        <v>-6.2784549999999995E-2</v>
      </c>
      <c r="U5257">
        <v>-2.7231450000000001</v>
      </c>
      <c r="V5257">
        <v>-0.13348279999999901</v>
      </c>
      <c r="W5257">
        <v>0.17947630000000001</v>
      </c>
      <c r="X5257">
        <v>0.97466430000000004</v>
      </c>
      <c r="Y5257">
        <v>-0.35487550000000001</v>
      </c>
      <c r="Z5257">
        <v>7.4846799999999996E-3</v>
      </c>
      <c r="AA5257">
        <v>0.93488360000000004</v>
      </c>
      <c r="AB5257">
        <v>29</v>
      </c>
      <c r="AC5257">
        <v>22.9009999999999</v>
      </c>
      <c r="AD5257">
        <v>-0.92016620000000005</v>
      </c>
      <c r="AE5257">
        <v>-39.620239899999902</v>
      </c>
      <c r="AF5257">
        <v>-16.329987166244202</v>
      </c>
      <c r="AG5257">
        <v>-0.92016620000000005</v>
      </c>
      <c r="AH5257">
        <v>42.730063709811397</v>
      </c>
      <c r="AI5257">
        <v>91.1523776466355</v>
      </c>
      <c r="AJ5257">
        <v>110.91516764897899</v>
      </c>
      <c r="AK5257">
        <v>45.753399123233102</v>
      </c>
      <c r="AL5257">
        <v>79.660742210353106</v>
      </c>
      <c r="AM5257">
        <v>97.798291918859505</v>
      </c>
      <c r="AN5257">
        <v>0.99999994892600796</v>
      </c>
    </row>
    <row r="5258" spans="1:40" x14ac:dyDescent="0.25">
      <c r="A5258" t="str">
        <f>"20190304155741287"</f>
        <v>20190304155741287</v>
      </c>
      <c r="B5258" t="str">
        <f>"1551686261279751"</f>
        <v>1551686261279751</v>
      </c>
      <c r="C5258" t="s">
        <v>40</v>
      </c>
      <c r="D5258">
        <v>3.8950779999999998</v>
      </c>
      <c r="E5258">
        <v>0.40450459999999999</v>
      </c>
      <c r="F5258" t="s">
        <v>83</v>
      </c>
      <c r="G5258">
        <v>-398.20350000000002</v>
      </c>
      <c r="H5258">
        <v>0.20619029999999999</v>
      </c>
      <c r="I5258">
        <v>0.69905660000000003</v>
      </c>
      <c r="J5258">
        <v>-421.38709999999998</v>
      </c>
      <c r="K5258">
        <v>1.114916</v>
      </c>
      <c r="L5258">
        <v>40.03</v>
      </c>
      <c r="M5258">
        <v>0.16444159999999999</v>
      </c>
      <c r="N5258">
        <v>-1.3396999999999999E-2</v>
      </c>
      <c r="O5258">
        <v>-0.9862959</v>
      </c>
      <c r="P5258">
        <v>0.29181400000000002</v>
      </c>
      <c r="Q5258">
        <v>0.16757369999999999</v>
      </c>
      <c r="R5258">
        <v>-0.9416814</v>
      </c>
      <c r="S5258">
        <v>1.5896300000000001</v>
      </c>
      <c r="T5258">
        <v>-6.2162160000000001E-2</v>
      </c>
      <c r="U5258">
        <v>-2.7102970000000002</v>
      </c>
      <c r="V5258">
        <v>-0.13505029999999901</v>
      </c>
      <c r="W5258">
        <v>0.1790996</v>
      </c>
      <c r="X5258">
        <v>0.97451770000000004</v>
      </c>
      <c r="Y5258">
        <v>-0.35708450000000003</v>
      </c>
      <c r="Z5258">
        <v>7.3045330000000002E-3</v>
      </c>
      <c r="AA5258">
        <v>0.93404350000000003</v>
      </c>
      <c r="AB5258">
        <v>29</v>
      </c>
      <c r="AC5258">
        <v>23.183599999999899</v>
      </c>
      <c r="AD5258">
        <v>-0.90872569999999997</v>
      </c>
      <c r="AE5258">
        <v>-39.330943400000002</v>
      </c>
      <c r="AF5258">
        <v>-16.393222599948299</v>
      </c>
      <c r="AG5258">
        <v>-0.90872569999999997</v>
      </c>
      <c r="AH5258">
        <v>42.591244248376803</v>
      </c>
      <c r="AI5258">
        <v>91.140720622247997</v>
      </c>
      <c r="AJ5258">
        <v>111.051542879808</v>
      </c>
      <c r="AK5258">
        <v>45.646222365428997</v>
      </c>
      <c r="AL5258">
        <v>79.682681535666106</v>
      </c>
      <c r="AM5258">
        <v>97.889893319149493</v>
      </c>
      <c r="AN5258">
        <v>0.99999999893177005</v>
      </c>
    </row>
    <row r="5259" spans="1:40" x14ac:dyDescent="0.25">
      <c r="A5259" t="str">
        <f>"20190304155741310"</f>
        <v>20190304155741310</v>
      </c>
      <c r="B5259" t="str">
        <f>"1551686261300247"</f>
        <v>1551686261300247</v>
      </c>
      <c r="C5259" t="s">
        <v>40</v>
      </c>
      <c r="D5259">
        <v>3.9235370000000001</v>
      </c>
      <c r="E5259">
        <v>0.40468159999999997</v>
      </c>
      <c r="F5259" t="s">
        <v>83</v>
      </c>
      <c r="G5259">
        <v>-397.90050000000002</v>
      </c>
      <c r="H5259">
        <v>0.18797469999999999</v>
      </c>
      <c r="I5259">
        <v>0.70213700000000001</v>
      </c>
      <c r="J5259">
        <v>-421.33350000000002</v>
      </c>
      <c r="K5259">
        <v>1.1150359999999999</v>
      </c>
      <c r="L5259">
        <v>39.747529999999998</v>
      </c>
      <c r="M5259">
        <v>0.1705952</v>
      </c>
      <c r="N5259">
        <v>-1.3409809999999999E-2</v>
      </c>
      <c r="O5259">
        <v>-0.98525010000000002</v>
      </c>
      <c r="P5259">
        <v>0.29977399999999998</v>
      </c>
      <c r="Q5259">
        <v>0.1670509</v>
      </c>
      <c r="R5259">
        <v>-0.93927099999999997</v>
      </c>
      <c r="S5259">
        <v>1.611145</v>
      </c>
      <c r="T5259">
        <v>-6.3588859999999997E-2</v>
      </c>
      <c r="U5259">
        <v>-2.697845</v>
      </c>
      <c r="V5259">
        <v>-0.13725010000000001</v>
      </c>
      <c r="W5259">
        <v>0.17852209999999999</v>
      </c>
      <c r="X5259">
        <v>0.97431630000000002</v>
      </c>
      <c r="Y5259">
        <v>-0.35863889999999998</v>
      </c>
      <c r="Z5259">
        <v>7.7882050000000003E-3</v>
      </c>
      <c r="AA5259">
        <v>0.93344380000000005</v>
      </c>
      <c r="AB5259">
        <v>29</v>
      </c>
      <c r="AC5259">
        <v>23.433</v>
      </c>
      <c r="AD5259">
        <v>-0.92706129999999998</v>
      </c>
      <c r="AE5259">
        <v>-39.045392999999997</v>
      </c>
      <c r="AF5259">
        <v>-16.4210777161531</v>
      </c>
      <c r="AG5259">
        <v>-0.92706129999999998</v>
      </c>
      <c r="AH5259">
        <v>42.4532518528111</v>
      </c>
      <c r="AI5259">
        <v>91.166765197471904</v>
      </c>
      <c r="AJ5259">
        <v>111.146658042837</v>
      </c>
      <c r="AK5259">
        <v>45.527901652636103</v>
      </c>
      <c r="AL5259">
        <v>79.716311773536603</v>
      </c>
      <c r="AM5259">
        <v>98.018387709384996</v>
      </c>
      <c r="AN5259">
        <v>0.99999999129205497</v>
      </c>
    </row>
    <row r="5260" spans="1:40" x14ac:dyDescent="0.25">
      <c r="A5260" t="str">
        <f>"20190304155741343"</f>
        <v>20190304155741343</v>
      </c>
      <c r="B5260" t="str">
        <f>"1551686261340263"</f>
        <v>1551686261340263</v>
      </c>
      <c r="C5260" t="s">
        <v>40</v>
      </c>
      <c r="D5260">
        <v>3.8858329999999999</v>
      </c>
      <c r="E5260">
        <v>0.4046342</v>
      </c>
      <c r="F5260" t="s">
        <v>83</v>
      </c>
      <c r="G5260">
        <v>-397.59750000000003</v>
      </c>
      <c r="H5260">
        <v>0.14739679999999999</v>
      </c>
      <c r="I5260">
        <v>0.70521929999999999</v>
      </c>
      <c r="J5260">
        <v>-421.24900000000002</v>
      </c>
      <c r="K5260">
        <v>1.1152120000000001</v>
      </c>
      <c r="L5260">
        <v>39.32443</v>
      </c>
      <c r="M5260">
        <v>0.1801345</v>
      </c>
      <c r="N5260">
        <v>-1.3430070000000001E-2</v>
      </c>
      <c r="O5260">
        <v>-0.98355040000000005</v>
      </c>
      <c r="P5260">
        <v>0.31092530000000002</v>
      </c>
      <c r="Q5260">
        <v>0.166379</v>
      </c>
      <c r="R5260">
        <v>-0.93575839999999999</v>
      </c>
      <c r="S5260">
        <v>1.632263</v>
      </c>
      <c r="T5260">
        <v>-6.6543939999999996E-2</v>
      </c>
      <c r="U5260">
        <v>-2.6848450000000001</v>
      </c>
      <c r="V5260">
        <v>-0.13945189999999999</v>
      </c>
      <c r="W5260">
        <v>0.1777812</v>
      </c>
      <c r="X5260">
        <v>0.97413910000000004</v>
      </c>
      <c r="Y5260">
        <v>-0.35695329999999997</v>
      </c>
      <c r="Z5260">
        <v>8.768718E-3</v>
      </c>
      <c r="AA5260">
        <v>0.9340811</v>
      </c>
      <c r="AB5260">
        <v>29</v>
      </c>
      <c r="AC5260">
        <v>23.651499999999999</v>
      </c>
      <c r="AD5260">
        <v>-0.96781519999999999</v>
      </c>
      <c r="AE5260">
        <v>-38.619210699999996</v>
      </c>
      <c r="AF5260">
        <v>-16.2998146870843</v>
      </c>
      <c r="AG5260">
        <v>-0.96781519999999999</v>
      </c>
      <c r="AH5260">
        <v>42.228910459512903</v>
      </c>
      <c r="AI5260">
        <v>91.224846465883999</v>
      </c>
      <c r="AJ5260">
        <v>111.105945017651</v>
      </c>
      <c r="AK5260">
        <v>45.275837967863197</v>
      </c>
      <c r="AL5260">
        <v>79.759452289446898</v>
      </c>
      <c r="AM5260">
        <v>98.146769646484103</v>
      </c>
      <c r="AN5260">
        <v>0.99999998681793001</v>
      </c>
    </row>
    <row r="5261" spans="1:40" x14ac:dyDescent="0.25">
      <c r="A5261" t="str">
        <f>"20190304155741366"</f>
        <v>20190304155741366</v>
      </c>
      <c r="B5261" t="str">
        <f>"1551686261359783"</f>
        <v>1551686261359783</v>
      </c>
      <c r="C5261" t="s">
        <v>40</v>
      </c>
      <c r="D5261">
        <v>4.0074740000000002</v>
      </c>
      <c r="E5261">
        <v>0.40485280000000001</v>
      </c>
      <c r="F5261" t="s">
        <v>83</v>
      </c>
      <c r="G5261">
        <v>-397.12909999999999</v>
      </c>
      <c r="H5261">
        <v>0.1202486</v>
      </c>
      <c r="I5261">
        <v>0.70998380000000005</v>
      </c>
      <c r="J5261">
        <v>-421.18720000000002</v>
      </c>
      <c r="K5261">
        <v>1.1153310000000001</v>
      </c>
      <c r="L5261">
        <v>39.027340000000002</v>
      </c>
      <c r="M5261">
        <v>0.18700939999999999</v>
      </c>
      <c r="N5261">
        <v>-1.344423E-2</v>
      </c>
      <c r="O5261">
        <v>-0.98226610000000003</v>
      </c>
      <c r="P5261">
        <v>0.31884319999999999</v>
      </c>
      <c r="Q5261">
        <v>0.16604340000000001</v>
      </c>
      <c r="R5261">
        <v>-0.93315000000000003</v>
      </c>
      <c r="S5261">
        <v>1.6646729999999901</v>
      </c>
      <c r="T5261">
        <v>-6.8670750000000003E-2</v>
      </c>
      <c r="U5261">
        <v>-2.6650390000000002</v>
      </c>
      <c r="V5261">
        <v>-0.14093120000000001</v>
      </c>
      <c r="W5261">
        <v>0.17739969999999999</v>
      </c>
      <c r="X5261">
        <v>0.97399570000000002</v>
      </c>
      <c r="Y5261">
        <v>-0.36170010000000002</v>
      </c>
      <c r="Z5261">
        <v>9.4936110000000008E-3</v>
      </c>
      <c r="AA5261">
        <v>0.93224609999999997</v>
      </c>
      <c r="AB5261">
        <v>29</v>
      </c>
      <c r="AC5261">
        <v>24.0581</v>
      </c>
      <c r="AD5261">
        <v>-0.99508239999999903</v>
      </c>
      <c r="AE5261">
        <v>-38.317356199999999</v>
      </c>
      <c r="AF5261">
        <v>-16.4592771680108</v>
      </c>
      <c r="AG5261">
        <v>-0.99508239999999903</v>
      </c>
      <c r="AH5261">
        <v>42.1203657975243</v>
      </c>
      <c r="AI5261">
        <v>91.260553944502405</v>
      </c>
      <c r="AJ5261">
        <v>111.343951112819</v>
      </c>
      <c r="AK5261">
        <v>45.232988059528502</v>
      </c>
      <c r="AL5261">
        <v>79.781663209586199</v>
      </c>
      <c r="AM5261">
        <v>98.233207294621806</v>
      </c>
      <c r="AN5261">
        <v>0.99999994015600802</v>
      </c>
    </row>
    <row r="5262" spans="1:40" x14ac:dyDescent="0.25">
      <c r="A5262" t="str">
        <f>"20190304155741389"</f>
        <v>20190304155741389</v>
      </c>
      <c r="B5262" t="str">
        <f>"1551686261380279"</f>
        <v>1551686261380279</v>
      </c>
      <c r="C5262" t="s">
        <v>40</v>
      </c>
      <c r="D5262">
        <v>3.8507899999999999</v>
      </c>
      <c r="E5262">
        <v>0.40479690000000002</v>
      </c>
      <c r="F5262" t="s">
        <v>44</v>
      </c>
      <c r="G5262">
        <v>-393.53149999999999</v>
      </c>
      <c r="H5262">
        <v>-0.05</v>
      </c>
      <c r="I5262">
        <v>-4.4909670000000004</v>
      </c>
      <c r="J5262">
        <v>-421.12700000000001</v>
      </c>
      <c r="K5262">
        <v>1.1154440000000001</v>
      </c>
      <c r="L5262">
        <v>38.748289999999997</v>
      </c>
      <c r="M5262">
        <v>0.19361229999999999</v>
      </c>
      <c r="N5262">
        <v>-1.345681E-2</v>
      </c>
      <c r="O5262">
        <v>-0.98098589999999997</v>
      </c>
      <c r="P5262">
        <v>0.32681389999999999</v>
      </c>
      <c r="Q5262">
        <v>0.165103799999999</v>
      </c>
      <c r="R5262">
        <v>-0.93055529999999997</v>
      </c>
      <c r="S5262">
        <v>1.685181</v>
      </c>
      <c r="T5262">
        <v>-7.1008799999999997E-2</v>
      </c>
      <c r="U5262">
        <v>-2.651764</v>
      </c>
      <c r="V5262">
        <v>-0.14271600000000001</v>
      </c>
      <c r="W5262">
        <v>0.17641270000000001</v>
      </c>
      <c r="X5262">
        <v>0.97391519999999998</v>
      </c>
      <c r="Y5262">
        <v>-0.36267050000000001</v>
      </c>
      <c r="Z5262">
        <v>1.0277120000000001E-2</v>
      </c>
      <c r="AA5262">
        <v>0.93186069999999999</v>
      </c>
      <c r="AB5262">
        <v>29</v>
      </c>
      <c r="AC5262">
        <v>27.595499999999902</v>
      </c>
      <c r="AD5262">
        <v>-1.1654439999999999</v>
      </c>
      <c r="AE5262">
        <v>-43.239257000000002</v>
      </c>
      <c r="AF5262">
        <v>-18.691187522348301</v>
      </c>
      <c r="AG5262">
        <v>-1.1654439999999999</v>
      </c>
      <c r="AH5262">
        <v>47.739606803820202</v>
      </c>
      <c r="AI5262">
        <v>91.302239901312603</v>
      </c>
      <c r="AJ5262">
        <v>111.38152058353199</v>
      </c>
      <c r="AK5262">
        <v>51.281466520528497</v>
      </c>
      <c r="AL5262">
        <v>79.839121581604601</v>
      </c>
      <c r="AM5262">
        <v>98.336698503585893</v>
      </c>
      <c r="AN5262">
        <v>1.0000000570841601</v>
      </c>
    </row>
    <row r="5263" spans="1:40" x14ac:dyDescent="0.25">
      <c r="A5263" t="str">
        <f>"20190304155741410"</f>
        <v>20190304155741410</v>
      </c>
      <c r="B5263" t="str">
        <f>"1551686261399799"</f>
        <v>1551686261399799</v>
      </c>
      <c r="C5263" t="s">
        <v>40</v>
      </c>
      <c r="D5263">
        <v>3.847712</v>
      </c>
      <c r="E5263">
        <v>0.4049315</v>
      </c>
      <c r="F5263" t="s">
        <v>44</v>
      </c>
      <c r="G5263">
        <v>-394.07979999999998</v>
      </c>
      <c r="H5263">
        <v>-0.05</v>
      </c>
      <c r="I5263">
        <v>-3.0018159999999998</v>
      </c>
      <c r="J5263">
        <v>-421.06650000000002</v>
      </c>
      <c r="K5263">
        <v>1.1155469999999901</v>
      </c>
      <c r="L5263">
        <v>38.477719999999998</v>
      </c>
      <c r="M5263">
        <v>0.2001626</v>
      </c>
      <c r="N5263">
        <v>-1.346927E-2</v>
      </c>
      <c r="O5263">
        <v>-0.97967009999999999</v>
      </c>
      <c r="P5263">
        <v>0.33436070000000001</v>
      </c>
      <c r="Q5263">
        <v>0.16512289999999999</v>
      </c>
      <c r="R5263">
        <v>-0.92786709999999994</v>
      </c>
      <c r="S5263">
        <v>1.708313</v>
      </c>
      <c r="T5263">
        <v>-7.3610190000000006E-2</v>
      </c>
      <c r="U5263">
        <v>-2.6369630000000002</v>
      </c>
      <c r="V5263">
        <v>-0.14416689999999999</v>
      </c>
      <c r="W5263">
        <v>0.1763874</v>
      </c>
      <c r="X5263">
        <v>0.97370599999999996</v>
      </c>
      <c r="Y5263">
        <v>-0.36458069999999998</v>
      </c>
      <c r="Z5263">
        <v>1.114711E-2</v>
      </c>
      <c r="AA5263">
        <v>0.93110510000000002</v>
      </c>
      <c r="AB5263">
        <v>29</v>
      </c>
      <c r="AC5263">
        <v>26.986699999999999</v>
      </c>
      <c r="AD5263">
        <v>-1.1655470000000001</v>
      </c>
      <c r="AE5263">
        <v>-41.479536000000003</v>
      </c>
      <c r="AF5263">
        <v>-18.127000659496002</v>
      </c>
      <c r="AG5263">
        <v>-1.1655470000000001</v>
      </c>
      <c r="AH5263">
        <v>46.016638190604297</v>
      </c>
      <c r="AI5263">
        <v>91.349998361715805</v>
      </c>
      <c r="AJ5263">
        <v>111.50060879992699</v>
      </c>
      <c r="AK5263">
        <v>49.471988469067597</v>
      </c>
      <c r="AL5263">
        <v>79.840593592105094</v>
      </c>
      <c r="AM5263">
        <v>98.422026312419106</v>
      </c>
      <c r="AN5263">
        <v>0.99999999218518398</v>
      </c>
    </row>
    <row r="5264" spans="1:40" x14ac:dyDescent="0.25">
      <c r="A5264" t="str">
        <f>"20190304155741432"</f>
        <v>20190304155741432</v>
      </c>
      <c r="B5264" t="str">
        <f>"1551686261430056"</f>
        <v>1551686261430056</v>
      </c>
      <c r="C5264" t="s">
        <v>40</v>
      </c>
      <c r="D5264">
        <v>3.813294</v>
      </c>
      <c r="E5264">
        <v>0.40490490000000001</v>
      </c>
      <c r="F5264" t="s">
        <v>44</v>
      </c>
      <c r="G5264">
        <v>-394.05430000000001</v>
      </c>
      <c r="H5264">
        <v>-0.05</v>
      </c>
      <c r="I5264">
        <v>-2.520111</v>
      </c>
      <c r="J5264">
        <v>-421.00099999999998</v>
      </c>
      <c r="K5264">
        <v>1.1156600000000001</v>
      </c>
      <c r="L5264">
        <v>38.194890000000001</v>
      </c>
      <c r="M5264">
        <v>0.20717920000000001</v>
      </c>
      <c r="N5264">
        <v>-1.348413E-2</v>
      </c>
      <c r="O5264">
        <v>-0.97821020000000003</v>
      </c>
      <c r="P5264">
        <v>0.3425339</v>
      </c>
      <c r="Q5264">
        <v>0.1660886</v>
      </c>
      <c r="R5264">
        <v>-0.92470839999999999</v>
      </c>
      <c r="S5264">
        <v>1.728607</v>
      </c>
      <c r="T5264">
        <v>-7.4587459999999994E-2</v>
      </c>
      <c r="U5264">
        <v>-2.623596</v>
      </c>
      <c r="V5264">
        <v>-0.1458797</v>
      </c>
      <c r="W5264">
        <v>0.17729929999999999</v>
      </c>
      <c r="X5264">
        <v>0.97328519999999996</v>
      </c>
      <c r="Y5264">
        <v>-0.36510500000000001</v>
      </c>
      <c r="Z5264">
        <v>1.1486720000000001E-2</v>
      </c>
      <c r="AA5264">
        <v>0.93089549999999999</v>
      </c>
      <c r="AB5264">
        <v>29</v>
      </c>
      <c r="AC5264">
        <v>26.9466999999999</v>
      </c>
      <c r="AD5264">
        <v>-1.1656599999999999</v>
      </c>
      <c r="AE5264">
        <v>-40.715001000000001</v>
      </c>
      <c r="AF5264">
        <v>-17.915651310870299</v>
      </c>
      <c r="AG5264">
        <v>-1.1656599999999999</v>
      </c>
      <c r="AH5264">
        <v>45.388877278876798</v>
      </c>
      <c r="AI5264">
        <v>91.368425721673503</v>
      </c>
      <c r="AJ5264">
        <v>111.539871990053</v>
      </c>
      <c r="AK5264">
        <v>48.810649511814802</v>
      </c>
      <c r="AL5264">
        <v>79.787509029134</v>
      </c>
      <c r="AM5264">
        <v>98.524255139132293</v>
      </c>
      <c r="AN5264">
        <v>1.00000000459581</v>
      </c>
    </row>
    <row r="5265" spans="1:40" x14ac:dyDescent="0.25">
      <c r="A5265" t="str">
        <f>"20190304155741455"</f>
        <v>20190304155741455</v>
      </c>
      <c r="B5265" t="str">
        <f>"1551686261450282"</f>
        <v>1551686261450282</v>
      </c>
      <c r="C5265" t="s">
        <v>40</v>
      </c>
      <c r="D5265">
        <v>3.832824</v>
      </c>
      <c r="E5265">
        <v>0.40489019999999998</v>
      </c>
      <c r="F5265" t="s">
        <v>44</v>
      </c>
      <c r="G5265">
        <v>-392.51670000000001</v>
      </c>
      <c r="H5265">
        <v>-0.05</v>
      </c>
      <c r="I5265">
        <v>-4.2114260000000003</v>
      </c>
      <c r="J5265">
        <v>-420.93239999999997</v>
      </c>
      <c r="K5265">
        <v>1.115774</v>
      </c>
      <c r="L5265">
        <v>37.908839999999998</v>
      </c>
      <c r="M5265">
        <v>0.21440980000000001</v>
      </c>
      <c r="N5265">
        <v>-1.34996E-2</v>
      </c>
      <c r="O5265">
        <v>-0.97665040000000003</v>
      </c>
      <c r="P5265">
        <v>0.3508983</v>
      </c>
      <c r="Q5265">
        <v>0.16614989999999999</v>
      </c>
      <c r="R5265">
        <v>-0.92155520000000002</v>
      </c>
      <c r="S5265">
        <v>1.75189199999999</v>
      </c>
      <c r="T5265">
        <v>-7.1692710000000007E-2</v>
      </c>
      <c r="U5265">
        <v>-2.6081539999999999</v>
      </c>
      <c r="V5265">
        <v>-0.1475532</v>
      </c>
      <c r="W5265">
        <v>0.17731150000000001</v>
      </c>
      <c r="X5265">
        <v>0.97303070000000003</v>
      </c>
      <c r="Y5265">
        <v>-0.36650319999999997</v>
      </c>
      <c r="Z5265">
        <v>1.0576169999999999E-2</v>
      </c>
      <c r="AA5265">
        <v>0.93035670000000004</v>
      </c>
      <c r="AB5265">
        <v>29</v>
      </c>
      <c r="AC5265">
        <v>28.415699999999902</v>
      </c>
      <c r="AD5265">
        <v>-1.1657740000000001</v>
      </c>
      <c r="AE5265">
        <v>-42.120266000000001</v>
      </c>
      <c r="AF5265">
        <v>-18.713063669074</v>
      </c>
      <c r="AG5265">
        <v>-1.1657740000000001</v>
      </c>
      <c r="AH5265">
        <v>47.208835500326501</v>
      </c>
      <c r="AI5265">
        <v>91.315065668551298</v>
      </c>
      <c r="AJ5265">
        <v>111.622830493305</v>
      </c>
      <c r="AK5265">
        <v>50.795786539818302</v>
      </c>
      <c r="AL5265">
        <v>79.786799019095298</v>
      </c>
      <c r="AM5265">
        <v>98.622803402031394</v>
      </c>
      <c r="AN5265">
        <v>1.00000002900248</v>
      </c>
    </row>
    <row r="5266" spans="1:40" x14ac:dyDescent="0.25">
      <c r="A5266" t="str">
        <f>"20190304155741476"</f>
        <v>20190304155741476</v>
      </c>
      <c r="B5266" t="str">
        <f>"1551686261469798"</f>
        <v>1551686261469798</v>
      </c>
      <c r="C5266" t="s">
        <v>40</v>
      </c>
      <c r="D5266">
        <v>3.8049650000000002</v>
      </c>
      <c r="E5266">
        <v>0.40489449999999999</v>
      </c>
      <c r="F5266" t="s">
        <v>83</v>
      </c>
      <c r="G5266">
        <v>-395.86</v>
      </c>
      <c r="H5266">
        <v>0.1229851</v>
      </c>
      <c r="I5266">
        <v>1.3219299999999901</v>
      </c>
      <c r="J5266">
        <v>-420.86599999999999</v>
      </c>
      <c r="K5266">
        <v>1.1158650000000001</v>
      </c>
      <c r="L5266">
        <v>37.640779999999999</v>
      </c>
      <c r="M5266">
        <v>0.2213118</v>
      </c>
      <c r="N5266">
        <v>-1.351308E-2</v>
      </c>
      <c r="O5266">
        <v>-0.97510949999999996</v>
      </c>
      <c r="P5266">
        <v>0.3591876</v>
      </c>
      <c r="Q5266">
        <v>0.16593859999999999</v>
      </c>
      <c r="R5266">
        <v>-0.91839479999999996</v>
      </c>
      <c r="S5266">
        <v>1.7760929999999999</v>
      </c>
      <c r="T5266">
        <v>-7.0329550000000005E-2</v>
      </c>
      <c r="U5266">
        <v>-2.5917659999999998</v>
      </c>
      <c r="V5266">
        <v>-0.149474</v>
      </c>
      <c r="W5266">
        <v>0.17704819999999999</v>
      </c>
      <c r="X5266">
        <v>0.97278540000000002</v>
      </c>
      <c r="Y5266">
        <v>-0.3685795</v>
      </c>
      <c r="Z5266">
        <v>1.016474E-2</v>
      </c>
      <c r="AA5266">
        <v>0.92954060000000005</v>
      </c>
      <c r="AB5266">
        <v>29</v>
      </c>
      <c r="AC5266">
        <v>25.005999999999901</v>
      </c>
      <c r="AD5266">
        <v>-0.99287990000000004</v>
      </c>
      <c r="AE5266">
        <v>-36.318849999999998</v>
      </c>
      <c r="AF5266">
        <v>-16.3390062094558</v>
      </c>
      <c r="AG5266">
        <v>-0.99287990000000004</v>
      </c>
      <c r="AH5266">
        <v>40.9319637307349</v>
      </c>
      <c r="AI5266">
        <v>91.290558856294197</v>
      </c>
      <c r="AJ5266">
        <v>111.76063617166</v>
      </c>
      <c r="AK5266">
        <v>44.083722497795698</v>
      </c>
      <c r="AL5266">
        <v>79.802127096114305</v>
      </c>
      <c r="AM5266">
        <v>98.735500819105397</v>
      </c>
      <c r="AN5266">
        <v>0.99999998812619995</v>
      </c>
    </row>
    <row r="5267" spans="1:40" x14ac:dyDescent="0.25">
      <c r="A5267" t="str">
        <f>"20190304155741500"</f>
        <v>20190304155741500</v>
      </c>
      <c r="B5267" t="str">
        <f>"1551686261490295"</f>
        <v>1551686261490295</v>
      </c>
      <c r="C5267" t="s">
        <v>40</v>
      </c>
      <c r="D5267">
        <v>3.7735449999999999</v>
      </c>
      <c r="E5267">
        <v>0.40495419999999999</v>
      </c>
      <c r="F5267" t="s">
        <v>83</v>
      </c>
      <c r="G5267">
        <v>-395.49880000000002</v>
      </c>
      <c r="H5267">
        <v>0.1233051</v>
      </c>
      <c r="I5267">
        <v>1.3368869999999999</v>
      </c>
      <c r="J5267">
        <v>-420.79349999999999</v>
      </c>
      <c r="K5267">
        <v>1.1159699999999999</v>
      </c>
      <c r="L5267">
        <v>37.358029999999999</v>
      </c>
      <c r="M5267">
        <v>0.22874639999999999</v>
      </c>
      <c r="N5267">
        <v>-1.3524990000000001E-2</v>
      </c>
      <c r="O5267">
        <v>-0.97339229999999999</v>
      </c>
      <c r="P5267">
        <v>0.3681933</v>
      </c>
      <c r="Q5267">
        <v>0.16535999999999901</v>
      </c>
      <c r="R5267">
        <v>-0.91492640000000003</v>
      </c>
      <c r="S5267">
        <v>1.7995909999999999</v>
      </c>
      <c r="T5267">
        <v>-7.0415969999999994E-2</v>
      </c>
      <c r="U5267">
        <v>-2.5754700000000001</v>
      </c>
      <c r="V5267">
        <v>-0.1516274</v>
      </c>
      <c r="W5267">
        <v>0.1764095</v>
      </c>
      <c r="X5267">
        <v>0.97256819999999999</v>
      </c>
      <c r="Y5267">
        <v>-0.36994490000000002</v>
      </c>
      <c r="Z5267">
        <v>1.022386E-2</v>
      </c>
      <c r="AA5267">
        <v>0.92899750000000003</v>
      </c>
      <c r="AB5267">
        <v>29</v>
      </c>
      <c r="AC5267">
        <v>25.294699999999899</v>
      </c>
      <c r="AD5267">
        <v>-0.99266489999999996</v>
      </c>
      <c r="AE5267">
        <v>-36.021143000000002</v>
      </c>
      <c r="AF5267">
        <v>-16.375125792452401</v>
      </c>
      <c r="AG5267">
        <v>-0.99266489999999996</v>
      </c>
      <c r="AH5267">
        <v>40.831734983297103</v>
      </c>
      <c r="AI5267">
        <v>91.292614455380203</v>
      </c>
      <c r="AJ5267">
        <v>111.852719548693</v>
      </c>
      <c r="AK5267">
        <v>44.004098787141899</v>
      </c>
      <c r="AL5267">
        <v>79.839307693342903</v>
      </c>
      <c r="AM5267">
        <v>98.861313572495703</v>
      </c>
      <c r="AN5267">
        <v>1.0000000418861199</v>
      </c>
    </row>
    <row r="5268" spans="1:40" x14ac:dyDescent="0.25">
      <c r="A5268" t="str">
        <f>"20190304155741521"</f>
        <v>20190304155741521</v>
      </c>
      <c r="B5268" t="str">
        <f>"1551686261509814"</f>
        <v>1551686261509814</v>
      </c>
      <c r="C5268" t="s">
        <v>40</v>
      </c>
      <c r="D5268">
        <v>3.7998020000000001</v>
      </c>
      <c r="E5268">
        <v>0.40514689999999998</v>
      </c>
      <c r="F5268" t="s">
        <v>44</v>
      </c>
      <c r="G5268">
        <v>-391.58370000000002</v>
      </c>
      <c r="H5268">
        <v>-0.05</v>
      </c>
      <c r="I5268">
        <v>-3.6101990000000002</v>
      </c>
      <c r="J5268">
        <v>-420.7199</v>
      </c>
      <c r="K5268">
        <v>1.1160760000000001</v>
      </c>
      <c r="L5268">
        <v>37.079799999999999</v>
      </c>
      <c r="M5268">
        <v>0.23623169999999999</v>
      </c>
      <c r="N5268">
        <v>-1.3533389999999999E-2</v>
      </c>
      <c r="O5268">
        <v>-0.97160239999999998</v>
      </c>
      <c r="P5268">
        <v>0.3775</v>
      </c>
      <c r="Q5268">
        <v>0.1645925</v>
      </c>
      <c r="R5268">
        <v>-0.91126459999999998</v>
      </c>
      <c r="S5268">
        <v>1.823914</v>
      </c>
      <c r="T5268">
        <v>-7.2805399999999895E-2</v>
      </c>
      <c r="U5268">
        <v>-2.5581360000000002</v>
      </c>
      <c r="V5268">
        <v>-0.1540657</v>
      </c>
      <c r="W5268">
        <v>0.1755697</v>
      </c>
      <c r="X5268">
        <v>0.97233689999999995</v>
      </c>
      <c r="Y5268">
        <v>-0.37161759999999999</v>
      </c>
      <c r="Z5268">
        <v>1.1033889999999999E-2</v>
      </c>
      <c r="AA5268">
        <v>0.92832029999999999</v>
      </c>
      <c r="AB5268">
        <v>29</v>
      </c>
      <c r="AC5268">
        <v>29.136199999999899</v>
      </c>
      <c r="AD5268">
        <v>-1.1660759999999999</v>
      </c>
      <c r="AE5268">
        <v>-40.689999</v>
      </c>
      <c r="AF5268">
        <v>-18.688102856834298</v>
      </c>
      <c r="AG5268">
        <v>-1.1660759999999999</v>
      </c>
      <c r="AH5268">
        <v>46.396462442459701</v>
      </c>
      <c r="AI5268">
        <v>91.335481450805403</v>
      </c>
      <c r="AJ5268">
        <v>111.939159234277</v>
      </c>
      <c r="AK5268">
        <v>50.032356018880101</v>
      </c>
      <c r="AL5268">
        <v>79.888187210490401</v>
      </c>
      <c r="AM5268">
        <v>99.003602147513206</v>
      </c>
      <c r="AN5268">
        <v>1.00000000328809</v>
      </c>
    </row>
    <row r="5269" spans="1:40" x14ac:dyDescent="0.25">
      <c r="A5269" t="str">
        <f>"20190304155741544"</f>
        <v>20190304155741544</v>
      </c>
      <c r="B5269" t="str">
        <f>"1551686261540074"</f>
        <v>1551686261540074</v>
      </c>
      <c r="C5269" t="s">
        <v>40</v>
      </c>
      <c r="D5269">
        <v>3.9049689999999999</v>
      </c>
      <c r="E5269">
        <v>0.40523330000000002</v>
      </c>
      <c r="F5269" t="s">
        <v>44</v>
      </c>
      <c r="G5269">
        <v>-392.36709999999999</v>
      </c>
      <c r="H5269">
        <v>-0.05</v>
      </c>
      <c r="I5269">
        <v>-1.8825069999999999</v>
      </c>
      <c r="J5269">
        <v>-420.64299999999997</v>
      </c>
      <c r="K5269">
        <v>1.1162000000000001</v>
      </c>
      <c r="L5269">
        <v>36.798609999999996</v>
      </c>
      <c r="M5269">
        <v>0.243978</v>
      </c>
      <c r="N5269">
        <v>-1.3538390000000001E-2</v>
      </c>
      <c r="O5269">
        <v>-0.96968620000000005</v>
      </c>
      <c r="P5269">
        <v>0.38681569999999998</v>
      </c>
      <c r="Q5269">
        <v>0.1638096</v>
      </c>
      <c r="R5269">
        <v>-0.90749089999999999</v>
      </c>
      <c r="S5269">
        <v>1.8484499999999999</v>
      </c>
      <c r="T5269">
        <v>-7.6021790000000006E-2</v>
      </c>
      <c r="U5269">
        <v>-2.5401310000000001</v>
      </c>
      <c r="V5269">
        <v>-0.1562817</v>
      </c>
      <c r="W5269">
        <v>0.17470769999999999</v>
      </c>
      <c r="X5269">
        <v>0.97213850000000002</v>
      </c>
      <c r="Y5269">
        <v>-0.37319069999999999</v>
      </c>
      <c r="Z5269">
        <v>1.2116149999999999E-2</v>
      </c>
      <c r="AA5269">
        <v>0.92767549999999999</v>
      </c>
      <c r="AB5269">
        <v>29</v>
      </c>
      <c r="AC5269">
        <v>28.2759</v>
      </c>
      <c r="AD5269">
        <v>-1.1661999999999999</v>
      </c>
      <c r="AE5269">
        <v>-38.681116999999901</v>
      </c>
      <c r="AF5269">
        <v>-17.9724106734818</v>
      </c>
      <c r="AG5269">
        <v>-1.1661999999999999</v>
      </c>
      <c r="AH5269">
        <v>44.3850217757713</v>
      </c>
      <c r="AI5269">
        <v>91.395096445844004</v>
      </c>
      <c r="AJ5269">
        <v>112.044040255974</v>
      </c>
      <c r="AK5269">
        <v>47.899871877615503</v>
      </c>
      <c r="AL5269">
        <v>79.938351559724296</v>
      </c>
      <c r="AM5269">
        <v>99.132770814582301</v>
      </c>
      <c r="AN5269">
        <v>1.00000000668821</v>
      </c>
    </row>
    <row r="5270" spans="1:40" x14ac:dyDescent="0.25">
      <c r="A5270" t="str">
        <f>"20190304155741568"</f>
        <v>20190304155741568</v>
      </c>
      <c r="B5270" t="str">
        <f>"1551686261559591"</f>
        <v>1551686261559591</v>
      </c>
      <c r="C5270" t="s">
        <v>40</v>
      </c>
      <c r="D5270">
        <v>3.9150719999999999</v>
      </c>
      <c r="E5270">
        <v>0.40533809999999998</v>
      </c>
      <c r="F5270" t="s">
        <v>44</v>
      </c>
      <c r="G5270">
        <v>-392.02330000000001</v>
      </c>
      <c r="H5270">
        <v>-0.05</v>
      </c>
      <c r="I5270">
        <v>-1.70845</v>
      </c>
      <c r="J5270">
        <v>-420.56380000000001</v>
      </c>
      <c r="K5270">
        <v>1.1163339999999999</v>
      </c>
      <c r="L5270">
        <v>36.51849</v>
      </c>
      <c r="M5270">
        <v>0.25188820000000001</v>
      </c>
      <c r="N5270">
        <v>-1.354035E-2</v>
      </c>
      <c r="O5270">
        <v>-0.96766160000000001</v>
      </c>
      <c r="P5270">
        <v>0.39604850000000003</v>
      </c>
      <c r="Q5270">
        <v>0.16294879999999901</v>
      </c>
      <c r="R5270">
        <v>-0.90365530000000005</v>
      </c>
      <c r="S5270">
        <v>1.8736569999999999</v>
      </c>
      <c r="T5270">
        <v>-7.6348299999999994E-2</v>
      </c>
      <c r="U5270">
        <v>-2.520966</v>
      </c>
      <c r="V5270">
        <v>-0.1582682</v>
      </c>
      <c r="W5270">
        <v>0.17376349999999999</v>
      </c>
      <c r="X5270">
        <v>0.97198640000000003</v>
      </c>
      <c r="Y5270">
        <v>-0.37496299999999999</v>
      </c>
      <c r="Z5270">
        <v>1.226958E-2</v>
      </c>
      <c r="AA5270">
        <v>0.92695859999999997</v>
      </c>
      <c r="AB5270">
        <v>29</v>
      </c>
      <c r="AC5270">
        <v>28.540500000000002</v>
      </c>
      <c r="AD5270">
        <v>-1.166334</v>
      </c>
      <c r="AE5270">
        <v>-38.226939999999999</v>
      </c>
      <c r="AF5270">
        <v>-17.979533440511801</v>
      </c>
      <c r="AG5270">
        <v>-1.166334</v>
      </c>
      <c r="AH5270">
        <v>44.157414175277196</v>
      </c>
      <c r="AI5270">
        <v>91.401347311844603</v>
      </c>
      <c r="AJ5270">
        <v>112.15463324944599</v>
      </c>
      <c r="AK5270">
        <v>47.691730775733099</v>
      </c>
      <c r="AL5270">
        <v>79.993291218529706</v>
      </c>
      <c r="AM5270">
        <v>99.248286612979797</v>
      </c>
      <c r="AN5270">
        <v>1.0000000694242199</v>
      </c>
    </row>
    <row r="5271" spans="1:40" x14ac:dyDescent="0.25">
      <c r="A5271" t="str">
        <f>"20190304155741589"</f>
        <v>20190304155741589</v>
      </c>
      <c r="B5271" t="str">
        <f>"1551686261580087"</f>
        <v>1551686261580087</v>
      </c>
      <c r="C5271" t="s">
        <v>40</v>
      </c>
      <c r="D5271">
        <v>3.8907259999999999</v>
      </c>
      <c r="E5271">
        <v>0.40551389999999998</v>
      </c>
      <c r="F5271" t="s">
        <v>44</v>
      </c>
      <c r="G5271">
        <v>-392.11189999999999</v>
      </c>
      <c r="H5271">
        <v>-0.05</v>
      </c>
      <c r="I5271">
        <v>-0.96359249999999996</v>
      </c>
      <c r="J5271">
        <v>-420.4846</v>
      </c>
      <c r="K5271">
        <v>1.1164769999999999</v>
      </c>
      <c r="L5271">
        <v>36.24774</v>
      </c>
      <c r="M5271">
        <v>0.25973370000000001</v>
      </c>
      <c r="N5271">
        <v>-1.354259E-2</v>
      </c>
      <c r="O5271">
        <v>-0.96558520000000003</v>
      </c>
      <c r="P5271">
        <v>0.4048254</v>
      </c>
      <c r="Q5271">
        <v>0.16219700000000001</v>
      </c>
      <c r="R5271">
        <v>-0.89989359999999996</v>
      </c>
      <c r="S5271">
        <v>1.8989259999999999</v>
      </c>
      <c r="T5271">
        <v>-7.784307E-2</v>
      </c>
      <c r="U5271">
        <v>-2.501617</v>
      </c>
      <c r="V5271">
        <v>-0.15985969999999999</v>
      </c>
      <c r="W5271">
        <v>0.1729318</v>
      </c>
      <c r="X5271">
        <v>0.97187420000000002</v>
      </c>
      <c r="Y5271">
        <v>-0.37682480000000002</v>
      </c>
      <c r="Z5271">
        <v>1.279901E-2</v>
      </c>
      <c r="AA5271">
        <v>0.92619620000000003</v>
      </c>
      <c r="AB5271">
        <v>29</v>
      </c>
      <c r="AC5271">
        <v>28.372699999999998</v>
      </c>
      <c r="AD5271">
        <v>-1.166477</v>
      </c>
      <c r="AE5271">
        <v>-37.211332499999997</v>
      </c>
      <c r="AF5271">
        <v>-17.721838023813099</v>
      </c>
      <c r="AG5271">
        <v>-1.166477</v>
      </c>
      <c r="AH5271">
        <v>43.277142073337501</v>
      </c>
      <c r="AI5271">
        <v>91.428850864777502</v>
      </c>
      <c r="AJ5271">
        <v>112.268927706304</v>
      </c>
      <c r="AK5271">
        <v>46.779645547712697</v>
      </c>
      <c r="AL5271">
        <v>80.0416758981832</v>
      </c>
      <c r="AM5271">
        <v>99.340713247675595</v>
      </c>
      <c r="AN5271">
        <v>0.99999999588048505</v>
      </c>
    </row>
    <row r="5272" spans="1:40" x14ac:dyDescent="0.25">
      <c r="A5272" t="str">
        <f>"20190304155741612"</f>
        <v>20190304155741612</v>
      </c>
      <c r="B5272" t="str">
        <f>"1551686261610344"</f>
        <v>1551686261610344</v>
      </c>
      <c r="C5272" t="s">
        <v>40</v>
      </c>
      <c r="D5272">
        <v>3.9184329999999998</v>
      </c>
      <c r="E5272">
        <v>0.40588150000000001</v>
      </c>
      <c r="F5272" t="s">
        <v>44</v>
      </c>
      <c r="G5272">
        <v>-392.23739999999998</v>
      </c>
      <c r="H5272">
        <v>-0.05</v>
      </c>
      <c r="I5272">
        <v>-0.26373289999999999</v>
      </c>
      <c r="J5272">
        <v>-420.40249999999997</v>
      </c>
      <c r="K5272">
        <v>1.1166320000000001</v>
      </c>
      <c r="L5272">
        <v>35.976170000000003</v>
      </c>
      <c r="M5272">
        <v>0.26783370000000001</v>
      </c>
      <c r="N5272">
        <v>-1.354238E-2</v>
      </c>
      <c r="O5272">
        <v>-0.96336999999999995</v>
      </c>
      <c r="P5272">
        <v>0.41363620000000001</v>
      </c>
      <c r="Q5272">
        <v>0.16212399999999999</v>
      </c>
      <c r="R5272">
        <v>-0.8958912</v>
      </c>
      <c r="S5272">
        <v>1.921478</v>
      </c>
      <c r="T5272">
        <v>-7.9347970000000004E-2</v>
      </c>
      <c r="U5272">
        <v>-2.4836429999999998</v>
      </c>
      <c r="V5272">
        <v>-0.16129789999999999</v>
      </c>
      <c r="W5272">
        <v>0.17277300000000001</v>
      </c>
      <c r="X5272">
        <v>0.9716648</v>
      </c>
      <c r="Y5272">
        <v>-0.3775443</v>
      </c>
      <c r="Z5272">
        <v>1.3330160000000001E-2</v>
      </c>
      <c r="AA5272">
        <v>0.92589560000000004</v>
      </c>
      <c r="AB5272">
        <v>29</v>
      </c>
      <c r="AC5272">
        <v>28.165099999999899</v>
      </c>
      <c r="AD5272">
        <v>-1.1666319999999999</v>
      </c>
      <c r="AE5272">
        <v>-36.239902899999997</v>
      </c>
      <c r="AF5272">
        <v>-17.417489920598602</v>
      </c>
      <c r="AG5272">
        <v>-1.1666319999999999</v>
      </c>
      <c r="AH5272">
        <v>42.432476245854801</v>
      </c>
      <c r="AI5272">
        <v>91.456974658735405</v>
      </c>
      <c r="AJ5272">
        <v>112.316946443433</v>
      </c>
      <c r="AK5272">
        <v>45.8829491828131</v>
      </c>
      <c r="AL5272">
        <v>80.050913584748997</v>
      </c>
      <c r="AM5272">
        <v>99.425241922004801</v>
      </c>
      <c r="AN5272">
        <v>1.0000000028162199</v>
      </c>
    </row>
    <row r="5273" spans="1:40" x14ac:dyDescent="0.25">
      <c r="A5273" t="str">
        <f>"20190304155741633"</f>
        <v>20190304155741633</v>
      </c>
      <c r="B5273" t="str">
        <f>"1551686261629863"</f>
        <v>1551686261629863</v>
      </c>
      <c r="C5273" t="s">
        <v>40</v>
      </c>
      <c r="D5273">
        <v>4.0566630000000004</v>
      </c>
      <c r="E5273">
        <v>0.4060608</v>
      </c>
      <c r="F5273" t="s">
        <v>44</v>
      </c>
      <c r="G5273">
        <v>-391.67880000000002</v>
      </c>
      <c r="H5273">
        <v>-0.05</v>
      </c>
      <c r="I5273">
        <v>-0.4700317</v>
      </c>
      <c r="J5273">
        <v>-420.31869999999998</v>
      </c>
      <c r="K5273">
        <v>1.1167819999999999</v>
      </c>
      <c r="L5273">
        <v>35.708159999999999</v>
      </c>
      <c r="M5273">
        <v>0.27604230000000002</v>
      </c>
      <c r="N5273">
        <v>-1.354095E-2</v>
      </c>
      <c r="O5273">
        <v>-0.96105030000000002</v>
      </c>
      <c r="P5273">
        <v>0.42221609999999998</v>
      </c>
      <c r="Q5273">
        <v>0.1617449</v>
      </c>
      <c r="R5273">
        <v>-0.89194850000000003</v>
      </c>
      <c r="S5273">
        <v>1.943268</v>
      </c>
      <c r="T5273">
        <v>-7.8927280000000002E-2</v>
      </c>
      <c r="U5273">
        <v>-2.4657290000000001</v>
      </c>
      <c r="V5273">
        <v>-0.1623781</v>
      </c>
      <c r="W5273">
        <v>0.1723132</v>
      </c>
      <c r="X5273">
        <v>0.9715665</v>
      </c>
      <c r="Y5273">
        <v>-0.37796170000000001</v>
      </c>
      <c r="Z5273">
        <v>1.323905E-2</v>
      </c>
      <c r="AA5273">
        <v>0.92572659999999996</v>
      </c>
      <c r="AB5273">
        <v>29</v>
      </c>
      <c r="AC5273">
        <v>28.639899999999901</v>
      </c>
      <c r="AD5273">
        <v>-1.166782</v>
      </c>
      <c r="AE5273">
        <v>-36.178191699999999</v>
      </c>
      <c r="AF5273">
        <v>-17.528070193030398</v>
      </c>
      <c r="AG5273">
        <v>-1.166782</v>
      </c>
      <c r="AH5273">
        <v>42.651518504761498</v>
      </c>
      <c r="AI5273">
        <v>91.4494349110266</v>
      </c>
      <c r="AJ5273">
        <v>112.34070414659401</v>
      </c>
      <c r="AK5273">
        <v>46.127504329730897</v>
      </c>
      <c r="AL5273">
        <v>80.077659039777402</v>
      </c>
      <c r="AM5273">
        <v>99.488160771901207</v>
      </c>
      <c r="AN5273">
        <v>0.99999997508804905</v>
      </c>
    </row>
    <row r="5274" spans="1:40" x14ac:dyDescent="0.25">
      <c r="A5274" t="str">
        <f>"20190304155741656"</f>
        <v>20190304155741656</v>
      </c>
      <c r="B5274" t="str">
        <f>"1551686261650359"</f>
        <v>1551686261650359</v>
      </c>
      <c r="C5274" t="s">
        <v>40</v>
      </c>
      <c r="D5274">
        <v>4.0419609999999997</v>
      </c>
      <c r="E5274">
        <v>0.40651520000000002</v>
      </c>
      <c r="F5274" t="s">
        <v>44</v>
      </c>
      <c r="G5274">
        <v>-391.73360000000002</v>
      </c>
      <c r="H5274">
        <v>-0.05</v>
      </c>
      <c r="I5274">
        <v>0.1155548</v>
      </c>
      <c r="J5274">
        <v>-420.2303</v>
      </c>
      <c r="K5274">
        <v>1.1169260000000001</v>
      </c>
      <c r="L5274">
        <v>35.434269999999998</v>
      </c>
      <c r="M5274">
        <v>0.28461839999999999</v>
      </c>
      <c r="N5274">
        <v>-1.354003E-2</v>
      </c>
      <c r="O5274">
        <v>-0.95854539999999999</v>
      </c>
      <c r="P5274">
        <v>0.43088209999999999</v>
      </c>
      <c r="Q5274">
        <v>0.16090670000000001</v>
      </c>
      <c r="R5274">
        <v>-0.88794709999999999</v>
      </c>
      <c r="S5274">
        <v>1.9656370000000001</v>
      </c>
      <c r="T5274">
        <v>-8.0233219999999994E-2</v>
      </c>
      <c r="U5274">
        <v>-2.4475099999999999</v>
      </c>
      <c r="V5274">
        <v>-0.16316459999999999</v>
      </c>
      <c r="W5274">
        <v>0.17140429999999901</v>
      </c>
      <c r="X5274">
        <v>0.97159549999999995</v>
      </c>
      <c r="Y5274">
        <v>-0.37819140000000001</v>
      </c>
      <c r="Z5274">
        <v>1.370184E-2</v>
      </c>
      <c r="AA5274">
        <v>0.92562599999999995</v>
      </c>
      <c r="AB5274">
        <v>29</v>
      </c>
      <c r="AC5274">
        <v>28.496699999999901</v>
      </c>
      <c r="AD5274">
        <v>-1.1669259999999999</v>
      </c>
      <c r="AE5274">
        <v>-35.3187152</v>
      </c>
      <c r="AF5274">
        <v>-17.253197235802801</v>
      </c>
      <c r="AG5274">
        <v>-1.1669259999999999</v>
      </c>
      <c r="AH5274">
        <v>41.941387739776196</v>
      </c>
      <c r="AI5274">
        <v>91.473937542665396</v>
      </c>
      <c r="AJ5274">
        <v>112.36052547987801</v>
      </c>
      <c r="AK5274">
        <v>45.366447256593098</v>
      </c>
      <c r="AL5274">
        <v>80.130521619875196</v>
      </c>
      <c r="AM5274">
        <v>99.532997072369497</v>
      </c>
      <c r="AN5274">
        <v>0.99999996818594905</v>
      </c>
    </row>
    <row r="5275" spans="1:40" x14ac:dyDescent="0.25">
      <c r="A5275" t="str">
        <f>"20190304155741677"</f>
        <v>20190304155741677</v>
      </c>
      <c r="B5275" t="str">
        <f>"1551686261669879"</f>
        <v>1551686261669879</v>
      </c>
      <c r="C5275" t="s">
        <v>40</v>
      </c>
      <c r="D5275">
        <v>4.074846</v>
      </c>
      <c r="E5275">
        <v>0.40714699999999998</v>
      </c>
      <c r="F5275" t="s">
        <v>41</v>
      </c>
      <c r="G5275">
        <v>-395.4572</v>
      </c>
      <c r="H5275">
        <v>7.9986699999999994E-2</v>
      </c>
      <c r="I5275">
        <v>5.1235739999999996</v>
      </c>
      <c r="J5275">
        <v>-420.14249999999998</v>
      </c>
      <c r="K5275">
        <v>1.1170469999999999</v>
      </c>
      <c r="L5275">
        <v>35.170720000000003</v>
      </c>
      <c r="M5275">
        <v>0.29304829999999998</v>
      </c>
      <c r="N5275">
        <v>-1.353945E-2</v>
      </c>
      <c r="O5275">
        <v>-0.95600209999999997</v>
      </c>
      <c r="P5275">
        <v>0.4395347</v>
      </c>
      <c r="Q5275">
        <v>0.16087799999999999</v>
      </c>
      <c r="R5275">
        <v>-0.88370119999999897</v>
      </c>
      <c r="S5275">
        <v>1.9860230000000001</v>
      </c>
      <c r="T5275">
        <v>-8.3129880000000003E-2</v>
      </c>
      <c r="U5275">
        <v>-2.4299620000000002</v>
      </c>
      <c r="V5275">
        <v>-0.16415370000000001</v>
      </c>
      <c r="W5275">
        <v>0.1713047</v>
      </c>
      <c r="X5275">
        <v>0.97144649999999999</v>
      </c>
      <c r="Y5275">
        <v>-0.3779576</v>
      </c>
      <c r="Z5275">
        <v>1.467654E-2</v>
      </c>
      <c r="AA5275">
        <v>0.92570660000000005</v>
      </c>
      <c r="AB5275">
        <v>29</v>
      </c>
      <c r="AC5275">
        <v>24.685299999999899</v>
      </c>
      <c r="AD5275">
        <v>-1.0370602999999901</v>
      </c>
      <c r="AE5275">
        <v>-30.047146000000001</v>
      </c>
      <c r="AF5275">
        <v>-14.7847699037792</v>
      </c>
      <c r="AG5275">
        <v>-1.0370602999999901</v>
      </c>
      <c r="AH5275">
        <v>35.936846023833297</v>
      </c>
      <c r="AI5275">
        <v>91.528721709527304</v>
      </c>
      <c r="AJ5275">
        <v>112.362745189788</v>
      </c>
      <c r="AK5275">
        <v>38.873150339459698</v>
      </c>
      <c r="AL5275">
        <v>80.136314466879696</v>
      </c>
      <c r="AM5275">
        <v>99.591159349540902</v>
      </c>
      <c r="AN5275">
        <v>1.00000001991401</v>
      </c>
    </row>
    <row r="5276" spans="1:40" x14ac:dyDescent="0.25">
      <c r="A5276" t="str">
        <f>"20190304155741701"</f>
        <v>20190304155741701</v>
      </c>
      <c r="B5276" t="str">
        <f>"1551686261690375"</f>
        <v>1551686261690375</v>
      </c>
      <c r="C5276" t="s">
        <v>40</v>
      </c>
      <c r="D5276">
        <v>4.1477050000000002</v>
      </c>
      <c r="E5276">
        <v>0.4076765</v>
      </c>
      <c r="F5276" t="s">
        <v>41</v>
      </c>
      <c r="G5276">
        <v>-395.61799999999999</v>
      </c>
      <c r="H5276">
        <v>7.9986630000000003E-2</v>
      </c>
      <c r="I5276">
        <v>5.6601629999999998</v>
      </c>
      <c r="J5276">
        <v>-420.04640000000001</v>
      </c>
      <c r="K5276">
        <v>1.117181</v>
      </c>
      <c r="L5276">
        <v>34.891509999999997</v>
      </c>
      <c r="M5276">
        <v>0.3021797</v>
      </c>
      <c r="N5276">
        <v>-1.353818E-2</v>
      </c>
      <c r="O5276">
        <v>-0.95315490000000003</v>
      </c>
      <c r="P5276">
        <v>0.44867220000000002</v>
      </c>
      <c r="Q5276">
        <v>0.161154399999999</v>
      </c>
      <c r="R5276">
        <v>-0.87904629999999995</v>
      </c>
      <c r="S5276">
        <v>2.0052189999999999</v>
      </c>
      <c r="T5276">
        <v>-8.479428E-2</v>
      </c>
      <c r="U5276">
        <v>-2.412903</v>
      </c>
      <c r="V5276">
        <v>-0.16501070000000001</v>
      </c>
      <c r="W5276">
        <v>0.17150899999999999</v>
      </c>
      <c r="X5276">
        <v>0.97126520000000005</v>
      </c>
      <c r="Y5276">
        <v>-0.37666559999999999</v>
      </c>
      <c r="Z5276">
        <v>1.5248609999999999E-2</v>
      </c>
      <c r="AA5276">
        <v>0.92622380000000004</v>
      </c>
      <c r="AB5276">
        <v>29</v>
      </c>
      <c r="AC5276">
        <v>24.4283999999999</v>
      </c>
      <c r="AD5276">
        <v>-1.0371943699999999</v>
      </c>
      <c r="AE5276">
        <v>-29.231347</v>
      </c>
      <c r="AF5276">
        <v>-14.441547769956999</v>
      </c>
      <c r="AG5276">
        <v>-1.0371943699999999</v>
      </c>
      <c r="AH5276">
        <v>35.220887519933697</v>
      </c>
      <c r="AI5276">
        <v>91.560740787749296</v>
      </c>
      <c r="AJ5276">
        <v>112.29499935722799</v>
      </c>
      <c r="AK5276">
        <v>38.080769317923803</v>
      </c>
      <c r="AL5276">
        <v>80.124432685576295</v>
      </c>
      <c r="AM5276">
        <v>99.642060465932204</v>
      </c>
      <c r="AN5276">
        <v>0.99999997846326405</v>
      </c>
    </row>
    <row r="5277" spans="1:40" x14ac:dyDescent="0.25">
      <c r="A5277" t="str">
        <f>"20190304155741723"</f>
        <v>20190304155741723</v>
      </c>
      <c r="B5277" t="str">
        <f>"1551686261719655"</f>
        <v>1551686261719655</v>
      </c>
      <c r="C5277" t="s">
        <v>40</v>
      </c>
      <c r="D5277">
        <v>4.0116620000000003</v>
      </c>
      <c r="E5277">
        <v>0.40842800000000001</v>
      </c>
      <c r="F5277" t="s">
        <v>41</v>
      </c>
      <c r="G5277">
        <v>-395.25049999999999</v>
      </c>
      <c r="H5277">
        <v>7.9986719999999997E-2</v>
      </c>
      <c r="I5277">
        <v>5.5944219999999998</v>
      </c>
      <c r="J5277">
        <v>-419.95119999999997</v>
      </c>
      <c r="K5277">
        <v>1.117308</v>
      </c>
      <c r="L5277">
        <v>34.62332</v>
      </c>
      <c r="M5277">
        <v>0.31114429999999998</v>
      </c>
      <c r="N5277">
        <v>-1.3535470000000001E-2</v>
      </c>
      <c r="O5277">
        <v>-0.95026650000000001</v>
      </c>
      <c r="P5277">
        <v>0.45802999999999999</v>
      </c>
      <c r="Q5277">
        <v>0.16101460000000001</v>
      </c>
      <c r="R5277">
        <v>-0.87423309999999999</v>
      </c>
      <c r="S5277">
        <v>2.0262760000000002</v>
      </c>
      <c r="T5277">
        <v>-8.4757570000000004E-2</v>
      </c>
      <c r="U5277">
        <v>-2.394104</v>
      </c>
      <c r="V5277">
        <v>-0.16627809999999901</v>
      </c>
      <c r="W5277">
        <v>0.17128869999999999</v>
      </c>
      <c r="X5277">
        <v>0.9710879</v>
      </c>
      <c r="Y5277">
        <v>-0.37627090000000002</v>
      </c>
      <c r="Z5277">
        <v>1.527616E-2</v>
      </c>
      <c r="AA5277">
        <v>0.92638370000000003</v>
      </c>
      <c r="AB5277">
        <v>29</v>
      </c>
      <c r="AC5277">
        <v>24.700699999999902</v>
      </c>
      <c r="AD5277">
        <v>-1.03732128</v>
      </c>
      <c r="AE5277">
        <v>-29.028898000000002</v>
      </c>
      <c r="AF5277">
        <v>-14.4307033384689</v>
      </c>
      <c r="AG5277">
        <v>-1.03732128</v>
      </c>
      <c r="AH5277">
        <v>35.247788844742999</v>
      </c>
      <c r="AI5277">
        <v>91.560080398473701</v>
      </c>
      <c r="AJ5277">
        <v>112.264552714301</v>
      </c>
      <c r="AK5277">
        <v>38.101546592289701</v>
      </c>
      <c r="AL5277">
        <v>80.137244429343099</v>
      </c>
      <c r="AM5277">
        <v>99.716452254378893</v>
      </c>
      <c r="AN5277">
        <v>0.99999996740685404</v>
      </c>
    </row>
    <row r="5278" spans="1:40" x14ac:dyDescent="0.25">
      <c r="A5278" t="str">
        <f>"20190304155741746"</f>
        <v>20190304155741746</v>
      </c>
      <c r="B5278" t="str">
        <f>"1551686261740151"</f>
        <v>1551686261740151</v>
      </c>
      <c r="C5278" t="s">
        <v>40</v>
      </c>
      <c r="D5278">
        <v>3.9996010000000002</v>
      </c>
      <c r="E5278">
        <v>0.40892820000000002</v>
      </c>
      <c r="F5278" t="s">
        <v>41</v>
      </c>
      <c r="G5278">
        <v>-395.19909999999999</v>
      </c>
      <c r="H5278">
        <v>7.9986719999999997E-2</v>
      </c>
      <c r="I5278">
        <v>5.8922720000000002</v>
      </c>
      <c r="J5278">
        <v>-419.85210000000001</v>
      </c>
      <c r="K5278">
        <v>1.1174489999999999</v>
      </c>
      <c r="L5278">
        <v>34.352780000000003</v>
      </c>
      <c r="M5278">
        <v>0.32037789999999999</v>
      </c>
      <c r="N5278">
        <v>-1.353409E-2</v>
      </c>
      <c r="O5278">
        <v>-0.94719330000000002</v>
      </c>
      <c r="P5278">
        <v>0.46715390000000001</v>
      </c>
      <c r="Q5278">
        <v>0.16058149999999999</v>
      </c>
      <c r="R5278">
        <v>-0.86947189999999996</v>
      </c>
      <c r="S5278">
        <v>2.0463260000000001</v>
      </c>
      <c r="T5278">
        <v>-8.5758210000000001E-2</v>
      </c>
      <c r="U5278">
        <v>-2.3752749999999998</v>
      </c>
      <c r="V5278">
        <v>-0.1670181</v>
      </c>
      <c r="W5278">
        <v>0.1707832</v>
      </c>
      <c r="X5278">
        <v>0.97104999999999997</v>
      </c>
      <c r="Y5278">
        <v>-0.37536619999999998</v>
      </c>
      <c r="Z5278">
        <v>1.563583E-2</v>
      </c>
      <c r="AA5278">
        <v>0.92674469999999998</v>
      </c>
      <c r="AB5278">
        <v>29</v>
      </c>
      <c r="AC5278">
        <v>24.652999999999999</v>
      </c>
      <c r="AD5278">
        <v>-1.03746228</v>
      </c>
      <c r="AE5278">
        <v>-28.460508000000001</v>
      </c>
      <c r="AF5278">
        <v>-14.223542024122599</v>
      </c>
      <c r="AG5278">
        <v>-1.03746228</v>
      </c>
      <c r="AH5278">
        <v>34.832622206881702</v>
      </c>
      <c r="AI5278">
        <v>91.579470290767404</v>
      </c>
      <c r="AJ5278">
        <v>112.212142664433</v>
      </c>
      <c r="AK5278">
        <v>37.639036192519001</v>
      </c>
      <c r="AL5278">
        <v>80.166641176205005</v>
      </c>
      <c r="AM5278">
        <v>99.759237996287794</v>
      </c>
      <c r="AN5278">
        <v>1.0000000248149199</v>
      </c>
    </row>
    <row r="5279" spans="1:40" x14ac:dyDescent="0.25">
      <c r="A5279" t="str">
        <f>"20190304155741769"</f>
        <v>20190304155741769</v>
      </c>
      <c r="B5279" t="str">
        <f>"1551686261759672"</f>
        <v>1551686261759672</v>
      </c>
      <c r="C5279" t="s">
        <v>40</v>
      </c>
      <c r="D5279">
        <v>4.1620039999999996</v>
      </c>
      <c r="E5279">
        <v>0.40951769999999998</v>
      </c>
      <c r="F5279" t="s">
        <v>41</v>
      </c>
      <c r="G5279">
        <v>-395.45299999999997</v>
      </c>
      <c r="H5279">
        <v>7.9986630000000003E-2</v>
      </c>
      <c r="I5279">
        <v>6.5474399999999999</v>
      </c>
      <c r="J5279">
        <v>-419.75060000000002</v>
      </c>
      <c r="K5279">
        <v>1.117591</v>
      </c>
      <c r="L5279">
        <v>34.084380000000003</v>
      </c>
      <c r="M5279">
        <v>0.32973439999999998</v>
      </c>
      <c r="N5279">
        <v>-1.353595E-2</v>
      </c>
      <c r="O5279">
        <v>-0.94397690000000001</v>
      </c>
      <c r="P5279">
        <v>0.47642709999999999</v>
      </c>
      <c r="Q5279">
        <v>0.1601456</v>
      </c>
      <c r="R5279">
        <v>-0.86450629999999995</v>
      </c>
      <c r="S5279">
        <v>2.067291</v>
      </c>
      <c r="T5279">
        <v>-8.7902309999999997E-2</v>
      </c>
      <c r="U5279">
        <v>-2.355896</v>
      </c>
      <c r="V5279">
        <v>-0.167825799999999</v>
      </c>
      <c r="W5279">
        <v>0.17027390000000001</v>
      </c>
      <c r="X5279">
        <v>0.97100019999999998</v>
      </c>
      <c r="Y5279">
        <v>-0.37462240000000002</v>
      </c>
      <c r="Z5279">
        <v>1.6355399999999999E-2</v>
      </c>
      <c r="AA5279">
        <v>0.9270332</v>
      </c>
      <c r="AB5279">
        <v>29</v>
      </c>
      <c r="AC5279">
        <v>24.2975999999999</v>
      </c>
      <c r="AD5279">
        <v>-1.0376043699999999</v>
      </c>
      <c r="AE5279">
        <v>-27.536939999999898</v>
      </c>
      <c r="AF5279">
        <v>-13.846709925620001</v>
      </c>
      <c r="AG5279">
        <v>-1.0376043699999999</v>
      </c>
      <c r="AH5279">
        <v>33.981971463430398</v>
      </c>
      <c r="AI5279">
        <v>91.619700094469806</v>
      </c>
      <c r="AJ5279">
        <v>112.169531441212</v>
      </c>
      <c r="AK5279">
        <v>36.709431800755297</v>
      </c>
      <c r="AL5279">
        <v>80.19625588065</v>
      </c>
      <c r="AM5279">
        <v>99.806012829317595</v>
      </c>
      <c r="AN5279">
        <v>1.00000004428344</v>
      </c>
    </row>
    <row r="5280" spans="1:40" x14ac:dyDescent="0.25">
      <c r="A5280" t="str">
        <f>"20190304155741791"</f>
        <v>20190304155741791</v>
      </c>
      <c r="B5280" t="str">
        <f>"1551686261780167"</f>
        <v>1551686261780167</v>
      </c>
      <c r="C5280" t="s">
        <v>40</v>
      </c>
      <c r="D5280">
        <v>4.1320160000000001</v>
      </c>
      <c r="E5280">
        <v>0.41022219999999998</v>
      </c>
      <c r="F5280" t="s">
        <v>41</v>
      </c>
      <c r="G5280">
        <v>-395.52670000000001</v>
      </c>
      <c r="H5280">
        <v>7.9986600000000005E-2</v>
      </c>
      <c r="I5280">
        <v>6.9907000000000004</v>
      </c>
      <c r="J5280">
        <v>-419.64800000000002</v>
      </c>
      <c r="K5280">
        <v>1.1177330000000001</v>
      </c>
      <c r="L5280">
        <v>33.821809999999999</v>
      </c>
      <c r="M5280">
        <v>0.33908739999999998</v>
      </c>
      <c r="N5280">
        <v>-1.3541070000000001E-2</v>
      </c>
      <c r="O5280">
        <v>-0.94065739999999998</v>
      </c>
      <c r="P5280">
        <v>0.48500270000000001</v>
      </c>
      <c r="Q5280">
        <v>0.1599246</v>
      </c>
      <c r="R5280">
        <v>-0.85976529999999995</v>
      </c>
      <c r="S5280">
        <v>2.088409</v>
      </c>
      <c r="T5280">
        <v>-8.9454530000000004E-2</v>
      </c>
      <c r="U5280">
        <v>-2.3358150000000002</v>
      </c>
      <c r="V5280">
        <v>-0.16789089999999901</v>
      </c>
      <c r="W5280">
        <v>0.16999710000000001</v>
      </c>
      <c r="X5280">
        <v>0.97103740000000005</v>
      </c>
      <c r="Y5280">
        <v>-0.37402790000000002</v>
      </c>
      <c r="Z5280">
        <v>1.6881199999999999E-2</v>
      </c>
      <c r="AA5280">
        <v>0.92726379999999997</v>
      </c>
      <c r="AB5280">
        <v>29</v>
      </c>
      <c r="AC5280">
        <v>24.121300000000002</v>
      </c>
      <c r="AD5280">
        <v>-1.0377464000000001</v>
      </c>
      <c r="AE5280">
        <v>-26.831109999999999</v>
      </c>
      <c r="AF5280">
        <v>-13.5817984413285</v>
      </c>
      <c r="AG5280">
        <v>-1.0377464000000001</v>
      </c>
      <c r="AH5280">
        <v>33.393549725289901</v>
      </c>
      <c r="AI5280">
        <v>91.6488837307121</v>
      </c>
      <c r="AJ5280">
        <v>112.132520385752</v>
      </c>
      <c r="AK5280">
        <v>36.064821221614203</v>
      </c>
      <c r="AL5280">
        <v>80.212349557830805</v>
      </c>
      <c r="AM5280">
        <v>99.809374210965103</v>
      </c>
      <c r="AN5280">
        <v>1.00000000025499</v>
      </c>
    </row>
    <row r="5281" spans="1:40" x14ac:dyDescent="0.25">
      <c r="A5281" t="str">
        <f>"20190304155741813"</f>
        <v>20190304155741813</v>
      </c>
      <c r="B5281" t="str">
        <f>"1551686261810423"</f>
        <v>1551686261810423</v>
      </c>
      <c r="C5281" t="s">
        <v>40</v>
      </c>
      <c r="D5281">
        <v>4.0960039999999998</v>
      </c>
      <c r="E5281">
        <v>0.41088089999999999</v>
      </c>
      <c r="F5281" t="s">
        <v>41</v>
      </c>
      <c r="G5281">
        <v>-395.22559999999999</v>
      </c>
      <c r="H5281">
        <v>7.9986669999999996E-2</v>
      </c>
      <c r="I5281">
        <v>6.9694710000000004</v>
      </c>
      <c r="J5281">
        <v>-419.54149999999998</v>
      </c>
      <c r="K5281">
        <v>1.1178790000000001</v>
      </c>
      <c r="L5281">
        <v>33.557859999999998</v>
      </c>
      <c r="M5281">
        <v>0.34869919999999999</v>
      </c>
      <c r="N5281">
        <v>-1.3544E-2</v>
      </c>
      <c r="O5281">
        <v>-0.93713690000000005</v>
      </c>
      <c r="P5281">
        <v>0.49451689999999998</v>
      </c>
      <c r="Q5281">
        <v>0.16024840000000001</v>
      </c>
      <c r="R5281">
        <v>-0.85426809999999997</v>
      </c>
      <c r="S5281">
        <v>2.1074519999999999</v>
      </c>
      <c r="T5281">
        <v>-8.954906E-2</v>
      </c>
      <c r="U5281">
        <v>-2.3171390000000001</v>
      </c>
      <c r="V5281">
        <v>-0.16882069999999999</v>
      </c>
      <c r="W5281">
        <v>0.17024329999999999</v>
      </c>
      <c r="X5281">
        <v>0.9708331</v>
      </c>
      <c r="Y5281">
        <v>-0.37242130000000001</v>
      </c>
      <c r="Z5281">
        <v>1.6931680000000001E-2</v>
      </c>
      <c r="AA5281">
        <v>0.92790930000000005</v>
      </c>
      <c r="AB5281">
        <v>29</v>
      </c>
      <c r="AC5281">
        <v>24.315899999999999</v>
      </c>
      <c r="AD5281">
        <v>-1.03789233</v>
      </c>
      <c r="AE5281">
        <v>-26.588388999999999</v>
      </c>
      <c r="AF5281">
        <v>-13.506009102749299</v>
      </c>
      <c r="AG5281">
        <v>-1.03789233</v>
      </c>
      <c r="AH5281">
        <v>33.371265756003098</v>
      </c>
      <c r="AI5281">
        <v>91.651365339455495</v>
      </c>
      <c r="AJ5281">
        <v>112.034149802828</v>
      </c>
      <c r="AK5281">
        <v>36.015703249138603</v>
      </c>
      <c r="AL5281">
        <v>80.198035254869197</v>
      </c>
      <c r="AM5281">
        <v>99.864670464233797</v>
      </c>
      <c r="AN5281">
        <v>1.00000005899949</v>
      </c>
    </row>
    <row r="5282" spans="1:40" x14ac:dyDescent="0.25">
      <c r="A5282" t="str">
        <f>"20190304155741835"</f>
        <v>20190304155741835</v>
      </c>
      <c r="B5282" t="str">
        <f>"1551686261829943"</f>
        <v>1551686261829943</v>
      </c>
      <c r="C5282" t="s">
        <v>40</v>
      </c>
      <c r="D5282">
        <v>4.0818279999999998</v>
      </c>
      <c r="E5282">
        <v>0.42687419999999998</v>
      </c>
      <c r="F5282" t="s">
        <v>41</v>
      </c>
      <c r="G5282">
        <v>-394.20760000000001</v>
      </c>
      <c r="H5282">
        <v>7.9985479999999998E-2</v>
      </c>
      <c r="I5282">
        <v>6.2470460000000001</v>
      </c>
      <c r="J5282">
        <v>-419.4332</v>
      </c>
      <c r="K5282">
        <v>1.1180049999999999</v>
      </c>
      <c r="L5282">
        <v>33.297580000000004</v>
      </c>
      <c r="M5282">
        <v>0.35833949999999998</v>
      </c>
      <c r="N5282">
        <v>-1.354471E-2</v>
      </c>
      <c r="O5282">
        <v>-0.93349329999999997</v>
      </c>
      <c r="P5282">
        <v>0.50359589999999999</v>
      </c>
      <c r="Q5282">
        <v>0.1612352</v>
      </c>
      <c r="R5282">
        <v>-0.84876059999999998</v>
      </c>
      <c r="S5282">
        <v>2.1293329999999999</v>
      </c>
      <c r="T5282">
        <v>-8.7236049999999996E-2</v>
      </c>
      <c r="U5282">
        <v>-2.2955019999999999</v>
      </c>
      <c r="V5282">
        <v>-0.1693066</v>
      </c>
      <c r="W5282">
        <v>0.1711638</v>
      </c>
      <c r="X5282">
        <v>0.97058650000000002</v>
      </c>
      <c r="Y5282">
        <v>-0.37197819999999998</v>
      </c>
      <c r="Z5282">
        <v>1.622125E-2</v>
      </c>
      <c r="AA5282">
        <v>0.92809980000000003</v>
      </c>
      <c r="AB5282">
        <v>29</v>
      </c>
      <c r="AC5282">
        <v>25.225599999999901</v>
      </c>
      <c r="AD5282">
        <v>-1.03801952</v>
      </c>
      <c r="AE5282">
        <v>-27.050533999999899</v>
      </c>
      <c r="AF5282">
        <v>-13.8450177393359</v>
      </c>
      <c r="AG5282">
        <v>-1.03801952</v>
      </c>
      <c r="AH5282">
        <v>34.2669716053408</v>
      </c>
      <c r="AI5282">
        <v>91.608803401185796</v>
      </c>
      <c r="AJ5282">
        <v>112.000377361668</v>
      </c>
      <c r="AK5282">
        <v>36.972791938500599</v>
      </c>
      <c r="AL5282">
        <v>80.144507894163894</v>
      </c>
      <c r="AM5282">
        <v>99.894966595367904</v>
      </c>
      <c r="AN5282">
        <v>0.99999996260812396</v>
      </c>
    </row>
    <row r="5283" spans="1:40" x14ac:dyDescent="0.25">
      <c r="A5283" t="str">
        <f>"20190304155741857"</f>
        <v>20190304155741857</v>
      </c>
      <c r="B5283" t="str">
        <f>"1551686261850443"</f>
        <v>1551686261850443</v>
      </c>
      <c r="C5283" t="s">
        <v>40</v>
      </c>
      <c r="D5283">
        <v>4.0753849999999998</v>
      </c>
      <c r="E5283">
        <v>0.42614229999999997</v>
      </c>
      <c r="F5283" t="s">
        <v>41</v>
      </c>
      <c r="G5283">
        <v>-398.97629999999998</v>
      </c>
      <c r="H5283" s="1">
        <v>-2.9665290000000001E-6</v>
      </c>
      <c r="I5283">
        <v>9.8851460000000007</v>
      </c>
      <c r="J5283">
        <v>-419.32600000000002</v>
      </c>
      <c r="K5283">
        <v>1.1181190000000001</v>
      </c>
      <c r="L5283">
        <v>33.047609999999999</v>
      </c>
      <c r="M5283">
        <v>0.36774770000000001</v>
      </c>
      <c r="N5283">
        <v>-1.354499E-2</v>
      </c>
      <c r="O5283">
        <v>-0.92982690000000001</v>
      </c>
      <c r="P5283">
        <v>0.51266259999999997</v>
      </c>
      <c r="Q5283">
        <v>0.16222600000000001</v>
      </c>
      <c r="R5283">
        <v>-0.84312500000000001</v>
      </c>
      <c r="S5283">
        <v>2.0461429999999998</v>
      </c>
      <c r="T5283">
        <v>-0.1118257</v>
      </c>
      <c r="U5283">
        <v>-2.3417659999999998</v>
      </c>
      <c r="V5283">
        <v>-0.170047</v>
      </c>
      <c r="W5283">
        <v>0.1720892</v>
      </c>
      <c r="X5283">
        <v>0.97029339999999997</v>
      </c>
      <c r="Y5283">
        <v>-0.3346073</v>
      </c>
      <c r="Z5283">
        <v>2.39639E-2</v>
      </c>
      <c r="AA5283">
        <v>0.94205289999999997</v>
      </c>
      <c r="AB5283">
        <v>29</v>
      </c>
      <c r="AC5283">
        <v>20.349699999999899</v>
      </c>
      <c r="AD5283">
        <v>-1.1181219665289901</v>
      </c>
      <c r="AE5283">
        <v>-23.162464</v>
      </c>
      <c r="AF5283">
        <v>-10.3910448157845</v>
      </c>
      <c r="AG5283">
        <v>-1.1181219665289901</v>
      </c>
      <c r="AH5283">
        <v>28.985181503221501</v>
      </c>
      <c r="AI5283">
        <v>92.079651790832898</v>
      </c>
      <c r="AJ5283">
        <v>109.72250668639199</v>
      </c>
      <c r="AK5283">
        <v>30.811763271036099</v>
      </c>
      <c r="AL5283">
        <v>80.090687957226805</v>
      </c>
      <c r="AM5283">
        <v>99.940319774500793</v>
      </c>
      <c r="AN5283">
        <v>0.99999997852459899</v>
      </c>
    </row>
    <row r="5284" spans="1:40" x14ac:dyDescent="0.25">
      <c r="A5284" t="str">
        <f>"20190304155741870"</f>
        <v>20190304155741870</v>
      </c>
      <c r="B5284" t="str">
        <f>"1551686261860199"</f>
        <v>1551686261860199</v>
      </c>
      <c r="C5284" t="s">
        <v>40</v>
      </c>
      <c r="D5284">
        <v>4.0836889999999997</v>
      </c>
      <c r="E5284">
        <v>0.42627939999999998</v>
      </c>
      <c r="F5284" t="s">
        <v>41</v>
      </c>
      <c r="G5284">
        <v>-398.31599999999997</v>
      </c>
      <c r="H5284">
        <v>3.9237519999999998E-2</v>
      </c>
      <c r="I5284">
        <v>9.6163240000000005</v>
      </c>
      <c r="J5284">
        <v>-419.2559</v>
      </c>
      <c r="K5284">
        <v>1.11819</v>
      </c>
      <c r="L5284">
        <v>32.887149999999998</v>
      </c>
      <c r="M5284">
        <v>0.37384970000000001</v>
      </c>
      <c r="N5284">
        <v>-1.3545400000000001E-2</v>
      </c>
      <c r="O5284">
        <v>-0.92739059999999995</v>
      </c>
      <c r="P5284">
        <v>0.51848190000000005</v>
      </c>
      <c r="Q5284">
        <v>0.16260539999999901</v>
      </c>
      <c r="R5284">
        <v>-0.8394857</v>
      </c>
      <c r="S5284">
        <v>2.07666</v>
      </c>
      <c r="T5284">
        <v>-0.1066381</v>
      </c>
      <c r="U5284">
        <v>-2.315979</v>
      </c>
      <c r="V5284">
        <v>-0.17044799999999999</v>
      </c>
      <c r="W5284">
        <v>0.17243020000000001</v>
      </c>
      <c r="X5284">
        <v>0.97016250000000004</v>
      </c>
      <c r="Y5284">
        <v>-0.34053529999999999</v>
      </c>
      <c r="Z5284">
        <v>2.2356600000000001E-2</v>
      </c>
      <c r="AA5284">
        <v>0.93996590000000002</v>
      </c>
      <c r="AB5284">
        <v>29</v>
      </c>
      <c r="AC5284">
        <v>20.939900000000002</v>
      </c>
      <c r="AD5284">
        <v>-1.0789524800000001</v>
      </c>
      <c r="AE5284">
        <v>-23.270826</v>
      </c>
      <c r="AF5284">
        <v>-10.7079367232738</v>
      </c>
      <c r="AG5284">
        <v>-1.0789524800000001</v>
      </c>
      <c r="AH5284">
        <v>29.377316265709499</v>
      </c>
      <c r="AI5284">
        <v>91.976299817430601</v>
      </c>
      <c r="AJ5284">
        <v>110.026634461047</v>
      </c>
      <c r="AK5284">
        <v>31.286590710706299</v>
      </c>
      <c r="AL5284">
        <v>80.070853673299197</v>
      </c>
      <c r="AM5284">
        <v>99.964608955396301</v>
      </c>
      <c r="AN5284">
        <v>0.99999998549114499</v>
      </c>
    </row>
    <row r="5285" spans="1:40" x14ac:dyDescent="0.25">
      <c r="A5285" t="str">
        <f>"20190304155741883"</f>
        <v>20190304155741883</v>
      </c>
      <c r="B5285" t="str">
        <f>"1551686261879719"</f>
        <v>1551686261879719</v>
      </c>
      <c r="C5285" t="s">
        <v>40</v>
      </c>
      <c r="D5285">
        <v>4.1193970000000002</v>
      </c>
      <c r="E5285">
        <v>0.42692930000000001</v>
      </c>
      <c r="F5285" t="s">
        <v>41</v>
      </c>
      <c r="G5285">
        <v>-398.09750000000003</v>
      </c>
      <c r="H5285">
        <v>5.9543289999999999E-2</v>
      </c>
      <c r="I5285">
        <v>9.6067689999999999</v>
      </c>
      <c r="J5285">
        <v>-419.19040000000001</v>
      </c>
      <c r="K5285">
        <v>1.1182529999999999</v>
      </c>
      <c r="L5285">
        <v>32.740839999999999</v>
      </c>
      <c r="M5285">
        <v>0.37949959999999999</v>
      </c>
      <c r="N5285">
        <v>-1.3547480000000001E-2</v>
      </c>
      <c r="O5285">
        <v>-0.9250929</v>
      </c>
      <c r="P5285">
        <v>0.52370220000000001</v>
      </c>
      <c r="Q5285">
        <v>0.16321459999999999</v>
      </c>
      <c r="R5285">
        <v>-0.83612059999999999</v>
      </c>
      <c r="S5285">
        <v>2.0920100000000001</v>
      </c>
      <c r="T5285">
        <v>-0.1046724</v>
      </c>
      <c r="U5285">
        <v>-2.3018190000000001</v>
      </c>
      <c r="V5285">
        <v>-0.17065939999999999</v>
      </c>
      <c r="W5285">
        <v>0.17300879999999999</v>
      </c>
      <c r="X5285">
        <v>0.9700223</v>
      </c>
      <c r="Y5285">
        <v>-0.34112150000000002</v>
      </c>
      <c r="Z5285">
        <v>2.1736869999999998E-2</v>
      </c>
      <c r="AA5285">
        <v>0.93976789999999999</v>
      </c>
      <c r="AB5285">
        <v>29</v>
      </c>
      <c r="AC5285">
        <v>21.092899999999901</v>
      </c>
      <c r="AD5285">
        <v>-1.05870971</v>
      </c>
      <c r="AE5285">
        <v>-23.134070999999999</v>
      </c>
      <c r="AF5285">
        <v>-10.722242285885599</v>
      </c>
      <c r="AG5285">
        <v>-1.05870971</v>
      </c>
      <c r="AH5285">
        <v>29.375011472629001</v>
      </c>
      <c r="AI5285">
        <v>91.939080448291506</v>
      </c>
      <c r="AJ5285">
        <v>110.05270710436599</v>
      </c>
      <c r="AK5285">
        <v>31.288634436554901</v>
      </c>
      <c r="AL5285">
        <v>80.037196337350295</v>
      </c>
      <c r="AM5285">
        <v>99.978132504747904</v>
      </c>
      <c r="AN5285">
        <v>0.99999996909154398</v>
      </c>
    </row>
    <row r="5286" spans="1:40" x14ac:dyDescent="0.25">
      <c r="A5286" t="str">
        <f>"20190304155741903"</f>
        <v>20190304155741903</v>
      </c>
      <c r="B5286" t="str">
        <f>"1551686261900215"</f>
        <v>1551686261900215</v>
      </c>
      <c r="C5286" t="s">
        <v>40</v>
      </c>
      <c r="D5286">
        <v>4.114026</v>
      </c>
      <c r="E5286">
        <v>0.42767300000000003</v>
      </c>
      <c r="F5286" t="s">
        <v>41</v>
      </c>
      <c r="G5286">
        <v>-397.9744</v>
      </c>
      <c r="H5286">
        <v>4.3740349999999997E-2</v>
      </c>
      <c r="I5286">
        <v>9.6163249999999998</v>
      </c>
      <c r="J5286">
        <v>-419.08890000000002</v>
      </c>
      <c r="K5286">
        <v>1.118352</v>
      </c>
      <c r="L5286">
        <v>32.518590000000003</v>
      </c>
      <c r="M5286">
        <v>0.38815549999999999</v>
      </c>
      <c r="N5286">
        <v>-1.355203E-2</v>
      </c>
      <c r="O5286">
        <v>-0.92149440000000005</v>
      </c>
      <c r="P5286">
        <v>0.53183369999999996</v>
      </c>
      <c r="Q5286">
        <v>0.16328570000000001</v>
      </c>
      <c r="R5286">
        <v>-0.83095790000000003</v>
      </c>
      <c r="S5286">
        <v>2.1026609999999999</v>
      </c>
      <c r="T5286">
        <v>-0.106492</v>
      </c>
      <c r="U5286">
        <v>-2.2918090000000002</v>
      </c>
      <c r="V5286">
        <v>-0.1710776</v>
      </c>
      <c r="W5286">
        <v>0.17303470000000001</v>
      </c>
      <c r="X5286">
        <v>0.96994409999999998</v>
      </c>
      <c r="Y5286">
        <v>-0.33671250000000003</v>
      </c>
      <c r="Z5286">
        <v>2.2268380000000001E-2</v>
      </c>
      <c r="AA5286">
        <v>0.94134410000000002</v>
      </c>
      <c r="AB5286">
        <v>29</v>
      </c>
      <c r="AC5286">
        <v>21.1145</v>
      </c>
      <c r="AD5286">
        <v>-1.07461165</v>
      </c>
      <c r="AE5286">
        <v>-22.902265</v>
      </c>
      <c r="AF5286">
        <v>-10.5556602033716</v>
      </c>
      <c r="AG5286">
        <v>-1.07461165</v>
      </c>
      <c r="AH5286">
        <v>29.267873616753999</v>
      </c>
      <c r="AI5286">
        <v>91.978140235937801</v>
      </c>
      <c r="AJ5286">
        <v>109.83218814767601</v>
      </c>
      <c r="AK5286">
        <v>31.131739086881201</v>
      </c>
      <c r="AL5286">
        <v>80.035690516302097</v>
      </c>
      <c r="AM5286">
        <v>100.002880824656</v>
      </c>
      <c r="AN5286">
        <v>1.0000000548753201</v>
      </c>
    </row>
    <row r="5287" spans="1:40" x14ac:dyDescent="0.25">
      <c r="A5287" t="str">
        <f>"20190304155741916"</f>
        <v>20190304155741916</v>
      </c>
      <c r="B5287" t="str">
        <f>"1551686261909976"</f>
        <v>1551686261909976</v>
      </c>
      <c r="C5287" t="s">
        <v>40</v>
      </c>
      <c r="D5287">
        <v>4.1211650000000004</v>
      </c>
      <c r="E5287">
        <v>0.42805949999999998</v>
      </c>
      <c r="F5287" t="s">
        <v>41</v>
      </c>
      <c r="G5287">
        <v>-397.73129999999998</v>
      </c>
      <c r="H5287">
        <v>2.4161229999999999E-2</v>
      </c>
      <c r="I5287">
        <v>9.6163260000000008</v>
      </c>
      <c r="J5287">
        <v>-419.01690000000002</v>
      </c>
      <c r="K5287">
        <v>1.1184190000000001</v>
      </c>
      <c r="L5287">
        <v>32.364199999999997</v>
      </c>
      <c r="M5287">
        <v>0.39423900000000001</v>
      </c>
      <c r="N5287">
        <v>-1.355518E-2</v>
      </c>
      <c r="O5287">
        <v>-0.91890819999999995</v>
      </c>
      <c r="P5287">
        <v>0.53730659999999997</v>
      </c>
      <c r="Q5287">
        <v>0.163301799999999</v>
      </c>
      <c r="R5287">
        <v>-0.82742629999999995</v>
      </c>
      <c r="S5287">
        <v>2.1208800000000001</v>
      </c>
      <c r="T5287">
        <v>-0.1086564</v>
      </c>
      <c r="U5287">
        <v>-2.2742610000000001</v>
      </c>
      <c r="V5287">
        <v>-0.17109829999999901</v>
      </c>
      <c r="W5287">
        <v>0.17302529999999999</v>
      </c>
      <c r="X5287">
        <v>0.96994210000000003</v>
      </c>
      <c r="Y5287">
        <v>-0.33812900000000001</v>
      </c>
      <c r="Z5287">
        <v>2.2969349999999999E-2</v>
      </c>
      <c r="AA5287">
        <v>0.94081939999999997</v>
      </c>
      <c r="AB5287">
        <v>29</v>
      </c>
      <c r="AC5287">
        <v>21.285599999999999</v>
      </c>
      <c r="AD5287">
        <v>-1.09425777</v>
      </c>
      <c r="AE5287">
        <v>-22.747873999999999</v>
      </c>
      <c r="AF5287">
        <v>-10.5793321069845</v>
      </c>
      <c r="AG5287">
        <v>-1.09425777</v>
      </c>
      <c r="AH5287">
        <v>29.2614062459125</v>
      </c>
      <c r="AI5287">
        <v>92.014148622743093</v>
      </c>
      <c r="AJ5287">
        <v>109.877232927805</v>
      </c>
      <c r="AK5287">
        <v>31.134379123172</v>
      </c>
      <c r="AL5287">
        <v>80.036237094552604</v>
      </c>
      <c r="AM5287">
        <v>100.004086913824</v>
      </c>
      <c r="AN5287">
        <v>1.0000000300276899</v>
      </c>
    </row>
    <row r="5288" spans="1:40" x14ac:dyDescent="0.25">
      <c r="A5288" t="str">
        <f>"20190304155741929"</f>
        <v>20190304155741929</v>
      </c>
      <c r="B5288" t="str">
        <f>"1551686261919735"</f>
        <v>1551686261919735</v>
      </c>
      <c r="C5288" t="s">
        <v>40</v>
      </c>
      <c r="D5288">
        <v>4.2289599999999998</v>
      </c>
      <c r="E5288">
        <v>0.42805949999999998</v>
      </c>
      <c r="F5288" t="s">
        <v>41</v>
      </c>
      <c r="G5288">
        <v>-397.55840000000001</v>
      </c>
      <c r="H5288">
        <v>1.4716999999999999E-2</v>
      </c>
      <c r="I5288">
        <v>9.6163240000000005</v>
      </c>
      <c r="J5288">
        <v>-418.94529999999997</v>
      </c>
      <c r="K5288">
        <v>1.1184909999999999</v>
      </c>
      <c r="L5288">
        <v>32.212679999999999</v>
      </c>
      <c r="M5288">
        <v>0.40024920000000003</v>
      </c>
      <c r="N5288">
        <v>-1.3557369999999999E-2</v>
      </c>
      <c r="O5288">
        <v>-0.91630610000000001</v>
      </c>
      <c r="P5288">
        <v>0.54282189999999997</v>
      </c>
      <c r="Q5288">
        <v>0.16319049999999999</v>
      </c>
      <c r="R5288">
        <v>-0.82384059999999903</v>
      </c>
      <c r="S5288">
        <v>2.1336360000000001</v>
      </c>
      <c r="T5288">
        <v>-0.10974200000000001</v>
      </c>
      <c r="U5288">
        <v>-2.261841</v>
      </c>
      <c r="V5288">
        <v>-0.17124320000000001</v>
      </c>
      <c r="W5288">
        <v>0.17288439999999999</v>
      </c>
      <c r="X5288">
        <v>0.96994159999999996</v>
      </c>
      <c r="Y5288">
        <v>-0.3373447</v>
      </c>
      <c r="Z5288">
        <v>2.3301809999999999E-2</v>
      </c>
      <c r="AA5288">
        <v>0.94109279999999995</v>
      </c>
      <c r="AB5288">
        <v>29</v>
      </c>
      <c r="AC5288">
        <v>21.386899999999901</v>
      </c>
      <c r="AD5288">
        <v>-1.10377399999999</v>
      </c>
      <c r="AE5288">
        <v>-22.596356</v>
      </c>
      <c r="AF5288">
        <v>-10.5404767406165</v>
      </c>
      <c r="AG5288">
        <v>-1.10377399999999</v>
      </c>
      <c r="AH5288">
        <v>29.231166663213401</v>
      </c>
      <c r="AI5288">
        <v>92.0343701729591</v>
      </c>
      <c r="AJ5288">
        <v>109.82881477340401</v>
      </c>
      <c r="AK5288">
        <v>31.093103277979701</v>
      </c>
      <c r="AL5288">
        <v>80.044433073271406</v>
      </c>
      <c r="AM5288">
        <v>100.012392888204</v>
      </c>
      <c r="AN5288">
        <v>0.99999997836007903</v>
      </c>
    </row>
    <row r="5289" spans="1:40" x14ac:dyDescent="0.25">
      <c r="A5289" t="str">
        <f>"20190304155741942"</f>
        <v>20190304155741942</v>
      </c>
      <c r="B5289" t="str">
        <f>"1551686261930471"</f>
        <v>1551686261930471</v>
      </c>
      <c r="C5289" t="s">
        <v>40</v>
      </c>
      <c r="D5289">
        <v>4.2179580000000003</v>
      </c>
      <c r="E5289">
        <v>0.43769380000000002</v>
      </c>
      <c r="F5289" t="s">
        <v>41</v>
      </c>
      <c r="G5289">
        <v>-397.33670000000001</v>
      </c>
      <c r="H5289">
        <v>1.558119E-2</v>
      </c>
      <c r="I5289">
        <v>9.6163249999999998</v>
      </c>
      <c r="J5289">
        <v>-418.87670000000003</v>
      </c>
      <c r="K5289">
        <v>1.118555</v>
      </c>
      <c r="L5289">
        <v>32.071379999999998</v>
      </c>
      <c r="M5289">
        <v>0.4059374</v>
      </c>
      <c r="N5289">
        <v>-1.355902E-2</v>
      </c>
      <c r="O5289">
        <v>-0.91380030000000001</v>
      </c>
      <c r="P5289">
        <v>0.54780530000000005</v>
      </c>
      <c r="Q5289">
        <v>0.16337270000000001</v>
      </c>
      <c r="R5289">
        <v>-0.82049919999999998</v>
      </c>
      <c r="S5289">
        <v>2.1490170000000002</v>
      </c>
      <c r="T5289">
        <v>-0.1096866</v>
      </c>
      <c r="U5289">
        <v>-2.2472530000000002</v>
      </c>
      <c r="V5289">
        <v>-0.1711394</v>
      </c>
      <c r="W5289">
        <v>0.17304310000000001</v>
      </c>
      <c r="X5289">
        <v>0.96993169999999995</v>
      </c>
      <c r="Y5289">
        <v>-0.33790900000000001</v>
      </c>
      <c r="Z5289">
        <v>2.328272E-2</v>
      </c>
      <c r="AA5289">
        <v>0.94089080000000003</v>
      </c>
      <c r="AB5289">
        <v>29</v>
      </c>
      <c r="AC5289">
        <v>21.54</v>
      </c>
      <c r="AD5289">
        <v>-1.1029738099999999</v>
      </c>
      <c r="AE5289">
        <v>-22.455055000000002</v>
      </c>
      <c r="AF5289">
        <v>-10.555620141461899</v>
      </c>
      <c r="AG5289">
        <v>-1.1029738099999999</v>
      </c>
      <c r="AH5289">
        <v>29.229291030999502</v>
      </c>
      <c r="AI5289">
        <v>92.032675925057504</v>
      </c>
      <c r="AJ5289">
        <v>109.856252007997</v>
      </c>
      <c r="AK5289">
        <v>31.0964487035296</v>
      </c>
      <c r="AL5289">
        <v>80.035201868477003</v>
      </c>
      <c r="AM5289">
        <v>100.00654658614</v>
      </c>
      <c r="AN5289">
        <v>1.00000005567742</v>
      </c>
    </row>
    <row r="5290" spans="1:40" x14ac:dyDescent="0.25">
      <c r="A5290" t="str">
        <f>"20190304155741953"</f>
        <v>20190304155741953</v>
      </c>
      <c r="B5290" t="str">
        <f>"1551686261949991"</f>
        <v>1551686261949991</v>
      </c>
      <c r="C5290" t="s">
        <v>40</v>
      </c>
      <c r="D5290">
        <v>4.2419989999999999</v>
      </c>
      <c r="E5290">
        <v>0.43799159999999998</v>
      </c>
      <c r="F5290" t="s">
        <v>84</v>
      </c>
      <c r="G5290">
        <v>-401.24360000000001</v>
      </c>
      <c r="H5290" s="1">
        <v>-6.5408989999999899E-6</v>
      </c>
      <c r="I5290">
        <v>12.92642</v>
      </c>
      <c r="J5290">
        <v>-418.80880000000002</v>
      </c>
      <c r="K5290">
        <v>1.118619</v>
      </c>
      <c r="L5290">
        <v>31.932919999999999</v>
      </c>
      <c r="M5290">
        <v>0.4115335</v>
      </c>
      <c r="N5290">
        <v>-1.356037E-2</v>
      </c>
      <c r="O5290">
        <v>-0.91129380000000004</v>
      </c>
      <c r="P5290">
        <v>0.55288740000000003</v>
      </c>
      <c r="Q5290">
        <v>0.16350870000000001</v>
      </c>
      <c r="R5290">
        <v>-0.81705589999999995</v>
      </c>
      <c r="S5290">
        <v>2.100403</v>
      </c>
      <c r="T5290">
        <v>-0.13323950000000001</v>
      </c>
      <c r="U5290">
        <v>-2.2804869999999999</v>
      </c>
      <c r="V5290">
        <v>-0.17125309999999999</v>
      </c>
      <c r="W5290">
        <v>0.1731502</v>
      </c>
      <c r="X5290">
        <v>0.96989239999999999</v>
      </c>
      <c r="Y5290">
        <v>-0.31425039999999999</v>
      </c>
      <c r="Z5290">
        <v>3.0531639999999999E-2</v>
      </c>
      <c r="AA5290">
        <v>0.94884900000000005</v>
      </c>
      <c r="AB5290">
        <v>29</v>
      </c>
      <c r="AC5290">
        <v>17.565200000000001</v>
      </c>
      <c r="AD5290">
        <v>-1.118625540899</v>
      </c>
      <c r="AE5290">
        <v>-19.006499999999999</v>
      </c>
      <c r="AF5290">
        <v>-8.1707336897535097</v>
      </c>
      <c r="AG5290">
        <v>-1.118625540899</v>
      </c>
      <c r="AH5290">
        <v>24.505647389648701</v>
      </c>
      <c r="AI5290">
        <v>92.479588274932198</v>
      </c>
      <c r="AJ5290">
        <v>108.43954557729499</v>
      </c>
      <c r="AK5290">
        <v>25.856120476889501</v>
      </c>
      <c r="AL5290">
        <v>80.028970294475997</v>
      </c>
      <c r="AM5290">
        <v>100.013457667117</v>
      </c>
      <c r="AN5290">
        <v>0.999999941798703</v>
      </c>
    </row>
    <row r="5291" spans="1:40" x14ac:dyDescent="0.25">
      <c r="A5291" t="str">
        <f>"20190304155741969"</f>
        <v>20190304155741969</v>
      </c>
      <c r="B5291" t="str">
        <f>"1551686261959751"</f>
        <v>1551686261959751</v>
      </c>
      <c r="C5291" t="s">
        <v>40</v>
      </c>
      <c r="D5291">
        <v>4.1639039999999996</v>
      </c>
      <c r="E5291">
        <v>0.43799159999999998</v>
      </c>
      <c r="F5291" t="s">
        <v>84</v>
      </c>
      <c r="G5291">
        <v>-400.65320000000003</v>
      </c>
      <c r="H5291" s="1">
        <v>-6.6842439999999998E-6</v>
      </c>
      <c r="I5291">
        <v>12.443849999999999</v>
      </c>
      <c r="J5291">
        <v>-418.7208</v>
      </c>
      <c r="K5291">
        <v>1.1187020000000001</v>
      </c>
      <c r="L5291">
        <v>31.756589999999999</v>
      </c>
      <c r="M5291">
        <v>0.41871809999999998</v>
      </c>
      <c r="N5291">
        <v>-1.3562350000000001E-2</v>
      </c>
      <c r="O5291">
        <v>-0.90801500000000002</v>
      </c>
      <c r="P5291">
        <v>0.55932159999999997</v>
      </c>
      <c r="Q5291">
        <v>0.16340769999999999</v>
      </c>
      <c r="R5291">
        <v>-0.81268530000000005</v>
      </c>
      <c r="S5291">
        <v>2.112854</v>
      </c>
      <c r="T5291">
        <v>-0.13017980000000001</v>
      </c>
      <c r="U5291">
        <v>-2.2680359999999999</v>
      </c>
      <c r="V5291">
        <v>-0.1712757</v>
      </c>
      <c r="W5291">
        <v>0.1730168</v>
      </c>
      <c r="X5291">
        <v>0.96991229999999995</v>
      </c>
      <c r="Y5291">
        <v>-0.312162</v>
      </c>
      <c r="Z5291">
        <v>2.9520879999999999E-2</v>
      </c>
      <c r="AA5291">
        <v>0.94957009999999997</v>
      </c>
      <c r="AB5291">
        <v>29</v>
      </c>
      <c r="AC5291">
        <v>18.067599999999899</v>
      </c>
      <c r="AD5291">
        <v>-1.1187086842439999</v>
      </c>
      <c r="AE5291">
        <v>-19.312740000000002</v>
      </c>
      <c r="AF5291">
        <v>-8.3049626044809308</v>
      </c>
      <c r="AG5291">
        <v>-1.1187086842439999</v>
      </c>
      <c r="AH5291">
        <v>25.0589580019988</v>
      </c>
      <c r="AI5291">
        <v>92.426538794272503</v>
      </c>
      <c r="AJ5291">
        <v>108.336069762538</v>
      </c>
      <c r="AK5291">
        <v>26.423006814667598</v>
      </c>
      <c r="AL5291">
        <v>80.036731506480194</v>
      </c>
      <c r="AM5291">
        <v>100.01455106131</v>
      </c>
      <c r="AN5291">
        <v>1.000000024092</v>
      </c>
    </row>
    <row r="5292" spans="1:40" x14ac:dyDescent="0.25">
      <c r="A5292" t="str">
        <f>"20190304155741985"</f>
        <v>20190304155741985</v>
      </c>
      <c r="B5292" t="str">
        <f>"1551686261980247"</f>
        <v>1551686261980247</v>
      </c>
      <c r="C5292" t="s">
        <v>40</v>
      </c>
      <c r="D5292">
        <v>4.174963</v>
      </c>
      <c r="E5292">
        <v>0.43802930000000001</v>
      </c>
      <c r="F5292" t="s">
        <v>84</v>
      </c>
      <c r="G5292">
        <v>-400.39749999999998</v>
      </c>
      <c r="H5292" s="1">
        <v>-6.7652409999999997E-6</v>
      </c>
      <c r="I5292">
        <v>12.40314</v>
      </c>
      <c r="J5292">
        <v>-418.63589999999999</v>
      </c>
      <c r="K5292">
        <v>1.118773</v>
      </c>
      <c r="L5292">
        <v>31.590699999999998</v>
      </c>
      <c r="M5292">
        <v>0.425568</v>
      </c>
      <c r="N5292">
        <v>-1.356569E-2</v>
      </c>
      <c r="O5292">
        <v>-0.90482479999999998</v>
      </c>
      <c r="P5292">
        <v>0.56541399999999997</v>
      </c>
      <c r="Q5292">
        <v>0.1631899</v>
      </c>
      <c r="R5292">
        <v>-0.80850219999999995</v>
      </c>
      <c r="S5292">
        <v>2.1311040000000001</v>
      </c>
      <c r="T5292">
        <v>-0.13011220000000001</v>
      </c>
      <c r="U5292">
        <v>-2.2509160000000001</v>
      </c>
      <c r="V5292">
        <v>-0.171244799999999</v>
      </c>
      <c r="W5292">
        <v>0.17277310000000001</v>
      </c>
      <c r="X5292">
        <v>0.96996119999999997</v>
      </c>
      <c r="Y5292">
        <v>-0.31264920000000002</v>
      </c>
      <c r="Z5292">
        <v>2.9473289999999999E-2</v>
      </c>
      <c r="AA5292">
        <v>0.94941129999999996</v>
      </c>
      <c r="AB5292">
        <v>29</v>
      </c>
      <c r="AC5292">
        <v>18.238399999999999</v>
      </c>
      <c r="AD5292">
        <v>-1.1187797652410001</v>
      </c>
      <c r="AE5292">
        <v>-19.187560000000001</v>
      </c>
      <c r="AF5292">
        <v>-8.3228469944674099</v>
      </c>
      <c r="AG5292">
        <v>-1.1187797652410001</v>
      </c>
      <c r="AH5292">
        <v>25.0805754637164</v>
      </c>
      <c r="AI5292">
        <v>92.424294432326406</v>
      </c>
      <c r="AJ5292">
        <v>108.358132789813</v>
      </c>
      <c r="AK5292">
        <v>26.449134500917101</v>
      </c>
      <c r="AL5292">
        <v>80.050908016355194</v>
      </c>
      <c r="AM5292">
        <v>100.01228631699399</v>
      </c>
      <c r="AN5292">
        <v>1.0000000275580401</v>
      </c>
    </row>
    <row r="5293" spans="1:40" x14ac:dyDescent="0.25">
      <c r="A5293" t="str">
        <f>"20190304155742003"</f>
        <v>20190304155742003</v>
      </c>
      <c r="B5293" t="str">
        <f>"1551686261999767"</f>
        <v>1551686261999767</v>
      </c>
      <c r="C5293" t="s">
        <v>40</v>
      </c>
      <c r="D5293">
        <v>4.1817010000000003</v>
      </c>
      <c r="E5293">
        <v>0.43803789999999998</v>
      </c>
      <c r="F5293" t="s">
        <v>84</v>
      </c>
      <c r="G5293">
        <v>-400.15769999999998</v>
      </c>
      <c r="H5293" s="1">
        <v>-6.8410820000000004E-6</v>
      </c>
      <c r="I5293">
        <v>12.3637</v>
      </c>
      <c r="J5293">
        <v>-418.52679999999998</v>
      </c>
      <c r="K5293">
        <v>1.1188549999999999</v>
      </c>
      <c r="L5293">
        <v>31.381530000000001</v>
      </c>
      <c r="M5293">
        <v>0.43427710000000003</v>
      </c>
      <c r="N5293">
        <v>-1.35674E-2</v>
      </c>
      <c r="O5293">
        <v>-0.90067719999999996</v>
      </c>
      <c r="P5293">
        <v>0.57337749999999998</v>
      </c>
      <c r="Q5293">
        <v>0.16221930000000001</v>
      </c>
      <c r="R5293">
        <v>-0.80307099999999998</v>
      </c>
      <c r="S5293">
        <v>2.1477659999999998</v>
      </c>
      <c r="T5293">
        <v>-0.1300386</v>
      </c>
      <c r="U5293">
        <v>-2.2348020000000002</v>
      </c>
      <c r="V5293">
        <v>-0.1714067</v>
      </c>
      <c r="W5293">
        <v>0.17176549999999999</v>
      </c>
      <c r="X5293">
        <v>0.97011150000000002</v>
      </c>
      <c r="Y5293">
        <v>-0.31058709999999901</v>
      </c>
      <c r="Z5293">
        <v>2.9384029999999998E-2</v>
      </c>
      <c r="AA5293">
        <v>0.95009060000000001</v>
      </c>
      <c r="AB5293">
        <v>29</v>
      </c>
      <c r="AC5293">
        <v>18.3691</v>
      </c>
      <c r="AD5293">
        <v>-1.1188618410819999</v>
      </c>
      <c r="AE5293">
        <v>-19.01783</v>
      </c>
      <c r="AF5293">
        <v>-8.2715722464409307</v>
      </c>
      <c r="AG5293">
        <v>-1.1188618410819999</v>
      </c>
      <c r="AH5293">
        <v>25.063634823106401</v>
      </c>
      <c r="AI5293">
        <v>92.4274256920678</v>
      </c>
      <c r="AJ5293">
        <v>108.26407067597999</v>
      </c>
      <c r="AK5293">
        <v>26.416974652551499</v>
      </c>
      <c r="AL5293">
        <v>80.109514988144497</v>
      </c>
      <c r="AM5293">
        <v>100.02003925787299</v>
      </c>
      <c r="AN5293">
        <v>0.99999998311369498</v>
      </c>
    </row>
    <row r="5294" spans="1:40" x14ac:dyDescent="0.25">
      <c r="A5294" t="str">
        <f>"20190304155742016"</f>
        <v>20190304155742016</v>
      </c>
      <c r="B5294" t="str">
        <f>"1551686262010504"</f>
        <v>1551686262010504</v>
      </c>
      <c r="C5294" t="s">
        <v>40</v>
      </c>
      <c r="D5294">
        <v>4.1744719999999997</v>
      </c>
      <c r="E5294">
        <v>0.438114</v>
      </c>
      <c r="F5294" t="s">
        <v>84</v>
      </c>
      <c r="G5294">
        <v>-399.99099999999999</v>
      </c>
      <c r="H5294" s="1">
        <v>-6.908928E-6</v>
      </c>
      <c r="I5294">
        <v>12.470840000000001</v>
      </c>
      <c r="J5294">
        <v>-418.44940000000003</v>
      </c>
      <c r="K5294">
        <v>1.1189119999999999</v>
      </c>
      <c r="L5294">
        <v>31.236270000000001</v>
      </c>
      <c r="M5294">
        <v>0.44038070000000001</v>
      </c>
      <c r="N5294">
        <v>-1.3567050000000001E-2</v>
      </c>
      <c r="O5294">
        <v>-0.89770869999999903</v>
      </c>
      <c r="P5294">
        <v>0.5786734</v>
      </c>
      <c r="Q5294">
        <v>0.16193189999999999</v>
      </c>
      <c r="R5294">
        <v>-0.79932169999999902</v>
      </c>
      <c r="S5294">
        <v>2.1693730000000002</v>
      </c>
      <c r="T5294">
        <v>-0.1309487</v>
      </c>
      <c r="U5294">
        <v>-2.213257</v>
      </c>
      <c r="V5294">
        <v>-0.17122780000000001</v>
      </c>
      <c r="W5294">
        <v>0.17145739999999901</v>
      </c>
      <c r="X5294">
        <v>0.97019759999999999</v>
      </c>
      <c r="Y5294">
        <v>-0.31347809999999998</v>
      </c>
      <c r="Z5294">
        <v>2.9681559999999999E-2</v>
      </c>
      <c r="AA5294">
        <v>0.94913139999999996</v>
      </c>
      <c r="AB5294">
        <v>29</v>
      </c>
      <c r="AC5294">
        <v>18.458400000000001</v>
      </c>
      <c r="AD5294">
        <v>-1.1189189089280001</v>
      </c>
      <c r="AE5294">
        <v>-18.765429999999999</v>
      </c>
      <c r="AF5294">
        <v>-8.2921133026441307</v>
      </c>
      <c r="AG5294">
        <v>-1.1189189089280001</v>
      </c>
      <c r="AH5294">
        <v>24.931858378327998</v>
      </c>
      <c r="AI5294">
        <v>92.438496537566607</v>
      </c>
      <c r="AJ5294">
        <v>108.396664287329</v>
      </c>
      <c r="AK5294">
        <v>26.298454037179599</v>
      </c>
      <c r="AL5294">
        <v>80.127433728050207</v>
      </c>
      <c r="AM5294">
        <v>100.008922432061</v>
      </c>
      <c r="AN5294">
        <v>0.99999999127668004</v>
      </c>
    </row>
    <row r="5295" spans="1:40" x14ac:dyDescent="0.25">
      <c r="A5295" t="str">
        <f>"20190304155742036"</f>
        <v>20190304155742036</v>
      </c>
      <c r="B5295" t="str">
        <f>"1551686262030023"</f>
        <v>1551686262030023</v>
      </c>
      <c r="C5295" t="s">
        <v>40</v>
      </c>
      <c r="D5295">
        <v>4.1924070000000002</v>
      </c>
      <c r="E5295">
        <v>0.43867889999999998</v>
      </c>
      <c r="F5295" t="s">
        <v>41</v>
      </c>
      <c r="G5295">
        <v>-399.76839999999999</v>
      </c>
      <c r="H5295" s="1">
        <v>-1.9869360000000001E-6</v>
      </c>
      <c r="I5295">
        <v>12.42367</v>
      </c>
      <c r="J5295">
        <v>-418.32659999999998</v>
      </c>
      <c r="K5295">
        <v>1.118992</v>
      </c>
      <c r="L5295">
        <v>31.010619999999999</v>
      </c>
      <c r="M5295">
        <v>0.44994889999999998</v>
      </c>
      <c r="N5295">
        <v>-1.356505E-2</v>
      </c>
      <c r="O5295">
        <v>-0.89295139999999995</v>
      </c>
      <c r="P5295">
        <v>0.58695090000000005</v>
      </c>
      <c r="Q5295">
        <v>0.16223660000000001</v>
      </c>
      <c r="R5295">
        <v>-0.79320119999999905</v>
      </c>
      <c r="S5295">
        <v>2.1835330000000002</v>
      </c>
      <c r="T5295">
        <v>-0.1307844</v>
      </c>
      <c r="U5295">
        <v>-2.1989139999999998</v>
      </c>
      <c r="V5295">
        <v>-0.1710161</v>
      </c>
      <c r="W5295">
        <v>0.171728399999999</v>
      </c>
      <c r="X5295">
        <v>0.97018700000000002</v>
      </c>
      <c r="Y5295">
        <v>-0.30950440000000001</v>
      </c>
      <c r="Z5295">
        <v>2.9531399999999999E-2</v>
      </c>
      <c r="AA5295">
        <v>0.95043929999999999</v>
      </c>
      <c r="AB5295">
        <v>29</v>
      </c>
      <c r="AC5295">
        <v>18.558199999999999</v>
      </c>
      <c r="AD5295">
        <v>-1.1189939869359999</v>
      </c>
      <c r="AE5295">
        <v>-18.586950000000002</v>
      </c>
      <c r="AF5295">
        <v>-8.1942745984791792</v>
      </c>
      <c r="AG5295">
        <v>-1.1189939869359999</v>
      </c>
      <c r="AH5295">
        <v>24.904575238524501</v>
      </c>
      <c r="AI5295">
        <v>92.443921077172007</v>
      </c>
      <c r="AJ5295">
        <v>108.21259504375099</v>
      </c>
      <c r="AK5295">
        <v>26.241877820564</v>
      </c>
      <c r="AL5295">
        <v>80.111672716018106</v>
      </c>
      <c r="AM5295">
        <v>99.996904539989998</v>
      </c>
      <c r="AN5295">
        <v>0.99999998239738497</v>
      </c>
    </row>
    <row r="5296" spans="1:40" x14ac:dyDescent="0.25">
      <c r="A5296" t="str">
        <f>"20190304155742048"</f>
        <v>20190304155742048</v>
      </c>
      <c r="B5296" t="str">
        <f>"1551686262039783"</f>
        <v>1551686262039783</v>
      </c>
      <c r="C5296" t="s">
        <v>40</v>
      </c>
      <c r="D5296">
        <v>4.1837220000000004</v>
      </c>
      <c r="E5296">
        <v>0.43902049999999998</v>
      </c>
      <c r="F5296" t="s">
        <v>41</v>
      </c>
      <c r="G5296">
        <v>-399.46010000000001</v>
      </c>
      <c r="H5296" s="1">
        <v>-2.1229200000000002E-6</v>
      </c>
      <c r="I5296">
        <v>12.357559999999999</v>
      </c>
      <c r="J5296">
        <v>-418.25020000000001</v>
      </c>
      <c r="K5296">
        <v>1.1190389999999999</v>
      </c>
      <c r="L5296">
        <v>30.872530000000001</v>
      </c>
      <c r="M5296">
        <v>0.45583960000000001</v>
      </c>
      <c r="N5296">
        <v>-1.356358E-2</v>
      </c>
      <c r="O5296">
        <v>-0.8899589</v>
      </c>
      <c r="P5296">
        <v>0.59209730000000005</v>
      </c>
      <c r="Q5296">
        <v>0.1620239</v>
      </c>
      <c r="R5296">
        <v>-0.78941090000000003</v>
      </c>
      <c r="S5296">
        <v>2.2033689999999999</v>
      </c>
      <c r="T5296">
        <v>-0.13068399999999999</v>
      </c>
      <c r="U5296">
        <v>-2.178436</v>
      </c>
      <c r="V5296">
        <v>-0.1709116</v>
      </c>
      <c r="W5296">
        <v>0.17149639999999999</v>
      </c>
      <c r="X5296">
        <v>0.97024650000000001</v>
      </c>
      <c r="Y5296">
        <v>-0.3119635</v>
      </c>
      <c r="Z5296">
        <v>2.950726E-2</v>
      </c>
      <c r="AA5296">
        <v>0.94963569999999997</v>
      </c>
      <c r="AB5296">
        <v>29</v>
      </c>
      <c r="AC5296">
        <v>18.790099999999899</v>
      </c>
      <c r="AD5296">
        <v>-1.1190411229199999</v>
      </c>
      <c r="AE5296">
        <v>-18.514970000000002</v>
      </c>
      <c r="AF5296">
        <v>-8.2684404551100403</v>
      </c>
      <c r="AG5296">
        <v>-1.1190411229199999</v>
      </c>
      <c r="AH5296">
        <v>25.000142054689899</v>
      </c>
      <c r="AI5296">
        <v>92.433456525316004</v>
      </c>
      <c r="AJ5296">
        <v>108.30089652525299</v>
      </c>
      <c r="AK5296">
        <v>26.355767174361699</v>
      </c>
      <c r="AL5296">
        <v>80.125165988551004</v>
      </c>
      <c r="AM5296">
        <v>99.990318663397204</v>
      </c>
      <c r="AN5296">
        <v>1.00000003049488</v>
      </c>
    </row>
    <row r="5297" spans="1:40" x14ac:dyDescent="0.25">
      <c r="A5297" t="str">
        <f>"20190304155742060"</f>
        <v>20190304155742060</v>
      </c>
      <c r="B5297" t="str">
        <f>"1551686262050519"</f>
        <v>1551686262050519</v>
      </c>
      <c r="C5297" t="s">
        <v>40</v>
      </c>
      <c r="D5297">
        <v>4.1731959999999999</v>
      </c>
      <c r="E5297">
        <v>0.43907410000000002</v>
      </c>
      <c r="F5297" t="s">
        <v>41</v>
      </c>
      <c r="G5297">
        <v>-399.36270000000002</v>
      </c>
      <c r="H5297" s="1">
        <v>-2.145813E-6</v>
      </c>
      <c r="I5297">
        <v>12.412000000000001</v>
      </c>
      <c r="J5297">
        <v>-418.17849999999999</v>
      </c>
      <c r="K5297">
        <v>1.1190719999999901</v>
      </c>
      <c r="L5297">
        <v>30.746120000000001</v>
      </c>
      <c r="M5297">
        <v>0.46128809999999898</v>
      </c>
      <c r="N5297">
        <v>-1.356302E-2</v>
      </c>
      <c r="O5297">
        <v>-0.88714689999999996</v>
      </c>
      <c r="P5297">
        <v>0.59685809999999995</v>
      </c>
      <c r="Q5297">
        <v>0.16199459999999999</v>
      </c>
      <c r="R5297">
        <v>-0.78582339999999995</v>
      </c>
      <c r="S5297">
        <v>2.215576</v>
      </c>
      <c r="T5297">
        <v>-0.1312683</v>
      </c>
      <c r="U5297">
        <v>-2.1654969999999998</v>
      </c>
      <c r="V5297">
        <v>-0.1708412</v>
      </c>
      <c r="W5297">
        <v>0.17145079999999999</v>
      </c>
      <c r="X5297">
        <v>0.97026690000000004</v>
      </c>
      <c r="Y5297">
        <v>-0.311585</v>
      </c>
      <c r="Z5297">
        <v>2.965634E-2</v>
      </c>
      <c r="AA5297">
        <v>0.94975540000000003</v>
      </c>
      <c r="AB5297">
        <v>29</v>
      </c>
      <c r="AC5297">
        <v>18.8157999999999</v>
      </c>
      <c r="AD5297">
        <v>-1.11907414581299</v>
      </c>
      <c r="AE5297">
        <v>-18.334119999999999</v>
      </c>
      <c r="AF5297">
        <v>-8.2209067155609592</v>
      </c>
      <c r="AG5297">
        <v>-1.11907414581299</v>
      </c>
      <c r="AH5297">
        <v>24.9016691271494</v>
      </c>
      <c r="AI5297">
        <v>92.443576843918507</v>
      </c>
      <c r="AJ5297">
        <v>108.269852901364</v>
      </c>
      <c r="AK5297">
        <v>26.2474524380521</v>
      </c>
      <c r="AL5297">
        <v>80.127817400076793</v>
      </c>
      <c r="AM5297">
        <v>99.986080677329099</v>
      </c>
      <c r="AN5297">
        <v>0.999999974836844</v>
      </c>
    </row>
    <row r="5298" spans="1:40" x14ac:dyDescent="0.25">
      <c r="A5298" t="str">
        <f>"20190304155742073"</f>
        <v>20190304155742073</v>
      </c>
      <c r="B5298" t="str">
        <f>"1551686262070040"</f>
        <v>1551686262070040</v>
      </c>
      <c r="C5298" t="s">
        <v>40</v>
      </c>
      <c r="D5298">
        <v>4.2506879999999896</v>
      </c>
      <c r="E5298">
        <v>0.43266339999999998</v>
      </c>
      <c r="F5298" t="s">
        <v>41</v>
      </c>
      <c r="G5298">
        <v>-398.83159999999998</v>
      </c>
      <c r="H5298" s="1">
        <v>-2.4428070000000001E-6</v>
      </c>
      <c r="I5298">
        <v>12.062430000000001</v>
      </c>
      <c r="J5298">
        <v>-418.09679999999997</v>
      </c>
      <c r="K5298">
        <v>1.119116</v>
      </c>
      <c r="L5298">
        <v>30.60342</v>
      </c>
      <c r="M5298">
        <v>0.46744839999999999</v>
      </c>
      <c r="N5298">
        <v>-1.356224E-2</v>
      </c>
      <c r="O5298">
        <v>-0.88391659999999905</v>
      </c>
      <c r="P5298">
        <v>0.60207889999999997</v>
      </c>
      <c r="Q5298">
        <v>0.16168160000000001</v>
      </c>
      <c r="R5298">
        <v>-0.78189549999999997</v>
      </c>
      <c r="S5298">
        <v>2.2282099999999998</v>
      </c>
      <c r="T5298">
        <v>-0.12888530000000001</v>
      </c>
      <c r="U5298">
        <v>-2.1518250000000001</v>
      </c>
      <c r="V5298">
        <v>-0.17053589999999999</v>
      </c>
      <c r="W5298">
        <v>0.17112620000000001</v>
      </c>
      <c r="X5298">
        <v>0.97037790000000002</v>
      </c>
      <c r="Y5298">
        <v>-0.31069989999999997</v>
      </c>
      <c r="Z5298">
        <v>2.887675E-2</v>
      </c>
      <c r="AA5298">
        <v>0.95006930000000001</v>
      </c>
      <c r="AB5298">
        <v>29</v>
      </c>
      <c r="AC5298">
        <v>19.2652</v>
      </c>
      <c r="AD5298">
        <v>-1.119118442807</v>
      </c>
      <c r="AE5298">
        <v>-18.540990000000001</v>
      </c>
      <c r="AF5298">
        <v>-8.3480165452813804</v>
      </c>
      <c r="AG5298">
        <v>-1.119118442807</v>
      </c>
      <c r="AH5298">
        <v>25.352092135541302</v>
      </c>
      <c r="AI5298">
        <v>92.400915939389193</v>
      </c>
      <c r="AJ5298">
        <v>108.225842672453</v>
      </c>
      <c r="AK5298">
        <v>26.7146098975504</v>
      </c>
      <c r="AL5298">
        <v>80.146694541939198</v>
      </c>
      <c r="AM5298">
        <v>99.967475999435194</v>
      </c>
      <c r="AN5298">
        <v>0.99999996916182898</v>
      </c>
    </row>
    <row r="5299" spans="1:40" x14ac:dyDescent="0.25">
      <c r="A5299" t="str">
        <f>"20190304155742086"</f>
        <v>20190304155742086</v>
      </c>
      <c r="B5299" t="str">
        <f>"1551686262079799"</f>
        <v>1551686262079799</v>
      </c>
      <c r="C5299" t="s">
        <v>40</v>
      </c>
      <c r="D5299">
        <v>4.2551410000000001</v>
      </c>
      <c r="E5299">
        <v>0.43355199999999999</v>
      </c>
      <c r="F5299" t="s">
        <v>84</v>
      </c>
      <c r="G5299">
        <v>-401.36970000000002</v>
      </c>
      <c r="H5299" s="1">
        <v>-6.7507919999999996E-6</v>
      </c>
      <c r="I5299">
        <v>15.167820000000001</v>
      </c>
      <c r="J5299">
        <v>-418.0102</v>
      </c>
      <c r="K5299">
        <v>1.1191580000000001</v>
      </c>
      <c r="L5299">
        <v>30.454740000000001</v>
      </c>
      <c r="M5299">
        <v>0.47390979999999999</v>
      </c>
      <c r="N5299">
        <v>-1.356182E-2</v>
      </c>
      <c r="O5299">
        <v>-0.88046899999999995</v>
      </c>
      <c r="P5299">
        <v>0.60753119999999905</v>
      </c>
      <c r="Q5299">
        <v>0.1612797</v>
      </c>
      <c r="R5299">
        <v>-0.77774980000000005</v>
      </c>
      <c r="S5299">
        <v>2.2852480000000002</v>
      </c>
      <c r="T5299">
        <v>-0.15289330000000001</v>
      </c>
      <c r="U5299">
        <v>-2.1087950000000002</v>
      </c>
      <c r="V5299">
        <v>-0.1701841</v>
      </c>
      <c r="W5299">
        <v>0.17071410000000001</v>
      </c>
      <c r="X5299">
        <v>0.97051229999999999</v>
      </c>
      <c r="Y5299">
        <v>-0.32505030000000001</v>
      </c>
      <c r="Z5299">
        <v>3.628083E-2</v>
      </c>
      <c r="AA5299">
        <v>0.94500050000000002</v>
      </c>
      <c r="AB5299">
        <v>29</v>
      </c>
      <c r="AC5299">
        <v>16.6404999999999</v>
      </c>
      <c r="AD5299">
        <v>-1.119164750792</v>
      </c>
      <c r="AE5299">
        <v>-15.28692</v>
      </c>
      <c r="AF5299">
        <v>-7.3893774459105197</v>
      </c>
      <c r="AG5299">
        <v>-1.119164750792</v>
      </c>
      <c r="AH5299">
        <v>21.295478214966298</v>
      </c>
      <c r="AI5299">
        <v>92.842401679425507</v>
      </c>
      <c r="AJ5299">
        <v>109.13640558186501</v>
      </c>
      <c r="AK5299">
        <v>22.568846252780599</v>
      </c>
      <c r="AL5299">
        <v>80.170659355499893</v>
      </c>
      <c r="AM5299">
        <v>99.945975083179903</v>
      </c>
      <c r="AN5299">
        <v>1.0000000281414501</v>
      </c>
    </row>
    <row r="5300" spans="1:40" x14ac:dyDescent="0.25">
      <c r="A5300" t="str">
        <f>"20190304155742100"</f>
        <v>20190304155742100</v>
      </c>
      <c r="B5300" t="str">
        <f>"1551686262090536"</f>
        <v>1551686262090536</v>
      </c>
      <c r="C5300" t="s">
        <v>40</v>
      </c>
      <c r="D5300">
        <v>4.253304</v>
      </c>
      <c r="E5300">
        <v>0.43415520000000002</v>
      </c>
      <c r="F5300" t="s">
        <v>84</v>
      </c>
      <c r="G5300">
        <v>-401.4171</v>
      </c>
      <c r="H5300" s="1">
        <v>-6.7487539999999997E-6</v>
      </c>
      <c r="I5300">
        <v>15.291029999999999</v>
      </c>
      <c r="J5300">
        <v>-417.93099999999998</v>
      </c>
      <c r="K5300">
        <v>1.1191949999999999</v>
      </c>
      <c r="L5300">
        <v>30.32141</v>
      </c>
      <c r="M5300">
        <v>0.47974889999999998</v>
      </c>
      <c r="N5300">
        <v>-1.356222E-2</v>
      </c>
      <c r="O5300">
        <v>-0.877301</v>
      </c>
      <c r="P5300">
        <v>0.612170199999999</v>
      </c>
      <c r="Q5300">
        <v>0.16104749999999901</v>
      </c>
      <c r="R5300">
        <v>-0.77415219999999996</v>
      </c>
      <c r="S5300">
        <v>2.2946170000000001</v>
      </c>
      <c r="T5300">
        <v>-0.15476670000000001</v>
      </c>
      <c r="U5300">
        <v>-2.0969540000000002</v>
      </c>
      <c r="V5300">
        <v>-0.16952590000000001</v>
      </c>
      <c r="W5300">
        <v>0.170483</v>
      </c>
      <c r="X5300">
        <v>0.97066810000000003</v>
      </c>
      <c r="Y5300">
        <v>-0.32332749999999999</v>
      </c>
      <c r="Z5300">
        <v>3.679296E-2</v>
      </c>
      <c r="AA5300">
        <v>0.94557150000000001</v>
      </c>
      <c r="AB5300">
        <v>29</v>
      </c>
      <c r="AC5300">
        <v>16.5138999999999</v>
      </c>
      <c r="AD5300">
        <v>-1.119201748754</v>
      </c>
      <c r="AE5300">
        <v>-15.0303799999999</v>
      </c>
      <c r="AF5300">
        <v>-7.2592856542925297</v>
      </c>
      <c r="AG5300">
        <v>-1.119201748754</v>
      </c>
      <c r="AH5300">
        <v>21.057734245993199</v>
      </c>
      <c r="AI5300">
        <v>92.8765384266772</v>
      </c>
      <c r="AJ5300">
        <v>109.020737508217</v>
      </c>
      <c r="AK5300">
        <v>22.301973283543902</v>
      </c>
      <c r="AL5300">
        <v>80.184097344449796</v>
      </c>
      <c r="AM5300">
        <v>99.906713189832601</v>
      </c>
      <c r="AN5300">
        <v>1.0000000222087</v>
      </c>
    </row>
    <row r="5301" spans="1:40" x14ac:dyDescent="0.25">
      <c r="A5301" t="str">
        <f>"20190304155742114"</f>
        <v>20190304155742114</v>
      </c>
      <c r="B5301" t="str">
        <f>"1551686262110055"</f>
        <v>1551686262110055</v>
      </c>
      <c r="C5301" t="s">
        <v>40</v>
      </c>
      <c r="D5301">
        <v>4.1516279999999997</v>
      </c>
      <c r="E5301">
        <v>0.43409249999999999</v>
      </c>
      <c r="F5301" t="s">
        <v>84</v>
      </c>
      <c r="G5301">
        <v>-401.33159999999998</v>
      </c>
      <c r="H5301" s="1">
        <v>-6.7778340000000002E-6</v>
      </c>
      <c r="I5301">
        <v>15.294980000000001</v>
      </c>
      <c r="J5301">
        <v>-417.83420000000001</v>
      </c>
      <c r="K5301">
        <v>1.119235</v>
      </c>
      <c r="L5301">
        <v>30.160609999999998</v>
      </c>
      <c r="M5301">
        <v>0.48680970000000001</v>
      </c>
      <c r="N5301">
        <v>-1.3562960000000001E-2</v>
      </c>
      <c r="O5301">
        <v>-0.87340269999999998</v>
      </c>
      <c r="P5301">
        <v>0.61788030000000005</v>
      </c>
      <c r="Q5301">
        <v>0.16002640000000001</v>
      </c>
      <c r="R5301">
        <v>-0.76981519999999903</v>
      </c>
      <c r="S5301">
        <v>2.3039860000000001</v>
      </c>
      <c r="T5301">
        <v>-0.1553447</v>
      </c>
      <c r="U5301">
        <v>-2.0856629999999998</v>
      </c>
      <c r="V5301">
        <v>-0.16876869999999999</v>
      </c>
      <c r="W5301">
        <v>0.1694638</v>
      </c>
      <c r="X5301">
        <v>0.97097840000000002</v>
      </c>
      <c r="Y5301">
        <v>-0.32014989999999999</v>
      </c>
      <c r="Z5301">
        <v>3.6859610000000001E-2</v>
      </c>
      <c r="AA5301">
        <v>0.94664959999999998</v>
      </c>
      <c r="AB5301">
        <v>29</v>
      </c>
      <c r="AC5301">
        <v>16.502600000000001</v>
      </c>
      <c r="AD5301">
        <v>-1.119241777834</v>
      </c>
      <c r="AE5301">
        <v>-14.865629999999999</v>
      </c>
      <c r="AF5301">
        <v>-7.1591636290581802</v>
      </c>
      <c r="AG5301">
        <v>-1.119241777834</v>
      </c>
      <c r="AH5301">
        <v>20.966002114968902</v>
      </c>
      <c r="AI5301">
        <v>92.892100069410603</v>
      </c>
      <c r="AJ5301">
        <v>108.85325900049401</v>
      </c>
      <c r="AK5301">
        <v>22.182866602622799</v>
      </c>
      <c r="AL5301">
        <v>80.243354812876404</v>
      </c>
      <c r="AM5301">
        <v>99.860244857273301</v>
      </c>
      <c r="AN5301">
        <v>0.99999995343834303</v>
      </c>
    </row>
    <row r="5302" spans="1:40" x14ac:dyDescent="0.25">
      <c r="A5302" t="str">
        <f>"20190304155742126"</f>
        <v>20190304155742126</v>
      </c>
      <c r="B5302" t="str">
        <f>"1551686262120791"</f>
        <v>1551686262120791</v>
      </c>
      <c r="C5302" t="s">
        <v>40</v>
      </c>
      <c r="D5302">
        <v>4.1849980000000002</v>
      </c>
      <c r="E5302">
        <v>0.43385259999999998</v>
      </c>
      <c r="F5302" t="s">
        <v>84</v>
      </c>
      <c r="G5302">
        <v>-401.27359999999999</v>
      </c>
      <c r="H5302" s="1">
        <v>-6.8090390000000004E-6</v>
      </c>
      <c r="I5302">
        <v>15.39981</v>
      </c>
      <c r="J5302">
        <v>-417.75259999999997</v>
      </c>
      <c r="K5302">
        <v>1.1192709999999999</v>
      </c>
      <c r="L5302">
        <v>30.027560000000001</v>
      </c>
      <c r="M5302">
        <v>0.4926854</v>
      </c>
      <c r="N5302">
        <v>-1.3564069999999999E-2</v>
      </c>
      <c r="O5302">
        <v>-0.87010180000000004</v>
      </c>
      <c r="P5302">
        <v>0.6225311</v>
      </c>
      <c r="Q5302">
        <v>0.16000539999999999</v>
      </c>
      <c r="R5302">
        <v>-0.76606399999999997</v>
      </c>
      <c r="S5302">
        <v>2.319763</v>
      </c>
      <c r="T5302">
        <v>-0.1567807</v>
      </c>
      <c r="U5302">
        <v>-2.0676570000000001</v>
      </c>
      <c r="V5302">
        <v>-0.1681164</v>
      </c>
      <c r="W5302">
        <v>0.16944500000000001</v>
      </c>
      <c r="X5302">
        <v>0.97109489999999998</v>
      </c>
      <c r="Y5302">
        <v>-0.32104250000000001</v>
      </c>
      <c r="Z5302">
        <v>3.7258239999999998E-2</v>
      </c>
      <c r="AA5302">
        <v>0.94633160000000005</v>
      </c>
      <c r="AB5302">
        <v>29</v>
      </c>
      <c r="AC5302">
        <v>16.4789999999999</v>
      </c>
      <c r="AD5302">
        <v>-1.1192778090390001</v>
      </c>
      <c r="AE5302">
        <v>-14.627749999999899</v>
      </c>
      <c r="AF5302">
        <v>-7.1138293035179201</v>
      </c>
      <c r="AG5302">
        <v>-1.1192778090390001</v>
      </c>
      <c r="AH5302">
        <v>20.794856149591901</v>
      </c>
      <c r="AI5302">
        <v>92.915394047666794</v>
      </c>
      <c r="AJ5302">
        <v>108.885592982079</v>
      </c>
      <c r="AK5302">
        <v>22.0064852363029</v>
      </c>
      <c r="AL5302">
        <v>80.244448419876704</v>
      </c>
      <c r="AM5302">
        <v>99.821722793592897</v>
      </c>
      <c r="AN5302">
        <v>1.00000001838998</v>
      </c>
    </row>
    <row r="5303" spans="1:40" x14ac:dyDescent="0.25">
      <c r="A5303" t="str">
        <f>"20190304155742139"</f>
        <v>20190304155742139</v>
      </c>
      <c r="B5303" t="str">
        <f>"1551686262130552"</f>
        <v>1551686262130552</v>
      </c>
      <c r="C5303" t="s">
        <v>40</v>
      </c>
      <c r="D5303">
        <v>4.1642900000000003</v>
      </c>
      <c r="E5303">
        <v>0.4337338</v>
      </c>
      <c r="F5303" t="s">
        <v>84</v>
      </c>
      <c r="G5303">
        <v>-401.1764</v>
      </c>
      <c r="H5303" s="1">
        <v>-6.84777299999999E-6</v>
      </c>
      <c r="I5303">
        <v>15.454829999999999</v>
      </c>
      <c r="J5303">
        <v>-417.67180000000002</v>
      </c>
      <c r="K5303">
        <v>1.1193010000000001</v>
      </c>
      <c r="L5303">
        <v>29.89819</v>
      </c>
      <c r="M5303">
        <v>0.49843349999999997</v>
      </c>
      <c r="N5303">
        <v>-1.356578E-2</v>
      </c>
      <c r="O5303">
        <v>-0.86682179999999998</v>
      </c>
      <c r="P5303">
        <v>0.62725989999999998</v>
      </c>
      <c r="Q5303">
        <v>0.16006809999999999</v>
      </c>
      <c r="R5303">
        <v>-0.7621831</v>
      </c>
      <c r="S5303">
        <v>2.3342589999999999</v>
      </c>
      <c r="T5303">
        <v>-0.15761610000000001</v>
      </c>
      <c r="U5303">
        <v>-2.0521240000000001</v>
      </c>
      <c r="V5303">
        <v>-0.16772049999999999</v>
      </c>
      <c r="W5303">
        <v>0.16950509999999999</v>
      </c>
      <c r="X5303">
        <v>0.97115280000000004</v>
      </c>
      <c r="Y5303">
        <v>-0.32123479999999999</v>
      </c>
      <c r="Z5303">
        <v>3.7445989999999998E-2</v>
      </c>
      <c r="AA5303">
        <v>0.94625899999999996</v>
      </c>
      <c r="AB5303">
        <v>29</v>
      </c>
      <c r="AC5303">
        <v>16.4954</v>
      </c>
      <c r="AD5303">
        <v>-1.1193078477730001</v>
      </c>
      <c r="AE5303">
        <v>-14.44336</v>
      </c>
      <c r="AF5303">
        <v>-7.0817143796181297</v>
      </c>
      <c r="AG5303">
        <v>-1.1193078477730001</v>
      </c>
      <c r="AH5303">
        <v>20.689665352312598</v>
      </c>
      <c r="AI5303">
        <v>92.930101670495105</v>
      </c>
      <c r="AJ5303">
        <v>108.89518774242001</v>
      </c>
      <c r="AK5303">
        <v>21.896707081277299</v>
      </c>
      <c r="AL5303">
        <v>80.240953756366096</v>
      </c>
      <c r="AM5303">
        <v>99.798469468253799</v>
      </c>
      <c r="AN5303">
        <v>0.99999995299704802</v>
      </c>
    </row>
    <row r="5304" spans="1:40" x14ac:dyDescent="0.25">
      <c r="A5304" t="str">
        <f>"20190304155742153"</f>
        <v>20190304155742153</v>
      </c>
      <c r="B5304" t="str">
        <f>"1551686262150071"</f>
        <v>1551686262150071</v>
      </c>
      <c r="C5304" t="s">
        <v>40</v>
      </c>
      <c r="D5304">
        <v>4.1866709999999996</v>
      </c>
      <c r="E5304">
        <v>0.43386809999999998</v>
      </c>
      <c r="F5304" t="s">
        <v>84</v>
      </c>
      <c r="G5304">
        <v>-400.79219999999998</v>
      </c>
      <c r="H5304" s="1">
        <v>-6.9540329999999899E-6</v>
      </c>
      <c r="I5304">
        <v>15.256320000000001</v>
      </c>
      <c r="J5304">
        <v>-417.57589999999999</v>
      </c>
      <c r="K5304">
        <v>1.1193409999999999</v>
      </c>
      <c r="L5304">
        <v>29.746279999999999</v>
      </c>
      <c r="M5304">
        <v>0.50519780000000003</v>
      </c>
      <c r="N5304">
        <v>-1.3567920000000001E-2</v>
      </c>
      <c r="O5304">
        <v>-0.86289709999999997</v>
      </c>
      <c r="P5304">
        <v>0.63299229999999995</v>
      </c>
      <c r="Q5304">
        <v>0.15982759999999999</v>
      </c>
      <c r="R5304">
        <v>-0.75748019999999905</v>
      </c>
      <c r="S5304">
        <v>2.3478089999999998</v>
      </c>
      <c r="T5304">
        <v>-0.155686299999999</v>
      </c>
      <c r="U5304">
        <v>-2.0365600000000001</v>
      </c>
      <c r="V5304">
        <v>-0.1674369</v>
      </c>
      <c r="W5304">
        <v>0.16925789999999999</v>
      </c>
      <c r="X5304">
        <v>0.97124489999999997</v>
      </c>
      <c r="Y5304">
        <v>-0.320133099999999</v>
      </c>
      <c r="Z5304">
        <v>3.6765829999999999E-2</v>
      </c>
      <c r="AA5304">
        <v>0.94665889999999997</v>
      </c>
      <c r="AB5304">
        <v>29</v>
      </c>
      <c r="AC5304">
        <v>16.7837</v>
      </c>
      <c r="AD5304">
        <v>-1.119347954033</v>
      </c>
      <c r="AE5304">
        <v>-14.4899599999999</v>
      </c>
      <c r="AF5304">
        <v>-7.1447604434691296</v>
      </c>
      <c r="AG5304">
        <v>-1.119347954033</v>
      </c>
      <c r="AH5304">
        <v>20.931019842764702</v>
      </c>
      <c r="AI5304">
        <v>92.897303645207003</v>
      </c>
      <c r="AJ5304">
        <v>108.847233071576</v>
      </c>
      <c r="AK5304">
        <v>22.145160493773101</v>
      </c>
      <c r="AL5304">
        <v>80.255325430886501</v>
      </c>
      <c r="AM5304">
        <v>99.781311818682099</v>
      </c>
      <c r="AN5304">
        <v>1.0000000039850101</v>
      </c>
    </row>
    <row r="5305" spans="1:40" x14ac:dyDescent="0.25">
      <c r="A5305" t="str">
        <f>"20190304155742167"</f>
        <v>20190304155742167</v>
      </c>
      <c r="B5305" t="str">
        <f>"1551686262159831"</f>
        <v>1551686262159831</v>
      </c>
      <c r="C5305" t="s">
        <v>40</v>
      </c>
      <c r="D5305">
        <v>4.2108600000000003</v>
      </c>
      <c r="E5305">
        <v>0.43384270000000003</v>
      </c>
      <c r="F5305" t="s">
        <v>84</v>
      </c>
      <c r="G5305">
        <v>-400.37389999999999</v>
      </c>
      <c r="H5305" s="1">
        <v>-7.0701880000000002E-6</v>
      </c>
      <c r="I5305">
        <v>15.043990000000001</v>
      </c>
      <c r="J5305">
        <v>-417.47910000000002</v>
      </c>
      <c r="K5305">
        <v>1.1193820000000001</v>
      </c>
      <c r="L5305">
        <v>29.595829999999999</v>
      </c>
      <c r="M5305">
        <v>0.51193310000000003</v>
      </c>
      <c r="N5305">
        <v>-1.3570479999999999E-2</v>
      </c>
      <c r="O5305">
        <v>-0.85891819999999897</v>
      </c>
      <c r="P5305">
        <v>0.63875780000000004</v>
      </c>
      <c r="Q5305">
        <v>0.15986249999999999</v>
      </c>
      <c r="R5305">
        <v>-0.75261719999999999</v>
      </c>
      <c r="S5305">
        <v>2.3622130000000001</v>
      </c>
      <c r="T5305">
        <v>-0.1537114</v>
      </c>
      <c r="U5305">
        <v>-2.0189509999999999</v>
      </c>
      <c r="V5305">
        <v>-0.16727549999999999</v>
      </c>
      <c r="W5305">
        <v>0.1692833</v>
      </c>
      <c r="X5305">
        <v>0.97126829999999997</v>
      </c>
      <c r="Y5305">
        <v>-0.31967079999999998</v>
      </c>
      <c r="Z5305">
        <v>3.6092079999999999E-2</v>
      </c>
      <c r="AA5305">
        <v>0.94684100000000004</v>
      </c>
      <c r="AB5305">
        <v>29</v>
      </c>
      <c r="AC5305">
        <v>17.1052</v>
      </c>
      <c r="AD5305">
        <v>-1.1193890701879901</v>
      </c>
      <c r="AE5305">
        <v>-14.551839999999901</v>
      </c>
      <c r="AF5305">
        <v>-7.2251148760469199</v>
      </c>
      <c r="AG5305">
        <v>-1.1193890701879901</v>
      </c>
      <c r="AH5305">
        <v>21.204831388738199</v>
      </c>
      <c r="AI5305">
        <v>92.860598426331293</v>
      </c>
      <c r="AJ5305">
        <v>108.815499009032</v>
      </c>
      <c r="AK5305">
        <v>22.429895030680601</v>
      </c>
      <c r="AL5305">
        <v>80.253848963277306</v>
      </c>
      <c r="AM5305">
        <v>99.771834148455795</v>
      </c>
      <c r="AN5305">
        <v>1.00000001957201</v>
      </c>
    </row>
    <row r="5306" spans="1:40" x14ac:dyDescent="0.25">
      <c r="A5306" t="str">
        <f>"20190304155742183"</f>
        <v>20190304155742183</v>
      </c>
      <c r="B5306" t="str">
        <f>"1551686262180327"</f>
        <v>1551686262180327</v>
      </c>
      <c r="C5306" t="s">
        <v>40</v>
      </c>
      <c r="D5306">
        <v>4.1818609999999996</v>
      </c>
      <c r="E5306">
        <v>0.43430069999999998</v>
      </c>
      <c r="F5306" t="s">
        <v>41</v>
      </c>
      <c r="G5306">
        <v>-399.84890000000001</v>
      </c>
      <c r="H5306" s="1">
        <v>-1.3323459999999999E-6</v>
      </c>
      <c r="I5306">
        <v>14.76768</v>
      </c>
      <c r="J5306">
        <v>-417.37810000000002</v>
      </c>
      <c r="K5306">
        <v>1.1194230000000001</v>
      </c>
      <c r="L5306">
        <v>29.442229999999999</v>
      </c>
      <c r="M5306">
        <v>0.51885209999999904</v>
      </c>
      <c r="N5306">
        <v>-1.357362E-2</v>
      </c>
      <c r="O5306">
        <v>-0.85475619999999997</v>
      </c>
      <c r="P5306">
        <v>0.64435339999999997</v>
      </c>
      <c r="Q5306">
        <v>0.1602191</v>
      </c>
      <c r="R5306">
        <v>-0.74775559999999996</v>
      </c>
      <c r="S5306">
        <v>2.3778990000000002</v>
      </c>
      <c r="T5306">
        <v>-0.15097859999999999</v>
      </c>
      <c r="U5306">
        <v>-1.9999690000000001</v>
      </c>
      <c r="V5306">
        <v>-0.16673940000000001</v>
      </c>
      <c r="W5306">
        <v>0.1696405</v>
      </c>
      <c r="X5306">
        <v>0.9712982</v>
      </c>
      <c r="Y5306">
        <v>-0.31955139999999999</v>
      </c>
      <c r="Z5306">
        <v>3.5190020000000002E-2</v>
      </c>
      <c r="AA5306">
        <v>0.94691530000000002</v>
      </c>
      <c r="AB5306">
        <v>29</v>
      </c>
      <c r="AC5306">
        <v>17.529199999999999</v>
      </c>
      <c r="AD5306">
        <v>-1.119424332346</v>
      </c>
      <c r="AE5306">
        <v>-14.67455</v>
      </c>
      <c r="AF5306">
        <v>-7.3523214347606203</v>
      </c>
      <c r="AG5306">
        <v>-1.119424332346</v>
      </c>
      <c r="AH5306">
        <v>21.588455328504299</v>
      </c>
      <c r="AI5306">
        <v>92.810075595983193</v>
      </c>
      <c r="AJ5306">
        <v>108.807162773638</v>
      </c>
      <c r="AK5306">
        <v>22.8335530478004</v>
      </c>
      <c r="AL5306">
        <v>80.233082960338905</v>
      </c>
      <c r="AM5306">
        <v>99.740823295533303</v>
      </c>
      <c r="AN5306">
        <v>1.00000006003792</v>
      </c>
    </row>
    <row r="5307" spans="1:40" x14ac:dyDescent="0.25">
      <c r="A5307" t="str">
        <f>"20190304155742197"</f>
        <v>20190304155742197</v>
      </c>
      <c r="B5307" t="str">
        <f>"1551686262190087"</f>
        <v>1551686262190087</v>
      </c>
      <c r="C5307" t="s">
        <v>40</v>
      </c>
      <c r="D5307">
        <v>4.2016090000000004</v>
      </c>
      <c r="E5307">
        <v>0.43467610000000001</v>
      </c>
      <c r="F5307" t="s">
        <v>41</v>
      </c>
      <c r="G5307">
        <v>-399.19600000000003</v>
      </c>
      <c r="H5307" s="1">
        <v>-1.6927619999999999E-6</v>
      </c>
      <c r="I5307">
        <v>14.355399999999999</v>
      </c>
      <c r="J5307">
        <v>-417.2697</v>
      </c>
      <c r="K5307">
        <v>1.1194630000000001</v>
      </c>
      <c r="L5307">
        <v>29.27994</v>
      </c>
      <c r="M5307">
        <v>0.52618940000000003</v>
      </c>
      <c r="N5307">
        <v>-1.3577179999999999E-2</v>
      </c>
      <c r="O5307">
        <v>-0.85025899999999999</v>
      </c>
      <c r="P5307">
        <v>0.65066630000000003</v>
      </c>
      <c r="Q5307">
        <v>0.1602346</v>
      </c>
      <c r="R5307">
        <v>-0.74226559999999997</v>
      </c>
      <c r="S5307">
        <v>2.3905029999999998</v>
      </c>
      <c r="T5307">
        <v>-0.14717710000000001</v>
      </c>
      <c r="U5307">
        <v>-1.9835510000000001</v>
      </c>
      <c r="V5307">
        <v>-0.16662850000000001</v>
      </c>
      <c r="W5307">
        <v>0.16964609999999999</v>
      </c>
      <c r="X5307">
        <v>0.97131619999999996</v>
      </c>
      <c r="Y5307">
        <v>-0.31773899999999999</v>
      </c>
      <c r="Z5307">
        <v>3.3942390000000003E-2</v>
      </c>
      <c r="AA5307">
        <v>0.94757049999999998</v>
      </c>
      <c r="AB5307">
        <v>29</v>
      </c>
      <c r="AC5307">
        <v>18.073699999999999</v>
      </c>
      <c r="AD5307">
        <v>-1.11946469276199</v>
      </c>
      <c r="AE5307">
        <v>-14.92454</v>
      </c>
      <c r="AF5307">
        <v>-7.4977813571030003</v>
      </c>
      <c r="AG5307">
        <v>-1.11946469276199</v>
      </c>
      <c r="AH5307">
        <v>22.151432188484598</v>
      </c>
      <c r="AI5307">
        <v>92.740606082854995</v>
      </c>
      <c r="AJ5307">
        <v>108.69984967245701</v>
      </c>
      <c r="AK5307">
        <v>23.412728898577701</v>
      </c>
      <c r="AL5307">
        <v>80.232756874858197</v>
      </c>
      <c r="AM5307">
        <v>99.734291632073095</v>
      </c>
      <c r="AN5307">
        <v>1.0000000083199401</v>
      </c>
    </row>
    <row r="5308" spans="1:40" x14ac:dyDescent="0.25">
      <c r="A5308" t="str">
        <f>"20190304155742212"</f>
        <v>20190304155742212</v>
      </c>
      <c r="B5308" t="str">
        <f>"1551686262210584"</f>
        <v>1551686262210584</v>
      </c>
      <c r="C5308" t="s">
        <v>40</v>
      </c>
      <c r="D5308">
        <v>4.4085869999999998</v>
      </c>
      <c r="E5308">
        <v>0.43496170000000001</v>
      </c>
      <c r="F5308" t="s">
        <v>41</v>
      </c>
      <c r="G5308">
        <v>-398.81569999999999</v>
      </c>
      <c r="H5308" s="1">
        <v>-1.877881E-6</v>
      </c>
      <c r="I5308">
        <v>14.20853</v>
      </c>
      <c r="J5308">
        <v>-417.16910000000001</v>
      </c>
      <c r="K5308">
        <v>1.119491</v>
      </c>
      <c r="L5308">
        <v>29.13184</v>
      </c>
      <c r="M5308">
        <v>0.53290649999999995</v>
      </c>
      <c r="N5308">
        <v>-1.358066E-2</v>
      </c>
      <c r="O5308">
        <v>-0.84606510000000001</v>
      </c>
      <c r="P5308">
        <v>0.65627069999999998</v>
      </c>
      <c r="Q5308">
        <v>0.160421799999999</v>
      </c>
      <c r="R5308">
        <v>-0.7372744</v>
      </c>
      <c r="S5308">
        <v>2.4054869999999999</v>
      </c>
      <c r="T5308">
        <v>-0.145923</v>
      </c>
      <c r="U5308">
        <v>-1.964569</v>
      </c>
      <c r="V5308">
        <v>-0.16633419999999999</v>
      </c>
      <c r="W5308">
        <v>0.16983029999999999</v>
      </c>
      <c r="X5308">
        <v>0.97133449999999999</v>
      </c>
      <c r="Y5308">
        <v>-0.3176196</v>
      </c>
      <c r="Z5308">
        <v>3.3494070000000001E-2</v>
      </c>
      <c r="AA5308">
        <v>0.94762650000000004</v>
      </c>
      <c r="AB5308">
        <v>29</v>
      </c>
      <c r="AC5308">
        <v>18.353400000000001</v>
      </c>
      <c r="AD5308">
        <v>-1.119492877881</v>
      </c>
      <c r="AE5308">
        <v>-14.923310000000001</v>
      </c>
      <c r="AF5308">
        <v>-7.5592104390588997</v>
      </c>
      <c r="AG5308">
        <v>-1.119492877881</v>
      </c>
      <c r="AH5308">
        <v>22.358727106206</v>
      </c>
      <c r="AI5308">
        <v>92.715625077255496</v>
      </c>
      <c r="AJ5308">
        <v>108.67976235885401</v>
      </c>
      <c r="AK5308">
        <v>23.628533694992498</v>
      </c>
      <c r="AL5308">
        <v>80.222048041924097</v>
      </c>
      <c r="AM5308">
        <v>99.717247380292704</v>
      </c>
      <c r="AN5308">
        <v>1.0000000538889799</v>
      </c>
    </row>
    <row r="5309" spans="1:40" x14ac:dyDescent="0.25">
      <c r="A5309" t="str">
        <f>"20190304155742226"</f>
        <v>20190304155742226</v>
      </c>
      <c r="B5309" t="str">
        <f>"1551686262220344"</f>
        <v>1551686262220344</v>
      </c>
      <c r="C5309" t="s">
        <v>40</v>
      </c>
      <c r="D5309">
        <v>4.2887529999999998</v>
      </c>
      <c r="E5309">
        <v>0.43533549999999899</v>
      </c>
      <c r="F5309" t="s">
        <v>41</v>
      </c>
      <c r="G5309">
        <v>-398.72969999999998</v>
      </c>
      <c r="H5309" s="1">
        <v>-1.8894629999999999E-6</v>
      </c>
      <c r="I5309">
        <v>14.289160000000001</v>
      </c>
      <c r="J5309">
        <v>-417.06760000000003</v>
      </c>
      <c r="K5309">
        <v>1.119526</v>
      </c>
      <c r="L5309">
        <v>28.985199999999999</v>
      </c>
      <c r="M5309">
        <v>0.53959269999999904</v>
      </c>
      <c r="N5309">
        <v>-1.358465E-2</v>
      </c>
      <c r="O5309">
        <v>-0.84181679999999903</v>
      </c>
      <c r="P5309">
        <v>0.66161819999999905</v>
      </c>
      <c r="Q5309">
        <v>0.16029889999999999</v>
      </c>
      <c r="R5309">
        <v>-0.73250700000000002</v>
      </c>
      <c r="S5309">
        <v>2.419403</v>
      </c>
      <c r="T5309">
        <v>-0.14688660000000001</v>
      </c>
      <c r="U5309">
        <v>-1.947479</v>
      </c>
      <c r="V5309">
        <v>-0.16570199999999999</v>
      </c>
      <c r="W5309">
        <v>0.16971420000000001</v>
      </c>
      <c r="X5309">
        <v>0.97146279999999996</v>
      </c>
      <c r="Y5309">
        <v>-0.31682470000000001</v>
      </c>
      <c r="Z5309">
        <v>3.3688460000000003E-2</v>
      </c>
      <c r="AA5309">
        <v>0.94788559999999999</v>
      </c>
      <c r="AB5309">
        <v>29</v>
      </c>
      <c r="AC5309">
        <v>18.337900000000001</v>
      </c>
      <c r="AD5309">
        <v>-1.1195278894630001</v>
      </c>
      <c r="AE5309">
        <v>-14.696039999999901</v>
      </c>
      <c r="AF5309">
        <v>-7.4909670479880504</v>
      </c>
      <c r="AG5309">
        <v>-1.1195278894630001</v>
      </c>
      <c r="AH5309">
        <v>22.217997278446902</v>
      </c>
      <c r="AI5309">
        <v>92.733654608562603</v>
      </c>
      <c r="AJ5309">
        <v>108.631925911538</v>
      </c>
      <c r="AK5309">
        <v>23.473545387827599</v>
      </c>
      <c r="AL5309">
        <v>80.228797706864199</v>
      </c>
      <c r="AM5309">
        <v>99.679760109367393</v>
      </c>
      <c r="AN5309">
        <v>1.0000000171347301</v>
      </c>
    </row>
    <row r="5310" spans="1:40" x14ac:dyDescent="0.25">
      <c r="A5310" t="str">
        <f>"20190304155742239"</f>
        <v>20190304155742239</v>
      </c>
      <c r="B5310" t="str">
        <f>"1551686262230104"</f>
        <v>1551686262230104</v>
      </c>
      <c r="C5310" t="s">
        <v>40</v>
      </c>
      <c r="D5310">
        <v>4.2865830000000003</v>
      </c>
      <c r="E5310">
        <v>0.43569140000000001</v>
      </c>
      <c r="F5310" t="s">
        <v>41</v>
      </c>
      <c r="G5310">
        <v>-398.65620000000001</v>
      </c>
      <c r="H5310" s="1">
        <v>-1.8962510000000001E-6</v>
      </c>
      <c r="I5310">
        <v>14.36974</v>
      </c>
      <c r="J5310">
        <v>-416.97969999999998</v>
      </c>
      <c r="K5310">
        <v>1.11955</v>
      </c>
      <c r="L5310">
        <v>28.860469999999999</v>
      </c>
      <c r="M5310">
        <v>0.54530630000000002</v>
      </c>
      <c r="N5310">
        <v>-1.35882E-2</v>
      </c>
      <c r="O5310">
        <v>-0.8381267</v>
      </c>
      <c r="P5310">
        <v>0.66636119999999899</v>
      </c>
      <c r="Q5310">
        <v>0.16047529999999999</v>
      </c>
      <c r="R5310">
        <v>-0.72815549999999996</v>
      </c>
      <c r="S5310">
        <v>2.4323730000000001</v>
      </c>
      <c r="T5310">
        <v>-0.14790309999999901</v>
      </c>
      <c r="U5310">
        <v>-1.9308780000000001</v>
      </c>
      <c r="V5310">
        <v>-0.165438</v>
      </c>
      <c r="W5310">
        <v>0.1698904</v>
      </c>
      <c r="X5310">
        <v>0.97147700000000003</v>
      </c>
      <c r="Y5310">
        <v>-0.31679390000000002</v>
      </c>
      <c r="Z5310">
        <v>3.392361E-2</v>
      </c>
      <c r="AA5310">
        <v>0.94788760000000005</v>
      </c>
      <c r="AB5310">
        <v>29</v>
      </c>
      <c r="AC5310">
        <v>18.3234999999999</v>
      </c>
      <c r="AD5310">
        <v>-1.119551896251</v>
      </c>
      <c r="AE5310">
        <v>-14.490729999999999</v>
      </c>
      <c r="AF5310">
        <v>-7.4391311001590896</v>
      </c>
      <c r="AG5310">
        <v>-1.119551896251</v>
      </c>
      <c r="AH5310">
        <v>22.088301281746698</v>
      </c>
      <c r="AI5310">
        <v>92.750045122072706</v>
      </c>
      <c r="AJ5310">
        <v>108.613038984902</v>
      </c>
      <c r="AK5310">
        <v>23.3342478234668</v>
      </c>
      <c r="AL5310">
        <v>80.218553459864594</v>
      </c>
      <c r="AM5310">
        <v>99.664490601851</v>
      </c>
      <c r="AN5310">
        <v>1.0000000206925701</v>
      </c>
    </row>
    <row r="5311" spans="1:40" x14ac:dyDescent="0.25">
      <c r="A5311" t="str">
        <f>"20190304155742250"</f>
        <v>20190304155742250</v>
      </c>
      <c r="B5311" t="str">
        <f>"1551686262240214"</f>
        <v>1551686262240214</v>
      </c>
      <c r="C5311" t="s">
        <v>40</v>
      </c>
      <c r="D5311">
        <v>4.2427849999999996</v>
      </c>
      <c r="E5311">
        <v>0.43607050000000003</v>
      </c>
      <c r="F5311" t="s">
        <v>41</v>
      </c>
      <c r="G5311">
        <v>-398.5471</v>
      </c>
      <c r="H5311" s="1">
        <v>-1.9297389999999999E-6</v>
      </c>
      <c r="I5311">
        <v>14.40119</v>
      </c>
      <c r="J5311">
        <v>-416.8931</v>
      </c>
      <c r="K5311">
        <v>1.119575</v>
      </c>
      <c r="L5311">
        <v>28.738589999999999</v>
      </c>
      <c r="M5311">
        <v>0.55088599999999999</v>
      </c>
      <c r="N5311">
        <v>-1.3591550000000001E-2</v>
      </c>
      <c r="O5311">
        <v>-0.83446969999999998</v>
      </c>
      <c r="P5311">
        <v>0.67074659999999997</v>
      </c>
      <c r="Q5311">
        <v>0.16048670000000001</v>
      </c>
      <c r="R5311">
        <v>-0.72411539999999996</v>
      </c>
      <c r="S5311">
        <v>2.4433289999999999</v>
      </c>
      <c r="T5311">
        <v>-0.1484027</v>
      </c>
      <c r="U5311">
        <v>-1.9166559999999999</v>
      </c>
      <c r="V5311">
        <v>-0.16483419999999999</v>
      </c>
      <c r="W5311">
        <v>0.1699107</v>
      </c>
      <c r="X5311">
        <v>0.971576</v>
      </c>
      <c r="Y5311">
        <v>-0.31594169999999999</v>
      </c>
      <c r="Z5311">
        <v>3.3988089999999999E-2</v>
      </c>
      <c r="AA5311">
        <v>0.94816959999999995</v>
      </c>
      <c r="AB5311">
        <v>29</v>
      </c>
      <c r="AC5311">
        <v>18.346</v>
      </c>
      <c r="AD5311">
        <v>-1.1195769297389999</v>
      </c>
      <c r="AE5311">
        <v>-14.337400000000001</v>
      </c>
      <c r="AF5311">
        <v>-7.3944970242080998</v>
      </c>
      <c r="AG5311">
        <v>-1.1195769297389999</v>
      </c>
      <c r="AH5311">
        <v>22.021805806106201</v>
      </c>
      <c r="AI5311">
        <v>92.759238152905397</v>
      </c>
      <c r="AJ5311">
        <v>108.561056625959</v>
      </c>
      <c r="AK5311">
        <v>23.257084290694699</v>
      </c>
      <c r="AL5311">
        <v>80.217372414817902</v>
      </c>
      <c r="AM5311">
        <v>99.628916876078605</v>
      </c>
      <c r="AN5311">
        <v>0.999999941620063</v>
      </c>
    </row>
    <row r="5312" spans="1:40" x14ac:dyDescent="0.25">
      <c r="A5312" t="str">
        <f>"20190304155742262"</f>
        <v>20190304155742262</v>
      </c>
      <c r="B5312" t="str">
        <f>"1551686262259734"</f>
        <v>1551686262259734</v>
      </c>
      <c r="C5312" t="s">
        <v>40</v>
      </c>
      <c r="D5312">
        <v>4.2815690000000002</v>
      </c>
      <c r="E5312">
        <v>0.43642720000000002</v>
      </c>
      <c r="F5312" t="s">
        <v>41</v>
      </c>
      <c r="G5312">
        <v>-398.5958</v>
      </c>
      <c r="H5312" s="1">
        <v>-1.875076E-6</v>
      </c>
      <c r="I5312">
        <v>14.53641</v>
      </c>
      <c r="J5312">
        <v>-416.7987</v>
      </c>
      <c r="K5312">
        <v>1.11959599999999</v>
      </c>
      <c r="L5312">
        <v>28.608730000000001</v>
      </c>
      <c r="M5312">
        <v>0.55687390000000003</v>
      </c>
      <c r="N5312">
        <v>-1.359526E-2</v>
      </c>
      <c r="O5312">
        <v>-0.83048569999999999</v>
      </c>
      <c r="P5312">
        <v>0.67576950000000002</v>
      </c>
      <c r="Q5312">
        <v>0.16075789999999901</v>
      </c>
      <c r="R5312">
        <v>-0.71936919999999904</v>
      </c>
      <c r="S5312">
        <v>2.453033</v>
      </c>
      <c r="T5312">
        <v>-0.1500967</v>
      </c>
      <c r="U5312">
        <v>-1.9040220000000001</v>
      </c>
      <c r="V5312">
        <v>-0.16465639999999901</v>
      </c>
      <c r="W5312">
        <v>0.17018039999999901</v>
      </c>
      <c r="X5312">
        <v>0.97155899999999995</v>
      </c>
      <c r="Y5312">
        <v>-0.3139673</v>
      </c>
      <c r="Z5312">
        <v>3.4374979999999999E-2</v>
      </c>
      <c r="AA5312">
        <v>0.94881130000000002</v>
      </c>
      <c r="AB5312">
        <v>29</v>
      </c>
      <c r="AC5312">
        <v>18.2029</v>
      </c>
      <c r="AD5312">
        <v>-1.1195978750759901</v>
      </c>
      <c r="AE5312">
        <v>-14.0723199999999</v>
      </c>
      <c r="AF5312">
        <v>-7.2642130498688502</v>
      </c>
      <c r="AG5312">
        <v>-1.1195978750759901</v>
      </c>
      <c r="AH5312">
        <v>21.774040620460099</v>
      </c>
      <c r="AI5312">
        <v>92.792452270250706</v>
      </c>
      <c r="AJ5312">
        <v>108.449629509076</v>
      </c>
      <c r="AK5312">
        <v>22.981103880736601</v>
      </c>
      <c r="AL5312">
        <v>80.201691890174004</v>
      </c>
      <c r="AM5312">
        <v>99.618889863469406</v>
      </c>
      <c r="AN5312">
        <v>0.99999999454305999</v>
      </c>
    </row>
    <row r="5313" spans="1:40" x14ac:dyDescent="0.25">
      <c r="A5313" t="str">
        <f>"20190304155742275"</f>
        <v>20190304155742275</v>
      </c>
      <c r="B5313" t="str">
        <f>"1551686262270470"</f>
        <v>1551686262270470</v>
      </c>
      <c r="C5313" t="s">
        <v>40</v>
      </c>
      <c r="D5313">
        <v>4.2933750000000002</v>
      </c>
      <c r="E5313">
        <v>0.44659979999999999</v>
      </c>
      <c r="F5313" t="s">
        <v>41</v>
      </c>
      <c r="G5313">
        <v>-398.51389999999998</v>
      </c>
      <c r="H5313" s="1">
        <v>-1.891032E-6</v>
      </c>
      <c r="I5313">
        <v>14.594749999999999</v>
      </c>
      <c r="J5313">
        <v>-416.71319999999997</v>
      </c>
      <c r="K5313">
        <v>1.1196170000000001</v>
      </c>
      <c r="L5313">
        <v>28.492249999999999</v>
      </c>
      <c r="M5313">
        <v>0.56224510000000005</v>
      </c>
      <c r="N5313">
        <v>-1.359837E-2</v>
      </c>
      <c r="O5313">
        <v>-0.8268588</v>
      </c>
      <c r="P5313">
        <v>0.68006560000000005</v>
      </c>
      <c r="Q5313">
        <v>0.1607431</v>
      </c>
      <c r="R5313">
        <v>-0.71531290000000003</v>
      </c>
      <c r="S5313">
        <v>2.4645389999999998</v>
      </c>
      <c r="T5313">
        <v>-0.15090580000000001</v>
      </c>
      <c r="U5313">
        <v>-1.8888849999999999</v>
      </c>
      <c r="V5313">
        <v>-0.1641822</v>
      </c>
      <c r="W5313">
        <v>0.17017379999999999</v>
      </c>
      <c r="X5313">
        <v>0.97164039999999996</v>
      </c>
      <c r="Y5313">
        <v>-0.31361620000000001</v>
      </c>
      <c r="Z5313">
        <v>3.4534290000000002E-2</v>
      </c>
      <c r="AA5313">
        <v>0.94892160000000003</v>
      </c>
      <c r="AB5313">
        <v>29</v>
      </c>
      <c r="AC5313">
        <v>18.199299999999901</v>
      </c>
      <c r="AD5313">
        <v>-1.119618891032</v>
      </c>
      <c r="AE5313">
        <v>-13.897500000000001</v>
      </c>
      <c r="AF5313">
        <v>-7.2178639145070296</v>
      </c>
      <c r="AG5313">
        <v>-1.119618891032</v>
      </c>
      <c r="AH5313">
        <v>21.673932179224298</v>
      </c>
      <c r="AI5313">
        <v>92.805884308136697</v>
      </c>
      <c r="AJ5313">
        <v>108.41881611851601</v>
      </c>
      <c r="AK5313">
        <v>22.871607771626199</v>
      </c>
      <c r="AL5313">
        <v>80.202075614307603</v>
      </c>
      <c r="AM5313">
        <v>99.590914834828396</v>
      </c>
      <c r="AN5313">
        <v>0.99999999195771905</v>
      </c>
    </row>
    <row r="5314" spans="1:40" x14ac:dyDescent="0.25">
      <c r="A5314" t="str">
        <f>"20190304155742286"</f>
        <v>20190304155742286</v>
      </c>
      <c r="B5314" t="str">
        <f>"1551686262280229"</f>
        <v>1551686262280229</v>
      </c>
      <c r="C5314" t="s">
        <v>40</v>
      </c>
      <c r="D5314">
        <v>4.3086760000000002</v>
      </c>
      <c r="E5314">
        <v>0.44718599999999997</v>
      </c>
      <c r="F5314" t="s">
        <v>84</v>
      </c>
      <c r="G5314">
        <v>-403.0095</v>
      </c>
      <c r="H5314" s="1">
        <v>-6.4688569999999999E-6</v>
      </c>
      <c r="I5314">
        <v>17.541550000000001</v>
      </c>
      <c r="J5314">
        <v>-416.625</v>
      </c>
      <c r="K5314">
        <v>1.119632</v>
      </c>
      <c r="L5314">
        <v>28.37378</v>
      </c>
      <c r="M5314">
        <v>0.56771899999999997</v>
      </c>
      <c r="N5314">
        <v>-1.3601429999999999E-2</v>
      </c>
      <c r="O5314">
        <v>-0.82311019999999901</v>
      </c>
      <c r="P5314">
        <v>0.68447639999999998</v>
      </c>
      <c r="Q5314">
        <v>0.16054860000000001</v>
      </c>
      <c r="R5314">
        <v>-0.71113740000000003</v>
      </c>
      <c r="S5314">
        <v>2.4222109999999999</v>
      </c>
      <c r="T5314">
        <v>-0.19790070000000001</v>
      </c>
      <c r="U5314">
        <v>-1.935608</v>
      </c>
      <c r="V5314">
        <v>-0.16372139999999999</v>
      </c>
      <c r="W5314">
        <v>0.16998769999999999</v>
      </c>
      <c r="X5314">
        <v>0.97175069999999997</v>
      </c>
      <c r="Y5314">
        <v>-0.28745039999999999</v>
      </c>
      <c r="Z5314">
        <v>4.7718940000000001E-2</v>
      </c>
      <c r="AA5314">
        <v>0.95660610000000001</v>
      </c>
      <c r="AB5314">
        <v>29</v>
      </c>
      <c r="AC5314">
        <v>13.6154999999999</v>
      </c>
      <c r="AD5314">
        <v>-1.119638468857</v>
      </c>
      <c r="AE5314">
        <v>-10.832229999999999</v>
      </c>
      <c r="AF5314">
        <v>-5.0370026109856401</v>
      </c>
      <c r="AG5314">
        <v>-1.119638468857</v>
      </c>
      <c r="AH5314">
        <v>16.578780392568301</v>
      </c>
      <c r="AI5314">
        <v>93.697191483802996</v>
      </c>
      <c r="AJ5314">
        <v>106.899949386743</v>
      </c>
      <c r="AK5314">
        <v>17.3632066424675</v>
      </c>
      <c r="AL5314">
        <v>80.212895783467303</v>
      </c>
      <c r="AM5314">
        <v>99.563429002850299</v>
      </c>
      <c r="AN5314">
        <v>0.99999996895986898</v>
      </c>
    </row>
    <row r="5315" spans="1:40" x14ac:dyDescent="0.25">
      <c r="A5315" t="str">
        <f>"20190304155742297"</f>
        <v>20190304155742297</v>
      </c>
      <c r="B5315" t="str">
        <f>"1551686262289990"</f>
        <v>1551686262289990</v>
      </c>
      <c r="C5315" t="s">
        <v>40</v>
      </c>
      <c r="D5315">
        <v>4.3228660000000003</v>
      </c>
      <c r="E5315">
        <v>0.4480209</v>
      </c>
      <c r="F5315" t="s">
        <v>84</v>
      </c>
      <c r="G5315">
        <v>-403.04649999999998</v>
      </c>
      <c r="H5315" s="1">
        <v>-6.4662239999999998E-6</v>
      </c>
      <c r="I5315">
        <v>17.62839</v>
      </c>
      <c r="J5315">
        <v>-416.54239999999999</v>
      </c>
      <c r="K5315">
        <v>1.1196429999999999</v>
      </c>
      <c r="L5315">
        <v>28.264620000000001</v>
      </c>
      <c r="M5315">
        <v>0.57278019999999996</v>
      </c>
      <c r="N5315">
        <v>-1.3604E-2</v>
      </c>
      <c r="O5315">
        <v>-0.81959609999999905</v>
      </c>
      <c r="P5315">
        <v>0.68838650000000001</v>
      </c>
      <c r="Q5315">
        <v>0.16034489999999901</v>
      </c>
      <c r="R5315">
        <v>-0.70739929999999995</v>
      </c>
      <c r="S5315">
        <v>2.4310909999999999</v>
      </c>
      <c r="T5315">
        <v>-0.20046059999999999</v>
      </c>
      <c r="U5315">
        <v>-1.923859</v>
      </c>
      <c r="V5315">
        <v>-0.16306370000000001</v>
      </c>
      <c r="W5315">
        <v>0.169798799999999</v>
      </c>
      <c r="X5315">
        <v>0.97189429999999999</v>
      </c>
      <c r="Y5315">
        <v>-0.28606100000000001</v>
      </c>
      <c r="Z5315">
        <v>4.8315150000000001E-2</v>
      </c>
      <c r="AA5315">
        <v>0.95699259999999997</v>
      </c>
      <c r="AB5315">
        <v>29</v>
      </c>
      <c r="AC5315">
        <v>13.495900000000001</v>
      </c>
      <c r="AD5315">
        <v>-1.119649466224</v>
      </c>
      <c r="AE5315">
        <v>-10.636229999999999</v>
      </c>
      <c r="AF5315">
        <v>-4.9484155759240904</v>
      </c>
      <c r="AG5315">
        <v>-1.119649466224</v>
      </c>
      <c r="AH5315">
        <v>16.379576803706101</v>
      </c>
      <c r="AI5315">
        <v>93.743839848019604</v>
      </c>
      <c r="AJ5315">
        <v>106.810032845131</v>
      </c>
      <c r="AK5315">
        <v>17.147331218232502</v>
      </c>
      <c r="AL5315">
        <v>80.223878596140594</v>
      </c>
      <c r="AM5315">
        <v>99.524334638525005</v>
      </c>
      <c r="AN5315">
        <v>0.99999996655580903</v>
      </c>
    </row>
    <row r="5316" spans="1:40" x14ac:dyDescent="0.25">
      <c r="A5316" t="str">
        <f>"20190304155742308"</f>
        <v>20190304155742308</v>
      </c>
      <c r="B5316" t="str">
        <f>"1551686262299750"</f>
        <v>1551686262299750</v>
      </c>
      <c r="C5316" t="s">
        <v>40</v>
      </c>
      <c r="D5316">
        <v>4.3232249999999999</v>
      </c>
      <c r="E5316">
        <v>0.44883329999999999</v>
      </c>
      <c r="F5316" t="s">
        <v>84</v>
      </c>
      <c r="G5316">
        <v>-403.14249999999998</v>
      </c>
      <c r="H5316" s="1">
        <v>-6.4460559999999996E-6</v>
      </c>
      <c r="I5316">
        <v>17.734679999999901</v>
      </c>
      <c r="J5316">
        <v>-416.45479999999998</v>
      </c>
      <c r="K5316">
        <v>1.1196520000000001</v>
      </c>
      <c r="L5316">
        <v>28.14969</v>
      </c>
      <c r="M5316">
        <v>0.57810059999999996</v>
      </c>
      <c r="N5316">
        <v>-1.3606490000000001E-2</v>
      </c>
      <c r="O5316">
        <v>-0.81585209999999997</v>
      </c>
      <c r="P5316">
        <v>0.69278619999999902</v>
      </c>
      <c r="Q5316">
        <v>0.16024559999999999</v>
      </c>
      <c r="R5316">
        <v>-0.70311369999999995</v>
      </c>
      <c r="S5316">
        <v>2.4372560000000001</v>
      </c>
      <c r="T5316">
        <v>-0.203649</v>
      </c>
      <c r="U5316">
        <v>-1.9152530000000001</v>
      </c>
      <c r="V5316">
        <v>-0.16279250000000001</v>
      </c>
      <c r="W5316">
        <v>0.16970439999999901</v>
      </c>
      <c r="X5316">
        <v>0.9719563</v>
      </c>
      <c r="Y5316">
        <v>-0.2830531</v>
      </c>
      <c r="Z5316">
        <v>4.9041330000000001E-2</v>
      </c>
      <c r="AA5316">
        <v>0.95784959999999997</v>
      </c>
      <c r="AB5316">
        <v>29</v>
      </c>
      <c r="AC5316">
        <v>13.312299999999899</v>
      </c>
      <c r="AD5316">
        <v>-1.119658446056</v>
      </c>
      <c r="AE5316">
        <v>-10.415010000000001</v>
      </c>
      <c r="AF5316">
        <v>-4.8192449271228597</v>
      </c>
      <c r="AG5316">
        <v>-1.119658446056</v>
      </c>
      <c r="AH5316">
        <v>16.123702429822199</v>
      </c>
      <c r="AI5316">
        <v>93.806473466227501</v>
      </c>
      <c r="AJ5316">
        <v>106.640982126764</v>
      </c>
      <c r="AK5316">
        <v>16.865720759839402</v>
      </c>
      <c r="AL5316">
        <v>80.229367452015694</v>
      </c>
      <c r="AM5316">
        <v>99.508188219983097</v>
      </c>
      <c r="AN5316">
        <v>1.00000001527264</v>
      </c>
    </row>
    <row r="5317" spans="1:40" x14ac:dyDescent="0.25">
      <c r="A5317" t="str">
        <f>"20190304155742320"</f>
        <v>20190304155742320</v>
      </c>
      <c r="B5317" t="str">
        <f>"1551686262310486"</f>
        <v>1551686262310486</v>
      </c>
      <c r="C5317" t="s">
        <v>40</v>
      </c>
      <c r="D5317">
        <v>4.3238500000000002</v>
      </c>
      <c r="E5317">
        <v>0.44954440000000001</v>
      </c>
      <c r="F5317" t="s">
        <v>84</v>
      </c>
      <c r="G5317">
        <v>-403.03030000000001</v>
      </c>
      <c r="H5317" s="1">
        <v>-6.4787950000000002E-6</v>
      </c>
      <c r="I5317">
        <v>17.691839999999999</v>
      </c>
      <c r="J5317">
        <v>-416.36869999999999</v>
      </c>
      <c r="K5317">
        <v>1.1196569999999999</v>
      </c>
      <c r="L5317">
        <v>28.03912</v>
      </c>
      <c r="M5317">
        <v>0.58324739999999997</v>
      </c>
      <c r="N5317">
        <v>-1.360629E-2</v>
      </c>
      <c r="O5317">
        <v>-0.81218080000000004</v>
      </c>
      <c r="P5317">
        <v>0.69703459999999995</v>
      </c>
      <c r="Q5317">
        <v>0.16014110000000001</v>
      </c>
      <c r="R5317">
        <v>-0.6989263</v>
      </c>
      <c r="S5317">
        <v>2.4447019999999999</v>
      </c>
      <c r="T5317">
        <v>-0.20389779999999999</v>
      </c>
      <c r="U5317">
        <v>-1.9044490000000001</v>
      </c>
      <c r="V5317">
        <v>-0.1625238</v>
      </c>
      <c r="W5317">
        <v>0.16960329999999901</v>
      </c>
      <c r="X5317">
        <v>0.97201890000000002</v>
      </c>
      <c r="Y5317">
        <v>-0.28103840000000002</v>
      </c>
      <c r="Z5317">
        <v>4.8946820000000002E-2</v>
      </c>
      <c r="AA5317">
        <v>0.95844750000000001</v>
      </c>
      <c r="AB5317">
        <v>29</v>
      </c>
      <c r="AC5317">
        <v>13.338399999999901</v>
      </c>
      <c r="AD5317">
        <v>-1.1196634787949999</v>
      </c>
      <c r="AE5317">
        <v>-10.34728</v>
      </c>
      <c r="AF5317">
        <v>-4.7775946550000397</v>
      </c>
      <c r="AG5317">
        <v>-1.1196634787949999</v>
      </c>
      <c r="AH5317">
        <v>16.114057925439599</v>
      </c>
      <c r="AI5317">
        <v>93.811261233643194</v>
      </c>
      <c r="AJ5317">
        <v>106.51435966168199</v>
      </c>
      <c r="AK5317">
        <v>16.844640685323501</v>
      </c>
      <c r="AL5317">
        <v>80.235245145039897</v>
      </c>
      <c r="AM5317">
        <v>99.4921799397694</v>
      </c>
      <c r="AN5317">
        <v>1.00000000344727</v>
      </c>
    </row>
    <row r="5318" spans="1:40" x14ac:dyDescent="0.25">
      <c r="A5318" t="str">
        <f>"20190304155742331"</f>
        <v>20190304155742331</v>
      </c>
      <c r="B5318" t="str">
        <f>"1551686262320246"</f>
        <v>1551686262320246</v>
      </c>
      <c r="C5318" t="s">
        <v>40</v>
      </c>
      <c r="D5318">
        <v>4.3105699999999896</v>
      </c>
      <c r="E5318">
        <v>0.45016709999999899</v>
      </c>
      <c r="F5318" t="s">
        <v>84</v>
      </c>
      <c r="G5318">
        <v>-402.92570000000001</v>
      </c>
      <c r="H5318" s="1">
        <v>-6.5101779999999998E-6</v>
      </c>
      <c r="I5318">
        <v>17.65962</v>
      </c>
      <c r="J5318">
        <v>-416.27850000000001</v>
      </c>
      <c r="K5318">
        <v>1.119658</v>
      </c>
      <c r="L5318">
        <v>27.924040000000002</v>
      </c>
      <c r="M5318">
        <v>0.5885937</v>
      </c>
      <c r="N5318">
        <v>-1.360535E-2</v>
      </c>
      <c r="O5318">
        <v>-0.80831459999999999</v>
      </c>
      <c r="P5318">
        <v>0.70143909999999998</v>
      </c>
      <c r="Q5318">
        <v>0.1602645</v>
      </c>
      <c r="R5318">
        <v>-0.69447749999999997</v>
      </c>
      <c r="S5318">
        <v>2.4523009999999998</v>
      </c>
      <c r="T5318">
        <v>-0.20425270000000001</v>
      </c>
      <c r="U5318">
        <v>-1.8934629999999999</v>
      </c>
      <c r="V5318">
        <v>-0.162277799999999</v>
      </c>
      <c r="W5318">
        <v>0.1697284</v>
      </c>
      <c r="X5318">
        <v>0.97203810000000002</v>
      </c>
      <c r="Y5318">
        <v>-0.27883239999999998</v>
      </c>
      <c r="Z5318">
        <v>4.8867920000000002E-2</v>
      </c>
      <c r="AA5318">
        <v>0.95909560000000005</v>
      </c>
      <c r="AB5318">
        <v>29</v>
      </c>
      <c r="AC5318">
        <v>13.3528</v>
      </c>
      <c r="AD5318">
        <v>-1.1196645101780001</v>
      </c>
      <c r="AE5318">
        <v>-10.264419999999999</v>
      </c>
      <c r="AF5318">
        <v>-4.7312195796616603</v>
      </c>
      <c r="AG5318">
        <v>-1.1196645101780001</v>
      </c>
      <c r="AH5318">
        <v>16.086652055582</v>
      </c>
      <c r="AI5318">
        <v>93.820197636151093</v>
      </c>
      <c r="AJ5318">
        <v>106.38905296787399</v>
      </c>
      <c r="AK5318">
        <v>16.8053105202994</v>
      </c>
      <c r="AL5318">
        <v>80.227971378080795</v>
      </c>
      <c r="AM5318">
        <v>99.477889400312904</v>
      </c>
      <c r="AN5318">
        <v>0.99999994099550304</v>
      </c>
    </row>
    <row r="5319" spans="1:40" x14ac:dyDescent="0.25">
      <c r="A5319" t="str">
        <f>"20190304155742342"</f>
        <v>20190304155742342</v>
      </c>
      <c r="B5319" t="str">
        <f>"1551686262339766"</f>
        <v>1551686262339766</v>
      </c>
      <c r="C5319" t="s">
        <v>40</v>
      </c>
      <c r="D5319">
        <v>4.3678129999999999</v>
      </c>
      <c r="E5319">
        <v>0.45724049999999999</v>
      </c>
      <c r="F5319" t="s">
        <v>84</v>
      </c>
      <c r="G5319">
        <v>-402.80110000000002</v>
      </c>
      <c r="H5319" s="1">
        <v>-6.5474859999999996E-6</v>
      </c>
      <c r="I5319">
        <v>17.620290000000001</v>
      </c>
      <c r="J5319">
        <v>-416.18860000000001</v>
      </c>
      <c r="K5319">
        <v>1.1196619999999999</v>
      </c>
      <c r="L5319">
        <v>27.811520000000002</v>
      </c>
      <c r="M5319">
        <v>0.59383949999999996</v>
      </c>
      <c r="N5319">
        <v>-1.360248E-2</v>
      </c>
      <c r="O5319">
        <v>-0.80446859999999998</v>
      </c>
      <c r="P5319">
        <v>0.70584329999999995</v>
      </c>
      <c r="Q5319">
        <v>0.16002269999999999</v>
      </c>
      <c r="R5319">
        <v>-0.69005640000000001</v>
      </c>
      <c r="S5319">
        <v>2.4609070000000002</v>
      </c>
      <c r="T5319">
        <v>-0.20444480000000001</v>
      </c>
      <c r="U5319">
        <v>-1.8814090000000001</v>
      </c>
      <c r="V5319">
        <v>-0.162102</v>
      </c>
      <c r="W5319">
        <v>0.16948729999999901</v>
      </c>
      <c r="X5319">
        <v>0.97210960000000002</v>
      </c>
      <c r="Y5319">
        <v>-0.27717049999999999</v>
      </c>
      <c r="Z5319">
        <v>4.8751679999999999E-2</v>
      </c>
      <c r="AA5319">
        <v>0.95958310000000002</v>
      </c>
      <c r="AB5319">
        <v>29</v>
      </c>
      <c r="AC5319">
        <v>13.3874999999999</v>
      </c>
      <c r="AD5319">
        <v>-1.119668547486</v>
      </c>
      <c r="AE5319">
        <v>-10.191229999999999</v>
      </c>
      <c r="AF5319">
        <v>-4.6975016793056499</v>
      </c>
      <c r="AG5319">
        <v>-1.119668547486</v>
      </c>
      <c r="AH5319">
        <v>16.078838441200102</v>
      </c>
      <c r="AI5319">
        <v>93.824072960581304</v>
      </c>
      <c r="AJ5319">
        <v>106.285949858165</v>
      </c>
      <c r="AK5319">
        <v>16.788365772210302</v>
      </c>
      <c r="AL5319">
        <v>80.241989440366694</v>
      </c>
      <c r="AM5319">
        <v>99.4671239684765</v>
      </c>
      <c r="AN5319">
        <v>1.00000003883872</v>
      </c>
    </row>
    <row r="5320" spans="1:40" x14ac:dyDescent="0.25">
      <c r="A5320" t="str">
        <f>"20190304155742355"</f>
        <v>20190304155742355</v>
      </c>
      <c r="B5320" t="str">
        <f>"1551686262350502"</f>
        <v>1551686262350502</v>
      </c>
      <c r="C5320" t="s">
        <v>40</v>
      </c>
      <c r="D5320">
        <v>4.3881430000000003</v>
      </c>
      <c r="E5320">
        <v>0.45784279999999999</v>
      </c>
      <c r="F5320" t="s">
        <v>84</v>
      </c>
      <c r="G5320">
        <v>-402.61090000000002</v>
      </c>
      <c r="H5320" s="1">
        <v>-6.5614719999999998E-6</v>
      </c>
      <c r="I5320">
        <v>17.178789999999999</v>
      </c>
      <c r="J5320">
        <v>-416.09559999999999</v>
      </c>
      <c r="K5320">
        <v>1.1196649999999999</v>
      </c>
      <c r="L5320">
        <v>27.696349999999999</v>
      </c>
      <c r="M5320">
        <v>0.59920790000000002</v>
      </c>
      <c r="N5320">
        <v>-1.3599099999999999E-2</v>
      </c>
      <c r="O5320">
        <v>-0.80047789999999996</v>
      </c>
      <c r="P5320">
        <v>0.71054329999999999</v>
      </c>
      <c r="Q5320">
        <v>0.15970609999999999</v>
      </c>
      <c r="R5320">
        <v>-0.68528979999999995</v>
      </c>
      <c r="S5320">
        <v>2.433014</v>
      </c>
      <c r="T5320">
        <v>-0.20063610000000001</v>
      </c>
      <c r="U5320">
        <v>-1.9053040000000001</v>
      </c>
      <c r="V5320">
        <v>-0.1621937</v>
      </c>
      <c r="W5320">
        <v>0.16916300000000001</v>
      </c>
      <c r="X5320">
        <v>0.97215070000000003</v>
      </c>
      <c r="Y5320">
        <v>-0.25961590000000001</v>
      </c>
      <c r="Z5320">
        <v>4.7223179999999997E-2</v>
      </c>
      <c r="AA5320">
        <v>0.96455670000000004</v>
      </c>
      <c r="AB5320">
        <v>29</v>
      </c>
      <c r="AC5320">
        <v>13.484699999999901</v>
      </c>
      <c r="AD5320">
        <v>-1.1196715614720001</v>
      </c>
      <c r="AE5320">
        <v>-10.51756</v>
      </c>
      <c r="AF5320">
        <v>-4.4732395993613698</v>
      </c>
      <c r="AG5320">
        <v>-1.1196715614720001</v>
      </c>
      <c r="AH5320">
        <v>16.430308323799</v>
      </c>
      <c r="AI5320">
        <v>93.761974437347604</v>
      </c>
      <c r="AJ5320">
        <v>105.22994928343</v>
      </c>
      <c r="AK5320">
        <v>17.065127263925199</v>
      </c>
      <c r="AL5320">
        <v>80.260841825770498</v>
      </c>
      <c r="AM5320">
        <v>99.471989219539694</v>
      </c>
      <c r="AN5320">
        <v>0.99999995019958798</v>
      </c>
    </row>
    <row r="5321" spans="1:40" x14ac:dyDescent="0.25">
      <c r="A5321" t="str">
        <f>"20190304155742367"</f>
        <v>20190304155742367</v>
      </c>
      <c r="B5321" t="str">
        <f>"1551686262360261"</f>
        <v>1551686262360261</v>
      </c>
      <c r="C5321" t="s">
        <v>40</v>
      </c>
      <c r="D5321">
        <v>4.4030589999999998</v>
      </c>
      <c r="E5321">
        <v>0.45784279999999999</v>
      </c>
      <c r="F5321" t="s">
        <v>84</v>
      </c>
      <c r="G5321">
        <v>-402.63040000000001</v>
      </c>
      <c r="H5321" s="1">
        <v>-6.5646480000000003E-6</v>
      </c>
      <c r="I5321">
        <v>17.265079999999902</v>
      </c>
      <c r="J5321">
        <v>-416.0027</v>
      </c>
      <c r="K5321">
        <v>1.1196649999999999</v>
      </c>
      <c r="L5321">
        <v>27.582640000000001</v>
      </c>
      <c r="M5321">
        <v>0.60450899999999996</v>
      </c>
      <c r="N5321">
        <v>-1.359525E-2</v>
      </c>
      <c r="O5321">
        <v>-0.79648229999999998</v>
      </c>
      <c r="P5321">
        <v>0.71507679999999996</v>
      </c>
      <c r="Q5321">
        <v>0.1596101</v>
      </c>
      <c r="R5321">
        <v>-0.68058019999999997</v>
      </c>
      <c r="S5321">
        <v>2.4427189999999999</v>
      </c>
      <c r="T5321">
        <v>-0.2031193</v>
      </c>
      <c r="U5321">
        <v>-1.892334</v>
      </c>
      <c r="V5321">
        <v>-0.16217889999999999</v>
      </c>
      <c r="W5321">
        <v>0.16906289999999999</v>
      </c>
      <c r="X5321">
        <v>0.97217070000000005</v>
      </c>
      <c r="Y5321">
        <v>-0.25823180000000001</v>
      </c>
      <c r="Z5321">
        <v>4.7748430000000001E-2</v>
      </c>
      <c r="AA5321">
        <v>0.96490229999999999</v>
      </c>
      <c r="AB5321">
        <v>29</v>
      </c>
      <c r="AC5321">
        <v>13.3722999999999</v>
      </c>
      <c r="AD5321">
        <v>-1.119671564648</v>
      </c>
      <c r="AE5321">
        <v>-10.31756</v>
      </c>
      <c r="AF5321">
        <v>-4.3948365231281903</v>
      </c>
      <c r="AG5321">
        <v>-1.119671564648</v>
      </c>
      <c r="AH5321">
        <v>16.231603946981199</v>
      </c>
      <c r="AI5321">
        <v>93.809331015854397</v>
      </c>
      <c r="AJ5321">
        <v>105.150046334677</v>
      </c>
      <c r="AK5321">
        <v>16.853285115055701</v>
      </c>
      <c r="AL5321">
        <v>80.266662075088504</v>
      </c>
      <c r="AM5321">
        <v>99.470949255168605</v>
      </c>
      <c r="AN5321">
        <v>1.00000006485005</v>
      </c>
    </row>
    <row r="5322" spans="1:40" x14ac:dyDescent="0.25">
      <c r="A5322" t="str">
        <f>"20190304155742379"</f>
        <v>20190304155742379</v>
      </c>
      <c r="B5322" t="str">
        <f>"1551686262370022"</f>
        <v>1551686262370022</v>
      </c>
      <c r="C5322" t="s">
        <v>40</v>
      </c>
      <c r="D5322">
        <v>4.3920199999999996</v>
      </c>
      <c r="E5322">
        <v>0.46405950000000001</v>
      </c>
      <c r="F5322" t="s">
        <v>84</v>
      </c>
      <c r="G5322">
        <v>-402.49079999999998</v>
      </c>
      <c r="H5322" s="1">
        <v>-6.6105810000000004E-6</v>
      </c>
      <c r="I5322">
        <v>17.25797</v>
      </c>
      <c r="J5322">
        <v>-415.90429999999998</v>
      </c>
      <c r="K5322">
        <v>1.1196660000000001</v>
      </c>
      <c r="L5322">
        <v>27.46442</v>
      </c>
      <c r="M5322">
        <v>0.61003379999999996</v>
      </c>
      <c r="N5322">
        <v>-1.359113E-2</v>
      </c>
      <c r="O5322">
        <v>-0.79225900000000005</v>
      </c>
      <c r="P5322">
        <v>0.71982990000000002</v>
      </c>
      <c r="Q5322">
        <v>0.1592751</v>
      </c>
      <c r="R5322">
        <v>-0.67563070000000003</v>
      </c>
      <c r="S5322">
        <v>2.4552</v>
      </c>
      <c r="T5322">
        <v>-0.2034523</v>
      </c>
      <c r="U5322">
        <v>-1.8760680000000001</v>
      </c>
      <c r="V5322">
        <v>-0.1621764</v>
      </c>
      <c r="W5322">
        <v>0.16872400000000001</v>
      </c>
      <c r="X5322">
        <v>0.97222989999999998</v>
      </c>
      <c r="Y5322">
        <v>-0.25791550000000002</v>
      </c>
      <c r="Z5322">
        <v>4.7675429999999998E-2</v>
      </c>
      <c r="AA5322">
        <v>0.96499049999999997</v>
      </c>
      <c r="AB5322">
        <v>29</v>
      </c>
      <c r="AC5322">
        <v>13.413500000000001</v>
      </c>
      <c r="AD5322">
        <v>-1.119672610581</v>
      </c>
      <c r="AE5322">
        <v>-10.20645</v>
      </c>
      <c r="AF5322">
        <v>-4.3817564054651497</v>
      </c>
      <c r="AG5322">
        <v>-1.119672610581</v>
      </c>
      <c r="AH5322">
        <v>16.1988573923004</v>
      </c>
      <c r="AI5322">
        <v>93.817262162413897</v>
      </c>
      <c r="AJ5322">
        <v>105.13615935106201</v>
      </c>
      <c r="AK5322">
        <v>16.818336325802399</v>
      </c>
      <c r="AL5322">
        <v>80.2863617508537</v>
      </c>
      <c r="AM5322">
        <v>99.470239664656503</v>
      </c>
      <c r="AN5322">
        <v>0.99999997567348398</v>
      </c>
    </row>
    <row r="5323" spans="1:40" x14ac:dyDescent="0.25">
      <c r="A5323" t="str">
        <f>"20190304155742395"</f>
        <v>20190304155742395</v>
      </c>
      <c r="B5323" t="str">
        <f>"1551686262390518"</f>
        <v>1551686262390518</v>
      </c>
      <c r="C5323" t="s">
        <v>40</v>
      </c>
      <c r="D5323">
        <v>4.3986799999999997</v>
      </c>
      <c r="E5323">
        <v>0.4643738</v>
      </c>
      <c r="F5323" t="s">
        <v>84</v>
      </c>
      <c r="G5323">
        <v>-402.36</v>
      </c>
      <c r="H5323" s="1">
        <v>-6.6163420000000004E-6</v>
      </c>
      <c r="I5323">
        <v>16.919709999999998</v>
      </c>
      <c r="J5323">
        <v>-415.77640000000002</v>
      </c>
      <c r="K5323">
        <v>1.119664</v>
      </c>
      <c r="L5323">
        <v>27.31268</v>
      </c>
      <c r="M5323">
        <v>0.61711839999999996</v>
      </c>
      <c r="N5323">
        <v>-1.35858E-2</v>
      </c>
      <c r="O5323">
        <v>-0.78675309999999998</v>
      </c>
      <c r="P5323">
        <v>0.72582440000000004</v>
      </c>
      <c r="Q5323">
        <v>0.1590734</v>
      </c>
      <c r="R5323">
        <v>-0.66923480000000002</v>
      </c>
      <c r="S5323">
        <v>2.4337770000000001</v>
      </c>
      <c r="T5323">
        <v>-0.2011937</v>
      </c>
      <c r="U5323">
        <v>-1.8947750000000001</v>
      </c>
      <c r="V5323">
        <v>-0.16208620000000001</v>
      </c>
      <c r="W5323">
        <v>0.16851910000000001</v>
      </c>
      <c r="X5323">
        <v>0.97228049999999999</v>
      </c>
      <c r="Y5323">
        <v>-0.24054049999999999</v>
      </c>
      <c r="Z5323">
        <v>4.6492459999999999E-2</v>
      </c>
      <c r="AA5323">
        <v>0.96952499999999997</v>
      </c>
      <c r="AB5323">
        <v>29</v>
      </c>
      <c r="AC5323">
        <v>13.416399999999999</v>
      </c>
      <c r="AD5323">
        <v>-1.119670616342</v>
      </c>
      <c r="AE5323">
        <v>-10.392969999999901</v>
      </c>
      <c r="AF5323">
        <v>-4.1241318011459303</v>
      </c>
      <c r="AG5323">
        <v>-1.119670616342</v>
      </c>
      <c r="AH5323">
        <v>16.386399939339</v>
      </c>
      <c r="AI5323">
        <v>93.791039175939602</v>
      </c>
      <c r="AJ5323">
        <v>104.12681109480501</v>
      </c>
      <c r="AK5323">
        <v>16.9344686475334</v>
      </c>
      <c r="AL5323">
        <v>80.298272412528405</v>
      </c>
      <c r="AM5323">
        <v>99.464584121476804</v>
      </c>
      <c r="AN5323">
        <v>0.99999999698775</v>
      </c>
    </row>
    <row r="5324" spans="1:40" x14ac:dyDescent="0.25">
      <c r="A5324" t="str">
        <f>"20190304155742409"</f>
        <v>20190304155742409</v>
      </c>
      <c r="B5324" t="str">
        <f>"1551686262400278"</f>
        <v>1551686262400278</v>
      </c>
      <c r="C5324" t="s">
        <v>40</v>
      </c>
      <c r="D5324">
        <v>4.4167809999999896</v>
      </c>
      <c r="E5324">
        <v>0.4652886</v>
      </c>
      <c r="F5324" t="s">
        <v>84</v>
      </c>
      <c r="G5324">
        <v>-402.4434</v>
      </c>
      <c r="H5324" s="1">
        <v>-6.6091190000000003E-6</v>
      </c>
      <c r="I5324">
        <v>17.103819999999999</v>
      </c>
      <c r="J5324">
        <v>-415.66300000000001</v>
      </c>
      <c r="K5324">
        <v>1.1196569999999999</v>
      </c>
      <c r="L5324">
        <v>27.18027</v>
      </c>
      <c r="M5324">
        <v>0.6233031</v>
      </c>
      <c r="N5324">
        <v>-1.358117E-2</v>
      </c>
      <c r="O5324">
        <v>-0.78186239999999996</v>
      </c>
      <c r="P5324">
        <v>0.73104820000000004</v>
      </c>
      <c r="Q5324">
        <v>0.15903719999999999</v>
      </c>
      <c r="R5324">
        <v>-0.66353300000000004</v>
      </c>
      <c r="S5324">
        <v>2.4491879999999999</v>
      </c>
      <c r="T5324">
        <v>-0.20567659999999999</v>
      </c>
      <c r="U5324">
        <v>-1.875305</v>
      </c>
      <c r="V5324">
        <v>-0.1620345</v>
      </c>
      <c r="W5324">
        <v>0.16847970000000001</v>
      </c>
      <c r="X5324">
        <v>0.97229589999999999</v>
      </c>
      <c r="Y5324">
        <v>-0.24063570000000001</v>
      </c>
      <c r="Z5324">
        <v>4.7541859999999998E-2</v>
      </c>
      <c r="AA5324">
        <v>0.96945049999999999</v>
      </c>
      <c r="AB5324">
        <v>28</v>
      </c>
      <c r="AC5324">
        <v>13.2196</v>
      </c>
      <c r="AD5324">
        <v>-1.119663609119</v>
      </c>
      <c r="AE5324">
        <v>-10.0764499999999</v>
      </c>
      <c r="AF5324">
        <v>-4.0372809677361898</v>
      </c>
      <c r="AG5324">
        <v>-1.119663609119</v>
      </c>
      <c r="AH5324">
        <v>16.046890668744702</v>
      </c>
      <c r="AI5324">
        <v>93.871061782829003</v>
      </c>
      <c r="AJ5324">
        <v>104.122099679757</v>
      </c>
      <c r="AK5324">
        <v>16.584811857379499</v>
      </c>
      <c r="AL5324">
        <v>80.300562179631498</v>
      </c>
      <c r="AM5324">
        <v>99.461472682292893</v>
      </c>
      <c r="AN5324">
        <v>0.99999995282957299</v>
      </c>
    </row>
    <row r="5325" spans="1:40" x14ac:dyDescent="0.25">
      <c r="A5325" t="str">
        <f>"20190304155742420"</f>
        <v>20190304155742420</v>
      </c>
      <c r="B5325" t="str">
        <f>"1551686262410038"</f>
        <v>1551686262410038</v>
      </c>
      <c r="C5325" t="s">
        <v>40</v>
      </c>
      <c r="D5325">
        <v>4.4198979999999999</v>
      </c>
      <c r="E5325">
        <v>0.46597699999999997</v>
      </c>
      <c r="F5325" t="s">
        <v>84</v>
      </c>
      <c r="G5325">
        <v>-402.27499999999998</v>
      </c>
      <c r="H5325" s="1">
        <v>-6.65891899999999E-6</v>
      </c>
      <c r="I5325">
        <v>17.045470000000002</v>
      </c>
      <c r="J5325">
        <v>-415.56819999999999</v>
      </c>
      <c r="K5325">
        <v>1.119656</v>
      </c>
      <c r="L5325">
        <v>27.071809999999999</v>
      </c>
      <c r="M5325">
        <v>0.62838570000000005</v>
      </c>
      <c r="N5325">
        <v>-1.35774E-2</v>
      </c>
      <c r="O5325">
        <v>-0.77778349999999996</v>
      </c>
      <c r="P5325">
        <v>0.73510679999999995</v>
      </c>
      <c r="Q5325">
        <v>0.1590657</v>
      </c>
      <c r="R5325">
        <v>-0.65902689999999997</v>
      </c>
      <c r="S5325">
        <v>2.458923</v>
      </c>
      <c r="T5325">
        <v>-0.2056444</v>
      </c>
      <c r="U5325">
        <v>-1.8614200000000001</v>
      </c>
      <c r="V5325">
        <v>-0.1616686</v>
      </c>
      <c r="W5325">
        <v>0.168514</v>
      </c>
      <c r="X5325">
        <v>0.97235090000000002</v>
      </c>
      <c r="Y5325">
        <v>-0.2396412</v>
      </c>
      <c r="Z5325">
        <v>4.7355550000000003E-2</v>
      </c>
      <c r="AA5325">
        <v>0.96970590000000001</v>
      </c>
      <c r="AB5325">
        <v>28</v>
      </c>
      <c r="AC5325">
        <v>13.293200000000001</v>
      </c>
      <c r="AD5325">
        <v>-1.119662658919</v>
      </c>
      <c r="AE5325">
        <v>-10.0263399999999</v>
      </c>
      <c r="AF5325">
        <v>-4.0210123170890002</v>
      </c>
      <c r="AG5325">
        <v>-1.119662658919</v>
      </c>
      <c r="AH5325">
        <v>16.080352476067201</v>
      </c>
      <c r="AI5325">
        <v>93.864423126075494</v>
      </c>
      <c r="AJ5325">
        <v>104.039342722954</v>
      </c>
      <c r="AK5325">
        <v>16.613245326501399</v>
      </c>
      <c r="AL5325">
        <v>80.298568778169098</v>
      </c>
      <c r="AM5325">
        <v>99.439967794698106</v>
      </c>
      <c r="AN5325">
        <v>0.99999998857638495</v>
      </c>
    </row>
    <row r="5326" spans="1:40" x14ac:dyDescent="0.25">
      <c r="A5326" t="str">
        <f>"20190304155742432"</f>
        <v>20190304155742432</v>
      </c>
      <c r="B5326" t="str">
        <f>"1551686262419798"</f>
        <v>1551686262419798</v>
      </c>
      <c r="C5326" t="s">
        <v>40</v>
      </c>
      <c r="D5326">
        <v>4.4179320000000004</v>
      </c>
      <c r="E5326">
        <v>0.46619090000000002</v>
      </c>
      <c r="F5326" t="s">
        <v>84</v>
      </c>
      <c r="G5326">
        <v>-402.05520000000001</v>
      </c>
      <c r="H5326" s="1">
        <v>-6.720315E-6</v>
      </c>
      <c r="I5326">
        <v>16.937010000000001</v>
      </c>
      <c r="J5326">
        <v>-415.47219999999999</v>
      </c>
      <c r="K5326">
        <v>1.119656</v>
      </c>
      <c r="L5326">
        <v>26.962710000000001</v>
      </c>
      <c r="M5326">
        <v>0.63348340000000003</v>
      </c>
      <c r="N5326">
        <v>-1.357364E-2</v>
      </c>
      <c r="O5326">
        <v>-0.77363740000000003</v>
      </c>
      <c r="P5326">
        <v>0.73909019999999903</v>
      </c>
      <c r="Q5326">
        <v>0.1591515</v>
      </c>
      <c r="R5326">
        <v>-0.65453549999999905</v>
      </c>
      <c r="S5326">
        <v>2.4667050000000001</v>
      </c>
      <c r="T5326">
        <v>-0.2043867</v>
      </c>
      <c r="U5326">
        <v>-1.8500369999999999</v>
      </c>
      <c r="V5326">
        <v>-0.16119020000000001</v>
      </c>
      <c r="W5326">
        <v>0.16860839999999999</v>
      </c>
      <c r="X5326">
        <v>0.972414</v>
      </c>
      <c r="Y5326">
        <v>-0.2376162</v>
      </c>
      <c r="Z5326">
        <v>4.680111E-2</v>
      </c>
      <c r="AA5326">
        <v>0.97023099999999995</v>
      </c>
      <c r="AB5326">
        <v>28</v>
      </c>
      <c r="AC5326">
        <v>13.4169999999999</v>
      </c>
      <c r="AD5326">
        <v>-1.119662720315</v>
      </c>
      <c r="AE5326">
        <v>-10.025699999999899</v>
      </c>
      <c r="AF5326">
        <v>-4.01122358653405</v>
      </c>
      <c r="AG5326">
        <v>-1.119662720315</v>
      </c>
      <c r="AH5326">
        <v>16.1848711152767</v>
      </c>
      <c r="AI5326">
        <v>93.841534898771002</v>
      </c>
      <c r="AJ5326">
        <v>103.919589149047</v>
      </c>
      <c r="AK5326">
        <v>16.712079831264202</v>
      </c>
      <c r="AL5326">
        <v>80.293081949226305</v>
      </c>
      <c r="AM5326">
        <v>99.411934362012801</v>
      </c>
      <c r="AN5326">
        <v>1.0000000302612899</v>
      </c>
    </row>
    <row r="5327" spans="1:40" x14ac:dyDescent="0.25">
      <c r="A5327" t="str">
        <f>"20190304155742443"</f>
        <v>20190304155742443</v>
      </c>
      <c r="B5327" t="str">
        <f>"1551686262440294"</f>
        <v>1551686262440294</v>
      </c>
      <c r="C5327" t="s">
        <v>40</v>
      </c>
      <c r="D5327">
        <v>4.4599449999999896</v>
      </c>
      <c r="E5327">
        <v>0.46689960000000003</v>
      </c>
      <c r="F5327" t="s">
        <v>84</v>
      </c>
      <c r="G5327">
        <v>-401.93680000000001</v>
      </c>
      <c r="H5327" s="1">
        <v>-6.7587469999999996E-6</v>
      </c>
      <c r="I5327">
        <v>16.926369999999999</v>
      </c>
      <c r="J5327">
        <v>-415.37549999999999</v>
      </c>
      <c r="K5327">
        <v>1.119658</v>
      </c>
      <c r="L5327">
        <v>26.85483</v>
      </c>
      <c r="M5327">
        <v>0.63853939999999998</v>
      </c>
      <c r="N5327">
        <v>-1.3569919999999999E-2</v>
      </c>
      <c r="O5327">
        <v>-0.76946949999999903</v>
      </c>
      <c r="P5327">
        <v>0.74299340000000003</v>
      </c>
      <c r="Q5327">
        <v>0.1597005</v>
      </c>
      <c r="R5327">
        <v>-0.64996659999999995</v>
      </c>
      <c r="S5327">
        <v>2.476807</v>
      </c>
      <c r="T5327">
        <v>-0.2048835</v>
      </c>
      <c r="U5327">
        <v>-1.836517</v>
      </c>
      <c r="V5327">
        <v>-0.16073419999999999</v>
      </c>
      <c r="W5327">
        <v>0.16916489999999901</v>
      </c>
      <c r="X5327">
        <v>0.97239279999999995</v>
      </c>
      <c r="Y5327">
        <v>-0.2365603</v>
      </c>
      <c r="Z5327">
        <v>4.6740619999999997E-2</v>
      </c>
      <c r="AA5327">
        <v>0.97049189999999996</v>
      </c>
      <c r="AB5327">
        <v>28</v>
      </c>
      <c r="AC5327">
        <v>13.4386999999999</v>
      </c>
      <c r="AD5327">
        <v>-1.1196647587469899</v>
      </c>
      <c r="AE5327">
        <v>-9.9284599999999905</v>
      </c>
      <c r="AF5327">
        <v>-3.98343731137098</v>
      </c>
      <c r="AG5327">
        <v>-1.1196647587469899</v>
      </c>
      <c r="AH5327">
        <v>16.149758288942301</v>
      </c>
      <c r="AI5327">
        <v>93.850926036129707</v>
      </c>
      <c r="AJ5327">
        <v>103.85578386188401</v>
      </c>
      <c r="AK5327">
        <v>16.6714160999257</v>
      </c>
      <c r="AL5327">
        <v>80.260731881001504</v>
      </c>
      <c r="AM5327">
        <v>99.385983834240605</v>
      </c>
      <c r="AN5327">
        <v>1.0000000019667401</v>
      </c>
    </row>
    <row r="5328" spans="1:40" x14ac:dyDescent="0.25">
      <c r="A5328" t="str">
        <f>"20190304155742453"</f>
        <v>20190304155742453</v>
      </c>
      <c r="B5328" t="str">
        <f>"1551686262450054"</f>
        <v>1551686262450054</v>
      </c>
      <c r="C5328" t="s">
        <v>40</v>
      </c>
      <c r="D5328">
        <v>4.4745559999999998</v>
      </c>
      <c r="E5328">
        <v>0.4665202</v>
      </c>
      <c r="F5328" t="s">
        <v>84</v>
      </c>
      <c r="G5328">
        <v>-401.78210000000001</v>
      </c>
      <c r="H5328" s="1">
        <v>-6.8039299999999998E-6</v>
      </c>
      <c r="I5328">
        <v>16.867809999999999</v>
      </c>
      <c r="J5328">
        <v>-415.28800000000001</v>
      </c>
      <c r="K5328">
        <v>1.119659</v>
      </c>
      <c r="L5328">
        <v>26.75806</v>
      </c>
      <c r="M5328">
        <v>0.64306989999999997</v>
      </c>
      <c r="N5328">
        <v>-1.3566669999999999E-2</v>
      </c>
      <c r="O5328">
        <v>-0.76568749999999997</v>
      </c>
      <c r="P5328">
        <v>0.74668400000000001</v>
      </c>
      <c r="Q5328">
        <v>0.1597121</v>
      </c>
      <c r="R5328">
        <v>-0.64572059999999998</v>
      </c>
      <c r="S5328">
        <v>2.4847410000000001</v>
      </c>
      <c r="T5328">
        <v>-0.20466409999999999</v>
      </c>
      <c r="U5328">
        <v>-1.825531</v>
      </c>
      <c r="V5328">
        <v>-0.16053539999999999</v>
      </c>
      <c r="W5328">
        <v>0.16917850000000001</v>
      </c>
      <c r="X5328">
        <v>0.97242329999999999</v>
      </c>
      <c r="Y5328">
        <v>-0.2350998</v>
      </c>
      <c r="Z5328">
        <v>4.6490620000000003E-2</v>
      </c>
      <c r="AA5328">
        <v>0.97085880000000002</v>
      </c>
      <c r="AB5328">
        <v>28</v>
      </c>
      <c r="AC5328">
        <v>13.505899999999899</v>
      </c>
      <c r="AD5328">
        <v>-1.11966580392999</v>
      </c>
      <c r="AE5328">
        <v>-9.8902499999999893</v>
      </c>
      <c r="AF5328">
        <v>-3.9638096267412002</v>
      </c>
      <c r="AG5328">
        <v>-1.11966580392999</v>
      </c>
      <c r="AH5328">
        <v>16.187155886853802</v>
      </c>
      <c r="AI5328">
        <v>93.843642123308996</v>
      </c>
      <c r="AJ5328">
        <v>103.759476713783</v>
      </c>
      <c r="AK5328">
        <v>16.702977398501201</v>
      </c>
      <c r="AL5328">
        <v>80.2599415086042</v>
      </c>
      <c r="AM5328">
        <v>99.3742924064546</v>
      </c>
      <c r="AN5328">
        <v>1.00000002694914</v>
      </c>
    </row>
    <row r="5329" spans="1:40" x14ac:dyDescent="0.25">
      <c r="A5329" t="str">
        <f>"20190304155742465"</f>
        <v>20190304155742465</v>
      </c>
      <c r="B5329" t="str">
        <f>"1551686262459813"</f>
        <v>1551686262459813</v>
      </c>
      <c r="C5329" t="s">
        <v>40</v>
      </c>
      <c r="D5329">
        <v>4.4240959999999996</v>
      </c>
      <c r="E5329">
        <v>0.4665202</v>
      </c>
      <c r="F5329" t="s">
        <v>84</v>
      </c>
      <c r="G5329">
        <v>-401.75670000000002</v>
      </c>
      <c r="H5329" s="1">
        <v>-6.8218399999999999E-6</v>
      </c>
      <c r="I5329">
        <v>16.95139</v>
      </c>
      <c r="J5329">
        <v>-415.18790000000001</v>
      </c>
      <c r="K5329">
        <v>1.1196549999999901</v>
      </c>
      <c r="L5329">
        <v>26.648859999999999</v>
      </c>
      <c r="M5329">
        <v>0.64818580000000003</v>
      </c>
      <c r="N5329">
        <v>-1.356315E-2</v>
      </c>
      <c r="O5329">
        <v>-0.76136150000000002</v>
      </c>
      <c r="P5329">
        <v>0.75067099999999998</v>
      </c>
      <c r="Q5329">
        <v>0.16026470000000001</v>
      </c>
      <c r="R5329">
        <v>-0.64094329999999999</v>
      </c>
      <c r="S5329">
        <v>2.4969790000000001</v>
      </c>
      <c r="T5329">
        <v>-0.2066162</v>
      </c>
      <c r="U5329">
        <v>-1.8096620000000001</v>
      </c>
      <c r="V5329">
        <v>-0.16014690000000001</v>
      </c>
      <c r="W5329">
        <v>0.16973629999999901</v>
      </c>
      <c r="X5329">
        <v>0.97239010000000003</v>
      </c>
      <c r="Y5329">
        <v>-0.23487340000000001</v>
      </c>
      <c r="Z5329">
        <v>4.682683E-2</v>
      </c>
      <c r="AA5329">
        <v>0.97089740000000002</v>
      </c>
      <c r="AB5329">
        <v>28</v>
      </c>
      <c r="AC5329">
        <v>13.431199999999899</v>
      </c>
      <c r="AD5329">
        <v>-1.1196618218399901</v>
      </c>
      <c r="AE5329">
        <v>-9.6974699999999991</v>
      </c>
      <c r="AF5329">
        <v>-3.9226795189694501</v>
      </c>
      <c r="AG5329">
        <v>-1.1196618218399901</v>
      </c>
      <c r="AH5329">
        <v>16.017503989268398</v>
      </c>
      <c r="AI5329">
        <v>93.884191841775205</v>
      </c>
      <c r="AJ5329">
        <v>103.760871101156</v>
      </c>
      <c r="AK5329">
        <v>16.5288079198125</v>
      </c>
      <c r="AL5329">
        <v>80.227512401224701</v>
      </c>
      <c r="AM5329">
        <v>99.352321290096498</v>
      </c>
      <c r="AN5329">
        <v>0.99999997384765404</v>
      </c>
    </row>
    <row r="5330" spans="1:40" x14ac:dyDescent="0.25">
      <c r="A5330" t="str">
        <f>"20190304155742476"</f>
        <v>20190304155742476</v>
      </c>
      <c r="B5330" t="str">
        <f>"1551686262470550"</f>
        <v>1551686262470550</v>
      </c>
      <c r="C5330" t="s">
        <v>40</v>
      </c>
      <c r="D5330">
        <v>4.459835</v>
      </c>
      <c r="E5330">
        <v>0.44557400000000003</v>
      </c>
      <c r="F5330" t="s">
        <v>84</v>
      </c>
      <c r="G5330">
        <v>-401.48110000000003</v>
      </c>
      <c r="H5330" s="1">
        <v>-6.9022899999999899E-6</v>
      </c>
      <c r="I5330">
        <v>16.846440000000001</v>
      </c>
      <c r="J5330">
        <v>-415.0958</v>
      </c>
      <c r="K5330">
        <v>1.119656</v>
      </c>
      <c r="L5330">
        <v>26.54984</v>
      </c>
      <c r="M5330">
        <v>0.6528313</v>
      </c>
      <c r="N5330">
        <v>-1.3560040000000001E-2</v>
      </c>
      <c r="O5330">
        <v>-0.75738219999999901</v>
      </c>
      <c r="P5330">
        <v>0.7544035</v>
      </c>
      <c r="Q5330">
        <v>0.16008169999999999</v>
      </c>
      <c r="R5330">
        <v>-0.63659219999999905</v>
      </c>
      <c r="S5330">
        <v>2.5084840000000002</v>
      </c>
      <c r="T5330">
        <v>-0.20490990000000001</v>
      </c>
      <c r="U5330">
        <v>-1.7939449999999999</v>
      </c>
      <c r="V5330">
        <v>-0.1598454</v>
      </c>
      <c r="W5330">
        <v>0.16955919999999999</v>
      </c>
      <c r="X5330">
        <v>0.97247059999999996</v>
      </c>
      <c r="Y5330">
        <v>-0.23508670000000001</v>
      </c>
      <c r="Z5330">
        <v>4.6204490000000001E-2</v>
      </c>
      <c r="AA5330">
        <v>0.97087559999999995</v>
      </c>
      <c r="AB5330">
        <v>28</v>
      </c>
      <c r="AC5330">
        <v>13.6146999999999</v>
      </c>
      <c r="AD5330">
        <v>-1.11966290229</v>
      </c>
      <c r="AE5330">
        <v>-9.7034000000000002</v>
      </c>
      <c r="AF5330">
        <v>-3.9594547457771401</v>
      </c>
      <c r="AG5330">
        <v>-1.11966290229</v>
      </c>
      <c r="AH5330">
        <v>16.166268073713599</v>
      </c>
      <c r="AI5330">
        <v>93.848541811145495</v>
      </c>
      <c r="AJ5330">
        <v>103.762017855111</v>
      </c>
      <c r="AK5330">
        <v>16.6817010622356</v>
      </c>
      <c r="AL5330">
        <v>80.237808704074993</v>
      </c>
      <c r="AM5330">
        <v>99.3342652569509</v>
      </c>
      <c r="AN5330">
        <v>0.99999997103507898</v>
      </c>
    </row>
    <row r="5331" spans="1:40" x14ac:dyDescent="0.25">
      <c r="A5331" t="str">
        <f>"20190304155742487"</f>
        <v>20190304155742487</v>
      </c>
      <c r="B5331" t="str">
        <f>"1551686262480311"</f>
        <v>1551686262480311</v>
      </c>
      <c r="C5331" t="s">
        <v>40</v>
      </c>
      <c r="D5331">
        <v>4.4386960000000002</v>
      </c>
      <c r="E5331">
        <v>0.44191589999999997</v>
      </c>
      <c r="F5331" t="s">
        <v>84</v>
      </c>
      <c r="G5331">
        <v>-400.45049999999998</v>
      </c>
      <c r="H5331" s="1">
        <v>-7.3027590000000001E-6</v>
      </c>
      <c r="I5331">
        <v>17.339679999999898</v>
      </c>
      <c r="J5331">
        <v>-414.99919999999997</v>
      </c>
      <c r="K5331">
        <v>1.119656</v>
      </c>
      <c r="L5331">
        <v>26.446840000000002</v>
      </c>
      <c r="M5331">
        <v>0.65765419999999997</v>
      </c>
      <c r="N5331">
        <v>-1.355686E-2</v>
      </c>
      <c r="O5331">
        <v>-0.75319809999999998</v>
      </c>
      <c r="P5331">
        <v>0.75822339999999999</v>
      </c>
      <c r="Q5331">
        <v>0.1599467</v>
      </c>
      <c r="R5331">
        <v>-0.63207190000000002</v>
      </c>
      <c r="S5331">
        <v>2.6258240000000002</v>
      </c>
      <c r="T5331">
        <v>-0.2007504</v>
      </c>
      <c r="U5331">
        <v>-1.6513369999999901</v>
      </c>
      <c r="V5331">
        <v>-0.159465</v>
      </c>
      <c r="W5331">
        <v>0.16943129999999901</v>
      </c>
      <c r="X5331">
        <v>0.97255530000000001</v>
      </c>
      <c r="Y5331">
        <v>-0.28622900000000001</v>
      </c>
      <c r="Z5331">
        <v>4.5990379999999997E-2</v>
      </c>
      <c r="AA5331">
        <v>0.95705689999999999</v>
      </c>
      <c r="AB5331">
        <v>28</v>
      </c>
      <c r="AC5331">
        <v>14.548699999999901</v>
      </c>
      <c r="AD5331">
        <v>-1.1196633027589999</v>
      </c>
      <c r="AE5331">
        <v>-9.1071600000000004</v>
      </c>
      <c r="AF5331">
        <v>-4.9480914671320404</v>
      </c>
      <c r="AG5331">
        <v>-1.1196633027589999</v>
      </c>
      <c r="AH5331">
        <v>16.359402425753402</v>
      </c>
      <c r="AI5331">
        <v>93.748124602848193</v>
      </c>
      <c r="AJ5331">
        <v>106.828551647582</v>
      </c>
      <c r="AK5331">
        <v>17.127968437803599</v>
      </c>
      <c r="AL5331">
        <v>80.245244033442205</v>
      </c>
      <c r="AM5331">
        <v>99.311644361798997</v>
      </c>
      <c r="AN5331">
        <v>0.999999931601387</v>
      </c>
    </row>
    <row r="5332" spans="1:40" x14ac:dyDescent="0.25">
      <c r="A5332" t="str">
        <f>"20190304155742497"</f>
        <v>20190304155742497</v>
      </c>
      <c r="B5332" t="str">
        <f>"1551686262490069"</f>
        <v>1551686262490069</v>
      </c>
      <c r="C5332" t="s">
        <v>40</v>
      </c>
      <c r="D5332">
        <v>4.4195640000000003</v>
      </c>
      <c r="E5332">
        <v>0.4405403</v>
      </c>
      <c r="F5332" t="s">
        <v>41</v>
      </c>
      <c r="G5332">
        <v>-399.79739999999998</v>
      </c>
      <c r="H5332" s="1">
        <v>-7.018683E-7</v>
      </c>
      <c r="I5332">
        <v>17.211479999999899</v>
      </c>
      <c r="J5332">
        <v>-414.9119</v>
      </c>
      <c r="K5332">
        <v>1.1196520000000001</v>
      </c>
      <c r="L5332">
        <v>26.355499999999999</v>
      </c>
      <c r="M5332">
        <v>0.66194770000000003</v>
      </c>
      <c r="N5332">
        <v>-1.3554139999999999E-2</v>
      </c>
      <c r="O5332">
        <v>-0.74942749999999902</v>
      </c>
      <c r="P5332">
        <v>0.76156109999999999</v>
      </c>
      <c r="Q5332">
        <v>0.16018740000000001</v>
      </c>
      <c r="R5332">
        <v>-0.62798489999999996</v>
      </c>
      <c r="S5332">
        <v>2.65387</v>
      </c>
      <c r="T5332">
        <v>-0.19546540000000001</v>
      </c>
      <c r="U5332">
        <v>-1.612274</v>
      </c>
      <c r="V5332">
        <v>-0.1591042</v>
      </c>
      <c r="W5332">
        <v>0.16967850000000001</v>
      </c>
      <c r="X5332">
        <v>0.97257139999999997</v>
      </c>
      <c r="Y5332">
        <v>-0.29560120000000001</v>
      </c>
      <c r="Z5332">
        <v>4.4609580000000003E-2</v>
      </c>
      <c r="AA5332">
        <v>0.95426929999999999</v>
      </c>
      <c r="AB5332">
        <v>28</v>
      </c>
      <c r="AC5332">
        <v>15.1145</v>
      </c>
      <c r="AD5332">
        <v>-1.1196527018683</v>
      </c>
      <c r="AE5332">
        <v>-9.1440199999999994</v>
      </c>
      <c r="AF5332">
        <v>-5.2537378825030903</v>
      </c>
      <c r="AG5332">
        <v>-1.1196527018683</v>
      </c>
      <c r="AH5332">
        <v>16.791879992381599</v>
      </c>
      <c r="AI5332">
        <v>93.641178975568906</v>
      </c>
      <c r="AJ5332">
        <v>107.373529867432</v>
      </c>
      <c r="AK5332">
        <v>17.630162154370399</v>
      </c>
      <c r="AL5332">
        <v>80.230873435258999</v>
      </c>
      <c r="AM5332">
        <v>99.290792830338006</v>
      </c>
      <c r="AN5332">
        <v>1.0000000339589199</v>
      </c>
    </row>
    <row r="5333" spans="1:40" x14ac:dyDescent="0.25">
      <c r="A5333" t="str">
        <f>"20190304155742508"</f>
        <v>20190304155742508</v>
      </c>
      <c r="B5333" t="str">
        <f>"1551686262499829"</f>
        <v>1551686262499829</v>
      </c>
      <c r="C5333" t="s">
        <v>40</v>
      </c>
      <c r="D5333">
        <v>4.4188429999999999</v>
      </c>
      <c r="E5333">
        <v>0.43989660000000003</v>
      </c>
      <c r="F5333" t="s">
        <v>41</v>
      </c>
      <c r="G5333">
        <v>-399.5317</v>
      </c>
      <c r="H5333" s="1">
        <v>-8.0792490000000004E-7</v>
      </c>
      <c r="I5333">
        <v>17.196339999999999</v>
      </c>
      <c r="J5333">
        <v>-414.81869999999998</v>
      </c>
      <c r="K5333">
        <v>1.1196520000000001</v>
      </c>
      <c r="L5333">
        <v>26.258389999999999</v>
      </c>
      <c r="M5333">
        <v>0.66649599999999998</v>
      </c>
      <c r="N5333">
        <v>-1.3551290000000001E-2</v>
      </c>
      <c r="O5333">
        <v>-0.74538559999999998</v>
      </c>
      <c r="P5333">
        <v>0.76510889999999998</v>
      </c>
      <c r="Q5333">
        <v>0.160248</v>
      </c>
      <c r="R5333">
        <v>-0.62364209999999998</v>
      </c>
      <c r="S5333">
        <v>2.6693730000000002</v>
      </c>
      <c r="T5333">
        <v>-0.19432650000000001</v>
      </c>
      <c r="U5333">
        <v>-1.589661</v>
      </c>
      <c r="V5333">
        <v>-0.15870999999999999</v>
      </c>
      <c r="W5333">
        <v>0.16974710000000001</v>
      </c>
      <c r="X5333">
        <v>0.97262380000000004</v>
      </c>
      <c r="Y5333">
        <v>-0.29821300000000001</v>
      </c>
      <c r="Z5333">
        <v>4.4199000000000002E-2</v>
      </c>
      <c r="AA5333">
        <v>0.95347550000000003</v>
      </c>
      <c r="AB5333">
        <v>28</v>
      </c>
      <c r="AC5333">
        <v>15.2869999999999</v>
      </c>
      <c r="AD5333">
        <v>-1.1196528079249</v>
      </c>
      <c r="AE5333">
        <v>-9.0620499999999993</v>
      </c>
      <c r="AF5333">
        <v>-5.3342065022259204</v>
      </c>
      <c r="AG5333">
        <v>-1.1196528079249</v>
      </c>
      <c r="AH5333">
        <v>16.8780024155568</v>
      </c>
      <c r="AI5333">
        <v>93.619372068505101</v>
      </c>
      <c r="AJ5333">
        <v>107.538874900284</v>
      </c>
      <c r="AK5333">
        <v>17.736243879644501</v>
      </c>
      <c r="AL5333">
        <v>80.226884745110496</v>
      </c>
      <c r="AM5333">
        <v>99.267683039857999</v>
      </c>
      <c r="AN5333">
        <v>0.99999999919242399</v>
      </c>
    </row>
    <row r="5334" spans="1:40" x14ac:dyDescent="0.25">
      <c r="A5334" t="str">
        <f>"20190304155742520"</f>
        <v>20190304155742520</v>
      </c>
      <c r="B5334" t="str">
        <f>"1551686262510566"</f>
        <v>1551686262510566</v>
      </c>
      <c r="C5334" t="s">
        <v>40</v>
      </c>
      <c r="D5334">
        <v>4.4260789999999997</v>
      </c>
      <c r="E5334">
        <v>0.43928479999999998</v>
      </c>
      <c r="F5334" t="s">
        <v>41</v>
      </c>
      <c r="G5334">
        <v>-399.41239999999999</v>
      </c>
      <c r="H5334" s="1">
        <v>-8.4370209999999996E-7</v>
      </c>
      <c r="I5334">
        <v>17.23404</v>
      </c>
      <c r="J5334">
        <v>-414.72519999999997</v>
      </c>
      <c r="K5334">
        <v>1.119653</v>
      </c>
      <c r="L5334">
        <v>26.162960000000002</v>
      </c>
      <c r="M5334">
        <v>0.67098800000000003</v>
      </c>
      <c r="N5334">
        <v>-1.3548650000000001E-2</v>
      </c>
      <c r="O5334">
        <v>-0.74134469999999997</v>
      </c>
      <c r="P5334">
        <v>0.76867569999999996</v>
      </c>
      <c r="Q5334">
        <v>0.16044</v>
      </c>
      <c r="R5334">
        <v>-0.61919080000000004</v>
      </c>
      <c r="S5334">
        <v>2.681549</v>
      </c>
      <c r="T5334">
        <v>-0.194882</v>
      </c>
      <c r="U5334">
        <v>-1.57074</v>
      </c>
      <c r="V5334">
        <v>-0.158451799999999</v>
      </c>
      <c r="W5334">
        <v>0.1699426</v>
      </c>
      <c r="X5334">
        <v>0.97263180000000005</v>
      </c>
      <c r="Y5334">
        <v>-0.29933959999999998</v>
      </c>
      <c r="Z5334">
        <v>4.4221950000000003E-2</v>
      </c>
      <c r="AA5334">
        <v>0.95312129999999995</v>
      </c>
      <c r="AB5334">
        <v>28</v>
      </c>
      <c r="AC5334">
        <v>15.3127999999999</v>
      </c>
      <c r="AD5334">
        <v>-1.1196538437021</v>
      </c>
      <c r="AE5334">
        <v>-8.9289199999999997</v>
      </c>
      <c r="AF5334">
        <v>-5.3400501809009899</v>
      </c>
      <c r="AG5334">
        <v>-1.1196538437021</v>
      </c>
      <c r="AH5334">
        <v>16.8285173595009</v>
      </c>
      <c r="AI5334">
        <v>93.628659990323996</v>
      </c>
      <c r="AJ5334">
        <v>107.605351500099</v>
      </c>
      <c r="AK5334">
        <v>17.690923016713398</v>
      </c>
      <c r="AL5334">
        <v>80.215518670870793</v>
      </c>
      <c r="AM5334">
        <v>99.252791952492103</v>
      </c>
      <c r="AN5334">
        <v>1.00000003929461</v>
      </c>
    </row>
    <row r="5335" spans="1:40" x14ac:dyDescent="0.25">
      <c r="A5335" t="str">
        <f>"20190304155742530"</f>
        <v>20190304155742530</v>
      </c>
      <c r="B5335" t="str">
        <f>"1551686262520326"</f>
        <v>1551686262520326</v>
      </c>
      <c r="C5335" t="s">
        <v>40</v>
      </c>
      <c r="D5335">
        <v>4.4229789999999998</v>
      </c>
      <c r="E5335">
        <v>0.43907649999999998</v>
      </c>
      <c r="F5335" t="s">
        <v>41</v>
      </c>
      <c r="G5335">
        <v>-399.0095</v>
      </c>
      <c r="H5335" s="1">
        <v>-1.0310599999999999E-6</v>
      </c>
      <c r="I5335">
        <v>17.111419999999999</v>
      </c>
      <c r="J5335">
        <v>-414.63409999999999</v>
      </c>
      <c r="K5335">
        <v>1.1196520000000001</v>
      </c>
      <c r="L5335">
        <v>26.070039999999999</v>
      </c>
      <c r="M5335">
        <v>0.6753401</v>
      </c>
      <c r="N5335">
        <v>-1.354612E-2</v>
      </c>
      <c r="O5335">
        <v>-0.73738219999999899</v>
      </c>
      <c r="P5335">
        <v>0.77205880000000005</v>
      </c>
      <c r="Q5335">
        <v>0.16069510000000001</v>
      </c>
      <c r="R5335">
        <v>-0.61490089999999997</v>
      </c>
      <c r="S5335">
        <v>2.6933289999999999</v>
      </c>
      <c r="T5335">
        <v>-0.19188440000000001</v>
      </c>
      <c r="U5335">
        <v>-1.551239</v>
      </c>
      <c r="V5335">
        <v>-0.15810879999999999</v>
      </c>
      <c r="W5335">
        <v>0.17020389999999999</v>
      </c>
      <c r="X5335">
        <v>0.97264189999999995</v>
      </c>
      <c r="Y5335">
        <v>-0.30075299999999999</v>
      </c>
      <c r="Z5335">
        <v>4.3304019999999999E-2</v>
      </c>
      <c r="AA5335">
        <v>0.95271839999999997</v>
      </c>
      <c r="AB5335">
        <v>28</v>
      </c>
      <c r="AC5335">
        <v>15.6245999999999</v>
      </c>
      <c r="AD5335">
        <v>-1.1196530310599999</v>
      </c>
      <c r="AE5335">
        <v>-8.9586199999999891</v>
      </c>
      <c r="AF5335">
        <v>-5.4506233784979701</v>
      </c>
      <c r="AG5335">
        <v>-1.1196530310599999</v>
      </c>
      <c r="AH5335">
        <v>17.093358833327599</v>
      </c>
      <c r="AI5335">
        <v>93.570984907764498</v>
      </c>
      <c r="AJ5335">
        <v>107.686116990371</v>
      </c>
      <c r="AK5335">
        <v>17.976257517322399</v>
      </c>
      <c r="AL5335">
        <v>80.200325686917097</v>
      </c>
      <c r="AM5335">
        <v>99.2330135706828</v>
      </c>
      <c r="AN5335">
        <v>1.00000001292412</v>
      </c>
    </row>
    <row r="5336" spans="1:40" x14ac:dyDescent="0.25">
      <c r="A5336" t="str">
        <f>"20190304155742540"</f>
        <v>20190304155742540</v>
      </c>
      <c r="B5336" t="str">
        <f>"1551686262530086"</f>
        <v>1551686262530086</v>
      </c>
      <c r="C5336" t="s">
        <v>40</v>
      </c>
      <c r="D5336">
        <v>4.3912940000000003</v>
      </c>
      <c r="E5336">
        <v>0.43911929999999999</v>
      </c>
      <c r="F5336" t="s">
        <v>41</v>
      </c>
      <c r="G5336">
        <v>-398.79270000000002</v>
      </c>
      <c r="H5336" s="1">
        <v>-1.1237660000000001E-6</v>
      </c>
      <c r="I5336">
        <v>17.075939999999999</v>
      </c>
      <c r="J5336">
        <v>-414.5342</v>
      </c>
      <c r="K5336">
        <v>1.1196520000000001</v>
      </c>
      <c r="L5336">
        <v>25.970549999999999</v>
      </c>
      <c r="M5336">
        <v>0.68002850000000004</v>
      </c>
      <c r="N5336">
        <v>-1.3543619999999999E-2</v>
      </c>
      <c r="O5336">
        <v>-0.73306079999999996</v>
      </c>
      <c r="P5336">
        <v>0.77572010000000002</v>
      </c>
      <c r="Q5336">
        <v>0.16079489999999999</v>
      </c>
      <c r="R5336">
        <v>-0.61024869999999898</v>
      </c>
      <c r="S5336">
        <v>2.7031860000000001</v>
      </c>
      <c r="T5336">
        <v>-0.19105839999999999</v>
      </c>
      <c r="U5336">
        <v>-1.5347599999999999</v>
      </c>
      <c r="V5336">
        <v>-0.15773889999999999</v>
      </c>
      <c r="W5336">
        <v>0.17031099999999999</v>
      </c>
      <c r="X5336">
        <v>0.97268319999999997</v>
      </c>
      <c r="Y5336">
        <v>-0.30057230000000001</v>
      </c>
      <c r="Z5336">
        <v>4.2919180000000001E-2</v>
      </c>
      <c r="AA5336">
        <v>0.9527928</v>
      </c>
      <c r="AB5336">
        <v>28</v>
      </c>
      <c r="AC5336">
        <v>15.741499999999901</v>
      </c>
      <c r="AD5336">
        <v>-1.1196531237659999</v>
      </c>
      <c r="AE5336">
        <v>-8.8946100000000001</v>
      </c>
      <c r="AF5336">
        <v>-5.47041323334801</v>
      </c>
      <c r="AG5336">
        <v>-1.1196531237659999</v>
      </c>
      <c r="AH5336">
        <v>17.160728155700301</v>
      </c>
      <c r="AI5336">
        <v>93.557103612936402</v>
      </c>
      <c r="AJ5336">
        <v>107.680987663355</v>
      </c>
      <c r="AK5336">
        <v>18.0463191508682</v>
      </c>
      <c r="AL5336">
        <v>80.194098284108307</v>
      </c>
      <c r="AM5336">
        <v>99.211398991109107</v>
      </c>
      <c r="AN5336">
        <v>1.0000000024282201</v>
      </c>
    </row>
    <row r="5337" spans="1:40" x14ac:dyDescent="0.25">
      <c r="A5337" t="str">
        <f>"20190304155742551"</f>
        <v>20190304155742551</v>
      </c>
      <c r="B5337" t="str">
        <f>"1551686262539846"</f>
        <v>1551686262539846</v>
      </c>
      <c r="C5337" t="s">
        <v>40</v>
      </c>
      <c r="D5337">
        <v>4.4536170000000004</v>
      </c>
      <c r="E5337">
        <v>0.4391834</v>
      </c>
      <c r="F5337" t="s">
        <v>41</v>
      </c>
      <c r="G5337">
        <v>-398.74779999999998</v>
      </c>
      <c r="H5337" s="1">
        <v>-1.1273950000000001E-6</v>
      </c>
      <c r="I5337">
        <v>17.127040000000001</v>
      </c>
      <c r="J5337">
        <v>-414.44619999999998</v>
      </c>
      <c r="K5337">
        <v>1.119656</v>
      </c>
      <c r="L5337">
        <v>25.883150000000001</v>
      </c>
      <c r="M5337">
        <v>0.68412720000000005</v>
      </c>
      <c r="N5337">
        <v>-1.354146E-2</v>
      </c>
      <c r="O5337">
        <v>-0.72923709999999997</v>
      </c>
      <c r="P5337">
        <v>0.77889489999999995</v>
      </c>
      <c r="Q5337">
        <v>0.1605317</v>
      </c>
      <c r="R5337">
        <v>-0.60626080000000004</v>
      </c>
      <c r="S5337">
        <v>2.712097</v>
      </c>
      <c r="T5337">
        <v>-0.19235679999999999</v>
      </c>
      <c r="U5337">
        <v>-1.5193179999999999</v>
      </c>
      <c r="V5337">
        <v>-0.15730810000000001</v>
      </c>
      <c r="W5337">
        <v>0.17005819999999999</v>
      </c>
      <c r="X5337">
        <v>0.97279720000000003</v>
      </c>
      <c r="Y5337">
        <v>-0.30067569999999999</v>
      </c>
      <c r="Z5337">
        <v>4.3132320000000002E-2</v>
      </c>
      <c r="AA5337">
        <v>0.9527506</v>
      </c>
      <c r="AB5337">
        <v>28</v>
      </c>
      <c r="AC5337">
        <v>15.6983999999999</v>
      </c>
      <c r="AD5337">
        <v>-1.119657127395</v>
      </c>
      <c r="AE5337">
        <v>-8.7561099999999996</v>
      </c>
      <c r="AF5337">
        <v>-5.43696782483023</v>
      </c>
      <c r="AG5337">
        <v>-1.119657127395</v>
      </c>
      <c r="AH5337">
        <v>17.060359268897901</v>
      </c>
      <c r="AI5337">
        <v>93.578076970807999</v>
      </c>
      <c r="AJ5337">
        <v>107.67656612490801</v>
      </c>
      <c r="AK5337">
        <v>17.9407388252278</v>
      </c>
      <c r="AL5337">
        <v>80.208797165245798</v>
      </c>
      <c r="AM5337">
        <v>99.185613091579995</v>
      </c>
      <c r="AN5337">
        <v>1.00000001102034</v>
      </c>
    </row>
    <row r="5338" spans="1:40" x14ac:dyDescent="0.25">
      <c r="A5338" t="str">
        <f>"20190304155742561"</f>
        <v>20190304155742561</v>
      </c>
      <c r="B5338" t="str">
        <f>"1551686262550582"</f>
        <v>1551686262550582</v>
      </c>
      <c r="C5338" t="s">
        <v>40</v>
      </c>
      <c r="D5338">
        <v>4.4382419999999998</v>
      </c>
      <c r="E5338">
        <v>0.43929309999999999</v>
      </c>
      <c r="F5338" t="s">
        <v>41</v>
      </c>
      <c r="G5338">
        <v>-398.79790000000003</v>
      </c>
      <c r="H5338" s="1">
        <v>-1.0837629999999999E-6</v>
      </c>
      <c r="I5338">
        <v>17.218859999999999</v>
      </c>
      <c r="J5338">
        <v>-414.3503</v>
      </c>
      <c r="K5338">
        <v>1.1196549999999901</v>
      </c>
      <c r="L5338">
        <v>25.789860000000001</v>
      </c>
      <c r="M5338">
        <v>0.68852659999999999</v>
      </c>
      <c r="N5338">
        <v>-1.3539249999999999E-2</v>
      </c>
      <c r="O5338">
        <v>-0.72508499999999998</v>
      </c>
      <c r="P5338">
        <v>0.78223039999999999</v>
      </c>
      <c r="Q5338">
        <v>0.16059670000000001</v>
      </c>
      <c r="R5338">
        <v>-0.60193430000000003</v>
      </c>
      <c r="S5338">
        <v>2.7196349999999998</v>
      </c>
      <c r="T5338">
        <v>-0.1945933</v>
      </c>
      <c r="U5338">
        <v>-1.5058290000000001</v>
      </c>
      <c r="V5338">
        <v>-0.15680549999999999</v>
      </c>
      <c r="W5338">
        <v>0.17013439999999999</v>
      </c>
      <c r="X5338">
        <v>0.97286499999999998</v>
      </c>
      <c r="Y5338">
        <v>-0.29961569999999998</v>
      </c>
      <c r="Z5338">
        <v>4.3550140000000001E-2</v>
      </c>
      <c r="AA5338">
        <v>0.95306550000000001</v>
      </c>
      <c r="AB5338">
        <v>28</v>
      </c>
      <c r="AC5338">
        <v>15.552399999999899</v>
      </c>
      <c r="AD5338">
        <v>-1.1196560837630001</v>
      </c>
      <c r="AE5338">
        <v>-8.5709999999999997</v>
      </c>
      <c r="AF5338">
        <v>-5.3546546114644498</v>
      </c>
      <c r="AG5338">
        <v>-1.1196560837630001</v>
      </c>
      <c r="AH5338">
        <v>16.8574753092126</v>
      </c>
      <c r="AI5338">
        <v>93.6221157610928</v>
      </c>
      <c r="AJ5338">
        <v>107.62207234856101</v>
      </c>
      <c r="AK5338">
        <v>17.7228787039436</v>
      </c>
      <c r="AL5338">
        <v>80.204366490430402</v>
      </c>
      <c r="AM5338">
        <v>99.156135635389106</v>
      </c>
      <c r="AN5338">
        <v>0.99999999355930402</v>
      </c>
    </row>
    <row r="5339" spans="1:40" x14ac:dyDescent="0.25">
      <c r="A5339" t="str">
        <f>"20190304155742573"</f>
        <v>20190304155742573</v>
      </c>
      <c r="B5339" t="str">
        <f>"1551686262570102"</f>
        <v>1551686262570102</v>
      </c>
      <c r="C5339" t="s">
        <v>40</v>
      </c>
      <c r="D5339">
        <v>4.4308009999999998</v>
      </c>
      <c r="E5339">
        <v>0.43972810000000001</v>
      </c>
      <c r="F5339" t="s">
        <v>41</v>
      </c>
      <c r="G5339">
        <v>-398.70100000000002</v>
      </c>
      <c r="H5339" s="1">
        <v>-1.1163189999999999E-6</v>
      </c>
      <c r="I5339">
        <v>17.236339999999998</v>
      </c>
      <c r="J5339">
        <v>-414.25139999999999</v>
      </c>
      <c r="K5339">
        <v>1.119651</v>
      </c>
      <c r="L5339">
        <v>25.69406</v>
      </c>
      <c r="M5339">
        <v>0.69302819999999898</v>
      </c>
      <c r="N5339">
        <v>-1.353704E-2</v>
      </c>
      <c r="O5339">
        <v>-0.72078339999999996</v>
      </c>
      <c r="P5339">
        <v>0.78582189999999996</v>
      </c>
      <c r="Q5339">
        <v>0.16074289999999999</v>
      </c>
      <c r="R5339">
        <v>-0.59719840000000002</v>
      </c>
      <c r="S5339">
        <v>2.7279049999999998</v>
      </c>
      <c r="T5339">
        <v>-0.1951717</v>
      </c>
      <c r="U5339">
        <v>-1.4909969999999999</v>
      </c>
      <c r="V5339">
        <v>-0.1566042</v>
      </c>
      <c r="W5339">
        <v>0.17028370000000001</v>
      </c>
      <c r="X5339">
        <v>0.97287129999999999</v>
      </c>
      <c r="Y5339">
        <v>-0.29887839999999999</v>
      </c>
      <c r="Z5339">
        <v>4.3524350000000003E-2</v>
      </c>
      <c r="AA5339">
        <v>0.95329819999999998</v>
      </c>
      <c r="AB5339">
        <v>28</v>
      </c>
      <c r="AC5339">
        <v>15.5504</v>
      </c>
      <c r="AD5339">
        <v>-1.1196521163190001</v>
      </c>
      <c r="AE5339">
        <v>-8.4577200000000001</v>
      </c>
      <c r="AF5339">
        <v>-5.3262128388575096</v>
      </c>
      <c r="AG5339">
        <v>-1.1196521163190001</v>
      </c>
      <c r="AH5339">
        <v>16.8073540204152</v>
      </c>
      <c r="AI5339">
        <v>93.633653695677907</v>
      </c>
      <c r="AJ5339">
        <v>107.583291908718</v>
      </c>
      <c r="AK5339">
        <v>17.666615783277699</v>
      </c>
      <c r="AL5339">
        <v>80.195685524390001</v>
      </c>
      <c r="AM5339">
        <v>99.144521895873396</v>
      </c>
      <c r="AN5339">
        <v>0.99999999015350904</v>
      </c>
    </row>
    <row r="5340" spans="1:40" x14ac:dyDescent="0.25">
      <c r="A5340" t="str">
        <f>"20190304155742586"</f>
        <v>20190304155742586</v>
      </c>
      <c r="B5340" t="str">
        <f>"1551686262580838"</f>
        <v>1551686262580838</v>
      </c>
      <c r="C5340" t="s">
        <v>40</v>
      </c>
      <c r="D5340">
        <v>4.3960610000000004</v>
      </c>
      <c r="E5340">
        <v>0.43993070000000001</v>
      </c>
      <c r="F5340" t="s">
        <v>41</v>
      </c>
      <c r="G5340">
        <v>-398.68340000000001</v>
      </c>
      <c r="H5340" s="1">
        <v>-1.110738E-6</v>
      </c>
      <c r="I5340">
        <v>17.28267</v>
      </c>
      <c r="J5340">
        <v>-414.12779999999998</v>
      </c>
      <c r="K5340">
        <v>1.11965</v>
      </c>
      <c r="L5340">
        <v>25.576419999999999</v>
      </c>
      <c r="M5340">
        <v>0.69856949999999995</v>
      </c>
      <c r="N5340">
        <v>-1.353451E-2</v>
      </c>
      <c r="O5340">
        <v>-0.7154142</v>
      </c>
      <c r="P5340">
        <v>0.79005630000000004</v>
      </c>
      <c r="Q5340">
        <v>0.1610047</v>
      </c>
      <c r="R5340">
        <v>-0.59151339999999997</v>
      </c>
      <c r="S5340">
        <v>2.7348940000000002</v>
      </c>
      <c r="T5340">
        <v>-0.1966937</v>
      </c>
      <c r="U5340">
        <v>-1.4776609999999999</v>
      </c>
      <c r="V5340">
        <v>-0.15608129999999901</v>
      </c>
      <c r="W5340">
        <v>0.17055719999999999</v>
      </c>
      <c r="X5340">
        <v>0.97290739999999998</v>
      </c>
      <c r="Y5340">
        <v>-0.2961182</v>
      </c>
      <c r="Z5340">
        <v>4.3652360000000001E-2</v>
      </c>
      <c r="AA5340">
        <v>0.95415329999999998</v>
      </c>
      <c r="AB5340">
        <v>28</v>
      </c>
      <c r="AC5340">
        <v>15.4443999999999</v>
      </c>
      <c r="AD5340">
        <v>-1.1196511107380001</v>
      </c>
      <c r="AE5340">
        <v>-8.2937499999999993</v>
      </c>
      <c r="AF5340">
        <v>-5.2345107859680704</v>
      </c>
      <c r="AG5340">
        <v>-1.1196511107380001</v>
      </c>
      <c r="AH5340">
        <v>16.656040900989598</v>
      </c>
      <c r="AI5340">
        <v>93.669328621569093</v>
      </c>
      <c r="AJ5340">
        <v>107.44642163018599</v>
      </c>
      <c r="AK5340">
        <v>17.495068455814401</v>
      </c>
      <c r="AL5340">
        <v>80.179782288371996</v>
      </c>
      <c r="AM5340">
        <v>99.114169252022293</v>
      </c>
      <c r="AN5340">
        <v>0.99999996982814399</v>
      </c>
    </row>
    <row r="5341" spans="1:40" x14ac:dyDescent="0.25">
      <c r="A5341" t="str">
        <f>"20190304155742600"</f>
        <v>20190304155742600</v>
      </c>
      <c r="B5341" t="str">
        <f>"1551686262590598"</f>
        <v>1551686262590598</v>
      </c>
      <c r="C5341" t="s">
        <v>40</v>
      </c>
      <c r="D5341">
        <v>4.4507589999999997</v>
      </c>
      <c r="E5341">
        <v>0.44007079999999998</v>
      </c>
      <c r="F5341" t="s">
        <v>41</v>
      </c>
      <c r="G5341">
        <v>-398.47840000000002</v>
      </c>
      <c r="H5341" s="1">
        <v>-1.19671E-6</v>
      </c>
      <c r="I5341">
        <v>17.25544</v>
      </c>
      <c r="J5341">
        <v>-414.00990000000002</v>
      </c>
      <c r="K5341">
        <v>1.119648</v>
      </c>
      <c r="L5341">
        <v>25.466059999999999</v>
      </c>
      <c r="M5341">
        <v>0.70377389999999995</v>
      </c>
      <c r="N5341">
        <v>-1.353217E-2</v>
      </c>
      <c r="O5341">
        <v>-0.71029529999999996</v>
      </c>
      <c r="P5341">
        <v>0.79399849999999905</v>
      </c>
      <c r="Q5341">
        <v>0.16129660000000001</v>
      </c>
      <c r="R5341">
        <v>-0.58613149999999903</v>
      </c>
      <c r="S5341">
        <v>2.7446290000000002</v>
      </c>
      <c r="T5341">
        <v>-0.19636680000000001</v>
      </c>
      <c r="U5341">
        <v>-1.4593510000000001</v>
      </c>
      <c r="V5341">
        <v>-0.155552</v>
      </c>
      <c r="W5341">
        <v>0.17086119999999999</v>
      </c>
      <c r="X5341">
        <v>0.97293890000000005</v>
      </c>
      <c r="Y5341">
        <v>-0.29552149999999999</v>
      </c>
      <c r="Z5341">
        <v>4.335866E-2</v>
      </c>
      <c r="AA5341">
        <v>0.95435170000000002</v>
      </c>
      <c r="AB5341">
        <v>28</v>
      </c>
      <c r="AC5341">
        <v>15.5314999999999</v>
      </c>
      <c r="AD5341">
        <v>-1.11964919671</v>
      </c>
      <c r="AE5341">
        <v>-8.2106199999999898</v>
      </c>
      <c r="AF5341">
        <v>-5.2327578925763998</v>
      </c>
      <c r="AG5341">
        <v>-1.11964919671</v>
      </c>
      <c r="AH5341">
        <v>16.696346378224298</v>
      </c>
      <c r="AI5341">
        <v>93.661389479477194</v>
      </c>
      <c r="AJ5341">
        <v>107.401375198547</v>
      </c>
      <c r="AK5341">
        <v>17.532921943237401</v>
      </c>
      <c r="AL5341">
        <v>80.162105577126297</v>
      </c>
      <c r="AM5341">
        <v>99.08348843473</v>
      </c>
      <c r="AN5341">
        <v>1.0000000387513199</v>
      </c>
    </row>
    <row r="5342" spans="1:40" x14ac:dyDescent="0.25">
      <c r="A5342" t="str">
        <f>"20190304155742614"</f>
        <v>20190304155742614</v>
      </c>
      <c r="B5342" t="str">
        <f>"1551686262610118"</f>
        <v>1551686262610118</v>
      </c>
      <c r="C5342" t="s">
        <v>40</v>
      </c>
      <c r="D5342">
        <v>4.4309430000000001</v>
      </c>
      <c r="E5342">
        <v>0.44052799999999998</v>
      </c>
      <c r="F5342" t="s">
        <v>41</v>
      </c>
      <c r="G5342">
        <v>-398.25920000000002</v>
      </c>
      <c r="H5342" s="1">
        <v>-1.290377E-6</v>
      </c>
      <c r="I5342">
        <v>17.21978</v>
      </c>
      <c r="J5342">
        <v>-413.88420000000002</v>
      </c>
      <c r="K5342">
        <v>1.119642</v>
      </c>
      <c r="L5342">
        <v>25.349699999999999</v>
      </c>
      <c r="M5342">
        <v>0.70925300000000002</v>
      </c>
      <c r="N5342">
        <v>-1.352973E-2</v>
      </c>
      <c r="O5342">
        <v>-0.70482409999999995</v>
      </c>
      <c r="P5342">
        <v>0.79826929999999996</v>
      </c>
      <c r="Q5342">
        <v>0.16135559999999999</v>
      </c>
      <c r="R5342">
        <v>-0.58028469999999999</v>
      </c>
      <c r="S5342">
        <v>2.753784</v>
      </c>
      <c r="T5342">
        <v>-0.19575409999999999</v>
      </c>
      <c r="U5342">
        <v>-1.4417420000000001</v>
      </c>
      <c r="V5342">
        <v>-0.1551534</v>
      </c>
      <c r="W5342">
        <v>0.17092929999999901</v>
      </c>
      <c r="X5342">
        <v>0.97299049999999998</v>
      </c>
      <c r="Y5342">
        <v>-0.29423319999999997</v>
      </c>
      <c r="Z5342">
        <v>4.2957799999999997E-2</v>
      </c>
      <c r="AA5342">
        <v>0.95476780000000006</v>
      </c>
      <c r="AB5342">
        <v>28</v>
      </c>
      <c r="AC5342">
        <v>15.625</v>
      </c>
      <c r="AD5342">
        <v>-1.1196432903769999</v>
      </c>
      <c r="AE5342">
        <v>-8.1299199999999896</v>
      </c>
      <c r="AF5342">
        <v>-5.2260695209891397</v>
      </c>
      <c r="AG5342">
        <v>-1.1196432903769999</v>
      </c>
      <c r="AH5342">
        <v>16.7461140132738</v>
      </c>
      <c r="AI5342">
        <v>93.651898989796194</v>
      </c>
      <c r="AJ5342">
        <v>107.331918711806</v>
      </c>
      <c r="AK5342">
        <v>17.578331498793101</v>
      </c>
      <c r="AL5342">
        <v>80.1581446769313</v>
      </c>
      <c r="AM5342">
        <v>99.060126177645401</v>
      </c>
      <c r="AN5342">
        <v>0.99999995811014897</v>
      </c>
    </row>
    <row r="5343" spans="1:40" x14ac:dyDescent="0.25">
      <c r="A5343" t="str">
        <f>"20190304155742628"</f>
        <v>20190304155742628</v>
      </c>
      <c r="B5343" t="str">
        <f>"1551686262619878"</f>
        <v>1551686262619878</v>
      </c>
      <c r="C5343" t="s">
        <v>40</v>
      </c>
      <c r="D5343">
        <v>4.4328599999999998</v>
      </c>
      <c r="E5343">
        <v>0.44074540000000001</v>
      </c>
      <c r="F5343" t="s">
        <v>41</v>
      </c>
      <c r="G5343">
        <v>-398.16050000000001</v>
      </c>
      <c r="H5343" s="1">
        <v>-1.322467E-6</v>
      </c>
      <c r="I5343">
        <v>17.241540000000001</v>
      </c>
      <c r="J5343">
        <v>-413.7432</v>
      </c>
      <c r="K5343">
        <v>1.119637</v>
      </c>
      <c r="L5343">
        <v>25.221340000000001</v>
      </c>
      <c r="M5343">
        <v>0.7153003</v>
      </c>
      <c r="N5343">
        <v>-1.3526989999999999E-2</v>
      </c>
      <c r="O5343">
        <v>-0.69868640000000004</v>
      </c>
      <c r="P5343">
        <v>0.80255529999999997</v>
      </c>
      <c r="Q5343">
        <v>0.16169239999999999</v>
      </c>
      <c r="R5343">
        <v>-0.57424799999999998</v>
      </c>
      <c r="S5343">
        <v>2.7623899999999999</v>
      </c>
      <c r="T5343">
        <v>-0.19670270000000001</v>
      </c>
      <c r="U5343">
        <v>-1.424469</v>
      </c>
      <c r="V5343">
        <v>-0.1540629</v>
      </c>
      <c r="W5343">
        <v>0.17129249999999999</v>
      </c>
      <c r="X5343">
        <v>0.97309990000000002</v>
      </c>
      <c r="Y5343">
        <v>-0.29192040000000002</v>
      </c>
      <c r="Z5343">
        <v>4.2908880000000003E-2</v>
      </c>
      <c r="AA5343">
        <v>0.95547959999999998</v>
      </c>
      <c r="AB5343">
        <v>28</v>
      </c>
      <c r="AC5343">
        <v>15.5826999999999</v>
      </c>
      <c r="AD5343">
        <v>-1.1196383224669999</v>
      </c>
      <c r="AE5343">
        <v>-7.9797999999999902</v>
      </c>
      <c r="AF5343">
        <v>-5.1588407897063897</v>
      </c>
      <c r="AG5343">
        <v>-1.1196383224669999</v>
      </c>
      <c r="AH5343">
        <v>16.655096137740401</v>
      </c>
      <c r="AI5343">
        <v>93.674206164964701</v>
      </c>
      <c r="AJ5343">
        <v>107.210130993997</v>
      </c>
      <c r="AK5343">
        <v>17.471675810409501</v>
      </c>
      <c r="AL5343">
        <v>80.137023331073806</v>
      </c>
      <c r="AM5343">
        <v>98.996497175786502</v>
      </c>
      <c r="AN5343">
        <v>0.999999956546334</v>
      </c>
    </row>
    <row r="5344" spans="1:40" x14ac:dyDescent="0.25">
      <c r="A5344" t="str">
        <f>"20190304155742640"</f>
        <v>20190304155742640</v>
      </c>
      <c r="B5344" t="str">
        <f>"1551686262630614"</f>
        <v>1551686262630614</v>
      </c>
      <c r="C5344" t="s">
        <v>40</v>
      </c>
      <c r="D5344">
        <v>4.4506959999999998</v>
      </c>
      <c r="E5344">
        <v>0.44095020000000001</v>
      </c>
      <c r="F5344" t="s">
        <v>41</v>
      </c>
      <c r="G5344">
        <v>-397.86849999999998</v>
      </c>
      <c r="H5344" s="1">
        <v>-1.4520349999999999E-6</v>
      </c>
      <c r="I5344">
        <v>17.176079999999999</v>
      </c>
      <c r="J5344">
        <v>-413.64</v>
      </c>
      <c r="K5344">
        <v>1.1196349999999999</v>
      </c>
      <c r="L5344">
        <v>25.129270000000002</v>
      </c>
      <c r="M5344">
        <v>0.71965179999999995</v>
      </c>
      <c r="N5344">
        <v>-1.3524899999999999E-2</v>
      </c>
      <c r="O5344">
        <v>-0.69420360000000003</v>
      </c>
      <c r="P5344">
        <v>0.80580540000000001</v>
      </c>
      <c r="Q5344">
        <v>0.16175039999999999</v>
      </c>
      <c r="R5344">
        <v>-0.569662</v>
      </c>
      <c r="S5344">
        <v>2.772186</v>
      </c>
      <c r="T5344">
        <v>-0.19552149999999999</v>
      </c>
      <c r="U5344">
        <v>-1.404938</v>
      </c>
      <c r="V5344">
        <v>-0.1535222</v>
      </c>
      <c r="W5344">
        <v>0.1713644</v>
      </c>
      <c r="X5344">
        <v>0.9731727</v>
      </c>
      <c r="Y5344">
        <v>-0.292682</v>
      </c>
      <c r="Z5344">
        <v>4.2459009999999998E-2</v>
      </c>
      <c r="AA5344">
        <v>0.95526670000000002</v>
      </c>
      <c r="AB5344">
        <v>28</v>
      </c>
      <c r="AC5344">
        <v>15.7715</v>
      </c>
      <c r="AD5344">
        <v>-1.119636452035</v>
      </c>
      <c r="AE5344">
        <v>-7.9531900000000002</v>
      </c>
      <c r="AF5344">
        <v>-5.2046695247265902</v>
      </c>
      <c r="AG5344">
        <v>-1.119636452035</v>
      </c>
      <c r="AH5344">
        <v>16.805139604399901</v>
      </c>
      <c r="AI5344">
        <v>93.641523368680595</v>
      </c>
      <c r="AJ5344">
        <v>107.208119585337</v>
      </c>
      <c r="AK5344">
        <v>17.628241198988398</v>
      </c>
      <c r="AL5344">
        <v>80.132842009948604</v>
      </c>
      <c r="AM5344">
        <v>98.964776990847696</v>
      </c>
      <c r="AN5344">
        <v>0.99999996375274403</v>
      </c>
    </row>
    <row r="5345" spans="1:40" x14ac:dyDescent="0.25">
      <c r="A5345" t="str">
        <f>"20190304155742651"</f>
        <v>20190304155742651</v>
      </c>
      <c r="B5345" t="str">
        <f>"1551686262640374"</f>
        <v>1551686262640374</v>
      </c>
      <c r="C5345" t="s">
        <v>40</v>
      </c>
      <c r="D5345">
        <v>4.4190259999999997</v>
      </c>
      <c r="E5345">
        <v>0.4412121</v>
      </c>
      <c r="F5345" t="s">
        <v>41</v>
      </c>
      <c r="G5345">
        <v>-397.68360000000001</v>
      </c>
      <c r="H5345" s="1">
        <v>-1.5302679999999999E-6</v>
      </c>
      <c r="I5345">
        <v>17.148969999999998</v>
      </c>
      <c r="J5345">
        <v>-413.53149999999999</v>
      </c>
      <c r="K5345">
        <v>1.119629</v>
      </c>
      <c r="L5345">
        <v>25.03302</v>
      </c>
      <c r="M5345">
        <v>0.72418300000000002</v>
      </c>
      <c r="N5345">
        <v>-1.352273E-2</v>
      </c>
      <c r="O5345">
        <v>-0.68947530000000001</v>
      </c>
      <c r="P5345">
        <v>0.80919370000000002</v>
      </c>
      <c r="Q5345">
        <v>0.1617314</v>
      </c>
      <c r="R5345">
        <v>-0.56484409999999996</v>
      </c>
      <c r="S5345">
        <v>2.7794189999999999</v>
      </c>
      <c r="T5345">
        <v>-0.1950276</v>
      </c>
      <c r="U5345">
        <v>-1.3900760000000001</v>
      </c>
      <c r="V5345">
        <v>-0.15295339999999999</v>
      </c>
      <c r="W5345">
        <v>0.1713596</v>
      </c>
      <c r="X5345">
        <v>0.97326310000000005</v>
      </c>
      <c r="Y5345">
        <v>-0.29151290000000002</v>
      </c>
      <c r="Z5345">
        <v>4.2121869999999999E-2</v>
      </c>
      <c r="AA5345">
        <v>0.95563900000000002</v>
      </c>
      <c r="AB5345">
        <v>28</v>
      </c>
      <c r="AC5345">
        <v>15.8478999999999</v>
      </c>
      <c r="AD5345">
        <v>-1.1196305302680001</v>
      </c>
      <c r="AE5345">
        <v>-7.8840499999999896</v>
      </c>
      <c r="AF5345">
        <v>-5.1969245924820102</v>
      </c>
      <c r="AG5345">
        <v>-1.1196305302680001</v>
      </c>
      <c r="AH5345">
        <v>16.846779375754299</v>
      </c>
      <c r="AI5345">
        <v>93.633780229002895</v>
      </c>
      <c r="AJ5345">
        <v>107.144041466263</v>
      </c>
      <c r="AK5345">
        <v>17.665660844689398</v>
      </c>
      <c r="AL5345">
        <v>80.133121106015395</v>
      </c>
      <c r="AM5345">
        <v>98.931282712966294</v>
      </c>
      <c r="AN5345">
        <v>0.99999995845266398</v>
      </c>
    </row>
    <row r="5346" spans="1:40" x14ac:dyDescent="0.25">
      <c r="A5346" t="str">
        <f>"20190304155742663"</f>
        <v>20190304155742663</v>
      </c>
      <c r="B5346" t="str">
        <f>"1551686262659895"</f>
        <v>1551686262659895</v>
      </c>
      <c r="C5346" t="s">
        <v>40</v>
      </c>
      <c r="D5346">
        <v>4.4451589999999896</v>
      </c>
      <c r="E5346">
        <v>0.4417451</v>
      </c>
      <c r="F5346" t="s">
        <v>41</v>
      </c>
      <c r="G5346">
        <v>-397.53500000000003</v>
      </c>
      <c r="H5346" s="1">
        <v>-1.5891360000000001E-6</v>
      </c>
      <c r="I5346">
        <v>17.142160000000001</v>
      </c>
      <c r="J5346">
        <v>-413.40550000000002</v>
      </c>
      <c r="K5346">
        <v>1.1196170000000001</v>
      </c>
      <c r="L5346">
        <v>24.92343</v>
      </c>
      <c r="M5346">
        <v>0.72935689999999997</v>
      </c>
      <c r="N5346">
        <v>-1.352005E-2</v>
      </c>
      <c r="O5346">
        <v>-0.68399969999999999</v>
      </c>
      <c r="P5346">
        <v>0.81340040000000002</v>
      </c>
      <c r="Q5346">
        <v>0.16142790000000001</v>
      </c>
      <c r="R5346">
        <v>-0.55885659999999904</v>
      </c>
      <c r="S5346">
        <v>2.786743</v>
      </c>
      <c r="T5346">
        <v>-0.19505049999999999</v>
      </c>
      <c r="U5346">
        <v>-1.3746640000000001</v>
      </c>
      <c r="V5346">
        <v>-0.15283379999999999</v>
      </c>
      <c r="W5346">
        <v>0.1710604</v>
      </c>
      <c r="X5346">
        <v>0.97333460000000005</v>
      </c>
      <c r="Y5346">
        <v>-0.28956090000000001</v>
      </c>
      <c r="Z5346">
        <v>4.1865819999999998E-2</v>
      </c>
      <c r="AA5346">
        <v>0.95624359999999997</v>
      </c>
      <c r="AB5346">
        <v>28</v>
      </c>
      <c r="AC5346">
        <v>15.8704999999999</v>
      </c>
      <c r="AD5346">
        <v>-1.119618589136</v>
      </c>
      <c r="AE5346">
        <v>-7.7812699999999904</v>
      </c>
      <c r="AF5346">
        <v>-5.1598648731494299</v>
      </c>
      <c r="AG5346">
        <v>-1.119618589136</v>
      </c>
      <c r="AH5346">
        <v>16.831656029639401</v>
      </c>
      <c r="AI5346">
        <v>93.638959605353804</v>
      </c>
      <c r="AJ5346">
        <v>107.043296495131</v>
      </c>
      <c r="AK5346">
        <v>17.640362694525201</v>
      </c>
      <c r="AL5346">
        <v>80.150521703470801</v>
      </c>
      <c r="AM5346">
        <v>98.923766434188806</v>
      </c>
      <c r="AN5346">
        <v>1.00000003721387</v>
      </c>
    </row>
    <row r="5347" spans="1:40" x14ac:dyDescent="0.25">
      <c r="A5347" t="str">
        <f>"20190304155742675"</f>
        <v>20190304155742675</v>
      </c>
      <c r="B5347" t="str">
        <f>"1551686262670630"</f>
        <v>1551686262670630</v>
      </c>
      <c r="C5347" t="s">
        <v>40</v>
      </c>
      <c r="D5347">
        <v>4.4671120000000002</v>
      </c>
      <c r="E5347">
        <v>0.442056</v>
      </c>
      <c r="F5347" t="s">
        <v>41</v>
      </c>
      <c r="G5347">
        <v>-397.49239999999998</v>
      </c>
      <c r="H5347" s="1">
        <v>-1.595201E-6</v>
      </c>
      <c r="I5347">
        <v>17.195820000000001</v>
      </c>
      <c r="J5347">
        <v>-413.30630000000002</v>
      </c>
      <c r="K5347">
        <v>1.1196060000000001</v>
      </c>
      <c r="L5347">
        <v>24.838170000000002</v>
      </c>
      <c r="M5347">
        <v>0.73337750000000002</v>
      </c>
      <c r="N5347">
        <v>-1.351786E-2</v>
      </c>
      <c r="O5347">
        <v>-0.67968739999999905</v>
      </c>
      <c r="P5347">
        <v>0.81659969999999904</v>
      </c>
      <c r="Q5347">
        <v>0.16128509999999999</v>
      </c>
      <c r="R5347">
        <v>-0.55421299999999996</v>
      </c>
      <c r="S5347">
        <v>2.7947690000000001</v>
      </c>
      <c r="T5347">
        <v>-0.19663539999999999</v>
      </c>
      <c r="U5347">
        <v>-1.357178</v>
      </c>
      <c r="V5347">
        <v>-0.15265279999999901</v>
      </c>
      <c r="W5347">
        <v>0.1709232</v>
      </c>
      <c r="X5347">
        <v>0.97338709999999995</v>
      </c>
      <c r="Y5347">
        <v>-0.28981810000000002</v>
      </c>
      <c r="Z5347">
        <v>4.2116559999999997E-2</v>
      </c>
      <c r="AA5347">
        <v>0.95615459999999997</v>
      </c>
      <c r="AB5347">
        <v>28</v>
      </c>
      <c r="AC5347">
        <v>15.8139</v>
      </c>
      <c r="AD5347">
        <v>-1.1196075952009901</v>
      </c>
      <c r="AE5347">
        <v>-7.6423500000000004</v>
      </c>
      <c r="AF5347">
        <v>-5.1234314818562101</v>
      </c>
      <c r="AG5347">
        <v>-1.1196075952009901</v>
      </c>
      <c r="AH5347">
        <v>16.7255359506029</v>
      </c>
      <c r="AI5347">
        <v>93.6621882162312</v>
      </c>
      <c r="AJ5347">
        <v>107.03107859711901</v>
      </c>
      <c r="AK5347">
        <v>17.528451846966401</v>
      </c>
      <c r="AL5347">
        <v>80.158500136271996</v>
      </c>
      <c r="AM5347">
        <v>98.912894838982993</v>
      </c>
      <c r="AN5347">
        <v>1.0000000320462401</v>
      </c>
    </row>
    <row r="5348" spans="1:40" x14ac:dyDescent="0.25">
      <c r="A5348" t="str">
        <f>"20190304155742686"</f>
        <v>20190304155742686</v>
      </c>
      <c r="B5348" t="str">
        <f>"1551686262680390"</f>
        <v>1551686262680390</v>
      </c>
      <c r="C5348" t="s">
        <v>40</v>
      </c>
      <c r="D5348">
        <v>4.4534580000000004</v>
      </c>
      <c r="E5348">
        <v>0.442056</v>
      </c>
      <c r="F5348" t="s">
        <v>41</v>
      </c>
      <c r="G5348">
        <v>-397.44479999999999</v>
      </c>
      <c r="H5348" s="1">
        <v>-1.611312E-6</v>
      </c>
      <c r="I5348">
        <v>17.231780000000001</v>
      </c>
      <c r="J5348">
        <v>-413.19690000000003</v>
      </c>
      <c r="K5348">
        <v>1.119594</v>
      </c>
      <c r="L5348">
        <v>24.74521</v>
      </c>
      <c r="M5348">
        <v>0.73775800000000002</v>
      </c>
      <c r="N5348">
        <v>-1.351538E-2</v>
      </c>
      <c r="O5348">
        <v>-0.67493019999999904</v>
      </c>
      <c r="P5348">
        <v>0.82029879999999999</v>
      </c>
      <c r="Q5348">
        <v>0.16096299999999999</v>
      </c>
      <c r="R5348">
        <v>-0.54881789999999997</v>
      </c>
      <c r="S5348">
        <v>2.8011469999999998</v>
      </c>
      <c r="T5348">
        <v>-0.19772339999999999</v>
      </c>
      <c r="U5348">
        <v>-1.3432919999999999</v>
      </c>
      <c r="V5348">
        <v>-0.15280629999999901</v>
      </c>
      <c r="W5348">
        <v>0.1705981</v>
      </c>
      <c r="X5348">
        <v>0.97341999999999995</v>
      </c>
      <c r="Y5348">
        <v>-0.28832210000000003</v>
      </c>
      <c r="Z5348">
        <v>4.2164430000000003E-2</v>
      </c>
      <c r="AA5348">
        <v>0.95660469999999997</v>
      </c>
      <c r="AB5348">
        <v>28</v>
      </c>
      <c r="AC5348">
        <v>15.7521</v>
      </c>
      <c r="AD5348">
        <v>-1.119595611312</v>
      </c>
      <c r="AE5348">
        <v>-7.5134299999999996</v>
      </c>
      <c r="AF5348">
        <v>-5.0680813486381302</v>
      </c>
      <c r="AG5348">
        <v>-1.119595611312</v>
      </c>
      <c r="AH5348">
        <v>16.625379371931199</v>
      </c>
      <c r="AI5348">
        <v>93.685674475561001</v>
      </c>
      <c r="AJ5348">
        <v>106.95332060874399</v>
      </c>
      <c r="AK5348">
        <v>17.416721337551401</v>
      </c>
      <c r="AL5348">
        <v>80.177404203394005</v>
      </c>
      <c r="AM5348">
        <v>98.921416410312602</v>
      </c>
      <c r="AN5348">
        <v>0.99999998672164903</v>
      </c>
    </row>
    <row r="5349" spans="1:40" x14ac:dyDescent="0.25">
      <c r="A5349" t="str">
        <f>"20190304155742697"</f>
        <v>20190304155742697</v>
      </c>
      <c r="B5349" t="str">
        <f>"1551686262690150"</f>
        <v>1551686262690150</v>
      </c>
      <c r="C5349" t="s">
        <v>40</v>
      </c>
      <c r="D5349">
        <v>4.4537399999999998</v>
      </c>
      <c r="E5349">
        <v>0.44989790000000002</v>
      </c>
      <c r="F5349" t="s">
        <v>41</v>
      </c>
      <c r="G5349">
        <v>-397.37279999999998</v>
      </c>
      <c r="H5349" s="1">
        <v>-1.63596E-6</v>
      </c>
      <c r="I5349">
        <v>17.284579999999998</v>
      </c>
      <c r="J5349">
        <v>-413.09289999999999</v>
      </c>
      <c r="K5349">
        <v>1.1195820000000001</v>
      </c>
      <c r="L5349">
        <v>24.65814</v>
      </c>
      <c r="M5349">
        <v>0.74186719999999995</v>
      </c>
      <c r="N5349">
        <v>-1.3511260000000001E-2</v>
      </c>
      <c r="O5349">
        <v>-0.67041090000000003</v>
      </c>
      <c r="P5349">
        <v>0.82370529999999997</v>
      </c>
      <c r="Q5349">
        <v>0.1607314</v>
      </c>
      <c r="R5349">
        <v>-0.54376020000000003</v>
      </c>
      <c r="S5349">
        <v>2.8098450000000001</v>
      </c>
      <c r="T5349">
        <v>-0.19880410000000001</v>
      </c>
      <c r="U5349">
        <v>-1.3247679999999999</v>
      </c>
      <c r="V5349">
        <v>-0.1528706</v>
      </c>
      <c r="W5349">
        <v>0.1703646</v>
      </c>
      <c r="X5349">
        <v>0.97345079999999995</v>
      </c>
      <c r="Y5349">
        <v>-0.2887632</v>
      </c>
      <c r="Z5349">
        <v>4.2272850000000001E-2</v>
      </c>
      <c r="AA5349">
        <v>0.95646690000000001</v>
      </c>
      <c r="AB5349">
        <v>28</v>
      </c>
      <c r="AC5349">
        <v>15.7201</v>
      </c>
      <c r="AD5349">
        <v>-1.11958363596</v>
      </c>
      <c r="AE5349">
        <v>-7.3735600000000003</v>
      </c>
      <c r="AF5349">
        <v>-5.0481979109610604</v>
      </c>
      <c r="AG5349">
        <v>-1.11958363596</v>
      </c>
      <c r="AH5349">
        <v>16.538296217916901</v>
      </c>
      <c r="AI5349">
        <v>93.704572745710294</v>
      </c>
      <c r="AJ5349">
        <v>106.97443901681901</v>
      </c>
      <c r="AK5349">
        <v>17.327810348041801</v>
      </c>
      <c r="AL5349">
        <v>80.190981546990002</v>
      </c>
      <c r="AM5349">
        <v>98.924832223203097</v>
      </c>
      <c r="AN5349">
        <v>0.99999998864907902</v>
      </c>
    </row>
    <row r="5350" spans="1:40" x14ac:dyDescent="0.25">
      <c r="A5350" t="str">
        <f>"20190304155742710"</f>
        <v>20190304155742710</v>
      </c>
      <c r="B5350" t="str">
        <f>"1551686262699910"</f>
        <v>1551686262699910</v>
      </c>
      <c r="C5350" t="s">
        <v>40</v>
      </c>
      <c r="D5350">
        <v>4.4615819999999999</v>
      </c>
      <c r="E5350">
        <v>0.4503627</v>
      </c>
      <c r="F5350" t="s">
        <v>41</v>
      </c>
      <c r="G5350">
        <v>-399.09</v>
      </c>
      <c r="H5350" s="1">
        <v>-8.1293459999999897E-7</v>
      </c>
      <c r="I5350">
        <v>17.815049999999999</v>
      </c>
      <c r="J5350">
        <v>-412.96850000000001</v>
      </c>
      <c r="K5350">
        <v>1.119564</v>
      </c>
      <c r="L5350">
        <v>24.5549</v>
      </c>
      <c r="M5350">
        <v>0.74672280000000002</v>
      </c>
      <c r="N5350">
        <v>-1.3505420000000001E-2</v>
      </c>
      <c r="O5350">
        <v>-0.66499839999999999</v>
      </c>
      <c r="P5350">
        <v>0.82780830000000005</v>
      </c>
      <c r="Q5350">
        <v>0.16029760000000001</v>
      </c>
      <c r="R5350">
        <v>-0.53762270000000001</v>
      </c>
      <c r="S5350">
        <v>2.786591</v>
      </c>
      <c r="T5350">
        <v>-0.22279879999999999</v>
      </c>
      <c r="U5350">
        <v>-1.3617859999999999</v>
      </c>
      <c r="V5350">
        <v>-0.15306810000000001</v>
      </c>
      <c r="W5350">
        <v>0.1699252</v>
      </c>
      <c r="X5350">
        <v>0.97349660000000005</v>
      </c>
      <c r="Y5350">
        <v>-0.26803470000000001</v>
      </c>
      <c r="Z5350">
        <v>4.7408980000000003E-2</v>
      </c>
      <c r="AA5350">
        <v>0.96224209999999999</v>
      </c>
      <c r="AB5350">
        <v>28</v>
      </c>
      <c r="AC5350">
        <v>13.878500000000001</v>
      </c>
      <c r="AD5350">
        <v>-1.1195648129346001</v>
      </c>
      <c r="AE5350">
        <v>-6.7398499999999997</v>
      </c>
      <c r="AF5350">
        <v>-4.1747800388856602</v>
      </c>
      <c r="AG5350">
        <v>-1.1195648129346001</v>
      </c>
      <c r="AH5350">
        <v>14.7689662242037</v>
      </c>
      <c r="AI5350">
        <v>94.172157533435893</v>
      </c>
      <c r="AJ5350">
        <v>105.78413655978601</v>
      </c>
      <c r="AK5350">
        <v>15.388455967871099</v>
      </c>
      <c r="AL5350">
        <v>80.216530175702502</v>
      </c>
      <c r="AM5350">
        <v>98.935762994781001</v>
      </c>
      <c r="AN5350">
        <v>1.0000000235221</v>
      </c>
    </row>
    <row r="5351" spans="1:40" x14ac:dyDescent="0.25">
      <c r="A5351" t="str">
        <f>"20190304155742724"</f>
        <v>20190304155742724</v>
      </c>
      <c r="B5351" t="str">
        <f>"1551686262720407"</f>
        <v>1551686262720407</v>
      </c>
      <c r="C5351" t="s">
        <v>40</v>
      </c>
      <c r="D5351">
        <v>4.5358580000000002</v>
      </c>
      <c r="E5351">
        <v>0.4513549</v>
      </c>
      <c r="F5351" t="s">
        <v>41</v>
      </c>
      <c r="G5351">
        <v>-399.11419999999998</v>
      </c>
      <c r="H5351" s="1">
        <v>-7.824638E-7</v>
      </c>
      <c r="I5351">
        <v>17.894649999999999</v>
      </c>
      <c r="J5351">
        <v>-412.83690000000001</v>
      </c>
      <c r="K5351">
        <v>1.1195459999999999</v>
      </c>
      <c r="L5351">
        <v>24.448029999999999</v>
      </c>
      <c r="M5351">
        <v>0.75176269999999901</v>
      </c>
      <c r="N5351">
        <v>-1.34964E-2</v>
      </c>
      <c r="O5351">
        <v>-0.65929559999999998</v>
      </c>
      <c r="P5351">
        <v>0.83200160000000001</v>
      </c>
      <c r="Q5351">
        <v>0.15957569999999999</v>
      </c>
      <c r="R5351">
        <v>-0.53132740000000001</v>
      </c>
      <c r="S5351">
        <v>2.7950740000000001</v>
      </c>
      <c r="T5351">
        <v>-0.2258694</v>
      </c>
      <c r="U5351">
        <v>-1.3436889999999999</v>
      </c>
      <c r="V5351">
        <v>-0.15311250000000001</v>
      </c>
      <c r="W5351">
        <v>0.16920009999999999</v>
      </c>
      <c r="X5351">
        <v>0.97361589999999998</v>
      </c>
      <c r="Y5351">
        <v>-0.2668644</v>
      </c>
      <c r="Z5351">
        <v>4.7856360000000001E-2</v>
      </c>
      <c r="AA5351">
        <v>0.96254519999999999</v>
      </c>
      <c r="AB5351">
        <v>28</v>
      </c>
      <c r="AC5351">
        <v>13.7227</v>
      </c>
      <c r="AD5351">
        <v>-1.1195467824637999</v>
      </c>
      <c r="AE5351">
        <v>-6.5533799999999998</v>
      </c>
      <c r="AF5351">
        <v>-4.0988891789585598</v>
      </c>
      <c r="AG5351">
        <v>-1.1195467824637999</v>
      </c>
      <c r="AH5351">
        <v>14.559253254276699</v>
      </c>
      <c r="AI5351">
        <v>94.233226274173703</v>
      </c>
      <c r="AJ5351">
        <v>105.72358601755199</v>
      </c>
      <c r="AK5351">
        <v>15.1666124372477</v>
      </c>
      <c r="AL5351">
        <v>80.258685710646503</v>
      </c>
      <c r="AM5351">
        <v>98.937235563602101</v>
      </c>
      <c r="AN5351">
        <v>1.0000000161145299</v>
      </c>
    </row>
    <row r="5352" spans="1:40" x14ac:dyDescent="0.25">
      <c r="A5352" t="str">
        <f>"20190304155742736"</f>
        <v>20190304155742736</v>
      </c>
      <c r="B5352" t="str">
        <f>"1551686262730167"</f>
        <v>1551686262730167</v>
      </c>
      <c r="C5352" t="s">
        <v>40</v>
      </c>
      <c r="D5352">
        <v>4.4710210000000004</v>
      </c>
      <c r="E5352">
        <v>0.45192569999999999</v>
      </c>
      <c r="F5352" t="s">
        <v>41</v>
      </c>
      <c r="G5352">
        <v>-399.11070000000001</v>
      </c>
      <c r="H5352" s="1">
        <v>-7.7221649999999897E-7</v>
      </c>
      <c r="I5352">
        <v>17.938199999999998</v>
      </c>
      <c r="J5352">
        <v>-412.71260000000001</v>
      </c>
      <c r="K5352">
        <v>1.1195310000000001</v>
      </c>
      <c r="L5352">
        <v>24.348269999999999</v>
      </c>
      <c r="M5352">
        <v>0.75645689999999999</v>
      </c>
      <c r="N5352">
        <v>-1.3487529999999999E-2</v>
      </c>
      <c r="O5352">
        <v>-0.65390459999999995</v>
      </c>
      <c r="P5352">
        <v>0.83603760000000005</v>
      </c>
      <c r="Q5352">
        <v>0.158918</v>
      </c>
      <c r="R5352">
        <v>-0.52515330000000005</v>
      </c>
      <c r="S5352">
        <v>2.8011780000000002</v>
      </c>
      <c r="T5352">
        <v>-0.22847139999999999</v>
      </c>
      <c r="U5352">
        <v>-1.3284910000000001</v>
      </c>
      <c r="V5352">
        <v>-0.15342140000000001</v>
      </c>
      <c r="W5352">
        <v>0.16853180000000001</v>
      </c>
      <c r="X5352">
        <v>0.97368319999999997</v>
      </c>
      <c r="Y5352">
        <v>-0.26501740000000001</v>
      </c>
      <c r="Z5352">
        <v>4.8183589999999998E-2</v>
      </c>
      <c r="AA5352">
        <v>0.96303899999999998</v>
      </c>
      <c r="AB5352">
        <v>28</v>
      </c>
      <c r="AC5352">
        <v>13.601900000000001</v>
      </c>
      <c r="AD5352">
        <v>-1.1195317722164999</v>
      </c>
      <c r="AE5352">
        <v>-6.4100700000000002</v>
      </c>
      <c r="AF5352">
        <v>-4.0234675179089798</v>
      </c>
      <c r="AG5352">
        <v>-1.1195317722164999</v>
      </c>
      <c r="AH5352">
        <v>14.402304593630801</v>
      </c>
      <c r="AI5352">
        <v>94.281534760634599</v>
      </c>
      <c r="AJ5352">
        <v>105.608383906878</v>
      </c>
      <c r="AK5352">
        <v>14.995600016818001</v>
      </c>
      <c r="AL5352">
        <v>80.297534558048099</v>
      </c>
      <c r="AM5352">
        <v>98.954365332730802</v>
      </c>
      <c r="AN5352">
        <v>1.00000003377571</v>
      </c>
    </row>
    <row r="5353" spans="1:40" x14ac:dyDescent="0.25">
      <c r="A5353" t="str">
        <f>"20190304155742753"</f>
        <v>20190304155742753</v>
      </c>
      <c r="B5353" t="str">
        <f>"1551686262750663"</f>
        <v>1551686262750663</v>
      </c>
      <c r="C5353" t="s">
        <v>40</v>
      </c>
      <c r="D5353">
        <v>4.447546</v>
      </c>
      <c r="E5353">
        <v>0.4525228</v>
      </c>
      <c r="F5353" t="s">
        <v>41</v>
      </c>
      <c r="G5353">
        <v>-398.84730000000002</v>
      </c>
      <c r="H5353" s="1">
        <v>-8.8968649999999998E-7</v>
      </c>
      <c r="I5353">
        <v>17.876899999999999</v>
      </c>
      <c r="J5353">
        <v>-412.55709999999999</v>
      </c>
      <c r="K5353">
        <v>1.119505</v>
      </c>
      <c r="L5353">
        <v>24.225280000000001</v>
      </c>
      <c r="M5353">
        <v>0.76223350000000001</v>
      </c>
      <c r="N5353">
        <v>-1.347605E-2</v>
      </c>
      <c r="O5353">
        <v>-0.64716180000000001</v>
      </c>
      <c r="P5353">
        <v>0.84083619999999903</v>
      </c>
      <c r="Q5353">
        <v>0.15800249999999999</v>
      </c>
      <c r="R5353">
        <v>-0.51771590000000001</v>
      </c>
      <c r="S5353">
        <v>2.8081360000000002</v>
      </c>
      <c r="T5353">
        <v>-0.22673769999999999</v>
      </c>
      <c r="U5353">
        <v>-1.310638</v>
      </c>
      <c r="V5353">
        <v>-0.15349649999999901</v>
      </c>
      <c r="W5353">
        <v>0.16761139999999999</v>
      </c>
      <c r="X5353">
        <v>0.97383019999999998</v>
      </c>
      <c r="Y5353">
        <v>-0.26243699999999998</v>
      </c>
      <c r="Z5353">
        <v>4.7368710000000001E-2</v>
      </c>
      <c r="AA5353">
        <v>0.96378580000000003</v>
      </c>
      <c r="AB5353">
        <v>28</v>
      </c>
      <c r="AC5353">
        <v>13.7097999999999</v>
      </c>
      <c r="AD5353">
        <v>-1.1195058896865</v>
      </c>
      <c r="AE5353">
        <v>-6.3483799999999899</v>
      </c>
      <c r="AF5353">
        <v>-4.0118498555907198</v>
      </c>
      <c r="AG5353">
        <v>-1.1195058896865</v>
      </c>
      <c r="AH5353">
        <v>14.480314655561999</v>
      </c>
      <c r="AI5353">
        <v>94.260984372440504</v>
      </c>
      <c r="AJ5353">
        <v>105.48568127562601</v>
      </c>
      <c r="AK5353">
        <v>15.0674399028146</v>
      </c>
      <c r="AL5353">
        <v>80.351030331742194</v>
      </c>
      <c r="AM5353">
        <v>98.957347046442194</v>
      </c>
      <c r="AN5353">
        <v>1.0000000076771201</v>
      </c>
    </row>
    <row r="5354" spans="1:40" x14ac:dyDescent="0.25">
      <c r="A5354" t="str">
        <f>"20190304155742765"</f>
        <v>20190304155742765</v>
      </c>
      <c r="B5354" t="str">
        <f>"1551686262760423"</f>
        <v>1551686262760423</v>
      </c>
      <c r="C5354" t="s">
        <v>40</v>
      </c>
      <c r="D5354">
        <v>4.4599039999999999</v>
      </c>
      <c r="E5354">
        <v>0.45902399999999999</v>
      </c>
      <c r="F5354" t="s">
        <v>41</v>
      </c>
      <c r="G5354">
        <v>-398.7405</v>
      </c>
      <c r="H5354" s="1">
        <v>-9.2230370000000002E-7</v>
      </c>
      <c r="I5354">
        <v>17.908390000000001</v>
      </c>
      <c r="J5354">
        <v>-412.43169999999998</v>
      </c>
      <c r="K5354">
        <v>1.1194869999999999</v>
      </c>
      <c r="L5354">
        <v>24.127929999999999</v>
      </c>
      <c r="M5354">
        <v>0.76680669999999995</v>
      </c>
      <c r="N5354">
        <v>-1.3466759999999999E-2</v>
      </c>
      <c r="O5354">
        <v>-0.64173709999999995</v>
      </c>
      <c r="P5354">
        <v>0.84461119999999901</v>
      </c>
      <c r="Q5354">
        <v>0.1577519</v>
      </c>
      <c r="R5354">
        <v>-0.5116117</v>
      </c>
      <c r="S5354">
        <v>2.8176269999999999</v>
      </c>
      <c r="T5354">
        <v>-0.22830159999999999</v>
      </c>
      <c r="U5354">
        <v>-1.288208</v>
      </c>
      <c r="V5354">
        <v>-0.153658399999999</v>
      </c>
      <c r="W5354">
        <v>0.167353799999999</v>
      </c>
      <c r="X5354">
        <v>0.97384890000000002</v>
      </c>
      <c r="Y5354">
        <v>-0.2631426</v>
      </c>
      <c r="Z5354">
        <v>4.7516360000000001E-2</v>
      </c>
      <c r="AA5354">
        <v>0.9635861</v>
      </c>
      <c r="AB5354">
        <v>28</v>
      </c>
      <c r="AC5354">
        <v>13.691199999999901</v>
      </c>
      <c r="AD5354">
        <v>-1.1194879223037</v>
      </c>
      <c r="AE5354">
        <v>-6.2195399999999896</v>
      </c>
      <c r="AF5354">
        <v>-3.9951876938308399</v>
      </c>
      <c r="AG5354">
        <v>-1.1194879223037</v>
      </c>
      <c r="AH5354">
        <v>14.4112556123441</v>
      </c>
      <c r="AI5354">
        <v>94.281070674488603</v>
      </c>
      <c r="AJ5354">
        <v>105.494804731088</v>
      </c>
      <c r="AK5354">
        <v>14.9966351639774</v>
      </c>
      <c r="AL5354">
        <v>80.366000520828393</v>
      </c>
      <c r="AM5354">
        <v>98.966471975048805</v>
      </c>
      <c r="AN5354">
        <v>0.99999993914810303</v>
      </c>
    </row>
    <row r="5355" spans="1:40" x14ac:dyDescent="0.25">
      <c r="A5355" t="str">
        <f>"20190304155742777"</f>
        <v>20190304155742777</v>
      </c>
      <c r="B5355" t="str">
        <f>"1551686262770182"</f>
        <v>1551686262770182</v>
      </c>
      <c r="C5355" t="s">
        <v>40</v>
      </c>
      <c r="D5355">
        <v>4.4739659999999999</v>
      </c>
      <c r="E5355">
        <v>0.45943060000000002</v>
      </c>
      <c r="F5355" t="s">
        <v>41</v>
      </c>
      <c r="G5355">
        <v>-397.90949999999998</v>
      </c>
      <c r="H5355" s="1">
        <v>-1.39652E-6</v>
      </c>
      <c r="I5355">
        <v>17.32544</v>
      </c>
      <c r="J5355">
        <v>-412.30950000000001</v>
      </c>
      <c r="K5355">
        <v>1.11947</v>
      </c>
      <c r="L5355">
        <v>24.03445</v>
      </c>
      <c r="M5355">
        <v>0.77119399999999905</v>
      </c>
      <c r="N5355">
        <v>-1.345785E-2</v>
      </c>
      <c r="O5355">
        <v>-0.63645799999999997</v>
      </c>
      <c r="P5355">
        <v>0.84806599999999999</v>
      </c>
      <c r="Q5355">
        <v>0.15766649999999999</v>
      </c>
      <c r="R5355">
        <v>-0.50589090000000003</v>
      </c>
      <c r="S5355">
        <v>2.7982480000000001</v>
      </c>
      <c r="T5355">
        <v>-0.2157124</v>
      </c>
      <c r="U5355">
        <v>-1.3107599999999999</v>
      </c>
      <c r="V5355">
        <v>-0.15355659999999999</v>
      </c>
      <c r="W5355">
        <v>0.16726830000000001</v>
      </c>
      <c r="X5355">
        <v>0.97387970000000001</v>
      </c>
      <c r="Y5355">
        <v>-0.24780530000000001</v>
      </c>
      <c r="Z5355">
        <v>4.3879609999999999E-2</v>
      </c>
      <c r="AA5355">
        <v>0.9678156</v>
      </c>
      <c r="AB5355">
        <v>28</v>
      </c>
      <c r="AC5355">
        <v>14.4</v>
      </c>
      <c r="AD5355">
        <v>-1.1194713965200001</v>
      </c>
      <c r="AE5355">
        <v>-6.7090099999999904</v>
      </c>
      <c r="AF5355">
        <v>-3.9716857476498602</v>
      </c>
      <c r="AG5355">
        <v>-1.1194713965200001</v>
      </c>
      <c r="AH5355">
        <v>15.3006091970152</v>
      </c>
      <c r="AI5355">
        <v>94.050819444784807</v>
      </c>
      <c r="AJ5355">
        <v>104.551510661992</v>
      </c>
      <c r="AK5355">
        <v>15.847275654998199</v>
      </c>
      <c r="AL5355">
        <v>80.370969862216597</v>
      </c>
      <c r="AM5355">
        <v>98.9603492398751</v>
      </c>
      <c r="AN5355">
        <v>0.999999991830269</v>
      </c>
    </row>
    <row r="5356" spans="1:40" x14ac:dyDescent="0.25">
      <c r="A5356" t="str">
        <f>"20190304155742792"</f>
        <v>20190304155742792</v>
      </c>
      <c r="B5356" t="str">
        <f>"1551686262779942"</f>
        <v>1551686262779942</v>
      </c>
      <c r="C5356" t="s">
        <v>40</v>
      </c>
      <c r="D5356">
        <v>4.4269230000000004</v>
      </c>
      <c r="E5356">
        <v>0.46070480000000003</v>
      </c>
      <c r="F5356" t="s">
        <v>41</v>
      </c>
      <c r="G5356">
        <v>-397.94099999999997</v>
      </c>
      <c r="H5356" s="1">
        <v>-1.363447E-6</v>
      </c>
      <c r="I5356">
        <v>17.404319999999998</v>
      </c>
      <c r="J5356">
        <v>-412.1746</v>
      </c>
      <c r="K5356">
        <v>1.119453</v>
      </c>
      <c r="L5356">
        <v>23.932369999999999</v>
      </c>
      <c r="M5356">
        <v>0.77597079999999996</v>
      </c>
      <c r="N5356">
        <v>-1.34482E-2</v>
      </c>
      <c r="O5356">
        <v>-0.63062530000000006</v>
      </c>
      <c r="P5356">
        <v>0.85178430000000005</v>
      </c>
      <c r="Q5356">
        <v>0.15766229999999901</v>
      </c>
      <c r="R5356">
        <v>-0.49960599999999999</v>
      </c>
      <c r="S5356">
        <v>2.8057560000000001</v>
      </c>
      <c r="T5356">
        <v>-0.21860099999999999</v>
      </c>
      <c r="U5356">
        <v>-1.294678</v>
      </c>
      <c r="V5356">
        <v>-0.15340809999999999</v>
      </c>
      <c r="W5356">
        <v>0.16726450000000001</v>
      </c>
      <c r="X5356">
        <v>0.97390379999999999</v>
      </c>
      <c r="Y5356">
        <v>-0.24602840000000001</v>
      </c>
      <c r="Z5356">
        <v>4.4223640000000002E-2</v>
      </c>
      <c r="AA5356">
        <v>0.96825329999999998</v>
      </c>
      <c r="AB5356">
        <v>28</v>
      </c>
      <c r="AC5356">
        <v>14.233599999999999</v>
      </c>
      <c r="AD5356">
        <v>-1.119454363447</v>
      </c>
      <c r="AE5356">
        <v>-6.5280500000000004</v>
      </c>
      <c r="AF5356">
        <v>-3.8909609276004198</v>
      </c>
      <c r="AG5356">
        <v>-1.119454363447</v>
      </c>
      <c r="AH5356">
        <v>15.0858859905124</v>
      </c>
      <c r="AI5356">
        <v>94.1098628717819</v>
      </c>
      <c r="AJ5356">
        <v>104.462563477736</v>
      </c>
      <c r="AK5356">
        <v>15.6197538754838</v>
      </c>
      <c r="AL5356">
        <v>80.371191115830399</v>
      </c>
      <c r="AM5356">
        <v>98.951606416965106</v>
      </c>
      <c r="AN5356">
        <v>1.0000000348801401</v>
      </c>
    </row>
    <row r="5357" spans="1:40" x14ac:dyDescent="0.25">
      <c r="A5357" t="str">
        <f>"20190304155742809"</f>
        <v>20190304155742809</v>
      </c>
      <c r="B5357" t="str">
        <f>"1551686262800438"</f>
        <v>1551686262800438</v>
      </c>
      <c r="C5357" t="s">
        <v>40</v>
      </c>
      <c r="D5357">
        <v>4.4867860000000004</v>
      </c>
      <c r="E5357">
        <v>0.46240690000000001</v>
      </c>
      <c r="F5357" t="s">
        <v>41</v>
      </c>
      <c r="G5357">
        <v>-397.78559999999999</v>
      </c>
      <c r="H5357" s="1">
        <v>-1.4338769999999999E-6</v>
      </c>
      <c r="I5357">
        <v>17.363990000000001</v>
      </c>
      <c r="J5357">
        <v>-411.99919999999997</v>
      </c>
      <c r="K5357">
        <v>1.119432</v>
      </c>
      <c r="L5357">
        <v>23.802340000000001</v>
      </c>
      <c r="M5357">
        <v>0.78205570000000002</v>
      </c>
      <c r="N5357">
        <v>-1.343569E-2</v>
      </c>
      <c r="O5357">
        <v>-0.6230637</v>
      </c>
      <c r="P5357">
        <v>0.85630599999999901</v>
      </c>
      <c r="Q5357">
        <v>0.1574131</v>
      </c>
      <c r="R5357">
        <v>-0.49189579999999999</v>
      </c>
      <c r="S5357">
        <v>2.81012</v>
      </c>
      <c r="T5357">
        <v>-0.2186246</v>
      </c>
      <c r="U5357">
        <v>-1.2827759999999999</v>
      </c>
      <c r="V5357">
        <v>-0.15275859999999999</v>
      </c>
      <c r="W5357">
        <v>0.16702899999999901</v>
      </c>
      <c r="X5357">
        <v>0.97404630000000003</v>
      </c>
      <c r="Y5357">
        <v>-0.24059829999999999</v>
      </c>
      <c r="Z5357">
        <v>4.3696930000000002E-2</v>
      </c>
      <c r="AA5357">
        <v>0.96964070000000002</v>
      </c>
      <c r="AB5357">
        <v>28</v>
      </c>
      <c r="AC5357">
        <v>14.2135999999999</v>
      </c>
      <c r="AD5357">
        <v>-1.119433433877</v>
      </c>
      <c r="AE5357">
        <v>-6.4383499999999998</v>
      </c>
      <c r="AF5357">
        <v>-3.8016087454315999</v>
      </c>
      <c r="AG5357">
        <v>-1.119433433877</v>
      </c>
      <c r="AH5357">
        <v>15.051229220185199</v>
      </c>
      <c r="AI5357">
        <v>94.124475855275804</v>
      </c>
      <c r="AJ5357">
        <v>104.175176452904</v>
      </c>
      <c r="AK5357">
        <v>15.564217336724001</v>
      </c>
      <c r="AL5357">
        <v>80.384876808567199</v>
      </c>
      <c r="AM5357">
        <v>98.913033774160397</v>
      </c>
      <c r="AN5357">
        <v>1.0000000356293199</v>
      </c>
    </row>
    <row r="5358" spans="1:40" x14ac:dyDescent="0.25">
      <c r="A5358" t="str">
        <f>"20190304155742823"</f>
        <v>20190304155742823</v>
      </c>
      <c r="B5358" t="str">
        <f>"1551686262819958"</f>
        <v>1551686262819958</v>
      </c>
      <c r="C5358" t="s">
        <v>40</v>
      </c>
      <c r="D5358">
        <v>4.4608589999999904</v>
      </c>
      <c r="E5358">
        <v>0.4631343</v>
      </c>
      <c r="F5358" t="s">
        <v>41</v>
      </c>
      <c r="G5358">
        <v>-397.43200000000002</v>
      </c>
      <c r="H5358" s="1">
        <v>-1.6167980000000001E-6</v>
      </c>
      <c r="I5358">
        <v>17.234909999999999</v>
      </c>
      <c r="J5358">
        <v>-411.85809999999998</v>
      </c>
      <c r="K5358">
        <v>1.1194120000000001</v>
      </c>
      <c r="L5358">
        <v>23.69989</v>
      </c>
      <c r="M5358">
        <v>0.78685179999999999</v>
      </c>
      <c r="N5358">
        <v>-1.3425909999999999E-2</v>
      </c>
      <c r="O5358">
        <v>-0.61699589999999904</v>
      </c>
      <c r="P5358">
        <v>0.85980419999999902</v>
      </c>
      <c r="Q5358">
        <v>0.15749050000000001</v>
      </c>
      <c r="R5358">
        <v>-0.48572979999999999</v>
      </c>
      <c r="S5358">
        <v>2.8143919999999998</v>
      </c>
      <c r="T5358">
        <v>-0.21627489999999999</v>
      </c>
      <c r="U5358">
        <v>-1.268829</v>
      </c>
      <c r="V5358">
        <v>-0.1522077</v>
      </c>
      <c r="W5358">
        <v>0.16711779999999901</v>
      </c>
      <c r="X5358">
        <v>0.97411729999999996</v>
      </c>
      <c r="Y5358">
        <v>-0.23767929999999901</v>
      </c>
      <c r="Z5358">
        <v>4.2794199999999998E-2</v>
      </c>
      <c r="AA5358">
        <v>0.9704005</v>
      </c>
      <c r="AB5358">
        <v>28</v>
      </c>
      <c r="AC5358">
        <v>14.4261</v>
      </c>
      <c r="AD5358">
        <v>-1.119413616798</v>
      </c>
      <c r="AE5358">
        <v>-6.4649799999999997</v>
      </c>
      <c r="AF5358">
        <v>-3.7951775510971602</v>
      </c>
      <c r="AG5358">
        <v>-1.119413616798</v>
      </c>
      <c r="AH5358">
        <v>15.264910929028201</v>
      </c>
      <c r="AI5358">
        <v>94.0706472975248</v>
      </c>
      <c r="AJ5358">
        <v>103.961856655212</v>
      </c>
      <c r="AK5358">
        <v>15.7693996449132</v>
      </c>
      <c r="AL5358">
        <v>80.379716342977702</v>
      </c>
      <c r="AM5358">
        <v>98.880766626784194</v>
      </c>
      <c r="AN5358">
        <v>1.0000000285877</v>
      </c>
    </row>
    <row r="5359" spans="1:40" x14ac:dyDescent="0.25">
      <c r="A5359" t="str">
        <f>"20190304155742835"</f>
        <v>20190304155742835</v>
      </c>
      <c r="B5359" t="str">
        <f>"1551686262829719"</f>
        <v>1551686262829719</v>
      </c>
      <c r="C5359" t="s">
        <v>40</v>
      </c>
      <c r="D5359">
        <v>4.4656560000000001</v>
      </c>
      <c r="E5359">
        <v>0.46354109999999998</v>
      </c>
      <c r="F5359" t="s">
        <v>41</v>
      </c>
      <c r="G5359">
        <v>-397.3777</v>
      </c>
      <c r="H5359" s="1">
        <v>-1.637178E-6</v>
      </c>
      <c r="I5359">
        <v>17.264600000000002</v>
      </c>
      <c r="J5359">
        <v>-411.72629999999998</v>
      </c>
      <c r="K5359">
        <v>1.119394</v>
      </c>
      <c r="L5359">
        <v>23.605409999999999</v>
      </c>
      <c r="M5359">
        <v>0.79126260000000004</v>
      </c>
      <c r="N5359">
        <v>-1.3416999999999899E-2</v>
      </c>
      <c r="O5359">
        <v>-0.61132919999999902</v>
      </c>
      <c r="P5359">
        <v>0.86300480000000002</v>
      </c>
      <c r="Q5359">
        <v>0.15760070000000001</v>
      </c>
      <c r="R5359">
        <v>-0.47998420000000003</v>
      </c>
      <c r="S5359">
        <v>2.8209230000000001</v>
      </c>
      <c r="T5359">
        <v>-0.21807360000000001</v>
      </c>
      <c r="U5359">
        <v>-1.2536620000000001</v>
      </c>
      <c r="V5359">
        <v>-0.15169079999999999</v>
      </c>
      <c r="W5359">
        <v>0.1672382</v>
      </c>
      <c r="X5359">
        <v>0.97417719999999997</v>
      </c>
      <c r="Y5359">
        <v>-0.23587920000000001</v>
      </c>
      <c r="Z5359">
        <v>4.287448E-2</v>
      </c>
      <c r="AA5359">
        <v>0.97083609999999998</v>
      </c>
      <c r="AB5359">
        <v>28</v>
      </c>
      <c r="AC5359">
        <v>14.3485999999999</v>
      </c>
      <c r="AD5359">
        <v>-1.1193956371780001</v>
      </c>
      <c r="AE5359">
        <v>-6.3408099999999896</v>
      </c>
      <c r="AF5359">
        <v>-3.7357883906682399</v>
      </c>
      <c r="AG5359">
        <v>-1.1193956371780001</v>
      </c>
      <c r="AH5359">
        <v>15.154042273104899</v>
      </c>
      <c r="AI5359">
        <v>94.102264092681395</v>
      </c>
      <c r="AJ5359">
        <v>103.848479330324</v>
      </c>
      <c r="AK5359">
        <v>15.6478164197895</v>
      </c>
      <c r="AL5359">
        <v>80.372718850855804</v>
      </c>
      <c r="AM5359">
        <v>98.8505500980188</v>
      </c>
      <c r="AN5359">
        <v>0.999999965671859</v>
      </c>
    </row>
    <row r="5360" spans="1:40" x14ac:dyDescent="0.25">
      <c r="A5360" t="str">
        <f>"20190304155742852"</f>
        <v>20190304155742852</v>
      </c>
      <c r="B5360" t="str">
        <f>"1551686262849863"</f>
        <v>1551686262849863</v>
      </c>
      <c r="C5360" t="s">
        <v>40</v>
      </c>
      <c r="D5360">
        <v>4.5043629999999997</v>
      </c>
      <c r="E5360">
        <v>0.46443659999999998</v>
      </c>
      <c r="F5360" t="s">
        <v>41</v>
      </c>
      <c r="G5360">
        <v>-397.21730000000002</v>
      </c>
      <c r="H5360" s="1">
        <v>-1.714612E-6</v>
      </c>
      <c r="I5360">
        <v>17.255800000000001</v>
      </c>
      <c r="J5360">
        <v>-411.55549999999999</v>
      </c>
      <c r="K5360">
        <v>1.1193690000000001</v>
      </c>
      <c r="L5360">
        <v>23.48489</v>
      </c>
      <c r="M5360">
        <v>0.79687549999999996</v>
      </c>
      <c r="N5360">
        <v>-1.3405749999999999E-2</v>
      </c>
      <c r="O5360">
        <v>-0.60399480000000005</v>
      </c>
      <c r="P5360">
        <v>0.86674769999999901</v>
      </c>
      <c r="Q5360">
        <v>0.15790609999999999</v>
      </c>
      <c r="R5360">
        <v>-0.47309000000000001</v>
      </c>
      <c r="S5360">
        <v>2.8277589999999999</v>
      </c>
      <c r="T5360">
        <v>-0.21816659999999999</v>
      </c>
      <c r="U5360">
        <v>-1.2375179999999999</v>
      </c>
      <c r="V5360">
        <v>-0.15041949999999901</v>
      </c>
      <c r="W5360">
        <v>0.16757239999999901</v>
      </c>
      <c r="X5360">
        <v>0.97431699999999999</v>
      </c>
      <c r="Y5360">
        <v>-0.232432</v>
      </c>
      <c r="Z5360">
        <v>4.2422700000000001E-2</v>
      </c>
      <c r="AA5360">
        <v>0.97168699999999997</v>
      </c>
      <c r="AB5360">
        <v>28</v>
      </c>
      <c r="AC5360">
        <v>14.338199999999899</v>
      </c>
      <c r="AD5360">
        <v>-1.119370714612</v>
      </c>
      <c r="AE5360">
        <v>-6.2290899999999896</v>
      </c>
      <c r="AF5360">
        <v>-3.6778644295412799</v>
      </c>
      <c r="AG5360">
        <v>-1.119370714612</v>
      </c>
      <c r="AH5360">
        <v>15.111982492527099</v>
      </c>
      <c r="AI5360">
        <v>94.116533243062904</v>
      </c>
      <c r="AJ5360">
        <v>103.678383094173</v>
      </c>
      <c r="AK5360">
        <v>15.5933220454547</v>
      </c>
      <c r="AL5360">
        <v>80.3532975887628</v>
      </c>
      <c r="AM5360">
        <v>98.776294886729701</v>
      </c>
      <c r="AN5360">
        <v>1.0000000758555001</v>
      </c>
    </row>
    <row r="5361" spans="1:40" x14ac:dyDescent="0.25">
      <c r="A5361" t="str">
        <f>"20190304155742863"</f>
        <v>20190304155742863</v>
      </c>
      <c r="B5361" t="str">
        <f>"1551686262860600"</f>
        <v>1551686262860600</v>
      </c>
      <c r="C5361" t="s">
        <v>40</v>
      </c>
      <c r="D5361">
        <v>4.4938529999999997</v>
      </c>
      <c r="E5361">
        <v>0.46472259999999999</v>
      </c>
      <c r="F5361" t="s">
        <v>41</v>
      </c>
      <c r="G5361">
        <v>-397.0437</v>
      </c>
      <c r="H5361" s="1">
        <v>-1.800816E-6</v>
      </c>
      <c r="I5361">
        <v>17.232329999999902</v>
      </c>
      <c r="J5361">
        <v>-411.43669999999997</v>
      </c>
      <c r="K5361">
        <v>1.119354</v>
      </c>
      <c r="L5361">
        <v>23.40277</v>
      </c>
      <c r="M5361">
        <v>0.80070299999999905</v>
      </c>
      <c r="N5361">
        <v>-1.3398210000000001E-2</v>
      </c>
      <c r="O5361">
        <v>-0.59891159999999999</v>
      </c>
      <c r="P5361">
        <v>0.8694615</v>
      </c>
      <c r="Q5361">
        <v>0.15832109999999999</v>
      </c>
      <c r="R5361">
        <v>-0.46794350000000001</v>
      </c>
      <c r="S5361">
        <v>2.8344420000000001</v>
      </c>
      <c r="T5361">
        <v>-0.21863589999999999</v>
      </c>
      <c r="U5361">
        <v>-1.221252</v>
      </c>
      <c r="V5361">
        <v>-0.149951799999999</v>
      </c>
      <c r="W5361">
        <v>0.16799639999999999</v>
      </c>
      <c r="X5361">
        <v>0.97431599999999996</v>
      </c>
      <c r="Y5361">
        <v>-0.2317795</v>
      </c>
      <c r="Z5361">
        <v>4.2261600000000003E-2</v>
      </c>
      <c r="AA5361">
        <v>0.97184990000000004</v>
      </c>
      <c r="AB5361">
        <v>28</v>
      </c>
      <c r="AC5361">
        <v>14.392999999999899</v>
      </c>
      <c r="AD5361">
        <v>-1.1193558008160001</v>
      </c>
      <c r="AE5361">
        <v>-6.1704400000000001</v>
      </c>
      <c r="AF5361">
        <v>-3.6610699512800702</v>
      </c>
      <c r="AG5361">
        <v>-1.1193558008160001</v>
      </c>
      <c r="AH5361">
        <v>15.1440584333568</v>
      </c>
      <c r="AI5361">
        <v>94.1093132452053</v>
      </c>
      <c r="AJ5361">
        <v>103.590480232378</v>
      </c>
      <c r="AK5361">
        <v>15.6204640273557</v>
      </c>
      <c r="AL5361">
        <v>80.328654099467599</v>
      </c>
      <c r="AM5361">
        <v>98.749438450499099</v>
      </c>
      <c r="AN5361">
        <v>1.00000000029609</v>
      </c>
    </row>
    <row r="5362" spans="1:40" x14ac:dyDescent="0.25">
      <c r="A5362" t="str">
        <f>"20190304155742875"</f>
        <v>20190304155742875</v>
      </c>
      <c r="B5362" t="str">
        <f>"1551686262870360"</f>
        <v>1551686262870360</v>
      </c>
      <c r="C5362" t="s">
        <v>40</v>
      </c>
      <c r="D5362">
        <v>4.5343090000000004</v>
      </c>
      <c r="E5362">
        <v>0.46506579999999897</v>
      </c>
      <c r="F5362" t="s">
        <v>41</v>
      </c>
      <c r="G5362">
        <v>-396.94709999999998</v>
      </c>
      <c r="H5362" s="1">
        <v>-1.8438499999999999E-6</v>
      </c>
      <c r="I5362">
        <v>17.24728</v>
      </c>
      <c r="J5362">
        <v>-411.32819999999998</v>
      </c>
      <c r="K5362">
        <v>1.11934</v>
      </c>
      <c r="L5362">
        <v>23.328489999999999</v>
      </c>
      <c r="M5362">
        <v>0.80415550000000002</v>
      </c>
      <c r="N5362">
        <v>-1.339153E-2</v>
      </c>
      <c r="O5362">
        <v>-0.59426820000000002</v>
      </c>
      <c r="P5362">
        <v>0.87184709999999999</v>
      </c>
      <c r="Q5362">
        <v>0.158773</v>
      </c>
      <c r="R5362">
        <v>-0.4633293</v>
      </c>
      <c r="S5362">
        <v>2.8408509999999998</v>
      </c>
      <c r="T5362">
        <v>-0.21946160000000001</v>
      </c>
      <c r="U5362">
        <v>-1.2068479999999999</v>
      </c>
      <c r="V5362">
        <v>-0.14943149999999999</v>
      </c>
      <c r="W5362">
        <v>0.16845940000000001</v>
      </c>
      <c r="X5362">
        <v>0.97431599999999996</v>
      </c>
      <c r="Y5362">
        <v>-0.2311107</v>
      </c>
      <c r="Z5362">
        <v>4.2189299999999999E-2</v>
      </c>
      <c r="AA5362">
        <v>0.97201230000000005</v>
      </c>
      <c r="AB5362">
        <v>28</v>
      </c>
      <c r="AC5362">
        <v>14.3811</v>
      </c>
      <c r="AD5362">
        <v>-1.11934184385</v>
      </c>
      <c r="AE5362">
        <v>-6.0812099999999898</v>
      </c>
      <c r="AF5362">
        <v>-3.6376250936328298</v>
      </c>
      <c r="AG5362">
        <v>-1.11934184385</v>
      </c>
      <c r="AH5362">
        <v>15.102257092148999</v>
      </c>
      <c r="AI5362">
        <v>94.121424194396099</v>
      </c>
      <c r="AJ5362">
        <v>103.542657191625</v>
      </c>
      <c r="AK5362">
        <v>15.5744473983055</v>
      </c>
      <c r="AL5362">
        <v>80.301742662770096</v>
      </c>
      <c r="AM5362">
        <v>98.7195471773924</v>
      </c>
      <c r="AN5362">
        <v>1.0000000052483</v>
      </c>
    </row>
    <row r="5363" spans="1:40" x14ac:dyDescent="0.25">
      <c r="A5363" t="str">
        <f>"20190304155742885"</f>
        <v>20190304155742885</v>
      </c>
      <c r="B5363" t="str">
        <f>"1551686262880120"</f>
        <v>1551686262880120</v>
      </c>
      <c r="C5363" t="s">
        <v>40</v>
      </c>
      <c r="D5363">
        <v>4.5477449999999999</v>
      </c>
      <c r="E5363">
        <v>0.46506579999999897</v>
      </c>
      <c r="F5363" t="s">
        <v>41</v>
      </c>
      <c r="G5363">
        <v>-396.80369999999999</v>
      </c>
      <c r="H5363" s="1">
        <v>-1.9143079999999998E-6</v>
      </c>
      <c r="I5363">
        <v>17.232029999999899</v>
      </c>
      <c r="J5363">
        <v>-411.21260000000001</v>
      </c>
      <c r="K5363">
        <v>1.119324</v>
      </c>
      <c r="L5363">
        <v>23.250399999999999</v>
      </c>
      <c r="M5363">
        <v>0.80778409999999901</v>
      </c>
      <c r="N5363">
        <v>-1.33846E-2</v>
      </c>
      <c r="O5363">
        <v>-0.58932640000000003</v>
      </c>
      <c r="P5363">
        <v>0.87440490000000004</v>
      </c>
      <c r="Q5363">
        <v>0.15930329999999901</v>
      </c>
      <c r="R5363">
        <v>-0.45829940000000002</v>
      </c>
      <c r="S5363">
        <v>2.8460999999999999</v>
      </c>
      <c r="T5363">
        <v>-0.2193369</v>
      </c>
      <c r="U5363">
        <v>-1.1946110000000001</v>
      </c>
      <c r="V5363">
        <v>-0.14901800000000001</v>
      </c>
      <c r="W5363">
        <v>0.16899710000000001</v>
      </c>
      <c r="X5363">
        <v>0.97428619999999999</v>
      </c>
      <c r="Y5363">
        <v>-0.22935159999999999</v>
      </c>
      <c r="Z5363">
        <v>4.1853019999999998E-2</v>
      </c>
      <c r="AA5363">
        <v>0.97244339999999996</v>
      </c>
      <c r="AB5363">
        <v>28</v>
      </c>
      <c r="AC5363">
        <v>14.408899999999999</v>
      </c>
      <c r="AD5363">
        <v>-1.1193259143080001</v>
      </c>
      <c r="AE5363">
        <v>-6.01837</v>
      </c>
      <c r="AF5363">
        <v>-3.6117688548828801</v>
      </c>
      <c r="AG5363">
        <v>-1.1193259143080001</v>
      </c>
      <c r="AH5363">
        <v>15.1097883121113</v>
      </c>
      <c r="AI5363">
        <v>94.121024602575204</v>
      </c>
      <c r="AJ5363">
        <v>103.443444868738</v>
      </c>
      <c r="AK5363">
        <v>15.575733292540599</v>
      </c>
      <c r="AL5363">
        <v>80.270486459434295</v>
      </c>
      <c r="AM5363">
        <v>98.696050067392505</v>
      </c>
      <c r="AN5363">
        <v>0.99999999182142496</v>
      </c>
    </row>
    <row r="5364" spans="1:40" x14ac:dyDescent="0.25">
      <c r="A5364" t="str">
        <f>"20190304155742897"</f>
        <v>20190304155742897</v>
      </c>
      <c r="B5364" t="str">
        <f>"1551686262889880"</f>
        <v>1551686262889880</v>
      </c>
      <c r="C5364" t="s">
        <v>40</v>
      </c>
      <c r="D5364">
        <v>4.5348090000000001</v>
      </c>
      <c r="E5364">
        <v>0.47235690000000002</v>
      </c>
      <c r="F5364" t="s">
        <v>41</v>
      </c>
      <c r="G5364">
        <v>-396.53100000000001</v>
      </c>
      <c r="H5364" s="1">
        <v>-2.0507979999999999E-6</v>
      </c>
      <c r="I5364">
        <v>17.18938</v>
      </c>
      <c r="J5364">
        <v>-411.09339999999997</v>
      </c>
      <c r="K5364">
        <v>1.11931</v>
      </c>
      <c r="L5364">
        <v>23.171019999999999</v>
      </c>
      <c r="M5364">
        <v>0.81147400000000003</v>
      </c>
      <c r="N5364">
        <v>-1.3377780000000001E-2</v>
      </c>
      <c r="O5364">
        <v>-0.58423559999999997</v>
      </c>
      <c r="P5364">
        <v>0.87705759999999899</v>
      </c>
      <c r="Q5364">
        <v>0.15928010000000001</v>
      </c>
      <c r="R5364">
        <v>-0.45321099999999997</v>
      </c>
      <c r="S5364">
        <v>2.8532099999999998</v>
      </c>
      <c r="T5364">
        <v>-0.2175279</v>
      </c>
      <c r="U5364">
        <v>-1.1778869999999999</v>
      </c>
      <c r="V5364">
        <v>-0.1485477</v>
      </c>
      <c r="W5364">
        <v>0.16898440000000001</v>
      </c>
      <c r="X5364">
        <v>0.97436020000000001</v>
      </c>
      <c r="Y5364">
        <v>-0.22899079999999999</v>
      </c>
      <c r="Z5364">
        <v>4.1188799999999998E-2</v>
      </c>
      <c r="AA5364">
        <v>0.9725568</v>
      </c>
      <c r="AB5364">
        <v>28</v>
      </c>
      <c r="AC5364">
        <v>14.562399999999901</v>
      </c>
      <c r="AD5364">
        <v>-1.1193120507979999</v>
      </c>
      <c r="AE5364">
        <v>-5.9816399999999996</v>
      </c>
      <c r="AF5364">
        <v>-3.63587420792155</v>
      </c>
      <c r="AG5364">
        <v>-1.1193120507979999</v>
      </c>
      <c r="AH5364">
        <v>15.236045522961399</v>
      </c>
      <c r="AI5364">
        <v>94.087307418478105</v>
      </c>
      <c r="AJ5364">
        <v>103.421834029412</v>
      </c>
      <c r="AK5364">
        <v>15.7038060323172</v>
      </c>
      <c r="AL5364">
        <v>80.271224548899696</v>
      </c>
      <c r="AM5364">
        <v>98.6683745768525</v>
      </c>
      <c r="AN5364">
        <v>0.99999997298134402</v>
      </c>
    </row>
    <row r="5365" spans="1:40" x14ac:dyDescent="0.25">
      <c r="A5365" t="str">
        <f>"20190304155742907"</f>
        <v>20190304155742907</v>
      </c>
      <c r="B5365" t="str">
        <f>"1551686262900616"</f>
        <v>1551686262900616</v>
      </c>
      <c r="C5365" t="s">
        <v>40</v>
      </c>
      <c r="D5365">
        <v>4.572451</v>
      </c>
      <c r="E5365">
        <v>0.47272710000000001</v>
      </c>
      <c r="F5365" t="s">
        <v>41</v>
      </c>
      <c r="G5365">
        <v>-396.46620000000001</v>
      </c>
      <c r="H5365" s="1">
        <v>-2.131129E-6</v>
      </c>
      <c r="I5365">
        <v>16.909020000000002</v>
      </c>
      <c r="J5365">
        <v>-410.98009999999999</v>
      </c>
      <c r="K5365">
        <v>1.119291</v>
      </c>
      <c r="L5365">
        <v>23.096309999999999</v>
      </c>
      <c r="M5365">
        <v>0.81493369999999998</v>
      </c>
      <c r="N5365">
        <v>-1.3371569999999999E-2</v>
      </c>
      <c r="O5365">
        <v>-0.57940009999999997</v>
      </c>
      <c r="P5365">
        <v>0.87957369999999901</v>
      </c>
      <c r="Q5365">
        <v>0.1594187</v>
      </c>
      <c r="R5365">
        <v>-0.44825900000000002</v>
      </c>
      <c r="S5365">
        <v>2.8331300000000001</v>
      </c>
      <c r="T5365">
        <v>-0.21679999999999999</v>
      </c>
      <c r="U5365">
        <v>-1.2128909999999999</v>
      </c>
      <c r="V5365">
        <v>-0.148229</v>
      </c>
      <c r="W5365">
        <v>0.16912959999999999</v>
      </c>
      <c r="X5365">
        <v>0.97438360000000002</v>
      </c>
      <c r="Y5365">
        <v>-0.2105882</v>
      </c>
      <c r="Z5365">
        <v>4.0216160000000001E-2</v>
      </c>
      <c r="AA5365">
        <v>0.97674729999999998</v>
      </c>
      <c r="AB5365">
        <v>28</v>
      </c>
      <c r="AC5365">
        <v>14.5138999999999</v>
      </c>
      <c r="AD5365">
        <v>-1.119293131129</v>
      </c>
      <c r="AE5365">
        <v>-6.1872899999999902</v>
      </c>
      <c r="AF5365">
        <v>-3.35056234062248</v>
      </c>
      <c r="AG5365">
        <v>-1.119293131129</v>
      </c>
      <c r="AH5365">
        <v>15.336972892979899</v>
      </c>
      <c r="AI5365">
        <v>94.078201159795498</v>
      </c>
      <c r="AJ5365">
        <v>102.32339777326099</v>
      </c>
      <c r="AK5365">
        <v>15.7385457597514</v>
      </c>
      <c r="AL5365">
        <v>80.262784257024194</v>
      </c>
      <c r="AM5365">
        <v>98.649854117754103</v>
      </c>
      <c r="AN5365">
        <v>1.00000002899305</v>
      </c>
    </row>
    <row r="5366" spans="1:40" x14ac:dyDescent="0.25">
      <c r="A5366" t="str">
        <f>"20190304155742919"</f>
        <v>20190304155742919</v>
      </c>
      <c r="B5366" t="str">
        <f>"1551686262910375"</f>
        <v>1551686262910375</v>
      </c>
      <c r="C5366" t="s">
        <v>40</v>
      </c>
      <c r="D5366">
        <v>4.5253489999999896</v>
      </c>
      <c r="E5366">
        <v>0.47272710000000001</v>
      </c>
      <c r="F5366" t="s">
        <v>41</v>
      </c>
      <c r="G5366">
        <v>-396.39749999999998</v>
      </c>
      <c r="H5366" s="1">
        <v>-2.1590730000000001E-6</v>
      </c>
      <c r="I5366">
        <v>16.934670000000001</v>
      </c>
      <c r="J5366">
        <v>-410.86930000000001</v>
      </c>
      <c r="K5366">
        <v>1.119278</v>
      </c>
      <c r="L5366">
        <v>23.0246</v>
      </c>
      <c r="M5366">
        <v>0.81826619999999906</v>
      </c>
      <c r="N5366">
        <v>-1.336559E-2</v>
      </c>
      <c r="O5366">
        <v>-0.57468430000000004</v>
      </c>
      <c r="P5366">
        <v>0.88196459999999999</v>
      </c>
      <c r="Q5366">
        <v>0.1593185</v>
      </c>
      <c r="R5366">
        <v>-0.44357229999999997</v>
      </c>
      <c r="S5366">
        <v>2.838959</v>
      </c>
      <c r="T5366">
        <v>-0.21790490000000001</v>
      </c>
      <c r="U5366">
        <v>-1.199554</v>
      </c>
      <c r="V5366">
        <v>-0.14778849999999999</v>
      </c>
      <c r="W5366">
        <v>0.16903940000000001</v>
      </c>
      <c r="X5366">
        <v>0.9744661</v>
      </c>
      <c r="Y5366">
        <v>-0.2095494</v>
      </c>
      <c r="Z5366">
        <v>4.0177949999999997E-2</v>
      </c>
      <c r="AA5366">
        <v>0.97697230000000002</v>
      </c>
      <c r="AB5366">
        <v>28</v>
      </c>
      <c r="AC5366">
        <v>14.4718</v>
      </c>
      <c r="AD5366">
        <v>-1.1192801590729999</v>
      </c>
      <c r="AE5366">
        <v>-6.0899299999999901</v>
      </c>
      <c r="AF5366">
        <v>-3.3169732490120398</v>
      </c>
      <c r="AG5366">
        <v>-1.1192801590729999</v>
      </c>
      <c r="AH5366">
        <v>15.265363603453199</v>
      </c>
      <c r="AI5366">
        <v>94.098218073712005</v>
      </c>
      <c r="AJ5366">
        <v>102.259096435072</v>
      </c>
      <c r="AK5366">
        <v>15.661622698647401</v>
      </c>
      <c r="AL5366">
        <v>80.268027253548198</v>
      </c>
      <c r="AM5366">
        <v>98.623816793086107</v>
      </c>
      <c r="AN5366">
        <v>0.99999996976690897</v>
      </c>
    </row>
    <row r="5367" spans="1:40" x14ac:dyDescent="0.25">
      <c r="A5367" t="str">
        <f>"20190304155742929"</f>
        <v>20190304155742929</v>
      </c>
      <c r="B5367" t="str">
        <f>"1551686262920136"</f>
        <v>1551686262920136</v>
      </c>
      <c r="C5367" t="s">
        <v>40</v>
      </c>
      <c r="D5367">
        <v>4.4912359999999998</v>
      </c>
      <c r="E5367">
        <v>0.47338330000000001</v>
      </c>
      <c r="F5367" t="s">
        <v>41</v>
      </c>
      <c r="G5367">
        <v>-396.27539999999999</v>
      </c>
      <c r="H5367" s="1">
        <v>-2.2141059999999999E-6</v>
      </c>
      <c r="I5367">
        <v>16.949919999999999</v>
      </c>
      <c r="J5367">
        <v>-410.7525</v>
      </c>
      <c r="K5367">
        <v>1.1192629999999999</v>
      </c>
      <c r="L5367">
        <v>22.949310000000001</v>
      </c>
      <c r="M5367">
        <v>0.82174199999999997</v>
      </c>
      <c r="N5367">
        <v>-1.335947E-2</v>
      </c>
      <c r="O5367">
        <v>-0.56970310000000002</v>
      </c>
      <c r="P5367">
        <v>0.88470110000000002</v>
      </c>
      <c r="Q5367">
        <v>0.15898670000000001</v>
      </c>
      <c r="R5367">
        <v>-0.43820920000000002</v>
      </c>
      <c r="S5367">
        <v>2.8452449999999998</v>
      </c>
      <c r="T5367">
        <v>-0.2182162</v>
      </c>
      <c r="U5367">
        <v>-1.184326</v>
      </c>
      <c r="V5367">
        <v>-0.14780579999999999</v>
      </c>
      <c r="W5367">
        <v>0.16870660000000001</v>
      </c>
      <c r="X5367">
        <v>0.97452119999999998</v>
      </c>
      <c r="Y5367">
        <v>-0.20883679999999999</v>
      </c>
      <c r="Z5367">
        <v>3.9968910000000003E-2</v>
      </c>
      <c r="AA5367">
        <v>0.97713340000000004</v>
      </c>
      <c r="AB5367">
        <v>28</v>
      </c>
      <c r="AC5367">
        <v>14.4771</v>
      </c>
      <c r="AD5367">
        <v>-1.119265214106</v>
      </c>
      <c r="AE5367">
        <v>-5.9993899999999902</v>
      </c>
      <c r="AF5367">
        <v>-3.3011541600612002</v>
      </c>
      <c r="AG5367">
        <v>-1.119265214106</v>
      </c>
      <c r="AH5367">
        <v>15.2379466771827</v>
      </c>
      <c r="AI5367">
        <v>94.1060606965262</v>
      </c>
      <c r="AJ5367">
        <v>102.223682655038</v>
      </c>
      <c r="AK5367">
        <v>15.6315511816538</v>
      </c>
      <c r="AL5367">
        <v>80.287373634564702</v>
      </c>
      <c r="AM5367">
        <v>98.624330790770998</v>
      </c>
      <c r="AN5367">
        <v>1.0000000203233099</v>
      </c>
    </row>
    <row r="5368" spans="1:40" x14ac:dyDescent="0.25">
      <c r="A5368" t="str">
        <f>"20190304155742941"</f>
        <v>20190304155742941</v>
      </c>
      <c r="B5368" t="str">
        <f>"1551686262929896"</f>
        <v>1551686262929896</v>
      </c>
      <c r="C5368" t="s">
        <v>40</v>
      </c>
      <c r="D5368">
        <v>4.5079699999999896</v>
      </c>
      <c r="E5368">
        <v>0.47394999999999998</v>
      </c>
      <c r="F5368" t="s">
        <v>41</v>
      </c>
      <c r="G5368">
        <v>-396.22489999999999</v>
      </c>
      <c r="H5368" s="1">
        <v>-2.2329109999999999E-6</v>
      </c>
      <c r="I5368">
        <v>16.978359999999999</v>
      </c>
      <c r="J5368">
        <v>-410.62920000000003</v>
      </c>
      <c r="K5368">
        <v>1.1192500000000001</v>
      </c>
      <c r="L5368">
        <v>22.871729999999999</v>
      </c>
      <c r="M5368">
        <v>0.82534439999999998</v>
      </c>
      <c r="N5368">
        <v>-1.335306E-2</v>
      </c>
      <c r="O5368">
        <v>-0.56447159999999996</v>
      </c>
      <c r="P5368">
        <v>0.88744769999999995</v>
      </c>
      <c r="Q5368">
        <v>0.15876309999999999</v>
      </c>
      <c r="R5368">
        <v>-0.43270180000000003</v>
      </c>
      <c r="S5368">
        <v>2.8501889999999999</v>
      </c>
      <c r="T5368">
        <v>-0.21959020000000001</v>
      </c>
      <c r="U5368">
        <v>-1.171448</v>
      </c>
      <c r="V5368">
        <v>-0.1476837</v>
      </c>
      <c r="W5368">
        <v>0.16848479999999999</v>
      </c>
      <c r="X5368">
        <v>0.9745781</v>
      </c>
      <c r="Y5368">
        <v>-0.20698949999999999</v>
      </c>
      <c r="Z5368">
        <v>3.9932170000000003E-2</v>
      </c>
      <c r="AA5368">
        <v>0.97752790000000001</v>
      </c>
      <c r="AB5368">
        <v>28</v>
      </c>
      <c r="AC5368">
        <v>14.404299999999999</v>
      </c>
      <c r="AD5368">
        <v>-1.119252232911</v>
      </c>
      <c r="AE5368">
        <v>-5.8933699999999902</v>
      </c>
      <c r="AF5368">
        <v>-3.2502397770145</v>
      </c>
      <c r="AG5368">
        <v>-1.119252232911</v>
      </c>
      <c r="AH5368">
        <v>15.1382120019562</v>
      </c>
      <c r="AI5368">
        <v>94.1346149472392</v>
      </c>
      <c r="AJ5368">
        <v>102.117687430922</v>
      </c>
      <c r="AK5368">
        <v>15.5236028931796</v>
      </c>
      <c r="AL5368">
        <v>80.300266567837696</v>
      </c>
      <c r="AM5368">
        <v>98.616817802256406</v>
      </c>
      <c r="AN5368">
        <v>1.00000003803816</v>
      </c>
    </row>
    <row r="5369" spans="1:40" x14ac:dyDescent="0.25">
      <c r="A5369" t="str">
        <f>"20190304155742953"</f>
        <v>20190304155742953</v>
      </c>
      <c r="B5369" t="str">
        <f>"1551686262950040"</f>
        <v>1551686262950040</v>
      </c>
      <c r="C5369" t="s">
        <v>40</v>
      </c>
      <c r="D5369">
        <v>4.5370210000000002</v>
      </c>
      <c r="E5369">
        <v>0.47509190000000001</v>
      </c>
      <c r="F5369" t="s">
        <v>41</v>
      </c>
      <c r="G5369">
        <v>-396.13350000000003</v>
      </c>
      <c r="H5369" s="1">
        <v>-2.2732399999999999E-6</v>
      </c>
      <c r="I5369">
        <v>16.994610000000002</v>
      </c>
      <c r="J5369">
        <v>-410.50510000000003</v>
      </c>
      <c r="K5369">
        <v>1.119235</v>
      </c>
      <c r="L5369">
        <v>22.79419</v>
      </c>
      <c r="M5369">
        <v>0.82892919999999903</v>
      </c>
      <c r="N5369">
        <v>-1.334688E-2</v>
      </c>
      <c r="O5369">
        <v>-0.55919430000000003</v>
      </c>
      <c r="P5369">
        <v>0.89013850000000005</v>
      </c>
      <c r="Q5369">
        <v>0.1586072</v>
      </c>
      <c r="R5369">
        <v>-0.42719689999999999</v>
      </c>
      <c r="S5369">
        <v>2.8554689999999998</v>
      </c>
      <c r="T5369">
        <v>-0.2204778</v>
      </c>
      <c r="U5369">
        <v>-1.157715</v>
      </c>
      <c r="V5369">
        <v>-0.14750829999999901</v>
      </c>
      <c r="W5369">
        <v>0.1683325</v>
      </c>
      <c r="X5369">
        <v>0.97463100000000003</v>
      </c>
      <c r="Y5369">
        <v>-0.20541290000000001</v>
      </c>
      <c r="Z5369">
        <v>3.979448E-2</v>
      </c>
      <c r="AA5369">
        <v>0.97786600000000001</v>
      </c>
      <c r="AB5369">
        <v>28</v>
      </c>
      <c r="AC5369">
        <v>14.371600000000001</v>
      </c>
      <c r="AD5369">
        <v>-1.11923727324</v>
      </c>
      <c r="AE5369">
        <v>-5.79957999999999</v>
      </c>
      <c r="AF5369">
        <v>-3.2126072690489198</v>
      </c>
      <c r="AG5369">
        <v>-1.11923727324</v>
      </c>
      <c r="AH5369">
        <v>15.0788345248071</v>
      </c>
      <c r="AI5369">
        <v>94.152180454088494</v>
      </c>
      <c r="AJ5369">
        <v>102.027270904216</v>
      </c>
      <c r="AK5369">
        <v>15.4578390522567</v>
      </c>
      <c r="AL5369">
        <v>80.309119345686696</v>
      </c>
      <c r="AM5369">
        <v>98.606277032169999</v>
      </c>
      <c r="AN5369">
        <v>1.0000000576430601</v>
      </c>
    </row>
    <row r="5370" spans="1:40" x14ac:dyDescent="0.25">
      <c r="A5370" t="str">
        <f>"20190304155742963"</f>
        <v>20190304155742963</v>
      </c>
      <c r="B5370" t="str">
        <f>"1551686262959800"</f>
        <v>1551686262959800</v>
      </c>
      <c r="C5370" t="s">
        <v>40</v>
      </c>
      <c r="D5370">
        <v>4.5548950000000001</v>
      </c>
      <c r="E5370">
        <v>0.47509190000000001</v>
      </c>
      <c r="F5370" t="s">
        <v>41</v>
      </c>
      <c r="G5370">
        <v>-396.07319999999999</v>
      </c>
      <c r="H5370" s="1">
        <v>-2.3011150000000001E-6</v>
      </c>
      <c r="I5370">
        <v>16.998290000000001</v>
      </c>
      <c r="J5370">
        <v>-410.3897</v>
      </c>
      <c r="K5370">
        <v>1.1192230000000001</v>
      </c>
      <c r="L5370">
        <v>22.723269999999999</v>
      </c>
      <c r="M5370">
        <v>0.83221279999999997</v>
      </c>
      <c r="N5370">
        <v>-1.334143E-2</v>
      </c>
      <c r="O5370">
        <v>-0.55429600000000001</v>
      </c>
      <c r="P5370">
        <v>0.89255910000000005</v>
      </c>
      <c r="Q5370">
        <v>0.1585232</v>
      </c>
      <c r="R5370">
        <v>-0.42214780000000002</v>
      </c>
      <c r="S5370">
        <v>2.8587340000000001</v>
      </c>
      <c r="T5370">
        <v>-0.22170219999999999</v>
      </c>
      <c r="U5370">
        <v>-1.1480709999999901</v>
      </c>
      <c r="V5370">
        <v>-0.1472821</v>
      </c>
      <c r="W5370">
        <v>0.16825309999999999</v>
      </c>
      <c r="X5370">
        <v>0.97467890000000001</v>
      </c>
      <c r="Y5370">
        <v>-0.20286309999999999</v>
      </c>
      <c r="Z5370">
        <v>3.9710309999999999E-2</v>
      </c>
      <c r="AA5370">
        <v>0.97840159999999998</v>
      </c>
      <c r="AB5370">
        <v>28</v>
      </c>
      <c r="AC5370">
        <v>14.3165</v>
      </c>
      <c r="AD5370">
        <v>-1.119225301115</v>
      </c>
      <c r="AE5370">
        <v>-5.7249799999999897</v>
      </c>
      <c r="AF5370">
        <v>-3.1548358279670801</v>
      </c>
      <c r="AG5370">
        <v>-1.119225301115</v>
      </c>
      <c r="AH5370">
        <v>15.009960415937799</v>
      </c>
      <c r="AI5370">
        <v>94.173539350803196</v>
      </c>
      <c r="AJ5370">
        <v>101.869811210001</v>
      </c>
      <c r="AK5370">
        <v>15.3787049540623</v>
      </c>
      <c r="AL5370">
        <v>80.313734286488</v>
      </c>
      <c r="AM5370">
        <v>98.592860702675097</v>
      </c>
      <c r="AN5370">
        <v>1.0000000403726099</v>
      </c>
    </row>
    <row r="5371" spans="1:40" x14ac:dyDescent="0.25">
      <c r="A5371" t="str">
        <f>"20190304155742975"</f>
        <v>20190304155742975</v>
      </c>
      <c r="B5371" t="str">
        <f>"1551686262970537"</f>
        <v>1551686262970537</v>
      </c>
      <c r="C5371" t="s">
        <v>40</v>
      </c>
      <c r="D5371">
        <v>4.5440069999999997</v>
      </c>
      <c r="E5371">
        <v>0.48055049999999999</v>
      </c>
      <c r="F5371" t="s">
        <v>41</v>
      </c>
      <c r="G5371">
        <v>-395.94139999999999</v>
      </c>
      <c r="H5371" s="1">
        <v>-2.360236E-6</v>
      </c>
      <c r="I5371">
        <v>17.01595</v>
      </c>
      <c r="J5371">
        <v>-410.2713</v>
      </c>
      <c r="K5371">
        <v>1.119218</v>
      </c>
      <c r="L5371">
        <v>22.651399999999999</v>
      </c>
      <c r="M5371">
        <v>0.83553750000000004</v>
      </c>
      <c r="N5371">
        <v>-1.3336229999999999E-2</v>
      </c>
      <c r="O5371">
        <v>-0.54927150000000002</v>
      </c>
      <c r="P5371">
        <v>0.89508410000000005</v>
      </c>
      <c r="Q5371">
        <v>0.15857109999999999</v>
      </c>
      <c r="R5371">
        <v>-0.41674929999999899</v>
      </c>
      <c r="S5371">
        <v>2.8652039999999999</v>
      </c>
      <c r="T5371">
        <v>-0.22195110000000001</v>
      </c>
      <c r="U5371">
        <v>-1.1318049999999999</v>
      </c>
      <c r="V5371">
        <v>-0.14728829999999901</v>
      </c>
      <c r="W5371">
        <v>0.16829920000000001</v>
      </c>
      <c r="X5371">
        <v>0.97467000000000004</v>
      </c>
      <c r="Y5371">
        <v>-0.20252790000000001</v>
      </c>
      <c r="Z5371">
        <v>3.9486849999999997E-2</v>
      </c>
      <c r="AA5371">
        <v>0.97848009999999996</v>
      </c>
      <c r="AB5371">
        <v>28</v>
      </c>
      <c r="AC5371">
        <v>14.3299</v>
      </c>
      <c r="AD5371">
        <v>-1.119220360236</v>
      </c>
      <c r="AE5371">
        <v>-5.6354499999999899</v>
      </c>
      <c r="AF5371">
        <v>-3.1460362681849099</v>
      </c>
      <c r="AG5371">
        <v>-1.119220360236</v>
      </c>
      <c r="AH5371">
        <v>14.9907035515507</v>
      </c>
      <c r="AI5371">
        <v>94.1791287945547</v>
      </c>
      <c r="AJ5371">
        <v>101.85241560132199</v>
      </c>
      <c r="AK5371">
        <v>15.358105071459001</v>
      </c>
      <c r="AL5371">
        <v>80.311054702362199</v>
      </c>
      <c r="AM5371">
        <v>98.593294324287498</v>
      </c>
      <c r="AN5371">
        <v>1.00000003646876</v>
      </c>
    </row>
    <row r="5372" spans="1:40" x14ac:dyDescent="0.25">
      <c r="A5372" t="str">
        <f>"20190304155742986"</f>
        <v>20190304155742986</v>
      </c>
      <c r="B5372" t="str">
        <f>"1551686262980296"</f>
        <v>1551686262980296</v>
      </c>
      <c r="C5372" t="s">
        <v>40</v>
      </c>
      <c r="D5372">
        <v>4.5870819999999997</v>
      </c>
      <c r="E5372">
        <v>0.48017919999999997</v>
      </c>
      <c r="F5372" t="s">
        <v>41</v>
      </c>
      <c r="G5372">
        <v>-396.16739999999999</v>
      </c>
      <c r="H5372" s="1">
        <v>-2.2655300000000001E-6</v>
      </c>
      <c r="I5372">
        <v>16.947789999999902</v>
      </c>
      <c r="J5372">
        <v>-410.15129999999999</v>
      </c>
      <c r="K5372">
        <v>1.1192089999999999</v>
      </c>
      <c r="L5372">
        <v>22.579440000000002</v>
      </c>
      <c r="M5372">
        <v>0.83886299999999903</v>
      </c>
      <c r="N5372">
        <v>-1.3331340000000001E-2</v>
      </c>
      <c r="O5372">
        <v>-0.54417939999999998</v>
      </c>
      <c r="P5372">
        <v>0.89759</v>
      </c>
      <c r="Q5372">
        <v>0.1585654</v>
      </c>
      <c r="R5372">
        <v>-0.41132629999999998</v>
      </c>
      <c r="S5372">
        <v>2.854279</v>
      </c>
      <c r="T5372">
        <v>-0.22650190000000001</v>
      </c>
      <c r="U5372">
        <v>-1.154266</v>
      </c>
      <c r="V5372">
        <v>-0.14725269999999999</v>
      </c>
      <c r="W5372">
        <v>0.16829349999999901</v>
      </c>
      <c r="X5372">
        <v>0.97467630000000005</v>
      </c>
      <c r="Y5372">
        <v>-0.1886158</v>
      </c>
      <c r="Z5372">
        <v>3.9651800000000001E-2</v>
      </c>
      <c r="AA5372">
        <v>0.98125010000000001</v>
      </c>
      <c r="AB5372">
        <v>28</v>
      </c>
      <c r="AC5372">
        <v>13.9839</v>
      </c>
      <c r="AD5372">
        <v>-1.1192112655299999</v>
      </c>
      <c r="AE5372">
        <v>-5.6316499999999996</v>
      </c>
      <c r="AF5372">
        <v>-2.8700050093846001</v>
      </c>
      <c r="AG5372">
        <v>-1.1192112655299999</v>
      </c>
      <c r="AH5372">
        <v>14.7154104939892</v>
      </c>
      <c r="AI5372">
        <v>94.269242803246598</v>
      </c>
      <c r="AJ5372">
        <v>101.036084332728</v>
      </c>
      <c r="AK5372">
        <v>15.034389532581301</v>
      </c>
      <c r="AL5372">
        <v>80.3113854106372</v>
      </c>
      <c r="AM5372">
        <v>98.591193594878902</v>
      </c>
      <c r="AN5372">
        <v>0.99999997479061398</v>
      </c>
    </row>
    <row r="5373" spans="1:40" x14ac:dyDescent="0.25">
      <c r="A5373" t="str">
        <f>"20190304155742998"</f>
        <v>20190304155742998</v>
      </c>
      <c r="B5373" t="str">
        <f>"1551686262990056"</f>
        <v>1551686262990056</v>
      </c>
      <c r="C5373" t="s">
        <v>40</v>
      </c>
      <c r="D5373">
        <v>4.5831269999999904</v>
      </c>
      <c r="E5373">
        <v>0.48025289999999998</v>
      </c>
      <c r="F5373" t="s">
        <v>41</v>
      </c>
      <c r="G5373">
        <v>-396.26249999999999</v>
      </c>
      <c r="H5373" s="1">
        <v>-2.1978489999999998E-6</v>
      </c>
      <c r="I5373">
        <v>17.075869999999998</v>
      </c>
      <c r="J5373">
        <v>-410.02550000000002</v>
      </c>
      <c r="K5373">
        <v>1.1192</v>
      </c>
      <c r="L5373">
        <v>22.50534</v>
      </c>
      <c r="M5373">
        <v>0.84229580000000004</v>
      </c>
      <c r="N5373">
        <v>-1.3326569999999999E-2</v>
      </c>
      <c r="O5373">
        <v>-0.53885079999999996</v>
      </c>
      <c r="P5373">
        <v>0.90001849999999906</v>
      </c>
      <c r="Q5373">
        <v>0.15847249999999999</v>
      </c>
      <c r="R5373">
        <v>-0.40602110000000002</v>
      </c>
      <c r="S5373">
        <v>2.863159</v>
      </c>
      <c r="T5373">
        <v>-0.2307237</v>
      </c>
      <c r="U5373">
        <v>-1.134552</v>
      </c>
      <c r="V5373">
        <v>-0.14682909999999999</v>
      </c>
      <c r="W5373">
        <v>0.16820940000000001</v>
      </c>
      <c r="X5373">
        <v>0.97475480000000003</v>
      </c>
      <c r="Y5373">
        <v>-0.18922439999999999</v>
      </c>
      <c r="Z5373">
        <v>4.0216670000000003E-2</v>
      </c>
      <c r="AA5373">
        <v>0.98111000000000004</v>
      </c>
      <c r="AB5373">
        <v>28</v>
      </c>
      <c r="AC5373">
        <v>13.763</v>
      </c>
      <c r="AD5373">
        <v>-1.1192021978490001</v>
      </c>
      <c r="AE5373">
        <v>-5.4294699999999896</v>
      </c>
      <c r="AF5373">
        <v>-2.8270589177102901</v>
      </c>
      <c r="AG5373">
        <v>-1.1192021978490001</v>
      </c>
      <c r="AH5373">
        <v>14.436868252168001</v>
      </c>
      <c r="AI5373">
        <v>94.350621215877595</v>
      </c>
      <c r="AJ5373">
        <v>101.079583420381</v>
      </c>
      <c r="AK5373">
        <v>14.7535772141651</v>
      </c>
      <c r="AL5373">
        <v>80.3162744417791</v>
      </c>
      <c r="AM5373">
        <v>98.566166952025796</v>
      </c>
      <c r="AN5373">
        <v>1.0000000534891</v>
      </c>
    </row>
    <row r="5374" spans="1:40" x14ac:dyDescent="0.25">
      <c r="A5374" t="str">
        <f>"20190304155743011"</f>
        <v>20190304155743011</v>
      </c>
      <c r="B5374" t="str">
        <f>"1551686262999816"</f>
        <v>1551686262999816</v>
      </c>
      <c r="C5374" t="s">
        <v>40</v>
      </c>
      <c r="D5374">
        <v>4.5666469999999997</v>
      </c>
      <c r="E5374">
        <v>0.4805219</v>
      </c>
      <c r="F5374" t="s">
        <v>41</v>
      </c>
      <c r="G5374">
        <v>-396.23360000000002</v>
      </c>
      <c r="H5374" s="1">
        <v>-2.2015969999999999E-6</v>
      </c>
      <c r="I5374">
        <v>17.131589999999999</v>
      </c>
      <c r="J5374">
        <v>-409.89280000000002</v>
      </c>
      <c r="K5374">
        <v>1.119189</v>
      </c>
      <c r="L5374">
        <v>22.42783</v>
      </c>
      <c r="M5374">
        <v>0.84587269999999903</v>
      </c>
      <c r="N5374">
        <v>-1.332177E-2</v>
      </c>
      <c r="O5374">
        <v>-0.53321850000000004</v>
      </c>
      <c r="P5374">
        <v>0.90262220000000004</v>
      </c>
      <c r="Q5374">
        <v>0.15840660000000001</v>
      </c>
      <c r="R5374">
        <v>-0.40022600000000003</v>
      </c>
      <c r="S5374">
        <v>2.8698730000000001</v>
      </c>
      <c r="T5374">
        <v>-0.2328887</v>
      </c>
      <c r="U5374">
        <v>-1.1181950000000001</v>
      </c>
      <c r="V5374">
        <v>-0.14659269999999999</v>
      </c>
      <c r="W5374">
        <v>0.16814779999999999</v>
      </c>
      <c r="X5374">
        <v>0.97480089999999997</v>
      </c>
      <c r="Y5374">
        <v>-0.1882866</v>
      </c>
      <c r="Z5374">
        <v>4.0292370000000001E-2</v>
      </c>
      <c r="AA5374">
        <v>0.98128720000000003</v>
      </c>
      <c r="AB5374">
        <v>28</v>
      </c>
      <c r="AC5374">
        <v>13.659199999999901</v>
      </c>
      <c r="AD5374">
        <v>-1.119191201597</v>
      </c>
      <c r="AE5374">
        <v>-5.2962400000000001</v>
      </c>
      <c r="AF5374">
        <v>-2.78737432392081</v>
      </c>
      <c r="AG5374">
        <v>-1.119191201597</v>
      </c>
      <c r="AH5374">
        <v>14.2958396373451</v>
      </c>
      <c r="AI5374">
        <v>94.394025277526197</v>
      </c>
      <c r="AJ5374">
        <v>101.03299506418099</v>
      </c>
      <c r="AK5374">
        <v>14.6079798570532</v>
      </c>
      <c r="AL5374">
        <v>80.319853832936104</v>
      </c>
      <c r="AM5374">
        <v>98.552180757849101</v>
      </c>
      <c r="AN5374">
        <v>0.99999994848946805</v>
      </c>
    </row>
    <row r="5375" spans="1:40" x14ac:dyDescent="0.25">
      <c r="A5375" t="str">
        <f>"20190304155743025"</f>
        <v>20190304155743025</v>
      </c>
      <c r="B5375" t="str">
        <f>"1551686263020312"</f>
        <v>1551686263020312</v>
      </c>
      <c r="C5375" t="s">
        <v>40</v>
      </c>
      <c r="D5375">
        <v>4.5648530000000003</v>
      </c>
      <c r="E5375">
        <v>0.48080129999999999</v>
      </c>
      <c r="F5375" t="s">
        <v>41</v>
      </c>
      <c r="G5375">
        <v>-396.13780000000003</v>
      </c>
      <c r="H5375" s="1">
        <v>-2.2419239999999999E-6</v>
      </c>
      <c r="I5375">
        <v>17.159569999999999</v>
      </c>
      <c r="J5375">
        <v>-409.7353</v>
      </c>
      <c r="K5375">
        <v>1.1191799999999901</v>
      </c>
      <c r="L5375">
        <v>22.33792</v>
      </c>
      <c r="M5375">
        <v>0.85004169999999901</v>
      </c>
      <c r="N5375">
        <v>-1.3316400000000001E-2</v>
      </c>
      <c r="O5375">
        <v>-0.5265474</v>
      </c>
      <c r="P5375">
        <v>0.90572710000000001</v>
      </c>
      <c r="Q5375">
        <v>0.15827339999999901</v>
      </c>
      <c r="R5375">
        <v>-0.39320270000000002</v>
      </c>
      <c r="S5375">
        <v>2.8762509999999999</v>
      </c>
      <c r="T5375">
        <v>-0.23402980000000001</v>
      </c>
      <c r="U5375">
        <v>-1.1016239999999999</v>
      </c>
      <c r="V5375">
        <v>-0.1465012</v>
      </c>
      <c r="W5375">
        <v>0.1680152</v>
      </c>
      <c r="X5375">
        <v>0.97483750000000002</v>
      </c>
      <c r="Y5375">
        <v>-0.18621840000000001</v>
      </c>
      <c r="Z5375">
        <v>4.005922E-2</v>
      </c>
      <c r="AA5375">
        <v>0.98169139999999999</v>
      </c>
      <c r="AB5375">
        <v>28</v>
      </c>
      <c r="AC5375">
        <v>13.597499999999901</v>
      </c>
      <c r="AD5375">
        <v>-1.1191822419239901</v>
      </c>
      <c r="AE5375">
        <v>-5.1783499999999902</v>
      </c>
      <c r="AF5375">
        <v>-2.74193616617156</v>
      </c>
      <c r="AG5375">
        <v>-1.1191822419239901</v>
      </c>
      <c r="AH5375">
        <v>14.2023245164839</v>
      </c>
      <c r="AI5375">
        <v>94.424386111235293</v>
      </c>
      <c r="AJ5375">
        <v>100.92722573161601</v>
      </c>
      <c r="AK5375">
        <v>14.507818736857599</v>
      </c>
      <c r="AL5375">
        <v>80.327560722967704</v>
      </c>
      <c r="AM5375">
        <v>98.546605380402298</v>
      </c>
      <c r="AN5375">
        <v>0.99999993021936195</v>
      </c>
    </row>
    <row r="5376" spans="1:40" x14ac:dyDescent="0.25">
      <c r="A5376" t="str">
        <f>"20190304155743037"</f>
        <v>20190304155743037</v>
      </c>
      <c r="B5376" t="str">
        <f>"1551686263030072"</f>
        <v>1551686263030072</v>
      </c>
      <c r="C5376" t="s">
        <v>40</v>
      </c>
      <c r="D5376">
        <v>4.5950920000000002</v>
      </c>
      <c r="E5376">
        <v>0.48506100000000002</v>
      </c>
      <c r="F5376" t="s">
        <v>41</v>
      </c>
      <c r="G5376">
        <v>-396.06979999999999</v>
      </c>
      <c r="H5376" s="1">
        <v>-2.264328E-6</v>
      </c>
      <c r="I5376">
        <v>17.21454</v>
      </c>
      <c r="J5376">
        <v>-409.60329999999999</v>
      </c>
      <c r="K5376">
        <v>1.1191739999999999</v>
      </c>
      <c r="L5376">
        <v>22.263729999999999</v>
      </c>
      <c r="M5376">
        <v>0.85348169999999901</v>
      </c>
      <c r="N5376">
        <v>-1.3312330000000001E-2</v>
      </c>
      <c r="O5376">
        <v>-0.52095270000000005</v>
      </c>
      <c r="P5376">
        <v>0.90821819999999998</v>
      </c>
      <c r="Q5376">
        <v>0.15813279999999999</v>
      </c>
      <c r="R5376">
        <v>-0.38747150000000002</v>
      </c>
      <c r="S5376">
        <v>2.884125</v>
      </c>
      <c r="T5376">
        <v>-0.23620559999999999</v>
      </c>
      <c r="U5376">
        <v>-1.081299</v>
      </c>
      <c r="V5376">
        <v>-0.1462648</v>
      </c>
      <c r="W5376">
        <v>0.16787839999999901</v>
      </c>
      <c r="X5376">
        <v>0.9748966</v>
      </c>
      <c r="Y5376">
        <v>-0.18669050000000001</v>
      </c>
      <c r="Z5376">
        <v>4.0179060000000003E-2</v>
      </c>
      <c r="AA5376">
        <v>0.98159680000000005</v>
      </c>
      <c r="AB5376">
        <v>28</v>
      </c>
      <c r="AC5376">
        <v>13.5335</v>
      </c>
      <c r="AD5376">
        <v>-1.1191762643280001</v>
      </c>
      <c r="AE5376">
        <v>-5.0491899999999896</v>
      </c>
      <c r="AF5376">
        <v>-2.7248076664635601</v>
      </c>
      <c r="AG5376">
        <v>-1.1191762643280001</v>
      </c>
      <c r="AH5376">
        <v>14.097610884990999</v>
      </c>
      <c r="AI5376">
        <v>94.456912671436697</v>
      </c>
      <c r="AJ5376">
        <v>100.939323685273</v>
      </c>
      <c r="AK5376">
        <v>14.402075023914801</v>
      </c>
      <c r="AL5376">
        <v>80.335512059077999</v>
      </c>
      <c r="AM5376">
        <v>98.532507756619196</v>
      </c>
      <c r="AN5376">
        <v>0.999999964798579</v>
      </c>
    </row>
    <row r="5377" spans="1:40" x14ac:dyDescent="0.25">
      <c r="A5377" t="str">
        <f>"20190304155743054"</f>
        <v>20190304155743054</v>
      </c>
      <c r="B5377" t="str">
        <f>"1551686263050561"</f>
        <v>1551686263050561</v>
      </c>
      <c r="C5377" t="s">
        <v>40</v>
      </c>
      <c r="D5377">
        <v>4.6149680000000002</v>
      </c>
      <c r="E5377">
        <v>0.48636879999999999</v>
      </c>
      <c r="F5377" t="s">
        <v>41</v>
      </c>
      <c r="G5377">
        <v>-396.10930000000002</v>
      </c>
      <c r="H5377" s="1">
        <v>-2.2601850000000002E-6</v>
      </c>
      <c r="I5377">
        <v>17.132570000000001</v>
      </c>
      <c r="J5377">
        <v>-409.42450000000002</v>
      </c>
      <c r="K5377">
        <v>1.1191690000000001</v>
      </c>
      <c r="L5377">
        <v>22.164860000000001</v>
      </c>
      <c r="M5377">
        <v>0.858062199999999</v>
      </c>
      <c r="N5377">
        <v>-1.3307340000000001E-2</v>
      </c>
      <c r="O5377">
        <v>-0.51337359999999999</v>
      </c>
      <c r="P5377">
        <v>0.91142730000000005</v>
      </c>
      <c r="Q5377">
        <v>0.1576786</v>
      </c>
      <c r="R5377">
        <v>-0.38004969999999999</v>
      </c>
      <c r="S5377">
        <v>2.877869</v>
      </c>
      <c r="T5377">
        <v>-0.23868829999999999</v>
      </c>
      <c r="U5377">
        <v>-1.09433</v>
      </c>
      <c r="V5377">
        <v>-0.14560919999999999</v>
      </c>
      <c r="W5377">
        <v>0.1674389</v>
      </c>
      <c r="X5377">
        <v>0.9750704</v>
      </c>
      <c r="Y5377">
        <v>-0.1733991</v>
      </c>
      <c r="Z5377">
        <v>3.9705650000000002E-2</v>
      </c>
      <c r="AA5377">
        <v>0.98405089999999995</v>
      </c>
      <c r="AB5377">
        <v>28</v>
      </c>
      <c r="AC5377">
        <v>13.315200000000001</v>
      </c>
      <c r="AD5377">
        <v>-1.1191712601849999</v>
      </c>
      <c r="AE5377">
        <v>-5.0322899999999997</v>
      </c>
      <c r="AF5377">
        <v>-2.5024075803041801</v>
      </c>
      <c r="AG5377">
        <v>-1.1191712601849999</v>
      </c>
      <c r="AH5377">
        <v>13.9238787792544</v>
      </c>
      <c r="AI5377">
        <v>94.523270249260193</v>
      </c>
      <c r="AJ5377">
        <v>100.188465852561</v>
      </c>
      <c r="AK5377">
        <v>14.191158806347</v>
      </c>
      <c r="AL5377">
        <v>80.361055988907097</v>
      </c>
      <c r="AM5377">
        <v>98.493329826379593</v>
      </c>
      <c r="AN5377">
        <v>1.000000054657</v>
      </c>
    </row>
    <row r="5378" spans="1:40" x14ac:dyDescent="0.25">
      <c r="A5378" t="str">
        <f>"20190304155743064"</f>
        <v>20190304155743064</v>
      </c>
      <c r="B5378" t="str">
        <f>"1551686263060322"</f>
        <v>1551686263060322</v>
      </c>
      <c r="C5378" t="s">
        <v>40</v>
      </c>
      <c r="D5378">
        <v>4.5526540000000004</v>
      </c>
      <c r="E5378">
        <v>0.4869636</v>
      </c>
      <c r="F5378" t="s">
        <v>41</v>
      </c>
      <c r="G5378">
        <v>-396.16300000000001</v>
      </c>
      <c r="H5378" s="1">
        <v>-2.223799E-6</v>
      </c>
      <c r="I5378">
        <v>17.19481</v>
      </c>
      <c r="J5378">
        <v>-409.30590000000001</v>
      </c>
      <c r="K5378">
        <v>1.1191660000000001</v>
      </c>
      <c r="L5378">
        <v>22.100519999999999</v>
      </c>
      <c r="M5378">
        <v>0.86105049999999905</v>
      </c>
      <c r="N5378">
        <v>-1.3304359999999999E-2</v>
      </c>
      <c r="O5378">
        <v>-0.50834570000000001</v>
      </c>
      <c r="P5378">
        <v>0.9135278</v>
      </c>
      <c r="Q5378">
        <v>0.15748229999999999</v>
      </c>
      <c r="R5378">
        <v>-0.37505529999999998</v>
      </c>
      <c r="S5378">
        <v>2.8830260000000001</v>
      </c>
      <c r="T5378">
        <v>-0.2433052</v>
      </c>
      <c r="U5378">
        <v>-1.0804750000000001</v>
      </c>
      <c r="V5378">
        <v>-0.1452531</v>
      </c>
      <c r="W5378">
        <v>0.16724990000000001</v>
      </c>
      <c r="X5378">
        <v>0.97515589999999996</v>
      </c>
      <c r="Y5378">
        <v>-0.17231199999999999</v>
      </c>
      <c r="Z5378">
        <v>4.0236229999999998E-2</v>
      </c>
      <c r="AA5378">
        <v>0.98422030000000005</v>
      </c>
      <c r="AB5378">
        <v>28</v>
      </c>
      <c r="AC5378">
        <v>13.1428999999999</v>
      </c>
      <c r="AD5378">
        <v>-1.1191682237989999</v>
      </c>
      <c r="AE5378">
        <v>-4.9057099999999902</v>
      </c>
      <c r="AF5378">
        <v>-2.4417493266614199</v>
      </c>
      <c r="AG5378">
        <v>-1.1191682237989999</v>
      </c>
      <c r="AH5378">
        <v>13.724369204174</v>
      </c>
      <c r="AI5378">
        <v>94.59016429591</v>
      </c>
      <c r="AJ5378">
        <v>100.088130888921</v>
      </c>
      <c r="AK5378">
        <v>13.984741232496701</v>
      </c>
      <c r="AL5378">
        <v>80.372039351381602</v>
      </c>
      <c r="AM5378">
        <v>98.472128402735393</v>
      </c>
      <c r="AN5378">
        <v>1.00000001070721</v>
      </c>
    </row>
    <row r="5379" spans="1:40" x14ac:dyDescent="0.25">
      <c r="A5379" t="str">
        <f>"20190304155743076"</f>
        <v>20190304155743076</v>
      </c>
      <c r="B5379" t="str">
        <f>"1551686263070082"</f>
        <v>1551686263070082</v>
      </c>
      <c r="C5379" t="s">
        <v>40</v>
      </c>
      <c r="D5379">
        <v>4.6302649999999996</v>
      </c>
      <c r="E5379">
        <v>0.4869636</v>
      </c>
      <c r="F5379" t="s">
        <v>41</v>
      </c>
      <c r="G5379">
        <v>-396.04390000000001</v>
      </c>
      <c r="H5379" s="1">
        <v>-2.2808510000000002E-6</v>
      </c>
      <c r="I5379">
        <v>17.19061</v>
      </c>
      <c r="J5379">
        <v>-409.17399999999998</v>
      </c>
      <c r="K5379">
        <v>1.11917</v>
      </c>
      <c r="L5379">
        <v>22.03003</v>
      </c>
      <c r="M5379">
        <v>0.86432770000000003</v>
      </c>
      <c r="N5379">
        <v>-1.330129E-2</v>
      </c>
      <c r="O5379">
        <v>-0.50275360000000002</v>
      </c>
      <c r="P5379">
        <v>0.91581679999999999</v>
      </c>
      <c r="Q5379">
        <v>0.1576176</v>
      </c>
      <c r="R5379">
        <v>-0.36937340000000002</v>
      </c>
      <c r="S5379">
        <v>2.8871150000000001</v>
      </c>
      <c r="T5379">
        <v>-0.24364050000000001</v>
      </c>
      <c r="U5379">
        <v>-1.068878</v>
      </c>
      <c r="V5379">
        <v>-0.14497850000000001</v>
      </c>
      <c r="W5379">
        <v>0.16739000000000001</v>
      </c>
      <c r="X5379">
        <v>0.9751727</v>
      </c>
      <c r="Y5379">
        <v>-0.1698704</v>
      </c>
      <c r="Z5379">
        <v>3.9863450000000002E-2</v>
      </c>
      <c r="AA5379">
        <v>0.98465979999999997</v>
      </c>
      <c r="AB5379">
        <v>28</v>
      </c>
      <c r="AC5379">
        <v>13.130100000000001</v>
      </c>
      <c r="AD5379">
        <v>-1.1191722808509901</v>
      </c>
      <c r="AE5379">
        <v>-4.8394199999999996</v>
      </c>
      <c r="AF5379">
        <v>-2.4032017456121602</v>
      </c>
      <c r="AG5379">
        <v>-1.1191722808509901</v>
      </c>
      <c r="AH5379">
        <v>13.6953595155728</v>
      </c>
      <c r="AI5379">
        <v>94.601775684899593</v>
      </c>
      <c r="AJ5379">
        <v>99.952684801283198</v>
      </c>
      <c r="AK5379">
        <v>13.949580548716501</v>
      </c>
      <c r="AL5379">
        <v>80.363897194813205</v>
      </c>
      <c r="AM5379">
        <v>98.456200120240695</v>
      </c>
      <c r="AN5379">
        <v>0.99999998619376895</v>
      </c>
    </row>
    <row r="5380" spans="1:40" x14ac:dyDescent="0.25">
      <c r="A5380" t="str">
        <f>"20190304155743087"</f>
        <v>20190304155743087</v>
      </c>
      <c r="B5380" t="str">
        <f>"1551686263079842"</f>
        <v>1551686263079842</v>
      </c>
      <c r="C5380" t="s">
        <v>40</v>
      </c>
      <c r="D5380">
        <v>4.6306229999999999</v>
      </c>
      <c r="E5380">
        <v>0.47204410000000002</v>
      </c>
      <c r="F5380" t="s">
        <v>41</v>
      </c>
      <c r="G5380">
        <v>-395.85849999999999</v>
      </c>
      <c r="H5380" s="1">
        <v>-2.367855E-6</v>
      </c>
      <c r="I5380">
        <v>17.193989999999999</v>
      </c>
      <c r="J5380">
        <v>-409.04910000000001</v>
      </c>
      <c r="K5380">
        <v>1.1191690000000001</v>
      </c>
      <c r="L5380">
        <v>21.96405</v>
      </c>
      <c r="M5380">
        <v>0.8673881</v>
      </c>
      <c r="N5380">
        <v>-1.3298559999999999E-2</v>
      </c>
      <c r="O5380">
        <v>-0.49745489999999998</v>
      </c>
      <c r="P5380">
        <v>0.9179602</v>
      </c>
      <c r="Q5380">
        <v>0.15761839999999999</v>
      </c>
      <c r="R5380">
        <v>-0.3640138</v>
      </c>
      <c r="S5380">
        <v>2.893707</v>
      </c>
      <c r="T5380">
        <v>-0.24321780000000001</v>
      </c>
      <c r="U5380">
        <v>-1.050964</v>
      </c>
      <c r="V5380">
        <v>-0.14470959999999999</v>
      </c>
      <c r="W5380">
        <v>0.16739609999999999</v>
      </c>
      <c r="X5380">
        <v>0.97521159999999996</v>
      </c>
      <c r="Y5380">
        <v>-0.16996120000000001</v>
      </c>
      <c r="Z5380">
        <v>3.9466210000000002E-2</v>
      </c>
      <c r="AA5380">
        <v>0.98466010000000004</v>
      </c>
      <c r="AB5380">
        <v>28</v>
      </c>
      <c r="AC5380">
        <v>13.1906</v>
      </c>
      <c r="AD5380">
        <v>-1.1191713678549999</v>
      </c>
      <c r="AE5380">
        <v>-4.77006</v>
      </c>
      <c r="AF5380">
        <v>-2.4091121153758501</v>
      </c>
      <c r="AG5380">
        <v>-1.1191713678549999</v>
      </c>
      <c r="AH5380">
        <v>13.7280811231633</v>
      </c>
      <c r="AI5380">
        <v>94.590840768443499</v>
      </c>
      <c r="AJ5380">
        <v>99.953367149460604</v>
      </c>
      <c r="AK5380">
        <v>13.9827242359717</v>
      </c>
      <c r="AL5380">
        <v>80.363542761587894</v>
      </c>
      <c r="AM5380">
        <v>98.440410226137303</v>
      </c>
      <c r="AN5380">
        <v>0.99999999370096404</v>
      </c>
    </row>
    <row r="5381" spans="1:40" x14ac:dyDescent="0.25">
      <c r="A5381" t="str">
        <f>"20190304155743099"</f>
        <v>20190304155743099</v>
      </c>
      <c r="B5381" t="str">
        <f>"1551686263090578"</f>
        <v>1551686263090578</v>
      </c>
      <c r="C5381" t="s">
        <v>40</v>
      </c>
      <c r="D5381">
        <v>4.519933</v>
      </c>
      <c r="E5381">
        <v>0.46550540000000001</v>
      </c>
      <c r="F5381" t="s">
        <v>41</v>
      </c>
      <c r="G5381">
        <v>-395.59339999999997</v>
      </c>
      <c r="H5381" s="1">
        <v>-2.3958559999999999E-6</v>
      </c>
      <c r="I5381">
        <v>17.7425</v>
      </c>
      <c r="J5381">
        <v>-408.93099999999998</v>
      </c>
      <c r="K5381">
        <v>1.1191679999999999</v>
      </c>
      <c r="L5381">
        <v>21.902979999999999</v>
      </c>
      <c r="M5381">
        <v>0.87024049999999997</v>
      </c>
      <c r="N5381">
        <v>-1.3296240000000001E-2</v>
      </c>
      <c r="O5381">
        <v>-0.49244789999999999</v>
      </c>
      <c r="P5381">
        <v>0.91996599999999995</v>
      </c>
      <c r="Q5381">
        <v>0.1576292</v>
      </c>
      <c r="R5381">
        <v>-0.35890939999999999</v>
      </c>
      <c r="S5381">
        <v>2.9439090000000001</v>
      </c>
      <c r="T5381">
        <v>-0.24485870000000001</v>
      </c>
      <c r="U5381">
        <v>-0.9236145</v>
      </c>
      <c r="V5381">
        <v>-0.14450370000000001</v>
      </c>
      <c r="W5381">
        <v>0.1674107</v>
      </c>
      <c r="X5381">
        <v>0.97523959999999998</v>
      </c>
      <c r="Y5381">
        <v>-0.20770739999999999</v>
      </c>
      <c r="Z5381">
        <v>4.0927230000000002E-2</v>
      </c>
      <c r="AA5381">
        <v>0.97733440000000005</v>
      </c>
      <c r="AB5381">
        <v>28</v>
      </c>
      <c r="AC5381">
        <v>13.3376</v>
      </c>
      <c r="AD5381">
        <v>-1.119170395856</v>
      </c>
      <c r="AE5381">
        <v>-4.1604799999999997</v>
      </c>
      <c r="AF5381">
        <v>-2.92892118468365</v>
      </c>
      <c r="AG5381">
        <v>-1.119170395856</v>
      </c>
      <c r="AH5381">
        <v>13.569871420157501</v>
      </c>
      <c r="AI5381">
        <v>94.6091117249631</v>
      </c>
      <c r="AJ5381">
        <v>102.17987478716699</v>
      </c>
      <c r="AK5381">
        <v>13.9274022000033</v>
      </c>
      <c r="AL5381">
        <v>80.362694035192405</v>
      </c>
      <c r="AM5381">
        <v>98.428334905811596</v>
      </c>
      <c r="AN5381">
        <v>0.99999996959816895</v>
      </c>
    </row>
    <row r="5382" spans="1:40" x14ac:dyDescent="0.25">
      <c r="A5382" t="str">
        <f>"20190304155743109"</f>
        <v>20190304155743109</v>
      </c>
      <c r="B5382" t="str">
        <f>"1551686263100338"</f>
        <v>1551686263100338</v>
      </c>
      <c r="C5382" t="s">
        <v>40</v>
      </c>
      <c r="D5382">
        <v>4.5258190000000003</v>
      </c>
      <c r="E5382">
        <v>0.46025050000000001</v>
      </c>
      <c r="F5382" t="s">
        <v>41</v>
      </c>
      <c r="G5382">
        <v>-394.71080000000001</v>
      </c>
      <c r="H5382" s="1">
        <v>-2.8050420000000001E-6</v>
      </c>
      <c r="I5382">
        <v>17.7879</v>
      </c>
      <c r="J5382">
        <v>-408.81479999999999</v>
      </c>
      <c r="K5382">
        <v>1.119167</v>
      </c>
      <c r="L5382">
        <v>21.843109999999999</v>
      </c>
      <c r="M5382">
        <v>0.87301740000000005</v>
      </c>
      <c r="N5382">
        <v>-1.329404E-2</v>
      </c>
      <c r="O5382">
        <v>-0.4875081</v>
      </c>
      <c r="P5382">
        <v>0.92199129999999996</v>
      </c>
      <c r="Q5382">
        <v>0.15768370000000001</v>
      </c>
      <c r="R5382">
        <v>-0.35365010000000002</v>
      </c>
      <c r="S5382">
        <v>2.9660950000000001</v>
      </c>
      <c r="T5382">
        <v>-0.2334398</v>
      </c>
      <c r="U5382">
        <v>-0.85833740000000003</v>
      </c>
      <c r="V5382">
        <v>-0.14454149999999999</v>
      </c>
      <c r="W5382">
        <v>0.16746340000000001</v>
      </c>
      <c r="X5382">
        <v>0.97522500000000001</v>
      </c>
      <c r="Y5382">
        <v>-0.2240829</v>
      </c>
      <c r="Z5382">
        <v>3.912061E-2</v>
      </c>
      <c r="AA5382">
        <v>0.9737846</v>
      </c>
      <c r="AB5382">
        <v>28</v>
      </c>
      <c r="AC5382">
        <v>14.1039999999999</v>
      </c>
      <c r="AD5382">
        <v>-1.119169805042</v>
      </c>
      <c r="AE5382">
        <v>-4.05520999999999</v>
      </c>
      <c r="AF5382">
        <v>-3.3165512069961198</v>
      </c>
      <c r="AG5382">
        <v>-1.119169805042</v>
      </c>
      <c r="AH5382">
        <v>14.2086113180931</v>
      </c>
      <c r="AI5382">
        <v>94.386290287611402</v>
      </c>
      <c r="AJ5382">
        <v>103.13864408918499</v>
      </c>
      <c r="AK5382">
        <v>14.6334100109916</v>
      </c>
      <c r="AL5382">
        <v>80.3596317822972</v>
      </c>
      <c r="AM5382">
        <v>98.430632349945299</v>
      </c>
      <c r="AN5382">
        <v>1.0000000180933999</v>
      </c>
    </row>
    <row r="5383" spans="1:40" x14ac:dyDescent="0.25">
      <c r="A5383" t="str">
        <f>"20190304155743120"</f>
        <v>20190304155743120</v>
      </c>
      <c r="B5383" t="str">
        <f>"1551686263110098"</f>
        <v>1551686263110098</v>
      </c>
      <c r="C5383" t="s">
        <v>40</v>
      </c>
      <c r="D5383">
        <v>4.5239089999999997</v>
      </c>
      <c r="E5383">
        <v>0.45692539999999998</v>
      </c>
      <c r="F5383" t="s">
        <v>41</v>
      </c>
      <c r="G5383">
        <v>-393.93200000000002</v>
      </c>
      <c r="H5383" s="1">
        <v>-3.1632449999999998E-6</v>
      </c>
      <c r="I5383">
        <v>17.843900000000001</v>
      </c>
      <c r="J5383">
        <v>-408.68119999999999</v>
      </c>
      <c r="K5383">
        <v>1.119164</v>
      </c>
      <c r="L5383">
        <v>21.776060000000001</v>
      </c>
      <c r="M5383">
        <v>0.87615750000000003</v>
      </c>
      <c r="N5383">
        <v>-1.329172E-2</v>
      </c>
      <c r="O5383">
        <v>-0.48184199999999999</v>
      </c>
      <c r="P5383">
        <v>0.9241682</v>
      </c>
      <c r="Q5383">
        <v>0.157578</v>
      </c>
      <c r="R5383">
        <v>-0.34796929999999998</v>
      </c>
      <c r="S5383">
        <v>2.9845890000000002</v>
      </c>
      <c r="T5383">
        <v>-0.22443879999999999</v>
      </c>
      <c r="U5383">
        <v>-0.80200199999999999</v>
      </c>
      <c r="V5383">
        <v>-0.1442291</v>
      </c>
      <c r="W5383">
        <v>0.1673637</v>
      </c>
      <c r="X5383">
        <v>0.9752883</v>
      </c>
      <c r="Y5383">
        <v>-0.23652989999999999</v>
      </c>
      <c r="Z5383">
        <v>3.756516E-2</v>
      </c>
      <c r="AA5383">
        <v>0.97089769999999997</v>
      </c>
      <c r="AB5383">
        <v>28</v>
      </c>
      <c r="AC5383">
        <v>14.7492</v>
      </c>
      <c r="AD5383">
        <v>-1.119167163245</v>
      </c>
      <c r="AE5383">
        <v>-3.9321600000000001</v>
      </c>
      <c r="AF5383">
        <v>-3.6423354135678498</v>
      </c>
      <c r="AG5383">
        <v>-1.119167163245</v>
      </c>
      <c r="AH5383">
        <v>14.7393745182902</v>
      </c>
      <c r="AI5383">
        <v>94.215824479074797</v>
      </c>
      <c r="AJ5383">
        <v>103.88061778993099</v>
      </c>
      <c r="AK5383">
        <v>15.2239385046918</v>
      </c>
      <c r="AL5383">
        <v>80.365425329637006</v>
      </c>
      <c r="AM5383">
        <v>98.412133912675301</v>
      </c>
      <c r="AN5383">
        <v>0.99999995474069303</v>
      </c>
    </row>
    <row r="5384" spans="1:40" x14ac:dyDescent="0.25">
      <c r="A5384" t="str">
        <f>"20190304155743133"</f>
        <v>20190304155743133</v>
      </c>
      <c r="B5384" t="str">
        <f>"1551686263130593"</f>
        <v>1551686263130593</v>
      </c>
      <c r="C5384" t="s">
        <v>40</v>
      </c>
      <c r="D5384">
        <v>4.547199</v>
      </c>
      <c r="E5384">
        <v>0.45410220000000001</v>
      </c>
      <c r="F5384" t="s">
        <v>41</v>
      </c>
      <c r="G5384">
        <v>-392.88499999999999</v>
      </c>
      <c r="H5384" s="1">
        <v>-3.6695760000000002E-6</v>
      </c>
      <c r="I5384">
        <v>17.779679999999999</v>
      </c>
      <c r="J5384">
        <v>-408.55630000000002</v>
      </c>
      <c r="K5384">
        <v>1.119162</v>
      </c>
      <c r="L5384">
        <v>21.713840000000001</v>
      </c>
      <c r="M5384">
        <v>0.87905440000000001</v>
      </c>
      <c r="N5384">
        <v>-1.328961E-2</v>
      </c>
      <c r="O5384">
        <v>-0.47653620000000002</v>
      </c>
      <c r="P5384">
        <v>0.92616980000000004</v>
      </c>
      <c r="Q5384">
        <v>0.1574739</v>
      </c>
      <c r="R5384">
        <v>-0.342653599999999</v>
      </c>
      <c r="S5384">
        <v>2.996918</v>
      </c>
      <c r="T5384">
        <v>-0.21233299999999999</v>
      </c>
      <c r="U5384">
        <v>-0.75820919999999903</v>
      </c>
      <c r="V5384">
        <v>-0.14394089999999901</v>
      </c>
      <c r="W5384">
        <v>0.16726640000000001</v>
      </c>
      <c r="X5384">
        <v>0.97534759999999998</v>
      </c>
      <c r="Y5384">
        <v>-0.2450889</v>
      </c>
      <c r="Z5384">
        <v>3.5321650000000003E-2</v>
      </c>
      <c r="AA5384">
        <v>0.96885699999999997</v>
      </c>
      <c r="AB5384">
        <v>28</v>
      </c>
      <c r="AC5384">
        <v>15.6713</v>
      </c>
      <c r="AD5384">
        <v>-1.1191656695759999</v>
      </c>
      <c r="AE5384">
        <v>-3.9341599999999999</v>
      </c>
      <c r="AF5384">
        <v>-3.9908083662215899</v>
      </c>
      <c r="AG5384">
        <v>-1.1191656695759999</v>
      </c>
      <c r="AH5384">
        <v>15.577341137106799</v>
      </c>
      <c r="AI5384">
        <v>93.981252287604605</v>
      </c>
      <c r="AJ5384">
        <v>104.36972302143199</v>
      </c>
      <c r="AK5384">
        <v>16.119325051430099</v>
      </c>
      <c r="AL5384">
        <v>80.371080223560199</v>
      </c>
      <c r="AM5384">
        <v>98.395061349807094</v>
      </c>
      <c r="AN5384">
        <v>0.99999998604376406</v>
      </c>
    </row>
    <row r="5385" spans="1:40" x14ac:dyDescent="0.25">
      <c r="A5385" t="str">
        <f>"20190304155743144"</f>
        <v>20190304155743144</v>
      </c>
      <c r="B5385" t="str">
        <f>"1551686263140354"</f>
        <v>1551686263140354</v>
      </c>
      <c r="C5385" t="s">
        <v>40</v>
      </c>
      <c r="D5385">
        <v>4.5561350000000003</v>
      </c>
      <c r="E5385">
        <v>0.45344800000000002</v>
      </c>
      <c r="F5385" t="s">
        <v>41</v>
      </c>
      <c r="G5385">
        <v>-391.39139999999998</v>
      </c>
      <c r="H5385" s="1">
        <v>-4.4059779999999996E-6</v>
      </c>
      <c r="I5385">
        <v>17.60848</v>
      </c>
      <c r="J5385">
        <v>-408.41910000000001</v>
      </c>
      <c r="K5385">
        <v>1.1191549999999999</v>
      </c>
      <c r="L5385">
        <v>21.646940000000001</v>
      </c>
      <c r="M5385">
        <v>0.88218589999999997</v>
      </c>
      <c r="N5385">
        <v>-1.328733E-2</v>
      </c>
      <c r="O5385">
        <v>-0.47071410000000002</v>
      </c>
      <c r="P5385">
        <v>0.92838940000000003</v>
      </c>
      <c r="Q5385">
        <v>0.157383299999999</v>
      </c>
      <c r="R5385">
        <v>-0.33663609999999999</v>
      </c>
      <c r="S5385">
        <v>3.0064389999999999</v>
      </c>
      <c r="T5385">
        <v>-0.19602259999999999</v>
      </c>
      <c r="U5385">
        <v>-0.71905520000000001</v>
      </c>
      <c r="V5385">
        <v>-0.14382490000000001</v>
      </c>
      <c r="W5385">
        <v>0.16717750000000001</v>
      </c>
      <c r="X5385">
        <v>0.97537989999999997</v>
      </c>
      <c r="Y5385">
        <v>-0.25150660000000002</v>
      </c>
      <c r="Z5385">
        <v>3.2208649999999998E-2</v>
      </c>
      <c r="AA5385">
        <v>0.9673195</v>
      </c>
      <c r="AB5385">
        <v>28</v>
      </c>
      <c r="AC5385">
        <v>17.027699999999999</v>
      </c>
      <c r="AD5385">
        <v>-1.1191594059779999</v>
      </c>
      <c r="AE5385">
        <v>-4.0384599999999997</v>
      </c>
      <c r="AF5385">
        <v>-4.4347610701632103</v>
      </c>
      <c r="AG5385">
        <v>-1.1191594059779999</v>
      </c>
      <c r="AH5385">
        <v>16.855114047143299</v>
      </c>
      <c r="AI5385">
        <v>93.674108901842402</v>
      </c>
      <c r="AJ5385">
        <v>104.741034563618</v>
      </c>
      <c r="AK5385">
        <v>17.4646641269631</v>
      </c>
      <c r="AL5385">
        <v>80.376246057124703</v>
      </c>
      <c r="AM5385">
        <v>98.388118353277804</v>
      </c>
      <c r="AN5385">
        <v>0.99999993384513197</v>
      </c>
    </row>
    <row r="5386" spans="1:40" x14ac:dyDescent="0.25">
      <c r="A5386" t="str">
        <f>"20190304155743157"</f>
        <v>20190304155743157</v>
      </c>
      <c r="B5386" t="str">
        <f>"1551686263150622"</f>
        <v>1551686263150622</v>
      </c>
      <c r="C5386" t="s">
        <v>40</v>
      </c>
      <c r="D5386">
        <v>4.5239719999999997</v>
      </c>
      <c r="E5386">
        <v>0.45293830000000002</v>
      </c>
      <c r="F5386" t="s">
        <v>41</v>
      </c>
      <c r="G5386">
        <v>-390.82760000000002</v>
      </c>
      <c r="H5386" s="1">
        <v>-4.6752949999999996E-6</v>
      </c>
      <c r="I5386">
        <v>17.592649999999999</v>
      </c>
      <c r="J5386">
        <v>-408.28250000000003</v>
      </c>
      <c r="K5386">
        <v>1.119151</v>
      </c>
      <c r="L5386">
        <v>21.58136</v>
      </c>
      <c r="M5386">
        <v>0.88525529999999997</v>
      </c>
      <c r="N5386">
        <v>-1.328496E-2</v>
      </c>
      <c r="O5386">
        <v>-0.46491589999999999</v>
      </c>
      <c r="P5386">
        <v>0.93053900000000001</v>
      </c>
      <c r="Q5386">
        <v>0.15747130000000001</v>
      </c>
      <c r="R5386">
        <v>-0.33060590000000001</v>
      </c>
      <c r="S5386">
        <v>3.0121769999999999</v>
      </c>
      <c r="T5386">
        <v>-0.19163269999999999</v>
      </c>
      <c r="U5386">
        <v>-0.69421390000000005</v>
      </c>
      <c r="V5386">
        <v>-0.1437465</v>
      </c>
      <c r="W5386">
        <v>0.1672669</v>
      </c>
      <c r="X5386">
        <v>0.97537620000000003</v>
      </c>
      <c r="Y5386">
        <v>-0.25319120000000001</v>
      </c>
      <c r="Z5386">
        <v>3.1190909999999999E-2</v>
      </c>
      <c r="AA5386">
        <v>0.96691329999999998</v>
      </c>
      <c r="AB5386">
        <v>28</v>
      </c>
      <c r="AC5386">
        <v>17.454899999999999</v>
      </c>
      <c r="AD5386">
        <v>-1.11915567529499</v>
      </c>
      <c r="AE5386">
        <v>-3.9887100000000002</v>
      </c>
      <c r="AF5386">
        <v>-4.5665963650173502</v>
      </c>
      <c r="AG5386">
        <v>-1.11915567529499</v>
      </c>
      <c r="AH5386">
        <v>17.240624255167798</v>
      </c>
      <c r="AI5386">
        <v>93.590600424339002</v>
      </c>
      <c r="AJ5386">
        <v>104.835491397741</v>
      </c>
      <c r="AK5386">
        <v>17.870238848275498</v>
      </c>
      <c r="AL5386">
        <v>80.371051319581198</v>
      </c>
      <c r="AM5386">
        <v>98.383642281579</v>
      </c>
      <c r="AN5386">
        <v>1.00000000181215</v>
      </c>
    </row>
    <row r="5387" spans="1:40" x14ac:dyDescent="0.25">
      <c r="A5387" t="str">
        <f>"20190304155743168"</f>
        <v>20190304155743168</v>
      </c>
      <c r="B5387" t="str">
        <f>"1551686263160382"</f>
        <v>1551686263160382</v>
      </c>
      <c r="C5387" t="s">
        <v>40</v>
      </c>
      <c r="D5387">
        <v>4.5002110000000002</v>
      </c>
      <c r="E5387">
        <v>0.4526172</v>
      </c>
      <c r="F5387" t="s">
        <v>41</v>
      </c>
      <c r="G5387">
        <v>-390.3451</v>
      </c>
      <c r="H5387" s="1">
        <v>-4.9029680000000003E-6</v>
      </c>
      <c r="I5387">
        <v>17.59497</v>
      </c>
      <c r="J5387">
        <v>-408.15589999999997</v>
      </c>
      <c r="K5387">
        <v>1.119148</v>
      </c>
      <c r="L5387">
        <v>21.5213</v>
      </c>
      <c r="M5387">
        <v>0.88805809999999996</v>
      </c>
      <c r="N5387">
        <v>-1.328272E-2</v>
      </c>
      <c r="O5387">
        <v>-0.45953919999999998</v>
      </c>
      <c r="P5387">
        <v>0.93246770000000001</v>
      </c>
      <c r="Q5387">
        <v>0.15743950000000001</v>
      </c>
      <c r="R5387">
        <v>-0.32514120000000002</v>
      </c>
      <c r="S5387">
        <v>3.0175779999999999</v>
      </c>
      <c r="T5387">
        <v>-0.18827369999999999</v>
      </c>
      <c r="U5387">
        <v>-0.67062379999999999</v>
      </c>
      <c r="V5387">
        <v>-0.14355309999999999</v>
      </c>
      <c r="W5387">
        <v>0.16723959999999999</v>
      </c>
      <c r="X5387">
        <v>0.97540939999999998</v>
      </c>
      <c r="Y5387">
        <v>-0.25493710000000003</v>
      </c>
      <c r="Z5387">
        <v>3.039528E-2</v>
      </c>
      <c r="AA5387">
        <v>0.9664798</v>
      </c>
      <c r="AB5387">
        <v>28</v>
      </c>
      <c r="AC5387">
        <v>17.810799999999901</v>
      </c>
      <c r="AD5387">
        <v>-1.1191529029680001</v>
      </c>
      <c r="AE5387">
        <v>-3.9263300000000001</v>
      </c>
      <c r="AF5387">
        <v>-4.6807417977118204</v>
      </c>
      <c r="AG5387">
        <v>-1.1191529029680001</v>
      </c>
      <c r="AH5387">
        <v>17.556776220959499</v>
      </c>
      <c r="AI5387">
        <v>93.524587378267995</v>
      </c>
      <c r="AJ5387">
        <v>104.92817169895901</v>
      </c>
      <c r="AK5387">
        <v>18.204456549700101</v>
      </c>
      <c r="AL5387">
        <v>80.372638183849006</v>
      </c>
      <c r="AM5387">
        <v>98.372241783622798</v>
      </c>
      <c r="AN5387">
        <v>1.0000000369680599</v>
      </c>
    </row>
    <row r="5388" spans="1:40" x14ac:dyDescent="0.25">
      <c r="A5388" t="str">
        <f>"20190304155743179"</f>
        <v>20190304155743179</v>
      </c>
      <c r="B5388" t="str">
        <f>"1551686263170142"</f>
        <v>1551686263170142</v>
      </c>
      <c r="C5388" t="s">
        <v>40</v>
      </c>
      <c r="D5388">
        <v>4.5503609999999997</v>
      </c>
      <c r="E5388">
        <v>0.45248630000000001</v>
      </c>
      <c r="F5388" t="s">
        <v>85</v>
      </c>
      <c r="G5388">
        <v>-389.98059999999998</v>
      </c>
      <c r="H5388" s="1">
        <v>-5.4201689999999996E-7</v>
      </c>
      <c r="I5388">
        <v>17.608920000000001</v>
      </c>
      <c r="J5388">
        <v>-408.03480000000002</v>
      </c>
      <c r="K5388">
        <v>1.1191409999999999</v>
      </c>
      <c r="L5388">
        <v>21.465150000000001</v>
      </c>
      <c r="M5388">
        <v>0.89069730000000003</v>
      </c>
      <c r="N5388">
        <v>-1.3280510000000001E-2</v>
      </c>
      <c r="O5388">
        <v>-0.4544031</v>
      </c>
      <c r="P5388">
        <v>0.93428140000000004</v>
      </c>
      <c r="Q5388">
        <v>0.1577412</v>
      </c>
      <c r="R5388">
        <v>-0.31974350000000001</v>
      </c>
      <c r="S5388">
        <v>3.021881</v>
      </c>
      <c r="T5388">
        <v>-0.18607209999999999</v>
      </c>
      <c r="U5388">
        <v>-0.65048219999999901</v>
      </c>
      <c r="V5388">
        <v>-0.14354149999999999</v>
      </c>
      <c r="W5388">
        <v>0.16754089999999999</v>
      </c>
      <c r="X5388">
        <v>0.97535939999999999</v>
      </c>
      <c r="Y5388">
        <v>-0.25582199999999999</v>
      </c>
      <c r="Z5388">
        <v>2.9803969999999999E-2</v>
      </c>
      <c r="AA5388">
        <v>0.96626440000000002</v>
      </c>
      <c r="AB5388">
        <v>28</v>
      </c>
      <c r="AC5388">
        <v>18.054200000000002</v>
      </c>
      <c r="AD5388">
        <v>-1.1191415420169</v>
      </c>
      <c r="AE5388">
        <v>-3.85623</v>
      </c>
      <c r="AF5388">
        <v>-4.7521076198921897</v>
      </c>
      <c r="AG5388">
        <v>-1.1191415420169</v>
      </c>
      <c r="AH5388">
        <v>17.769381128180701</v>
      </c>
      <c r="AI5388">
        <v>93.481770522481497</v>
      </c>
      <c r="AJ5388">
        <v>104.97236803187</v>
      </c>
      <c r="AK5388">
        <v>18.4278569101415</v>
      </c>
      <c r="AL5388">
        <v>80.355127911675893</v>
      </c>
      <c r="AM5388">
        <v>98.371997912460102</v>
      </c>
      <c r="AN5388">
        <v>1.0000000372816999</v>
      </c>
    </row>
    <row r="5389" spans="1:40" x14ac:dyDescent="0.25">
      <c r="A5389" t="str">
        <f>"20190304155743199"</f>
        <v>20190304155743199</v>
      </c>
      <c r="B5389" t="str">
        <f>"1551686263190638"</f>
        <v>1551686263190638</v>
      </c>
      <c r="C5389" t="s">
        <v>40</v>
      </c>
      <c r="D5389">
        <v>4.4928460000000001</v>
      </c>
      <c r="E5389">
        <v>0.4524743</v>
      </c>
      <c r="F5389" t="s">
        <v>85</v>
      </c>
      <c r="G5389">
        <v>-389.49059999999997</v>
      </c>
      <c r="H5389" s="1">
        <v>-7.344577E-7</v>
      </c>
      <c r="I5389">
        <v>17.592759999999998</v>
      </c>
      <c r="J5389">
        <v>-407.80779999999999</v>
      </c>
      <c r="K5389">
        <v>1.1191260000000001</v>
      </c>
      <c r="L5389">
        <v>21.361719999999998</v>
      </c>
      <c r="M5389">
        <v>0.89554149999999999</v>
      </c>
      <c r="N5389">
        <v>-1.3276059999999999E-2</v>
      </c>
      <c r="O5389">
        <v>-0.44477990000000001</v>
      </c>
      <c r="P5389">
        <v>0.9377181</v>
      </c>
      <c r="Q5389">
        <v>0.15734719999999999</v>
      </c>
      <c r="R5389">
        <v>-0.309720099999999</v>
      </c>
      <c r="S5389">
        <v>3.025604</v>
      </c>
      <c r="T5389">
        <v>-0.18259510000000001</v>
      </c>
      <c r="U5389">
        <v>-0.63180539999999996</v>
      </c>
      <c r="V5389">
        <v>-0.1434916</v>
      </c>
      <c r="W5389">
        <v>0.16714979999999999</v>
      </c>
      <c r="X5389">
        <v>0.97543380000000002</v>
      </c>
      <c r="Y5389">
        <v>-0.2514149</v>
      </c>
      <c r="Z5389">
        <v>2.8623619999999999E-2</v>
      </c>
      <c r="AA5389">
        <v>0.96745599999999998</v>
      </c>
      <c r="AB5389">
        <v>28</v>
      </c>
      <c r="AC5389">
        <v>18.3172</v>
      </c>
      <c r="AD5389">
        <v>-1.1191267344577001</v>
      </c>
      <c r="AE5389">
        <v>-3.7689599999999999</v>
      </c>
      <c r="AF5389">
        <v>-4.7552532499550804</v>
      </c>
      <c r="AG5389">
        <v>-1.1191267344577001</v>
      </c>
      <c r="AH5389">
        <v>18.0172402010067</v>
      </c>
      <c r="AI5389">
        <v>93.436923209436799</v>
      </c>
      <c r="AJ5389">
        <v>104.784818292495</v>
      </c>
      <c r="AK5389">
        <v>18.6677749766746</v>
      </c>
      <c r="AL5389">
        <v>80.377856409824304</v>
      </c>
      <c r="AM5389">
        <v>98.368499439542802</v>
      </c>
      <c r="AN5389">
        <v>0.99999999654651905</v>
      </c>
    </row>
    <row r="5390" spans="1:40" x14ac:dyDescent="0.25">
      <c r="A5390" t="str">
        <f>"20190304155743213"</f>
        <v>20190304155743213</v>
      </c>
      <c r="B5390" t="str">
        <f>"1551686263200398"</f>
        <v>1551686263200398</v>
      </c>
      <c r="C5390" t="s">
        <v>40</v>
      </c>
      <c r="D5390">
        <v>4.5088990000000004</v>
      </c>
      <c r="E5390">
        <v>0.45254889999999998</v>
      </c>
      <c r="F5390" t="s">
        <v>85</v>
      </c>
      <c r="G5390">
        <v>-389.03370000000001</v>
      </c>
      <c r="H5390" s="1">
        <v>-8.9409959999999997E-7</v>
      </c>
      <c r="I5390">
        <v>17.652259999999998</v>
      </c>
      <c r="J5390">
        <v>-407.6567</v>
      </c>
      <c r="K5390">
        <v>1.1191070000000001</v>
      </c>
      <c r="L5390">
        <v>21.294250000000002</v>
      </c>
      <c r="M5390">
        <v>0.89869339999999998</v>
      </c>
      <c r="N5390">
        <v>-1.327271E-2</v>
      </c>
      <c r="O5390">
        <v>-0.4383765</v>
      </c>
      <c r="P5390">
        <v>0.93995839999999997</v>
      </c>
      <c r="Q5390">
        <v>0.15709229999999999</v>
      </c>
      <c r="R5390">
        <v>-0.30298550000000002</v>
      </c>
      <c r="S5390">
        <v>3.0317690000000002</v>
      </c>
      <c r="T5390">
        <v>-0.1807241</v>
      </c>
      <c r="U5390">
        <v>-0.59902949999999999</v>
      </c>
      <c r="V5390">
        <v>-0.1435342</v>
      </c>
      <c r="W5390">
        <v>0.1668954</v>
      </c>
      <c r="X5390">
        <v>0.97547110000000004</v>
      </c>
      <c r="Y5390">
        <v>-0.25496370000000002</v>
      </c>
      <c r="Z5390">
        <v>2.8152239999999999E-2</v>
      </c>
      <c r="AA5390">
        <v>0.96654070000000003</v>
      </c>
      <c r="AB5390">
        <v>28</v>
      </c>
      <c r="AC5390">
        <v>18.622999999999902</v>
      </c>
      <c r="AD5390">
        <v>-1.1191078940996</v>
      </c>
      <c r="AE5390">
        <v>-3.6419899999999998</v>
      </c>
      <c r="AF5390">
        <v>-4.8743306559353501</v>
      </c>
      <c r="AG5390">
        <v>-1.1191078940996</v>
      </c>
      <c r="AH5390">
        <v>18.270996785616799</v>
      </c>
      <c r="AI5390">
        <v>93.386855098431099</v>
      </c>
      <c r="AJ5390">
        <v>104.93746224912</v>
      </c>
      <c r="AK5390">
        <v>18.943094397749501</v>
      </c>
      <c r="AL5390">
        <v>80.392640194547496</v>
      </c>
      <c r="AM5390">
        <v>98.370633140932298</v>
      </c>
      <c r="AN5390">
        <v>1.0000000040229999</v>
      </c>
    </row>
    <row r="5391" spans="1:40" x14ac:dyDescent="0.25">
      <c r="A5391" t="str">
        <f>"20190304155743224"</f>
        <v>20190304155743224</v>
      </c>
      <c r="B5391" t="str">
        <f>"1551686263219918"</f>
        <v>1551686263219918</v>
      </c>
      <c r="C5391" t="s">
        <v>40</v>
      </c>
      <c r="D5391">
        <v>4.4998180000000003</v>
      </c>
      <c r="E5391">
        <v>0.45287539999999998</v>
      </c>
      <c r="F5391" t="s">
        <v>85</v>
      </c>
      <c r="G5391">
        <v>-388.79239999999999</v>
      </c>
      <c r="H5391" s="1">
        <v>-9.7299459999999994E-7</v>
      </c>
      <c r="I5391">
        <v>17.70393</v>
      </c>
      <c r="J5391">
        <v>-407.51060000000001</v>
      </c>
      <c r="K5391">
        <v>1.119092</v>
      </c>
      <c r="L5391">
        <v>21.230560000000001</v>
      </c>
      <c r="M5391">
        <v>0.90167949999999997</v>
      </c>
      <c r="N5391">
        <v>-1.326888E-2</v>
      </c>
      <c r="O5391">
        <v>-0.43220170000000002</v>
      </c>
      <c r="P5391">
        <v>0.94206909999999999</v>
      </c>
      <c r="Q5391">
        <v>0.15700430000000001</v>
      </c>
      <c r="R5391">
        <v>-0.29640470000000002</v>
      </c>
      <c r="S5391">
        <v>3.0354920000000001</v>
      </c>
      <c r="T5391">
        <v>-0.1800785</v>
      </c>
      <c r="U5391">
        <v>-0.57772829999999997</v>
      </c>
      <c r="V5391">
        <v>-0.14366289999999901</v>
      </c>
      <c r="W5391">
        <v>0.16680610000000001</v>
      </c>
      <c r="X5391">
        <v>0.97546739999999998</v>
      </c>
      <c r="Y5391">
        <v>-0.25510630000000001</v>
      </c>
      <c r="Z5391">
        <v>2.7796999999999999E-2</v>
      </c>
      <c r="AA5391">
        <v>0.96651330000000002</v>
      </c>
      <c r="AB5391">
        <v>28</v>
      </c>
      <c r="AC5391">
        <v>18.7182</v>
      </c>
      <c r="AD5391">
        <v>-1.1190929729946</v>
      </c>
      <c r="AE5391">
        <v>-3.5266299999999999</v>
      </c>
      <c r="AF5391">
        <v>-4.8936870642171302</v>
      </c>
      <c r="AG5391">
        <v>-1.1190929729946</v>
      </c>
      <c r="AH5391">
        <v>18.340341566852601</v>
      </c>
      <c r="AI5391">
        <v>93.373995005906593</v>
      </c>
      <c r="AJ5391">
        <v>104.93996054790099</v>
      </c>
      <c r="AK5391">
        <v>19.014959136256699</v>
      </c>
      <c r="AL5391">
        <v>80.397829179575595</v>
      </c>
      <c r="AM5391">
        <v>98.378063516600406</v>
      </c>
      <c r="AN5391">
        <v>0.99999997614818903</v>
      </c>
    </row>
    <row r="5392" spans="1:40" x14ac:dyDescent="0.25">
      <c r="A5392" t="str">
        <f>"20190304155743241"</f>
        <v>20190304155743241</v>
      </c>
      <c r="B5392" t="str">
        <f>"1551686263230654"</f>
        <v>1551686263230654</v>
      </c>
      <c r="C5392" t="s">
        <v>40</v>
      </c>
      <c r="D5392">
        <v>4.3958370000000002</v>
      </c>
      <c r="E5392">
        <v>0.45312160000000001</v>
      </c>
      <c r="F5392" t="s">
        <v>85</v>
      </c>
      <c r="G5392">
        <v>-388.4083</v>
      </c>
      <c r="H5392" s="1">
        <v>-1.1169320000000001E-6</v>
      </c>
      <c r="I5392">
        <v>17.717359999999999</v>
      </c>
      <c r="J5392">
        <v>-407.32299999999998</v>
      </c>
      <c r="K5392">
        <v>1.1190690000000001</v>
      </c>
      <c r="L5392">
        <v>21.150480000000002</v>
      </c>
      <c r="M5392">
        <v>0.90542889999999998</v>
      </c>
      <c r="N5392">
        <v>-1.326344E-2</v>
      </c>
      <c r="O5392">
        <v>-0.42429060000000002</v>
      </c>
      <c r="P5392">
        <v>0.94470069999999995</v>
      </c>
      <c r="Q5392">
        <v>0.15705379999999899</v>
      </c>
      <c r="R5392">
        <v>-0.28787990000000002</v>
      </c>
      <c r="S5392">
        <v>3.0383909999999998</v>
      </c>
      <c r="T5392">
        <v>-0.1780022</v>
      </c>
      <c r="U5392">
        <v>-0.55880739999999995</v>
      </c>
      <c r="V5392">
        <v>-0.143925</v>
      </c>
      <c r="W5392">
        <v>0.16685169999999999</v>
      </c>
      <c r="X5392">
        <v>0.97542099999999998</v>
      </c>
      <c r="Y5392">
        <v>-0.25265929999999998</v>
      </c>
      <c r="Z5392">
        <v>2.703854E-2</v>
      </c>
      <c r="AA5392">
        <v>0.96717750000000002</v>
      </c>
      <c r="AB5392">
        <v>28</v>
      </c>
      <c r="AC5392">
        <v>18.9147</v>
      </c>
      <c r="AD5392">
        <v>-1.1190701169320001</v>
      </c>
      <c r="AE5392">
        <v>-3.43311999999999</v>
      </c>
      <c r="AF5392">
        <v>-4.9007088244631802</v>
      </c>
      <c r="AG5392">
        <v>-1.1190701169320001</v>
      </c>
      <c r="AH5392">
        <v>18.521427597880098</v>
      </c>
      <c r="AI5392">
        <v>93.3428592700499</v>
      </c>
      <c r="AJ5392">
        <v>104.820634339417</v>
      </c>
      <c r="AK5392">
        <v>19.191470635996001</v>
      </c>
      <c r="AL5392">
        <v>80.395179698094296</v>
      </c>
      <c r="AM5392">
        <v>98.393524570775796</v>
      </c>
      <c r="AN5392">
        <v>1.0000000113294401</v>
      </c>
    </row>
    <row r="5393" spans="1:40" x14ac:dyDescent="0.25">
      <c r="A5393" t="str">
        <f>"20190304155743255"</f>
        <v>20190304155743255</v>
      </c>
      <c r="B5393" t="str">
        <f>"1551686263250635"</f>
        <v>1551686263250635</v>
      </c>
      <c r="C5393" t="s">
        <v>40</v>
      </c>
      <c r="D5393">
        <v>4.4916679999999998</v>
      </c>
      <c r="E5393">
        <v>0.45417380000000002</v>
      </c>
      <c r="F5393" t="s">
        <v>85</v>
      </c>
      <c r="G5393">
        <v>-388.36200000000002</v>
      </c>
      <c r="H5393" s="1">
        <v>-1.1058000000000001E-6</v>
      </c>
      <c r="I5393">
        <v>17.826039999999999</v>
      </c>
      <c r="J5393">
        <v>-407.1592</v>
      </c>
      <c r="K5393">
        <v>1.119043</v>
      </c>
      <c r="L5393">
        <v>21.082000000000001</v>
      </c>
      <c r="M5393">
        <v>0.90862719999999997</v>
      </c>
      <c r="N5393">
        <v>-1.325815E-2</v>
      </c>
      <c r="O5393">
        <v>-0.4173982</v>
      </c>
      <c r="P5393">
        <v>0.94701729999999995</v>
      </c>
      <c r="Q5393">
        <v>0.1573811</v>
      </c>
      <c r="R5393">
        <v>-0.2799817</v>
      </c>
      <c r="S5393">
        <v>3.0428769999999998</v>
      </c>
      <c r="T5393">
        <v>-0.17958929999999901</v>
      </c>
      <c r="U5393">
        <v>-0.53350830000000005</v>
      </c>
      <c r="V5393">
        <v>-0.1446335</v>
      </c>
      <c r="W5393">
        <v>0.1671648</v>
      </c>
      <c r="X5393">
        <v>0.97526259999999998</v>
      </c>
      <c r="Y5393">
        <v>-0.25333929999999999</v>
      </c>
      <c r="Z5393">
        <v>2.7061399999999999E-2</v>
      </c>
      <c r="AA5393">
        <v>0.96699889999999999</v>
      </c>
      <c r="AB5393">
        <v>28</v>
      </c>
      <c r="AC5393">
        <v>18.7972</v>
      </c>
      <c r="AD5393">
        <v>-1.1190441058</v>
      </c>
      <c r="AE5393">
        <v>-3.2559599999999902</v>
      </c>
      <c r="AF5393">
        <v>-4.8711312289717803</v>
      </c>
      <c r="AG5393">
        <v>-1.1190441058</v>
      </c>
      <c r="AH5393">
        <v>18.377062661401101</v>
      </c>
      <c r="AI5393">
        <v>93.368591238360693</v>
      </c>
      <c r="AJ5393">
        <v>104.84575088551399</v>
      </c>
      <c r="AK5393">
        <v>19.044595328377401</v>
      </c>
      <c r="AL5393">
        <v>80.376985026878799</v>
      </c>
      <c r="AM5393">
        <v>98.4356006613951</v>
      </c>
      <c r="AN5393">
        <v>1.00000002932002</v>
      </c>
    </row>
    <row r="5394" spans="1:40" x14ac:dyDescent="0.25">
      <c r="A5394" t="str">
        <f>"20190304155743266"</f>
        <v>20190304155743266</v>
      </c>
      <c r="B5394" t="str">
        <f>"1551686263260394"</f>
        <v>1551686263260394</v>
      </c>
      <c r="C5394" t="s">
        <v>40</v>
      </c>
      <c r="D5394">
        <v>4.4799309999999997</v>
      </c>
      <c r="E5394">
        <v>0.45472240000000003</v>
      </c>
      <c r="F5394" t="s">
        <v>85</v>
      </c>
      <c r="G5394">
        <v>-387.79169999999999</v>
      </c>
      <c r="H5394" s="1">
        <v>-1.3674630000000001E-6</v>
      </c>
      <c r="I5394">
        <v>17.794629999999898</v>
      </c>
      <c r="J5394">
        <v>-407.03379999999999</v>
      </c>
      <c r="K5394">
        <v>1.1190209999999901</v>
      </c>
      <c r="L5394">
        <v>21.03049</v>
      </c>
      <c r="M5394">
        <v>0.91102570000000005</v>
      </c>
      <c r="N5394">
        <v>-1.325374E-2</v>
      </c>
      <c r="O5394">
        <v>-0.41213650000000002</v>
      </c>
      <c r="P5394">
        <v>0.94873859999999999</v>
      </c>
      <c r="Q5394">
        <v>0.15742129999999999</v>
      </c>
      <c r="R5394">
        <v>-0.27406829999999999</v>
      </c>
      <c r="S5394">
        <v>3.0442809999999998</v>
      </c>
      <c r="T5394">
        <v>-0.17589679999999999</v>
      </c>
      <c r="U5394">
        <v>-0.51672359999999995</v>
      </c>
      <c r="V5394">
        <v>-0.14506749999999999</v>
      </c>
      <c r="W5394">
        <v>0.1671977</v>
      </c>
      <c r="X5394">
        <v>0.97519250000000002</v>
      </c>
      <c r="Y5394">
        <v>-0.2530424</v>
      </c>
      <c r="Z5394">
        <v>2.6221910000000001E-2</v>
      </c>
      <c r="AA5394">
        <v>0.96709979999999995</v>
      </c>
      <c r="AB5394">
        <v>28</v>
      </c>
      <c r="AC5394">
        <v>19.242099999999901</v>
      </c>
      <c r="AD5394">
        <v>-1.11902236746299</v>
      </c>
      <c r="AE5394">
        <v>-3.2358600000000002</v>
      </c>
      <c r="AF5394">
        <v>-4.9665230375745697</v>
      </c>
      <c r="AG5394">
        <v>-1.11902236746299</v>
      </c>
      <c r="AH5394">
        <v>18.803476558416499</v>
      </c>
      <c r="AI5394">
        <v>93.293068526081299</v>
      </c>
      <c r="AJ5394">
        <v>104.79552880891499</v>
      </c>
      <c r="AK5394">
        <v>19.480484922726198</v>
      </c>
      <c r="AL5394">
        <v>80.375073106238105</v>
      </c>
      <c r="AM5394">
        <v>98.461146814621699</v>
      </c>
      <c r="AN5394">
        <v>1.0000000312488899</v>
      </c>
    </row>
    <row r="5395" spans="1:40" x14ac:dyDescent="0.25">
      <c r="A5395" t="str">
        <f>"20190304155743278"</f>
        <v>20190304155743278</v>
      </c>
      <c r="B5395" t="str">
        <f>"1551686263270154"</f>
        <v>1551686263270154</v>
      </c>
      <c r="C5395" t="s">
        <v>40</v>
      </c>
      <c r="D5395">
        <v>4.4710369999999999</v>
      </c>
      <c r="E5395">
        <v>0.4551327</v>
      </c>
      <c r="F5395" t="s">
        <v>85</v>
      </c>
      <c r="G5395">
        <v>-387.50150000000002</v>
      </c>
      <c r="H5395" s="1">
        <v>-1.501817E-6</v>
      </c>
      <c r="I5395">
        <v>17.810389999999899</v>
      </c>
      <c r="J5395">
        <v>-406.8922</v>
      </c>
      <c r="K5395">
        <v>1.118994</v>
      </c>
      <c r="L5395">
        <v>20.973510000000001</v>
      </c>
      <c r="M5395">
        <v>0.91367960000000004</v>
      </c>
      <c r="N5395">
        <v>-1.324789E-2</v>
      </c>
      <c r="O5395">
        <v>-0.4062192</v>
      </c>
      <c r="P5395">
        <v>0.95061600000000002</v>
      </c>
      <c r="Q5395">
        <v>0.15761720000000001</v>
      </c>
      <c r="R5395">
        <v>-0.26736799999999999</v>
      </c>
      <c r="S5395">
        <v>3.0460210000000001</v>
      </c>
      <c r="T5395">
        <v>-0.1745092</v>
      </c>
      <c r="U5395">
        <v>-0.50216669999999997</v>
      </c>
      <c r="V5395">
        <v>-0.14560310000000001</v>
      </c>
      <c r="W5395">
        <v>0.1673848</v>
      </c>
      <c r="X5395">
        <v>0.97508050000000002</v>
      </c>
      <c r="Y5395">
        <v>-0.25137710000000002</v>
      </c>
      <c r="Z5395">
        <v>2.5705209999999999E-2</v>
      </c>
      <c r="AA5395">
        <v>0.96754779999999996</v>
      </c>
      <c r="AB5395">
        <v>28</v>
      </c>
      <c r="AC5395">
        <v>19.390699999999899</v>
      </c>
      <c r="AD5395">
        <v>-1.1189955018169999</v>
      </c>
      <c r="AE5395">
        <v>-3.1631200000000002</v>
      </c>
      <c r="AF5395">
        <v>-4.9711085398813397</v>
      </c>
      <c r="AG5395">
        <v>-1.1189955018169999</v>
      </c>
      <c r="AH5395">
        <v>18.9420296066261</v>
      </c>
      <c r="AI5395">
        <v>93.270312703228697</v>
      </c>
      <c r="AJ5395">
        <v>104.704981001953</v>
      </c>
      <c r="AK5395">
        <v>19.6154163011308</v>
      </c>
      <c r="AL5395">
        <v>80.3641991197902</v>
      </c>
      <c r="AM5395">
        <v>98.492892516562407</v>
      </c>
      <c r="AN5395">
        <v>0.99999995774044903</v>
      </c>
    </row>
    <row r="5396" spans="1:40" x14ac:dyDescent="0.25">
      <c r="A5396" t="str">
        <f>"20190304155743290"</f>
        <v>20190304155743290</v>
      </c>
      <c r="B5396" t="str">
        <f>"1551686263279915"</f>
        <v>1551686263279915</v>
      </c>
      <c r="C5396" t="s">
        <v>40</v>
      </c>
      <c r="D5396">
        <v>4.4937959999999997</v>
      </c>
      <c r="E5396">
        <v>0.45573829999999999</v>
      </c>
      <c r="F5396" t="s">
        <v>85</v>
      </c>
      <c r="G5396">
        <v>-387.2629</v>
      </c>
      <c r="H5396" s="1">
        <v>-1.6066729999999999E-6</v>
      </c>
      <c r="I5396">
        <v>17.855170000000001</v>
      </c>
      <c r="J5396">
        <v>-406.76459999999997</v>
      </c>
      <c r="K5396">
        <v>1.118967</v>
      </c>
      <c r="L5396">
        <v>20.922609999999999</v>
      </c>
      <c r="M5396">
        <v>0.91603080000000003</v>
      </c>
      <c r="N5396">
        <v>-1.324261E-2</v>
      </c>
      <c r="O5396">
        <v>-0.40088990000000002</v>
      </c>
      <c r="P5396">
        <v>0.95228500000000005</v>
      </c>
      <c r="Q5396">
        <v>0.15745719999999999</v>
      </c>
      <c r="R5396">
        <v>-0.2614592</v>
      </c>
      <c r="S5396">
        <v>3.0484619999999998</v>
      </c>
      <c r="T5396">
        <v>-0.17378199999999999</v>
      </c>
      <c r="U5396">
        <v>-0.48428339999999998</v>
      </c>
      <c r="V5396">
        <v>-0.14597499999999999</v>
      </c>
      <c r="W5396">
        <v>0.167220799999999</v>
      </c>
      <c r="X5396">
        <v>0.97505310000000001</v>
      </c>
      <c r="Y5396">
        <v>-0.25140649999999998</v>
      </c>
      <c r="Z5396">
        <v>2.538077E-2</v>
      </c>
      <c r="AA5396">
        <v>0.96754870000000004</v>
      </c>
      <c r="AB5396">
        <v>28</v>
      </c>
      <c r="AC5396">
        <v>19.5016999999999</v>
      </c>
      <c r="AD5396">
        <v>-1.118968606673</v>
      </c>
      <c r="AE5396">
        <v>-3.0674399999999902</v>
      </c>
      <c r="AF5396">
        <v>-4.9925631114788498</v>
      </c>
      <c r="AG5396">
        <v>-1.118968606673</v>
      </c>
      <c r="AH5396">
        <v>19.034380463071798</v>
      </c>
      <c r="AI5396">
        <v>93.254518462126001</v>
      </c>
      <c r="AJ5396">
        <v>104.69714671466301</v>
      </c>
      <c r="AK5396">
        <v>19.710033403771501</v>
      </c>
      <c r="AL5396">
        <v>80.373730586302102</v>
      </c>
      <c r="AM5396">
        <v>98.514503299516207</v>
      </c>
      <c r="AN5396">
        <v>1.0000000221986201</v>
      </c>
    </row>
    <row r="5397" spans="1:40" x14ac:dyDescent="0.25">
      <c r="A5397" t="str">
        <f>"20190304155743300"</f>
        <v>20190304155743300</v>
      </c>
      <c r="B5397" t="str">
        <f>"1551686263290654"</f>
        <v>1551686263290654</v>
      </c>
      <c r="C5397" t="s">
        <v>40</v>
      </c>
      <c r="D5397">
        <v>4.4965199999999896</v>
      </c>
      <c r="E5397">
        <v>0.45616259999999997</v>
      </c>
      <c r="F5397" t="s">
        <v>85</v>
      </c>
      <c r="G5397">
        <v>-387.06880000000001</v>
      </c>
      <c r="H5397" s="1">
        <v>-1.6929210000000001E-6</v>
      </c>
      <c r="I5397">
        <v>17.886189999999999</v>
      </c>
      <c r="J5397">
        <v>-406.64670000000001</v>
      </c>
      <c r="K5397">
        <v>1.1189359999999999</v>
      </c>
      <c r="L5397">
        <v>20.87698</v>
      </c>
      <c r="M5397">
        <v>0.91815159999999996</v>
      </c>
      <c r="N5397">
        <v>-1.323644E-2</v>
      </c>
      <c r="O5397">
        <v>-0.39600809999999997</v>
      </c>
      <c r="P5397">
        <v>0.95376859999999997</v>
      </c>
      <c r="Q5397">
        <v>0.1576158</v>
      </c>
      <c r="R5397">
        <v>-0.2558954</v>
      </c>
      <c r="S5397">
        <v>3.0498660000000002</v>
      </c>
      <c r="T5397">
        <v>-0.1732707</v>
      </c>
      <c r="U5397">
        <v>-0.4701843</v>
      </c>
      <c r="V5397">
        <v>-0.14645749999999999</v>
      </c>
      <c r="W5397">
        <v>0.1673722</v>
      </c>
      <c r="X5397">
        <v>0.97495469999999895</v>
      </c>
      <c r="Y5397">
        <v>-0.25069999999999998</v>
      </c>
      <c r="Z5397">
        <v>2.5090310000000001E-2</v>
      </c>
      <c r="AA5397">
        <v>0.96773960000000003</v>
      </c>
      <c r="AB5397">
        <v>28</v>
      </c>
      <c r="AC5397">
        <v>19.5779</v>
      </c>
      <c r="AD5397">
        <v>-1.118937692921</v>
      </c>
      <c r="AE5397">
        <v>-2.9907900000000001</v>
      </c>
      <c r="AF5397">
        <v>-4.9915142433352901</v>
      </c>
      <c r="AG5397">
        <v>-1.118937692921</v>
      </c>
      <c r="AH5397">
        <v>19.100567377845</v>
      </c>
      <c r="AI5397">
        <v>93.243939992815498</v>
      </c>
      <c r="AJ5397">
        <v>104.645467291842</v>
      </c>
      <c r="AK5397">
        <v>19.773692375417799</v>
      </c>
      <c r="AL5397">
        <v>80.364931397281197</v>
      </c>
      <c r="AM5397">
        <v>98.543081701440499</v>
      </c>
      <c r="AN5397">
        <v>0.99999995984558898</v>
      </c>
    </row>
    <row r="5398" spans="1:40" x14ac:dyDescent="0.25">
      <c r="A5398" t="str">
        <f>"20190304155743313"</f>
        <v>20190304155743313</v>
      </c>
      <c r="B5398" t="str">
        <f>"1551686263300411"</f>
        <v>1551686263300411</v>
      </c>
      <c r="C5398" t="s">
        <v>40</v>
      </c>
      <c r="D5398">
        <v>4.4993730000000003</v>
      </c>
      <c r="E5398">
        <v>0.45616259999999997</v>
      </c>
      <c r="F5398" t="s">
        <v>85</v>
      </c>
      <c r="G5398">
        <v>-386.83100000000002</v>
      </c>
      <c r="H5398" s="1">
        <v>-1.8000919999999999E-6</v>
      </c>
      <c r="I5398">
        <v>17.91591</v>
      </c>
      <c r="J5398">
        <v>-406.50450000000001</v>
      </c>
      <c r="K5398">
        <v>1.1188979999999999</v>
      </c>
      <c r="L5398">
        <v>20.822240000000001</v>
      </c>
      <c r="M5398">
        <v>0.92066859999999995</v>
      </c>
      <c r="N5398">
        <v>-1.3229070000000001E-2</v>
      </c>
      <c r="O5398">
        <v>-0.3901212</v>
      </c>
      <c r="P5398">
        <v>0.95547669999999996</v>
      </c>
      <c r="Q5398">
        <v>0.15771579999999999</v>
      </c>
      <c r="R5398">
        <v>-0.2493802</v>
      </c>
      <c r="S5398">
        <v>3.0515439999999998</v>
      </c>
      <c r="T5398">
        <v>-0.17231189999999999</v>
      </c>
      <c r="U5398">
        <v>-0.4559937</v>
      </c>
      <c r="V5398">
        <v>-0.1468497</v>
      </c>
      <c r="W5398">
        <v>0.16746900000000001</v>
      </c>
      <c r="X5398">
        <v>0.9748791</v>
      </c>
      <c r="Y5398">
        <v>-0.2489982</v>
      </c>
      <c r="Z5398">
        <v>2.4652449999999999E-2</v>
      </c>
      <c r="AA5398">
        <v>0.96819010000000005</v>
      </c>
      <c r="AB5398">
        <v>28</v>
      </c>
      <c r="AC5398">
        <v>19.673500000000001</v>
      </c>
      <c r="AD5398">
        <v>-1.1188998000920001</v>
      </c>
      <c r="AE5398">
        <v>-2.9063300000000001</v>
      </c>
      <c r="AF5398">
        <v>-4.98394289298506</v>
      </c>
      <c r="AG5398">
        <v>-1.1188998000920001</v>
      </c>
      <c r="AH5398">
        <v>19.187538536579201</v>
      </c>
      <c r="AI5398">
        <v>93.2303999781481</v>
      </c>
      <c r="AJ5398">
        <v>104.560741799087</v>
      </c>
      <c r="AK5398">
        <v>19.8558117088144</v>
      </c>
      <c r="AL5398">
        <v>80.359305958930406</v>
      </c>
      <c r="AM5398">
        <v>98.566274789043902</v>
      </c>
      <c r="AN5398">
        <v>0.99999997998394896</v>
      </c>
    </row>
    <row r="5399" spans="1:40" x14ac:dyDescent="0.25">
      <c r="A5399" t="str">
        <f>"20190304155743323"</f>
        <v>20190304155743323</v>
      </c>
      <c r="B5399" t="str">
        <f>"1551686263319930"</f>
        <v>1551686263319930</v>
      </c>
      <c r="C5399" t="s">
        <v>40</v>
      </c>
      <c r="D5399">
        <v>4.5397379999999998</v>
      </c>
      <c r="E5399">
        <v>0.46821699999999999</v>
      </c>
      <c r="F5399" t="s">
        <v>85</v>
      </c>
      <c r="G5399">
        <v>-386.66079999999999</v>
      </c>
      <c r="H5399" s="1">
        <v>-1.8669540000000001E-6</v>
      </c>
      <c r="I5399">
        <v>17.992360000000001</v>
      </c>
      <c r="J5399">
        <v>-406.3682</v>
      </c>
      <c r="K5399">
        <v>1.1188579999999999</v>
      </c>
      <c r="L5399">
        <v>20.771090000000001</v>
      </c>
      <c r="M5399">
        <v>0.92302150000000005</v>
      </c>
      <c r="N5399">
        <v>-1.322095E-2</v>
      </c>
      <c r="O5399">
        <v>-0.38452150000000002</v>
      </c>
      <c r="P5399">
        <v>0.9570109</v>
      </c>
      <c r="Q5399">
        <v>0.15794140000000001</v>
      </c>
      <c r="R5399">
        <v>-0.24327940000000001</v>
      </c>
      <c r="S5399">
        <v>3.0545650000000002</v>
      </c>
      <c r="T5399">
        <v>-0.1722342</v>
      </c>
      <c r="U5399">
        <v>-0.43560789999999999</v>
      </c>
      <c r="V5399">
        <v>-0.147122</v>
      </c>
      <c r="W5399">
        <v>0.16769419999999999</v>
      </c>
      <c r="X5399">
        <v>0.97479930000000004</v>
      </c>
      <c r="Y5399">
        <v>-0.24958669999999999</v>
      </c>
      <c r="Z5399">
        <v>2.4443489999999998E-2</v>
      </c>
      <c r="AA5399">
        <v>0.96804389999999996</v>
      </c>
      <c r="AB5399">
        <v>28</v>
      </c>
      <c r="AC5399">
        <v>19.7074</v>
      </c>
      <c r="AD5399">
        <v>-1.118859866954</v>
      </c>
      <c r="AE5399">
        <v>-2.7787299999999902</v>
      </c>
      <c r="AF5399">
        <v>-4.9977341079396096</v>
      </c>
      <c r="AG5399">
        <v>-1.118859866954</v>
      </c>
      <c r="AH5399">
        <v>19.1998368062727</v>
      </c>
      <c r="AI5399">
        <v>93.227787177302005</v>
      </c>
      <c r="AJ5399">
        <v>104.59036172990299</v>
      </c>
      <c r="AK5399">
        <v>19.871158169645</v>
      </c>
      <c r="AL5399">
        <v>80.346217581717198</v>
      </c>
      <c r="AM5399">
        <v>98.582614817474393</v>
      </c>
      <c r="AN5399">
        <v>0.99999995143906395</v>
      </c>
    </row>
    <row r="5400" spans="1:40" x14ac:dyDescent="0.25">
      <c r="A5400" t="str">
        <f>"20190304155743336"</f>
        <v>20190304155743336</v>
      </c>
      <c r="B5400" t="str">
        <f>"1551686263330666"</f>
        <v>1551686263330666</v>
      </c>
      <c r="C5400" t="s">
        <v>40</v>
      </c>
      <c r="D5400">
        <v>4.4929059999999996</v>
      </c>
      <c r="E5400">
        <v>0.46882360000000001</v>
      </c>
      <c r="F5400" t="s">
        <v>85</v>
      </c>
      <c r="G5400">
        <v>-385.48110000000003</v>
      </c>
      <c r="H5400" s="1">
        <v>-2.55423E-6</v>
      </c>
      <c r="I5400">
        <v>17.261689999999899</v>
      </c>
      <c r="J5400">
        <v>-406.22710000000001</v>
      </c>
      <c r="K5400">
        <v>1.1188149999999999</v>
      </c>
      <c r="L5400">
        <v>20.71893</v>
      </c>
      <c r="M5400">
        <v>0.92540540000000004</v>
      </c>
      <c r="N5400">
        <v>-1.321224E-2</v>
      </c>
      <c r="O5400">
        <v>-0.37874859999999999</v>
      </c>
      <c r="P5400">
        <v>0.95851030000000004</v>
      </c>
      <c r="Q5400">
        <v>0.15841759999999999</v>
      </c>
      <c r="R5400">
        <v>-0.23698540000000001</v>
      </c>
      <c r="S5400">
        <v>3.0320130000000001</v>
      </c>
      <c r="T5400">
        <v>-0.16241559999999999</v>
      </c>
      <c r="U5400">
        <v>-0.50942989999999999</v>
      </c>
      <c r="V5400">
        <v>-0.14740130000000001</v>
      </c>
      <c r="W5400">
        <v>0.16816989999999901</v>
      </c>
      <c r="X5400">
        <v>0.97467519999999996</v>
      </c>
      <c r="Y5400">
        <v>-0.2195493</v>
      </c>
      <c r="Z5400">
        <v>2.1780770000000001E-2</v>
      </c>
      <c r="AA5400">
        <v>0.97535819999999995</v>
      </c>
      <c r="AB5400">
        <v>28</v>
      </c>
      <c r="AC5400">
        <v>20.745999999999899</v>
      </c>
      <c r="AD5400">
        <v>-1.1188175542299901</v>
      </c>
      <c r="AE5400">
        <v>-3.4572400000000001</v>
      </c>
      <c r="AF5400">
        <v>-4.6454304345142496</v>
      </c>
      <c r="AG5400">
        <v>-1.1188175542299901</v>
      </c>
      <c r="AH5400">
        <v>20.451798983881499</v>
      </c>
      <c r="AI5400">
        <v>93.053620931686496</v>
      </c>
      <c r="AJ5400">
        <v>102.797058136929</v>
      </c>
      <c r="AK5400">
        <v>21.0025678982038</v>
      </c>
      <c r="AL5400">
        <v>80.318569827398903</v>
      </c>
      <c r="AM5400">
        <v>98.599743394392902</v>
      </c>
      <c r="AN5400">
        <v>1.00000000200137</v>
      </c>
    </row>
    <row r="5401" spans="1:40" x14ac:dyDescent="0.25">
      <c r="A5401" t="str">
        <f>"20190304155743350"</f>
        <v>20190304155743350</v>
      </c>
      <c r="B5401" t="str">
        <f>"1551686263340426"</f>
        <v>1551686263340426</v>
      </c>
      <c r="C5401" t="s">
        <v>40</v>
      </c>
      <c r="D5401">
        <v>4.4895269999999998</v>
      </c>
      <c r="E5401">
        <v>0.4692421</v>
      </c>
      <c r="F5401" t="s">
        <v>85</v>
      </c>
      <c r="G5401">
        <v>-385.2799</v>
      </c>
      <c r="H5401" s="1">
        <v>-2.6418319999999999E-6</v>
      </c>
      <c r="I5401">
        <v>17.30386</v>
      </c>
      <c r="J5401">
        <v>-406.0652</v>
      </c>
      <c r="K5401">
        <v>1.118765</v>
      </c>
      <c r="L5401">
        <v>20.66</v>
      </c>
      <c r="M5401">
        <v>0.92807980000000001</v>
      </c>
      <c r="N5401">
        <v>-1.3202119999999999E-2</v>
      </c>
      <c r="O5401">
        <v>-0.37214710000000001</v>
      </c>
      <c r="P5401">
        <v>0.96014670000000002</v>
      </c>
      <c r="Q5401">
        <v>0.15898709999999999</v>
      </c>
      <c r="R5401">
        <v>-0.2298722</v>
      </c>
      <c r="S5401">
        <v>3.0343019999999998</v>
      </c>
      <c r="T5401">
        <v>-0.16206609999999999</v>
      </c>
      <c r="U5401">
        <v>-0.49468990000000002</v>
      </c>
      <c r="V5401">
        <v>-0.14764050000000001</v>
      </c>
      <c r="W5401">
        <v>0.16874140000000001</v>
      </c>
      <c r="X5401">
        <v>0.97454019999999997</v>
      </c>
      <c r="Y5401">
        <v>-0.21734300000000001</v>
      </c>
      <c r="Z5401">
        <v>2.1419170000000001E-2</v>
      </c>
      <c r="AA5401">
        <v>0.97586019999999896</v>
      </c>
      <c r="AB5401">
        <v>28</v>
      </c>
      <c r="AC5401">
        <v>20.785299999999999</v>
      </c>
      <c r="AD5401">
        <v>-1.1187676418320001</v>
      </c>
      <c r="AE5401">
        <v>-3.3561399999999999</v>
      </c>
      <c r="AF5401">
        <v>-4.6078161581820698</v>
      </c>
      <c r="AG5401">
        <v>-1.1187676418320001</v>
      </c>
      <c r="AH5401">
        <v>20.483351343569598</v>
      </c>
      <c r="AI5401">
        <v>93.050221345814506</v>
      </c>
      <c r="AJ5401">
        <v>102.677886414677</v>
      </c>
      <c r="AK5401">
        <v>21.0250158869888</v>
      </c>
      <c r="AL5401">
        <v>80.285350436254703</v>
      </c>
      <c r="AM5401">
        <v>98.614665041148598</v>
      </c>
      <c r="AN5401">
        <v>0.99999998936512502</v>
      </c>
    </row>
    <row r="5402" spans="1:40" x14ac:dyDescent="0.25">
      <c r="A5402" t="str">
        <f>"20190304155743366"</f>
        <v>20190304155743366</v>
      </c>
      <c r="B5402" t="str">
        <f>"1551686263359946"</f>
        <v>1551686263359946</v>
      </c>
      <c r="C5402" t="s">
        <v>40</v>
      </c>
      <c r="D5402">
        <v>4.5051129999999997</v>
      </c>
      <c r="E5402">
        <v>0.47040310000000002</v>
      </c>
      <c r="F5402" t="s">
        <v>85</v>
      </c>
      <c r="G5402">
        <v>-385.07260000000002</v>
      </c>
      <c r="H5402" s="1">
        <v>-2.7277639999999998E-6</v>
      </c>
      <c r="I5402">
        <v>17.372039999999998</v>
      </c>
      <c r="J5402">
        <v>-405.86239999999998</v>
      </c>
      <c r="K5402">
        <v>1.11869</v>
      </c>
      <c r="L5402">
        <v>20.588349999999998</v>
      </c>
      <c r="M5402">
        <v>0.93131730000000001</v>
      </c>
      <c r="N5402">
        <v>-1.3187900000000001E-2</v>
      </c>
      <c r="O5402">
        <v>-0.36397049999999997</v>
      </c>
      <c r="P5402">
        <v>0.96202189999999999</v>
      </c>
      <c r="Q5402">
        <v>0.15988469999999999</v>
      </c>
      <c r="R5402">
        <v>-0.2212489</v>
      </c>
      <c r="S5402">
        <v>3.037445</v>
      </c>
      <c r="T5402">
        <v>-0.16187560000000001</v>
      </c>
      <c r="U5402">
        <v>-0.47573850000000001</v>
      </c>
      <c r="V5402">
        <v>-0.1477463</v>
      </c>
      <c r="W5402">
        <v>0.16964699999999999</v>
      </c>
      <c r="X5402">
        <v>0.97436690000000004</v>
      </c>
      <c r="Y5402">
        <v>-0.21486710000000001</v>
      </c>
      <c r="Z5402">
        <v>2.1015180000000001E-2</v>
      </c>
      <c r="AA5402">
        <v>0.97641719999999999</v>
      </c>
      <c r="AB5402">
        <v>28</v>
      </c>
      <c r="AC5402">
        <v>20.7897999999999</v>
      </c>
      <c r="AD5402">
        <v>-1.118692727764</v>
      </c>
      <c r="AE5402">
        <v>-3.21631</v>
      </c>
      <c r="AF5402">
        <v>-4.5589736474478002</v>
      </c>
      <c r="AG5402">
        <v>-1.118692727764</v>
      </c>
      <c r="AH5402">
        <v>20.476421156284001</v>
      </c>
      <c r="AI5402">
        <v>93.052546880940398</v>
      </c>
      <c r="AJ5402">
        <v>102.551891390264</v>
      </c>
      <c r="AK5402">
        <v>21.0076066582272</v>
      </c>
      <c r="AL5402">
        <v>80.232704120913894</v>
      </c>
      <c r="AM5402">
        <v>98.622255877945705</v>
      </c>
      <c r="AN5402">
        <v>0.99999996479414899</v>
      </c>
    </row>
    <row r="5403" spans="1:40" x14ac:dyDescent="0.25">
      <c r="A5403" t="str">
        <f>"20190304155743378"</f>
        <v>20190304155743378</v>
      </c>
      <c r="B5403" t="str">
        <f>"1551686263370682"</f>
        <v>1551686263370682</v>
      </c>
      <c r="C5403" t="s">
        <v>40</v>
      </c>
      <c r="D5403">
        <v>4.4824900000000003</v>
      </c>
      <c r="E5403">
        <v>0.47108420000000001</v>
      </c>
      <c r="F5403" t="s">
        <v>85</v>
      </c>
      <c r="G5403">
        <v>-384.56459999999998</v>
      </c>
      <c r="H5403" s="1">
        <v>-2.966925E-6</v>
      </c>
      <c r="I5403">
        <v>17.377459999999999</v>
      </c>
      <c r="J5403">
        <v>-405.73399999999998</v>
      </c>
      <c r="K5403">
        <v>1.118641</v>
      </c>
      <c r="L5403">
        <v>20.544129999999999</v>
      </c>
      <c r="M5403">
        <v>0.93330619999999997</v>
      </c>
      <c r="N5403">
        <v>-1.3178179999999999E-2</v>
      </c>
      <c r="O5403">
        <v>-0.35883999999999999</v>
      </c>
      <c r="P5403">
        <v>0.96315589999999995</v>
      </c>
      <c r="Q5403">
        <v>0.16002769999999999</v>
      </c>
      <c r="R5403">
        <v>-0.2161535</v>
      </c>
      <c r="S5403">
        <v>3.0395810000000001</v>
      </c>
      <c r="T5403">
        <v>-0.15965779999999999</v>
      </c>
      <c r="U5403">
        <v>-0.45825199999999999</v>
      </c>
      <c r="V5403">
        <v>-0.1475156</v>
      </c>
      <c r="W5403">
        <v>0.1698035</v>
      </c>
      <c r="X5403">
        <v>0.97437470000000004</v>
      </c>
      <c r="Y5403">
        <v>-0.2151071</v>
      </c>
      <c r="Z5403">
        <v>2.051002E-2</v>
      </c>
      <c r="AA5403">
        <v>0.97637499999999999</v>
      </c>
      <c r="AB5403">
        <v>28</v>
      </c>
      <c r="AC5403">
        <v>21.1694</v>
      </c>
      <c r="AD5403">
        <v>-1.1186439669249999</v>
      </c>
      <c r="AE5403">
        <v>-3.1666699999999999</v>
      </c>
      <c r="AF5403">
        <v>-4.6287151385699099</v>
      </c>
      <c r="AG5403">
        <v>-1.1186439669249999</v>
      </c>
      <c r="AH5403">
        <v>20.838756651710298</v>
      </c>
      <c r="AI5403">
        <v>92.999770563872701</v>
      </c>
      <c r="AJ5403">
        <v>102.523253846597</v>
      </c>
      <c r="AK5403">
        <v>21.3759244700191</v>
      </c>
      <c r="AL5403">
        <v>80.223606343525006</v>
      </c>
      <c r="AM5403">
        <v>98.608926561707193</v>
      </c>
      <c r="AN5403">
        <v>1.0000000684278401</v>
      </c>
    </row>
    <row r="5404" spans="1:40" x14ac:dyDescent="0.25">
      <c r="A5404" t="str">
        <f>"20190304155743389"</f>
        <v>20190304155743389</v>
      </c>
      <c r="B5404" t="str">
        <f>"1551686263380442"</f>
        <v>1551686263380442</v>
      </c>
      <c r="C5404" t="s">
        <v>40</v>
      </c>
      <c r="D5404">
        <v>4.5178479999999999</v>
      </c>
      <c r="E5404">
        <v>0.47179339999999997</v>
      </c>
      <c r="F5404" t="s">
        <v>85</v>
      </c>
      <c r="G5404">
        <v>-384.4753</v>
      </c>
      <c r="H5404" s="1">
        <v>-3.0032680000000001E-6</v>
      </c>
      <c r="I5404">
        <v>17.41058</v>
      </c>
      <c r="J5404">
        <v>-405.60300000000001</v>
      </c>
      <c r="K5404">
        <v>1.1185929999999999</v>
      </c>
      <c r="L5404">
        <v>20.499300000000002</v>
      </c>
      <c r="M5404">
        <v>0.93529960000000001</v>
      </c>
      <c r="N5404">
        <v>-1.316845E-2</v>
      </c>
      <c r="O5404">
        <v>-0.35361179999999998</v>
      </c>
      <c r="P5404">
        <v>0.96432510000000005</v>
      </c>
      <c r="Q5404">
        <v>0.16012689999999999</v>
      </c>
      <c r="R5404">
        <v>-0.21079909999999999</v>
      </c>
      <c r="S5404">
        <v>3.0407709999999999</v>
      </c>
      <c r="T5404">
        <v>-0.16000690000000001</v>
      </c>
      <c r="U5404">
        <v>-0.44821169999999999</v>
      </c>
      <c r="V5404">
        <v>-0.14745139999999901</v>
      </c>
      <c r="W5404">
        <v>0.16991210000000001</v>
      </c>
      <c r="X5404">
        <v>0.97436540000000005</v>
      </c>
      <c r="Y5404">
        <v>-0.2128564</v>
      </c>
      <c r="Z5404">
        <v>2.030699E-2</v>
      </c>
      <c r="AA5404">
        <v>0.97687239999999997</v>
      </c>
      <c r="AB5404">
        <v>28</v>
      </c>
      <c r="AC5404">
        <v>21.127700000000001</v>
      </c>
      <c r="AD5404">
        <v>-1.118596003268</v>
      </c>
      <c r="AE5404">
        <v>-3.0887199999999999</v>
      </c>
      <c r="AF5404">
        <v>-4.5699805012132702</v>
      </c>
      <c r="AG5404">
        <v>-1.118596003268</v>
      </c>
      <c r="AH5404">
        <v>20.797666389294701</v>
      </c>
      <c r="AI5404">
        <v>93.007065493603605</v>
      </c>
      <c r="AJ5404">
        <v>102.392949158954</v>
      </c>
      <c r="AK5404">
        <v>21.3232011208542</v>
      </c>
      <c r="AL5404">
        <v>80.217291444731302</v>
      </c>
      <c r="AM5404">
        <v>98.605316891438704</v>
      </c>
      <c r="AN5404">
        <v>0.99999998490276398</v>
      </c>
    </row>
    <row r="5405" spans="1:40" x14ac:dyDescent="0.25">
      <c r="A5405" t="str">
        <f>"20190304155743400"</f>
        <v>20190304155743400</v>
      </c>
      <c r="B5405" t="str">
        <f>"1551686263390203"</f>
        <v>1551686263390203</v>
      </c>
      <c r="C5405" t="s">
        <v>40</v>
      </c>
      <c r="D5405">
        <v>4.5029719999999998</v>
      </c>
      <c r="E5405">
        <v>0.47246159999999998</v>
      </c>
      <c r="F5405" t="s">
        <v>85</v>
      </c>
      <c r="G5405">
        <v>-384.52940000000001</v>
      </c>
      <c r="H5405" s="1">
        <v>-2.9674900000000001E-6</v>
      </c>
      <c r="I5405">
        <v>17.46819</v>
      </c>
      <c r="J5405">
        <v>-405.47109999999998</v>
      </c>
      <c r="K5405">
        <v>1.118536</v>
      </c>
      <c r="L5405">
        <v>20.45551</v>
      </c>
      <c r="M5405">
        <v>0.93724510000000005</v>
      </c>
      <c r="N5405">
        <v>-1.315732E-2</v>
      </c>
      <c r="O5405">
        <v>-0.34842329999999999</v>
      </c>
      <c r="P5405">
        <v>0.96540619999999999</v>
      </c>
      <c r="Q5405">
        <v>0.1600927</v>
      </c>
      <c r="R5405">
        <v>-0.20581859999999999</v>
      </c>
      <c r="S5405">
        <v>3.0421140000000002</v>
      </c>
      <c r="T5405">
        <v>-0.1614767</v>
      </c>
      <c r="U5405">
        <v>-0.43756099999999998</v>
      </c>
      <c r="V5405">
        <v>-0.14705739999999901</v>
      </c>
      <c r="W5405">
        <v>0.16989660000000001</v>
      </c>
      <c r="X5405">
        <v>0.97442770000000001</v>
      </c>
      <c r="Y5405">
        <v>-0.2108476</v>
      </c>
      <c r="Z5405">
        <v>2.0273900000000001E-2</v>
      </c>
      <c r="AA5405">
        <v>0.97730870000000003</v>
      </c>
      <c r="AB5405">
        <v>28</v>
      </c>
      <c r="AC5405">
        <v>20.941699999999901</v>
      </c>
      <c r="AD5405">
        <v>-1.1185389674899999</v>
      </c>
      <c r="AE5405">
        <v>-2.98732</v>
      </c>
      <c r="AF5405">
        <v>-4.4845751601680499</v>
      </c>
      <c r="AG5405">
        <v>-1.1185389674899999</v>
      </c>
      <c r="AH5405">
        <v>20.612512262431</v>
      </c>
      <c r="AI5405">
        <v>93.035243411690203</v>
      </c>
      <c r="AJ5405">
        <v>102.27431328436199</v>
      </c>
      <c r="AK5405">
        <v>21.124351009151901</v>
      </c>
      <c r="AL5405">
        <v>80.218193157142395</v>
      </c>
      <c r="AM5405">
        <v>98.582125226582704</v>
      </c>
      <c r="AN5405">
        <v>1.0000000380567999</v>
      </c>
    </row>
    <row r="5406" spans="1:40" x14ac:dyDescent="0.25">
      <c r="A5406" t="str">
        <f>"20190304155743414"</f>
        <v>20190304155743414</v>
      </c>
      <c r="B5406" t="str">
        <f>"1551686263409722"</f>
        <v>1551686263409722</v>
      </c>
      <c r="C5406" t="s">
        <v>40</v>
      </c>
      <c r="D5406">
        <v>4.494529</v>
      </c>
      <c r="E5406">
        <v>0.4736474</v>
      </c>
      <c r="F5406" t="s">
        <v>85</v>
      </c>
      <c r="G5406">
        <v>-384.55360000000002</v>
      </c>
      <c r="H5406" s="1">
        <v>-2.9476459999999902E-6</v>
      </c>
      <c r="I5406">
        <v>17.515339999999998</v>
      </c>
      <c r="J5406">
        <v>-405.31420000000003</v>
      </c>
      <c r="K5406">
        <v>1.118465</v>
      </c>
      <c r="L5406">
        <v>20.40399</v>
      </c>
      <c r="M5406">
        <v>0.93950659999999997</v>
      </c>
      <c r="N5406">
        <v>-1.314397E-2</v>
      </c>
      <c r="O5406">
        <v>-0.34227879999999999</v>
      </c>
      <c r="P5406">
        <v>0.966665</v>
      </c>
      <c r="Q5406">
        <v>0.15981709999999999</v>
      </c>
      <c r="R5406">
        <v>-0.2000432</v>
      </c>
      <c r="S5406">
        <v>3.0432739999999998</v>
      </c>
      <c r="T5406">
        <v>-0.16273609999999999</v>
      </c>
      <c r="U5406">
        <v>-0.4277649</v>
      </c>
      <c r="V5406">
        <v>-0.14648149999999999</v>
      </c>
      <c r="W5406">
        <v>0.16964660000000001</v>
      </c>
      <c r="X5406">
        <v>0.97455789999999998</v>
      </c>
      <c r="Y5406">
        <v>-0.2075815</v>
      </c>
      <c r="Z5406">
        <v>2.0129080000000001E-2</v>
      </c>
      <c r="AA5406">
        <v>0.97801059999999995</v>
      </c>
      <c r="AB5406">
        <v>28</v>
      </c>
      <c r="AC5406">
        <v>20.7606</v>
      </c>
      <c r="AD5406">
        <v>-1.118467947646</v>
      </c>
      <c r="AE5406">
        <v>-2.8886500000000002</v>
      </c>
      <c r="AF5406">
        <v>-4.3799154158466802</v>
      </c>
      <c r="AG5406">
        <v>-1.118467947646</v>
      </c>
      <c r="AH5406">
        <v>20.437021711361101</v>
      </c>
      <c r="AI5406">
        <v>93.063114502901996</v>
      </c>
      <c r="AJ5406">
        <v>102.096241019372</v>
      </c>
      <c r="AK5406">
        <v>20.930993431524598</v>
      </c>
      <c r="AL5406">
        <v>80.232727226387397</v>
      </c>
      <c r="AM5406">
        <v>98.547888566534795</v>
      </c>
      <c r="AN5406">
        <v>0.99999994959310801</v>
      </c>
    </row>
    <row r="5407" spans="1:40" x14ac:dyDescent="0.25">
      <c r="A5407" t="str">
        <f>"20190304155743428"</f>
        <v>20190304155743428</v>
      </c>
      <c r="B5407" t="str">
        <f>"1551686263420458"</f>
        <v>1551686263420458</v>
      </c>
      <c r="C5407" t="s">
        <v>40</v>
      </c>
      <c r="D5407">
        <v>4.4635879999999997</v>
      </c>
      <c r="E5407">
        <v>0.47415210000000002</v>
      </c>
      <c r="F5407" t="s">
        <v>85</v>
      </c>
      <c r="G5407">
        <v>-384.78039999999999</v>
      </c>
      <c r="H5407" s="1">
        <v>-2.8295549999999998E-6</v>
      </c>
      <c r="I5407">
        <v>17.576809999999998</v>
      </c>
      <c r="J5407">
        <v>-405.14229999999998</v>
      </c>
      <c r="K5407">
        <v>1.1183799999999999</v>
      </c>
      <c r="L5407">
        <v>20.348749999999999</v>
      </c>
      <c r="M5407">
        <v>0.94190879999999999</v>
      </c>
      <c r="N5407">
        <v>-1.312805E-2</v>
      </c>
      <c r="O5407">
        <v>-0.33561210000000002</v>
      </c>
      <c r="P5407">
        <v>0.96797699999999998</v>
      </c>
      <c r="Q5407">
        <v>0.15945239999999999</v>
      </c>
      <c r="R5407">
        <v>-0.1938954</v>
      </c>
      <c r="S5407">
        <v>3.0441280000000002</v>
      </c>
      <c r="T5407">
        <v>-0.16581209999999999</v>
      </c>
      <c r="U5407">
        <v>-0.41912840000000001</v>
      </c>
      <c r="V5407">
        <v>-0.14574509999999999</v>
      </c>
      <c r="W5407">
        <v>0.16931289999999999</v>
      </c>
      <c r="X5407">
        <v>0.97472639999999999</v>
      </c>
      <c r="Y5407">
        <v>-0.20339409999999999</v>
      </c>
      <c r="Z5407">
        <v>2.0184400000000002E-2</v>
      </c>
      <c r="AA5407">
        <v>0.97888889999999995</v>
      </c>
      <c r="AB5407">
        <v>28</v>
      </c>
      <c r="AC5407">
        <v>20.361899999999899</v>
      </c>
      <c r="AD5407">
        <v>-1.118382829555</v>
      </c>
      <c r="AE5407">
        <v>-2.7719399999999901</v>
      </c>
      <c r="AF5407">
        <v>-4.2106776631609097</v>
      </c>
      <c r="AG5407">
        <v>-1.118382829555</v>
      </c>
      <c r="AH5407">
        <v>20.051691364810999</v>
      </c>
      <c r="AI5407">
        <v>93.124360015933405</v>
      </c>
      <c r="AJ5407">
        <v>101.859293289048</v>
      </c>
      <c r="AK5407">
        <v>20.5195251681446</v>
      </c>
      <c r="AL5407">
        <v>80.252128207714307</v>
      </c>
      <c r="AM5407">
        <v>98.504097404064197</v>
      </c>
      <c r="AN5407">
        <v>1.0000000235686799</v>
      </c>
    </row>
    <row r="5408" spans="1:40" x14ac:dyDescent="0.25">
      <c r="A5408" t="str">
        <f>"20190304155743446"</f>
        <v>20190304155743446</v>
      </c>
      <c r="B5408" t="str">
        <f>"1551686263439978"</f>
        <v>1551686263439978</v>
      </c>
      <c r="C5408" t="s">
        <v>40</v>
      </c>
      <c r="D5408">
        <v>4.48081</v>
      </c>
      <c r="E5408">
        <v>0.48288229999999999</v>
      </c>
      <c r="F5408" t="s">
        <v>85</v>
      </c>
      <c r="G5408">
        <v>-384.9554</v>
      </c>
      <c r="H5408" s="1">
        <v>-2.7301950000000002E-6</v>
      </c>
      <c r="I5408">
        <v>17.670649999999998</v>
      </c>
      <c r="J5408">
        <v>-404.92559999999997</v>
      </c>
      <c r="K5408">
        <v>1.118266</v>
      </c>
      <c r="L5408">
        <v>20.28116</v>
      </c>
      <c r="M5408">
        <v>0.94482029999999995</v>
      </c>
      <c r="N5408">
        <v>-1.310656E-2</v>
      </c>
      <c r="O5408">
        <v>-0.32732679999999997</v>
      </c>
      <c r="P5408">
        <v>0.96946710000000003</v>
      </c>
      <c r="Q5408">
        <v>0.15879860000000001</v>
      </c>
      <c r="R5408">
        <v>-0.18686050000000001</v>
      </c>
      <c r="S5408">
        <v>3.0461119999999999</v>
      </c>
      <c r="T5408">
        <v>-0.16875889999999999</v>
      </c>
      <c r="U5408">
        <v>-0.40411380000000002</v>
      </c>
      <c r="V5408">
        <v>-0.14423549999999999</v>
      </c>
      <c r="W5408">
        <v>0.16871129999999901</v>
      </c>
      <c r="X5408">
        <v>0.97505520000000001</v>
      </c>
      <c r="Y5408">
        <v>-0.1996077</v>
      </c>
      <c r="Z5408">
        <v>2.0152509999999998E-2</v>
      </c>
      <c r="AA5408">
        <v>0.9796686</v>
      </c>
      <c r="AB5408">
        <v>28</v>
      </c>
      <c r="AC5408">
        <v>19.970199999999899</v>
      </c>
      <c r="AD5408">
        <v>-1.1182687301950001</v>
      </c>
      <c r="AE5408">
        <v>-2.6105100000000001</v>
      </c>
      <c r="AF5408">
        <v>-4.0581572665060399</v>
      </c>
      <c r="AG5408">
        <v>-1.1182687301950001</v>
      </c>
      <c r="AH5408">
        <v>19.663811401173099</v>
      </c>
      <c r="AI5408">
        <v>93.187833104332995</v>
      </c>
      <c r="AJ5408">
        <v>101.660816883118</v>
      </c>
      <c r="AK5408">
        <v>20.109317347278001</v>
      </c>
      <c r="AL5408">
        <v>80.287100352769997</v>
      </c>
      <c r="AM5408">
        <v>98.414484181705205</v>
      </c>
      <c r="AN5408">
        <v>1.0000000126274899</v>
      </c>
    </row>
    <row r="5409" spans="1:40" x14ac:dyDescent="0.25">
      <c r="A5409" t="str">
        <f>"20190304155743458"</f>
        <v>20190304155743458</v>
      </c>
      <c r="B5409" t="str">
        <f>"1551686263450247"</f>
        <v>1551686263450247</v>
      </c>
      <c r="C5409" t="s">
        <v>40</v>
      </c>
      <c r="D5409">
        <v>4.4773230000000002</v>
      </c>
      <c r="E5409">
        <v>0.48288229999999999</v>
      </c>
      <c r="F5409" t="s">
        <v>85</v>
      </c>
      <c r="G5409">
        <v>-387.33120000000002</v>
      </c>
      <c r="H5409" s="1">
        <v>-1.6070170000000001E-6</v>
      </c>
      <c r="I5409">
        <v>17.671220000000002</v>
      </c>
      <c r="J5409">
        <v>-404.78379999999999</v>
      </c>
      <c r="K5409">
        <v>1.118193</v>
      </c>
      <c r="L5409">
        <v>20.23807</v>
      </c>
      <c r="M5409">
        <v>0.94665719999999998</v>
      </c>
      <c r="N5409">
        <v>-1.309196E-2</v>
      </c>
      <c r="O5409">
        <v>-0.32197609999999999</v>
      </c>
      <c r="P5409">
        <v>0.97043109999999999</v>
      </c>
      <c r="Q5409">
        <v>0.15863910000000001</v>
      </c>
      <c r="R5409">
        <v>-0.18192620000000001</v>
      </c>
      <c r="S5409">
        <v>3.039215</v>
      </c>
      <c r="T5409">
        <v>-0.19316739999999999</v>
      </c>
      <c r="U5409">
        <v>-0.45083620000000002</v>
      </c>
      <c r="V5409">
        <v>-0.14365249999999999</v>
      </c>
      <c r="W5409">
        <v>0.16857639999999999</v>
      </c>
      <c r="X5409">
        <v>0.97516460000000005</v>
      </c>
      <c r="Y5409">
        <v>-0.17880170000000001</v>
      </c>
      <c r="Z5409">
        <v>2.2487139999999999E-2</v>
      </c>
      <c r="AA5409">
        <v>0.98362810000000001</v>
      </c>
      <c r="AB5409">
        <v>28</v>
      </c>
      <c r="AC5409">
        <v>17.452599999999901</v>
      </c>
      <c r="AD5409">
        <v>-1.1181946070169999</v>
      </c>
      <c r="AE5409">
        <v>-2.5668499999999899</v>
      </c>
      <c r="AF5409">
        <v>-3.1769015361783701</v>
      </c>
      <c r="AG5409">
        <v>-1.1181946070169999</v>
      </c>
      <c r="AH5409">
        <v>17.280148604690801</v>
      </c>
      <c r="AI5409">
        <v>93.641572998624298</v>
      </c>
      <c r="AJ5409">
        <v>100.41732287591</v>
      </c>
      <c r="AK5409">
        <v>17.6053002913876</v>
      </c>
      <c r="AL5409">
        <v>80.294941941553702</v>
      </c>
      <c r="AM5409">
        <v>98.380029989364502</v>
      </c>
      <c r="AN5409">
        <v>1.00000002024318</v>
      </c>
    </row>
    <row r="5410" spans="1:40" x14ac:dyDescent="0.25">
      <c r="A5410" t="str">
        <f>"20190304155743469"</f>
        <v>20190304155743469</v>
      </c>
      <c r="B5410" t="str">
        <f>"1551686263460005"</f>
        <v>1551686263460005</v>
      </c>
      <c r="C5410" t="s">
        <v>40</v>
      </c>
      <c r="D5410">
        <v>4.5228149999999996</v>
      </c>
      <c r="E5410">
        <v>0.47631210000000002</v>
      </c>
      <c r="F5410" t="s">
        <v>85</v>
      </c>
      <c r="G5410">
        <v>-387.2167</v>
      </c>
      <c r="H5410" s="1">
        <v>-1.6515880000000001E-6</v>
      </c>
      <c r="I5410">
        <v>17.725069999999999</v>
      </c>
      <c r="J5410">
        <v>-404.64960000000002</v>
      </c>
      <c r="K5410">
        <v>1.1181219999999901</v>
      </c>
      <c r="L5410">
        <v>20.19763</v>
      </c>
      <c r="M5410">
        <v>0.94835860000000005</v>
      </c>
      <c r="N5410">
        <v>-1.307852E-2</v>
      </c>
      <c r="O5410">
        <v>-0.3169304</v>
      </c>
      <c r="P5410">
        <v>0.97120770000000001</v>
      </c>
      <c r="Q5410">
        <v>0.1591901</v>
      </c>
      <c r="R5410">
        <v>-0.1772396</v>
      </c>
      <c r="S5410">
        <v>3.0414729999999999</v>
      </c>
      <c r="T5410">
        <v>-0.19359899999999999</v>
      </c>
      <c r="U5410">
        <v>-0.43508910000000001</v>
      </c>
      <c r="V5410">
        <v>-0.14311840000000001</v>
      </c>
      <c r="W5410">
        <v>0.16914889999999999</v>
      </c>
      <c r="X5410">
        <v>0.97514400000000001</v>
      </c>
      <c r="Y5410">
        <v>-0.17865780000000001</v>
      </c>
      <c r="Z5410">
        <v>2.2302410000000002E-2</v>
      </c>
      <c r="AA5410">
        <v>0.98365849999999999</v>
      </c>
      <c r="AB5410">
        <v>28</v>
      </c>
      <c r="AC5410">
        <v>17.4329</v>
      </c>
      <c r="AD5410">
        <v>-1.11812365158799</v>
      </c>
      <c r="AE5410">
        <v>-2.4725599999999899</v>
      </c>
      <c r="AF5410">
        <v>-3.1676405191722599</v>
      </c>
      <c r="AG5410">
        <v>-1.11812365158799</v>
      </c>
      <c r="AH5410">
        <v>17.248195611507601</v>
      </c>
      <c r="AI5410">
        <v>93.648197054237897</v>
      </c>
      <c r="AJ5410">
        <v>100.40644068518399</v>
      </c>
      <c r="AK5410">
        <v>17.572262199608002</v>
      </c>
      <c r="AL5410">
        <v>80.261662231870005</v>
      </c>
      <c r="AM5410">
        <v>98.349486945203395</v>
      </c>
      <c r="AN5410">
        <v>1.0000000237628801</v>
      </c>
    </row>
    <row r="5411" spans="1:40" x14ac:dyDescent="0.25">
      <c r="A5411" t="str">
        <f>"20190304155743480"</f>
        <v>20190304155743480</v>
      </c>
      <c r="B5411" t="str">
        <f>"1551686263469766"</f>
        <v>1551686263469766</v>
      </c>
      <c r="C5411" t="s">
        <v>40</v>
      </c>
      <c r="D5411">
        <v>4.5214540000000003</v>
      </c>
      <c r="E5411">
        <v>0.47631210000000002</v>
      </c>
      <c r="F5411" t="s">
        <v>85</v>
      </c>
      <c r="G5411">
        <v>-386.3818</v>
      </c>
      <c r="H5411" s="1">
        <v>-1.999227E-6</v>
      </c>
      <c r="I5411">
        <v>17.990179999999999</v>
      </c>
      <c r="J5411">
        <v>-404.5258</v>
      </c>
      <c r="K5411">
        <v>1.1180509999999999</v>
      </c>
      <c r="L5411">
        <v>20.161560000000001</v>
      </c>
      <c r="M5411">
        <v>0.949874</v>
      </c>
      <c r="N5411">
        <v>-1.306531E-2</v>
      </c>
      <c r="O5411">
        <v>-0.31236000000000003</v>
      </c>
      <c r="P5411">
        <v>0.97194389999999997</v>
      </c>
      <c r="Q5411">
        <v>0.1595075</v>
      </c>
      <c r="R5411">
        <v>-0.17286660000000001</v>
      </c>
      <c r="S5411">
        <v>3.0523069999999999</v>
      </c>
      <c r="T5411">
        <v>-0.18682380000000001</v>
      </c>
      <c r="U5411">
        <v>-0.36883539999999998</v>
      </c>
      <c r="V5411">
        <v>-0.14277290000000001</v>
      </c>
      <c r="W5411">
        <v>0.16948350000000001</v>
      </c>
      <c r="X5411">
        <v>0.97513649999999996</v>
      </c>
      <c r="Y5411">
        <v>-0.19539870000000001</v>
      </c>
      <c r="Z5411">
        <v>2.1799180000000001E-2</v>
      </c>
      <c r="AA5411">
        <v>0.98048159999999895</v>
      </c>
      <c r="AB5411">
        <v>28</v>
      </c>
      <c r="AC5411">
        <v>18.143999999999998</v>
      </c>
      <c r="AD5411">
        <v>-1.1180529992270001</v>
      </c>
      <c r="AE5411">
        <v>-2.1713800000000001</v>
      </c>
      <c r="AF5411">
        <v>-3.5917840011596698</v>
      </c>
      <c r="AG5411">
        <v>-1.1180529992270001</v>
      </c>
      <c r="AH5411">
        <v>17.8474815812394</v>
      </c>
      <c r="AI5411">
        <v>93.514323255481301</v>
      </c>
      <c r="AJ5411">
        <v>101.378714160087</v>
      </c>
      <c r="AK5411">
        <v>18.239614952425601</v>
      </c>
      <c r="AL5411">
        <v>80.242209738212907</v>
      </c>
      <c r="AM5411">
        <v>98.329676880260095</v>
      </c>
      <c r="AN5411">
        <v>0.99999997568945398</v>
      </c>
    </row>
    <row r="5412" spans="1:40" x14ac:dyDescent="0.25">
      <c r="A5412" t="str">
        <f>"20190304155743492"</f>
        <v>20190304155743492</v>
      </c>
      <c r="B5412" t="str">
        <f>"1551686263480501"</f>
        <v>1551686263480501</v>
      </c>
      <c r="C5412" t="s">
        <v>40</v>
      </c>
      <c r="D5412">
        <v>4.4608819999999998</v>
      </c>
      <c r="E5412">
        <v>0.4560747</v>
      </c>
      <c r="F5412" t="s">
        <v>85</v>
      </c>
      <c r="G5412">
        <v>-386.16059999999999</v>
      </c>
      <c r="H5412" s="1">
        <v>-2.0977330000000001E-6</v>
      </c>
      <c r="I5412">
        <v>18.024229999999999</v>
      </c>
      <c r="J5412">
        <v>-404.38330000000002</v>
      </c>
      <c r="K5412">
        <v>1.1179749999999999</v>
      </c>
      <c r="L5412">
        <v>20.12021</v>
      </c>
      <c r="M5412">
        <v>0.95158620000000005</v>
      </c>
      <c r="N5412">
        <v>-1.305066E-2</v>
      </c>
      <c r="O5412">
        <v>-0.30710460000000001</v>
      </c>
      <c r="P5412">
        <v>0.97279139999999997</v>
      </c>
      <c r="Q5412">
        <v>0.159659</v>
      </c>
      <c r="R5412">
        <v>-0.1678866</v>
      </c>
      <c r="S5412">
        <v>3.0538639999999999</v>
      </c>
      <c r="T5412">
        <v>-0.1859162</v>
      </c>
      <c r="U5412">
        <v>-0.35540769999999999</v>
      </c>
      <c r="V5412">
        <v>-0.14233860000000001</v>
      </c>
      <c r="W5412">
        <v>0.16965549999999999</v>
      </c>
      <c r="X5412">
        <v>0.97517010000000004</v>
      </c>
      <c r="Y5412">
        <v>-0.19430449999999999</v>
      </c>
      <c r="Z5412">
        <v>2.1407200000000001E-2</v>
      </c>
      <c r="AA5412">
        <v>0.98070760000000001</v>
      </c>
      <c r="AB5412">
        <v>28</v>
      </c>
      <c r="AC5412">
        <v>18.2227</v>
      </c>
      <c r="AD5412">
        <v>-1.1179770977329999</v>
      </c>
      <c r="AE5412">
        <v>-2.09598</v>
      </c>
      <c r="AF5412">
        <v>-3.5887450057609702</v>
      </c>
      <c r="AG5412">
        <v>-1.1179770977329999</v>
      </c>
      <c r="AH5412">
        <v>17.919122508292499</v>
      </c>
      <c r="AI5412">
        <v>93.500727352820903</v>
      </c>
      <c r="AJ5412">
        <v>101.325059697033</v>
      </c>
      <c r="AK5412">
        <v>18.309121086896202</v>
      </c>
      <c r="AL5412">
        <v>80.232210239531398</v>
      </c>
      <c r="AM5412">
        <v>98.304410655887807</v>
      </c>
      <c r="AN5412">
        <v>0.99999999483211</v>
      </c>
    </row>
    <row r="5413" spans="1:40" x14ac:dyDescent="0.25">
      <c r="A5413" t="str">
        <f>"20190304155743503"</f>
        <v>20190304155743503</v>
      </c>
      <c r="B5413" t="str">
        <f>"1551686263500021"</f>
        <v>1551686263500021</v>
      </c>
      <c r="C5413" t="s">
        <v>40</v>
      </c>
      <c r="D5413">
        <v>4.5139839999999998</v>
      </c>
      <c r="E5413">
        <v>0.45498729999999998</v>
      </c>
      <c r="F5413" t="s">
        <v>86</v>
      </c>
      <c r="G5413">
        <v>-373.64870000000002</v>
      </c>
      <c r="H5413" s="1">
        <v>-3.2100920000000002E-6</v>
      </c>
      <c r="I5413">
        <v>18.334679999999999</v>
      </c>
      <c r="J5413">
        <v>-404.23849999999999</v>
      </c>
      <c r="K5413">
        <v>1.1178969999999999</v>
      </c>
      <c r="L5413">
        <v>20.07938</v>
      </c>
      <c r="M5413">
        <v>0.95326639999999996</v>
      </c>
      <c r="N5413">
        <v>-1.3035130000000001E-2</v>
      </c>
      <c r="O5413">
        <v>-0.30185020000000001</v>
      </c>
      <c r="P5413">
        <v>0.97356929999999997</v>
      </c>
      <c r="Q5413">
        <v>0.15979489999999999</v>
      </c>
      <c r="R5413">
        <v>-0.163182299999999</v>
      </c>
      <c r="S5413">
        <v>3.0714419999999998</v>
      </c>
      <c r="T5413">
        <v>-0.1117247</v>
      </c>
      <c r="U5413">
        <v>-0.17843629999999999</v>
      </c>
      <c r="V5413">
        <v>-0.1416338</v>
      </c>
      <c r="W5413">
        <v>0.16981760000000001</v>
      </c>
      <c r="X5413">
        <v>0.97524449999999996</v>
      </c>
      <c r="Y5413">
        <v>-0.2457811</v>
      </c>
      <c r="Z5413">
        <v>1.2894839999999999E-2</v>
      </c>
      <c r="AA5413">
        <v>0.96923959999999998</v>
      </c>
      <c r="AB5413">
        <v>28</v>
      </c>
      <c r="AC5413">
        <v>30.589799999999901</v>
      </c>
      <c r="AD5413">
        <v>-1.1179002100919999</v>
      </c>
      <c r="AE5413">
        <v>-1.7446999999999999</v>
      </c>
      <c r="AF5413">
        <v>-7.56095039866916</v>
      </c>
      <c r="AG5413">
        <v>-1.1179002100919999</v>
      </c>
      <c r="AH5413">
        <v>29.6499148631137</v>
      </c>
      <c r="AI5413">
        <v>92.092321545245994</v>
      </c>
      <c r="AJ5413">
        <v>104.305954845583</v>
      </c>
      <c r="AK5413">
        <v>30.6191953388842</v>
      </c>
      <c r="AL5413">
        <v>80.222785819341695</v>
      </c>
      <c r="AM5413">
        <v>98.263238311369307</v>
      </c>
      <c r="AN5413">
        <v>0.99999999267622497</v>
      </c>
    </row>
    <row r="5414" spans="1:40" x14ac:dyDescent="0.25">
      <c r="A5414" t="str">
        <f>"20190304155743515"</f>
        <v>20190304155743515</v>
      </c>
      <c r="B5414" t="str">
        <f>"1551686263509781"</f>
        <v>1551686263509781</v>
      </c>
      <c r="C5414" t="s">
        <v>40</v>
      </c>
      <c r="D5414">
        <v>4.5405319999999998</v>
      </c>
      <c r="E5414">
        <v>0.45444889999999999</v>
      </c>
      <c r="F5414" t="s">
        <v>86</v>
      </c>
      <c r="G5414">
        <v>-374.44600000000003</v>
      </c>
      <c r="H5414" s="1">
        <v>-2.7905260000000001E-6</v>
      </c>
      <c r="I5414">
        <v>18.575299999999999</v>
      </c>
      <c r="J5414">
        <v>-404.10309999999998</v>
      </c>
      <c r="K5414">
        <v>1.1178220000000001</v>
      </c>
      <c r="L5414">
        <v>20.041779999999999</v>
      </c>
      <c r="M5414">
        <v>0.95479740000000002</v>
      </c>
      <c r="N5414">
        <v>-1.3020739999999999E-2</v>
      </c>
      <c r="O5414">
        <v>-0.29697269999999998</v>
      </c>
      <c r="P5414">
        <v>0.97433630000000004</v>
      </c>
      <c r="Q5414">
        <v>0.15968889999999999</v>
      </c>
      <c r="R5414">
        <v>-0.15864710000000001</v>
      </c>
      <c r="S5414">
        <v>3.0744020000000001</v>
      </c>
      <c r="T5414">
        <v>-0.1153604</v>
      </c>
      <c r="U5414">
        <v>-0.1552124</v>
      </c>
      <c r="V5414">
        <v>-0.1411615</v>
      </c>
      <c r="W5414">
        <v>0.16973260000000001</v>
      </c>
      <c r="X5414">
        <v>0.97532779999999997</v>
      </c>
      <c r="Y5414">
        <v>-0.24815760000000001</v>
      </c>
      <c r="Z5414">
        <v>1.333617E-2</v>
      </c>
      <c r="AA5414">
        <v>0.96862789999999999</v>
      </c>
      <c r="AB5414">
        <v>28</v>
      </c>
      <c r="AC5414">
        <v>29.6571</v>
      </c>
      <c r="AD5414">
        <v>-1.1178247905259999</v>
      </c>
      <c r="AE5414">
        <v>-1.46648</v>
      </c>
      <c r="AF5414">
        <v>-7.3973008588134403</v>
      </c>
      <c r="AG5414">
        <v>-1.1178247905259999</v>
      </c>
      <c r="AH5414">
        <v>28.713765373958701</v>
      </c>
      <c r="AI5414">
        <v>92.158971055953998</v>
      </c>
      <c r="AJ5414">
        <v>104.446526327396</v>
      </c>
      <c r="AK5414">
        <v>29.6723762818023</v>
      </c>
      <c r="AL5414">
        <v>80.227727982472601</v>
      </c>
      <c r="AM5414">
        <v>98.235368117548404</v>
      </c>
      <c r="AN5414">
        <v>1.0000000210189199</v>
      </c>
    </row>
    <row r="5415" spans="1:40" x14ac:dyDescent="0.25">
      <c r="A5415" t="str">
        <f>"20190304155743526"</f>
        <v>20190304155743526</v>
      </c>
      <c r="B5415" t="str">
        <f>"1551686263520517"</f>
        <v>1551686263520517</v>
      </c>
      <c r="C5415" t="s">
        <v>40</v>
      </c>
      <c r="D5415">
        <v>4.5312469999999996</v>
      </c>
      <c r="E5415">
        <v>0.45446379999999997</v>
      </c>
      <c r="F5415" t="s">
        <v>86</v>
      </c>
      <c r="G5415">
        <v>-373.86900000000003</v>
      </c>
      <c r="H5415" s="1">
        <v>-3.0412420000000001E-6</v>
      </c>
      <c r="I5415">
        <v>18.6995</v>
      </c>
      <c r="J5415">
        <v>-403.96080000000001</v>
      </c>
      <c r="K5415">
        <v>1.1177509999999999</v>
      </c>
      <c r="L5415">
        <v>20.0029</v>
      </c>
      <c r="M5415">
        <v>0.95636500000000002</v>
      </c>
      <c r="N5415">
        <v>-1.3005640000000001E-2</v>
      </c>
      <c r="O5415">
        <v>-0.29188520000000001</v>
      </c>
      <c r="P5415">
        <v>0.97508139999999999</v>
      </c>
      <c r="Q5415">
        <v>0.1595087</v>
      </c>
      <c r="R5415">
        <v>-0.154186299999999</v>
      </c>
      <c r="S5415">
        <v>3.0753780000000002</v>
      </c>
      <c r="T5415">
        <v>-0.113704</v>
      </c>
      <c r="U5415">
        <v>-0.13653560000000001</v>
      </c>
      <c r="V5415">
        <v>-0.140404799999999</v>
      </c>
      <c r="W5415">
        <v>0.1695789</v>
      </c>
      <c r="X5415">
        <v>0.97546370000000004</v>
      </c>
      <c r="Y5415">
        <v>-0.24889520000000001</v>
      </c>
      <c r="Z5415">
        <v>1.302067E-2</v>
      </c>
      <c r="AA5415">
        <v>0.9684429</v>
      </c>
      <c r="AB5415">
        <v>28</v>
      </c>
      <c r="AC5415">
        <v>30.0917999999999</v>
      </c>
      <c r="AD5415">
        <v>-1.117754041242</v>
      </c>
      <c r="AE5415">
        <v>-1.3033999999999999</v>
      </c>
      <c r="AF5415">
        <v>-7.5270959645331104</v>
      </c>
      <c r="AG5415">
        <v>-1.117754041242</v>
      </c>
      <c r="AH5415">
        <v>29.1215471639612</v>
      </c>
      <c r="AI5415">
        <v>92.128195832690693</v>
      </c>
      <c r="AJ5415">
        <v>104.492165463883</v>
      </c>
      <c r="AK5415">
        <v>30.099353099009001</v>
      </c>
      <c r="AL5415">
        <v>80.236663386856407</v>
      </c>
      <c r="AM5415">
        <v>98.190697155959299</v>
      </c>
      <c r="AN5415">
        <v>0.99999997060296897</v>
      </c>
    </row>
    <row r="5416" spans="1:40" x14ac:dyDescent="0.25">
      <c r="A5416" t="str">
        <f>"20190304155743539"</f>
        <v>20190304155743539</v>
      </c>
      <c r="B5416" t="str">
        <f>"1551686263530278"</f>
        <v>1551686263530278</v>
      </c>
      <c r="C5416" t="s">
        <v>40</v>
      </c>
      <c r="D5416">
        <v>4.4560690000000003</v>
      </c>
      <c r="E5416">
        <v>0.45573639999999999</v>
      </c>
      <c r="F5416" t="s">
        <v>86</v>
      </c>
      <c r="G5416">
        <v>-373.90249999999997</v>
      </c>
      <c r="H5416" s="1">
        <v>-3.0063709999999898E-6</v>
      </c>
      <c r="I5416">
        <v>18.80706</v>
      </c>
      <c r="J5416">
        <v>-403.82159999999999</v>
      </c>
      <c r="K5416">
        <v>1.1176779999999999</v>
      </c>
      <c r="L5416">
        <v>19.96585</v>
      </c>
      <c r="M5416">
        <v>0.95784999999999998</v>
      </c>
      <c r="N5416">
        <v>-1.2990689999999999E-2</v>
      </c>
      <c r="O5416">
        <v>-0.28697450000000002</v>
      </c>
      <c r="P5416">
        <v>0.97572740000000002</v>
      </c>
      <c r="Q5416">
        <v>0.159798</v>
      </c>
      <c r="R5416">
        <v>-0.14973439999999999</v>
      </c>
      <c r="S5416">
        <v>3.0760190000000001</v>
      </c>
      <c r="T5416">
        <v>-0.11438520000000001</v>
      </c>
      <c r="U5416">
        <v>-0.1223755</v>
      </c>
      <c r="V5416">
        <v>-0.13981250000000001</v>
      </c>
      <c r="W5416">
        <v>0.1698895</v>
      </c>
      <c r="X5416">
        <v>0.97549470000000005</v>
      </c>
      <c r="Y5416">
        <v>-0.2483832</v>
      </c>
      <c r="Z5416">
        <v>1.2992190000000001E-2</v>
      </c>
      <c r="AA5416">
        <v>0.96857470000000001</v>
      </c>
      <c r="AB5416">
        <v>28</v>
      </c>
      <c r="AC5416">
        <v>29.9191</v>
      </c>
      <c r="AD5416">
        <v>-1.1176810063709901</v>
      </c>
      <c r="AE5416">
        <v>-1.15878999999999</v>
      </c>
      <c r="AF5416">
        <v>-7.4662997941978597</v>
      </c>
      <c r="AG5416">
        <v>-1.1176810063709901</v>
      </c>
      <c r="AH5416">
        <v>28.952659587714901</v>
      </c>
      <c r="AI5416">
        <v>92.140765343185194</v>
      </c>
      <c r="AJ5416">
        <v>104.460359388827</v>
      </c>
      <c r="AK5416">
        <v>29.9207510041266</v>
      </c>
      <c r="AL5416">
        <v>80.218605024733094</v>
      </c>
      <c r="AM5416">
        <v>98.156354754000503</v>
      </c>
      <c r="AN5416">
        <v>0.99999994354729305</v>
      </c>
    </row>
    <row r="5417" spans="1:40" x14ac:dyDescent="0.25">
      <c r="A5417" t="str">
        <f>"20190304155743549"</f>
        <v>20190304155743549</v>
      </c>
      <c r="B5417" t="str">
        <f>"1551686263540037"</f>
        <v>1551686263540037</v>
      </c>
      <c r="C5417" t="s">
        <v>40</v>
      </c>
      <c r="D5417">
        <v>4.4839539999999998</v>
      </c>
      <c r="E5417">
        <v>0.45678190000000002</v>
      </c>
      <c r="F5417" t="s">
        <v>86</v>
      </c>
      <c r="G5417">
        <v>-373.01209999999998</v>
      </c>
      <c r="H5417" s="1">
        <v>-3.4315129999999998E-6</v>
      </c>
      <c r="I5417">
        <v>18.783059999999999</v>
      </c>
      <c r="J5417">
        <v>-403.6884</v>
      </c>
      <c r="K5417">
        <v>1.117613</v>
      </c>
      <c r="L5417">
        <v>19.930689999999998</v>
      </c>
      <c r="M5417">
        <v>0.95923979999999998</v>
      </c>
      <c r="N5417">
        <v>-1.2976939999999999E-2</v>
      </c>
      <c r="O5417">
        <v>-0.28229579999999999</v>
      </c>
      <c r="P5417">
        <v>0.9762864</v>
      </c>
      <c r="Q5417">
        <v>0.16013729999999901</v>
      </c>
      <c r="R5417">
        <v>-0.1456751</v>
      </c>
      <c r="S5417">
        <v>3.0747680000000002</v>
      </c>
      <c r="T5417">
        <v>-0.111544</v>
      </c>
      <c r="U5417">
        <v>-0.11804199999999999</v>
      </c>
      <c r="V5417">
        <v>-0.13906779999999999</v>
      </c>
      <c r="W5417">
        <v>0.17025270000000001</v>
      </c>
      <c r="X5417">
        <v>0.97553789999999996</v>
      </c>
      <c r="Y5417">
        <v>-0.24502070000000001</v>
      </c>
      <c r="Z5417">
        <v>1.244176E-2</v>
      </c>
      <c r="AA5417">
        <v>0.96943800000000002</v>
      </c>
      <c r="AB5417">
        <v>28</v>
      </c>
      <c r="AC5417">
        <v>30.676300000000001</v>
      </c>
      <c r="AD5417">
        <v>-1.1176164315129999</v>
      </c>
      <c r="AE5417">
        <v>-1.1476299999999899</v>
      </c>
      <c r="AF5417">
        <v>-7.5495668618013596</v>
      </c>
      <c r="AG5417">
        <v>-1.1176164315129999</v>
      </c>
      <c r="AH5417">
        <v>29.7130156933537</v>
      </c>
      <c r="AI5417">
        <v>92.087813576050905</v>
      </c>
      <c r="AJ5417">
        <v>104.256199025423</v>
      </c>
      <c r="AK5417">
        <v>30.677488943560601</v>
      </c>
      <c r="AL5417">
        <v>80.197488255919197</v>
      </c>
      <c r="AM5417">
        <v>98.113136049608002</v>
      </c>
      <c r="AN5417">
        <v>1.0000000145952599</v>
      </c>
    </row>
    <row r="5418" spans="1:40" x14ac:dyDescent="0.25">
      <c r="A5418" t="str">
        <f>"20190304155743569"</f>
        <v>20190304155743569</v>
      </c>
      <c r="B5418" t="str">
        <f>"1551686263559557"</f>
        <v>1551686263559557</v>
      </c>
      <c r="C5418" t="s">
        <v>40</v>
      </c>
      <c r="D5418">
        <v>4.4891319999999997</v>
      </c>
      <c r="E5418">
        <v>0.45767950000000002</v>
      </c>
      <c r="F5418" t="s">
        <v>86</v>
      </c>
      <c r="G5418">
        <v>-371.84070000000003</v>
      </c>
      <c r="H5418" s="1">
        <v>-3.9901710000000002E-6</v>
      </c>
      <c r="I5418">
        <v>18.755330000000001</v>
      </c>
      <c r="J5418">
        <v>-403.46089999999998</v>
      </c>
      <c r="K5418">
        <v>1.1174949999999999</v>
      </c>
      <c r="L5418">
        <v>19.872589999999999</v>
      </c>
      <c r="M5418">
        <v>0.96151339999999996</v>
      </c>
      <c r="N5418">
        <v>-1.2948029999999999E-2</v>
      </c>
      <c r="O5418">
        <v>-0.27445330000000001</v>
      </c>
      <c r="P5418">
        <v>0.97714869999999998</v>
      </c>
      <c r="Q5418">
        <v>0.161483399999999</v>
      </c>
      <c r="R5418">
        <v>-0.13821510000000001</v>
      </c>
      <c r="S5418">
        <v>3.073639</v>
      </c>
      <c r="T5418">
        <v>-0.1078616</v>
      </c>
      <c r="U5418">
        <v>-0.1134338</v>
      </c>
      <c r="V5418">
        <v>-0.13846220000000001</v>
      </c>
      <c r="W5418">
        <v>0.17162079999999999</v>
      </c>
      <c r="X5418">
        <v>0.97538429999999998</v>
      </c>
      <c r="Y5418">
        <v>-0.23856260000000001</v>
      </c>
      <c r="Z5418">
        <v>1.1656329999999999E-2</v>
      </c>
      <c r="AA5418">
        <v>0.97105719999999995</v>
      </c>
      <c r="AB5418">
        <v>28</v>
      </c>
      <c r="AC5418">
        <v>31.620199999999901</v>
      </c>
      <c r="AD5418">
        <v>-1.117498990171</v>
      </c>
      <c r="AE5418">
        <v>-1.1172599999999999</v>
      </c>
      <c r="AF5418">
        <v>-7.5951695928925602</v>
      </c>
      <c r="AG5418">
        <v>-1.117498990171</v>
      </c>
      <c r="AH5418">
        <v>30.674187430438401</v>
      </c>
      <c r="AI5418">
        <v>92.0253249328306</v>
      </c>
      <c r="AJ5418">
        <v>103.90717328487899</v>
      </c>
      <c r="AK5418">
        <v>31.620265331832599</v>
      </c>
      <c r="AL5418">
        <v>80.117930887218606</v>
      </c>
      <c r="AM5418">
        <v>98.079528391374396</v>
      </c>
      <c r="AN5418">
        <v>1.00000000625398</v>
      </c>
    </row>
    <row r="5419" spans="1:40" x14ac:dyDescent="0.25">
      <c r="A5419" t="str">
        <f>"20190304155743583"</f>
        <v>20190304155743583</v>
      </c>
      <c r="B5419" t="str">
        <f>"1551686263580053"</f>
        <v>1551686263580053</v>
      </c>
      <c r="C5419" t="s">
        <v>40</v>
      </c>
      <c r="D5419">
        <v>4.5543509999999996</v>
      </c>
      <c r="E5419">
        <v>0.45834819999999998</v>
      </c>
      <c r="F5419" t="s">
        <v>86</v>
      </c>
      <c r="G5419">
        <v>-371.12459999999999</v>
      </c>
      <c r="H5419" s="1">
        <v>-4.3132249999999997E-6</v>
      </c>
      <c r="I5419">
        <v>18.842400000000001</v>
      </c>
      <c r="J5419">
        <v>-403.28050000000002</v>
      </c>
      <c r="K5419">
        <v>1.1173930000000001</v>
      </c>
      <c r="L5419">
        <v>19.827940000000002</v>
      </c>
      <c r="M5419">
        <v>0.96323419999999904</v>
      </c>
      <c r="N5419">
        <v>-1.292159E-2</v>
      </c>
      <c r="O5419">
        <v>-0.26835239999999999</v>
      </c>
      <c r="P5419">
        <v>0.97792970000000001</v>
      </c>
      <c r="Q5419">
        <v>0.1616716</v>
      </c>
      <c r="R5419">
        <v>-0.1323493</v>
      </c>
      <c r="S5419">
        <v>3.0739139999999998</v>
      </c>
      <c r="T5419">
        <v>-0.1062304</v>
      </c>
      <c r="U5419">
        <v>-9.7930909999999996E-2</v>
      </c>
      <c r="V5419">
        <v>-0.13808239999999999</v>
      </c>
      <c r="W5419">
        <v>0.17182520000000001</v>
      </c>
      <c r="X5419">
        <v>0.9754022</v>
      </c>
      <c r="Y5419">
        <v>-0.23731160000000001</v>
      </c>
      <c r="Z5419">
        <v>1.1302670000000001E-2</v>
      </c>
      <c r="AA5419">
        <v>0.9713678</v>
      </c>
      <c r="AB5419">
        <v>28</v>
      </c>
      <c r="AC5419">
        <v>32.155900000000003</v>
      </c>
      <c r="AD5419">
        <v>-1.1173973132249999</v>
      </c>
      <c r="AE5419">
        <v>-0.98553999999999597</v>
      </c>
      <c r="AF5419">
        <v>-7.6711935154206996</v>
      </c>
      <c r="AG5419">
        <v>-1.1173973132249999</v>
      </c>
      <c r="AH5419">
        <v>31.2030982752804</v>
      </c>
      <c r="AI5419">
        <v>91.991656064623498</v>
      </c>
      <c r="AJ5419">
        <v>103.812082580571</v>
      </c>
      <c r="AK5419">
        <v>32.151658257132603</v>
      </c>
      <c r="AL5419">
        <v>80.106043477938599</v>
      </c>
      <c r="AM5419">
        <v>98.057511868839995</v>
      </c>
      <c r="AN5419">
        <v>1.0000000501548101</v>
      </c>
    </row>
    <row r="5420" spans="1:40" x14ac:dyDescent="0.25">
      <c r="A5420" t="str">
        <f>"20190304155743595"</f>
        <v>20190304155743595</v>
      </c>
      <c r="B5420" t="str">
        <f>"1551686263589813"</f>
        <v>1551686263589813</v>
      </c>
      <c r="C5420" t="s">
        <v>40</v>
      </c>
      <c r="D5420">
        <v>4.5050860000000004</v>
      </c>
      <c r="E5420">
        <v>0.45902769999999998</v>
      </c>
      <c r="F5420" t="s">
        <v>86</v>
      </c>
      <c r="G5420">
        <v>-371.66770000000002</v>
      </c>
      <c r="H5420" s="1">
        <v>-4.037196E-6</v>
      </c>
      <c r="I5420">
        <v>18.9511</v>
      </c>
      <c r="J5420">
        <v>-403.13900000000001</v>
      </c>
      <c r="K5420">
        <v>1.1173059999999999</v>
      </c>
      <c r="L5420">
        <v>19.793610000000001</v>
      </c>
      <c r="M5420">
        <v>0.96453860000000002</v>
      </c>
      <c r="N5420">
        <v>-1.290025E-2</v>
      </c>
      <c r="O5420">
        <v>-0.26362639999999998</v>
      </c>
      <c r="P5420">
        <v>0.97846489999999997</v>
      </c>
      <c r="Q5420">
        <v>0.161832</v>
      </c>
      <c r="R5420">
        <v>-0.12812850000000001</v>
      </c>
      <c r="S5420">
        <v>3.0740970000000001</v>
      </c>
      <c r="T5420">
        <v>-0.1086583</v>
      </c>
      <c r="U5420">
        <v>-8.5266110000000006E-2</v>
      </c>
      <c r="V5420">
        <v>-0.1374668</v>
      </c>
      <c r="W5420">
        <v>0.17200460000000001</v>
      </c>
      <c r="X5420">
        <v>0.97545749999999998</v>
      </c>
      <c r="Y5420">
        <v>-0.2365381</v>
      </c>
      <c r="Z5420">
        <v>1.1492779999999999E-2</v>
      </c>
      <c r="AA5420">
        <v>0.97155420000000003</v>
      </c>
      <c r="AB5420">
        <v>28</v>
      </c>
      <c r="AC5420">
        <v>31.4712999999999</v>
      </c>
      <c r="AD5420">
        <v>-1.1173100371960001</v>
      </c>
      <c r="AE5420">
        <v>-0.84250999999999998</v>
      </c>
      <c r="AF5420">
        <v>-7.4752396407722497</v>
      </c>
      <c r="AG5420">
        <v>-1.1173100371960001</v>
      </c>
      <c r="AH5420">
        <v>30.5414682826564</v>
      </c>
      <c r="AI5420">
        <v>92.035120120732302</v>
      </c>
      <c r="AJ5420">
        <v>103.753168104826</v>
      </c>
      <c r="AK5420">
        <v>31.462817328820002</v>
      </c>
      <c r="AL5420">
        <v>80.095608956534704</v>
      </c>
      <c r="AM5420">
        <v>98.021609592524598</v>
      </c>
      <c r="AN5420">
        <v>1.0000000189148199</v>
      </c>
    </row>
    <row r="5421" spans="1:40" x14ac:dyDescent="0.25">
      <c r="A5421" t="str">
        <f>"20190304155743615"</f>
        <v>20190304155743615</v>
      </c>
      <c r="B5421" t="str">
        <f>"1551686263610309"</f>
        <v>1551686263610309</v>
      </c>
      <c r="C5421" t="s">
        <v>40</v>
      </c>
      <c r="D5421">
        <v>4.5116709999999998</v>
      </c>
      <c r="E5421">
        <v>0.46069959999999999</v>
      </c>
      <c r="F5421" t="s">
        <v>86</v>
      </c>
      <c r="G5421">
        <v>-371.69749999999999</v>
      </c>
      <c r="H5421" s="1">
        <v>-4.0145799999999999E-6</v>
      </c>
      <c r="I5421">
        <v>18.999199999999998</v>
      </c>
      <c r="J5421">
        <v>-402.90440000000001</v>
      </c>
      <c r="K5421">
        <v>1.1171500000000001</v>
      </c>
      <c r="L5421">
        <v>19.73807</v>
      </c>
      <c r="M5421">
        <v>0.9666131</v>
      </c>
      <c r="N5421">
        <v>-1.286254E-2</v>
      </c>
      <c r="O5421">
        <v>-0.25591809999999998</v>
      </c>
      <c r="P5421">
        <v>0.97934089999999996</v>
      </c>
      <c r="Q5421">
        <v>0.1608947</v>
      </c>
      <c r="R5421">
        <v>-0.12249350000000001</v>
      </c>
      <c r="S5421">
        <v>3.073944</v>
      </c>
      <c r="T5421">
        <v>-0.1092361</v>
      </c>
      <c r="U5421">
        <v>-7.7667239999999999E-2</v>
      </c>
      <c r="V5421">
        <v>-0.1352497</v>
      </c>
      <c r="W5421">
        <v>0.17112430000000001</v>
      </c>
      <c r="X5421">
        <v>0.97592210000000001</v>
      </c>
      <c r="Y5421">
        <v>-0.2311802</v>
      </c>
      <c r="Z5421">
        <v>1.1277860000000001E-2</v>
      </c>
      <c r="AA5421">
        <v>0.97284559999999998</v>
      </c>
      <c r="AB5421">
        <v>28</v>
      </c>
      <c r="AC5421">
        <v>31.206900000000001</v>
      </c>
      <c r="AD5421">
        <v>-1.1171540145799901</v>
      </c>
      <c r="AE5421">
        <v>-0.73887000000000203</v>
      </c>
      <c r="AF5421">
        <v>-7.2635062126395997</v>
      </c>
      <c r="AG5421">
        <v>-1.1171540145799901</v>
      </c>
      <c r="AH5421">
        <v>30.317762698934001</v>
      </c>
      <c r="AI5421">
        <v>92.052265110576002</v>
      </c>
      <c r="AJ5421">
        <v>103.472935717483</v>
      </c>
      <c r="AK5421">
        <v>31.195725519086999</v>
      </c>
      <c r="AL5421">
        <v>80.146805105135996</v>
      </c>
      <c r="AM5421">
        <v>97.890168425041196</v>
      </c>
      <c r="AN5421">
        <v>0.999999976334494</v>
      </c>
    </row>
    <row r="5422" spans="1:40" x14ac:dyDescent="0.25">
      <c r="A5422" t="str">
        <f>"20190304155743627"</f>
        <v>20190304155743627</v>
      </c>
      <c r="B5422" t="str">
        <f>"1551686263620069"</f>
        <v>1551686263620069</v>
      </c>
      <c r="C5422" t="s">
        <v>40</v>
      </c>
      <c r="D5422">
        <v>4.5428089999999903</v>
      </c>
      <c r="E5422">
        <v>0.46112199999999998</v>
      </c>
      <c r="F5422" t="s">
        <v>86</v>
      </c>
      <c r="G5422">
        <v>-372.52820000000003</v>
      </c>
      <c r="H5422" s="1">
        <v>-3.6186629999999998E-6</v>
      </c>
      <c r="I5422">
        <v>19.01763</v>
      </c>
      <c r="J5422">
        <v>-402.73520000000002</v>
      </c>
      <c r="K5422">
        <v>1.1170359999999999</v>
      </c>
      <c r="L5422">
        <v>19.699069999999999</v>
      </c>
      <c r="M5422">
        <v>0.96804460000000003</v>
      </c>
      <c r="N5422">
        <v>-1.2832949999999999E-2</v>
      </c>
      <c r="O5422">
        <v>-0.25044939999999999</v>
      </c>
      <c r="P5422">
        <v>0.97999499999999995</v>
      </c>
      <c r="Q5422">
        <v>0.16029769999999999</v>
      </c>
      <c r="R5422">
        <v>-0.1179592</v>
      </c>
      <c r="S5422">
        <v>3.0727229999999999</v>
      </c>
      <c r="T5422">
        <v>-0.113006</v>
      </c>
      <c r="U5422">
        <v>-7.2875980000000007E-2</v>
      </c>
      <c r="V5422">
        <v>-0.1342151</v>
      </c>
      <c r="W5422">
        <v>0.17055490000000001</v>
      </c>
      <c r="X5422">
        <v>0.97616460000000005</v>
      </c>
      <c r="Y5422">
        <v>-0.22717019999999999</v>
      </c>
      <c r="Z5422">
        <v>1.151752E-2</v>
      </c>
      <c r="AA5422">
        <v>0.97378699999999996</v>
      </c>
      <c r="AB5422">
        <v>28</v>
      </c>
      <c r="AC5422">
        <v>30.206999999999901</v>
      </c>
      <c r="AD5422">
        <v>-1.1170396186630001</v>
      </c>
      <c r="AE5422">
        <v>-0.68144000000000204</v>
      </c>
      <c r="AF5422">
        <v>-6.8968031747767897</v>
      </c>
      <c r="AG5422">
        <v>-1.1170396186630001</v>
      </c>
      <c r="AH5422">
        <v>29.374663699433</v>
      </c>
      <c r="AI5422">
        <v>92.1201570397252</v>
      </c>
      <c r="AJ5422">
        <v>103.21301123357701</v>
      </c>
      <c r="AK5422">
        <v>30.194114310508599</v>
      </c>
      <c r="AL5422">
        <v>80.179916294108196</v>
      </c>
      <c r="AM5422">
        <v>97.8286425947787</v>
      </c>
      <c r="AN5422">
        <v>0.99999999663758998</v>
      </c>
    </row>
    <row r="5423" spans="1:40" x14ac:dyDescent="0.25">
      <c r="A5423" t="str">
        <f>"20190304155743649"</f>
        <v>20190304155743649</v>
      </c>
      <c r="B5423" t="str">
        <f>"1551686263640565"</f>
        <v>1551686263640565</v>
      </c>
      <c r="C5423" t="s">
        <v>40</v>
      </c>
      <c r="D5423">
        <v>4.5760579999999997</v>
      </c>
      <c r="E5423">
        <v>0.46240409999999998</v>
      </c>
      <c r="F5423" t="s">
        <v>86</v>
      </c>
      <c r="G5423">
        <v>-373.13029999999998</v>
      </c>
      <c r="H5423" s="1">
        <v>-3.3190069999999999E-6</v>
      </c>
      <c r="I5423">
        <v>19.10219</v>
      </c>
      <c r="J5423">
        <v>-402.48899999999998</v>
      </c>
      <c r="K5423">
        <v>1.1168709999999999</v>
      </c>
      <c r="L5423">
        <v>19.644069999999999</v>
      </c>
      <c r="M5423">
        <v>0.97003159999999999</v>
      </c>
      <c r="N5423">
        <v>-1.278756E-2</v>
      </c>
      <c r="O5423">
        <v>-0.24264230000000001</v>
      </c>
      <c r="P5423">
        <v>0.98077539999999996</v>
      </c>
      <c r="Q5423">
        <v>0.15978589999999901</v>
      </c>
      <c r="R5423">
        <v>-0.1120193</v>
      </c>
      <c r="S5423">
        <v>3.0727540000000002</v>
      </c>
      <c r="T5423">
        <v>-0.115939899999999</v>
      </c>
      <c r="U5423">
        <v>-6.1950680000000001E-2</v>
      </c>
      <c r="V5423">
        <v>-0.13220689999999999</v>
      </c>
      <c r="W5423">
        <v>0.1700864</v>
      </c>
      <c r="X5423">
        <v>0.97652030000000001</v>
      </c>
      <c r="Y5423">
        <v>-0.22277420000000001</v>
      </c>
      <c r="Z5423">
        <v>1.1574900000000001E-2</v>
      </c>
      <c r="AA5423">
        <v>0.97480140000000004</v>
      </c>
      <c r="AB5423">
        <v>28</v>
      </c>
      <c r="AC5423">
        <v>29.358699999999999</v>
      </c>
      <c r="AD5423">
        <v>-1.1168743190069901</v>
      </c>
      <c r="AE5423">
        <v>-0.54188000000000203</v>
      </c>
      <c r="AF5423">
        <v>-6.5890283893065398</v>
      </c>
      <c r="AG5423">
        <v>-1.1168743190069901</v>
      </c>
      <c r="AH5423">
        <v>28.571352638247198</v>
      </c>
      <c r="AI5423">
        <v>92.181393907424294</v>
      </c>
      <c r="AJ5423">
        <v>102.986313938384</v>
      </c>
      <c r="AK5423">
        <v>29.342544111556201</v>
      </c>
      <c r="AL5423">
        <v>80.207157152535999</v>
      </c>
      <c r="AM5423">
        <v>97.710150996079705</v>
      </c>
      <c r="AN5423">
        <v>0.99999997209232905</v>
      </c>
    </row>
    <row r="5424" spans="1:40" x14ac:dyDescent="0.25">
      <c r="A5424" t="str">
        <f>"20190304155743663"</f>
        <v>20190304155743663</v>
      </c>
      <c r="B5424" t="str">
        <f>"1551686263660085"</f>
        <v>1551686263660085</v>
      </c>
      <c r="C5424" t="s">
        <v>40</v>
      </c>
      <c r="D5424">
        <v>4.5171539999999997</v>
      </c>
      <c r="E5424">
        <v>0.48122310000000001</v>
      </c>
      <c r="F5424" t="s">
        <v>86</v>
      </c>
      <c r="G5424">
        <v>-373.61369999999999</v>
      </c>
      <c r="H5424" s="1">
        <v>-3.0846920000000001E-6</v>
      </c>
      <c r="I5424">
        <v>19.134899999999998</v>
      </c>
      <c r="J5424">
        <v>-402.32170000000002</v>
      </c>
      <c r="K5424">
        <v>1.1167579999999999</v>
      </c>
      <c r="L5424">
        <v>19.607939999999999</v>
      </c>
      <c r="M5424">
        <v>0.97131069999999997</v>
      </c>
      <c r="N5424">
        <v>-1.275657E-2</v>
      </c>
      <c r="O5424">
        <v>-0.23747209999999999</v>
      </c>
      <c r="P5424">
        <v>0.98127569999999997</v>
      </c>
      <c r="Q5424">
        <v>0.15938820000000001</v>
      </c>
      <c r="R5424">
        <v>-0.10813680000000001</v>
      </c>
      <c r="S5424">
        <v>3.07193</v>
      </c>
      <c r="T5424">
        <v>-0.1188203</v>
      </c>
      <c r="U5424">
        <v>-5.41687E-2</v>
      </c>
      <c r="V5424">
        <v>-0.13082949999999999</v>
      </c>
      <c r="W5424">
        <v>0.16971939999999999</v>
      </c>
      <c r="X5424">
        <v>0.97676969999999996</v>
      </c>
      <c r="Y5424">
        <v>-0.22003329999999999</v>
      </c>
      <c r="Z5424">
        <v>1.1715410000000001E-2</v>
      </c>
      <c r="AA5424">
        <v>0.97542200000000001</v>
      </c>
      <c r="AB5424">
        <v>28</v>
      </c>
      <c r="AC5424">
        <v>28.707999999999998</v>
      </c>
      <c r="AD5424">
        <v>-1.116761084692</v>
      </c>
      <c r="AE5424">
        <v>-0.47304000000000102</v>
      </c>
      <c r="AF5424">
        <v>-6.3487921659009299</v>
      </c>
      <c r="AG5424">
        <v>-1.116761084692</v>
      </c>
      <c r="AH5424">
        <v>27.956702365044599</v>
      </c>
      <c r="AI5424">
        <v>92.230786548362204</v>
      </c>
      <c r="AJ5424">
        <v>102.79451429917501</v>
      </c>
      <c r="AK5424">
        <v>28.6902688104134</v>
      </c>
      <c r="AL5424">
        <v>80.228495606832297</v>
      </c>
      <c r="AM5424">
        <v>97.628848625683005</v>
      </c>
      <c r="AN5424">
        <v>1.0000000398223401</v>
      </c>
    </row>
    <row r="5425" spans="1:40" x14ac:dyDescent="0.25">
      <c r="A5425" t="str">
        <f>"20190304155743680"</f>
        <v>20190304155743680</v>
      </c>
      <c r="B5425" t="str">
        <f>"1551686263669845"</f>
        <v>1551686263669845</v>
      </c>
      <c r="C5425" t="s">
        <v>40</v>
      </c>
      <c r="D5425">
        <v>4.4977549999999997</v>
      </c>
      <c r="E5425">
        <v>0.48135790000000001</v>
      </c>
      <c r="F5425" t="s">
        <v>86</v>
      </c>
      <c r="G5425">
        <v>-372.22070000000002</v>
      </c>
      <c r="H5425" s="1">
        <v>-3.9937649999999999E-6</v>
      </c>
      <c r="I5425">
        <v>17.72232</v>
      </c>
      <c r="J5425">
        <v>-402.1028</v>
      </c>
      <c r="K5425">
        <v>1.1166049999999901</v>
      </c>
      <c r="L5425">
        <v>19.561710000000001</v>
      </c>
      <c r="M5425">
        <v>0.97291150000000004</v>
      </c>
      <c r="N5425">
        <v>-1.271387E-2</v>
      </c>
      <c r="O5425">
        <v>-0.23082859999999999</v>
      </c>
      <c r="P5425">
        <v>0.9818093</v>
      </c>
      <c r="Q5425">
        <v>0.15838050000000001</v>
      </c>
      <c r="R5425">
        <v>-0.10472140000000001</v>
      </c>
      <c r="S5425">
        <v>3.054535</v>
      </c>
      <c r="T5425">
        <v>-0.1133246</v>
      </c>
      <c r="U5425">
        <v>-0.19134519999999999</v>
      </c>
      <c r="V5425">
        <v>-0.12750500000000001</v>
      </c>
      <c r="W5425">
        <v>0.16877809999999999</v>
      </c>
      <c r="X5425">
        <v>0.97737220000000002</v>
      </c>
      <c r="Y5425">
        <v>-0.16934299999999999</v>
      </c>
      <c r="Z5425">
        <v>9.7371869999999996E-3</v>
      </c>
      <c r="AA5425">
        <v>0.98550910000000003</v>
      </c>
      <c r="AB5425">
        <v>28</v>
      </c>
      <c r="AC5425">
        <v>29.882099999999902</v>
      </c>
      <c r="AD5425">
        <v>-1.1166089937649999</v>
      </c>
      <c r="AE5425">
        <v>-1.8393900000000001</v>
      </c>
      <c r="AF5425">
        <v>-5.1013956088612398</v>
      </c>
      <c r="AG5425">
        <v>-1.1166089937649999</v>
      </c>
      <c r="AH5425">
        <v>29.458624899805901</v>
      </c>
      <c r="AI5425">
        <v>92.138913928479397</v>
      </c>
      <c r="AJ5425">
        <v>99.824564353141398</v>
      </c>
      <c r="AK5425">
        <v>29.917914930531701</v>
      </c>
      <c r="AL5425">
        <v>80.283217135224405</v>
      </c>
      <c r="AM5425">
        <v>97.432657036086994</v>
      </c>
      <c r="AN5425">
        <v>0.99999999469872503</v>
      </c>
    </row>
    <row r="5426" spans="1:40" x14ac:dyDescent="0.25">
      <c r="A5426" t="str">
        <f>"20190304155743692"</f>
        <v>20190304155743692</v>
      </c>
      <c r="B5426" t="str">
        <f>"1551686263690341"</f>
        <v>1551686263690341</v>
      </c>
      <c r="C5426" t="s">
        <v>40</v>
      </c>
      <c r="D5426">
        <v>4.5581009999999997</v>
      </c>
      <c r="E5426">
        <v>0.48053289999999999</v>
      </c>
      <c r="F5426" t="s">
        <v>86</v>
      </c>
      <c r="G5426">
        <v>-372.91399999999999</v>
      </c>
      <c r="H5426" s="1">
        <v>-3.6473919999999998E-6</v>
      </c>
      <c r="I5426">
        <v>17.827439999999999</v>
      </c>
      <c r="J5426">
        <v>-401.95670000000001</v>
      </c>
      <c r="K5426">
        <v>1.116501</v>
      </c>
      <c r="L5426">
        <v>19.531490000000002</v>
      </c>
      <c r="M5426">
        <v>0.97393669999999999</v>
      </c>
      <c r="N5426">
        <v>-1.2683969999999999E-2</v>
      </c>
      <c r="O5426">
        <v>-0.22646520000000001</v>
      </c>
      <c r="P5426">
        <v>0.98218539999999999</v>
      </c>
      <c r="Q5426">
        <v>0.1575734</v>
      </c>
      <c r="R5426">
        <v>-0.10238510000000001</v>
      </c>
      <c r="S5426">
        <v>3.0550839999999999</v>
      </c>
      <c r="T5426">
        <v>-0.11687110000000001</v>
      </c>
      <c r="U5426">
        <v>-0.1815186</v>
      </c>
      <c r="V5426">
        <v>-0.12541859999999999</v>
      </c>
      <c r="W5426">
        <v>0.16801099999999999</v>
      </c>
      <c r="X5426">
        <v>0.97777429999999999</v>
      </c>
      <c r="Y5426">
        <v>-0.1680817</v>
      </c>
      <c r="Z5426">
        <v>9.9664260000000005E-3</v>
      </c>
      <c r="AA5426">
        <v>0.98572269999999895</v>
      </c>
      <c r="AB5426">
        <v>28</v>
      </c>
      <c r="AC5426">
        <v>29.0427</v>
      </c>
      <c r="AD5426">
        <v>-1.1165046473919999</v>
      </c>
      <c r="AE5426">
        <v>-1.7040499999999901</v>
      </c>
      <c r="AF5426">
        <v>-4.9106868513364104</v>
      </c>
      <c r="AG5426">
        <v>-1.1165046473919999</v>
      </c>
      <c r="AH5426">
        <v>28.631795199146399</v>
      </c>
      <c r="AI5426">
        <v>92.201027009363102</v>
      </c>
      <c r="AJ5426">
        <v>99.732203450620204</v>
      </c>
      <c r="AK5426">
        <v>29.0713110180019</v>
      </c>
      <c r="AL5426">
        <v>80.327806020123106</v>
      </c>
      <c r="AM5426">
        <v>97.309386908405799</v>
      </c>
      <c r="AN5426">
        <v>1.00000005154372</v>
      </c>
    </row>
    <row r="5427" spans="1:40" x14ac:dyDescent="0.25">
      <c r="A5427" t="str">
        <f>"20190304155743704"</f>
        <v>20190304155743704</v>
      </c>
      <c r="B5427" t="str">
        <f>"1551686263700102"</f>
        <v>1551686263700102</v>
      </c>
      <c r="C5427" t="s">
        <v>40</v>
      </c>
      <c r="D5427">
        <v>4.5310610000000002</v>
      </c>
      <c r="E5427">
        <v>0.48147810000000002</v>
      </c>
      <c r="F5427" t="s">
        <v>86</v>
      </c>
      <c r="G5427">
        <v>-374.09539999999998</v>
      </c>
      <c r="H5427" s="1">
        <v>-3.0568059999999999E-6</v>
      </c>
      <c r="I5427">
        <v>18.008510000000001</v>
      </c>
      <c r="J5427">
        <v>-401.80079999999998</v>
      </c>
      <c r="K5427">
        <v>1.116387</v>
      </c>
      <c r="L5427">
        <v>19.500150000000001</v>
      </c>
      <c r="M5427">
        <v>0.97498419999999997</v>
      </c>
      <c r="N5427">
        <v>-1.2649809999999999E-2</v>
      </c>
      <c r="O5427">
        <v>-0.22191449999999999</v>
      </c>
      <c r="P5427">
        <v>0.98253570000000001</v>
      </c>
      <c r="Q5427">
        <v>0.15720319999999999</v>
      </c>
      <c r="R5427">
        <v>-9.9552440000000006E-2</v>
      </c>
      <c r="S5427">
        <v>3.05661</v>
      </c>
      <c r="T5427">
        <v>-0.12248970000000001</v>
      </c>
      <c r="U5427">
        <v>-0.1670837</v>
      </c>
      <c r="V5427">
        <v>-0.12363010000000001</v>
      </c>
      <c r="W5427">
        <v>0.1676716</v>
      </c>
      <c r="X5427">
        <v>0.97806020000000005</v>
      </c>
      <c r="Y5427">
        <v>-0.1681242</v>
      </c>
      <c r="Z5427">
        <v>1.0416419999999999E-2</v>
      </c>
      <c r="AA5427">
        <v>0.9857108</v>
      </c>
      <c r="AB5427">
        <v>28</v>
      </c>
      <c r="AC5427">
        <v>27.705400000000001</v>
      </c>
      <c r="AD5427">
        <v>-1.1163900568059999</v>
      </c>
      <c r="AE5427">
        <v>-1.4916400000000001</v>
      </c>
      <c r="AF5427">
        <v>-4.6866918211978401</v>
      </c>
      <c r="AG5427">
        <v>-1.1163900568059999</v>
      </c>
      <c r="AH5427">
        <v>27.301327543938601</v>
      </c>
      <c r="AI5427">
        <v>92.307880002316395</v>
      </c>
      <c r="AJ5427">
        <v>99.740756880828997</v>
      </c>
      <c r="AK5427">
        <v>27.723165271073199</v>
      </c>
      <c r="AL5427">
        <v>80.347531156682294</v>
      </c>
      <c r="AM5427">
        <v>97.204172462957501</v>
      </c>
      <c r="AN5427">
        <v>0.99999996094830401</v>
      </c>
    </row>
    <row r="5428" spans="1:40" x14ac:dyDescent="0.25">
      <c r="A5428" t="str">
        <f>"20190304155743717"</f>
        <v>20190304155743717</v>
      </c>
      <c r="B5428" t="str">
        <f>"1551686263709862"</f>
        <v>1551686263709862</v>
      </c>
      <c r="C5428" t="s">
        <v>40</v>
      </c>
      <c r="D5428">
        <v>4.5009880000000004</v>
      </c>
      <c r="E5428">
        <v>0.4822613</v>
      </c>
      <c r="F5428" t="s">
        <v>86</v>
      </c>
      <c r="G5428">
        <v>-373.22359999999998</v>
      </c>
      <c r="H5428" s="1">
        <v>-3.4779390000000002E-6</v>
      </c>
      <c r="I5428">
        <v>17.95757</v>
      </c>
      <c r="J5428">
        <v>-401.64830000000001</v>
      </c>
      <c r="K5428">
        <v>1.116279</v>
      </c>
      <c r="L5428">
        <v>19.470120000000001</v>
      </c>
      <c r="M5428">
        <v>0.97597129999999999</v>
      </c>
      <c r="N5428">
        <v>-1.261693E-2</v>
      </c>
      <c r="O5428">
        <v>-0.2175338</v>
      </c>
      <c r="P5428">
        <v>0.98288489999999995</v>
      </c>
      <c r="Q5428">
        <v>0.15658830000000001</v>
      </c>
      <c r="R5428">
        <v>-9.7043270000000001E-2</v>
      </c>
      <c r="S5428">
        <v>3.0557249999999998</v>
      </c>
      <c r="T5428">
        <v>-0.1193746</v>
      </c>
      <c r="U5428">
        <v>-0.1649475</v>
      </c>
      <c r="V5428">
        <v>-0.12170010000000001</v>
      </c>
      <c r="W5428">
        <v>0.16708909999999999</v>
      </c>
      <c r="X5428">
        <v>0.97840190000000005</v>
      </c>
      <c r="Y5428">
        <v>-0.16438630000000001</v>
      </c>
      <c r="Z5428">
        <v>9.9079349999999997E-3</v>
      </c>
      <c r="AA5428">
        <v>0.98634619999999995</v>
      </c>
      <c r="AB5428">
        <v>28</v>
      </c>
      <c r="AC5428">
        <v>28.424700000000001</v>
      </c>
      <c r="AD5428">
        <v>-1.1162824779389999</v>
      </c>
      <c r="AE5428">
        <v>-1.5125500000000001</v>
      </c>
      <c r="AF5428">
        <v>-4.7002734788190397</v>
      </c>
      <c r="AG5428">
        <v>-1.1162824779389999</v>
      </c>
      <c r="AH5428">
        <v>28.029847858733799</v>
      </c>
      <c r="AI5428">
        <v>92.249215511451794</v>
      </c>
      <c r="AJ5428">
        <v>99.519257931217396</v>
      </c>
      <c r="AK5428">
        <v>28.4431191737124</v>
      </c>
      <c r="AL5428">
        <v>80.381383708964904</v>
      </c>
      <c r="AM5428">
        <v>97.090410025499494</v>
      </c>
      <c r="AN5428">
        <v>0.99999997980121402</v>
      </c>
    </row>
    <row r="5429" spans="1:40" x14ac:dyDescent="0.25">
      <c r="A5429" t="str">
        <f>"20190304155743737"</f>
        <v>20190304155743737</v>
      </c>
      <c r="B5429" t="str">
        <f>"1551686263730358"</f>
        <v>1551686263730358</v>
      </c>
      <c r="C5429" t="s">
        <v>40</v>
      </c>
      <c r="D5429">
        <v>4.5218999999999996</v>
      </c>
      <c r="E5429">
        <v>0.4835489</v>
      </c>
      <c r="F5429" t="s">
        <v>86</v>
      </c>
      <c r="G5429">
        <v>-373.34730000000002</v>
      </c>
      <c r="H5429" s="1">
        <v>-3.418173E-6</v>
      </c>
      <c r="I5429">
        <v>17.964870000000001</v>
      </c>
      <c r="J5429">
        <v>-401.40539999999999</v>
      </c>
      <c r="K5429">
        <v>1.116107</v>
      </c>
      <c r="L5429">
        <v>19.423490000000001</v>
      </c>
      <c r="M5429">
        <v>0.97747070000000003</v>
      </c>
      <c r="N5429">
        <v>-1.256443E-2</v>
      </c>
      <c r="O5429">
        <v>-0.21069650000000001</v>
      </c>
      <c r="P5429">
        <v>0.98328550000000003</v>
      </c>
      <c r="Q5429">
        <v>0.15623039999999999</v>
      </c>
      <c r="R5429">
        <v>-9.3495839999999997E-2</v>
      </c>
      <c r="S5429">
        <v>3.0553590000000002</v>
      </c>
      <c r="T5429">
        <v>-0.1205131</v>
      </c>
      <c r="U5429">
        <v>-0.16250609999999999</v>
      </c>
      <c r="V5429">
        <v>-0.118312899999999</v>
      </c>
      <c r="W5429">
        <v>0.1667845</v>
      </c>
      <c r="X5429">
        <v>0.97886930000000005</v>
      </c>
      <c r="Y5429">
        <v>-0.15826119999999999</v>
      </c>
      <c r="Z5429">
        <v>9.6924090000000008E-3</v>
      </c>
      <c r="AA5429">
        <v>0.9873497</v>
      </c>
      <c r="AB5429">
        <v>28</v>
      </c>
      <c r="AC5429">
        <v>28.0580999999999</v>
      </c>
      <c r="AD5429">
        <v>-1.1161104181729999</v>
      </c>
      <c r="AE5429">
        <v>-1.45861999999999</v>
      </c>
      <c r="AF5429">
        <v>-4.4792710297748197</v>
      </c>
      <c r="AG5429">
        <v>-1.1161104181729999</v>
      </c>
      <c r="AH5429">
        <v>27.6917886574759</v>
      </c>
      <c r="AI5429">
        <v>92.278459307967793</v>
      </c>
      <c r="AJ5429">
        <v>99.188265430253296</v>
      </c>
      <c r="AK5429">
        <v>28.073915481707299</v>
      </c>
      <c r="AL5429">
        <v>80.399085155555099</v>
      </c>
      <c r="AM5429">
        <v>96.891733127705805</v>
      </c>
      <c r="AN5429">
        <v>1.0000000591145699</v>
      </c>
    </row>
    <row r="5430" spans="1:40" x14ac:dyDescent="0.25">
      <c r="A5430" t="str">
        <f>"20190304155743749"</f>
        <v>20190304155743749</v>
      </c>
      <c r="B5430" t="str">
        <f>"1551686263740118"</f>
        <v>1551686263740118</v>
      </c>
      <c r="C5430" t="s">
        <v>40</v>
      </c>
      <c r="D5430">
        <v>4.4964690000000003</v>
      </c>
      <c r="E5430">
        <v>0.4841028</v>
      </c>
      <c r="F5430" t="s">
        <v>86</v>
      </c>
      <c r="G5430">
        <v>-372.91649999999998</v>
      </c>
      <c r="H5430" s="1">
        <v>-3.628852E-6</v>
      </c>
      <c r="I5430">
        <v>17.9253</v>
      </c>
      <c r="J5430">
        <v>-401.2473</v>
      </c>
      <c r="K5430">
        <v>1.115999</v>
      </c>
      <c r="L5430">
        <v>19.393830000000001</v>
      </c>
      <c r="M5430">
        <v>0.97840289999999996</v>
      </c>
      <c r="N5430">
        <v>-1.252983E-2</v>
      </c>
      <c r="O5430">
        <v>-0.2063266</v>
      </c>
      <c r="P5430">
        <v>0.98355809999999999</v>
      </c>
      <c r="Q5430">
        <v>0.15617220000000001</v>
      </c>
      <c r="R5430">
        <v>-9.0682449999999998E-2</v>
      </c>
      <c r="S5430">
        <v>3.0547490000000002</v>
      </c>
      <c r="T5430">
        <v>-0.119676</v>
      </c>
      <c r="U5430">
        <v>-0.1606445</v>
      </c>
      <c r="V5430">
        <v>-0.1166928</v>
      </c>
      <c r="W5430">
        <v>0.1667487</v>
      </c>
      <c r="X5430">
        <v>0.97906979999999999</v>
      </c>
      <c r="Y5430">
        <v>-0.1544461</v>
      </c>
      <c r="Z5430">
        <v>9.4102249999999995E-3</v>
      </c>
      <c r="AA5430">
        <v>0.98795639999999996</v>
      </c>
      <c r="AB5430">
        <v>28</v>
      </c>
      <c r="AC5430">
        <v>28.3308</v>
      </c>
      <c r="AD5430">
        <v>-1.116002628852</v>
      </c>
      <c r="AE5430">
        <v>-1.4685299999999899</v>
      </c>
      <c r="AF5430">
        <v>-4.4021174225184199</v>
      </c>
      <c r="AG5430">
        <v>-1.116002628852</v>
      </c>
      <c r="AH5430">
        <v>27.980833043993599</v>
      </c>
      <c r="AI5430">
        <v>92.256281840716994</v>
      </c>
      <c r="AJ5430">
        <v>98.940840006766905</v>
      </c>
      <c r="AK5430">
        <v>28.346977219892199</v>
      </c>
      <c r="AL5430">
        <v>80.401164960664104</v>
      </c>
      <c r="AM5430">
        <v>96.796872315463006</v>
      </c>
      <c r="AN5430">
        <v>1.00000000589778</v>
      </c>
    </row>
    <row r="5431" spans="1:40" x14ac:dyDescent="0.25">
      <c r="A5431" t="str">
        <f>"20190304155743763"</f>
        <v>20190304155743763</v>
      </c>
      <c r="B5431" t="str">
        <f>"1551686263759638"</f>
        <v>1551686263759638</v>
      </c>
      <c r="C5431" t="s">
        <v>40</v>
      </c>
      <c r="D5431">
        <v>4.4820589999999996</v>
      </c>
      <c r="E5431">
        <v>0.48511510000000002</v>
      </c>
      <c r="F5431" t="s">
        <v>86</v>
      </c>
      <c r="G5431">
        <v>-372.37430000000001</v>
      </c>
      <c r="H5431" s="1">
        <v>-3.8864440000000001E-6</v>
      </c>
      <c r="I5431">
        <v>17.918009999999999</v>
      </c>
      <c r="J5431">
        <v>-401.08150000000001</v>
      </c>
      <c r="K5431">
        <v>1.1158920000000001</v>
      </c>
      <c r="L5431">
        <v>19.363769999999999</v>
      </c>
      <c r="M5431">
        <v>0.97933329999999996</v>
      </c>
      <c r="N5431">
        <v>-1.249229E-2</v>
      </c>
      <c r="O5431">
        <v>-0.20186760000000001</v>
      </c>
      <c r="P5431">
        <v>0.98387990000000003</v>
      </c>
      <c r="Q5431">
        <v>0.15590409999999999</v>
      </c>
      <c r="R5431">
        <v>-8.7604520000000005E-2</v>
      </c>
      <c r="S5431">
        <v>3.0545040000000001</v>
      </c>
      <c r="T5431">
        <v>-0.118063</v>
      </c>
      <c r="U5431">
        <v>-0.15612789999999999</v>
      </c>
      <c r="V5431">
        <v>-0.1152542</v>
      </c>
      <c r="W5431">
        <v>0.16649720000000001</v>
      </c>
      <c r="X5431">
        <v>0.97928300000000001</v>
      </c>
      <c r="Y5431">
        <v>-0.15140809999999999</v>
      </c>
      <c r="Z5431">
        <v>9.0780259999999995E-3</v>
      </c>
      <c r="AA5431">
        <v>0.98842969999999997</v>
      </c>
      <c r="AB5431">
        <v>28</v>
      </c>
      <c r="AC5431">
        <v>28.7072</v>
      </c>
      <c r="AD5431">
        <v>-1.1158958864440001</v>
      </c>
      <c r="AE5431">
        <v>-1.4457599999999999</v>
      </c>
      <c r="AF5431">
        <v>-4.3729229552837596</v>
      </c>
      <c r="AG5431">
        <v>-1.1158958864440001</v>
      </c>
      <c r="AH5431">
        <v>28.3652299554699</v>
      </c>
      <c r="AI5431">
        <v>92.226592664508601</v>
      </c>
      <c r="AJ5431">
        <v>98.764002183572003</v>
      </c>
      <c r="AK5431">
        <v>28.7220115804746</v>
      </c>
      <c r="AL5431">
        <v>80.415779293079197</v>
      </c>
      <c r="AM5431">
        <v>96.7124011170812</v>
      </c>
      <c r="AN5431">
        <v>1.00000002115723</v>
      </c>
    </row>
    <row r="5432" spans="1:40" x14ac:dyDescent="0.25">
      <c r="A5432" t="str">
        <f>"20190304155743781"</f>
        <v>20190304155743781</v>
      </c>
      <c r="B5432" t="str">
        <f>"1551686263770374"</f>
        <v>1551686263770374</v>
      </c>
      <c r="C5432" t="s">
        <v>40</v>
      </c>
      <c r="D5432">
        <v>4.503851</v>
      </c>
      <c r="E5432">
        <v>0.48561729999999997</v>
      </c>
      <c r="F5432" t="s">
        <v>86</v>
      </c>
      <c r="G5432">
        <v>-371.68979999999999</v>
      </c>
      <c r="H5432" s="1">
        <v>-4.2174270000000002E-6</v>
      </c>
      <c r="I5432">
        <v>17.876349999999999</v>
      </c>
      <c r="J5432">
        <v>-400.86219999999997</v>
      </c>
      <c r="K5432">
        <v>1.1157490000000001</v>
      </c>
      <c r="L5432">
        <v>19.324860000000001</v>
      </c>
      <c r="M5432">
        <v>0.98050839999999995</v>
      </c>
      <c r="N5432">
        <v>-1.2440939999999999E-2</v>
      </c>
      <c r="O5432">
        <v>-0.1960828</v>
      </c>
      <c r="P5432">
        <v>0.98421029999999998</v>
      </c>
      <c r="Q5432">
        <v>0.15544539999999901</v>
      </c>
      <c r="R5432">
        <v>-8.4658720000000007E-2</v>
      </c>
      <c r="S5432">
        <v>3.0537719999999999</v>
      </c>
      <c r="T5432">
        <v>-0.1159403</v>
      </c>
      <c r="U5432">
        <v>-0.15454100000000001</v>
      </c>
      <c r="V5432">
        <v>-0.1123475</v>
      </c>
      <c r="W5432">
        <v>0.16607350000000001</v>
      </c>
      <c r="X5432">
        <v>0.97969260000000002</v>
      </c>
      <c r="Y5432">
        <v>-0.14608579999999999</v>
      </c>
      <c r="Z5432">
        <v>8.6192330000000004E-3</v>
      </c>
      <c r="AA5432">
        <v>0.98923439999999996</v>
      </c>
      <c r="AB5432">
        <v>28</v>
      </c>
      <c r="AC5432">
        <v>29.1723999999999</v>
      </c>
      <c r="AD5432">
        <v>-1.115753217427</v>
      </c>
      <c r="AE5432">
        <v>-1.44851</v>
      </c>
      <c r="AF5432">
        <v>-4.2939966220744203</v>
      </c>
      <c r="AG5432">
        <v>-1.115753217427</v>
      </c>
      <c r="AH5432">
        <v>28.847951828779198</v>
      </c>
      <c r="AI5432">
        <v>92.190813735854107</v>
      </c>
      <c r="AJ5432">
        <v>98.466273703449701</v>
      </c>
      <c r="AK5432">
        <v>29.187114227825798</v>
      </c>
      <c r="AL5432">
        <v>80.440397864249903</v>
      </c>
      <c r="AM5432">
        <v>96.541889863615197</v>
      </c>
      <c r="AN5432">
        <v>0.99999997932662898</v>
      </c>
    </row>
    <row r="5433" spans="1:40" x14ac:dyDescent="0.25">
      <c r="A5433" t="str">
        <f>"20190304155743795"</f>
        <v>20190304155743795</v>
      </c>
      <c r="B5433" t="str">
        <f>"1551686263789893"</f>
        <v>1551686263789893</v>
      </c>
      <c r="C5433" t="s">
        <v>40</v>
      </c>
      <c r="D5433">
        <v>4.4995989999999999</v>
      </c>
      <c r="E5433">
        <v>0.4920021</v>
      </c>
      <c r="F5433" t="s">
        <v>86</v>
      </c>
      <c r="G5433">
        <v>-371.625</v>
      </c>
      <c r="H5433" s="1">
        <v>-4.2441499999999998E-6</v>
      </c>
      <c r="I5433">
        <v>17.898139999999898</v>
      </c>
      <c r="J5433">
        <v>-400.68299999999999</v>
      </c>
      <c r="K5433">
        <v>1.1156299999999999</v>
      </c>
      <c r="L5433">
        <v>19.293880000000001</v>
      </c>
      <c r="M5433">
        <v>0.9814214</v>
      </c>
      <c r="N5433">
        <v>-1.2396290000000001E-2</v>
      </c>
      <c r="O5433">
        <v>-0.1914641</v>
      </c>
      <c r="P5433">
        <v>0.98456350000000004</v>
      </c>
      <c r="Q5433">
        <v>0.15496379999999901</v>
      </c>
      <c r="R5433">
        <v>-8.1369430000000006E-2</v>
      </c>
      <c r="S5433">
        <v>3.053741</v>
      </c>
      <c r="T5433">
        <v>-0.11653760000000001</v>
      </c>
      <c r="U5433">
        <v>-0.14901729999999899</v>
      </c>
      <c r="V5433">
        <v>-0.1109656</v>
      </c>
      <c r="W5433">
        <v>0.1656019</v>
      </c>
      <c r="X5433">
        <v>0.97992990000000002</v>
      </c>
      <c r="Y5433">
        <v>-0.1432137</v>
      </c>
      <c r="Z5433">
        <v>8.4904239999999999E-3</v>
      </c>
      <c r="AA5433">
        <v>0.98965539999999996</v>
      </c>
      <c r="AB5433">
        <v>28</v>
      </c>
      <c r="AC5433">
        <v>29.058</v>
      </c>
      <c r="AD5433">
        <v>-1.11563424415</v>
      </c>
      <c r="AE5433">
        <v>-1.39574</v>
      </c>
      <c r="AF5433">
        <v>-4.1879177014968203</v>
      </c>
      <c r="AG5433">
        <v>-1.11563424415</v>
      </c>
      <c r="AH5433">
        <v>28.745312670177501</v>
      </c>
      <c r="AI5433">
        <v>92.199394691037696</v>
      </c>
      <c r="AJ5433">
        <v>98.289128994809403</v>
      </c>
      <c r="AK5433">
        <v>29.070195990868299</v>
      </c>
      <c r="AL5433">
        <v>80.467797981136201</v>
      </c>
      <c r="AM5433">
        <v>96.460556315259595</v>
      </c>
      <c r="AN5433">
        <v>0.99999998129048895</v>
      </c>
    </row>
    <row r="5434" spans="1:40" x14ac:dyDescent="0.25">
      <c r="A5434" t="str">
        <f>"20190304155743807"</f>
        <v>20190304155743807</v>
      </c>
      <c r="B5434" t="str">
        <f>"1551686263799654"</f>
        <v>1551686263799654</v>
      </c>
      <c r="C5434" t="s">
        <v>40</v>
      </c>
      <c r="D5434">
        <v>4.492337</v>
      </c>
      <c r="E5434">
        <v>0.49251850000000003</v>
      </c>
      <c r="F5434" t="s">
        <v>87</v>
      </c>
      <c r="G5434">
        <v>-367.1909</v>
      </c>
      <c r="H5434" s="1">
        <v>-1.7539329999999999E-6</v>
      </c>
      <c r="I5434">
        <v>17.216750000000001</v>
      </c>
      <c r="J5434">
        <v>-400.53489999999999</v>
      </c>
      <c r="K5434">
        <v>1.1155280000000001</v>
      </c>
      <c r="L5434">
        <v>19.268830000000001</v>
      </c>
      <c r="M5434">
        <v>0.9821453</v>
      </c>
      <c r="N5434">
        <v>-1.235722E-2</v>
      </c>
      <c r="O5434">
        <v>-0.18771769999999999</v>
      </c>
      <c r="P5434">
        <v>0.98476739999999996</v>
      </c>
      <c r="Q5434">
        <v>0.15487339999999999</v>
      </c>
      <c r="R5434">
        <v>-7.9041970000000003E-2</v>
      </c>
      <c r="S5434">
        <v>3.0473940000000002</v>
      </c>
      <c r="T5434">
        <v>-0.1015099</v>
      </c>
      <c r="U5434">
        <v>-0.18899540000000001</v>
      </c>
      <c r="V5434">
        <v>-0.10950120000000001</v>
      </c>
      <c r="W5434">
        <v>0.165521</v>
      </c>
      <c r="X5434">
        <v>0.98010830000000004</v>
      </c>
      <c r="Y5434">
        <v>-0.12643740000000001</v>
      </c>
      <c r="Z5434">
        <v>6.7627769999999898E-3</v>
      </c>
      <c r="AA5434">
        <v>0.99195149999999999</v>
      </c>
      <c r="AB5434">
        <v>28</v>
      </c>
      <c r="AC5434">
        <v>33.343999999999902</v>
      </c>
      <c r="AD5434">
        <v>-1.115529753933</v>
      </c>
      <c r="AE5434">
        <v>-2.0520799999999899</v>
      </c>
      <c r="AF5434">
        <v>-4.2394152009881898</v>
      </c>
      <c r="AG5434">
        <v>-1.115529753933</v>
      </c>
      <c r="AH5434">
        <v>33.099487462418999</v>
      </c>
      <c r="AI5434">
        <v>91.914641563907495</v>
      </c>
      <c r="AJ5434">
        <v>97.298761978006993</v>
      </c>
      <c r="AK5434">
        <v>33.388517759150602</v>
      </c>
      <c r="AL5434">
        <v>80.472498224457198</v>
      </c>
      <c r="AM5434">
        <v>96.374852878701105</v>
      </c>
      <c r="AN5434">
        <v>0.999999996985665</v>
      </c>
    </row>
    <row r="5435" spans="1:40" x14ac:dyDescent="0.25">
      <c r="A5435" t="str">
        <f>"20190304155743831"</f>
        <v>20190304155743831</v>
      </c>
      <c r="B5435" t="str">
        <f>"1551686263820150"</f>
        <v>1551686263820150</v>
      </c>
      <c r="C5435" t="s">
        <v>40</v>
      </c>
      <c r="D5435">
        <v>4.4975100000000001</v>
      </c>
      <c r="E5435">
        <v>0.49344339999999998</v>
      </c>
      <c r="F5435" t="s">
        <v>87</v>
      </c>
      <c r="G5435">
        <v>-366.363</v>
      </c>
      <c r="H5435" s="1">
        <v>-2.1504549999999998E-6</v>
      </c>
      <c r="I5435">
        <v>17.1877</v>
      </c>
      <c r="J5435">
        <v>-400.2475</v>
      </c>
      <c r="K5435">
        <v>1.115337</v>
      </c>
      <c r="L5435">
        <v>19.22174</v>
      </c>
      <c r="M5435">
        <v>0.98347150000000005</v>
      </c>
      <c r="N5435">
        <v>-1.22741E-2</v>
      </c>
      <c r="O5435">
        <v>-0.18064740000000001</v>
      </c>
      <c r="P5435">
        <v>0.98506700000000003</v>
      </c>
      <c r="Q5435">
        <v>0.15523190000000001</v>
      </c>
      <c r="R5435">
        <v>-7.447471E-2</v>
      </c>
      <c r="S5435">
        <v>3.0471499999999998</v>
      </c>
      <c r="T5435">
        <v>-9.9473359999999997E-2</v>
      </c>
      <c r="U5435">
        <v>-0.1855774</v>
      </c>
      <c r="V5435">
        <v>-0.1069079</v>
      </c>
      <c r="W5435">
        <v>0.165884</v>
      </c>
      <c r="X5435">
        <v>0.98033320000000002</v>
      </c>
      <c r="Y5435">
        <v>-0.1204138</v>
      </c>
      <c r="Z5435">
        <v>6.3335300000000004E-3</v>
      </c>
      <c r="AA5435">
        <v>0.99270360000000002</v>
      </c>
      <c r="AB5435">
        <v>28</v>
      </c>
      <c r="AC5435">
        <v>33.884499999999903</v>
      </c>
      <c r="AD5435">
        <v>-1.1153391504549901</v>
      </c>
      <c r="AE5435">
        <v>-2.0340400000000001</v>
      </c>
      <c r="AF5435">
        <v>-4.1165920787568204</v>
      </c>
      <c r="AG5435">
        <v>-1.1153391504549901</v>
      </c>
      <c r="AH5435">
        <v>33.658080588173299</v>
      </c>
      <c r="AI5435">
        <v>91.883907077087201</v>
      </c>
      <c r="AJ5435">
        <v>96.972997686376502</v>
      </c>
      <c r="AK5435">
        <v>33.9272265392176</v>
      </c>
      <c r="AL5435">
        <v>80.451408254576194</v>
      </c>
      <c r="AM5435">
        <v>96.223660826023504</v>
      </c>
      <c r="AN5435">
        <v>0.99999999178032495</v>
      </c>
    </row>
    <row r="5436" spans="1:40" x14ac:dyDescent="0.25">
      <c r="A5436" t="str">
        <f>"20190304155743849"</f>
        <v>20190304155743849</v>
      </c>
      <c r="B5436" t="str">
        <f>"1551686263839669"</f>
        <v>1551686263839669</v>
      </c>
      <c r="C5436" t="s">
        <v>40</v>
      </c>
      <c r="D5436">
        <v>4.5006089999999999</v>
      </c>
      <c r="E5436">
        <v>0.49440659999999997</v>
      </c>
      <c r="F5436" t="s">
        <v>87</v>
      </c>
      <c r="G5436">
        <v>-365.23719999999997</v>
      </c>
      <c r="H5436" s="1">
        <v>-2.6848289999999999E-6</v>
      </c>
      <c r="I5436">
        <v>17.175229999999999</v>
      </c>
      <c r="J5436">
        <v>-400.01339999999999</v>
      </c>
      <c r="K5436">
        <v>1.1151740000000001</v>
      </c>
      <c r="L5436">
        <v>19.18478</v>
      </c>
      <c r="M5436">
        <v>0.98447759999999995</v>
      </c>
      <c r="N5436">
        <v>-1.2200539999999999E-2</v>
      </c>
      <c r="O5436">
        <v>-0.17508560000000001</v>
      </c>
      <c r="P5436">
        <v>0.98516740000000003</v>
      </c>
      <c r="Q5436">
        <v>0.15618119999999999</v>
      </c>
      <c r="R5436">
        <v>-7.1079779999999995E-2</v>
      </c>
      <c r="S5436">
        <v>3.0473330000000001</v>
      </c>
      <c r="T5436">
        <v>-9.7080589999999994E-2</v>
      </c>
      <c r="U5436">
        <v>-0.17813109999999999</v>
      </c>
      <c r="V5436">
        <v>-0.1046618</v>
      </c>
      <c r="W5436">
        <v>0.16683100000000001</v>
      </c>
      <c r="X5436">
        <v>0.98041489999999998</v>
      </c>
      <c r="Y5436">
        <v>-0.117232</v>
      </c>
      <c r="Z5436">
        <v>5.9790629999999997E-3</v>
      </c>
      <c r="AA5436">
        <v>0.99308660000000004</v>
      </c>
      <c r="AB5436">
        <v>28</v>
      </c>
      <c r="AC5436">
        <v>34.776200000000003</v>
      </c>
      <c r="AD5436">
        <v>-1.1151766848289999</v>
      </c>
      <c r="AE5436">
        <v>-2.0095499999999999</v>
      </c>
      <c r="AF5436">
        <v>-4.1065521681448098</v>
      </c>
      <c r="AG5436">
        <v>-1.1151766848289999</v>
      </c>
      <c r="AH5436">
        <v>34.555393028282197</v>
      </c>
      <c r="AI5436">
        <v>91.835509269796702</v>
      </c>
      <c r="AJ5436">
        <v>96.777227268670202</v>
      </c>
      <c r="AK5436">
        <v>34.816412467213397</v>
      </c>
      <c r="AL5436">
        <v>80.396382718389503</v>
      </c>
      <c r="AM5436">
        <v>96.093394046502596</v>
      </c>
      <c r="AN5436">
        <v>1.0000000255411201</v>
      </c>
    </row>
    <row r="5437" spans="1:40" x14ac:dyDescent="0.25">
      <c r="A5437" t="str">
        <f>"20190304155743870"</f>
        <v>20190304155743870</v>
      </c>
      <c r="B5437" t="str">
        <f>"1551686263860169"</f>
        <v>1551686263860169</v>
      </c>
      <c r="C5437" t="s">
        <v>40</v>
      </c>
      <c r="D5437">
        <v>4.4985330000000001</v>
      </c>
      <c r="E5437">
        <v>0.49952069999999998</v>
      </c>
      <c r="F5437" t="s">
        <v>87</v>
      </c>
      <c r="G5437">
        <v>-364.11189999999999</v>
      </c>
      <c r="H5437" s="1">
        <v>-3.2269279999999999E-6</v>
      </c>
      <c r="I5437">
        <v>17.11796</v>
      </c>
      <c r="J5437">
        <v>-399.76</v>
      </c>
      <c r="K5437">
        <v>1.115011</v>
      </c>
      <c r="L5437">
        <v>19.14612</v>
      </c>
      <c r="M5437">
        <v>0.98550130000000002</v>
      </c>
      <c r="N5437">
        <v>-1.2120789999999999E-2</v>
      </c>
      <c r="O5437">
        <v>-0.16923460000000001</v>
      </c>
      <c r="P5437">
        <v>0.98544719999999997</v>
      </c>
      <c r="Q5437">
        <v>0.1559603</v>
      </c>
      <c r="R5437">
        <v>-6.7604899999999996E-2</v>
      </c>
      <c r="S5437">
        <v>3.0475460000000001</v>
      </c>
      <c r="T5437">
        <v>-9.4663499999999998E-2</v>
      </c>
      <c r="U5437">
        <v>-0.17544560000000001</v>
      </c>
      <c r="V5437">
        <v>-0.10222879999999999</v>
      </c>
      <c r="W5437">
        <v>0.16660440000000001</v>
      </c>
      <c r="X5437">
        <v>0.98071010000000003</v>
      </c>
      <c r="Y5437">
        <v>-0.11221780000000001</v>
      </c>
      <c r="Z5437">
        <v>5.5883560000000001E-3</v>
      </c>
      <c r="AA5437">
        <v>0.99366790000000005</v>
      </c>
      <c r="AB5437">
        <v>28</v>
      </c>
      <c r="AC5437">
        <v>35.648099999999999</v>
      </c>
      <c r="AD5437">
        <v>-1.1150142269279999</v>
      </c>
      <c r="AE5437">
        <v>-2.0281600000000002</v>
      </c>
      <c r="AF5437">
        <v>-4.0305033783070199</v>
      </c>
      <c r="AG5437">
        <v>-1.1150142269279999</v>
      </c>
      <c r="AH5437">
        <v>35.4425257019345</v>
      </c>
      <c r="AI5437">
        <v>91.790386615524696</v>
      </c>
      <c r="AJ5437">
        <v>96.487771620241602</v>
      </c>
      <c r="AK5437">
        <v>35.688385258247301</v>
      </c>
      <c r="AL5437">
        <v>80.409550238921895</v>
      </c>
      <c r="AM5437">
        <v>95.950995289760201</v>
      </c>
      <c r="AN5437">
        <v>1.0000000269453999</v>
      </c>
    </row>
    <row r="5438" spans="1:40" x14ac:dyDescent="0.25">
      <c r="A5438" t="str">
        <f>"20190304155743883"</f>
        <v>20190304155743883</v>
      </c>
      <c r="B5438" t="str">
        <f>"1551686263879685"</f>
        <v>1551686263879685</v>
      </c>
      <c r="C5438" t="s">
        <v>40</v>
      </c>
      <c r="D5438">
        <v>4.5149179999999998</v>
      </c>
      <c r="E5438">
        <v>0.50005259999999996</v>
      </c>
      <c r="F5438" t="s">
        <v>41</v>
      </c>
      <c r="G5438">
        <v>-358.70979999999997</v>
      </c>
      <c r="H5438" s="1">
        <v>-1.2875669999999999E-6</v>
      </c>
      <c r="I5438">
        <v>16.374829999999999</v>
      </c>
      <c r="J5438">
        <v>-399.59629999999999</v>
      </c>
      <c r="K5438">
        <v>1.1148940000000001</v>
      </c>
      <c r="L5438">
        <v>19.121980000000001</v>
      </c>
      <c r="M5438">
        <v>0.98612049999999996</v>
      </c>
      <c r="N5438">
        <v>-1.2062059999999999E-2</v>
      </c>
      <c r="O5438">
        <v>-0.16559270000000001</v>
      </c>
      <c r="P5438">
        <v>0.98569589999999996</v>
      </c>
      <c r="Q5438">
        <v>0.1554625</v>
      </c>
      <c r="R5438">
        <v>-6.5077659999999996E-2</v>
      </c>
      <c r="S5438">
        <v>3.0432739999999998</v>
      </c>
      <c r="T5438">
        <v>-8.2661990000000005E-2</v>
      </c>
      <c r="U5438">
        <v>-0.2054443</v>
      </c>
      <c r="V5438">
        <v>-0.1010798</v>
      </c>
      <c r="W5438">
        <v>0.16609189999999999</v>
      </c>
      <c r="X5438">
        <v>0.98091609999999996</v>
      </c>
      <c r="Y5438">
        <v>-9.8733829999999995E-2</v>
      </c>
      <c r="Z5438">
        <v>4.4007999999999999E-3</v>
      </c>
      <c r="AA5438">
        <v>0.99510410000000005</v>
      </c>
      <c r="AB5438">
        <v>28</v>
      </c>
      <c r="AC5438">
        <v>40.886499999999998</v>
      </c>
      <c r="AD5438">
        <v>-1.114895287567</v>
      </c>
      <c r="AE5438">
        <v>-2.7471499999999902</v>
      </c>
      <c r="AF5438">
        <v>-4.0587760071571601</v>
      </c>
      <c r="AG5438">
        <v>-1.114895287567</v>
      </c>
      <c r="AH5438">
        <v>40.746727809435498</v>
      </c>
      <c r="AI5438">
        <v>91.559598291548099</v>
      </c>
      <c r="AJ5438">
        <v>95.688460444041795</v>
      </c>
      <c r="AK5438">
        <v>40.963550643892397</v>
      </c>
      <c r="AL5438">
        <v>80.439329168876995</v>
      </c>
      <c r="AM5438">
        <v>95.883353981531997</v>
      </c>
      <c r="AN5438">
        <v>1.0000000202264201</v>
      </c>
    </row>
    <row r="5439" spans="1:40" x14ac:dyDescent="0.25">
      <c r="A5439" t="str">
        <f>"20190304155743895"</f>
        <v>20190304155743895</v>
      </c>
      <c r="B5439" t="str">
        <f>"1551686263890422"</f>
        <v>1551686263890422</v>
      </c>
      <c r="C5439" t="s">
        <v>40</v>
      </c>
      <c r="D5439">
        <v>4.525963</v>
      </c>
      <c r="E5439">
        <v>0.50054370000000004</v>
      </c>
      <c r="F5439" t="s">
        <v>41</v>
      </c>
      <c r="G5439">
        <v>-359.79</v>
      </c>
      <c r="H5439" s="1">
        <v>-8.9133020000000001E-7</v>
      </c>
      <c r="I5439">
        <v>16.482510000000001</v>
      </c>
      <c r="J5439">
        <v>-399.45159999999998</v>
      </c>
      <c r="K5439">
        <v>1.114792</v>
      </c>
      <c r="L5439">
        <v>19.100950000000001</v>
      </c>
      <c r="M5439">
        <v>0.98664870000000005</v>
      </c>
      <c r="N5439">
        <v>-1.200883E-2</v>
      </c>
      <c r="O5439">
        <v>-0.1624196</v>
      </c>
      <c r="P5439">
        <v>0.98590270000000002</v>
      </c>
      <c r="Q5439">
        <v>0.15481819999999999</v>
      </c>
      <c r="R5439">
        <v>-6.3460470000000005E-2</v>
      </c>
      <c r="S5439">
        <v>3.0436709999999998</v>
      </c>
      <c r="T5439">
        <v>-8.5247160000000002E-2</v>
      </c>
      <c r="U5439">
        <v>-0.20181270000000001</v>
      </c>
      <c r="V5439">
        <v>-9.9500359999999996E-2</v>
      </c>
      <c r="W5439">
        <v>0.16544059999999999</v>
      </c>
      <c r="X5439">
        <v>0.98118760000000005</v>
      </c>
      <c r="Y5439">
        <v>-9.6719620000000006E-2</v>
      </c>
      <c r="Z5439">
        <v>4.4988440000000001E-3</v>
      </c>
      <c r="AA5439">
        <v>0.99530149999999995</v>
      </c>
      <c r="AB5439">
        <v>28</v>
      </c>
      <c r="AC5439">
        <v>39.6615999999999</v>
      </c>
      <c r="AD5439">
        <v>-1.1147928913302001</v>
      </c>
      <c r="AE5439">
        <v>-2.6184400000000001</v>
      </c>
      <c r="AF5439">
        <v>-3.8555861929769102</v>
      </c>
      <c r="AG5439">
        <v>-1.1147928913302001</v>
      </c>
      <c r="AH5439">
        <v>39.529110804010699</v>
      </c>
      <c r="AI5439">
        <v>91.607791278668401</v>
      </c>
      <c r="AJ5439">
        <v>95.570887752977299</v>
      </c>
      <c r="AK5439">
        <v>39.732340845182897</v>
      </c>
      <c r="AL5439">
        <v>80.477169329750495</v>
      </c>
      <c r="AM5439">
        <v>95.790460751066206</v>
      </c>
      <c r="AN5439">
        <v>1.0000000100811199</v>
      </c>
    </row>
    <row r="5440" spans="1:40" x14ac:dyDescent="0.25">
      <c r="A5440" t="str">
        <f>"20190304155743906"</f>
        <v>20190304155743906</v>
      </c>
      <c r="B5440" t="str">
        <f>"1551686263900182"</f>
        <v>1551686263900182</v>
      </c>
      <c r="C5440" t="s">
        <v>40</v>
      </c>
      <c r="D5440">
        <v>4.5034219999999996</v>
      </c>
      <c r="E5440">
        <v>0.50114479999999995</v>
      </c>
      <c r="F5440" t="s">
        <v>41</v>
      </c>
      <c r="G5440">
        <v>-359.6352</v>
      </c>
      <c r="H5440" s="1">
        <v>-9.4526020000000002E-7</v>
      </c>
      <c r="I5440">
        <v>16.47775</v>
      </c>
      <c r="J5440">
        <v>-399.30239999999998</v>
      </c>
      <c r="K5440">
        <v>1.1146929999999999</v>
      </c>
      <c r="L5440">
        <v>19.07968</v>
      </c>
      <c r="M5440">
        <v>0.98717189999999999</v>
      </c>
      <c r="N5440">
        <v>-1.195163E-2</v>
      </c>
      <c r="O5440">
        <v>-0.15921359999999901</v>
      </c>
      <c r="P5440">
        <v>0.98608479999999998</v>
      </c>
      <c r="Q5440">
        <v>0.15443399999999999</v>
      </c>
      <c r="R5440">
        <v>-6.1539770000000001E-2</v>
      </c>
      <c r="S5440">
        <v>3.043396</v>
      </c>
      <c r="T5440">
        <v>-8.52102E-2</v>
      </c>
      <c r="U5440">
        <v>-0.2005005</v>
      </c>
      <c r="V5440">
        <v>-9.8187090000000005E-2</v>
      </c>
      <c r="W5440">
        <v>0.16504089999999999</v>
      </c>
      <c r="X5440">
        <v>0.98138720000000002</v>
      </c>
      <c r="Y5440">
        <v>-9.3909110000000004E-2</v>
      </c>
      <c r="Z5440">
        <v>4.3976019999999996E-3</v>
      </c>
      <c r="AA5440">
        <v>0.99557110000000004</v>
      </c>
      <c r="AB5440">
        <v>28</v>
      </c>
      <c r="AC5440">
        <v>39.667199999999902</v>
      </c>
      <c r="AD5440">
        <v>-1.1146939452601901</v>
      </c>
      <c r="AE5440">
        <v>-2.6019299999999901</v>
      </c>
      <c r="AF5440">
        <v>-3.7443287182261602</v>
      </c>
      <c r="AG5440">
        <v>-1.1146939452601901</v>
      </c>
      <c r="AH5440">
        <v>39.544337657419803</v>
      </c>
      <c r="AI5440">
        <v>91.607466095585096</v>
      </c>
      <c r="AJ5440">
        <v>95.409030209652499</v>
      </c>
      <c r="AK5440">
        <v>39.736849156743197</v>
      </c>
      <c r="AL5440">
        <v>80.500389749899</v>
      </c>
      <c r="AM5440">
        <v>95.713389122498995</v>
      </c>
      <c r="AN5440">
        <v>1.0000000198196499</v>
      </c>
    </row>
    <row r="5441" spans="1:40" x14ac:dyDescent="0.25">
      <c r="A5441" t="str">
        <f>"20190304155743918"</f>
        <v>20190304155743918</v>
      </c>
      <c r="B5441" t="str">
        <f>"1551686263909942"</f>
        <v>1551686263909942</v>
      </c>
      <c r="C5441" t="s">
        <v>40</v>
      </c>
      <c r="D5441">
        <v>4.4969809999999999</v>
      </c>
      <c r="E5441">
        <v>0.50148970000000004</v>
      </c>
      <c r="F5441" t="s">
        <v>41</v>
      </c>
      <c r="G5441">
        <v>-359.70979999999997</v>
      </c>
      <c r="H5441" s="1">
        <v>-9.164497E-7</v>
      </c>
      <c r="I5441">
        <v>16.49062</v>
      </c>
      <c r="J5441">
        <v>-399.15710000000001</v>
      </c>
      <c r="K5441">
        <v>1.114587</v>
      </c>
      <c r="L5441">
        <v>19.059480000000001</v>
      </c>
      <c r="M5441">
        <v>0.98765700000000001</v>
      </c>
      <c r="N5441">
        <v>-1.189253E-2</v>
      </c>
      <c r="O5441">
        <v>-0.15618099999999999</v>
      </c>
      <c r="P5441">
        <v>0.98624179999999995</v>
      </c>
      <c r="Q5441">
        <v>0.1540406</v>
      </c>
      <c r="R5441">
        <v>-5.9990830000000002E-2</v>
      </c>
      <c r="S5441">
        <v>3.0433349999999999</v>
      </c>
      <c r="T5441">
        <v>-8.5682389999999997E-2</v>
      </c>
      <c r="U5441">
        <v>-0.19900509999999999</v>
      </c>
      <c r="V5441">
        <v>-9.6676070000000003E-2</v>
      </c>
      <c r="W5441">
        <v>0.16463220000000001</v>
      </c>
      <c r="X5441">
        <v>0.98160579999999997</v>
      </c>
      <c r="Y5441">
        <v>-9.1337630000000003E-2</v>
      </c>
      <c r="Z5441">
        <v>4.3370769999999999E-3</v>
      </c>
      <c r="AA5441">
        <v>0.99581050000000004</v>
      </c>
      <c r="AB5441">
        <v>28</v>
      </c>
      <c r="AC5441">
        <v>39.447299999999998</v>
      </c>
      <c r="AD5441">
        <v>-1.1145879164496999</v>
      </c>
      <c r="AE5441">
        <v>-2.5688599999999902</v>
      </c>
      <c r="AF5441">
        <v>-3.6211432299772102</v>
      </c>
      <c r="AG5441">
        <v>-1.1145879164496999</v>
      </c>
      <c r="AH5441">
        <v>39.333118207679099</v>
      </c>
      <c r="AI5441">
        <v>91.616332263648701</v>
      </c>
      <c r="AJ5441">
        <v>95.260020791501802</v>
      </c>
      <c r="AK5441">
        <v>39.515176482647298</v>
      </c>
      <c r="AL5441">
        <v>80.524130966604503</v>
      </c>
      <c r="AM5441">
        <v>95.624788259190495</v>
      </c>
      <c r="AN5441">
        <v>0.99999998519056199</v>
      </c>
    </row>
    <row r="5442" spans="1:40" x14ac:dyDescent="0.25">
      <c r="A5442" t="str">
        <f>"20190304155743931"</f>
        <v>20190304155743931</v>
      </c>
      <c r="B5442" t="str">
        <f>"1551686263919702"</f>
        <v>1551686263919702</v>
      </c>
      <c r="C5442" t="s">
        <v>40</v>
      </c>
      <c r="D5442">
        <v>4.5190900000000003</v>
      </c>
      <c r="E5442">
        <v>0.50088999999999995</v>
      </c>
      <c r="F5442" t="s">
        <v>41</v>
      </c>
      <c r="G5442">
        <v>-359.49650000000003</v>
      </c>
      <c r="H5442" s="1">
        <v>-9.8823880000000005E-7</v>
      </c>
      <c r="I5442">
        <v>16.49371</v>
      </c>
      <c r="J5442">
        <v>-398.99189999999999</v>
      </c>
      <c r="K5442">
        <v>1.1144639999999999</v>
      </c>
      <c r="L5442">
        <v>19.036770000000001</v>
      </c>
      <c r="M5442">
        <v>0.98818779999999995</v>
      </c>
      <c r="N5442">
        <v>-1.182412E-2</v>
      </c>
      <c r="O5442">
        <v>-0.15279179999999901</v>
      </c>
      <c r="P5442">
        <v>0.9863963</v>
      </c>
      <c r="Q5442">
        <v>0.15397159999999999</v>
      </c>
      <c r="R5442">
        <v>-5.7578690000000002E-2</v>
      </c>
      <c r="S5442">
        <v>3.0432130000000002</v>
      </c>
      <c r="T5442">
        <v>-8.5523840000000004E-2</v>
      </c>
      <c r="U5442">
        <v>-0.19686890000000001</v>
      </c>
      <c r="V5442">
        <v>-9.5661419999999997E-2</v>
      </c>
      <c r="W5442">
        <v>0.1645353</v>
      </c>
      <c r="X5442">
        <v>0.98172150000000002</v>
      </c>
      <c r="Y5442">
        <v>-8.8616529999999999E-2</v>
      </c>
      <c r="Z5442">
        <v>4.2267650000000004E-3</v>
      </c>
      <c r="AA5442">
        <v>0.99605690000000002</v>
      </c>
      <c r="AB5442">
        <v>28</v>
      </c>
      <c r="AC5442">
        <v>39.495399999999897</v>
      </c>
      <c r="AD5442">
        <v>-1.11446498823879</v>
      </c>
      <c r="AE5442">
        <v>-2.5430600000000001</v>
      </c>
      <c r="AF5442">
        <v>-3.5190077324038902</v>
      </c>
      <c r="AG5442">
        <v>-1.11446498823879</v>
      </c>
      <c r="AH5442">
        <v>39.388948284403803</v>
      </c>
      <c r="AI5442">
        <v>91.614259811321006</v>
      </c>
      <c r="AJ5442">
        <v>95.105249671121697</v>
      </c>
      <c r="AK5442">
        <v>39.5615304883692</v>
      </c>
      <c r="AL5442">
        <v>80.529760189634004</v>
      </c>
      <c r="AM5442">
        <v>95.565474890492396</v>
      </c>
      <c r="AN5442">
        <v>1.0000000378923699</v>
      </c>
    </row>
    <row r="5443" spans="1:40" x14ac:dyDescent="0.25">
      <c r="A5443" t="str">
        <f>"20190304155743951"</f>
        <v>20190304155743951</v>
      </c>
      <c r="B5443" t="str">
        <f>"1551686263940197"</f>
        <v>1551686263940197</v>
      </c>
      <c r="C5443" t="s">
        <v>40</v>
      </c>
      <c r="D5443">
        <v>4.5529260000000003</v>
      </c>
      <c r="E5443">
        <v>0.49952269999999999</v>
      </c>
      <c r="F5443" t="s">
        <v>87</v>
      </c>
      <c r="G5443">
        <v>-360.80020000000002</v>
      </c>
      <c r="H5443" s="1">
        <v>-4.8630270000000004E-6</v>
      </c>
      <c r="I5443">
        <v>16.719850000000001</v>
      </c>
      <c r="J5443">
        <v>-398.73869999999999</v>
      </c>
      <c r="K5443">
        <v>1.1142590000000001</v>
      </c>
      <c r="L5443">
        <v>19.003019999999999</v>
      </c>
      <c r="M5443">
        <v>0.98894320000000002</v>
      </c>
      <c r="N5443">
        <v>-1.1717160000000001E-2</v>
      </c>
      <c r="O5443">
        <v>-0.1478313</v>
      </c>
      <c r="P5443">
        <v>0.98667249999999995</v>
      </c>
      <c r="Q5443">
        <v>0.15311549999999999</v>
      </c>
      <c r="R5443">
        <v>-5.5073039999999997E-2</v>
      </c>
      <c r="S5443">
        <v>3.0444339999999999</v>
      </c>
      <c r="T5443">
        <v>-8.8839409999999994E-2</v>
      </c>
      <c r="U5443">
        <v>-0.18469240000000001</v>
      </c>
      <c r="V5443">
        <v>-9.3155109999999999E-2</v>
      </c>
      <c r="W5443">
        <v>0.16364960000000001</v>
      </c>
      <c r="X5443">
        <v>0.98211040000000005</v>
      </c>
      <c r="Y5443">
        <v>-8.7607309999999994E-2</v>
      </c>
      <c r="Z5443">
        <v>4.345804E-3</v>
      </c>
      <c r="AA5443">
        <v>0.99614559999999996</v>
      </c>
      <c r="AB5443">
        <v>28</v>
      </c>
      <c r="AC5443">
        <v>37.938499999999898</v>
      </c>
      <c r="AD5443">
        <v>-1.1142638630270001</v>
      </c>
      <c r="AE5443">
        <v>-2.2831700000000001</v>
      </c>
      <c r="AF5443">
        <v>-3.3479247520784399</v>
      </c>
      <c r="AG5443">
        <v>-1.1142638630270001</v>
      </c>
      <c r="AH5443">
        <v>37.8266318510993</v>
      </c>
      <c r="AI5443">
        <v>91.680714772188495</v>
      </c>
      <c r="AJ5443">
        <v>95.057902616085101</v>
      </c>
      <c r="AK5443">
        <v>37.990844440478398</v>
      </c>
      <c r="AL5443">
        <v>80.581203572471196</v>
      </c>
      <c r="AM5443">
        <v>95.418406967940101</v>
      </c>
      <c r="AN5443">
        <v>0.99999995194371405</v>
      </c>
    </row>
    <row r="5444" spans="1:40" x14ac:dyDescent="0.25">
      <c r="A5444" t="str">
        <f>"20190304155743964"</f>
        <v>20190304155743964</v>
      </c>
      <c r="B5444" t="str">
        <f>"1551686263959717"</f>
        <v>1551686263959717</v>
      </c>
      <c r="C5444" t="s">
        <v>40</v>
      </c>
      <c r="D5444">
        <v>3.415108</v>
      </c>
      <c r="E5444">
        <v>0.49952269999999999</v>
      </c>
      <c r="F5444" t="s">
        <v>41</v>
      </c>
      <c r="G5444">
        <v>-358.02600000000001</v>
      </c>
      <c r="H5444" s="1">
        <v>-1.4111279999999899E-6</v>
      </c>
      <c r="I5444">
        <v>16.785079999999901</v>
      </c>
      <c r="J5444">
        <v>-398.57850000000002</v>
      </c>
      <c r="K5444">
        <v>1.1141239999999999</v>
      </c>
      <c r="L5444">
        <v>18.982330000000001</v>
      </c>
      <c r="M5444">
        <v>0.98938890000000002</v>
      </c>
      <c r="N5444">
        <v>-1.1649140000000001E-2</v>
      </c>
      <c r="O5444">
        <v>-0.14482390000000001</v>
      </c>
      <c r="P5444">
        <v>0.98679399999999995</v>
      </c>
      <c r="Q5444">
        <v>0.152940299999999</v>
      </c>
      <c r="R5444">
        <v>-5.3359579999999997E-2</v>
      </c>
      <c r="S5444">
        <v>3.0441590000000001</v>
      </c>
      <c r="T5444">
        <v>-8.3315130000000001E-2</v>
      </c>
      <c r="U5444">
        <v>-0.16583249999999999</v>
      </c>
      <c r="V5444">
        <v>-9.18239E-2</v>
      </c>
      <c r="W5444">
        <v>0.16345100000000001</v>
      </c>
      <c r="X5444">
        <v>0.9822689</v>
      </c>
      <c r="Y5444">
        <v>-9.0732179999999996E-2</v>
      </c>
      <c r="Z5444">
        <v>4.0232569999999997E-3</v>
      </c>
      <c r="AA5444">
        <v>0.99586719999999895</v>
      </c>
      <c r="AB5444">
        <v>29</v>
      </c>
      <c r="AC5444">
        <v>40.552500000000002</v>
      </c>
      <c r="AD5444">
        <v>-1.1141254111279999</v>
      </c>
      <c r="AE5444">
        <v>-2.1972499999999999</v>
      </c>
      <c r="AF5444">
        <v>-3.6965053816391298</v>
      </c>
      <c r="AG5444">
        <v>-1.1141254111279999</v>
      </c>
      <c r="AH5444">
        <v>40.412736366472203</v>
      </c>
      <c r="AI5444">
        <v>91.572606849224002</v>
      </c>
      <c r="AJ5444">
        <v>95.226234647065795</v>
      </c>
      <c r="AK5444">
        <v>40.5967324805112</v>
      </c>
      <c r="AL5444">
        <v>80.592738516716693</v>
      </c>
      <c r="AM5444">
        <v>95.340570720201995</v>
      </c>
      <c r="AN5444">
        <v>1.0000000249597001</v>
      </c>
    </row>
    <row r="5445" spans="1:40" x14ac:dyDescent="0.25">
      <c r="A5445" t="str">
        <f>"20190304155744060"</f>
        <v>20190304155744060</v>
      </c>
      <c r="B5445" t="str">
        <f>"1551686264050485"</f>
        <v>1551686264050485</v>
      </c>
      <c r="C5445" t="s">
        <v>40</v>
      </c>
      <c r="D5445">
        <v>4.6550719999999997</v>
      </c>
      <c r="E5445">
        <v>0.50095529999999999</v>
      </c>
      <c r="F5445" t="s">
        <v>41</v>
      </c>
      <c r="G5445">
        <v>-358.13350000000003</v>
      </c>
      <c r="H5445" s="1">
        <v>-1.3575569999999901E-6</v>
      </c>
      <c r="I5445">
        <v>16.848929999999999</v>
      </c>
      <c r="J5445">
        <v>-397.37389999999999</v>
      </c>
      <c r="K5445">
        <v>1.113186</v>
      </c>
      <c r="L5445">
        <v>18.83774</v>
      </c>
      <c r="M5445">
        <v>0.9920909</v>
      </c>
      <c r="N5445">
        <v>-1.118276E-2</v>
      </c>
      <c r="O5445">
        <v>-0.12502249999999901</v>
      </c>
      <c r="P5445">
        <v>0.98772190000000004</v>
      </c>
      <c r="Q5445">
        <v>0.1501287</v>
      </c>
      <c r="R5445">
        <v>-4.3209579999999997E-2</v>
      </c>
      <c r="S5445">
        <v>3.0444640000000001</v>
      </c>
      <c r="T5445">
        <v>-8.3864809999999998E-2</v>
      </c>
      <c r="U5445">
        <v>-0.16058349999999999</v>
      </c>
      <c r="V5445">
        <v>-8.1942429999999997E-2</v>
      </c>
      <c r="W5445">
        <v>0.16047249999999999</v>
      </c>
      <c r="X5445">
        <v>0.98363299999999998</v>
      </c>
      <c r="Y5445">
        <v>-7.2542239999999994E-2</v>
      </c>
      <c r="Z5445">
        <v>3.4346619999999998E-3</v>
      </c>
      <c r="AA5445">
        <v>0.99735949999999995</v>
      </c>
      <c r="AB5445">
        <v>29</v>
      </c>
      <c r="AC5445">
        <v>39.240399999999902</v>
      </c>
      <c r="AD5445">
        <v>-1.1131873575569999</v>
      </c>
      <c r="AE5445">
        <v>-1.98881</v>
      </c>
      <c r="AF5445">
        <v>-2.93068348503926</v>
      </c>
      <c r="AG5445">
        <v>-1.1131873575569999</v>
      </c>
      <c r="AH5445">
        <v>39.149713414142802</v>
      </c>
      <c r="AI5445">
        <v>91.624173849485302</v>
      </c>
      <c r="AJ5445">
        <v>94.281083473186797</v>
      </c>
      <c r="AK5445">
        <v>39.275032173023298</v>
      </c>
      <c r="AL5445">
        <v>80.765676499982902</v>
      </c>
      <c r="AM5445">
        <v>94.762080578005595</v>
      </c>
      <c r="AN5445">
        <v>0.99999993188977498</v>
      </c>
    </row>
    <row r="5446" spans="1:40" x14ac:dyDescent="0.25">
      <c r="A5446" t="str">
        <f>"20190304155744071"</f>
        <v>20190304155744071</v>
      </c>
      <c r="B5446" t="str">
        <f>"1551686264070005"</f>
        <v>1551686264070005</v>
      </c>
      <c r="C5446" t="s">
        <v>40</v>
      </c>
      <c r="D5446">
        <v>4.5518799999999997</v>
      </c>
      <c r="E5446">
        <v>0.50107349999999995</v>
      </c>
      <c r="F5446" t="s">
        <v>41</v>
      </c>
      <c r="G5446">
        <v>-356.82319999999999</v>
      </c>
      <c r="H5446" s="1">
        <v>-1.818669E-6</v>
      </c>
      <c r="I5446">
        <v>16.946679999999901</v>
      </c>
      <c r="J5446">
        <v>-397.21789999999999</v>
      </c>
      <c r="K5446">
        <v>1.1130709999999999</v>
      </c>
      <c r="L5446">
        <v>18.820309999999999</v>
      </c>
      <c r="M5446">
        <v>0.99236789999999997</v>
      </c>
      <c r="N5446">
        <v>-1.113104E-2</v>
      </c>
      <c r="O5446">
        <v>-0.1228089</v>
      </c>
      <c r="P5446">
        <v>0.98784760000000005</v>
      </c>
      <c r="Q5446">
        <v>0.1495541</v>
      </c>
      <c r="R5446">
        <v>-4.2317569999999999E-2</v>
      </c>
      <c r="S5446">
        <v>3.0437620000000001</v>
      </c>
      <c r="T5446">
        <v>-8.3556770000000002E-2</v>
      </c>
      <c r="U5446">
        <v>-0.14193729999999999</v>
      </c>
      <c r="V5446">
        <v>-8.0597970000000005E-2</v>
      </c>
      <c r="W5446">
        <v>0.15988089999999999</v>
      </c>
      <c r="X5446">
        <v>0.98384050000000001</v>
      </c>
      <c r="Y5446">
        <v>-7.6397850000000003E-2</v>
      </c>
      <c r="Z5446">
        <v>3.463753E-3</v>
      </c>
      <c r="AA5446">
        <v>0.99707140000000005</v>
      </c>
      <c r="AB5446">
        <v>29</v>
      </c>
      <c r="AC5446">
        <v>40.3947</v>
      </c>
      <c r="AD5446">
        <v>-1.113072818669</v>
      </c>
      <c r="AE5446">
        <v>-1.8736299999999999</v>
      </c>
      <c r="AF5446">
        <v>-3.09934240159795</v>
      </c>
      <c r="AG5446">
        <v>-1.113072818669</v>
      </c>
      <c r="AH5446">
        <v>40.288476083223301</v>
      </c>
      <c r="AI5446">
        <v>91.5778810555897</v>
      </c>
      <c r="AJ5446">
        <v>94.399028906246699</v>
      </c>
      <c r="AK5446">
        <v>40.422842051622901</v>
      </c>
      <c r="AL5446">
        <v>80.800016997110703</v>
      </c>
      <c r="AM5446">
        <v>94.683314366385403</v>
      </c>
      <c r="AN5446">
        <v>1.0000000321965901</v>
      </c>
    </row>
    <row r="5447" spans="1:40" x14ac:dyDescent="0.25">
      <c r="A5447" t="str">
        <f>"20190304155744085"</f>
        <v>20190304155744085</v>
      </c>
      <c r="B5447" t="str">
        <f>"1551686264079766"</f>
        <v>1551686264079766</v>
      </c>
      <c r="C5447" t="s">
        <v>40</v>
      </c>
      <c r="D5447">
        <v>4.5249220000000001</v>
      </c>
      <c r="E5447">
        <v>0.5004343</v>
      </c>
      <c r="F5447" t="s">
        <v>41</v>
      </c>
      <c r="G5447">
        <v>-356.02210000000002</v>
      </c>
      <c r="H5447" s="1">
        <v>-2.166725E-6</v>
      </c>
      <c r="I5447">
        <v>16.92202</v>
      </c>
      <c r="J5447">
        <v>-397.05099999999999</v>
      </c>
      <c r="K5447">
        <v>1.1129610000000001</v>
      </c>
      <c r="L5447">
        <v>18.802060000000001</v>
      </c>
      <c r="M5447">
        <v>0.99264660000000005</v>
      </c>
      <c r="N5447">
        <v>-1.107729E-2</v>
      </c>
      <c r="O5447">
        <v>-0.1205402</v>
      </c>
      <c r="P5447">
        <v>0.98793209999999998</v>
      </c>
      <c r="Q5447">
        <v>0.14926449999999999</v>
      </c>
      <c r="R5447">
        <v>-4.135482E-2</v>
      </c>
      <c r="S5447">
        <v>3.043304</v>
      </c>
      <c r="T5447">
        <v>-8.2227350000000005E-2</v>
      </c>
      <c r="U5447">
        <v>-0.1402283</v>
      </c>
      <c r="V5447">
        <v>-7.9266290000000003E-2</v>
      </c>
      <c r="W5447">
        <v>0.1595712</v>
      </c>
      <c r="X5447">
        <v>0.98399899999999996</v>
      </c>
      <c r="Y5447">
        <v>-7.4673349999999999E-2</v>
      </c>
      <c r="Z5447">
        <v>3.3305520000000001E-3</v>
      </c>
      <c r="AA5447">
        <v>0.99720249999999999</v>
      </c>
      <c r="AB5447">
        <v>29</v>
      </c>
      <c r="AC5447">
        <v>41.028899999999901</v>
      </c>
      <c r="AD5447">
        <v>-1.112963166725</v>
      </c>
      <c r="AE5447">
        <v>-1.8800399999999999</v>
      </c>
      <c r="AF5447">
        <v>-3.07734589108551</v>
      </c>
      <c r="AG5447">
        <v>-1.112963166725</v>
      </c>
      <c r="AH5447">
        <v>40.926281041346797</v>
      </c>
      <c r="AI5447">
        <v>91.553354030128204</v>
      </c>
      <c r="AJ5447">
        <v>94.300116048264101</v>
      </c>
      <c r="AK5447">
        <v>41.056902277439001</v>
      </c>
      <c r="AL5447">
        <v>80.817992648739704</v>
      </c>
      <c r="AM5447">
        <v>94.605531295133503</v>
      </c>
      <c r="AN5447">
        <v>1.0000000723003899</v>
      </c>
    </row>
    <row r="5448" spans="1:40" x14ac:dyDescent="0.25">
      <c r="A5448" t="str">
        <f>"20190304155744097"</f>
        <v>20190304155744097</v>
      </c>
      <c r="B5448" t="str">
        <f>"1551686264090502"</f>
        <v>1551686264090502</v>
      </c>
      <c r="C5448" t="s">
        <v>40</v>
      </c>
      <c r="D5448">
        <v>4.5280589999999998</v>
      </c>
      <c r="E5448">
        <v>0.49955870000000002</v>
      </c>
      <c r="F5448" t="s">
        <v>41</v>
      </c>
      <c r="G5448">
        <v>-356.35140000000001</v>
      </c>
      <c r="H5448" s="1">
        <v>-2.005172E-6</v>
      </c>
      <c r="I5448">
        <v>17.036249999999999</v>
      </c>
      <c r="J5448">
        <v>-396.89589999999998</v>
      </c>
      <c r="K5448">
        <v>1.112862</v>
      </c>
      <c r="L5448">
        <v>18.78537</v>
      </c>
      <c r="M5448">
        <v>0.99289240000000001</v>
      </c>
      <c r="N5448">
        <v>-1.102882E-2</v>
      </c>
      <c r="O5448">
        <v>-0.118504399999999</v>
      </c>
      <c r="P5448">
        <v>0.98800319999999997</v>
      </c>
      <c r="Q5448">
        <v>0.14892540000000001</v>
      </c>
      <c r="R5448">
        <v>-4.0878940000000002E-2</v>
      </c>
      <c r="S5448">
        <v>3.043701</v>
      </c>
      <c r="T5448">
        <v>-8.3232520000000004E-2</v>
      </c>
      <c r="U5448">
        <v>-0.13204959999999999</v>
      </c>
      <c r="V5448">
        <v>-7.7685729999999995E-2</v>
      </c>
      <c r="W5448">
        <v>0.15921569999999999</v>
      </c>
      <c r="X5448">
        <v>0.98418249999999996</v>
      </c>
      <c r="Y5448">
        <v>-7.5306990000000004E-2</v>
      </c>
      <c r="Z5448">
        <v>3.3658550000000001E-3</v>
      </c>
      <c r="AA5448">
        <v>0.99715469999999895</v>
      </c>
      <c r="AB5448">
        <v>29</v>
      </c>
      <c r="AC5448">
        <v>40.5444999999999</v>
      </c>
      <c r="AD5448">
        <v>-1.112864005172</v>
      </c>
      <c r="AE5448">
        <v>-1.74912</v>
      </c>
      <c r="AF5448">
        <v>-3.0658943942758201</v>
      </c>
      <c r="AG5448">
        <v>-1.112864005172</v>
      </c>
      <c r="AH5448">
        <v>40.435653217774501</v>
      </c>
      <c r="AI5448">
        <v>91.571978093367093</v>
      </c>
      <c r="AJ5448">
        <v>94.335959196162506</v>
      </c>
      <c r="AK5448">
        <v>40.566984431665396</v>
      </c>
      <c r="AL5448">
        <v>80.838623973129202</v>
      </c>
      <c r="AM5448">
        <v>94.513242784457503</v>
      </c>
      <c r="AN5448">
        <v>0.99999995253918506</v>
      </c>
    </row>
    <row r="5449" spans="1:40" x14ac:dyDescent="0.25">
      <c r="A5449" t="str">
        <f>"20190304155744109"</f>
        <v>20190304155744109</v>
      </c>
      <c r="B5449" t="str">
        <f>"1551686264100262"</f>
        <v>1551686264100262</v>
      </c>
      <c r="C5449" t="s">
        <v>40</v>
      </c>
      <c r="D5449">
        <v>4.7007459999999996</v>
      </c>
      <c r="E5449">
        <v>0.4990908</v>
      </c>
      <c r="F5449" t="s">
        <v>41</v>
      </c>
      <c r="G5449">
        <v>-356.45960000000002</v>
      </c>
      <c r="H5449" s="1">
        <v>-1.9391109999999999E-6</v>
      </c>
      <c r="I5449">
        <v>17.14705</v>
      </c>
      <c r="J5449">
        <v>-396.7466</v>
      </c>
      <c r="K5449">
        <v>1.1127689999999999</v>
      </c>
      <c r="L5449">
        <v>18.769439999999999</v>
      </c>
      <c r="M5449">
        <v>0.99312029999999996</v>
      </c>
      <c r="N5449">
        <v>-1.0983100000000001E-2</v>
      </c>
      <c r="O5449">
        <v>-0.1165837</v>
      </c>
      <c r="P5449">
        <v>0.98812290000000003</v>
      </c>
      <c r="Q5449">
        <v>0.14826529999999999</v>
      </c>
      <c r="R5449">
        <v>-4.0386720000000001E-2</v>
      </c>
      <c r="S5449">
        <v>3.0439150000000001</v>
      </c>
      <c r="T5449">
        <v>-8.3772899999999997E-2</v>
      </c>
      <c r="U5449">
        <v>-0.1233215</v>
      </c>
      <c r="V5449">
        <v>-7.624156E-2</v>
      </c>
      <c r="W5449">
        <v>0.1585406</v>
      </c>
      <c r="X5449">
        <v>0.98440439999999996</v>
      </c>
      <c r="Y5449">
        <v>-7.6234330000000003E-2</v>
      </c>
      <c r="Z5449">
        <v>3.3838370000000002E-3</v>
      </c>
      <c r="AA5449">
        <v>0.99708419999999998</v>
      </c>
      <c r="AB5449">
        <v>29</v>
      </c>
      <c r="AC5449">
        <v>40.2869999999999</v>
      </c>
      <c r="AD5449">
        <v>-1.1127709391109999</v>
      </c>
      <c r="AE5449">
        <v>-1.62238999999999</v>
      </c>
      <c r="AF5449">
        <v>-3.0834161035236098</v>
      </c>
      <c r="AG5449">
        <v>-1.1127709391109999</v>
      </c>
      <c r="AH5449">
        <v>40.170802478352201</v>
      </c>
      <c r="AI5449">
        <v>91.582092539572102</v>
      </c>
      <c r="AJ5449">
        <v>94.389282309942701</v>
      </c>
      <c r="AK5449">
        <v>40.304330856437602</v>
      </c>
      <c r="AL5449">
        <v>80.877802056838505</v>
      </c>
      <c r="AM5449">
        <v>94.4286845756628</v>
      </c>
      <c r="AN5449">
        <v>0.999999960029475</v>
      </c>
    </row>
    <row r="5450" spans="1:40" x14ac:dyDescent="0.25">
      <c r="A5450" t="str">
        <f>"20190304155744128"</f>
        <v>20190304155744128</v>
      </c>
      <c r="B5450" t="str">
        <f>"1551686264119783"</f>
        <v>1551686264119783</v>
      </c>
      <c r="C5450" t="s">
        <v>40</v>
      </c>
      <c r="D5450">
        <v>4.6194899999999999</v>
      </c>
      <c r="E5450">
        <v>0.49871729999999997</v>
      </c>
      <c r="F5450" t="s">
        <v>41</v>
      </c>
      <c r="G5450">
        <v>-357.55169999999998</v>
      </c>
      <c r="H5450" s="1">
        <v>-1.4517490000000001E-6</v>
      </c>
      <c r="I5450">
        <v>17.25348</v>
      </c>
      <c r="J5450">
        <v>-396.50779999999997</v>
      </c>
      <c r="K5450">
        <v>1.112625</v>
      </c>
      <c r="L5450">
        <v>18.74457</v>
      </c>
      <c r="M5450">
        <v>0.99345680000000003</v>
      </c>
      <c r="N5450">
        <v>-1.09151E-2</v>
      </c>
      <c r="O5450">
        <v>-0.1136862</v>
      </c>
      <c r="P5450">
        <v>0.98817940000000004</v>
      </c>
      <c r="Q5450">
        <v>0.14796719999999999</v>
      </c>
      <c r="R5450">
        <v>-4.009128E-2</v>
      </c>
      <c r="S5450">
        <v>3.0442499999999999</v>
      </c>
      <c r="T5450">
        <v>-8.6428400000000002E-2</v>
      </c>
      <c r="U5450">
        <v>-0.1177368</v>
      </c>
      <c r="V5450">
        <v>-7.3607530000000004E-2</v>
      </c>
      <c r="W5450">
        <v>0.1582219</v>
      </c>
      <c r="X5450">
        <v>0.98465619999999998</v>
      </c>
      <c r="Y5450">
        <v>-7.5153429999999993E-2</v>
      </c>
      <c r="Z5450">
        <v>3.4523930000000002E-3</v>
      </c>
      <c r="AA5450">
        <v>0.997166</v>
      </c>
      <c r="AB5450">
        <v>29</v>
      </c>
      <c r="AC5450">
        <v>38.9560999999999</v>
      </c>
      <c r="AD5450">
        <v>-1.1126264517490001</v>
      </c>
      <c r="AE5450">
        <v>-1.49108999999999</v>
      </c>
      <c r="AF5450">
        <v>-2.9452139225654999</v>
      </c>
      <c r="AG5450">
        <v>-1.1126264517490001</v>
      </c>
      <c r="AH5450">
        <v>38.841394646310903</v>
      </c>
      <c r="AI5450">
        <v>91.636116325132207</v>
      </c>
      <c r="AJ5450">
        <v>94.336250632692</v>
      </c>
      <c r="AK5450">
        <v>38.968784440129397</v>
      </c>
      <c r="AL5450">
        <v>80.896296337843907</v>
      </c>
      <c r="AM5450">
        <v>94.275168421588702</v>
      </c>
      <c r="AN5450">
        <v>1.0000000351553699</v>
      </c>
    </row>
    <row r="5451" spans="1:40" x14ac:dyDescent="0.25">
      <c r="A5451" t="str">
        <f>"20190304155744140"</f>
        <v>20190304155744140</v>
      </c>
      <c r="B5451" t="str">
        <f>"1551686264130517"</f>
        <v>1551686264130517</v>
      </c>
      <c r="C5451" t="s">
        <v>40</v>
      </c>
      <c r="D5451">
        <v>4.6132090000000003</v>
      </c>
      <c r="E5451">
        <v>0.49868170000000001</v>
      </c>
      <c r="F5451" t="s">
        <v>41</v>
      </c>
      <c r="G5451">
        <v>-356.68369999999999</v>
      </c>
      <c r="H5451" s="1">
        <v>-1.8234289999999999E-6</v>
      </c>
      <c r="I5451">
        <v>17.257239999999999</v>
      </c>
      <c r="J5451">
        <v>-396.3537</v>
      </c>
      <c r="K5451">
        <v>1.1125290000000001</v>
      </c>
      <c r="L5451">
        <v>18.728850000000001</v>
      </c>
      <c r="M5451">
        <v>0.99365809999999999</v>
      </c>
      <c r="N5451">
        <v>-1.087462E-2</v>
      </c>
      <c r="O5451">
        <v>-0.11191760000000001</v>
      </c>
      <c r="P5451">
        <v>0.98825759999999996</v>
      </c>
      <c r="Q5451">
        <v>0.14763660000000001</v>
      </c>
      <c r="R5451">
        <v>-3.93774E-2</v>
      </c>
      <c r="S5451">
        <v>3.0439759999999998</v>
      </c>
      <c r="T5451">
        <v>-8.5044380000000003E-2</v>
      </c>
      <c r="U5451">
        <v>-0.113678</v>
      </c>
      <c r="V5451">
        <v>-7.2531659999999998E-2</v>
      </c>
      <c r="W5451">
        <v>0.1578763</v>
      </c>
      <c r="X5451">
        <v>0.98479150000000004</v>
      </c>
      <c r="Y5451">
        <v>-7.4705030000000006E-2</v>
      </c>
      <c r="Z5451">
        <v>3.3489520000000001E-3</v>
      </c>
      <c r="AA5451">
        <v>0.99720010000000003</v>
      </c>
      <c r="AB5451">
        <v>29</v>
      </c>
      <c r="AC5451">
        <v>39.67</v>
      </c>
      <c r="AD5451">
        <v>-1.1125308234289999</v>
      </c>
      <c r="AE5451">
        <v>-1.4716100000000001</v>
      </c>
      <c r="AF5451">
        <v>-2.9753328408162698</v>
      </c>
      <c r="AG5451">
        <v>-1.1125308234289999</v>
      </c>
      <c r="AH5451">
        <v>39.554385270992398</v>
      </c>
      <c r="AI5451">
        <v>91.606574962858204</v>
      </c>
      <c r="AJ5451">
        <v>94.301762559625303</v>
      </c>
      <c r="AK5451">
        <v>39.681730361878301</v>
      </c>
      <c r="AL5451">
        <v>80.916349787095797</v>
      </c>
      <c r="AM5451">
        <v>94.2123311778832</v>
      </c>
      <c r="AN5451">
        <v>1.00000003313814</v>
      </c>
    </row>
    <row r="5452" spans="1:40" x14ac:dyDescent="0.25">
      <c r="A5452" t="str">
        <f>"20190304155744152"</f>
        <v>20190304155744152</v>
      </c>
      <c r="B5452" t="str">
        <f>"1551686264150038"</f>
        <v>1551686264150038</v>
      </c>
      <c r="C5452" t="s">
        <v>40</v>
      </c>
      <c r="D5452">
        <v>4.6191430000000002</v>
      </c>
      <c r="E5452">
        <v>0.4986737</v>
      </c>
      <c r="F5452" t="s">
        <v>41</v>
      </c>
      <c r="G5452">
        <v>-356.43389999999999</v>
      </c>
      <c r="H5452" s="1">
        <v>-1.9282789999999999E-6</v>
      </c>
      <c r="I5452">
        <v>17.270320000000002</v>
      </c>
      <c r="J5452">
        <v>-396.19880000000001</v>
      </c>
      <c r="K5452">
        <v>1.1124320000000001</v>
      </c>
      <c r="L5452">
        <v>18.713229999999999</v>
      </c>
      <c r="M5452">
        <v>0.99385290000000004</v>
      </c>
      <c r="N5452">
        <v>-1.083545E-2</v>
      </c>
      <c r="O5452">
        <v>-0.1101766</v>
      </c>
      <c r="P5452">
        <v>0.98830209999999996</v>
      </c>
      <c r="Q5452">
        <v>0.147442299999999</v>
      </c>
      <c r="R5452">
        <v>-3.8987750000000002E-2</v>
      </c>
      <c r="S5452">
        <v>3.0438839999999998</v>
      </c>
      <c r="T5452">
        <v>-8.4830520000000006E-2</v>
      </c>
      <c r="U5452">
        <v>-0.1112061</v>
      </c>
      <c r="V5452">
        <v>-7.1158559999999996E-2</v>
      </c>
      <c r="W5452">
        <v>0.15766959999999999</v>
      </c>
      <c r="X5452">
        <v>0.98492469999999999</v>
      </c>
      <c r="Y5452">
        <v>-7.3766490000000004E-2</v>
      </c>
      <c r="Z5452">
        <v>3.2942129999999998E-3</v>
      </c>
      <c r="AA5452">
        <v>0.99727010000000005</v>
      </c>
      <c r="AB5452">
        <v>29</v>
      </c>
      <c r="AC5452">
        <v>39.764899999999997</v>
      </c>
      <c r="AD5452">
        <v>-1.1124339282789999</v>
      </c>
      <c r="AE5452">
        <v>-1.4429099999999899</v>
      </c>
      <c r="AF5452">
        <v>-2.9449926288533299</v>
      </c>
      <c r="AG5452">
        <v>-1.1124339282789999</v>
      </c>
      <c r="AH5452">
        <v>39.650777544031399</v>
      </c>
      <c r="AI5452">
        <v>91.602644734063702</v>
      </c>
      <c r="AJ5452">
        <v>94.247745038064807</v>
      </c>
      <c r="AK5452">
        <v>39.775553430154197</v>
      </c>
      <c r="AL5452">
        <v>80.928342311248798</v>
      </c>
      <c r="AM5452">
        <v>94.132309336605999</v>
      </c>
      <c r="AN5452">
        <v>0.99999995404775999</v>
      </c>
    </row>
    <row r="5453" spans="1:40" x14ac:dyDescent="0.25">
      <c r="A5453" t="str">
        <f>"20190304155744173"</f>
        <v>20190304155744173</v>
      </c>
      <c r="B5453" t="str">
        <f>"1551686264170534"</f>
        <v>1551686264170534</v>
      </c>
      <c r="C5453" t="s">
        <v>40</v>
      </c>
      <c r="D5453">
        <v>4.6120419999999998</v>
      </c>
      <c r="E5453">
        <v>0.49876749999999997</v>
      </c>
      <c r="F5453" t="s">
        <v>41</v>
      </c>
      <c r="G5453">
        <v>-355.26929999999999</v>
      </c>
      <c r="H5453" s="1">
        <v>-2.4343710000000002E-6</v>
      </c>
      <c r="I5453">
        <v>17.233640000000001</v>
      </c>
      <c r="J5453">
        <v>-395.94080000000002</v>
      </c>
      <c r="K5453">
        <v>1.112277</v>
      </c>
      <c r="L5453">
        <v>18.687619999999999</v>
      </c>
      <c r="M5453">
        <v>0.99415410000000004</v>
      </c>
      <c r="N5453">
        <v>-1.0775979999999999E-2</v>
      </c>
      <c r="O5453">
        <v>-0.10743270000000001</v>
      </c>
      <c r="P5453">
        <v>0.98854379999999997</v>
      </c>
      <c r="Q5453">
        <v>0.14589859999999999</v>
      </c>
      <c r="R5453">
        <v>-3.8666199999999998E-2</v>
      </c>
      <c r="S5453">
        <v>3.0435180000000002</v>
      </c>
      <c r="T5453">
        <v>-8.2720760000000004E-2</v>
      </c>
      <c r="U5453">
        <v>-0.1100159</v>
      </c>
      <c r="V5453">
        <v>-6.8712239999999994E-2</v>
      </c>
      <c r="W5453">
        <v>0.15611269999999999</v>
      </c>
      <c r="X5453">
        <v>0.98534639999999996</v>
      </c>
      <c r="Y5453">
        <v>-7.140283E-2</v>
      </c>
      <c r="Z5453">
        <v>3.1081419999999999E-3</v>
      </c>
      <c r="AA5453">
        <v>0.99744270000000002</v>
      </c>
      <c r="AB5453">
        <v>29</v>
      </c>
      <c r="AC5453">
        <v>40.671500000000002</v>
      </c>
      <c r="AD5453">
        <v>-1.1122794343710001</v>
      </c>
      <c r="AE5453">
        <v>-1.4539800000000001</v>
      </c>
      <c r="AF5453">
        <v>-2.9219556903991899</v>
      </c>
      <c r="AG5453">
        <v>-1.1122794343710001</v>
      </c>
      <c r="AH5453">
        <v>40.561996788930799</v>
      </c>
      <c r="AI5453">
        <v>91.566697052973595</v>
      </c>
      <c r="AJ5453">
        <v>94.120286241297194</v>
      </c>
      <c r="AK5453">
        <v>40.6823127919494</v>
      </c>
      <c r="AL5453">
        <v>81.018665441581803</v>
      </c>
      <c r="AM5453">
        <v>93.989011745549305</v>
      </c>
      <c r="AN5453">
        <v>1.00000003751003</v>
      </c>
    </row>
    <row r="5454" spans="1:40" x14ac:dyDescent="0.25">
      <c r="A5454" t="str">
        <f>"20190304155744185"</f>
        <v>20190304155744185</v>
      </c>
      <c r="B5454" t="str">
        <f>"1551686264180293"</f>
        <v>1551686264180293</v>
      </c>
      <c r="C5454" t="s">
        <v>40</v>
      </c>
      <c r="D5454">
        <v>4.6649379999999896</v>
      </c>
      <c r="E5454">
        <v>0.49891869999999999</v>
      </c>
      <c r="F5454" t="s">
        <v>41</v>
      </c>
      <c r="G5454">
        <v>-355.96690000000001</v>
      </c>
      <c r="H5454" s="1">
        <v>-2.1319240000000001E-6</v>
      </c>
      <c r="I5454">
        <v>17.251560000000001</v>
      </c>
      <c r="J5454">
        <v>-395.77620000000002</v>
      </c>
      <c r="K5454">
        <v>1.1121799999999999</v>
      </c>
      <c r="L5454">
        <v>18.671600000000002</v>
      </c>
      <c r="M5454">
        <v>0.99433300000000002</v>
      </c>
      <c r="N5454">
        <v>-1.0741300000000001E-2</v>
      </c>
      <c r="O5454">
        <v>-0.10576579999999999</v>
      </c>
      <c r="P5454">
        <v>0.98874810000000002</v>
      </c>
      <c r="Q5454">
        <v>0.144574799999999</v>
      </c>
      <c r="R5454">
        <v>-3.840756E-2</v>
      </c>
      <c r="S5454">
        <v>3.0430299999999999</v>
      </c>
      <c r="T5454">
        <v>-8.4672929999999993E-2</v>
      </c>
      <c r="U5454">
        <v>-0.10931399999999999</v>
      </c>
      <c r="V5454">
        <v>-6.7293400000000003E-2</v>
      </c>
      <c r="W5454">
        <v>0.15478159999999999</v>
      </c>
      <c r="X5454">
        <v>0.98565420000000004</v>
      </c>
      <c r="Y5454">
        <v>-6.9952849999999997E-2</v>
      </c>
      <c r="Z5454">
        <v>3.1468239999999999E-3</v>
      </c>
      <c r="AA5454">
        <v>0.99754540000000003</v>
      </c>
      <c r="AB5454">
        <v>29</v>
      </c>
      <c r="AC5454">
        <v>39.8093</v>
      </c>
      <c r="AD5454">
        <v>-1.112182131924</v>
      </c>
      <c r="AE5454">
        <v>-1.42004</v>
      </c>
      <c r="AF5454">
        <v>-2.7964515211030099</v>
      </c>
      <c r="AG5454">
        <v>-1.112182131924</v>
      </c>
      <c r="AH5454">
        <v>39.705235555151802</v>
      </c>
      <c r="AI5454">
        <v>91.6005280993014</v>
      </c>
      <c r="AJ5454">
        <v>94.028706172845801</v>
      </c>
      <c r="AK5454">
        <v>39.8191263175693</v>
      </c>
      <c r="AL5454">
        <v>81.095869770548703</v>
      </c>
      <c r="AM5454">
        <v>93.905684079530005</v>
      </c>
      <c r="AN5454">
        <v>0.99999997367987903</v>
      </c>
    </row>
    <row r="5455" spans="1:40" x14ac:dyDescent="0.25">
      <c r="A5455" t="str">
        <f>"20190304155744196"</f>
        <v>20190304155744196</v>
      </c>
      <c r="B5455" t="str">
        <f>"1551686264190054"</f>
        <v>1551686264190054</v>
      </c>
      <c r="C5455" t="s">
        <v>40</v>
      </c>
      <c r="D5455">
        <v>4.6194670000000002</v>
      </c>
      <c r="E5455">
        <v>0.49893219999999999</v>
      </c>
      <c r="F5455" t="s">
        <v>41</v>
      </c>
      <c r="G5455">
        <v>-357.38529999999997</v>
      </c>
      <c r="H5455" s="1">
        <v>-1.5165199999999999E-6</v>
      </c>
      <c r="I5455">
        <v>17.29074</v>
      </c>
      <c r="J5455">
        <v>-395.63040000000001</v>
      </c>
      <c r="K5455">
        <v>1.112101</v>
      </c>
      <c r="L5455">
        <v>18.657589999999999</v>
      </c>
      <c r="M5455">
        <v>0.99448449999999999</v>
      </c>
      <c r="N5455">
        <v>-1.0712589999999999E-2</v>
      </c>
      <c r="O5455">
        <v>-0.1043351</v>
      </c>
      <c r="P5455">
        <v>0.98890339999999999</v>
      </c>
      <c r="Q5455">
        <v>0.1435604</v>
      </c>
      <c r="R5455">
        <v>-3.8217710000000002E-2</v>
      </c>
      <c r="S5455">
        <v>3.0427550000000001</v>
      </c>
      <c r="T5455">
        <v>-8.8148359999999995E-2</v>
      </c>
      <c r="U5455">
        <v>-0.10943600000000001</v>
      </c>
      <c r="V5455">
        <v>-6.6043930000000001E-2</v>
      </c>
      <c r="W5455">
        <v>0.1537606</v>
      </c>
      <c r="X5455">
        <v>0.98589850000000001</v>
      </c>
      <c r="Y5455">
        <v>-6.8470509999999998E-2</v>
      </c>
      <c r="Z5455">
        <v>3.2543899999999998E-3</v>
      </c>
      <c r="AA5455">
        <v>0.99764779999999997</v>
      </c>
      <c r="AB5455">
        <v>29</v>
      </c>
      <c r="AC5455">
        <v>38.245100000000001</v>
      </c>
      <c r="AD5455">
        <v>-1.11210251652</v>
      </c>
      <c r="AE5455">
        <v>-1.3668499999999899</v>
      </c>
      <c r="AF5455">
        <v>-2.6289261353429398</v>
      </c>
      <c r="AG5455">
        <v>-1.11210251652</v>
      </c>
      <c r="AH5455">
        <v>38.146746729116302</v>
      </c>
      <c r="AI5455">
        <v>91.665937307513403</v>
      </c>
      <c r="AJ5455">
        <v>93.942369902069501</v>
      </c>
      <c r="AK5455">
        <v>38.253396066855103</v>
      </c>
      <c r="AL5455">
        <v>81.155077692318102</v>
      </c>
      <c r="AM5455">
        <v>93.832436495117307</v>
      </c>
      <c r="AN5455">
        <v>0.99999998755222697</v>
      </c>
    </row>
    <row r="5456" spans="1:40" x14ac:dyDescent="0.25">
      <c r="A5456" t="str">
        <f>"20190304155744208"</f>
        <v>20190304155744208</v>
      </c>
      <c r="B5456" t="str">
        <f>"1551686264200791"</f>
        <v>1551686264200791</v>
      </c>
      <c r="C5456" t="s">
        <v>40</v>
      </c>
      <c r="D5456">
        <v>4.6144749999999997</v>
      </c>
      <c r="E5456">
        <v>0.49904399999999999</v>
      </c>
      <c r="F5456" t="s">
        <v>41</v>
      </c>
      <c r="G5456">
        <v>-358.14519999999999</v>
      </c>
      <c r="H5456" s="1">
        <v>-1.228286E-6</v>
      </c>
      <c r="I5456">
        <v>17.31973</v>
      </c>
      <c r="J5456">
        <v>-395.476</v>
      </c>
      <c r="K5456">
        <v>1.112023</v>
      </c>
      <c r="L5456">
        <v>18.642880000000002</v>
      </c>
      <c r="M5456">
        <v>0.99463959999999996</v>
      </c>
      <c r="N5456">
        <v>-1.068359E-2</v>
      </c>
      <c r="O5456">
        <v>-0.10285030000000001</v>
      </c>
      <c r="P5456">
        <v>0.98907929999999999</v>
      </c>
      <c r="Q5456">
        <v>0.14235610000000001</v>
      </c>
      <c r="R5456">
        <v>-3.8169809999999998E-2</v>
      </c>
      <c r="S5456">
        <v>3.0425110000000002</v>
      </c>
      <c r="T5456">
        <v>-9.026468E-2</v>
      </c>
      <c r="U5456">
        <v>-0.1085815</v>
      </c>
      <c r="V5456">
        <v>-6.4599719999999999E-2</v>
      </c>
      <c r="W5456">
        <v>0.15255050000000001</v>
      </c>
      <c r="X5456">
        <v>0.98618220000000001</v>
      </c>
      <c r="Y5456">
        <v>-6.7255990000000002E-2</v>
      </c>
      <c r="Z5456">
        <v>3.3005819999999998E-3</v>
      </c>
      <c r="AA5456">
        <v>0.99773029999999996</v>
      </c>
      <c r="AB5456">
        <v>29</v>
      </c>
      <c r="AC5456">
        <v>37.330800000000004</v>
      </c>
      <c r="AD5456">
        <v>-1.112024228286</v>
      </c>
      <c r="AE5456">
        <v>-1.3231499999999901</v>
      </c>
      <c r="AF5456">
        <v>-2.5213357962981</v>
      </c>
      <c r="AG5456">
        <v>-1.112024228286</v>
      </c>
      <c r="AH5456">
        <v>37.2359008010107</v>
      </c>
      <c r="AI5456">
        <v>91.706684337516407</v>
      </c>
      <c r="AJ5456">
        <v>93.873727157868899</v>
      </c>
      <c r="AK5456">
        <v>37.337729450847696</v>
      </c>
      <c r="AL5456">
        <v>81.225239676699999</v>
      </c>
      <c r="AM5456">
        <v>93.747797275298396</v>
      </c>
      <c r="AN5456">
        <v>1.0000000552355801</v>
      </c>
    </row>
    <row r="5457" spans="1:40" x14ac:dyDescent="0.25">
      <c r="A5457" t="str">
        <f>"20190304155744221"</f>
        <v>20190304155744221</v>
      </c>
      <c r="B5457" t="str">
        <f>"1551686264210550"</f>
        <v>1551686264210550</v>
      </c>
      <c r="C5457" t="s">
        <v>40</v>
      </c>
      <c r="D5457">
        <v>4.593242</v>
      </c>
      <c r="E5457">
        <v>0.49908950000000002</v>
      </c>
      <c r="F5457" t="s">
        <v>41</v>
      </c>
      <c r="G5457">
        <v>-358.94880000000001</v>
      </c>
      <c r="H5457" s="1">
        <v>-9.5086239999999995E-7</v>
      </c>
      <c r="I5457">
        <v>17.334700000000002</v>
      </c>
      <c r="J5457">
        <v>-395.32979999999998</v>
      </c>
      <c r="K5457">
        <v>1.1119509999999999</v>
      </c>
      <c r="L5457">
        <v>18.62921</v>
      </c>
      <c r="M5457">
        <v>0.99477649999999995</v>
      </c>
      <c r="N5457">
        <v>-1.0658839999999999E-2</v>
      </c>
      <c r="O5457">
        <v>-0.10152070000000001</v>
      </c>
      <c r="P5457">
        <v>0.98919049999999997</v>
      </c>
      <c r="Q5457">
        <v>0.14164879999999999</v>
      </c>
      <c r="R5457">
        <v>-3.7924190000000003E-2</v>
      </c>
      <c r="S5457">
        <v>3.0422669999999998</v>
      </c>
      <c r="T5457">
        <v>-9.2617749999999999E-2</v>
      </c>
      <c r="U5457">
        <v>-0.1089478</v>
      </c>
      <c r="V5457">
        <v>-6.3506339999999994E-2</v>
      </c>
      <c r="W5457">
        <v>0.15183650000000001</v>
      </c>
      <c r="X5457">
        <v>0.9863634</v>
      </c>
      <c r="Y5457">
        <v>-6.5797149999999999E-2</v>
      </c>
      <c r="Z5457">
        <v>3.3519399999999999E-3</v>
      </c>
      <c r="AA5457">
        <v>0.99782740000000003</v>
      </c>
      <c r="AB5457">
        <v>29</v>
      </c>
      <c r="AC5457">
        <v>36.380999999999901</v>
      </c>
      <c r="AD5457">
        <v>-1.1119519508623901</v>
      </c>
      <c r="AE5457">
        <v>-1.2945099999999901</v>
      </c>
      <c r="AF5457">
        <v>-2.4035702199528499</v>
      </c>
      <c r="AG5457">
        <v>-1.1119519508623901</v>
      </c>
      <c r="AH5457">
        <v>36.290582104405701</v>
      </c>
      <c r="AI5457">
        <v>91.751172823567302</v>
      </c>
      <c r="AJ5457">
        <v>93.7892363454975</v>
      </c>
      <c r="AK5457">
        <v>36.387084747474397</v>
      </c>
      <c r="AL5457">
        <v>81.266631148781698</v>
      </c>
      <c r="AM5457">
        <v>93.683865311761807</v>
      </c>
      <c r="AN5457">
        <v>1.0000000674059999</v>
      </c>
    </row>
    <row r="5458" spans="1:40" x14ac:dyDescent="0.25">
      <c r="A5458" t="str">
        <f>"20190304155744241"</f>
        <v>20190304155744241</v>
      </c>
      <c r="B5458" t="str">
        <f>"1551686264230069"</f>
        <v>1551686264230069</v>
      </c>
      <c r="C5458" t="s">
        <v>40</v>
      </c>
      <c r="D5458">
        <v>4.5992749999999996</v>
      </c>
      <c r="E5458">
        <v>0.49920940000000003</v>
      </c>
      <c r="F5458" t="s">
        <v>41</v>
      </c>
      <c r="G5458">
        <v>-359.15820000000002</v>
      </c>
      <c r="H5458" s="1">
        <v>-8.7685429999999995E-7</v>
      </c>
      <c r="I5458">
        <v>17.344929999999898</v>
      </c>
      <c r="J5458">
        <v>-395.07159999999999</v>
      </c>
      <c r="K5458">
        <v>1.1118239999999999</v>
      </c>
      <c r="L5458">
        <v>18.605350000000001</v>
      </c>
      <c r="M5458">
        <v>0.99500480000000002</v>
      </c>
      <c r="N5458">
        <v>-1.0617949999999999E-2</v>
      </c>
      <c r="O5458">
        <v>-9.9261139999999998E-2</v>
      </c>
      <c r="P5458">
        <v>0.98922220000000005</v>
      </c>
      <c r="Q5458">
        <v>0.14146199999999901</v>
      </c>
      <c r="R5458">
        <v>-3.7789089999999997E-2</v>
      </c>
      <c r="S5458">
        <v>3.0420530000000001</v>
      </c>
      <c r="T5458">
        <v>-9.3515870000000001E-2</v>
      </c>
      <c r="U5458">
        <v>-0.10800170000000001</v>
      </c>
      <c r="V5458">
        <v>-6.1355359999999998E-2</v>
      </c>
      <c r="W5458">
        <v>0.15164</v>
      </c>
      <c r="X5458">
        <v>0.98652969999999895</v>
      </c>
      <c r="Y5458">
        <v>-6.3838530000000004E-2</v>
      </c>
      <c r="Z5458">
        <v>3.3091710000000001E-3</v>
      </c>
      <c r="AA5458">
        <v>0.99795469999999997</v>
      </c>
      <c r="AB5458">
        <v>29</v>
      </c>
      <c r="AC5458">
        <v>35.913399999999903</v>
      </c>
      <c r="AD5458">
        <v>-1.1118248768543</v>
      </c>
      <c r="AE5458">
        <v>-1.2604200000000001</v>
      </c>
      <c r="AF5458">
        <v>-2.3086013558140501</v>
      </c>
      <c r="AG5458">
        <v>-1.1118248768543</v>
      </c>
      <c r="AH5458">
        <v>35.826841253479998</v>
      </c>
      <c r="AI5458">
        <v>91.773829768038894</v>
      </c>
      <c r="AJ5458">
        <v>93.6869142938571</v>
      </c>
      <c r="AK5458">
        <v>35.918356713231098</v>
      </c>
      <c r="AL5458">
        <v>81.278021152796001</v>
      </c>
      <c r="AM5458">
        <v>93.558819527257498</v>
      </c>
      <c r="AN5458">
        <v>1.0000000093914001</v>
      </c>
    </row>
    <row r="5459" spans="1:40" x14ac:dyDescent="0.25">
      <c r="A5459" t="str">
        <f>"20190304155744256"</f>
        <v>20190304155744256</v>
      </c>
      <c r="B5459" t="str">
        <f>"1551686264250566"</f>
        <v>1551686264250566</v>
      </c>
      <c r="C5459" t="s">
        <v>40</v>
      </c>
      <c r="D5459">
        <v>4.6432909999999996</v>
      </c>
      <c r="E5459">
        <v>0.49932320000000002</v>
      </c>
      <c r="F5459" t="s">
        <v>41</v>
      </c>
      <c r="G5459">
        <v>-358.2611</v>
      </c>
      <c r="H5459" s="1">
        <v>-1.19289E-6</v>
      </c>
      <c r="I5459">
        <v>17.304500000000001</v>
      </c>
      <c r="J5459">
        <v>-394.87329999999997</v>
      </c>
      <c r="K5459">
        <v>1.1117349999999999</v>
      </c>
      <c r="L5459">
        <v>18.587309999999999</v>
      </c>
      <c r="M5459">
        <v>0.99516749999999998</v>
      </c>
      <c r="N5459">
        <v>-1.058942E-2</v>
      </c>
      <c r="O5459">
        <v>-9.76186E-2</v>
      </c>
      <c r="P5459">
        <v>0.98927240000000005</v>
      </c>
      <c r="Q5459">
        <v>0.1413932</v>
      </c>
      <c r="R5459">
        <v>-3.6717310000000003E-2</v>
      </c>
      <c r="S5459">
        <v>3.041687</v>
      </c>
      <c r="T5459">
        <v>-9.1871380000000002E-2</v>
      </c>
      <c r="U5459">
        <v>-0.10748290000000001</v>
      </c>
      <c r="V5459">
        <v>-6.0761969999999998E-2</v>
      </c>
      <c r="W5459">
        <v>0.15155940000000001</v>
      </c>
      <c r="X5459">
        <v>0.98657879999999998</v>
      </c>
      <c r="Y5459">
        <v>-6.2360359999999997E-2</v>
      </c>
      <c r="Z5459">
        <v>3.1787859999999999E-3</v>
      </c>
      <c r="AA5459">
        <v>0.99804870000000001</v>
      </c>
      <c r="AB5459">
        <v>29</v>
      </c>
      <c r="AC5459">
        <v>36.612199999999902</v>
      </c>
      <c r="AD5459">
        <v>-1.11173619288999</v>
      </c>
      <c r="AE5459">
        <v>-1.28281</v>
      </c>
      <c r="AF5459">
        <v>-2.2954359478480502</v>
      </c>
      <c r="AG5459">
        <v>-1.11173619288999</v>
      </c>
      <c r="AH5459">
        <v>36.528909918899302</v>
      </c>
      <c r="AI5459">
        <v>91.739796248128499</v>
      </c>
      <c r="AJ5459">
        <v>93.595675061233905</v>
      </c>
      <c r="AK5459">
        <v>36.617840507276199</v>
      </c>
      <c r="AL5459">
        <v>81.282693097939003</v>
      </c>
      <c r="AM5459">
        <v>93.524313107066405</v>
      </c>
      <c r="AN5459">
        <v>0.99999999866804001</v>
      </c>
    </row>
    <row r="5460" spans="1:40" x14ac:dyDescent="0.25">
      <c r="A5460" t="str">
        <f>"20190304155744273"</f>
        <v>20190304155744273</v>
      </c>
      <c r="B5460" t="str">
        <f>"1551686264270086"</f>
        <v>1551686264270086</v>
      </c>
      <c r="C5460" t="s">
        <v>40</v>
      </c>
      <c r="D5460">
        <v>4.6607949999999896</v>
      </c>
      <c r="E5460">
        <v>0.4994403</v>
      </c>
      <c r="F5460" t="s">
        <v>41</v>
      </c>
      <c r="G5460">
        <v>-357.03620000000001</v>
      </c>
      <c r="H5460" s="1">
        <v>-1.6677580000000001E-6</v>
      </c>
      <c r="I5460">
        <v>17.282329999999899</v>
      </c>
      <c r="J5460">
        <v>-394.64859999999999</v>
      </c>
      <c r="K5460">
        <v>1.111637</v>
      </c>
      <c r="L5460">
        <v>18.5672</v>
      </c>
      <c r="M5460">
        <v>0.99534020000000001</v>
      </c>
      <c r="N5460">
        <v>-1.056003E-2</v>
      </c>
      <c r="O5460">
        <v>-9.5846810000000005E-2</v>
      </c>
      <c r="P5460">
        <v>0.98928559999999999</v>
      </c>
      <c r="Q5460">
        <v>0.1414928</v>
      </c>
      <c r="R5460">
        <v>-3.5976130000000002E-2</v>
      </c>
      <c r="S5460">
        <v>3.041382</v>
      </c>
      <c r="T5460">
        <v>-8.9362620000000004E-2</v>
      </c>
      <c r="U5460">
        <v>-0.10488889999999999</v>
      </c>
      <c r="V5460">
        <v>-5.9705920000000003E-2</v>
      </c>
      <c r="W5460">
        <v>0.15164939999999999</v>
      </c>
      <c r="X5460">
        <v>0.98662939999999999</v>
      </c>
      <c r="Y5460">
        <v>-6.1434330000000002E-2</v>
      </c>
      <c r="Z5460">
        <v>3.0236730000000002E-3</v>
      </c>
      <c r="AA5460">
        <v>0.99810650000000001</v>
      </c>
      <c r="AB5460">
        <v>29</v>
      </c>
      <c r="AC5460">
        <v>37.612399999999901</v>
      </c>
      <c r="AD5460">
        <v>-1.1116386677579999</v>
      </c>
      <c r="AE5460">
        <v>-1.28487</v>
      </c>
      <c r="AF5460">
        <v>-2.3242473514201101</v>
      </c>
      <c r="AG5460">
        <v>-1.1116386677579999</v>
      </c>
      <c r="AH5460">
        <v>37.5296302754629</v>
      </c>
      <c r="AI5460">
        <v>91.693379311989503</v>
      </c>
      <c r="AJ5460">
        <v>93.543858507283005</v>
      </c>
      <c r="AK5460">
        <v>37.617961333532897</v>
      </c>
      <c r="AL5460">
        <v>81.277475794351403</v>
      </c>
      <c r="AM5460">
        <v>93.463033357744706</v>
      </c>
      <c r="AN5460">
        <v>0.99999995517388196</v>
      </c>
    </row>
    <row r="5461" spans="1:40" x14ac:dyDescent="0.25">
      <c r="A5461" t="str">
        <f>"20190304155744286"</f>
        <v>20190304155744286</v>
      </c>
      <c r="B5461" t="str">
        <f>"1551686264279846"</f>
        <v>1551686264279846</v>
      </c>
      <c r="C5461" t="s">
        <v>40</v>
      </c>
      <c r="D5461">
        <v>4.6428250000000002</v>
      </c>
      <c r="E5461">
        <v>0.49950600000000001</v>
      </c>
      <c r="F5461" t="s">
        <v>41</v>
      </c>
      <c r="G5461">
        <v>-355.7466</v>
      </c>
      <c r="H5461" s="1">
        <v>-2.2275840000000001E-6</v>
      </c>
      <c r="I5461">
        <v>17.24531</v>
      </c>
      <c r="J5461">
        <v>-394.47449999999998</v>
      </c>
      <c r="K5461">
        <v>1.1115619999999999</v>
      </c>
      <c r="L5461">
        <v>18.551819999999999</v>
      </c>
      <c r="M5461">
        <v>0.99546559999999995</v>
      </c>
      <c r="N5461">
        <v>-1.053929E-2</v>
      </c>
      <c r="O5461">
        <v>-9.4537170000000004E-2</v>
      </c>
      <c r="P5461">
        <v>0.98938409999999999</v>
      </c>
      <c r="Q5461">
        <v>0.14107410000000001</v>
      </c>
      <c r="R5461">
        <v>-3.4888870000000002E-2</v>
      </c>
      <c r="S5461">
        <v>3.0411990000000002</v>
      </c>
      <c r="T5461">
        <v>-8.6903330000000001E-2</v>
      </c>
      <c r="U5461">
        <v>-0.10333249999999999</v>
      </c>
      <c r="V5461">
        <v>-5.9468960000000001E-2</v>
      </c>
      <c r="W5461">
        <v>0.1512233</v>
      </c>
      <c r="X5461">
        <v>0.98670919999999895</v>
      </c>
      <c r="Y5461">
        <v>-6.0632970000000001E-2</v>
      </c>
      <c r="Z5461">
        <v>2.884087E-3</v>
      </c>
      <c r="AA5461">
        <v>0.99815600000000004</v>
      </c>
      <c r="AB5461">
        <v>29</v>
      </c>
      <c r="AC5461">
        <v>38.727899999999899</v>
      </c>
      <c r="AD5461">
        <v>-1.1115642275839901</v>
      </c>
      <c r="AE5461">
        <v>-1.3065100000000001</v>
      </c>
      <c r="AF5461">
        <v>-2.3588302945449602</v>
      </c>
      <c r="AG5461">
        <v>-1.1115642275839901</v>
      </c>
      <c r="AH5461">
        <v>38.646151466212103</v>
      </c>
      <c r="AI5461">
        <v>91.644463337274601</v>
      </c>
      <c r="AJ5461">
        <v>93.492807327059793</v>
      </c>
      <c r="AK5461">
        <v>38.7340248172058</v>
      </c>
      <c r="AL5461">
        <v>81.302175158894201</v>
      </c>
      <c r="AM5461">
        <v>93.449044280431593</v>
      </c>
      <c r="AN5461">
        <v>1.0000000445155</v>
      </c>
    </row>
    <row r="5462" spans="1:40" x14ac:dyDescent="0.25">
      <c r="A5462" t="str">
        <f>"20190304155744298"</f>
        <v>20190304155744298</v>
      </c>
      <c r="B5462" t="str">
        <f>"1551686264290582"</f>
        <v>1551686264290582</v>
      </c>
      <c r="C5462" t="s">
        <v>40</v>
      </c>
      <c r="D5462">
        <v>4.7922779999999996</v>
      </c>
      <c r="E5462">
        <v>0.49920999999999999</v>
      </c>
      <c r="F5462" t="s">
        <v>41</v>
      </c>
      <c r="G5462">
        <v>-355.70760000000001</v>
      </c>
      <c r="H5462" s="1">
        <v>-2.2393910000000001E-6</v>
      </c>
      <c r="I5462">
        <v>17.27299</v>
      </c>
      <c r="J5462">
        <v>-394.32670000000002</v>
      </c>
      <c r="K5462">
        <v>1.111502</v>
      </c>
      <c r="L5462">
        <v>18.538910000000001</v>
      </c>
      <c r="M5462">
        <v>0.99556639999999996</v>
      </c>
      <c r="N5462">
        <v>-1.0523299999999999E-2</v>
      </c>
      <c r="O5462">
        <v>-9.3470529999999996E-2</v>
      </c>
      <c r="P5462">
        <v>0.98946239999999996</v>
      </c>
      <c r="Q5462">
        <v>0.1406665</v>
      </c>
      <c r="R5462">
        <v>-3.4307869999999997E-2</v>
      </c>
      <c r="S5462">
        <v>3.041077</v>
      </c>
      <c r="T5462">
        <v>-8.7196830000000003E-2</v>
      </c>
      <c r="U5462">
        <v>-0.10031130000000001</v>
      </c>
      <c r="V5462">
        <v>-5.8971629999999997E-2</v>
      </c>
      <c r="W5462">
        <v>0.1508109</v>
      </c>
      <c r="X5462">
        <v>0.98680210000000002</v>
      </c>
      <c r="Y5462">
        <v>-6.0552509999999997E-2</v>
      </c>
      <c r="Z5462">
        <v>2.8766130000000001E-3</v>
      </c>
      <c r="AA5462">
        <v>0.99816079999999996</v>
      </c>
      <c r="AB5462">
        <v>29</v>
      </c>
      <c r="AC5462">
        <v>38.619100000000003</v>
      </c>
      <c r="AD5462">
        <v>-1.111504239391</v>
      </c>
      <c r="AE5462">
        <v>-1.2659199999999999</v>
      </c>
      <c r="AF5462">
        <v>-2.3476279131197102</v>
      </c>
      <c r="AG5462">
        <v>-1.111504239391</v>
      </c>
      <c r="AH5462">
        <v>38.536453671519702</v>
      </c>
      <c r="AI5462">
        <v>91.649064641370799</v>
      </c>
      <c r="AJ5462">
        <v>93.486131466666095</v>
      </c>
      <c r="AK5462">
        <v>38.623892347481302</v>
      </c>
      <c r="AL5462">
        <v>81.326077535542794</v>
      </c>
      <c r="AM5462">
        <v>93.419947973602902</v>
      </c>
      <c r="AN5462">
        <v>0.999999982634038</v>
      </c>
    </row>
    <row r="5463" spans="1:40" x14ac:dyDescent="0.25">
      <c r="A5463" t="str">
        <f>"20190304155744310"</f>
        <v>20190304155744310</v>
      </c>
      <c r="B5463" t="str">
        <f>"1551686264300342"</f>
        <v>1551686264300342</v>
      </c>
      <c r="C5463" t="s">
        <v>40</v>
      </c>
      <c r="D5463">
        <v>4.7673959999999997</v>
      </c>
      <c r="E5463">
        <v>0.49899579999999999</v>
      </c>
      <c r="F5463" t="s">
        <v>41</v>
      </c>
      <c r="G5463">
        <v>-356.09089999999998</v>
      </c>
      <c r="H5463" s="1">
        <v>-2.0645369999999998E-6</v>
      </c>
      <c r="I5463">
        <v>17.33175</v>
      </c>
      <c r="J5463">
        <v>-394.17840000000001</v>
      </c>
      <c r="K5463">
        <v>1.11144</v>
      </c>
      <c r="L5463">
        <v>18.526029999999999</v>
      </c>
      <c r="M5463">
        <v>0.99566500000000002</v>
      </c>
      <c r="N5463">
        <v>-1.050792E-2</v>
      </c>
      <c r="O5463">
        <v>-9.2417840000000001E-2</v>
      </c>
      <c r="P5463">
        <v>0.98954759999999997</v>
      </c>
      <c r="Q5463">
        <v>0.14030100000000001</v>
      </c>
      <c r="R5463">
        <v>-3.334082E-2</v>
      </c>
      <c r="S5463">
        <v>3.0411990000000002</v>
      </c>
      <c r="T5463">
        <v>-8.840692E-2</v>
      </c>
      <c r="U5463">
        <v>-9.6008300000000005E-2</v>
      </c>
      <c r="V5463">
        <v>-5.887477E-2</v>
      </c>
      <c r="W5463">
        <v>0.15043989999999999</v>
      </c>
      <c r="X5463">
        <v>0.98686450000000003</v>
      </c>
      <c r="Y5463">
        <v>-6.0907700000000002E-2</v>
      </c>
      <c r="Z5463">
        <v>2.9143680000000001E-3</v>
      </c>
      <c r="AA5463">
        <v>0.99813909999999995</v>
      </c>
      <c r="AB5463">
        <v>29</v>
      </c>
      <c r="AC5463">
        <v>38.087499999999999</v>
      </c>
      <c r="AD5463">
        <v>-1.111442064537</v>
      </c>
      <c r="AE5463">
        <v>-1.19427999999999</v>
      </c>
      <c r="AF5463">
        <v>-2.3290087555126302</v>
      </c>
      <c r="AG5463">
        <v>-1.111442064537</v>
      </c>
      <c r="AH5463">
        <v>38.002529144060603</v>
      </c>
      <c r="AI5463">
        <v>91.672089741583306</v>
      </c>
      <c r="AJ5463">
        <v>93.507021348003306</v>
      </c>
      <c r="AK5463">
        <v>38.0900486556693</v>
      </c>
      <c r="AL5463">
        <v>81.347579493833607</v>
      </c>
      <c r="AM5463">
        <v>93.414128681006503</v>
      </c>
      <c r="AN5463">
        <v>0.99999997170740595</v>
      </c>
    </row>
    <row r="5464" spans="1:40" x14ac:dyDescent="0.25">
      <c r="A5464" t="str">
        <f>"20190304155744328"</f>
        <v>20190304155744328</v>
      </c>
      <c r="B5464" t="str">
        <f>"1551686264319864"</f>
        <v>1551686264319864</v>
      </c>
      <c r="C5464" t="s">
        <v>40</v>
      </c>
      <c r="D5464">
        <v>4.7824519999999904</v>
      </c>
      <c r="E5464">
        <v>0.49864310000000001</v>
      </c>
      <c r="F5464" t="s">
        <v>41</v>
      </c>
      <c r="G5464">
        <v>-356.42540000000002</v>
      </c>
      <c r="H5464" s="1">
        <v>-1.9105670000000001E-6</v>
      </c>
      <c r="I5464">
        <v>17.390609999999999</v>
      </c>
      <c r="J5464">
        <v>-393.93729999999999</v>
      </c>
      <c r="K5464">
        <v>1.1113459999999999</v>
      </c>
      <c r="L5464">
        <v>18.50543</v>
      </c>
      <c r="M5464">
        <v>0.99581249999999999</v>
      </c>
      <c r="N5464">
        <v>-1.048578E-2</v>
      </c>
      <c r="O5464">
        <v>-9.0816939999999999E-2</v>
      </c>
      <c r="P5464">
        <v>0.9895796</v>
      </c>
      <c r="Q5464">
        <v>0.14031060000000001</v>
      </c>
      <c r="R5464">
        <v>-3.232939E-2</v>
      </c>
      <c r="S5464">
        <v>3.0413209999999999</v>
      </c>
      <c r="T5464">
        <v>-8.9536069999999995E-2</v>
      </c>
      <c r="U5464">
        <v>-9.1461180000000003E-2</v>
      </c>
      <c r="V5464">
        <v>-5.8260630000000001E-2</v>
      </c>
      <c r="W5464">
        <v>0.1504432</v>
      </c>
      <c r="X5464">
        <v>0.98690040000000001</v>
      </c>
      <c r="Y5464">
        <v>-6.0794000000000001E-2</v>
      </c>
      <c r="Z5464">
        <v>2.9288999999999999E-3</v>
      </c>
      <c r="AA5464">
        <v>0.99814610000000004</v>
      </c>
      <c r="AB5464">
        <v>29</v>
      </c>
      <c r="AC5464">
        <v>37.511899999999898</v>
      </c>
      <c r="AD5464">
        <v>-1.1113479105670001</v>
      </c>
      <c r="AE5464">
        <v>-1.1148199999999899</v>
      </c>
      <c r="AF5464">
        <v>-2.2946779776358199</v>
      </c>
      <c r="AG5464">
        <v>-1.1113479105670001</v>
      </c>
      <c r="AH5464">
        <v>37.425298601944498</v>
      </c>
      <c r="AI5464">
        <v>91.697717660566795</v>
      </c>
      <c r="AJ5464">
        <v>93.508615427306296</v>
      </c>
      <c r="AK5464">
        <v>37.512046287080601</v>
      </c>
      <c r="AL5464">
        <v>81.347387864166194</v>
      </c>
      <c r="AM5464">
        <v>93.378475218997906</v>
      </c>
      <c r="AN5464">
        <v>0.99999992847719499</v>
      </c>
    </row>
    <row r="5465" spans="1:40" x14ac:dyDescent="0.25">
      <c r="A5465" t="str">
        <f>"20190304155744340"</f>
        <v>20190304155744340</v>
      </c>
      <c r="B5465" t="str">
        <f>"1551686264330598"</f>
        <v>1551686264330598</v>
      </c>
      <c r="C5465" t="s">
        <v>40</v>
      </c>
      <c r="D5465">
        <v>4.6200479999999997</v>
      </c>
      <c r="E5465">
        <v>0.4985327</v>
      </c>
      <c r="F5465" t="s">
        <v>41</v>
      </c>
      <c r="G5465">
        <v>-356.26679999999999</v>
      </c>
      <c r="H5465" s="1">
        <v>-1.9685540000000001E-6</v>
      </c>
      <c r="I5465">
        <v>17.447410000000001</v>
      </c>
      <c r="J5465">
        <v>-393.7953</v>
      </c>
      <c r="K5465">
        <v>1.1112919999999999</v>
      </c>
      <c r="L5465">
        <v>18.493469999999999</v>
      </c>
      <c r="M5465">
        <v>0.99589320000000003</v>
      </c>
      <c r="N5465">
        <v>-1.047413E-2</v>
      </c>
      <c r="O5465">
        <v>-8.9928510000000003E-2</v>
      </c>
      <c r="P5465">
        <v>0.98955769999999998</v>
      </c>
      <c r="Q5465">
        <v>0.14058389999999901</v>
      </c>
      <c r="R5465">
        <v>-3.1815570000000001E-2</v>
      </c>
      <c r="S5465">
        <v>3.0415649999999999</v>
      </c>
      <c r="T5465">
        <v>-8.9731809999999995E-2</v>
      </c>
      <c r="U5465">
        <v>-8.54187E-2</v>
      </c>
      <c r="V5465">
        <v>-5.787043E-2</v>
      </c>
      <c r="W5465">
        <v>0.15071419999999999</v>
      </c>
      <c r="X5465">
        <v>0.98688209999999998</v>
      </c>
      <c r="Y5465">
        <v>-6.1886419999999998E-2</v>
      </c>
      <c r="Z5465">
        <v>2.94232E-3</v>
      </c>
      <c r="AA5465">
        <v>0.99807889999999999</v>
      </c>
      <c r="AB5465">
        <v>29</v>
      </c>
      <c r="AC5465">
        <v>37.528500000000001</v>
      </c>
      <c r="AD5465">
        <v>-1.111293968554</v>
      </c>
      <c r="AE5465">
        <v>-1.04606</v>
      </c>
      <c r="AF5465">
        <v>-2.3312033322921599</v>
      </c>
      <c r="AG5465">
        <v>-1.111293968554</v>
      </c>
      <c r="AH5465">
        <v>37.437699430594101</v>
      </c>
      <c r="AI5465">
        <v>91.696973575000001</v>
      </c>
      <c r="AJ5465">
        <v>93.5631430825091</v>
      </c>
      <c r="AK5465">
        <v>37.526668143022498</v>
      </c>
      <c r="AL5465">
        <v>81.331682406787095</v>
      </c>
      <c r="AM5465">
        <v>93.355961889971098</v>
      </c>
      <c r="AN5465">
        <v>1.00000001802521</v>
      </c>
    </row>
    <row r="5466" spans="1:40" x14ac:dyDescent="0.25">
      <c r="A5466" t="str">
        <f>"20190304155744352"</f>
        <v>20190304155744352</v>
      </c>
      <c r="B5466" t="str">
        <f>"1551686264340358"</f>
        <v>1551686264340358</v>
      </c>
      <c r="C5466" t="s">
        <v>40</v>
      </c>
      <c r="D5466">
        <v>4.7109529999999999</v>
      </c>
      <c r="E5466">
        <v>0.49821029999999999</v>
      </c>
      <c r="F5466" t="s">
        <v>41</v>
      </c>
      <c r="G5466">
        <v>-355.55470000000003</v>
      </c>
      <c r="H5466" s="1">
        <v>-2.2733290000000001E-6</v>
      </c>
      <c r="I5466">
        <v>17.451280000000001</v>
      </c>
      <c r="J5466">
        <v>-393.64080000000001</v>
      </c>
      <c r="K5466">
        <v>1.111235</v>
      </c>
      <c r="L5466">
        <v>18.48047</v>
      </c>
      <c r="M5466">
        <v>0.99597869999999999</v>
      </c>
      <c r="N5466">
        <v>-1.04619E-2</v>
      </c>
      <c r="O5466">
        <v>-8.8978379999999996E-2</v>
      </c>
      <c r="P5466">
        <v>0.98954799999999998</v>
      </c>
      <c r="Q5466">
        <v>0.1407784</v>
      </c>
      <c r="R5466">
        <v>-3.1247219999999999E-2</v>
      </c>
      <c r="S5466">
        <v>3.041534</v>
      </c>
      <c r="T5466">
        <v>-8.8389040000000002E-2</v>
      </c>
      <c r="U5466">
        <v>-8.2885739999999999E-2</v>
      </c>
      <c r="V5466">
        <v>-5.747203E-2</v>
      </c>
      <c r="W5466">
        <v>0.15090609999999999</v>
      </c>
      <c r="X5466">
        <v>0.98687599999999998</v>
      </c>
      <c r="Y5466">
        <v>-6.1766399999999999E-2</v>
      </c>
      <c r="Z5466">
        <v>2.8699670000000002E-3</v>
      </c>
      <c r="AA5466">
        <v>0.99808649999999999</v>
      </c>
      <c r="AB5466">
        <v>29</v>
      </c>
      <c r="AC5466">
        <v>38.086099999999902</v>
      </c>
      <c r="AD5466">
        <v>-1.1112372733289999</v>
      </c>
      <c r="AE5466">
        <v>-1.0291899999999901</v>
      </c>
      <c r="AF5466">
        <v>-2.3619081089915301</v>
      </c>
      <c r="AG5466">
        <v>-1.1112372733289999</v>
      </c>
      <c r="AH5466">
        <v>37.994277024150797</v>
      </c>
      <c r="AI5466">
        <v>91.672054367785094</v>
      </c>
      <c r="AJ5466">
        <v>93.557205379142005</v>
      </c>
      <c r="AK5466">
        <v>38.083835741438499</v>
      </c>
      <c r="AL5466">
        <v>81.320559651368001</v>
      </c>
      <c r="AM5466">
        <v>93.3329311084388</v>
      </c>
      <c r="AN5466">
        <v>0.999999962312764</v>
      </c>
    </row>
    <row r="5467" spans="1:40" x14ac:dyDescent="0.25">
      <c r="A5467" t="str">
        <f>"20190304155744363"</f>
        <v>20190304155744363</v>
      </c>
      <c r="B5467" t="str">
        <f>"1551686264359877"</f>
        <v>1551686264359877</v>
      </c>
      <c r="C5467" t="s">
        <v>40</v>
      </c>
      <c r="D5467">
        <v>4.6687349999999999</v>
      </c>
      <c r="E5467">
        <v>0.49771490000000002</v>
      </c>
      <c r="F5467" t="s">
        <v>41</v>
      </c>
      <c r="G5467">
        <v>-354.42290000000003</v>
      </c>
      <c r="H5467" s="1">
        <v>-2.7561709999999998E-6</v>
      </c>
      <c r="I5467">
        <v>17.466699999999999</v>
      </c>
      <c r="J5467">
        <v>-393.48320000000001</v>
      </c>
      <c r="K5467">
        <v>1.1111759999999999</v>
      </c>
      <c r="L5467">
        <v>18.467379999999999</v>
      </c>
      <c r="M5467">
        <v>0.99605969999999999</v>
      </c>
      <c r="N5467">
        <v>-1.045051E-2</v>
      </c>
      <c r="O5467">
        <v>-8.8068080000000007E-2</v>
      </c>
      <c r="P5467">
        <v>0.9895176</v>
      </c>
      <c r="Q5467">
        <v>0.14114470000000001</v>
      </c>
      <c r="R5467">
        <v>-3.0544869999999998E-2</v>
      </c>
      <c r="S5467">
        <v>3.0414430000000001</v>
      </c>
      <c r="T5467">
        <v>-8.6179140000000001E-2</v>
      </c>
      <c r="U5467">
        <v>-7.8613279999999994E-2</v>
      </c>
      <c r="V5467">
        <v>-5.724481E-2</v>
      </c>
      <c r="W5467">
        <v>0.15126999999999999</v>
      </c>
      <c r="X5467">
        <v>0.98683350000000003</v>
      </c>
      <c r="Y5467">
        <v>-6.2257010000000002E-2</v>
      </c>
      <c r="Z5467">
        <v>2.777243E-3</v>
      </c>
      <c r="AA5467">
        <v>0.99805630000000001</v>
      </c>
      <c r="AB5467">
        <v>29</v>
      </c>
      <c r="AC5467">
        <v>39.060299999999899</v>
      </c>
      <c r="AD5467">
        <v>-1.111178756171</v>
      </c>
      <c r="AE5467">
        <v>-1.00067999999999</v>
      </c>
      <c r="AF5467">
        <v>-2.4413874175832602</v>
      </c>
      <c r="AG5467">
        <v>-1.111178756171</v>
      </c>
      <c r="AH5467">
        <v>38.965132876250898</v>
      </c>
      <c r="AI5467">
        <v>91.630280675504494</v>
      </c>
      <c r="AJ5467">
        <v>93.5852201513474</v>
      </c>
      <c r="AK5467">
        <v>39.057351047079301</v>
      </c>
      <c r="AL5467">
        <v>81.299467644046999</v>
      </c>
      <c r="AM5467">
        <v>93.319926297853101</v>
      </c>
      <c r="AN5467">
        <v>0.99999996894709198</v>
      </c>
    </row>
    <row r="5468" spans="1:40" x14ac:dyDescent="0.25">
      <c r="A5468" t="str">
        <f>"20190304155744375"</f>
        <v>20190304155744375</v>
      </c>
      <c r="B5468" t="str">
        <f>"1551686264370614"</f>
        <v>1551686264370614</v>
      </c>
      <c r="C5468" t="s">
        <v>40</v>
      </c>
      <c r="D5468">
        <v>4.665419</v>
      </c>
      <c r="E5468">
        <v>0.4974886</v>
      </c>
      <c r="F5468" t="s">
        <v>41</v>
      </c>
      <c r="G5468">
        <v>-351.51440000000002</v>
      </c>
      <c r="H5468" s="1">
        <v>-4.0040499999999901E-6</v>
      </c>
      <c r="I5468">
        <v>17.46575</v>
      </c>
      <c r="J5468">
        <v>-393.3329</v>
      </c>
      <c r="K5468">
        <v>1.1111230000000001</v>
      </c>
      <c r="L5468">
        <v>18.454989999999999</v>
      </c>
      <c r="M5468">
        <v>0.99613359999999995</v>
      </c>
      <c r="N5468">
        <v>-1.0440369999999999E-2</v>
      </c>
      <c r="O5468">
        <v>-8.7228100000000003E-2</v>
      </c>
      <c r="P5468">
        <v>0.98950610000000006</v>
      </c>
      <c r="Q5468">
        <v>0.14128450000000001</v>
      </c>
      <c r="R5468">
        <v>-3.026821E-2</v>
      </c>
      <c r="S5468">
        <v>3.0410159999999999</v>
      </c>
      <c r="T5468">
        <v>-8.0515149999999994E-2</v>
      </c>
      <c r="U5468">
        <v>-7.2570800000000005E-2</v>
      </c>
      <c r="V5468">
        <v>-5.6665739999999999E-2</v>
      </c>
      <c r="W5468">
        <v>0.15140899999999999</v>
      </c>
      <c r="X5468">
        <v>0.98684559999999999</v>
      </c>
      <c r="Y5468">
        <v>-6.339968E-2</v>
      </c>
      <c r="Z5468">
        <v>2.564476E-3</v>
      </c>
      <c r="AA5468">
        <v>0.99798489999999995</v>
      </c>
      <c r="AB5468">
        <v>29</v>
      </c>
      <c r="AC5468">
        <v>41.818499999999901</v>
      </c>
      <c r="AD5468">
        <v>-1.1111270040500001</v>
      </c>
      <c r="AE5468">
        <v>-0.98923999999999801</v>
      </c>
      <c r="AF5468">
        <v>-2.66060107975661</v>
      </c>
      <c r="AG5468">
        <v>-1.1111270040500001</v>
      </c>
      <c r="AH5468">
        <v>41.715945924419302</v>
      </c>
      <c r="AI5468">
        <v>91.522651348777998</v>
      </c>
      <c r="AJ5468">
        <v>93.649324362346803</v>
      </c>
      <c r="AK5468">
        <v>41.815470171861101</v>
      </c>
      <c r="AL5468">
        <v>81.291410693285101</v>
      </c>
      <c r="AM5468">
        <v>93.286376775246296</v>
      </c>
      <c r="AN5468">
        <v>0.99999996480505304</v>
      </c>
    </row>
    <row r="5469" spans="1:40" x14ac:dyDescent="0.25">
      <c r="A5469" t="str">
        <f>"20190304155744387"</f>
        <v>20190304155744387</v>
      </c>
      <c r="B5469" t="str">
        <f>"1551686264380374"</f>
        <v>1551686264380374</v>
      </c>
      <c r="C5469" t="s">
        <v>40</v>
      </c>
      <c r="D5469">
        <v>4.6552239999999996</v>
      </c>
      <c r="E5469">
        <v>0.49730380000000002</v>
      </c>
      <c r="F5469" t="s">
        <v>41</v>
      </c>
      <c r="G5469">
        <v>-350.14319999999998</v>
      </c>
      <c r="H5469" s="1">
        <v>-4.5935269999999998E-6</v>
      </c>
      <c r="I5469">
        <v>17.458839999999999</v>
      </c>
      <c r="J5469">
        <v>-393.17160000000001</v>
      </c>
      <c r="K5469">
        <v>1.111067</v>
      </c>
      <c r="L5469">
        <v>18.441739999999999</v>
      </c>
      <c r="M5469">
        <v>0.99620969999999998</v>
      </c>
      <c r="N5469">
        <v>-1.043031E-2</v>
      </c>
      <c r="O5469">
        <v>-8.6358329999999997E-2</v>
      </c>
      <c r="P5469">
        <v>0.98954699999999995</v>
      </c>
      <c r="Q5469">
        <v>0.14122190000000001</v>
      </c>
      <c r="R5469">
        <v>-2.9213469999999998E-2</v>
      </c>
      <c r="S5469">
        <v>3.0408330000000001</v>
      </c>
      <c r="T5469">
        <v>-7.8230499999999994E-2</v>
      </c>
      <c r="U5469">
        <v>-7.012939E-2</v>
      </c>
      <c r="V5469">
        <v>-5.6836190000000002E-2</v>
      </c>
      <c r="W5469">
        <v>0.15134349999999999</v>
      </c>
      <c r="X5469">
        <v>0.98684590000000005</v>
      </c>
      <c r="Y5469">
        <v>-6.3330339999999999E-2</v>
      </c>
      <c r="Z5469">
        <v>2.461595E-3</v>
      </c>
      <c r="AA5469">
        <v>0.99798960000000003</v>
      </c>
      <c r="AB5469">
        <v>29</v>
      </c>
      <c r="AC5469">
        <v>43.028399999999998</v>
      </c>
      <c r="AD5469">
        <v>-1.1110715935269999</v>
      </c>
      <c r="AE5469">
        <v>-0.9829</v>
      </c>
      <c r="AF5469">
        <v>-2.7350120290738</v>
      </c>
      <c r="AG5469">
        <v>-1.1110715935269999</v>
      </c>
      <c r="AH5469">
        <v>42.923915406791401</v>
      </c>
      <c r="AI5469">
        <v>91.479752053348406</v>
      </c>
      <c r="AJ5469">
        <v>93.645825158680395</v>
      </c>
      <c r="AK5469">
        <v>43.025309815671299</v>
      </c>
      <c r="AL5469">
        <v>81.295207793150894</v>
      </c>
      <c r="AM5469">
        <v>93.296239400108703</v>
      </c>
      <c r="AN5469">
        <v>1.00000001891638</v>
      </c>
    </row>
    <row r="5470" spans="1:40" x14ac:dyDescent="0.25">
      <c r="A5470" t="str">
        <f>"20190304155744399"</f>
        <v>20190304155744399</v>
      </c>
      <c r="B5470" t="str">
        <f>"1551686264390135"</f>
        <v>1551686264390135</v>
      </c>
      <c r="C5470" t="s">
        <v>40</v>
      </c>
      <c r="D5470">
        <v>4.6605179999999997</v>
      </c>
      <c r="E5470">
        <v>0.49710939999999998</v>
      </c>
      <c r="F5470" t="s">
        <v>41</v>
      </c>
      <c r="G5470">
        <v>-349.08550000000002</v>
      </c>
      <c r="H5470" s="1">
        <v>-8.6257520000000004E-7</v>
      </c>
      <c r="I5470">
        <v>17.491679999999999</v>
      </c>
      <c r="J5470">
        <v>-393.0256</v>
      </c>
      <c r="K5470">
        <v>1.111013</v>
      </c>
      <c r="L5470">
        <v>18.4299</v>
      </c>
      <c r="M5470">
        <v>0.99627379999999999</v>
      </c>
      <c r="N5470">
        <v>-1.042214E-2</v>
      </c>
      <c r="O5470">
        <v>-8.5615830000000004E-2</v>
      </c>
      <c r="P5470">
        <v>0.98949120000000002</v>
      </c>
      <c r="Q5470">
        <v>0.1417147</v>
      </c>
      <c r="R5470">
        <v>-2.8707340000000001E-2</v>
      </c>
      <c r="S5470">
        <v>3.04068</v>
      </c>
      <c r="T5470">
        <v>-7.6631900000000003E-2</v>
      </c>
      <c r="U5470">
        <v>-6.5521239999999994E-2</v>
      </c>
      <c r="V5470">
        <v>-5.6582E-2</v>
      </c>
      <c r="W5470">
        <v>0.15183559999999999</v>
      </c>
      <c r="X5470">
        <v>0.98678489999999996</v>
      </c>
      <c r="Y5470">
        <v>-6.4098470000000005E-2</v>
      </c>
      <c r="Z5470">
        <v>2.4031059999999999E-3</v>
      </c>
      <c r="AA5470">
        <v>0.99794070000000001</v>
      </c>
      <c r="AB5470">
        <v>29</v>
      </c>
      <c r="AC5470">
        <v>43.940099999999902</v>
      </c>
      <c r="AD5470">
        <v>-1.1110138625752</v>
      </c>
      <c r="AE5470">
        <v>-0.93822000000000105</v>
      </c>
      <c r="AF5470">
        <v>-2.8255918117407601</v>
      </c>
      <c r="AG5470">
        <v>-1.1110138625752</v>
      </c>
      <c r="AH5470">
        <v>43.831065882799798</v>
      </c>
      <c r="AI5470">
        <v>91.448995131562299</v>
      </c>
      <c r="AJ5470">
        <v>93.688497476065905</v>
      </c>
      <c r="AK5470">
        <v>43.936097429240903</v>
      </c>
      <c r="AL5470">
        <v>81.266682775081506</v>
      </c>
      <c r="AM5470">
        <v>93.281732240905896</v>
      </c>
      <c r="AN5470">
        <v>1.00000000550968</v>
      </c>
    </row>
    <row r="5471" spans="1:40" x14ac:dyDescent="0.25">
      <c r="A5471" t="str">
        <f>"20190304155744418"</f>
        <v>20190304155744418</v>
      </c>
      <c r="B5471" t="str">
        <f>"1551686264410630"</f>
        <v>1551686264410630</v>
      </c>
      <c r="C5471" t="s">
        <v>40</v>
      </c>
      <c r="D5471">
        <v>4.6354670000000002</v>
      </c>
      <c r="E5471">
        <v>0.4967645</v>
      </c>
      <c r="F5471" t="s">
        <v>41</v>
      </c>
      <c r="G5471">
        <v>-346.88080000000002</v>
      </c>
      <c r="H5471" s="1">
        <v>-1.6997400000000001E-6</v>
      </c>
      <c r="I5471">
        <v>17.47805</v>
      </c>
      <c r="J5471">
        <v>-392.77499999999998</v>
      </c>
      <c r="K5471">
        <v>1.1109279999999999</v>
      </c>
      <c r="L5471">
        <v>18.40973</v>
      </c>
      <c r="M5471">
        <v>0.99637779999999998</v>
      </c>
      <c r="N5471">
        <v>-1.040935E-2</v>
      </c>
      <c r="O5471">
        <v>-8.4398570000000006E-2</v>
      </c>
      <c r="P5471">
        <v>0.98953679999999999</v>
      </c>
      <c r="Q5471">
        <v>0.14152429999999999</v>
      </c>
      <c r="R5471">
        <v>-2.806788E-2</v>
      </c>
      <c r="S5471">
        <v>3.0405579999999999</v>
      </c>
      <c r="T5471">
        <v>-7.3206540000000001E-2</v>
      </c>
      <c r="U5471">
        <v>-6.2713619999999998E-2</v>
      </c>
      <c r="V5471">
        <v>-5.5984640000000002E-2</v>
      </c>
      <c r="W5471">
        <v>0.15164610000000001</v>
      </c>
      <c r="X5471">
        <v>0.98684810000000001</v>
      </c>
      <c r="Y5471">
        <v>-6.3803180000000001E-2</v>
      </c>
      <c r="Z5471">
        <v>2.2499809999999999E-3</v>
      </c>
      <c r="AA5471">
        <v>0.99795999999999996</v>
      </c>
      <c r="AB5471">
        <v>29</v>
      </c>
      <c r="AC5471">
        <v>45.894199999999898</v>
      </c>
      <c r="AD5471">
        <v>-1.11092969974</v>
      </c>
      <c r="AE5471">
        <v>-0.93167999999999995</v>
      </c>
      <c r="AF5471">
        <v>-2.94353482627317</v>
      </c>
      <c r="AG5471">
        <v>-1.11092969974</v>
      </c>
      <c r="AH5471">
        <v>45.782257057390098</v>
      </c>
      <c r="AI5471">
        <v>91.387175345476294</v>
      </c>
      <c r="AJ5471">
        <v>93.678724455026099</v>
      </c>
      <c r="AK5471">
        <v>45.890234509535802</v>
      </c>
      <c r="AL5471">
        <v>81.2776674417876</v>
      </c>
      <c r="AM5471">
        <v>93.246952635393896</v>
      </c>
      <c r="AN5471">
        <v>0.99999999601737399</v>
      </c>
    </row>
    <row r="5472" spans="1:40" x14ac:dyDescent="0.25">
      <c r="A5472" t="str">
        <f>"20190304155744433"</f>
        <v>20190304155744433</v>
      </c>
      <c r="B5472" t="str">
        <f>"1551686264430150"</f>
        <v>1551686264430150</v>
      </c>
      <c r="C5472" t="s">
        <v>40</v>
      </c>
      <c r="D5472">
        <v>4.6772130000000001</v>
      </c>
      <c r="E5472">
        <v>0.49601709999999899</v>
      </c>
      <c r="F5472" t="s">
        <v>41</v>
      </c>
      <c r="G5472">
        <v>-344.5163</v>
      </c>
      <c r="H5472" s="1">
        <v>-2.71315E-6</v>
      </c>
      <c r="I5472">
        <v>17.48339</v>
      </c>
      <c r="J5472">
        <v>-392.59219999999999</v>
      </c>
      <c r="K5472">
        <v>1.110873</v>
      </c>
      <c r="L5472">
        <v>18.395109999999999</v>
      </c>
      <c r="M5472">
        <v>0.99644860000000002</v>
      </c>
      <c r="N5472">
        <v>-1.0401000000000001E-2</v>
      </c>
      <c r="O5472">
        <v>-8.3558399999999894E-2</v>
      </c>
      <c r="P5472">
        <v>0.98957110000000004</v>
      </c>
      <c r="Q5472">
        <v>0.141363299999999</v>
      </c>
      <c r="R5472">
        <v>-2.7671080000000001E-2</v>
      </c>
      <c r="S5472">
        <v>3.0400700000000001</v>
      </c>
      <c r="T5472">
        <v>-6.9983359999999994E-2</v>
      </c>
      <c r="U5472">
        <v>-5.8349610000000003E-2</v>
      </c>
      <c r="V5472">
        <v>-5.5528630000000002E-2</v>
      </c>
      <c r="W5472">
        <v>0.15148639999999999</v>
      </c>
      <c r="X5472">
        <v>0.98689839999999995</v>
      </c>
      <c r="Y5472">
        <v>-6.4393320000000004E-2</v>
      </c>
      <c r="Z5472">
        <v>2.1271250000000001E-3</v>
      </c>
      <c r="AA5472">
        <v>0.99792230000000004</v>
      </c>
      <c r="AB5472">
        <v>29</v>
      </c>
      <c r="AC5472">
        <v>48.075899999999898</v>
      </c>
      <c r="AD5472">
        <v>-1.11087571315</v>
      </c>
      <c r="AE5472">
        <v>-0.91171999999999898</v>
      </c>
      <c r="AF5472">
        <v>-3.1071729432912298</v>
      </c>
      <c r="AG5472">
        <v>-1.11087571315</v>
      </c>
      <c r="AH5472">
        <v>47.958343959066902</v>
      </c>
      <c r="AI5472">
        <v>91.324149448715204</v>
      </c>
      <c r="AJ5472">
        <v>93.706955020228605</v>
      </c>
      <c r="AK5472">
        <v>48.071731026100501</v>
      </c>
      <c r="AL5472">
        <v>81.286924603083705</v>
      </c>
      <c r="AM5472">
        <v>93.220397430114502</v>
      </c>
      <c r="AN5472">
        <v>1.00000000502859</v>
      </c>
    </row>
    <row r="5473" spans="1:40" x14ac:dyDescent="0.25">
      <c r="A5473" t="str">
        <f>"20190304155744453"</f>
        <v>20190304155744453</v>
      </c>
      <c r="B5473" t="str">
        <f>"1551686264450646"</f>
        <v>1551686264450646</v>
      </c>
      <c r="C5473" t="s">
        <v>40</v>
      </c>
      <c r="D5473">
        <v>4.673724</v>
      </c>
      <c r="E5473">
        <v>0.49533860000000002</v>
      </c>
      <c r="F5473" t="s">
        <v>41</v>
      </c>
      <c r="G5473">
        <v>-344.51549999999997</v>
      </c>
      <c r="H5473" s="1">
        <v>-2.695835E-6</v>
      </c>
      <c r="I5473">
        <v>17.582820000000002</v>
      </c>
      <c r="J5473">
        <v>-392.32749999999999</v>
      </c>
      <c r="K5473">
        <v>1.1107959999999999</v>
      </c>
      <c r="L5473">
        <v>18.374179999999999</v>
      </c>
      <c r="M5473">
        <v>0.99654339999999997</v>
      </c>
      <c r="N5473">
        <v>-1.039057E-2</v>
      </c>
      <c r="O5473">
        <v>-8.2423270000000007E-2</v>
      </c>
      <c r="P5473">
        <v>0.98956569999999999</v>
      </c>
      <c r="Q5473">
        <v>0.1415411</v>
      </c>
      <c r="R5473">
        <v>-2.6950760000000001E-2</v>
      </c>
      <c r="S5473">
        <v>3.0401919999999998</v>
      </c>
      <c r="T5473">
        <v>-7.0247649999999995E-2</v>
      </c>
      <c r="U5473">
        <v>-5.1361080000000003E-2</v>
      </c>
      <c r="V5473">
        <v>-5.5092259999999997E-2</v>
      </c>
      <c r="W5473">
        <v>0.15166499999999999</v>
      </c>
      <c r="X5473">
        <v>0.98689539999999998</v>
      </c>
      <c r="Y5473">
        <v>-6.5549860000000001E-2</v>
      </c>
      <c r="Z5473">
        <v>2.1427550000000001E-3</v>
      </c>
      <c r="AA5473">
        <v>0.99784700000000004</v>
      </c>
      <c r="AB5473">
        <v>29</v>
      </c>
      <c r="AC5473">
        <v>47.811999999999998</v>
      </c>
      <c r="AD5473">
        <v>-1.11079869583499</v>
      </c>
      <c r="AE5473">
        <v>-0.79135999999999695</v>
      </c>
      <c r="AF5473">
        <v>-3.1506663680607701</v>
      </c>
      <c r="AG5473">
        <v>-1.11079869583499</v>
      </c>
      <c r="AH5473">
        <v>47.688794748742701</v>
      </c>
      <c r="AI5473">
        <v>91.331428061866902</v>
      </c>
      <c r="AJ5473">
        <v>93.779880013816907</v>
      </c>
      <c r="AK5473">
        <v>47.805666158868704</v>
      </c>
      <c r="AL5473">
        <v>81.276571738273304</v>
      </c>
      <c r="AM5473">
        <v>93.195152372307703</v>
      </c>
      <c r="AN5473">
        <v>0.999999979939033</v>
      </c>
    </row>
    <row r="5474" spans="1:40" x14ac:dyDescent="0.25">
      <c r="A5474" t="str">
        <f>"20190304155744466"</f>
        <v>20190304155744466</v>
      </c>
      <c r="B5474" t="str">
        <f>"1551686264460406"</f>
        <v>1551686264460406</v>
      </c>
      <c r="C5474" t="s">
        <v>40</v>
      </c>
      <c r="D5474">
        <v>4.635275</v>
      </c>
      <c r="E5474">
        <v>0.49501220000000001</v>
      </c>
      <c r="F5474" t="s">
        <v>41</v>
      </c>
      <c r="G5474">
        <v>-343.96460000000002</v>
      </c>
      <c r="H5474" s="1">
        <v>-2.9157260000000002E-6</v>
      </c>
      <c r="I5474">
        <v>17.675550000000001</v>
      </c>
      <c r="J5474">
        <v>-392.14769999999999</v>
      </c>
      <c r="K5474">
        <v>1.1107479999999901</v>
      </c>
      <c r="L5474">
        <v>18.36008</v>
      </c>
      <c r="M5474">
        <v>0.99660320000000002</v>
      </c>
      <c r="N5474">
        <v>-1.0384279999999999E-2</v>
      </c>
      <c r="O5474">
        <v>-8.1697610000000004E-2</v>
      </c>
      <c r="P5474">
        <v>0.98962499999999998</v>
      </c>
      <c r="Q5474">
        <v>0.14125739999999901</v>
      </c>
      <c r="R5474">
        <v>-2.6251670000000001E-2</v>
      </c>
      <c r="S5474">
        <v>3.0404360000000001</v>
      </c>
      <c r="T5474">
        <v>-6.98328E-2</v>
      </c>
      <c r="U5474">
        <v>-4.3914790000000002E-2</v>
      </c>
      <c r="V5474">
        <v>-5.5055630000000001E-2</v>
      </c>
      <c r="W5474">
        <v>0.15138219999999999</v>
      </c>
      <c r="X5474">
        <v>0.98694090000000001</v>
      </c>
      <c r="Y5474">
        <v>-6.7267510000000003E-2</v>
      </c>
      <c r="Z5474">
        <v>2.146832E-3</v>
      </c>
      <c r="AA5474">
        <v>0.99773259999999997</v>
      </c>
      <c r="AB5474">
        <v>29</v>
      </c>
      <c r="AC5474">
        <v>48.183099999999897</v>
      </c>
      <c r="AD5474">
        <v>-1.1107509157259901</v>
      </c>
      <c r="AE5474">
        <v>-0.68452999999999797</v>
      </c>
      <c r="AF5474">
        <v>-3.25268613721139</v>
      </c>
      <c r="AG5474">
        <v>-1.1107509157259901</v>
      </c>
      <c r="AH5474">
        <v>48.052410655599701</v>
      </c>
      <c r="AI5474">
        <v>91.3211570860027</v>
      </c>
      <c r="AJ5474">
        <v>93.872466004525506</v>
      </c>
      <c r="AK5474">
        <v>48.175179340801499</v>
      </c>
      <c r="AL5474">
        <v>81.2929645797105</v>
      </c>
      <c r="AM5474">
        <v>93.1928854609193</v>
      </c>
      <c r="AN5474">
        <v>1.0000000164821701</v>
      </c>
    </row>
    <row r="5475" spans="1:40" x14ac:dyDescent="0.25">
      <c r="A5475" t="str">
        <f>"20190304155744486"</f>
        <v>20190304155744486</v>
      </c>
      <c r="B5475" t="str">
        <f>"1551686264479926"</f>
        <v>1551686264479926</v>
      </c>
      <c r="C5475" t="s">
        <v>40</v>
      </c>
      <c r="D5475">
        <v>4.5636140000000003</v>
      </c>
      <c r="E5475">
        <v>0.49450280000000002</v>
      </c>
      <c r="F5475" t="s">
        <v>41</v>
      </c>
      <c r="G5475">
        <v>-344.12959999999998</v>
      </c>
      <c r="H5475" s="1">
        <v>-2.8332229999999998E-6</v>
      </c>
      <c r="I5475">
        <v>17.741629999999901</v>
      </c>
      <c r="J5475">
        <v>-391.88619999999997</v>
      </c>
      <c r="K5475">
        <v>1.1106780000000001</v>
      </c>
      <c r="L5475">
        <v>18.339780000000001</v>
      </c>
      <c r="M5475">
        <v>0.99668480000000004</v>
      </c>
      <c r="N5475">
        <v>-1.0376389999999999E-2</v>
      </c>
      <c r="O5475">
        <v>-8.0697450000000004E-2</v>
      </c>
      <c r="P5475">
        <v>0.9897051</v>
      </c>
      <c r="Q5475">
        <v>0.140838299999999</v>
      </c>
      <c r="R5475">
        <v>-2.5465990000000001E-2</v>
      </c>
      <c r="S5475">
        <v>3.040527</v>
      </c>
      <c r="T5475">
        <v>-7.0333240000000005E-2</v>
      </c>
      <c r="U5475">
        <v>-3.9154050000000003E-2</v>
      </c>
      <c r="V5475">
        <v>-5.482857E-2</v>
      </c>
      <c r="W5475">
        <v>0.1509645</v>
      </c>
      <c r="X5475">
        <v>0.98701749999999999</v>
      </c>
      <c r="Y5475">
        <v>-6.7827979999999996E-2</v>
      </c>
      <c r="Z5475">
        <v>2.1628820000000001E-3</v>
      </c>
      <c r="AA5475">
        <v>0.99769470000000005</v>
      </c>
      <c r="AB5475">
        <v>29</v>
      </c>
      <c r="AC5475">
        <v>47.756599999999899</v>
      </c>
      <c r="AD5475">
        <v>-1.110680833223</v>
      </c>
      <c r="AE5475">
        <v>-0.59814999999999996</v>
      </c>
      <c r="AF5475">
        <v>-3.2560827483511798</v>
      </c>
      <c r="AG5475">
        <v>-1.110680833223</v>
      </c>
      <c r="AH5475">
        <v>47.623348562376101</v>
      </c>
      <c r="AI5475">
        <v>91.3329102202039</v>
      </c>
      <c r="AJ5475">
        <v>93.911314840961296</v>
      </c>
      <c r="AK5475">
        <v>47.747450351521103</v>
      </c>
      <c r="AL5475">
        <v>81.317175119146597</v>
      </c>
      <c r="AM5475">
        <v>93.179498198612706</v>
      </c>
      <c r="AN5475">
        <v>0.99999999882737201</v>
      </c>
    </row>
    <row r="5476" spans="1:40" x14ac:dyDescent="0.25">
      <c r="A5476" t="str">
        <f>"20190304155744497"</f>
        <v>20190304155744497</v>
      </c>
      <c r="B5476" t="str">
        <f>"1551686264490662"</f>
        <v>1551686264490662</v>
      </c>
      <c r="C5476" t="s">
        <v>40</v>
      </c>
      <c r="D5476">
        <v>4.6004800000000001</v>
      </c>
      <c r="E5476">
        <v>0.4942974</v>
      </c>
      <c r="F5476" t="s">
        <v>41</v>
      </c>
      <c r="G5476">
        <v>-344.01889999999997</v>
      </c>
      <c r="H5476" s="1">
        <v>-2.8672759999999998E-6</v>
      </c>
      <c r="I5476">
        <v>17.817439999999898</v>
      </c>
      <c r="J5476">
        <v>-391.74209999999999</v>
      </c>
      <c r="K5476">
        <v>1.110641</v>
      </c>
      <c r="L5476">
        <v>18.328669999999999</v>
      </c>
      <c r="M5476">
        <v>0.99672649999999996</v>
      </c>
      <c r="N5476">
        <v>-1.037077E-2</v>
      </c>
      <c r="O5476">
        <v>-8.0179680000000003E-2</v>
      </c>
      <c r="P5476">
        <v>0.98974300000000004</v>
      </c>
      <c r="Q5476">
        <v>0.14071159999999999</v>
      </c>
      <c r="R5476">
        <v>-2.4685639999999998E-2</v>
      </c>
      <c r="S5476">
        <v>3.0404049999999998</v>
      </c>
      <c r="T5476">
        <v>-7.0547460000000006E-2</v>
      </c>
      <c r="U5476">
        <v>-3.3172609999999998E-2</v>
      </c>
      <c r="V5476">
        <v>-5.5083800000000002E-2</v>
      </c>
      <c r="W5476">
        <v>0.15083679999999999</v>
      </c>
      <c r="X5476">
        <v>0.98702279999999998</v>
      </c>
      <c r="Y5476">
        <v>-6.9270890000000002E-2</v>
      </c>
      <c r="Z5476">
        <v>2.189014E-3</v>
      </c>
      <c r="AA5476">
        <v>0.99759549999999997</v>
      </c>
      <c r="AB5476">
        <v>29</v>
      </c>
      <c r="AC5476">
        <v>47.723199999999999</v>
      </c>
      <c r="AD5476">
        <v>-1.110643867276</v>
      </c>
      <c r="AE5476">
        <v>-0.51123000000000396</v>
      </c>
      <c r="AF5476">
        <v>-3.3152573310773401</v>
      </c>
      <c r="AG5476">
        <v>-1.110643867276</v>
      </c>
      <c r="AH5476">
        <v>47.584757918894098</v>
      </c>
      <c r="AI5476">
        <v>91.333827436143693</v>
      </c>
      <c r="AJ5476">
        <v>93.985389746026598</v>
      </c>
      <c r="AK5476">
        <v>47.713034353003899</v>
      </c>
      <c r="AL5476">
        <v>81.3245764365453</v>
      </c>
      <c r="AM5476">
        <v>93.194251241924604</v>
      </c>
      <c r="AN5476">
        <v>0.99999998648825905</v>
      </c>
    </row>
    <row r="5477" spans="1:40" x14ac:dyDescent="0.25">
      <c r="A5477" t="str">
        <f>"20190304155744509"</f>
        <v>20190304155744509</v>
      </c>
      <c r="B5477" t="str">
        <f>"1551686264500422"</f>
        <v>1551686264500422</v>
      </c>
      <c r="C5477" t="s">
        <v>40</v>
      </c>
      <c r="D5477">
        <v>4.6291650000000004</v>
      </c>
      <c r="E5477">
        <v>0.49399710000000002</v>
      </c>
      <c r="F5477" t="s">
        <v>41</v>
      </c>
      <c r="G5477">
        <v>-343.1875</v>
      </c>
      <c r="H5477" s="1">
        <v>-3.2167609999999998E-6</v>
      </c>
      <c r="I5477">
        <v>17.857769999999999</v>
      </c>
      <c r="J5477">
        <v>-391.58510000000001</v>
      </c>
      <c r="K5477">
        <v>1.1106020000000001</v>
      </c>
      <c r="L5477">
        <v>18.316590000000001</v>
      </c>
      <c r="M5477">
        <v>0.99677070000000001</v>
      </c>
      <c r="N5477">
        <v>-1.036403E-2</v>
      </c>
      <c r="O5477">
        <v>-7.9629279999999997E-2</v>
      </c>
      <c r="P5477">
        <v>0.98977969999999904</v>
      </c>
      <c r="Q5477">
        <v>0.14057600000000001</v>
      </c>
      <c r="R5477">
        <v>-2.3973330000000001E-2</v>
      </c>
      <c r="S5477">
        <v>3.040222</v>
      </c>
      <c r="T5477">
        <v>-6.9542530000000005E-2</v>
      </c>
      <c r="U5477">
        <v>-2.9479979999999999E-2</v>
      </c>
      <c r="V5477">
        <v>-5.5237000000000001E-2</v>
      </c>
      <c r="W5477">
        <v>0.15069869999999999</v>
      </c>
      <c r="X5477">
        <v>0.98703529999999995</v>
      </c>
      <c r="Y5477">
        <v>-6.9931660000000007E-2</v>
      </c>
      <c r="Z5477">
        <v>2.1557519999999999E-3</v>
      </c>
      <c r="AA5477">
        <v>0.99754949999999998</v>
      </c>
      <c r="AB5477">
        <v>29</v>
      </c>
      <c r="AC5477">
        <v>48.397599999999997</v>
      </c>
      <c r="AD5477">
        <v>-1.1106052167610001</v>
      </c>
      <c r="AE5477">
        <v>-0.45881999999999501</v>
      </c>
      <c r="AF5477">
        <v>-3.39492246331799</v>
      </c>
      <c r="AG5477">
        <v>-1.1106052167610001</v>
      </c>
      <c r="AH5477">
        <v>48.255028361170297</v>
      </c>
      <c r="AI5477">
        <v>91.315198566714002</v>
      </c>
      <c r="AJ5477">
        <v>94.024342303340205</v>
      </c>
      <c r="AK5477">
        <v>48.387051001448597</v>
      </c>
      <c r="AL5477">
        <v>81.332580191654699</v>
      </c>
      <c r="AM5477">
        <v>93.203076194176404</v>
      </c>
      <c r="AN5477">
        <v>0.99999995389838803</v>
      </c>
    </row>
    <row r="5478" spans="1:40" x14ac:dyDescent="0.25">
      <c r="A5478" t="str">
        <f>"20190304155744529"</f>
        <v>20190304155744529</v>
      </c>
      <c r="B5478" t="str">
        <f>"1551686264519942"</f>
        <v>1551686264519942</v>
      </c>
      <c r="C5478" t="s">
        <v>40</v>
      </c>
      <c r="D5478">
        <v>4.5995169999999996</v>
      </c>
      <c r="E5478">
        <v>0.49345630000000001</v>
      </c>
      <c r="F5478" t="s">
        <v>41</v>
      </c>
      <c r="G5478">
        <v>-343.22239999999999</v>
      </c>
      <c r="H5478" s="1">
        <v>-3.1910340000000001E-6</v>
      </c>
      <c r="I5478">
        <v>17.918429999999901</v>
      </c>
      <c r="J5478">
        <v>-391.33</v>
      </c>
      <c r="K5478">
        <v>1.110535</v>
      </c>
      <c r="L5478">
        <v>18.297149999999998</v>
      </c>
      <c r="M5478">
        <v>0.99683670000000002</v>
      </c>
      <c r="N5478">
        <v>-1.0350659999999999E-2</v>
      </c>
      <c r="O5478">
        <v>-7.8801209999999997E-2</v>
      </c>
      <c r="P5478">
        <v>0.98989870000000002</v>
      </c>
      <c r="Q5478">
        <v>0.1399562</v>
      </c>
      <c r="R5478">
        <v>-2.2650190000000001E-2</v>
      </c>
      <c r="S5478">
        <v>3.0402830000000001</v>
      </c>
      <c r="T5478">
        <v>-6.9817299999999999E-2</v>
      </c>
      <c r="U5478">
        <v>-2.502441E-2</v>
      </c>
      <c r="V5478">
        <v>-5.5721010000000001E-2</v>
      </c>
      <c r="W5478">
        <v>0.1500736</v>
      </c>
      <c r="X5478">
        <v>0.98710339999999996</v>
      </c>
      <c r="Y5478">
        <v>-7.0564470000000004E-2</v>
      </c>
      <c r="Z5478">
        <v>2.166861E-3</v>
      </c>
      <c r="AA5478">
        <v>0.99750490000000003</v>
      </c>
      <c r="AB5478">
        <v>29</v>
      </c>
      <c r="AC5478">
        <v>48.107599999999898</v>
      </c>
      <c r="AD5478">
        <v>-1.110538191034</v>
      </c>
      <c r="AE5478">
        <v>-0.378720000000001</v>
      </c>
      <c r="AF5478">
        <v>-3.4117796649445098</v>
      </c>
      <c r="AG5478">
        <v>-1.110538191034</v>
      </c>
      <c r="AH5478">
        <v>47.962274196371403</v>
      </c>
      <c r="AI5478">
        <v>91.323070953331694</v>
      </c>
      <c r="AJ5478">
        <v>94.068861548921504</v>
      </c>
      <c r="AK5478">
        <v>48.096291766037297</v>
      </c>
      <c r="AL5478">
        <v>81.368808359207705</v>
      </c>
      <c r="AM5478">
        <v>93.2308612562245</v>
      </c>
      <c r="AN5478">
        <v>1.00000001933196</v>
      </c>
    </row>
    <row r="5479" spans="1:40" x14ac:dyDescent="0.25">
      <c r="A5479" t="str">
        <f>"20190304155744541"</f>
        <v>20190304155744541</v>
      </c>
      <c r="B5479" t="str">
        <f>"1551686264530678"</f>
        <v>1551686264530678</v>
      </c>
      <c r="C5479" t="s">
        <v>40</v>
      </c>
      <c r="D5479">
        <v>4.4777339999999999</v>
      </c>
      <c r="E5479">
        <v>0.49326750000000003</v>
      </c>
      <c r="F5479" t="s">
        <v>41</v>
      </c>
      <c r="G5479">
        <v>-343.99380000000002</v>
      </c>
      <c r="H5479" s="1">
        <v>-2.839542E-6</v>
      </c>
      <c r="I5479">
        <v>18.034310000000001</v>
      </c>
      <c r="J5479">
        <v>-391.17250000000001</v>
      </c>
      <c r="K5479">
        <v>1.1104959999999999</v>
      </c>
      <c r="L5479">
        <v>18.285250000000001</v>
      </c>
      <c r="M5479">
        <v>0.99687420000000004</v>
      </c>
      <c r="N5479">
        <v>-1.034262E-2</v>
      </c>
      <c r="O5479">
        <v>-7.8326989999999999E-2</v>
      </c>
      <c r="P5479">
        <v>0.98997729999999995</v>
      </c>
      <c r="Q5479">
        <v>0.13946539999999999</v>
      </c>
      <c r="R5479">
        <v>-2.224021E-2</v>
      </c>
      <c r="S5479">
        <v>3.040314</v>
      </c>
      <c r="T5479">
        <v>-7.1327810000000005E-2</v>
      </c>
      <c r="U5479">
        <v>-1.6876220000000001E-2</v>
      </c>
      <c r="V5479">
        <v>-5.5651779999999998E-2</v>
      </c>
      <c r="W5479">
        <v>0.14958089999999999</v>
      </c>
      <c r="X5479">
        <v>0.98718209999999995</v>
      </c>
      <c r="Y5479">
        <v>-7.2760749999999999E-2</v>
      </c>
      <c r="Z5479">
        <v>2.2548360000000001E-3</v>
      </c>
      <c r="AA5479">
        <v>0.99734690000000004</v>
      </c>
      <c r="AB5479">
        <v>29</v>
      </c>
      <c r="AC5479">
        <v>47.1786999999999</v>
      </c>
      <c r="AD5479">
        <v>-1.1104988395419999</v>
      </c>
      <c r="AE5479">
        <v>-0.250939999999999</v>
      </c>
      <c r="AF5479">
        <v>-3.4434859998384599</v>
      </c>
      <c r="AG5479">
        <v>-1.1104988395419999</v>
      </c>
      <c r="AH5479">
        <v>47.027340362604498</v>
      </c>
      <c r="AI5479">
        <v>91.349114779009199</v>
      </c>
      <c r="AJ5479">
        <v>94.187898621959604</v>
      </c>
      <c r="AK5479">
        <v>47.166317908905697</v>
      </c>
      <c r="AL5479">
        <v>81.397360391525794</v>
      </c>
      <c r="AM5479">
        <v>93.226598886342302</v>
      </c>
      <c r="AN5479">
        <v>1.00000003241119</v>
      </c>
    </row>
    <row r="5480" spans="1:40" x14ac:dyDescent="0.25">
      <c r="A5480" t="str">
        <f>"20190304155744553"</f>
        <v>20190304155744553</v>
      </c>
      <c r="B5480" t="str">
        <f>"1551686264550198"</f>
        <v>1551686264550198</v>
      </c>
      <c r="C5480" t="s">
        <v>40</v>
      </c>
      <c r="D5480">
        <v>4.6058180000000002</v>
      </c>
      <c r="E5480">
        <v>0.49289630000000001</v>
      </c>
      <c r="F5480" t="s">
        <v>41</v>
      </c>
      <c r="G5480">
        <v>-344.47370000000001</v>
      </c>
      <c r="H5480" s="1">
        <v>-2.627768E-6</v>
      </c>
      <c r="I5480">
        <v>18.06766</v>
      </c>
      <c r="J5480">
        <v>-391.02179999999998</v>
      </c>
      <c r="K5480">
        <v>1.1104579999999999</v>
      </c>
      <c r="L5480">
        <v>18.273859999999999</v>
      </c>
      <c r="M5480">
        <v>0.99690900000000005</v>
      </c>
      <c r="N5480">
        <v>-1.0335159999999999E-2</v>
      </c>
      <c r="O5480">
        <v>-7.7883499999999994E-2</v>
      </c>
      <c r="P5480">
        <v>0.99002469999999998</v>
      </c>
      <c r="Q5480">
        <v>0.139237</v>
      </c>
      <c r="R5480">
        <v>-2.1542470000000001E-2</v>
      </c>
      <c r="S5480">
        <v>3.040222</v>
      </c>
      <c r="T5480">
        <v>-7.2296620000000006E-2</v>
      </c>
      <c r="U5480">
        <v>-1.416016E-2</v>
      </c>
      <c r="V5480">
        <v>-5.5898070000000001E-2</v>
      </c>
      <c r="W5480">
        <v>0.14934900000000001</v>
      </c>
      <c r="X5480">
        <v>0.98720330000000001</v>
      </c>
      <c r="Y5480">
        <v>-7.3206740000000006E-2</v>
      </c>
      <c r="Z5480">
        <v>2.2934610000000001E-3</v>
      </c>
      <c r="AA5480">
        <v>0.99731420000000004</v>
      </c>
      <c r="AB5480">
        <v>29</v>
      </c>
      <c r="AC5480">
        <v>46.548099999999899</v>
      </c>
      <c r="AD5480">
        <v>-1.110460627768</v>
      </c>
      <c r="AE5480">
        <v>-0.206199999999999</v>
      </c>
      <c r="AF5480">
        <v>-3.41800339968596</v>
      </c>
      <c r="AG5480">
        <v>-1.110460627768</v>
      </c>
      <c r="AH5480">
        <v>46.3963494570203</v>
      </c>
      <c r="AI5480">
        <v>91.367364206386696</v>
      </c>
      <c r="AJ5480">
        <v>94.213349475073002</v>
      </c>
      <c r="AK5480">
        <v>46.535331877875798</v>
      </c>
      <c r="AL5480">
        <v>81.410798267104596</v>
      </c>
      <c r="AM5480">
        <v>93.240778557035398</v>
      </c>
      <c r="AN5480">
        <v>1.0000000367808</v>
      </c>
    </row>
    <row r="5481" spans="1:40" x14ac:dyDescent="0.25">
      <c r="A5481" t="str">
        <f>"20190304155744564"</f>
        <v>20190304155744564</v>
      </c>
      <c r="B5481" t="str">
        <f>"1551686264559958"</f>
        <v>1551686264559958</v>
      </c>
      <c r="C5481" t="s">
        <v>40</v>
      </c>
      <c r="D5481">
        <v>4.6087850000000001</v>
      </c>
      <c r="E5481">
        <v>0.4926912</v>
      </c>
      <c r="F5481" t="s">
        <v>41</v>
      </c>
      <c r="G5481">
        <v>-343.75130000000001</v>
      </c>
      <c r="H5481" s="1">
        <v>-2.9261339999999999E-6</v>
      </c>
      <c r="I5481">
        <v>18.132840000000002</v>
      </c>
      <c r="J5481">
        <v>-390.86070000000001</v>
      </c>
      <c r="K5481">
        <v>1.1104210000000001</v>
      </c>
      <c r="L5481">
        <v>18.261749999999999</v>
      </c>
      <c r="M5481">
        <v>0.99694380000000005</v>
      </c>
      <c r="N5481">
        <v>-1.032781E-2</v>
      </c>
      <c r="O5481">
        <v>-7.743622E-2</v>
      </c>
      <c r="P5481">
        <v>0.99010549999999997</v>
      </c>
      <c r="Q5481">
        <v>0.1387912</v>
      </c>
      <c r="R5481">
        <v>-2.0695459999999999E-2</v>
      </c>
      <c r="S5481">
        <v>3.0400390000000002</v>
      </c>
      <c r="T5481">
        <v>-7.1415419999999993E-2</v>
      </c>
      <c r="U5481">
        <v>-9.0637210000000003E-3</v>
      </c>
      <c r="V5481">
        <v>-5.6291670000000002E-2</v>
      </c>
      <c r="W5481">
        <v>0.14890100000000001</v>
      </c>
      <c r="X5481">
        <v>0.98724849999999997</v>
      </c>
      <c r="Y5481">
        <v>-7.4431289999999997E-2</v>
      </c>
      <c r="Z5481">
        <v>2.275675E-3</v>
      </c>
      <c r="AA5481">
        <v>0.99722359999999999</v>
      </c>
      <c r="AB5481">
        <v>29</v>
      </c>
      <c r="AC5481">
        <v>47.109400000000001</v>
      </c>
      <c r="AD5481">
        <v>-1.1104239261340001</v>
      </c>
      <c r="AE5481">
        <v>-0.128910000000001</v>
      </c>
      <c r="AF5481">
        <v>-3.5176911846438901</v>
      </c>
      <c r="AG5481">
        <v>-1.1104239261340001</v>
      </c>
      <c r="AH5481">
        <v>46.951826439273297</v>
      </c>
      <c r="AI5481">
        <v>91.351023704149696</v>
      </c>
      <c r="AJ5481">
        <v>94.284668510131098</v>
      </c>
      <c r="AK5481">
        <v>47.096509409402103</v>
      </c>
      <c r="AL5481">
        <v>81.436756119020004</v>
      </c>
      <c r="AM5481">
        <v>93.263399888123999</v>
      </c>
      <c r="AN5481">
        <v>0.99999993033231704</v>
      </c>
    </row>
    <row r="5482" spans="1:40" x14ac:dyDescent="0.25">
      <c r="A5482" t="str">
        <f>"20190304155744576"</f>
        <v>20190304155744576</v>
      </c>
      <c r="B5482" t="str">
        <f>"1551686264570694"</f>
        <v>1551686264570694</v>
      </c>
      <c r="C5482" t="s">
        <v>40</v>
      </c>
      <c r="D5482">
        <v>4.5686650000000002</v>
      </c>
      <c r="E5482">
        <v>0.49250490000000002</v>
      </c>
      <c r="F5482" t="s">
        <v>41</v>
      </c>
      <c r="G5482">
        <v>-344.21980000000002</v>
      </c>
      <c r="H5482" s="1">
        <v>-2.7155609999999999E-6</v>
      </c>
      <c r="I5482">
        <v>18.18675</v>
      </c>
      <c r="J5482">
        <v>-390.70749999999998</v>
      </c>
      <c r="K5482">
        <v>1.1103829999999999</v>
      </c>
      <c r="L5482">
        <v>18.250309999999999</v>
      </c>
      <c r="M5482">
        <v>0.99697550000000001</v>
      </c>
      <c r="N5482">
        <v>-1.0321179999999999E-2</v>
      </c>
      <c r="O5482">
        <v>-7.7027999999999999E-2</v>
      </c>
      <c r="P5482">
        <v>0.99012429999999996</v>
      </c>
      <c r="Q5482">
        <v>0.13873360000000001</v>
      </c>
      <c r="R5482">
        <v>-2.0174299999999999E-2</v>
      </c>
      <c r="S5482">
        <v>3.0400700000000001</v>
      </c>
      <c r="T5482">
        <v>-7.2377800000000006E-2</v>
      </c>
      <c r="U5482">
        <v>-4.8828129999999997E-3</v>
      </c>
      <c r="V5482">
        <v>-5.6396229999999999E-2</v>
      </c>
      <c r="W5482">
        <v>0.14884069999999999</v>
      </c>
      <c r="X5482">
        <v>0.98725169999999995</v>
      </c>
      <c r="Y5482">
        <v>-7.5393070000000006E-2</v>
      </c>
      <c r="Z5482">
        <v>2.3231559999999998E-3</v>
      </c>
      <c r="AA5482">
        <v>0.99715120000000002</v>
      </c>
      <c r="AB5482">
        <v>29</v>
      </c>
      <c r="AC5482">
        <v>46.487699999999897</v>
      </c>
      <c r="AD5482">
        <v>-1.110385715561</v>
      </c>
      <c r="AE5482">
        <v>-6.3559999999998895E-2</v>
      </c>
      <c r="AF5482">
        <v>-3.51566842482457</v>
      </c>
      <c r="AG5482">
        <v>-1.110385715561</v>
      </c>
      <c r="AH5482">
        <v>46.328032145668303</v>
      </c>
      <c r="AI5482">
        <v>91.369061856940405</v>
      </c>
      <c r="AJ5482">
        <v>94.339653918002099</v>
      </c>
      <c r="AK5482">
        <v>46.474503153887603</v>
      </c>
      <c r="AL5482">
        <v>81.440250623011593</v>
      </c>
      <c r="AM5482">
        <v>93.269437838333801</v>
      </c>
      <c r="AN5482">
        <v>1.00000000394379</v>
      </c>
    </row>
    <row r="5483" spans="1:40" x14ac:dyDescent="0.25">
      <c r="A5483" t="str">
        <f>"20190304155744587"</f>
        <v>20190304155744587</v>
      </c>
      <c r="B5483" t="str">
        <f>"1551686264580454"</f>
        <v>1551686264580454</v>
      </c>
      <c r="C5483" t="s">
        <v>40</v>
      </c>
      <c r="D5483">
        <v>4.6085640000000003</v>
      </c>
      <c r="E5483">
        <v>0.49231350000000001</v>
      </c>
      <c r="F5483" t="s">
        <v>41</v>
      </c>
      <c r="G5483">
        <v>-343.99360000000001</v>
      </c>
      <c r="H5483" s="1">
        <v>-2.8070739999999999E-6</v>
      </c>
      <c r="I5483">
        <v>18.217860000000002</v>
      </c>
      <c r="J5483">
        <v>-390.55950000000001</v>
      </c>
      <c r="K5483">
        <v>1.1103510000000001</v>
      </c>
      <c r="L5483">
        <v>18.239260000000002</v>
      </c>
      <c r="M5483">
        <v>0.99700520000000004</v>
      </c>
      <c r="N5483">
        <v>-1.0315039999999999E-2</v>
      </c>
      <c r="O5483">
        <v>-7.6645859999999996E-2</v>
      </c>
      <c r="P5483">
        <v>0.99014729999999995</v>
      </c>
      <c r="Q5483">
        <v>0.13863329999999999</v>
      </c>
      <c r="R5483">
        <v>-1.9730149999999998E-2</v>
      </c>
      <c r="S5483">
        <v>3.040009</v>
      </c>
      <c r="T5483">
        <v>-7.2260859999999996E-2</v>
      </c>
      <c r="U5483">
        <v>-2.1057129999999999E-3</v>
      </c>
      <c r="V5483">
        <v>-5.6451229999999998E-2</v>
      </c>
      <c r="W5483">
        <v>0.1487388</v>
      </c>
      <c r="X5483">
        <v>0.98726389999999997</v>
      </c>
      <c r="Y5483">
        <v>-7.5921649999999993E-2</v>
      </c>
      <c r="Z5483">
        <v>2.3229629999999999E-3</v>
      </c>
      <c r="AA5483">
        <v>0.99711110000000003</v>
      </c>
      <c r="AB5483">
        <v>29</v>
      </c>
      <c r="AC5483">
        <v>46.565899999999999</v>
      </c>
      <c r="AD5483">
        <v>-1.110353807074</v>
      </c>
      <c r="AE5483">
        <v>-2.1399999999999801E-2</v>
      </c>
      <c r="AF5483">
        <v>-3.5459195471331699</v>
      </c>
      <c r="AG5483">
        <v>-1.110353807074</v>
      </c>
      <c r="AH5483">
        <v>46.4041623730769</v>
      </c>
      <c r="AI5483">
        <v>91.366722822956703</v>
      </c>
      <c r="AJ5483">
        <v>94.369697882411899</v>
      </c>
      <c r="AK5483">
        <v>46.552687533143597</v>
      </c>
      <c r="AL5483">
        <v>81.446154663845107</v>
      </c>
      <c r="AM5483">
        <v>93.272579052915304</v>
      </c>
      <c r="AN5483">
        <v>0.99999999011858098</v>
      </c>
    </row>
    <row r="5484" spans="1:40" x14ac:dyDescent="0.25">
      <c r="A5484" t="str">
        <f>"20190304155744607"</f>
        <v>20190304155744607</v>
      </c>
      <c r="B5484" t="str">
        <f>"1551686264599974"</f>
        <v>1551686264599974</v>
      </c>
      <c r="C5484" t="s">
        <v>40</v>
      </c>
      <c r="D5484">
        <v>4.5709119999999999</v>
      </c>
      <c r="E5484">
        <v>0.4920078</v>
      </c>
      <c r="F5484" t="s">
        <v>41</v>
      </c>
      <c r="G5484">
        <v>-343.71719999999999</v>
      </c>
      <c r="H5484" s="1">
        <v>-2.9206219999999998E-6</v>
      </c>
      <c r="I5484">
        <v>18.246230000000001</v>
      </c>
      <c r="J5484">
        <v>-390.30090000000001</v>
      </c>
      <c r="K5484">
        <v>1.1102989999999999</v>
      </c>
      <c r="L5484">
        <v>18.22006</v>
      </c>
      <c r="M5484">
        <v>0.99705310000000003</v>
      </c>
      <c r="N5484">
        <v>-1.030506E-2</v>
      </c>
      <c r="O5484">
        <v>-7.6021649999999996E-2</v>
      </c>
      <c r="P5484">
        <v>0.9902183</v>
      </c>
      <c r="Q5484">
        <v>0.13817950000000001</v>
      </c>
      <c r="R5484">
        <v>-1.93587E-2</v>
      </c>
      <c r="S5484">
        <v>3.0399479999999999</v>
      </c>
      <c r="T5484">
        <v>-7.2059269999999995E-2</v>
      </c>
      <c r="U5484">
        <v>4.577637E-4</v>
      </c>
      <c r="V5484">
        <v>-5.6191030000000003E-2</v>
      </c>
      <c r="W5484">
        <v>0.14828189999999999</v>
      </c>
      <c r="X5484">
        <v>0.98734750000000004</v>
      </c>
      <c r="Y5484">
        <v>-7.6138369999999997E-2</v>
      </c>
      <c r="Z5484">
        <v>2.311202E-3</v>
      </c>
      <c r="AA5484">
        <v>0.99709460000000005</v>
      </c>
      <c r="AB5484">
        <v>29</v>
      </c>
      <c r="AC5484">
        <v>46.5837</v>
      </c>
      <c r="AD5484">
        <v>-1.1103019206219999</v>
      </c>
      <c r="AE5484">
        <v>2.6169999999996901E-2</v>
      </c>
      <c r="AF5484">
        <v>-3.5656258121139999</v>
      </c>
      <c r="AG5484">
        <v>-1.1103019206219999</v>
      </c>
      <c r="AH5484">
        <v>46.4205198353649</v>
      </c>
      <c r="AI5484">
        <v>91.366136230665205</v>
      </c>
      <c r="AJ5484">
        <v>94.392345175841598</v>
      </c>
      <c r="AK5484">
        <v>46.570496234981803</v>
      </c>
      <c r="AL5484">
        <v>81.472626912299106</v>
      </c>
      <c r="AM5484">
        <v>93.257252127011597</v>
      </c>
      <c r="AN5484">
        <v>1.00000001973816</v>
      </c>
    </row>
    <row r="5485" spans="1:40" x14ac:dyDescent="0.25">
      <c r="A5485" t="str">
        <f>"20190304155744620"</f>
        <v>20190304155744620</v>
      </c>
      <c r="B5485" t="str">
        <f>"1551686264610710"</f>
        <v>1551686264610710</v>
      </c>
      <c r="C5485" t="s">
        <v>40</v>
      </c>
      <c r="D5485">
        <v>4.5608610000000001</v>
      </c>
      <c r="E5485">
        <v>0.4918593</v>
      </c>
      <c r="F5485" t="s">
        <v>41</v>
      </c>
      <c r="G5485">
        <v>-343.77730000000003</v>
      </c>
      <c r="H5485" s="1">
        <v>-2.8890070000000002E-6</v>
      </c>
      <c r="I5485">
        <v>18.27929</v>
      </c>
      <c r="J5485">
        <v>-390.13780000000003</v>
      </c>
      <c r="K5485">
        <v>1.1102700000000001</v>
      </c>
      <c r="L5485">
        <v>18.20804</v>
      </c>
      <c r="M5485">
        <v>0.99708079999999999</v>
      </c>
      <c r="N5485">
        <v>-1.0299320000000001E-2</v>
      </c>
      <c r="O5485">
        <v>-7.5654739999999998E-2</v>
      </c>
      <c r="P5485">
        <v>0.99023269999999997</v>
      </c>
      <c r="Q5485">
        <v>0.13805909999999999</v>
      </c>
      <c r="R5485">
        <v>-1.9467209999999999E-2</v>
      </c>
      <c r="S5485">
        <v>3.0397949999999998</v>
      </c>
      <c r="T5485">
        <v>-7.2545650000000003E-2</v>
      </c>
      <c r="U5485">
        <v>3.8757319999999998E-3</v>
      </c>
      <c r="V5485">
        <v>-5.5710910000000002E-2</v>
      </c>
      <c r="W5485">
        <v>0.14816019999999999</v>
      </c>
      <c r="X5485">
        <v>0.98739299999999997</v>
      </c>
      <c r="Y5485">
        <v>-7.6891769999999998E-2</v>
      </c>
      <c r="Z5485">
        <v>2.3377430000000002E-3</v>
      </c>
      <c r="AA5485">
        <v>0.9970367</v>
      </c>
      <c r="AB5485">
        <v>29</v>
      </c>
      <c r="AC5485">
        <v>46.360500000000002</v>
      </c>
      <c r="AD5485">
        <v>-1.1102728890069999</v>
      </c>
      <c r="AE5485">
        <v>7.1249999999999106E-2</v>
      </c>
      <c r="AF5485">
        <v>-3.5765723794945798</v>
      </c>
      <c r="AG5485">
        <v>-1.1102728890069999</v>
      </c>
      <c r="AH5485">
        <v>46.195734374949801</v>
      </c>
      <c r="AI5485">
        <v>91.372681099145595</v>
      </c>
      <c r="AJ5485">
        <v>94.427129985317507</v>
      </c>
      <c r="AK5485">
        <v>46.347280937664003</v>
      </c>
      <c r="AL5485">
        <v>81.479677892743297</v>
      </c>
      <c r="AM5485">
        <v>93.229331443095404</v>
      </c>
      <c r="AN5485">
        <v>1.0000000434030301</v>
      </c>
    </row>
    <row r="5486" spans="1:40" x14ac:dyDescent="0.25">
      <c r="A5486" t="str">
        <f>"20190304155744635"</f>
        <v>20190304155744635</v>
      </c>
      <c r="B5486" t="str">
        <f>"1551686264630230"</f>
        <v>1551686264630230</v>
      </c>
      <c r="C5486" t="s">
        <v>40</v>
      </c>
      <c r="D5486">
        <v>4.5300010000000004</v>
      </c>
      <c r="E5486">
        <v>0.4915737</v>
      </c>
      <c r="F5486" t="s">
        <v>41</v>
      </c>
      <c r="G5486">
        <v>-343.56880000000001</v>
      </c>
      <c r="H5486" s="1">
        <v>-2.9777349999999998E-6</v>
      </c>
      <c r="I5486">
        <v>18.28323</v>
      </c>
      <c r="J5486">
        <v>-389.95549999999997</v>
      </c>
      <c r="K5486">
        <v>1.1102399999999999</v>
      </c>
      <c r="L5486">
        <v>18.194610000000001</v>
      </c>
      <c r="M5486">
        <v>0.99711099999999997</v>
      </c>
      <c r="N5486">
        <v>-1.029327E-2</v>
      </c>
      <c r="O5486">
        <v>-7.5259240000000005E-2</v>
      </c>
      <c r="P5486">
        <v>0.99025430000000003</v>
      </c>
      <c r="Q5486">
        <v>0.1379196</v>
      </c>
      <c r="R5486">
        <v>-1.9359680000000001E-2</v>
      </c>
      <c r="S5486">
        <v>3.0397949999999998</v>
      </c>
      <c r="T5486">
        <v>-7.2473049999999997E-2</v>
      </c>
      <c r="U5486">
        <v>4.9133299999999996E-3</v>
      </c>
      <c r="V5486">
        <v>-5.5417809999999998E-2</v>
      </c>
      <c r="W5486">
        <v>0.1480197</v>
      </c>
      <c r="X5486">
        <v>0.98743049999999999</v>
      </c>
      <c r="Y5486">
        <v>-7.6836740000000001E-2</v>
      </c>
      <c r="Z5486">
        <v>2.328985E-3</v>
      </c>
      <c r="AA5486">
        <v>0.99704099999999996</v>
      </c>
      <c r="AB5486">
        <v>29</v>
      </c>
      <c r="AC5486">
        <v>46.386699999999898</v>
      </c>
      <c r="AD5486">
        <v>-1.11024297773499</v>
      </c>
      <c r="AE5486">
        <v>8.8619999999998797E-2</v>
      </c>
      <c r="AF5486">
        <v>-3.57753153148674</v>
      </c>
      <c r="AG5486">
        <v>-1.11024297773499</v>
      </c>
      <c r="AH5486">
        <v>46.2219849894432</v>
      </c>
      <c r="AI5486">
        <v>91.371867322042405</v>
      </c>
      <c r="AJ5486">
        <v>94.425807561132402</v>
      </c>
      <c r="AK5486">
        <v>46.373519035034498</v>
      </c>
      <c r="AL5486">
        <v>81.487817145709599</v>
      </c>
      <c r="AM5486">
        <v>93.212255579976301</v>
      </c>
      <c r="AN5486">
        <v>0.99999997879176705</v>
      </c>
    </row>
    <row r="5487" spans="1:40" x14ac:dyDescent="0.25">
      <c r="A5487" t="str">
        <f>"20190304155744655"</f>
        <v>20190304155744655</v>
      </c>
      <c r="B5487" t="str">
        <f>"1551686264650726"</f>
        <v>1551686264650726</v>
      </c>
      <c r="C5487" t="s">
        <v>40</v>
      </c>
      <c r="D5487">
        <v>4.5703779999999998</v>
      </c>
      <c r="E5487">
        <v>0.49128240000000001</v>
      </c>
      <c r="F5487" t="s">
        <v>41</v>
      </c>
      <c r="G5487">
        <v>-343.36590000000001</v>
      </c>
      <c r="H5487" s="1">
        <v>-3.0597550000000002E-6</v>
      </c>
      <c r="I5487">
        <v>18.31146</v>
      </c>
      <c r="J5487">
        <v>-389.68849999999998</v>
      </c>
      <c r="K5487">
        <v>1.1102050000000001</v>
      </c>
      <c r="L5487">
        <v>18.175049999999999</v>
      </c>
      <c r="M5487">
        <v>0.99715169999999997</v>
      </c>
      <c r="N5487">
        <v>-1.028542E-2</v>
      </c>
      <c r="O5487">
        <v>-7.4717569999999997E-2</v>
      </c>
      <c r="P5487">
        <v>0.99030050000000003</v>
      </c>
      <c r="Q5487">
        <v>0.1376674</v>
      </c>
      <c r="R5487">
        <v>-1.8781470000000001E-2</v>
      </c>
      <c r="S5487">
        <v>3.0397340000000002</v>
      </c>
      <c r="T5487">
        <v>-7.2437760000000004E-2</v>
      </c>
      <c r="U5487">
        <v>7.6293949999999998E-3</v>
      </c>
      <c r="V5487">
        <v>-5.5447259999999998E-2</v>
      </c>
      <c r="W5487">
        <v>0.14776449999999999</v>
      </c>
      <c r="X5487">
        <v>0.98746710000000004</v>
      </c>
      <c r="Y5487">
        <v>-7.7185970000000007E-2</v>
      </c>
      <c r="Z5487">
        <v>2.3266910000000001E-3</v>
      </c>
      <c r="AA5487">
        <v>0.99701399999999996</v>
      </c>
      <c r="AB5487">
        <v>30</v>
      </c>
      <c r="AC5487">
        <v>46.322599999999902</v>
      </c>
      <c r="AD5487">
        <v>-1.1102080597549999</v>
      </c>
      <c r="AE5487">
        <v>0.136410000000001</v>
      </c>
      <c r="AF5487">
        <v>-3.5952586854997599</v>
      </c>
      <c r="AG5487">
        <v>-1.1102080597549999</v>
      </c>
      <c r="AH5487">
        <v>46.156397085439004</v>
      </c>
      <c r="AI5487">
        <v>91.3737204355362</v>
      </c>
      <c r="AJ5487">
        <v>94.453944926516499</v>
      </c>
      <c r="AK5487">
        <v>46.309517799911603</v>
      </c>
      <c r="AL5487">
        <v>81.502601872092995</v>
      </c>
      <c r="AM5487">
        <v>93.213840177314395</v>
      </c>
      <c r="AN5487">
        <v>1.00000000984208</v>
      </c>
    </row>
    <row r="5488" spans="1:40" x14ac:dyDescent="0.25">
      <c r="A5488" t="str">
        <f>"20190304155744675"</f>
        <v>20190304155744675</v>
      </c>
      <c r="B5488" t="str">
        <f>"1551686264670246"</f>
        <v>1551686264670246</v>
      </c>
      <c r="C5488" t="s">
        <v>40</v>
      </c>
      <c r="D5488">
        <v>4.574821</v>
      </c>
      <c r="E5488">
        <v>0.49104100000000001</v>
      </c>
      <c r="F5488" t="s">
        <v>41</v>
      </c>
      <c r="G5488">
        <v>-343.238</v>
      </c>
      <c r="H5488" s="1">
        <v>-3.1069050000000002E-6</v>
      </c>
      <c r="I5488">
        <v>18.354970000000002</v>
      </c>
      <c r="J5488">
        <v>-389.41890000000001</v>
      </c>
      <c r="K5488">
        <v>1.1101719999999999</v>
      </c>
      <c r="L5488">
        <v>18.155460000000001</v>
      </c>
      <c r="M5488">
        <v>0.99719009999999997</v>
      </c>
      <c r="N5488">
        <v>-1.0278560000000001E-2</v>
      </c>
      <c r="O5488">
        <v>-7.4204839999999994E-2</v>
      </c>
      <c r="P5488">
        <v>0.99027540000000003</v>
      </c>
      <c r="Q5488">
        <v>0.138021799999999</v>
      </c>
      <c r="R5488">
        <v>-1.745851E-2</v>
      </c>
      <c r="S5488">
        <v>3.0397029999999998</v>
      </c>
      <c r="T5488">
        <v>-7.265162E-2</v>
      </c>
      <c r="U5488">
        <v>1.177979E-2</v>
      </c>
      <c r="V5488">
        <v>-5.6244719999999998E-2</v>
      </c>
      <c r="W5488">
        <v>0.14811489999999999</v>
      </c>
      <c r="X5488">
        <v>0.98736950000000001</v>
      </c>
      <c r="Y5488">
        <v>-7.8034080000000006E-2</v>
      </c>
      <c r="Z5488">
        <v>2.3425070000000002E-3</v>
      </c>
      <c r="AA5488">
        <v>0.9969479</v>
      </c>
      <c r="AB5488">
        <v>30</v>
      </c>
      <c r="AC5488">
        <v>46.180899999999902</v>
      </c>
      <c r="AD5488">
        <v>-1.1101751069050001</v>
      </c>
      <c r="AE5488">
        <v>0.19950999999999999</v>
      </c>
      <c r="AF5488">
        <v>-3.6238928169523499</v>
      </c>
      <c r="AG5488">
        <v>-1.1101751069050001</v>
      </c>
      <c r="AH5488">
        <v>46.012171079759099</v>
      </c>
      <c r="AI5488">
        <v>91.377890932521495</v>
      </c>
      <c r="AJ5488">
        <v>94.503287476808794</v>
      </c>
      <c r="AK5488">
        <v>46.168008137559603</v>
      </c>
      <c r="AL5488">
        <v>81.482302068154098</v>
      </c>
      <c r="AM5488">
        <v>93.260285201092898</v>
      </c>
      <c r="AN5488">
        <v>1.00000001083006</v>
      </c>
    </row>
    <row r="5489" spans="1:40" x14ac:dyDescent="0.25">
      <c r="A5489" t="str">
        <f>"20190304155744686"</f>
        <v>20190304155744686</v>
      </c>
      <c r="B5489" t="str">
        <f>"1551686264680007"</f>
        <v>1551686264680007</v>
      </c>
      <c r="C5489" t="s">
        <v>40</v>
      </c>
      <c r="D5489">
        <v>4.5905060000000004</v>
      </c>
      <c r="E5489">
        <v>0.4909039</v>
      </c>
      <c r="F5489" t="s">
        <v>41</v>
      </c>
      <c r="G5489">
        <v>-341.84589999999997</v>
      </c>
      <c r="H5489" s="1">
        <v>-3.6916630000000002E-6</v>
      </c>
      <c r="I5489">
        <v>18.425229999999999</v>
      </c>
      <c r="J5489">
        <v>-389.25650000000002</v>
      </c>
      <c r="K5489">
        <v>1.1101529999999999</v>
      </c>
      <c r="L5489">
        <v>18.14368</v>
      </c>
      <c r="M5489">
        <v>0.99721219999999999</v>
      </c>
      <c r="N5489">
        <v>-1.027484E-2</v>
      </c>
      <c r="O5489">
        <v>-7.3908790000000002E-2</v>
      </c>
      <c r="P5489">
        <v>0.99027730000000003</v>
      </c>
      <c r="Q5489">
        <v>0.1381175</v>
      </c>
      <c r="R5489">
        <v>-1.6579440000000001E-2</v>
      </c>
      <c r="S5489">
        <v>3.039612</v>
      </c>
      <c r="T5489">
        <v>-7.0933099999999999E-2</v>
      </c>
      <c r="U5489">
        <v>1.724243E-2</v>
      </c>
      <c r="V5489">
        <v>-5.6822070000000002E-2</v>
      </c>
      <c r="W5489">
        <v>0.14820829999999999</v>
      </c>
      <c r="X5489">
        <v>0.98732240000000004</v>
      </c>
      <c r="Y5489">
        <v>-7.9531009999999999E-2</v>
      </c>
      <c r="Z5489">
        <v>2.3000989999999999E-3</v>
      </c>
      <c r="AA5489">
        <v>0.99682969999999904</v>
      </c>
      <c r="AB5489">
        <v>30</v>
      </c>
      <c r="AC5489">
        <v>47.410600000000002</v>
      </c>
      <c r="AD5489">
        <v>-1.1101566916629999</v>
      </c>
      <c r="AE5489">
        <v>0.28154999999999902</v>
      </c>
      <c r="AF5489">
        <v>-3.7829503809560099</v>
      </c>
      <c r="AG5489">
        <v>-1.1101566916629999</v>
      </c>
      <c r="AH5489">
        <v>47.234210897568602</v>
      </c>
      <c r="AI5489">
        <v>91.342092390499701</v>
      </c>
      <c r="AJ5489">
        <v>94.578999768599502</v>
      </c>
      <c r="AK5489">
        <v>47.398458208899697</v>
      </c>
      <c r="AL5489">
        <v>81.476890695959696</v>
      </c>
      <c r="AM5489">
        <v>93.293835380708302</v>
      </c>
      <c r="AN5489">
        <v>0.99999998468486695</v>
      </c>
    </row>
    <row r="5490" spans="1:40" x14ac:dyDescent="0.25">
      <c r="A5490" t="str">
        <f>"20190304155744698"</f>
        <v>20190304155744698</v>
      </c>
      <c r="B5490" t="str">
        <f>"1551686264690742"</f>
        <v>1551686264690742</v>
      </c>
      <c r="C5490" t="s">
        <v>40</v>
      </c>
      <c r="D5490">
        <v>4.5550509999999997</v>
      </c>
      <c r="E5490">
        <v>0.4907724</v>
      </c>
      <c r="F5490" t="s">
        <v>41</v>
      </c>
      <c r="G5490">
        <v>-341.22340000000003</v>
      </c>
      <c r="H5490" s="1">
        <v>-3.950151E-6</v>
      </c>
      <c r="I5490">
        <v>18.47345</v>
      </c>
      <c r="J5490">
        <v>-389.11399999999998</v>
      </c>
      <c r="K5490">
        <v>1.110139</v>
      </c>
      <c r="L5490">
        <v>18.133389999999999</v>
      </c>
      <c r="M5490">
        <v>0.99723059999999997</v>
      </c>
      <c r="N5490">
        <v>-1.0272079999999999E-2</v>
      </c>
      <c r="O5490">
        <v>-7.3659550000000004E-2</v>
      </c>
      <c r="P5490">
        <v>0.99023969999999994</v>
      </c>
      <c r="Q5490">
        <v>0.13843349999999999</v>
      </c>
      <c r="R5490">
        <v>-1.6186659999999999E-2</v>
      </c>
      <c r="S5490">
        <v>3.039612</v>
      </c>
      <c r="T5490">
        <v>-7.0252540000000002E-2</v>
      </c>
      <c r="U5490">
        <v>2.087402E-2</v>
      </c>
      <c r="V5490">
        <v>-5.6958700000000001E-2</v>
      </c>
      <c r="W5490">
        <v>0.14852290000000001</v>
      </c>
      <c r="X5490">
        <v>0.98726729999999996</v>
      </c>
      <c r="Y5490">
        <v>-8.0473149999999993E-2</v>
      </c>
      <c r="Z5490">
        <v>2.287323E-3</v>
      </c>
      <c r="AA5490">
        <v>0.99675420000000003</v>
      </c>
      <c r="AB5490">
        <v>30</v>
      </c>
      <c r="AC5490">
        <v>47.890599999999999</v>
      </c>
      <c r="AD5490">
        <v>-1.1101429501510001</v>
      </c>
      <c r="AE5490">
        <v>0.34006000000000097</v>
      </c>
      <c r="AF5490">
        <v>-3.8648454074126501</v>
      </c>
      <c r="AG5490">
        <v>-1.1101429501510001</v>
      </c>
      <c r="AH5490">
        <v>47.709803286083698</v>
      </c>
      <c r="AI5490">
        <v>91.328604606478706</v>
      </c>
      <c r="AJ5490">
        <v>94.631267317527403</v>
      </c>
      <c r="AK5490">
        <v>47.878959648156197</v>
      </c>
      <c r="AL5490">
        <v>81.458664137721101</v>
      </c>
      <c r="AM5490">
        <v>93.301921848103007</v>
      </c>
      <c r="AN5490">
        <v>1.0000000334896899</v>
      </c>
    </row>
    <row r="5491" spans="1:40" x14ac:dyDescent="0.25">
      <c r="A5491" t="str">
        <f>"20190304155744712"</f>
        <v>20190304155744712</v>
      </c>
      <c r="B5491" t="str">
        <f>"1551686264700502"</f>
        <v>1551686264700502</v>
      </c>
      <c r="C5491" t="s">
        <v>40</v>
      </c>
      <c r="D5491">
        <v>4.5797270000000001</v>
      </c>
      <c r="E5491">
        <v>0.49066179999999898</v>
      </c>
      <c r="F5491" t="s">
        <v>41</v>
      </c>
      <c r="G5491">
        <v>-340.09219999999999</v>
      </c>
      <c r="H5491" s="1">
        <v>-4.4299370000000001E-6</v>
      </c>
      <c r="I5491">
        <v>18.50441</v>
      </c>
      <c r="J5491">
        <v>-388.93389999999999</v>
      </c>
      <c r="K5491">
        <v>1.1101259999999999</v>
      </c>
      <c r="L5491">
        <v>18.12039</v>
      </c>
      <c r="M5491">
        <v>0.99725350000000001</v>
      </c>
      <c r="N5491">
        <v>-1.0268859999999999E-2</v>
      </c>
      <c r="O5491">
        <v>-7.3350869999999999E-2</v>
      </c>
      <c r="P5491">
        <v>0.9901877</v>
      </c>
      <c r="Q5491">
        <v>0.13886299999999999</v>
      </c>
      <c r="R5491">
        <v>-1.5661580000000001E-2</v>
      </c>
      <c r="S5491">
        <v>3.0395509999999999</v>
      </c>
      <c r="T5491">
        <v>-6.8833350000000001E-2</v>
      </c>
      <c r="U5491">
        <v>2.3010249999999999E-2</v>
      </c>
      <c r="V5491">
        <v>-5.7166830000000002E-2</v>
      </c>
      <c r="W5491">
        <v>0.14895050000000001</v>
      </c>
      <c r="X5491">
        <v>0.98719080000000003</v>
      </c>
      <c r="Y5491">
        <v>-8.0866579999999993E-2</v>
      </c>
      <c r="Z5491">
        <v>2.2370279999999998E-3</v>
      </c>
      <c r="AA5491">
        <v>0.99672240000000001</v>
      </c>
      <c r="AB5491">
        <v>30</v>
      </c>
      <c r="AC5491">
        <v>48.841700000000003</v>
      </c>
      <c r="AD5491">
        <v>-1.1101304299369901</v>
      </c>
      <c r="AE5491">
        <v>0.38401999999999897</v>
      </c>
      <c r="AF5491">
        <v>-3.9637073138241701</v>
      </c>
      <c r="AG5491">
        <v>-1.1101304299369901</v>
      </c>
      <c r="AH5491">
        <v>48.6568112808013</v>
      </c>
      <c r="AI5491">
        <v>91.302692437505499</v>
      </c>
      <c r="AJ5491">
        <v>94.657175856868193</v>
      </c>
      <c r="AK5491">
        <v>48.830611805061899</v>
      </c>
      <c r="AL5491">
        <v>81.433888480433396</v>
      </c>
      <c r="AM5491">
        <v>93.314216631931899</v>
      </c>
      <c r="AN5491">
        <v>0.99999998675356905</v>
      </c>
    </row>
    <row r="5492" spans="1:40" x14ac:dyDescent="0.25">
      <c r="A5492" t="str">
        <f>"20190304155744732"</f>
        <v>20190304155744732</v>
      </c>
      <c r="B5492" t="str">
        <f>"1551686264720022"</f>
        <v>1551686264720022</v>
      </c>
      <c r="C5492" t="s">
        <v>40</v>
      </c>
      <c r="D5492">
        <v>4.5804090000000004</v>
      </c>
      <c r="E5492">
        <v>0.49066080000000001</v>
      </c>
      <c r="F5492" t="s">
        <v>41</v>
      </c>
      <c r="G5492">
        <v>-338.50110000000001</v>
      </c>
      <c r="H5492" s="1">
        <v>-8.1598039999999995E-7</v>
      </c>
      <c r="I5492">
        <v>18.541599999999999</v>
      </c>
      <c r="J5492">
        <v>-388.66609999999997</v>
      </c>
      <c r="K5492">
        <v>1.1101030000000001</v>
      </c>
      <c r="L5492">
        <v>18.101199999999999</v>
      </c>
      <c r="M5492">
        <v>0.99728510000000004</v>
      </c>
      <c r="N5492">
        <v>-1.0264830000000001E-2</v>
      </c>
      <c r="O5492">
        <v>-7.2919120000000004E-2</v>
      </c>
      <c r="P5492">
        <v>0.99014539999999995</v>
      </c>
      <c r="Q5492">
        <v>0.13918929999999999</v>
      </c>
      <c r="R5492">
        <v>-1.5448740000000001E-2</v>
      </c>
      <c r="S5492">
        <v>3.0395509999999999</v>
      </c>
      <c r="T5492">
        <v>-6.6906569999999999E-2</v>
      </c>
      <c r="U5492">
        <v>2.5390630000000001E-2</v>
      </c>
      <c r="V5492">
        <v>-5.6939459999999997E-2</v>
      </c>
      <c r="W5492">
        <v>0.14927589999999999</v>
      </c>
      <c r="X5492">
        <v>0.9871548</v>
      </c>
      <c r="Y5492">
        <v>-8.1217449999999997E-2</v>
      </c>
      <c r="Z5492">
        <v>2.1657120000000002E-3</v>
      </c>
      <c r="AA5492">
        <v>0.99669399999999997</v>
      </c>
      <c r="AB5492">
        <v>30</v>
      </c>
      <c r="AC5492">
        <v>50.1649999999999</v>
      </c>
      <c r="AD5492">
        <v>-1.11010381598039</v>
      </c>
      <c r="AE5492">
        <v>0.44040000000000001</v>
      </c>
      <c r="AF5492">
        <v>-4.0954022632465499</v>
      </c>
      <c r="AG5492">
        <v>-1.11010381598039</v>
      </c>
      <c r="AH5492">
        <v>49.9748537324</v>
      </c>
      <c r="AI5492">
        <v>91.268265971075394</v>
      </c>
      <c r="AJ5492">
        <v>94.684878043879294</v>
      </c>
      <c r="AK5492">
        <v>50.154667337694796</v>
      </c>
      <c r="AL5492">
        <v>81.415033734299598</v>
      </c>
      <c r="AM5492">
        <v>93.301184304243193</v>
      </c>
      <c r="AN5492">
        <v>0.99999999779447002</v>
      </c>
    </row>
    <row r="5493" spans="1:40" x14ac:dyDescent="0.25">
      <c r="A5493" t="str">
        <f>"20190304155744745"</f>
        <v>20190304155744745</v>
      </c>
      <c r="B5493" t="str">
        <f>"1551686264740518"</f>
        <v>1551686264740518</v>
      </c>
      <c r="C5493" t="s">
        <v>40</v>
      </c>
      <c r="D5493">
        <v>4.547409</v>
      </c>
      <c r="E5493">
        <v>0.4908304</v>
      </c>
      <c r="F5493" t="s">
        <v>41</v>
      </c>
      <c r="G5493">
        <v>-336.61340000000001</v>
      </c>
      <c r="H5493" s="1">
        <v>-1.625295E-6</v>
      </c>
      <c r="I5493">
        <v>18.544329999999999</v>
      </c>
      <c r="J5493">
        <v>-388.4862</v>
      </c>
      <c r="K5493">
        <v>1.1100909999999999</v>
      </c>
      <c r="L5493">
        <v>18.08832</v>
      </c>
      <c r="M5493">
        <v>0.99730529999999995</v>
      </c>
      <c r="N5493">
        <v>-1.0262790000000001E-2</v>
      </c>
      <c r="O5493">
        <v>-7.2644050000000002E-2</v>
      </c>
      <c r="P5493">
        <v>0.99008739999999995</v>
      </c>
      <c r="Q5493">
        <v>0.13955809999999999</v>
      </c>
      <c r="R5493">
        <v>-1.5851580000000001E-2</v>
      </c>
      <c r="S5493">
        <v>3.0393680000000001</v>
      </c>
      <c r="T5493">
        <v>-6.4819219999999997E-2</v>
      </c>
      <c r="U5493">
        <v>2.5878910000000001E-2</v>
      </c>
      <c r="V5493">
        <v>-5.6255149999999997E-2</v>
      </c>
      <c r="W5493">
        <v>0.14964549999999999</v>
      </c>
      <c r="X5493">
        <v>0.98713810000000002</v>
      </c>
      <c r="Y5493">
        <v>-8.1105269999999993E-2</v>
      </c>
      <c r="Z5493">
        <v>2.0832149999999998E-3</v>
      </c>
      <c r="AA5493">
        <v>0.99670340000000002</v>
      </c>
      <c r="AB5493">
        <v>30</v>
      </c>
      <c r="AC5493">
        <v>51.872799999999899</v>
      </c>
      <c r="AD5493">
        <v>-1.1100926252950001</v>
      </c>
      <c r="AE5493">
        <v>0.45600999999999903</v>
      </c>
      <c r="AF5493">
        <v>-4.2213200547578502</v>
      </c>
      <c r="AG5493">
        <v>-1.1100926252950001</v>
      </c>
      <c r="AH5493">
        <v>51.6789402232952</v>
      </c>
      <c r="AI5493">
        <v>91.226472659783795</v>
      </c>
      <c r="AJ5493">
        <v>94.669756068606503</v>
      </c>
      <c r="AK5493">
        <v>51.862941598451201</v>
      </c>
      <c r="AL5493">
        <v>81.393616868952805</v>
      </c>
      <c r="AM5493">
        <v>93.261651233667493</v>
      </c>
      <c r="AN5493">
        <v>1.0000000230216901</v>
      </c>
    </row>
    <row r="5494" spans="1:40" x14ac:dyDescent="0.25">
      <c r="A5494" t="str">
        <f>"20190304155744766"</f>
        <v>20190304155744766</v>
      </c>
      <c r="B5494" t="str">
        <f>"1551686264760039"</f>
        <v>1551686264760039</v>
      </c>
      <c r="C5494" t="s">
        <v>40</v>
      </c>
      <c r="D5494">
        <v>4.4440580000000001</v>
      </c>
      <c r="E5494">
        <v>0.49103330000000001</v>
      </c>
      <c r="F5494" t="s">
        <v>41</v>
      </c>
      <c r="G5494">
        <v>-335.99619999999999</v>
      </c>
      <c r="H5494" s="1">
        <v>-1.899016E-6</v>
      </c>
      <c r="I5494">
        <v>18.494039999999998</v>
      </c>
      <c r="J5494">
        <v>-388.20639999999997</v>
      </c>
      <c r="K5494">
        <v>1.1100680000000001</v>
      </c>
      <c r="L5494">
        <v>18.068390000000001</v>
      </c>
      <c r="M5494">
        <v>0.99733510000000003</v>
      </c>
      <c r="N5494">
        <v>-1.026003E-2</v>
      </c>
      <c r="O5494">
        <v>-7.2232669999999999E-2</v>
      </c>
      <c r="P5494">
        <v>0.99002120000000005</v>
      </c>
      <c r="Q5494">
        <v>0.139957</v>
      </c>
      <c r="R5494">
        <v>-1.6435120000000001E-2</v>
      </c>
      <c r="S5494">
        <v>3.03952</v>
      </c>
      <c r="T5494">
        <v>-6.4281699999999997E-2</v>
      </c>
      <c r="U5494">
        <v>2.3498539999999998E-2</v>
      </c>
      <c r="V5494">
        <v>-5.5252429999999998E-2</v>
      </c>
      <c r="W5494">
        <v>0.15004529999999999</v>
      </c>
      <c r="X5494">
        <v>0.98713399999999996</v>
      </c>
      <c r="Y5494">
        <v>-7.9914109999999997E-2</v>
      </c>
      <c r="Z5494">
        <v>2.0400040000000002E-3</v>
      </c>
      <c r="AA5494">
        <v>0.99679960000000001</v>
      </c>
      <c r="AB5494">
        <v>30</v>
      </c>
      <c r="AC5494">
        <v>52.210199999999901</v>
      </c>
      <c r="AD5494">
        <v>-1.1100698990160001</v>
      </c>
      <c r="AE5494">
        <v>0.42564999999999698</v>
      </c>
      <c r="AF5494">
        <v>-4.1941225801575399</v>
      </c>
      <c r="AG5494">
        <v>-1.1100698990160001</v>
      </c>
      <c r="AH5494">
        <v>52.019541111031401</v>
      </c>
      <c r="AI5494">
        <v>91.218523623281001</v>
      </c>
      <c r="AJ5494">
        <v>94.609553142368199</v>
      </c>
      <c r="AK5494">
        <v>52.200149202855499</v>
      </c>
      <c r="AL5494">
        <v>81.370448045033498</v>
      </c>
      <c r="AM5494">
        <v>93.2036493971233</v>
      </c>
      <c r="AN5494">
        <v>0.99999997851449696</v>
      </c>
    </row>
    <row r="5495" spans="1:40" x14ac:dyDescent="0.25">
      <c r="A5495" t="str">
        <f>"20190304155744777"</f>
        <v>20190304155744777</v>
      </c>
      <c r="B5495" t="str">
        <f>"1551686264769799"</f>
        <v>1551686264769799</v>
      </c>
      <c r="C5495" t="s">
        <v>40</v>
      </c>
      <c r="D5495">
        <v>4.4083040000000002</v>
      </c>
      <c r="E5495">
        <v>0.4911355</v>
      </c>
      <c r="F5495" t="s">
        <v>41</v>
      </c>
      <c r="G5495">
        <v>-334.96530000000001</v>
      </c>
      <c r="H5495" s="1">
        <v>-2.355418E-6</v>
      </c>
      <c r="I5495">
        <v>18.414169999999999</v>
      </c>
      <c r="J5495">
        <v>-388.05540000000002</v>
      </c>
      <c r="K5495">
        <v>1.1100490000000001</v>
      </c>
      <c r="L5495">
        <v>18.05771</v>
      </c>
      <c r="M5495">
        <v>0.99735030000000002</v>
      </c>
      <c r="N5495">
        <v>-1.02589E-2</v>
      </c>
      <c r="O5495">
        <v>-7.2021569999999993E-2</v>
      </c>
      <c r="P5495">
        <v>0.98998699999999995</v>
      </c>
      <c r="Q5495">
        <v>0.14011770000000001</v>
      </c>
      <c r="R5495">
        <v>-1.711795E-2</v>
      </c>
      <c r="S5495">
        <v>3.0394899999999998</v>
      </c>
      <c r="T5495">
        <v>-6.3372970000000001E-2</v>
      </c>
      <c r="U5495">
        <v>1.9744870000000001E-2</v>
      </c>
      <c r="V5495">
        <v>-5.4355790000000001E-2</v>
      </c>
      <c r="W5495">
        <v>0.15020749999999999</v>
      </c>
      <c r="X5495">
        <v>0.98715909999999996</v>
      </c>
      <c r="Y5495">
        <v>-7.8473479999999998E-2</v>
      </c>
      <c r="Z5495">
        <v>1.9818930000000002E-3</v>
      </c>
      <c r="AA5495">
        <v>0.99691419999999997</v>
      </c>
      <c r="AB5495">
        <v>30</v>
      </c>
      <c r="AC5495">
        <v>53.0901</v>
      </c>
      <c r="AD5495">
        <v>-1.110051355418</v>
      </c>
      <c r="AE5495">
        <v>0.356460000000002</v>
      </c>
      <c r="AF5495">
        <v>-4.1775415833990497</v>
      </c>
      <c r="AG5495">
        <v>-1.110051355418</v>
      </c>
      <c r="AH5495">
        <v>52.903413076250096</v>
      </c>
      <c r="AI5495">
        <v>91.198309099392901</v>
      </c>
      <c r="AJ5495">
        <v>94.515017782877493</v>
      </c>
      <c r="AK5495">
        <v>53.079705941245003</v>
      </c>
      <c r="AL5495">
        <v>81.361048036821501</v>
      </c>
      <c r="AM5495">
        <v>93.151686067030994</v>
      </c>
      <c r="AN5495">
        <v>0.99999996683779102</v>
      </c>
    </row>
    <row r="5496" spans="1:40" x14ac:dyDescent="0.25">
      <c r="A5496" t="str">
        <f>"20190304155744789"</f>
        <v>20190304155744789</v>
      </c>
      <c r="B5496" t="str">
        <f>"1551686264780534"</f>
        <v>1551686264780534</v>
      </c>
      <c r="C5496" t="s">
        <v>40</v>
      </c>
      <c r="D5496">
        <v>4.4382000000000001</v>
      </c>
      <c r="E5496">
        <v>0.491228</v>
      </c>
      <c r="F5496" t="s">
        <v>41</v>
      </c>
      <c r="G5496">
        <v>-334.45620000000002</v>
      </c>
      <c r="H5496" s="1">
        <v>-2.5852339999999999E-6</v>
      </c>
      <c r="I5496">
        <v>18.34984</v>
      </c>
      <c r="J5496">
        <v>-387.90199999999999</v>
      </c>
      <c r="K5496">
        <v>1.1100380000000001</v>
      </c>
      <c r="L5496">
        <v>18.046810000000001</v>
      </c>
      <c r="M5496">
        <v>0.99736559999999996</v>
      </c>
      <c r="N5496">
        <v>-1.025789E-2</v>
      </c>
      <c r="O5496">
        <v>-7.1811180000000002E-2</v>
      </c>
      <c r="P5496">
        <v>0.98999760000000003</v>
      </c>
      <c r="Q5496">
        <v>0.13999310000000001</v>
      </c>
      <c r="R5496">
        <v>-1.7520319999999999E-2</v>
      </c>
      <c r="S5496">
        <v>3.03952</v>
      </c>
      <c r="T5496">
        <v>-6.2949179999999993E-2</v>
      </c>
      <c r="U5496">
        <v>1.6571039999999999E-2</v>
      </c>
      <c r="V5496">
        <v>-5.3742499999999999E-2</v>
      </c>
      <c r="W5496">
        <v>0.15008489999999999</v>
      </c>
      <c r="X5496">
        <v>0.98721130000000001</v>
      </c>
      <c r="Y5496">
        <v>-7.7222940000000004E-2</v>
      </c>
      <c r="Z5496">
        <v>1.9448320000000001E-3</v>
      </c>
      <c r="AA5496">
        <v>0.99701200000000001</v>
      </c>
      <c r="AB5496">
        <v>30</v>
      </c>
      <c r="AC5496">
        <v>53.445799999999899</v>
      </c>
      <c r="AD5496">
        <v>-1.1100405852339901</v>
      </c>
      <c r="AE5496">
        <v>0.30302999999999902</v>
      </c>
      <c r="AF5496">
        <v>-4.1386698280155096</v>
      </c>
      <c r="AG5496">
        <v>-1.1100405852339901</v>
      </c>
      <c r="AH5496">
        <v>53.263064034072997</v>
      </c>
      <c r="AI5496">
        <v>91.190325494268507</v>
      </c>
      <c r="AJ5496">
        <v>94.4430940199681</v>
      </c>
      <c r="AK5496">
        <v>53.435145441403598</v>
      </c>
      <c r="AL5496">
        <v>81.368152828916294</v>
      </c>
      <c r="AM5496">
        <v>93.116031997684701</v>
      </c>
      <c r="AN5496">
        <v>0.99999994218097299</v>
      </c>
    </row>
    <row r="5497" spans="1:40" x14ac:dyDescent="0.25">
      <c r="A5497" t="str">
        <f>"20190304155744809"</f>
        <v>20190304155744809</v>
      </c>
      <c r="B5497" t="str">
        <f>"1551686264800055"</f>
        <v>1551686264800055</v>
      </c>
      <c r="C5497" t="s">
        <v>40</v>
      </c>
      <c r="D5497">
        <v>4.4280609999999996</v>
      </c>
      <c r="E5497">
        <v>0.4914058</v>
      </c>
      <c r="F5497" t="s">
        <v>41</v>
      </c>
      <c r="G5497">
        <v>-334.70389999999998</v>
      </c>
      <c r="H5497" s="1">
        <v>-2.4883809999999999E-6</v>
      </c>
      <c r="I5497">
        <v>18.296700000000001</v>
      </c>
      <c r="J5497">
        <v>-387.642</v>
      </c>
      <c r="K5497">
        <v>1.110023</v>
      </c>
      <c r="L5497">
        <v>18.028469999999999</v>
      </c>
      <c r="M5497">
        <v>0.99738979999999999</v>
      </c>
      <c r="N5497">
        <v>-1.025657E-2</v>
      </c>
      <c r="O5497">
        <v>-7.1474270000000006E-2</v>
      </c>
      <c r="P5497">
        <v>0.98995759999999999</v>
      </c>
      <c r="Q5497">
        <v>0.14017859999999999</v>
      </c>
      <c r="R5497">
        <v>-1.828256E-2</v>
      </c>
      <c r="S5497">
        <v>3.03952</v>
      </c>
      <c r="T5497">
        <v>-6.3423160000000006E-2</v>
      </c>
      <c r="U5497">
        <v>1.428223E-2</v>
      </c>
      <c r="V5497">
        <v>-5.2638480000000001E-2</v>
      </c>
      <c r="W5497">
        <v>0.15027209999999999</v>
      </c>
      <c r="X5497">
        <v>0.98724239999999996</v>
      </c>
      <c r="Y5497">
        <v>-7.6135300000000003E-2</v>
      </c>
      <c r="Z5497">
        <v>1.941592E-3</v>
      </c>
      <c r="AA5497">
        <v>0.99709559999999997</v>
      </c>
      <c r="AB5497">
        <v>30</v>
      </c>
      <c r="AC5497">
        <v>52.938099999999999</v>
      </c>
      <c r="AD5497">
        <v>-1.1100254883809999</v>
      </c>
      <c r="AE5497">
        <v>0.26822999999999902</v>
      </c>
      <c r="AF5497">
        <v>-4.0496741730194001</v>
      </c>
      <c r="AG5497">
        <v>-1.1100254883809999</v>
      </c>
      <c r="AH5497">
        <v>52.760324384023399</v>
      </c>
      <c r="AI5497">
        <v>91.201735437067498</v>
      </c>
      <c r="AJ5497">
        <v>94.389191672240401</v>
      </c>
      <c r="AK5497">
        <v>52.927156041108503</v>
      </c>
      <c r="AL5497">
        <v>81.357304829138997</v>
      </c>
      <c r="AM5497">
        <v>93.052046385706404</v>
      </c>
      <c r="AN5497">
        <v>1.00000003498643</v>
      </c>
    </row>
    <row r="5498" spans="1:40" x14ac:dyDescent="0.25">
      <c r="A5498" t="str">
        <f>"20190304155744822"</f>
        <v>20190304155744822</v>
      </c>
      <c r="B5498" t="str">
        <f>"1551686264810790"</f>
        <v>1551686264810790</v>
      </c>
      <c r="C5498" t="s">
        <v>40</v>
      </c>
      <c r="D5498">
        <v>4.459282</v>
      </c>
      <c r="E5498">
        <v>0.49148180000000002</v>
      </c>
      <c r="F5498" t="s">
        <v>41</v>
      </c>
      <c r="G5498">
        <v>-334.0598</v>
      </c>
      <c r="H5498" s="1">
        <v>-2.7802320000000001E-6</v>
      </c>
      <c r="I5498">
        <v>18.209150000000001</v>
      </c>
      <c r="J5498">
        <v>-387.46850000000001</v>
      </c>
      <c r="K5498">
        <v>1.1100129999999999</v>
      </c>
      <c r="L5498">
        <v>18.016269999999999</v>
      </c>
      <c r="M5498">
        <v>0.99740499999999999</v>
      </c>
      <c r="N5498">
        <v>-1.0256110000000001E-2</v>
      </c>
      <c r="O5498">
        <v>-7.1261740000000004E-2</v>
      </c>
      <c r="P5498">
        <v>0.98997900000000005</v>
      </c>
      <c r="Q5498">
        <v>0.14002890000000001</v>
      </c>
      <c r="R5498">
        <v>-1.8272279999999998E-2</v>
      </c>
      <c r="S5498">
        <v>3.03952</v>
      </c>
      <c r="T5498">
        <v>-6.2967659999999995E-2</v>
      </c>
      <c r="U5498">
        <v>1.025391E-2</v>
      </c>
      <c r="V5498">
        <v>-5.24349E-2</v>
      </c>
      <c r="W5498">
        <v>0.15012400000000001</v>
      </c>
      <c r="X5498">
        <v>0.98727569999999998</v>
      </c>
      <c r="Y5498">
        <v>-7.4602219999999997E-2</v>
      </c>
      <c r="Z5498">
        <v>1.8992270000000001E-3</v>
      </c>
      <c r="AA5498">
        <v>0.99721159999999998</v>
      </c>
      <c r="AB5498">
        <v>30</v>
      </c>
      <c r="AC5498">
        <v>53.408700000000003</v>
      </c>
      <c r="AD5498">
        <v>-1.1100157802320001</v>
      </c>
      <c r="AE5498">
        <v>0.192879999999998</v>
      </c>
      <c r="AF5498">
        <v>-3.9968599372228</v>
      </c>
      <c r="AG5498">
        <v>-1.1100157802320001</v>
      </c>
      <c r="AH5498">
        <v>53.2361613444018</v>
      </c>
      <c r="AI5498">
        <v>91.191137573194993</v>
      </c>
      <c r="AJ5498">
        <v>94.293592469736197</v>
      </c>
      <c r="AK5498">
        <v>53.397527087659498</v>
      </c>
      <c r="AL5498">
        <v>81.365887141454607</v>
      </c>
      <c r="AM5498">
        <v>93.040162390990304</v>
      </c>
      <c r="AN5498">
        <v>0.99999997096224902</v>
      </c>
    </row>
    <row r="5499" spans="1:40" x14ac:dyDescent="0.25">
      <c r="A5499" t="str">
        <f>"20190304155744837"</f>
        <v>20190304155744837</v>
      </c>
      <c r="B5499" t="str">
        <f>"1551686264830310"</f>
        <v>1551686264830310</v>
      </c>
      <c r="C5499" t="s">
        <v>40</v>
      </c>
      <c r="D5499">
        <v>4.4411639999999997</v>
      </c>
      <c r="E5499">
        <v>0.49161379999999999</v>
      </c>
      <c r="F5499" t="s">
        <v>41</v>
      </c>
      <c r="G5499">
        <v>-334.33190000000002</v>
      </c>
      <c r="H5499" s="1">
        <v>-2.6679260000000002E-6</v>
      </c>
      <c r="I5499">
        <v>18.184229999999999</v>
      </c>
      <c r="J5499">
        <v>-387.2704</v>
      </c>
      <c r="K5499">
        <v>1.109999</v>
      </c>
      <c r="L5499">
        <v>18.002379999999999</v>
      </c>
      <c r="M5499">
        <v>0.99742180000000003</v>
      </c>
      <c r="N5499">
        <v>-1.0255719999999999E-2</v>
      </c>
      <c r="O5499">
        <v>-7.1025980000000002E-2</v>
      </c>
      <c r="P5499">
        <v>0.98995279999999997</v>
      </c>
      <c r="Q5499">
        <v>0.1402187</v>
      </c>
      <c r="R5499">
        <v>-1.8226800000000001E-2</v>
      </c>
      <c r="S5499">
        <v>3.0395509999999999</v>
      </c>
      <c r="T5499">
        <v>-6.3495759999999998E-2</v>
      </c>
      <c r="U5499">
        <v>9.6130369999999996E-3</v>
      </c>
      <c r="V5499">
        <v>-5.2240340000000003E-2</v>
      </c>
      <c r="W5499">
        <v>0.15031539999999999</v>
      </c>
      <c r="X5499">
        <v>0.98725689999999999</v>
      </c>
      <c r="Y5499">
        <v>-7.4155890000000002E-2</v>
      </c>
      <c r="Z5499">
        <v>1.9086210000000001E-3</v>
      </c>
      <c r="AA5499">
        <v>0.99724480000000004</v>
      </c>
      <c r="AB5499">
        <v>30</v>
      </c>
      <c r="AC5499">
        <v>52.938499999999898</v>
      </c>
      <c r="AD5499">
        <v>-1.1100016679260001</v>
      </c>
      <c r="AE5499">
        <v>0.18185000000000001</v>
      </c>
      <c r="AF5499">
        <v>-3.93986493120057</v>
      </c>
      <c r="AG5499">
        <v>-1.1100016679260001</v>
      </c>
      <c r="AH5499">
        <v>52.768671886747498</v>
      </c>
      <c r="AI5499">
        <v>91.201708888494295</v>
      </c>
      <c r="AJ5499">
        <v>94.269949562278399</v>
      </c>
      <c r="AK5499">
        <v>52.927189346026303</v>
      </c>
      <c r="AL5499">
        <v>81.354794936043902</v>
      </c>
      <c r="AM5499">
        <v>93.028960465743495</v>
      </c>
      <c r="AN5499">
        <v>0.99999997959904197</v>
      </c>
    </row>
    <row r="5500" spans="1:40" x14ac:dyDescent="0.25">
      <c r="A5500" t="str">
        <f>"20190304155744855"</f>
        <v>20190304155744855</v>
      </c>
      <c r="B5500" t="str">
        <f>"1551686264849831"</f>
        <v>1551686264849831</v>
      </c>
      <c r="C5500" t="s">
        <v>40</v>
      </c>
      <c r="D5500">
        <v>4.71265</v>
      </c>
      <c r="E5500">
        <v>0.49178880000000003</v>
      </c>
      <c r="F5500" t="s">
        <v>41</v>
      </c>
      <c r="G5500">
        <v>-334.28030000000001</v>
      </c>
      <c r="H5500" s="1">
        <v>-2.6944220000000002E-6</v>
      </c>
      <c r="I5500">
        <v>18.159770000000002</v>
      </c>
      <c r="J5500">
        <v>-387.02940000000001</v>
      </c>
      <c r="K5500">
        <v>1.1099810000000001</v>
      </c>
      <c r="L5500">
        <v>17.985499999999998</v>
      </c>
      <c r="M5500">
        <v>0.99744129999999998</v>
      </c>
      <c r="N5500">
        <v>-1.025555E-2</v>
      </c>
      <c r="O5500">
        <v>-7.0750770000000004E-2</v>
      </c>
      <c r="P5500">
        <v>0.99001130000000004</v>
      </c>
      <c r="Q5500">
        <v>0.139795899999999</v>
      </c>
      <c r="R5500">
        <v>-1.8306019999999999E-2</v>
      </c>
      <c r="S5500">
        <v>3.0396730000000001</v>
      </c>
      <c r="T5500">
        <v>-6.3673019999999997E-2</v>
      </c>
      <c r="U5500">
        <v>9.0332030000000001E-3</v>
      </c>
      <c r="V5500">
        <v>-5.1887320000000001E-2</v>
      </c>
      <c r="W5500">
        <v>0.14989539999999901</v>
      </c>
      <c r="X5500">
        <v>0.98733939999999998</v>
      </c>
      <c r="Y5500">
        <v>-7.3690389999999995E-2</v>
      </c>
      <c r="Z5500">
        <v>1.904644E-3</v>
      </c>
      <c r="AA5500">
        <v>0.99727929999999998</v>
      </c>
      <c r="AB5500">
        <v>30</v>
      </c>
      <c r="AC5500">
        <v>52.749099999999999</v>
      </c>
      <c r="AD5500">
        <v>-1.1099836944219901</v>
      </c>
      <c r="AE5500">
        <v>0.17427000000000301</v>
      </c>
      <c r="AF5500">
        <v>-3.90434016089795</v>
      </c>
      <c r="AG5500">
        <v>-1.1099836944219901</v>
      </c>
      <c r="AH5500">
        <v>52.581285233627199</v>
      </c>
      <c r="AI5500">
        <v>91.206007257255607</v>
      </c>
      <c r="AJ5500">
        <v>94.246614249737505</v>
      </c>
      <c r="AK5500">
        <v>52.737723620895302</v>
      </c>
      <c r="AL5500">
        <v>81.379135181785699</v>
      </c>
      <c r="AM5500">
        <v>93.008278728809003</v>
      </c>
      <c r="AN5500">
        <v>1.0000000078551501</v>
      </c>
    </row>
    <row r="5501" spans="1:40" x14ac:dyDescent="0.25">
      <c r="A5501" t="str">
        <f>"20190304155744876"</f>
        <v>20190304155744876</v>
      </c>
      <c r="B5501" t="str">
        <f>"1551686264870326"</f>
        <v>1551686264870326</v>
      </c>
      <c r="C5501" t="s">
        <v>40</v>
      </c>
      <c r="D5501">
        <v>4.6111909999999998</v>
      </c>
      <c r="E5501">
        <v>0.49174960000000001</v>
      </c>
      <c r="F5501" t="s">
        <v>41</v>
      </c>
      <c r="G5501">
        <v>-335.19220000000001</v>
      </c>
      <c r="H5501" s="1">
        <v>-2.3120469999999999E-6</v>
      </c>
      <c r="I5501">
        <v>18.10981</v>
      </c>
      <c r="J5501">
        <v>-386.755</v>
      </c>
      <c r="K5501">
        <v>1.1099680000000001</v>
      </c>
      <c r="L5501">
        <v>17.9664</v>
      </c>
      <c r="M5501">
        <v>0.99746259999999998</v>
      </c>
      <c r="N5501">
        <v>-1.025589E-2</v>
      </c>
      <c r="O5501">
        <v>-7.0449689999999995E-2</v>
      </c>
      <c r="P5501">
        <v>0.99009389999999997</v>
      </c>
      <c r="Q5501">
        <v>0.13928199999999999</v>
      </c>
      <c r="R5501">
        <v>-1.773916E-2</v>
      </c>
      <c r="S5501">
        <v>3.0395810000000001</v>
      </c>
      <c r="T5501">
        <v>-6.5086249999999998E-2</v>
      </c>
      <c r="U5501">
        <v>7.2937009999999997E-3</v>
      </c>
      <c r="V5501">
        <v>-5.2154579999999999E-2</v>
      </c>
      <c r="W5501">
        <v>0.14938379999999901</v>
      </c>
      <c r="X5501">
        <v>0.98740289999999997</v>
      </c>
      <c r="Y5501">
        <v>-7.2817770000000004E-2</v>
      </c>
      <c r="Z5501">
        <v>1.937526E-3</v>
      </c>
      <c r="AA5501">
        <v>0.99734339999999999</v>
      </c>
      <c r="AB5501">
        <v>30</v>
      </c>
      <c r="AC5501">
        <v>51.562799999999903</v>
      </c>
      <c r="AD5501">
        <v>-1.1099703120469999</v>
      </c>
      <c r="AE5501">
        <v>0.14340999999999901</v>
      </c>
      <c r="AF5501">
        <v>-3.77407913660489</v>
      </c>
      <c r="AG5501">
        <v>-1.1099703120469999</v>
      </c>
      <c r="AH5501">
        <v>51.4007478586608</v>
      </c>
      <c r="AI5501">
        <v>91.233757747212806</v>
      </c>
      <c r="AJ5501">
        <v>94.199383739587006</v>
      </c>
      <c r="AK5501">
        <v>51.551067766367403</v>
      </c>
      <c r="AL5501">
        <v>81.408781896682001</v>
      </c>
      <c r="AM5501">
        <v>93.023550923436204</v>
      </c>
      <c r="AN5501">
        <v>1.0000000534229101</v>
      </c>
    </row>
    <row r="5502" spans="1:40" x14ac:dyDescent="0.25">
      <c r="A5502" t="str">
        <f>"20190304155744886"</f>
        <v>20190304155744886</v>
      </c>
      <c r="B5502" t="str">
        <f>"1551686264880087"</f>
        <v>1551686264880087</v>
      </c>
      <c r="C5502" t="s">
        <v>40</v>
      </c>
      <c r="D5502">
        <v>4.466755</v>
      </c>
      <c r="E5502">
        <v>0.4919135</v>
      </c>
      <c r="F5502" t="s">
        <v>41</v>
      </c>
      <c r="G5502">
        <v>-337.31209999999999</v>
      </c>
      <c r="H5502" s="1">
        <v>-1.402112E-6</v>
      </c>
      <c r="I5502">
        <v>18.112760000000002</v>
      </c>
      <c r="J5502">
        <v>-386.59980000000002</v>
      </c>
      <c r="K5502">
        <v>1.109961</v>
      </c>
      <c r="L5502">
        <v>17.955570000000002</v>
      </c>
      <c r="M5502">
        <v>0.99747439999999998</v>
      </c>
      <c r="N5502">
        <v>-1.025624E-2</v>
      </c>
      <c r="O5502">
        <v>-7.0283230000000002E-2</v>
      </c>
      <c r="P5502">
        <v>0.99010759999999998</v>
      </c>
      <c r="Q5502">
        <v>0.13923759999999999</v>
      </c>
      <c r="R5502">
        <v>-1.7327289999999999E-2</v>
      </c>
      <c r="S5502">
        <v>3.0397340000000002</v>
      </c>
      <c r="T5502">
        <v>-6.8240519999999999E-2</v>
      </c>
      <c r="U5502">
        <v>9.0026859999999993E-3</v>
      </c>
      <c r="V5502">
        <v>-5.2399759999999997E-2</v>
      </c>
      <c r="W5502">
        <v>0.14934</v>
      </c>
      <c r="X5502">
        <v>0.98739650000000001</v>
      </c>
      <c r="Y5502">
        <v>-7.3208880000000004E-2</v>
      </c>
      <c r="Z5502">
        <v>2.0525980000000001E-3</v>
      </c>
      <c r="AA5502">
        <v>0.99731449999999999</v>
      </c>
      <c r="AB5502">
        <v>30</v>
      </c>
      <c r="AC5502">
        <v>49.287700000000001</v>
      </c>
      <c r="AD5502">
        <v>-1.109962402112</v>
      </c>
      <c r="AE5502">
        <v>0.157189999999999</v>
      </c>
      <c r="AF5502">
        <v>-3.6192465341186599</v>
      </c>
      <c r="AG5502">
        <v>-1.109962402112</v>
      </c>
      <c r="AH5502">
        <v>49.129837925866603</v>
      </c>
      <c r="AI5502">
        <v>91.290734325859006</v>
      </c>
      <c r="AJ5502">
        <v>94.213196321826402</v>
      </c>
      <c r="AK5502">
        <v>49.275469928055998</v>
      </c>
      <c r="AL5502">
        <v>81.411319540178496</v>
      </c>
      <c r="AM5502">
        <v>93.037757806381606</v>
      </c>
      <c r="AN5502">
        <v>1.00000000933015</v>
      </c>
    </row>
    <row r="5503" spans="1:40" x14ac:dyDescent="0.25">
      <c r="A5503" t="str">
        <f>"20190304155744898"</f>
        <v>20190304155744898</v>
      </c>
      <c r="B5503" t="str">
        <f>"1551686264890822"</f>
        <v>1551686264890822</v>
      </c>
      <c r="C5503" t="s">
        <v>40</v>
      </c>
      <c r="D5503">
        <v>4.4908710000000003</v>
      </c>
      <c r="E5503">
        <v>0.49208550000000001</v>
      </c>
      <c r="F5503" t="s">
        <v>41</v>
      </c>
      <c r="G5503">
        <v>-337.20609999999999</v>
      </c>
      <c r="H5503" s="1">
        <v>-1.449905E-6</v>
      </c>
      <c r="I5503">
        <v>18.099789999999999</v>
      </c>
      <c r="J5503">
        <v>-386.45280000000002</v>
      </c>
      <c r="K5503">
        <v>1.1099570000000001</v>
      </c>
      <c r="L5503">
        <v>17.94537</v>
      </c>
      <c r="M5503">
        <v>0.99748539999999997</v>
      </c>
      <c r="N5503">
        <v>-1.0256629999999999E-2</v>
      </c>
      <c r="O5503">
        <v>-7.0127949999999994E-2</v>
      </c>
      <c r="P5503">
        <v>0.99012230000000001</v>
      </c>
      <c r="Q5503">
        <v>0.1391549</v>
      </c>
      <c r="R5503">
        <v>-1.715127E-2</v>
      </c>
      <c r="S5503">
        <v>3.0397029999999998</v>
      </c>
      <c r="T5503">
        <v>-6.8307399999999893E-2</v>
      </c>
      <c r="U5503">
        <v>8.8806149999999997E-3</v>
      </c>
      <c r="V5503">
        <v>-5.2420649999999999E-2</v>
      </c>
      <c r="W5503">
        <v>0.14925840000000001</v>
      </c>
      <c r="X5503">
        <v>0.9874077</v>
      </c>
      <c r="Y5503">
        <v>-7.3013620000000001E-2</v>
      </c>
      <c r="Z5503">
        <v>2.049876E-3</v>
      </c>
      <c r="AA5503">
        <v>0.99732880000000002</v>
      </c>
      <c r="AB5503">
        <v>30</v>
      </c>
      <c r="AC5503">
        <v>49.246699999999997</v>
      </c>
      <c r="AD5503">
        <v>-1.1099584499049999</v>
      </c>
      <c r="AE5503">
        <v>0.154419999999998</v>
      </c>
      <c r="AF5503">
        <v>-3.6059593396791101</v>
      </c>
      <c r="AG5503">
        <v>-1.1099584499049999</v>
      </c>
      <c r="AH5503">
        <v>49.0896753341964</v>
      </c>
      <c r="AI5503">
        <v>91.291805260489696</v>
      </c>
      <c r="AJ5503">
        <v>94.201206091169396</v>
      </c>
      <c r="AK5503">
        <v>49.234451098156299</v>
      </c>
      <c r="AL5503">
        <v>81.416047619210204</v>
      </c>
      <c r="AM5503">
        <v>93.038932181513005</v>
      </c>
      <c r="AN5503">
        <v>0.99999998026813597</v>
      </c>
    </row>
    <row r="5504" spans="1:40" x14ac:dyDescent="0.25">
      <c r="A5504" t="str">
        <f>"20190304155744909"</f>
        <v>20190304155744909</v>
      </c>
      <c r="B5504" t="str">
        <f>"1551686264900583"</f>
        <v>1551686264900583</v>
      </c>
      <c r="C5504" t="s">
        <v>40</v>
      </c>
      <c r="D5504">
        <v>4.4749749999999997</v>
      </c>
      <c r="E5504">
        <v>0.49226140000000002</v>
      </c>
      <c r="F5504" t="s">
        <v>41</v>
      </c>
      <c r="G5504">
        <v>-337.33819999999997</v>
      </c>
      <c r="H5504" s="1">
        <v>-1.3973500000000001E-6</v>
      </c>
      <c r="I5504">
        <v>18.076460000000001</v>
      </c>
      <c r="J5504">
        <v>-386.30040000000002</v>
      </c>
      <c r="K5504">
        <v>1.1099490000000001</v>
      </c>
      <c r="L5504">
        <v>17.934839999999902</v>
      </c>
      <c r="M5504">
        <v>0.99749650000000001</v>
      </c>
      <c r="N5504">
        <v>-1.025705E-2</v>
      </c>
      <c r="O5504">
        <v>-6.9967660000000001E-2</v>
      </c>
      <c r="P5504">
        <v>0.99013390000000001</v>
      </c>
      <c r="Q5504">
        <v>0.13915079999999999</v>
      </c>
      <c r="R5504">
        <v>-1.6482900000000002E-2</v>
      </c>
      <c r="S5504">
        <v>3.0397949999999998</v>
      </c>
      <c r="T5504">
        <v>-6.8697449999999993E-2</v>
      </c>
      <c r="U5504">
        <v>8.1176759999999903E-3</v>
      </c>
      <c r="V5504">
        <v>-5.292823E-2</v>
      </c>
      <c r="W5504">
        <v>0.14925459999999999</v>
      </c>
      <c r="X5504">
        <v>0.98738119999999996</v>
      </c>
      <c r="Y5504">
        <v>-7.2602760000000002E-2</v>
      </c>
      <c r="Z5504">
        <v>2.0547410000000001E-3</v>
      </c>
      <c r="AA5504">
        <v>0.99735879999999999</v>
      </c>
      <c r="AB5504">
        <v>30</v>
      </c>
      <c r="AC5504">
        <v>48.962200000000003</v>
      </c>
      <c r="AD5504">
        <v>-1.10995039735</v>
      </c>
      <c r="AE5504">
        <v>0.14162000000000299</v>
      </c>
      <c r="AF5504">
        <v>-3.5653914954691399</v>
      </c>
      <c r="AG5504">
        <v>-1.10995039735</v>
      </c>
      <c r="AH5504">
        <v>48.807202202654203</v>
      </c>
      <c r="AI5504">
        <v>91.2993080712519</v>
      </c>
      <c r="AJ5504">
        <v>94.178065115336494</v>
      </c>
      <c r="AK5504">
        <v>48.949841605987999</v>
      </c>
      <c r="AL5504">
        <v>81.416267838736303</v>
      </c>
      <c r="AM5504">
        <v>93.068383866187006</v>
      </c>
      <c r="AN5504">
        <v>0.99999998363276599</v>
      </c>
    </row>
    <row r="5505" spans="1:40" x14ac:dyDescent="0.25">
      <c r="A5505" t="str">
        <f>"20190304155744921"</f>
        <v>20190304155744921</v>
      </c>
      <c r="B5505" t="str">
        <f>"1551686264910343"</f>
        <v>1551686264910343</v>
      </c>
      <c r="C5505" t="s">
        <v>40</v>
      </c>
      <c r="D5505">
        <v>4.4915609999999999</v>
      </c>
      <c r="E5505">
        <v>0.49242580000000002</v>
      </c>
      <c r="F5505" t="s">
        <v>41</v>
      </c>
      <c r="G5505">
        <v>-337.27159999999998</v>
      </c>
      <c r="H5505" s="1">
        <v>-1.425209E-6</v>
      </c>
      <c r="I5505">
        <v>18.080459999999999</v>
      </c>
      <c r="J5505">
        <v>-386.14870000000002</v>
      </c>
      <c r="K5505">
        <v>1.109945</v>
      </c>
      <c r="L5505">
        <v>17.924379999999999</v>
      </c>
      <c r="M5505">
        <v>0.99750760000000005</v>
      </c>
      <c r="N5505">
        <v>-1.025772E-2</v>
      </c>
      <c r="O5505">
        <v>-6.9810209999999998E-2</v>
      </c>
      <c r="P5505">
        <v>0.9901567</v>
      </c>
      <c r="Q5505">
        <v>0.13903869999999999</v>
      </c>
      <c r="R5505">
        <v>-1.6063899999999999E-2</v>
      </c>
      <c r="S5505">
        <v>3.0397029999999998</v>
      </c>
      <c r="T5505">
        <v>-6.8815109999999999E-2</v>
      </c>
      <c r="U5505">
        <v>9.0332030000000001E-3</v>
      </c>
      <c r="V5505">
        <v>-5.319045E-2</v>
      </c>
      <c r="W5505">
        <v>0.14914289999999999</v>
      </c>
      <c r="X5505">
        <v>0.98738400000000004</v>
      </c>
      <c r="Y5505">
        <v>-7.2745660000000004E-2</v>
      </c>
      <c r="Z5505">
        <v>2.0593180000000001E-3</v>
      </c>
      <c r="AA5505">
        <v>0.99734840000000002</v>
      </c>
      <c r="AB5505">
        <v>30</v>
      </c>
      <c r="AC5505">
        <v>48.877099999999999</v>
      </c>
      <c r="AD5505">
        <v>-1.1099464252089899</v>
      </c>
      <c r="AE5505">
        <v>0.15608000000000199</v>
      </c>
      <c r="AF5505">
        <v>-3.5661601116072998</v>
      </c>
      <c r="AG5505">
        <v>-1.1099464252089899</v>
      </c>
      <c r="AH5505">
        <v>48.721819649439901</v>
      </c>
      <c r="AI5505">
        <v>91.301565996849305</v>
      </c>
      <c r="AJ5505">
        <v>94.1862600293871</v>
      </c>
      <c r="AK5505">
        <v>48.864764288401098</v>
      </c>
      <c r="AL5505">
        <v>81.422740328407301</v>
      </c>
      <c r="AM5505">
        <v>93.083547433801698</v>
      </c>
      <c r="AN5505">
        <v>0.99999999602380596</v>
      </c>
    </row>
    <row r="5506" spans="1:40" x14ac:dyDescent="0.25">
      <c r="A5506" t="str">
        <f>"20190304155744932"</f>
        <v>20190304155744932</v>
      </c>
      <c r="B5506" t="str">
        <f>"1551686264929862"</f>
        <v>1551686264929862</v>
      </c>
      <c r="C5506" t="s">
        <v>40</v>
      </c>
      <c r="D5506">
        <v>4.5893030000000001</v>
      </c>
      <c r="E5506">
        <v>0.4926142</v>
      </c>
      <c r="F5506" t="s">
        <v>41</v>
      </c>
      <c r="G5506">
        <v>-337.4529</v>
      </c>
      <c r="H5506" s="1">
        <v>-1.3491529999999999E-6</v>
      </c>
      <c r="I5506">
        <v>18.070959999999999</v>
      </c>
      <c r="J5506">
        <v>-385.99340000000001</v>
      </c>
      <c r="K5506">
        <v>1.1099410000000001</v>
      </c>
      <c r="L5506">
        <v>17.913640000000001</v>
      </c>
      <c r="M5506">
        <v>0.99751900000000004</v>
      </c>
      <c r="N5506">
        <v>-1.0258410000000001E-2</v>
      </c>
      <c r="O5506">
        <v>-6.9649310000000006E-2</v>
      </c>
      <c r="P5506">
        <v>0.99014809999999998</v>
      </c>
      <c r="Q5506">
        <v>0.13917969999999999</v>
      </c>
      <c r="R5506">
        <v>-1.536704E-2</v>
      </c>
      <c r="S5506">
        <v>3.0397029999999998</v>
      </c>
      <c r="T5506">
        <v>-6.9285269999999996E-2</v>
      </c>
      <c r="U5506">
        <v>9.1552730000000002E-3</v>
      </c>
      <c r="V5506">
        <v>-5.3725540000000002E-2</v>
      </c>
      <c r="W5506">
        <v>0.14928429999999901</v>
      </c>
      <c r="X5506">
        <v>0.98733369999999998</v>
      </c>
      <c r="Y5506">
        <v>-7.2624419999999995E-2</v>
      </c>
      <c r="Z5506">
        <v>2.0716969999999999E-3</v>
      </c>
      <c r="AA5506">
        <v>0.99735720000000005</v>
      </c>
      <c r="AB5506">
        <v>30</v>
      </c>
      <c r="AC5506">
        <v>48.540500000000002</v>
      </c>
      <c r="AD5506">
        <v>-1.1099423491530001</v>
      </c>
      <c r="AE5506">
        <v>0.15731999999999799</v>
      </c>
      <c r="AF5506">
        <v>-3.5360785615492398</v>
      </c>
      <c r="AG5506">
        <v>-1.1099423491530001</v>
      </c>
      <c r="AH5506">
        <v>48.386351642926698</v>
      </c>
      <c r="AI5506">
        <v>91.310592839533399</v>
      </c>
      <c r="AJ5506">
        <v>94.179749923551299</v>
      </c>
      <c r="AK5506">
        <v>48.528083095511199</v>
      </c>
      <c r="AL5506">
        <v>81.414547322116903</v>
      </c>
      <c r="AM5506">
        <v>93.114665167426807</v>
      </c>
      <c r="AN5506">
        <v>1.0000000355152301</v>
      </c>
    </row>
    <row r="5507" spans="1:40" x14ac:dyDescent="0.25">
      <c r="A5507" t="str">
        <f>"20190304155744944"</f>
        <v>20190304155744944</v>
      </c>
      <c r="B5507" t="str">
        <f>"1551686264940599"</f>
        <v>1551686264940599</v>
      </c>
      <c r="C5507" t="s">
        <v>40</v>
      </c>
      <c r="D5507">
        <v>4.5861640000000001</v>
      </c>
      <c r="E5507">
        <v>0.49264839999999999</v>
      </c>
      <c r="F5507" t="s">
        <v>41</v>
      </c>
      <c r="G5507">
        <v>-337.5258</v>
      </c>
      <c r="H5507" s="1">
        <v>-1.3178210000000001E-6</v>
      </c>
      <c r="I5507">
        <v>18.071200000000001</v>
      </c>
      <c r="J5507">
        <v>-385.83159999999998</v>
      </c>
      <c r="K5507">
        <v>1.109936</v>
      </c>
      <c r="L5507">
        <v>17.902529999999999</v>
      </c>
      <c r="M5507">
        <v>0.99753060000000005</v>
      </c>
      <c r="N5507">
        <v>-1.025918E-2</v>
      </c>
      <c r="O5507">
        <v>-6.9482199999999994E-2</v>
      </c>
      <c r="P5507">
        <v>0.99017489999999997</v>
      </c>
      <c r="Q5507">
        <v>0.1390362</v>
      </c>
      <c r="R5507">
        <v>-1.4934319999999999E-2</v>
      </c>
      <c r="S5507">
        <v>3.039825</v>
      </c>
      <c r="T5507">
        <v>-6.9614049999999997E-2</v>
      </c>
      <c r="U5507">
        <v>9.8876950000000002E-3</v>
      </c>
      <c r="V5507">
        <v>-5.3992720000000001E-2</v>
      </c>
      <c r="W5507">
        <v>0.14914150000000001</v>
      </c>
      <c r="X5507">
        <v>0.98734069999999996</v>
      </c>
      <c r="Y5507">
        <v>-7.2697200000000003E-2</v>
      </c>
      <c r="Z5507">
        <v>2.0821360000000001E-3</v>
      </c>
      <c r="AA5507">
        <v>0.99735189999999996</v>
      </c>
      <c r="AB5507">
        <v>30</v>
      </c>
      <c r="AC5507">
        <v>48.305799999999898</v>
      </c>
      <c r="AD5507">
        <v>-1.1099373178209999</v>
      </c>
      <c r="AE5507">
        <v>0.16867000000000201</v>
      </c>
      <c r="AF5507">
        <v>-3.5229717170333901</v>
      </c>
      <c r="AG5507">
        <v>-1.1099373178209999</v>
      </c>
      <c r="AH5507">
        <v>48.151899875919803</v>
      </c>
      <c r="AI5507">
        <v>91.316957903219603</v>
      </c>
      <c r="AJ5507">
        <v>94.184516046204806</v>
      </c>
      <c r="AK5507">
        <v>48.293361368092</v>
      </c>
      <c r="AL5507">
        <v>81.422821737830006</v>
      </c>
      <c r="AM5507">
        <v>93.130101692333199</v>
      </c>
      <c r="AN5507">
        <v>1.00000002935586</v>
      </c>
    </row>
    <row r="5508" spans="1:40" x14ac:dyDescent="0.25">
      <c r="A5508" t="str">
        <f>"20190304155744956"</f>
        <v>20190304155744956</v>
      </c>
      <c r="B5508" t="str">
        <f>"1551686264950359"</f>
        <v>1551686264950359</v>
      </c>
      <c r="C5508" t="s">
        <v>40</v>
      </c>
      <c r="D5508">
        <v>4.6001190000000003</v>
      </c>
      <c r="E5508">
        <v>0.49269800000000002</v>
      </c>
      <c r="F5508" t="s">
        <v>41</v>
      </c>
      <c r="G5508">
        <v>-338.1053</v>
      </c>
      <c r="H5508" s="1">
        <v>-1.0683809999999999E-6</v>
      </c>
      <c r="I5508">
        <v>18.075890000000001</v>
      </c>
      <c r="J5508">
        <v>-385.6807</v>
      </c>
      <c r="K5508">
        <v>1.109934</v>
      </c>
      <c r="L5508">
        <v>17.89218</v>
      </c>
      <c r="M5508">
        <v>0.99754140000000002</v>
      </c>
      <c r="N5508">
        <v>-1.0259900000000001E-2</v>
      </c>
      <c r="O5508">
        <v>-6.9325929999999994E-2</v>
      </c>
      <c r="P5508">
        <v>0.99020359999999996</v>
      </c>
      <c r="Q5508">
        <v>0.13889960000000001</v>
      </c>
      <c r="R5508">
        <v>-1.4285259999999999E-2</v>
      </c>
      <c r="S5508">
        <v>3.0398559999999999</v>
      </c>
      <c r="T5508">
        <v>-7.0695759999999996E-2</v>
      </c>
      <c r="U5508">
        <v>1.1047360000000001E-2</v>
      </c>
      <c r="V5508">
        <v>-5.4487239999999999E-2</v>
      </c>
      <c r="W5508">
        <v>0.14900569999999999</v>
      </c>
      <c r="X5508">
        <v>0.98733400000000004</v>
      </c>
      <c r="Y5508">
        <v>-7.2920280000000004E-2</v>
      </c>
      <c r="Z5508">
        <v>2.121445E-3</v>
      </c>
      <c r="AA5508">
        <v>0.99733550000000004</v>
      </c>
      <c r="AB5508">
        <v>30</v>
      </c>
      <c r="AC5508">
        <v>47.575400000000002</v>
      </c>
      <c r="AD5508">
        <v>-1.1099350683810001</v>
      </c>
      <c r="AE5508">
        <v>0.18371000000000101</v>
      </c>
      <c r="AF5508">
        <v>-3.4797561274938098</v>
      </c>
      <c r="AG5508">
        <v>-1.1099350683810001</v>
      </c>
      <c r="AH5508">
        <v>47.422376893610597</v>
      </c>
      <c r="AI5508">
        <v>91.337186469778999</v>
      </c>
      <c r="AJ5508">
        <v>94.196724644012093</v>
      </c>
      <c r="AK5508">
        <v>47.5628267537003</v>
      </c>
      <c r="AL5508">
        <v>81.430690112401294</v>
      </c>
      <c r="AM5508">
        <v>93.158733933786607</v>
      </c>
      <c r="AN5508">
        <v>0.99999999275565299</v>
      </c>
    </row>
    <row r="5509" spans="1:40" x14ac:dyDescent="0.25">
      <c r="A5509" t="str">
        <f>"20190304155744967"</f>
        <v>20190304155744967</v>
      </c>
      <c r="B5509" t="str">
        <f>"1551686264960118"</f>
        <v>1551686264960118</v>
      </c>
      <c r="C5509" t="s">
        <v>40</v>
      </c>
      <c r="D5509">
        <v>4.5811570000000001</v>
      </c>
      <c r="E5509">
        <v>0.49274659999999898</v>
      </c>
      <c r="F5509" t="s">
        <v>41</v>
      </c>
      <c r="G5509">
        <v>-338.58120000000002</v>
      </c>
      <c r="H5509" s="1">
        <v>-8.7518720000000005E-7</v>
      </c>
      <c r="I5509">
        <v>18.089269999999999</v>
      </c>
      <c r="J5509">
        <v>-385.52379999999999</v>
      </c>
      <c r="K5509">
        <v>1.1099330000000001</v>
      </c>
      <c r="L5509">
        <v>17.881409999999999</v>
      </c>
      <c r="M5509">
        <v>0.99755269999999996</v>
      </c>
      <c r="N5509">
        <v>-1.026066E-2</v>
      </c>
      <c r="O5509">
        <v>-6.9163810000000006E-2</v>
      </c>
      <c r="P5509">
        <v>0.9902145</v>
      </c>
      <c r="Q5509">
        <v>0.13887079999999999</v>
      </c>
      <c r="R5509">
        <v>-1.380407E-2</v>
      </c>
      <c r="S5509">
        <v>3.0399479999999999</v>
      </c>
      <c r="T5509">
        <v>-7.16387E-2</v>
      </c>
      <c r="U5509">
        <v>1.272583E-2</v>
      </c>
      <c r="V5509">
        <v>-5.4807149999999999E-2</v>
      </c>
      <c r="W5509">
        <v>0.14897739999999901</v>
      </c>
      <c r="X5509">
        <v>0.98732059999999999</v>
      </c>
      <c r="Y5509">
        <v>-7.3307689999999995E-2</v>
      </c>
      <c r="Z5509">
        <v>2.1585530000000001E-3</v>
      </c>
      <c r="AA5509">
        <v>0.9973071</v>
      </c>
      <c r="AB5509">
        <v>30</v>
      </c>
      <c r="AC5509">
        <v>46.942599999999899</v>
      </c>
      <c r="AD5509">
        <v>-1.1099338751872001</v>
      </c>
      <c r="AE5509">
        <v>0.20786000000000299</v>
      </c>
      <c r="AF5509">
        <v>-3.4523316578015999</v>
      </c>
      <c r="AG5509">
        <v>-1.1099338751872001</v>
      </c>
      <c r="AH5509">
        <v>46.789640572294097</v>
      </c>
      <c r="AI5509">
        <v>91.355220817331897</v>
      </c>
      <c r="AJ5509">
        <v>94.219870989636206</v>
      </c>
      <c r="AK5509">
        <v>46.929958576235897</v>
      </c>
      <c r="AL5509">
        <v>81.432330192113099</v>
      </c>
      <c r="AM5509">
        <v>93.177284901825502</v>
      </c>
      <c r="AN5509">
        <v>1.0000000282931201</v>
      </c>
    </row>
    <row r="5510" spans="1:40" x14ac:dyDescent="0.25">
      <c r="A5510" t="str">
        <f>"20190304155744988"</f>
        <v>20190304155744988</v>
      </c>
      <c r="B5510" t="str">
        <f>"1551686264980614"</f>
        <v>1551686264980614</v>
      </c>
      <c r="C5510" t="s">
        <v>40</v>
      </c>
      <c r="D5510">
        <v>4.5956859999999997</v>
      </c>
      <c r="E5510">
        <v>0.49284410000000001</v>
      </c>
      <c r="F5510" t="s">
        <v>41</v>
      </c>
      <c r="G5510">
        <v>-338.89530000000002</v>
      </c>
      <c r="H5510" s="1">
        <v>-7.6707379999999997E-7</v>
      </c>
      <c r="I5510">
        <v>18.09384</v>
      </c>
      <c r="J5510">
        <v>-385.25510000000003</v>
      </c>
      <c r="K5510">
        <v>1.1099319999999999</v>
      </c>
      <c r="L5510">
        <v>17.863099999999999</v>
      </c>
      <c r="M5510">
        <v>0.99757189999999996</v>
      </c>
      <c r="N5510">
        <v>-1.0262250000000001E-2</v>
      </c>
      <c r="O5510">
        <v>-6.8884290000000001E-2</v>
      </c>
      <c r="P5510">
        <v>0.99020620000000004</v>
      </c>
      <c r="Q5510">
        <v>0.13897770000000001</v>
      </c>
      <c r="R5510">
        <v>-1.33019E-2</v>
      </c>
      <c r="S5510">
        <v>3.0399479999999999</v>
      </c>
      <c r="T5510">
        <v>-7.2362179999999998E-2</v>
      </c>
      <c r="U5510">
        <v>1.3854979999999999E-2</v>
      </c>
      <c r="V5510">
        <v>-5.5030339999999997E-2</v>
      </c>
      <c r="W5510">
        <v>0.14908540000000001</v>
      </c>
      <c r="X5510">
        <v>0.9872919</v>
      </c>
      <c r="Y5510">
        <v>-7.339793E-2</v>
      </c>
      <c r="Z5510">
        <v>2.1814429999999999E-3</v>
      </c>
      <c r="AA5510">
        <v>0.99730030000000003</v>
      </c>
      <c r="AB5510">
        <v>30</v>
      </c>
      <c r="AC5510">
        <v>46.3598</v>
      </c>
      <c r="AD5510">
        <v>-1.1099327670738</v>
      </c>
      <c r="AE5510">
        <v>0.23074</v>
      </c>
      <c r="AF5510">
        <v>-3.4218604662366299</v>
      </c>
      <c r="AG5510">
        <v>-1.1099327670738</v>
      </c>
      <c r="AH5510">
        <v>46.207287122858801</v>
      </c>
      <c r="AI5510">
        <v>91.372265618033396</v>
      </c>
      <c r="AJ5510">
        <v>94.235283009172505</v>
      </c>
      <c r="AK5510">
        <v>46.347108464845199</v>
      </c>
      <c r="AL5510">
        <v>81.426072510573107</v>
      </c>
      <c r="AM5510">
        <v>93.1902895663696</v>
      </c>
      <c r="AN5510">
        <v>1.00000004530964</v>
      </c>
    </row>
    <row r="5511" spans="1:40" x14ac:dyDescent="0.25">
      <c r="A5511" t="str">
        <f>"20190304155744999"</f>
        <v>20190304155744999</v>
      </c>
      <c r="B5511" t="str">
        <f>"1551686264990375"</f>
        <v>1551686264990375</v>
      </c>
      <c r="C5511" t="s">
        <v>40</v>
      </c>
      <c r="D5511">
        <v>4.60677</v>
      </c>
      <c r="E5511">
        <v>0.492925</v>
      </c>
      <c r="F5511" t="s">
        <v>41</v>
      </c>
      <c r="G5511">
        <v>-339.08609999999999</v>
      </c>
      <c r="H5511" s="1">
        <v>-7.0450850000000001E-7</v>
      </c>
      <c r="I5511">
        <v>18.08502</v>
      </c>
      <c r="J5511">
        <v>-385.10390000000001</v>
      </c>
      <c r="K5511">
        <v>1.1099319999999999</v>
      </c>
      <c r="L5511">
        <v>17.85284</v>
      </c>
      <c r="M5511">
        <v>0.99758279999999999</v>
      </c>
      <c r="N5511">
        <v>-1.026323E-2</v>
      </c>
      <c r="O5511">
        <v>-6.8726579999999995E-2</v>
      </c>
      <c r="P5511">
        <v>0.99016490000000001</v>
      </c>
      <c r="Q5511">
        <v>0.13926740000000001</v>
      </c>
      <c r="R5511">
        <v>-1.3352370000000001E-2</v>
      </c>
      <c r="S5511">
        <v>3.0401310000000001</v>
      </c>
      <c r="T5511">
        <v>-7.3086739999999997E-2</v>
      </c>
      <c r="U5511">
        <v>1.461792E-2</v>
      </c>
      <c r="V5511">
        <v>-5.4820760000000003E-2</v>
      </c>
      <c r="W5511">
        <v>0.149375799999999</v>
      </c>
      <c r="X5511">
        <v>0.98725960000000001</v>
      </c>
      <c r="Y5511">
        <v>-7.3489520000000003E-2</v>
      </c>
      <c r="Z5511">
        <v>2.2058189999999999E-3</v>
      </c>
      <c r="AA5511">
        <v>0.99729350000000005</v>
      </c>
      <c r="AB5511">
        <v>30</v>
      </c>
      <c r="AC5511">
        <v>46.017800000000001</v>
      </c>
      <c r="AD5511">
        <v>-1.1099327045084999</v>
      </c>
      <c r="AE5511">
        <v>0.232179999999999</v>
      </c>
      <c r="AF5511">
        <v>-3.3924698216844398</v>
      </c>
      <c r="AG5511">
        <v>-1.1099327045084999</v>
      </c>
      <c r="AH5511">
        <v>45.866340818192803</v>
      </c>
      <c r="AI5511">
        <v>91.382471484258105</v>
      </c>
      <c r="AJ5511">
        <v>94.230137031684805</v>
      </c>
      <c r="AK5511">
        <v>46.0050217057899</v>
      </c>
      <c r="AL5511">
        <v>81.409244842252505</v>
      </c>
      <c r="AM5511">
        <v>93.178268246411406</v>
      </c>
      <c r="AN5511">
        <v>0.99999998157238801</v>
      </c>
    </row>
    <row r="5512" spans="1:40" x14ac:dyDescent="0.25">
      <c r="A5512" t="str">
        <f>"20190304155745010"</f>
        <v>20190304155745010</v>
      </c>
      <c r="B5512" t="str">
        <f>"1551686265000135"</f>
        <v>1551686265000135</v>
      </c>
      <c r="C5512" t="s">
        <v>40</v>
      </c>
      <c r="D5512">
        <v>4.6235710000000001</v>
      </c>
      <c r="E5512">
        <v>0.49301070000000002</v>
      </c>
      <c r="F5512" t="s">
        <v>41</v>
      </c>
      <c r="G5512">
        <v>-338.55509999999998</v>
      </c>
      <c r="H5512" s="1">
        <v>-8.9130329999999995E-7</v>
      </c>
      <c r="I5512">
        <v>18.062090000000001</v>
      </c>
      <c r="J5512">
        <v>-384.95740000000001</v>
      </c>
      <c r="K5512">
        <v>1.109937</v>
      </c>
      <c r="L5512">
        <v>17.842860000000002</v>
      </c>
      <c r="M5512">
        <v>0.99759330000000002</v>
      </c>
      <c r="N5512">
        <v>-1.0264199999999999E-2</v>
      </c>
      <c r="O5512">
        <v>-6.8573410000000001E-2</v>
      </c>
      <c r="P5512">
        <v>0.99014139999999995</v>
      </c>
      <c r="Q5512">
        <v>0.139467799999999</v>
      </c>
      <c r="R5512">
        <v>-1.29955E-2</v>
      </c>
      <c r="S5512">
        <v>3.0401919999999998</v>
      </c>
      <c r="T5512">
        <v>-7.2491879999999995E-2</v>
      </c>
      <c r="U5512">
        <v>1.3671880000000001E-2</v>
      </c>
      <c r="V5512">
        <v>-5.5023379999999997E-2</v>
      </c>
      <c r="W5512">
        <v>0.1495766</v>
      </c>
      <c r="X5512">
        <v>0.98721800000000004</v>
      </c>
      <c r="Y5512">
        <v>-7.3026750000000001E-2</v>
      </c>
      <c r="Z5512">
        <v>2.1751460000000002E-3</v>
      </c>
      <c r="AA5512">
        <v>0.99732759999999998</v>
      </c>
      <c r="AB5512">
        <v>30</v>
      </c>
      <c r="AC5512">
        <v>46.402299999999997</v>
      </c>
      <c r="AD5512">
        <v>-1.1099378913033</v>
      </c>
      <c r="AE5512">
        <v>0.21922999999999601</v>
      </c>
      <c r="AF5512">
        <v>-3.3989006977132799</v>
      </c>
      <c r="AG5512">
        <v>-1.1099378913033</v>
      </c>
      <c r="AH5512">
        <v>46.251563972131301</v>
      </c>
      <c r="AI5512">
        <v>91.371015814027601</v>
      </c>
      <c r="AJ5512">
        <v>94.202954851912395</v>
      </c>
      <c r="AK5512">
        <v>46.389564105988498</v>
      </c>
      <c r="AL5512">
        <v>81.397609767359199</v>
      </c>
      <c r="AM5512">
        <v>93.190125197239098</v>
      </c>
      <c r="AN5512">
        <v>1.00000005556909</v>
      </c>
    </row>
    <row r="5513" spans="1:40" x14ac:dyDescent="0.25">
      <c r="A5513" t="str">
        <f>"20190304155745022"</f>
        <v>20190304155745022</v>
      </c>
      <c r="B5513" t="str">
        <f>"1551686265009895"</f>
        <v>1551686265009895</v>
      </c>
      <c r="C5513" t="s">
        <v>40</v>
      </c>
      <c r="D5513">
        <v>4.6375970000000004</v>
      </c>
      <c r="E5513">
        <v>0.49308489999999999</v>
      </c>
      <c r="F5513" t="s">
        <v>41</v>
      </c>
      <c r="G5513">
        <v>-338.22399999999999</v>
      </c>
      <c r="H5513" s="1">
        <v>-1.02069E-6</v>
      </c>
      <c r="I5513">
        <v>18.057639999999999</v>
      </c>
      <c r="J5513">
        <v>-384.79090000000002</v>
      </c>
      <c r="K5513">
        <v>1.109936</v>
      </c>
      <c r="L5513">
        <v>17.831600000000002</v>
      </c>
      <c r="M5513">
        <v>0.99760530000000003</v>
      </c>
      <c r="N5513">
        <v>-1.026533E-2</v>
      </c>
      <c r="O5513">
        <v>-6.8398780000000006E-2</v>
      </c>
      <c r="P5513">
        <v>0.99009599999999998</v>
      </c>
      <c r="Q5513">
        <v>0.13977600000000001</v>
      </c>
      <c r="R5513">
        <v>-1.312958E-2</v>
      </c>
      <c r="S5513">
        <v>3.040222</v>
      </c>
      <c r="T5513">
        <v>-7.2206500000000007E-2</v>
      </c>
      <c r="U5513">
        <v>1.397705E-2</v>
      </c>
      <c r="V5513">
        <v>-5.4713869999999998E-2</v>
      </c>
      <c r="W5513">
        <v>0.1498855</v>
      </c>
      <c r="X5513">
        <v>0.98718830000000002</v>
      </c>
      <c r="Y5513">
        <v>-7.2952569999999994E-2</v>
      </c>
      <c r="Z5513">
        <v>2.1616220000000002E-3</v>
      </c>
      <c r="AA5513">
        <v>0.99733300000000003</v>
      </c>
      <c r="AB5513">
        <v>30</v>
      </c>
      <c r="AC5513">
        <v>46.566899999999997</v>
      </c>
      <c r="AD5513">
        <v>-1.1099370206899899</v>
      </c>
      <c r="AE5513">
        <v>0.22603999999999699</v>
      </c>
      <c r="AF5513">
        <v>-3.4088607813626202</v>
      </c>
      <c r="AG5513">
        <v>-1.1099370206899899</v>
      </c>
      <c r="AH5513">
        <v>46.416000641582102</v>
      </c>
      <c r="AI5513">
        <v>91.366164093516701</v>
      </c>
      <c r="AJ5513">
        <v>94.200347168992806</v>
      </c>
      <c r="AK5513">
        <v>46.554241563749699</v>
      </c>
      <c r="AL5513">
        <v>81.379708868085402</v>
      </c>
      <c r="AM5513">
        <v>93.172312535444803</v>
      </c>
      <c r="AN5513">
        <v>1.0000000051687501</v>
      </c>
    </row>
    <row r="5514" spans="1:40" x14ac:dyDescent="0.25">
      <c r="A5514" t="str">
        <f>"20190304155745035"</f>
        <v>20190304155745035</v>
      </c>
      <c r="B5514" t="str">
        <f>"1551686265030391"</f>
        <v>1551686265030391</v>
      </c>
      <c r="C5514" t="s">
        <v>40</v>
      </c>
      <c r="D5514">
        <v>4.650525</v>
      </c>
      <c r="E5514">
        <v>0.49323519999999998</v>
      </c>
      <c r="F5514" t="s">
        <v>41</v>
      </c>
      <c r="G5514">
        <v>-337.64729999999997</v>
      </c>
      <c r="H5514" s="1">
        <v>-1.2728520000000001E-6</v>
      </c>
      <c r="I5514">
        <v>18.030740000000002</v>
      </c>
      <c r="J5514">
        <v>-384.6241</v>
      </c>
      <c r="K5514">
        <v>1.109937</v>
      </c>
      <c r="L5514">
        <v>17.820339999999899</v>
      </c>
      <c r="M5514">
        <v>0.99761739999999999</v>
      </c>
      <c r="N5514">
        <v>-1.0266519999999999E-2</v>
      </c>
      <c r="O5514">
        <v>-6.8223549999999994E-2</v>
      </c>
      <c r="P5514">
        <v>0.99007559999999994</v>
      </c>
      <c r="Q5514">
        <v>0.1399512</v>
      </c>
      <c r="R5514">
        <v>-1.281943E-2</v>
      </c>
      <c r="S5514">
        <v>3.0402830000000001</v>
      </c>
      <c r="T5514">
        <v>-7.1579690000000001E-2</v>
      </c>
      <c r="U5514">
        <v>1.2847900000000001E-2</v>
      </c>
      <c r="V5514">
        <v>-5.4848429999999997E-2</v>
      </c>
      <c r="W5514">
        <v>0.1500618</v>
      </c>
      <c r="X5514">
        <v>0.98715410000000003</v>
      </c>
      <c r="Y5514">
        <v>-7.2407739999999998E-2</v>
      </c>
      <c r="Z5514">
        <v>2.128394E-3</v>
      </c>
      <c r="AA5514">
        <v>0.99737290000000001</v>
      </c>
      <c r="AB5514">
        <v>30</v>
      </c>
      <c r="AC5514">
        <v>46.976799999999997</v>
      </c>
      <c r="AD5514">
        <v>-1.109938272852</v>
      </c>
      <c r="AE5514">
        <v>0.210399999999999</v>
      </c>
      <c r="AF5514">
        <v>-3.41309684506597</v>
      </c>
      <c r="AG5514">
        <v>-1.109938272852</v>
      </c>
      <c r="AH5514">
        <v>46.826839654741804</v>
      </c>
      <c r="AI5514">
        <v>91.354238520262896</v>
      </c>
      <c r="AJ5514">
        <v>94.1687810114732</v>
      </c>
      <c r="AK5514">
        <v>46.964178956884098</v>
      </c>
      <c r="AL5514">
        <v>81.369492508891796</v>
      </c>
      <c r="AM5514">
        <v>93.180208285167197</v>
      </c>
      <c r="AN5514">
        <v>1.0000000556197499</v>
      </c>
    </row>
    <row r="5515" spans="1:40" x14ac:dyDescent="0.25">
      <c r="A5515" t="str">
        <f>"20190304155745057"</f>
        <v>20190304155745057</v>
      </c>
      <c r="B5515" t="str">
        <f>"1551686265049911"</f>
        <v>1551686265049911</v>
      </c>
      <c r="C5515" t="s">
        <v>40</v>
      </c>
      <c r="D5515">
        <v>4.6528479999999997</v>
      </c>
      <c r="E5515">
        <v>0.49340230000000002</v>
      </c>
      <c r="F5515" t="s">
        <v>41</v>
      </c>
      <c r="G5515">
        <v>-337.50799999999998</v>
      </c>
      <c r="H5515" s="1">
        <v>-1.3358179999999901E-6</v>
      </c>
      <c r="I5515">
        <v>18.012740000000001</v>
      </c>
      <c r="J5515">
        <v>-384.33159999999998</v>
      </c>
      <c r="K5515">
        <v>1.1099380000000001</v>
      </c>
      <c r="L5515">
        <v>17.800660000000001</v>
      </c>
      <c r="M5515">
        <v>0.99763820000000003</v>
      </c>
      <c r="N5515">
        <v>-1.026884E-2</v>
      </c>
      <c r="O5515">
        <v>-6.7915530000000002E-2</v>
      </c>
      <c r="P5515">
        <v>0.99000109999999997</v>
      </c>
      <c r="Q5515">
        <v>0.140480299999999</v>
      </c>
      <c r="R5515">
        <v>-1.2758149999999999E-2</v>
      </c>
      <c r="S5515">
        <v>3.0403440000000002</v>
      </c>
      <c r="T5515">
        <v>-7.1622969999999994E-2</v>
      </c>
      <c r="U5515">
        <v>1.242065E-2</v>
      </c>
      <c r="V5515">
        <v>-5.4599670000000003E-2</v>
      </c>
      <c r="W5515">
        <v>0.15059259999999999</v>
      </c>
      <c r="X5515">
        <v>0.98708700000000005</v>
      </c>
      <c r="Y5515">
        <v>-7.195973E-2</v>
      </c>
      <c r="Z5515">
        <v>2.1181020000000002E-3</v>
      </c>
      <c r="AA5515">
        <v>0.99740530000000005</v>
      </c>
      <c r="AB5515">
        <v>30</v>
      </c>
      <c r="AC5515">
        <v>46.8235999999999</v>
      </c>
      <c r="AD5515">
        <v>-1.1099393358180001</v>
      </c>
      <c r="AE5515">
        <v>0.21207999999999999</v>
      </c>
      <c r="AF5515">
        <v>-3.38990285654413</v>
      </c>
      <c r="AG5515">
        <v>-1.1099393358180001</v>
      </c>
      <c r="AH5515">
        <v>46.674845452608203</v>
      </c>
      <c r="AI5515">
        <v>91.358673692667594</v>
      </c>
      <c r="AJ5515">
        <v>94.153986934574206</v>
      </c>
      <c r="AK5515">
        <v>46.810945351817601</v>
      </c>
      <c r="AL5515">
        <v>81.338729856025793</v>
      </c>
      <c r="AM5515">
        <v>93.166028916155298</v>
      </c>
      <c r="AN5515">
        <v>1.00000000035393</v>
      </c>
    </row>
    <row r="5516" spans="1:40" x14ac:dyDescent="0.25">
      <c r="A5516" t="str">
        <f>"20190304155745077"</f>
        <v>20190304155745077</v>
      </c>
      <c r="B5516" t="str">
        <f>"1551686265070407"</f>
        <v>1551686265070407</v>
      </c>
      <c r="C5516" t="s">
        <v>40</v>
      </c>
      <c r="D5516">
        <v>4.6717570000000004</v>
      </c>
      <c r="E5516">
        <v>0.49353580000000002</v>
      </c>
      <c r="F5516" t="s">
        <v>41</v>
      </c>
      <c r="G5516">
        <v>-336.64679999999998</v>
      </c>
      <c r="H5516" s="1">
        <v>-1.7135420000000001E-6</v>
      </c>
      <c r="I5516">
        <v>17.966170000000002</v>
      </c>
      <c r="J5516">
        <v>-384.0548</v>
      </c>
      <c r="K5516">
        <v>1.109939</v>
      </c>
      <c r="L5516">
        <v>17.782139999999998</v>
      </c>
      <c r="M5516">
        <v>0.99765800000000004</v>
      </c>
      <c r="N5516">
        <v>-1.027115E-2</v>
      </c>
      <c r="O5516">
        <v>-6.7624080000000003E-2</v>
      </c>
      <c r="P5516">
        <v>0.98987530000000001</v>
      </c>
      <c r="Q5516">
        <v>0.14139930000000001</v>
      </c>
      <c r="R5516">
        <v>-1.236339E-2</v>
      </c>
      <c r="S5516">
        <v>3.0404659999999999</v>
      </c>
      <c r="T5516">
        <v>-7.0771689999999998E-2</v>
      </c>
      <c r="U5516">
        <v>1.055908E-2</v>
      </c>
      <c r="V5516">
        <v>-5.4696849999999998E-2</v>
      </c>
      <c r="W5516">
        <v>0.15151229999999999</v>
      </c>
      <c r="X5516">
        <v>0.98694090000000001</v>
      </c>
      <c r="Y5516">
        <v>-7.1058689999999994E-2</v>
      </c>
      <c r="Z5516">
        <v>2.0699630000000002E-3</v>
      </c>
      <c r="AA5516">
        <v>0.99746999999999997</v>
      </c>
      <c r="AB5516">
        <v>30</v>
      </c>
      <c r="AC5516">
        <v>47.408000000000001</v>
      </c>
      <c r="AD5516">
        <v>-1.1099407135420001</v>
      </c>
      <c r="AE5516">
        <v>0.184030000000003</v>
      </c>
      <c r="AF5516">
        <v>-3.3878431909061599</v>
      </c>
      <c r="AG5516">
        <v>-1.1099407135420001</v>
      </c>
      <c r="AH5516">
        <v>47.261114429997299</v>
      </c>
      <c r="AI5516">
        <v>91.341918304506706</v>
      </c>
      <c r="AJ5516">
        <v>94.100150024101097</v>
      </c>
      <c r="AK5516">
        <v>47.395383604725197</v>
      </c>
      <c r="AL5516">
        <v>81.285423544033307</v>
      </c>
      <c r="AM5516">
        <v>93.172121074467697</v>
      </c>
      <c r="AN5516">
        <v>1.0000000312720101</v>
      </c>
    </row>
    <row r="5517" spans="1:40" x14ac:dyDescent="0.25">
      <c r="A5517" t="str">
        <f>"20190304155745088"</f>
        <v>20190304155745088</v>
      </c>
      <c r="B5517" t="str">
        <f>"1551686265080166"</f>
        <v>1551686265080166</v>
      </c>
      <c r="C5517" t="s">
        <v>40</v>
      </c>
      <c r="D5517">
        <v>4.6380919999999897</v>
      </c>
      <c r="E5517">
        <v>0.4936101</v>
      </c>
      <c r="F5517" t="s">
        <v>41</v>
      </c>
      <c r="G5517">
        <v>-334.8571</v>
      </c>
      <c r="H5517" s="1">
        <v>-2.483192E-6</v>
      </c>
      <c r="I5517">
        <v>17.955359999999999</v>
      </c>
      <c r="J5517">
        <v>-383.89069999999998</v>
      </c>
      <c r="K5517">
        <v>1.1099410000000001</v>
      </c>
      <c r="L5517">
        <v>17.771149999999999</v>
      </c>
      <c r="M5517">
        <v>0.99766980000000005</v>
      </c>
      <c r="N5517">
        <v>-1.027255E-2</v>
      </c>
      <c r="O5517">
        <v>-6.7451460000000005E-2</v>
      </c>
      <c r="P5517">
        <v>0.98978980000000005</v>
      </c>
      <c r="Q5517">
        <v>0.1420247</v>
      </c>
      <c r="R5517">
        <v>-1.205697E-2</v>
      </c>
      <c r="S5517">
        <v>3.0405880000000001</v>
      </c>
      <c r="T5517">
        <v>-6.8598389999999995E-2</v>
      </c>
      <c r="U5517">
        <v>1.071167E-2</v>
      </c>
      <c r="V5517">
        <v>-5.4826109999999997E-2</v>
      </c>
      <c r="W5517">
        <v>0.1521381</v>
      </c>
      <c r="X5517">
        <v>0.98683739999999998</v>
      </c>
      <c r="Y5517">
        <v>-7.0938130000000002E-2</v>
      </c>
      <c r="Z5517">
        <v>1.9920490000000001E-3</v>
      </c>
      <c r="AA5517">
        <v>0.99747870000000005</v>
      </c>
      <c r="AB5517">
        <v>30</v>
      </c>
      <c r="AC5517">
        <v>49.0335999999999</v>
      </c>
      <c r="AD5517">
        <v>-1.1099434831919901</v>
      </c>
      <c r="AE5517">
        <v>0.18421000000000001</v>
      </c>
      <c r="AF5517">
        <v>-3.4895643879786</v>
      </c>
      <c r="AG5517">
        <v>-1.1099434831919901</v>
      </c>
      <c r="AH5517">
        <v>48.884442781809703</v>
      </c>
      <c r="AI5517">
        <v>91.297402981285998</v>
      </c>
      <c r="AJ5517">
        <v>94.083072860375296</v>
      </c>
      <c r="AK5517">
        <v>49.021401247228397</v>
      </c>
      <c r="AL5517">
        <v>81.249146846683004</v>
      </c>
      <c r="AM5517">
        <v>93.179934885104103</v>
      </c>
      <c r="AN5517">
        <v>0.99999997892405001</v>
      </c>
    </row>
    <row r="5518" spans="1:40" x14ac:dyDescent="0.25">
      <c r="A5518" t="str">
        <f>"20190304155745100"</f>
        <v>20190304155745100</v>
      </c>
      <c r="B5518" t="str">
        <f>"1551686265089926"</f>
        <v>1551686265089926</v>
      </c>
      <c r="C5518" t="s">
        <v>40</v>
      </c>
      <c r="D5518">
        <v>4.6759440000000003</v>
      </c>
      <c r="E5518">
        <v>0.49368079999999998</v>
      </c>
      <c r="F5518" t="s">
        <v>41</v>
      </c>
      <c r="G5518">
        <v>-333.47989999999999</v>
      </c>
      <c r="H5518" s="1">
        <v>-3.0746140000000001E-6</v>
      </c>
      <c r="I5518">
        <v>17.952189999999899</v>
      </c>
      <c r="J5518">
        <v>-383.74400000000003</v>
      </c>
      <c r="K5518">
        <v>1.109942</v>
      </c>
      <c r="L5518">
        <v>17.761410000000001</v>
      </c>
      <c r="M5518">
        <v>0.99768020000000002</v>
      </c>
      <c r="N5518">
        <v>-1.0273900000000001E-2</v>
      </c>
      <c r="O5518">
        <v>-6.7297090000000004E-2</v>
      </c>
      <c r="P5518">
        <v>0.98971960000000003</v>
      </c>
      <c r="Q5518">
        <v>0.14255519999999999</v>
      </c>
      <c r="R5518">
        <v>-1.155335E-2</v>
      </c>
      <c r="S5518">
        <v>3.04068</v>
      </c>
      <c r="T5518">
        <v>-6.6949610000000007E-2</v>
      </c>
      <c r="U5518">
        <v>1.0925290000000001E-2</v>
      </c>
      <c r="V5518">
        <v>-5.5171640000000001E-2</v>
      </c>
      <c r="W5518">
        <v>0.15266879999999999</v>
      </c>
      <c r="X5518">
        <v>0.98673619999999995</v>
      </c>
      <c r="Y5518">
        <v>-7.0855280000000007E-2</v>
      </c>
      <c r="Z5518">
        <v>1.933022E-3</v>
      </c>
      <c r="AA5518">
        <v>0.9974847</v>
      </c>
      <c r="AB5518">
        <v>30</v>
      </c>
      <c r="AC5518">
        <v>50.264099999999999</v>
      </c>
      <c r="AD5518">
        <v>-1.109945074614</v>
      </c>
      <c r="AE5518">
        <v>0.19077999999999601</v>
      </c>
      <c r="AF5518">
        <v>-3.5714117682424802</v>
      </c>
      <c r="AG5518">
        <v>-1.109945074614</v>
      </c>
      <c r="AH5518">
        <v>50.112862707099801</v>
      </c>
      <c r="AI5518">
        <v>91.265622411029497</v>
      </c>
      <c r="AJ5518">
        <v>94.076427215259102</v>
      </c>
      <c r="AK5518">
        <v>50.252223520831699</v>
      </c>
      <c r="AL5518">
        <v>81.218380764896096</v>
      </c>
      <c r="AM5518">
        <v>93.200261740822199</v>
      </c>
      <c r="AN5518">
        <v>1.0000000003720799</v>
      </c>
    </row>
    <row r="5519" spans="1:40" x14ac:dyDescent="0.25">
      <c r="A5519" t="str">
        <f>"20190304155745113"</f>
        <v>20190304155745113</v>
      </c>
      <c r="B5519" t="str">
        <f>"1551686265110422"</f>
        <v>1551686265110422</v>
      </c>
      <c r="C5519" t="s">
        <v>40</v>
      </c>
      <c r="D5519">
        <v>4.6662319999999999</v>
      </c>
      <c r="E5519">
        <v>0.4938266</v>
      </c>
      <c r="F5519" t="s">
        <v>41</v>
      </c>
      <c r="G5519">
        <v>-332.3383</v>
      </c>
      <c r="H5519" s="1">
        <v>-3.5630419999999999E-6</v>
      </c>
      <c r="I5519">
        <v>17.959429999999902</v>
      </c>
      <c r="J5519">
        <v>-383.57459999999998</v>
      </c>
      <c r="K5519">
        <v>1.1099399999999999</v>
      </c>
      <c r="L5519">
        <v>17.750150000000001</v>
      </c>
      <c r="M5519">
        <v>0.99769220000000003</v>
      </c>
      <c r="N5519">
        <v>-1.027547E-2</v>
      </c>
      <c r="O5519">
        <v>-6.7118639999999993E-2</v>
      </c>
      <c r="P5519">
        <v>0.98968869999999998</v>
      </c>
      <c r="Q5519">
        <v>0.142793899999999</v>
      </c>
      <c r="R5519">
        <v>-1.1242790000000001E-2</v>
      </c>
      <c r="S5519">
        <v>3.0408019999999998</v>
      </c>
      <c r="T5519">
        <v>-6.5656660000000006E-2</v>
      </c>
      <c r="U5519">
        <v>1.171875E-2</v>
      </c>
      <c r="V5519">
        <v>-5.5303190000000002E-2</v>
      </c>
      <c r="W5519">
        <v>0.15290819999999999</v>
      </c>
      <c r="X5519">
        <v>0.98669180000000001</v>
      </c>
      <c r="Y5519">
        <v>-7.0938130000000002E-2</v>
      </c>
      <c r="Z5519">
        <v>1.888544E-3</v>
      </c>
      <c r="AA5519">
        <v>0.99747889999999995</v>
      </c>
      <c r="AB5519">
        <v>30</v>
      </c>
      <c r="AC5519">
        <v>51.2362999999999</v>
      </c>
      <c r="AD5519">
        <v>-1.109943563042</v>
      </c>
      <c r="AE5519">
        <v>0.209279999999996</v>
      </c>
      <c r="AF5519">
        <v>-3.64618886771368</v>
      </c>
      <c r="AG5519">
        <v>-1.109943563042</v>
      </c>
      <c r="AH5519">
        <v>51.082730217653797</v>
      </c>
      <c r="AI5519">
        <v>91.241589186546904</v>
      </c>
      <c r="AJ5519">
        <v>94.082740365396901</v>
      </c>
      <c r="AK5519">
        <v>51.224720540592301</v>
      </c>
      <c r="AL5519">
        <v>81.204501494916698</v>
      </c>
      <c r="AM5519">
        <v>93.208020503805599</v>
      </c>
      <c r="AN5519">
        <v>1.0000000343193201</v>
      </c>
    </row>
    <row r="5520" spans="1:40" x14ac:dyDescent="0.25">
      <c r="A5520" t="str">
        <f>"20190304155745126"</f>
        <v>20190304155745126</v>
      </c>
      <c r="B5520" t="str">
        <f>"1551686265120183"</f>
        <v>1551686265120183</v>
      </c>
      <c r="C5520" t="s">
        <v>40</v>
      </c>
      <c r="D5520">
        <v>4.66</v>
      </c>
      <c r="E5520">
        <v>0.49390509999999899</v>
      </c>
      <c r="F5520" t="s">
        <v>41</v>
      </c>
      <c r="G5520">
        <v>-332.07859999999999</v>
      </c>
      <c r="H5520" s="1">
        <v>-3.6777700000000002E-6</v>
      </c>
      <c r="I5520">
        <v>17.940770000000001</v>
      </c>
      <c r="J5520">
        <v>-383.39980000000003</v>
      </c>
      <c r="K5520">
        <v>1.1099410000000001</v>
      </c>
      <c r="L5520">
        <v>17.738589999999999</v>
      </c>
      <c r="M5520">
        <v>0.99770460000000005</v>
      </c>
      <c r="N5520">
        <v>-1.0277049999999999E-2</v>
      </c>
      <c r="O5520">
        <v>-6.6934709999999994E-2</v>
      </c>
      <c r="P5520">
        <v>0.98967490000000002</v>
      </c>
      <c r="Q5520">
        <v>0.14293120000000001</v>
      </c>
      <c r="R5520">
        <v>-1.0721720000000001E-2</v>
      </c>
      <c r="S5520">
        <v>3.0408330000000001</v>
      </c>
      <c r="T5520">
        <v>-6.5542100000000006E-2</v>
      </c>
      <c r="U5520">
        <v>1.126099E-2</v>
      </c>
      <c r="V5520">
        <v>-5.5639800000000003E-2</v>
      </c>
      <c r="W5520">
        <v>0.1530463</v>
      </c>
      <c r="X5520">
        <v>0.98665139999999996</v>
      </c>
      <c r="Y5520">
        <v>-7.0604269999999997E-2</v>
      </c>
      <c r="Z5520">
        <v>1.877229E-3</v>
      </c>
      <c r="AA5520">
        <v>0.99750260000000002</v>
      </c>
      <c r="AB5520">
        <v>30</v>
      </c>
      <c r="AC5520">
        <v>51.321199999999997</v>
      </c>
      <c r="AD5520">
        <v>-1.1099446777699999</v>
      </c>
      <c r="AE5520">
        <v>0.202180000000002</v>
      </c>
      <c r="AF5520">
        <v>-3.6353766054210199</v>
      </c>
      <c r="AG5520">
        <v>-1.1099446777699999</v>
      </c>
      <c r="AH5520">
        <v>51.168625703672703</v>
      </c>
      <c r="AI5520">
        <v>91.239535929083999</v>
      </c>
      <c r="AJ5520">
        <v>94.063863905587795</v>
      </c>
      <c r="AK5520">
        <v>51.309611152819201</v>
      </c>
      <c r="AL5520">
        <v>81.196494145769606</v>
      </c>
      <c r="AM5520">
        <v>93.227637255154903</v>
      </c>
      <c r="AN5520">
        <v>0.99999997120484396</v>
      </c>
    </row>
    <row r="5521" spans="1:40" x14ac:dyDescent="0.25">
      <c r="A5521" t="str">
        <f>"20190304155745144"</f>
        <v>20190304155745144</v>
      </c>
      <c r="B5521" t="str">
        <f>"1551686265140680"</f>
        <v>1551686265140680</v>
      </c>
      <c r="C5521" t="s">
        <v>40</v>
      </c>
      <c r="D5521">
        <v>4.6594610000000003</v>
      </c>
      <c r="E5521">
        <v>0.49405290000000002</v>
      </c>
      <c r="F5521" t="s">
        <v>41</v>
      </c>
      <c r="G5521">
        <v>-331.79880000000003</v>
      </c>
      <c r="H5521" s="1">
        <v>-3.797857E-6</v>
      </c>
      <c r="I5521">
        <v>17.940460000000002</v>
      </c>
      <c r="J5521">
        <v>-383.1635</v>
      </c>
      <c r="K5521">
        <v>1.109944</v>
      </c>
      <c r="L5521">
        <v>17.722989999999999</v>
      </c>
      <c r="M5521">
        <v>0.99772130000000003</v>
      </c>
      <c r="N5521">
        <v>-1.0279129999999999E-2</v>
      </c>
      <c r="O5521">
        <v>-6.6686060000000005E-2</v>
      </c>
      <c r="P5521">
        <v>0.98957779999999995</v>
      </c>
      <c r="Q5521">
        <v>0.14365600000000001</v>
      </c>
      <c r="R5521">
        <v>-9.9568480000000008E-3</v>
      </c>
      <c r="S5521">
        <v>3.0408629999999999</v>
      </c>
      <c r="T5521">
        <v>-6.5409419999999996E-2</v>
      </c>
      <c r="U5521">
        <v>1.190186E-2</v>
      </c>
      <c r="V5521">
        <v>-5.6150909999999998E-2</v>
      </c>
      <c r="W5521">
        <v>0.1537714</v>
      </c>
      <c r="X5521">
        <v>0.98650970000000004</v>
      </c>
      <c r="Y5521">
        <v>-7.0565989999999995E-2</v>
      </c>
      <c r="Z5521">
        <v>1.8692979999999999E-3</v>
      </c>
      <c r="AA5521">
        <v>0.99750539999999999</v>
      </c>
      <c r="AB5521">
        <v>30</v>
      </c>
      <c r="AC5521">
        <v>51.3646999999999</v>
      </c>
      <c r="AD5521">
        <v>-1.109947797857</v>
      </c>
      <c r="AE5521">
        <v>0.217470000000002</v>
      </c>
      <c r="AF5521">
        <v>-3.6407754243908999</v>
      </c>
      <c r="AG5521">
        <v>-1.109947797857</v>
      </c>
      <c r="AH5521">
        <v>51.211934254751498</v>
      </c>
      <c r="AI5521">
        <v>91.238487524593907</v>
      </c>
      <c r="AJ5521">
        <v>94.066448560710995</v>
      </c>
      <c r="AK5521">
        <v>51.353183347459598</v>
      </c>
      <c r="AL5521">
        <v>81.154451366545103</v>
      </c>
      <c r="AM5521">
        <v>93.257689795505499</v>
      </c>
      <c r="AN5521">
        <v>0.99999997817293795</v>
      </c>
    </row>
    <row r="5522" spans="1:40" x14ac:dyDescent="0.25">
      <c r="A5522" t="str">
        <f>"20190304155745157"</f>
        <v>20190304155745157</v>
      </c>
      <c r="B5522" t="str">
        <f>"1551686265150439"</f>
        <v>1551686265150439</v>
      </c>
      <c r="C5522" t="s">
        <v>40</v>
      </c>
      <c r="D5522">
        <v>4.68771</v>
      </c>
      <c r="E5522">
        <v>0.4941103</v>
      </c>
      <c r="F5522" t="s">
        <v>41</v>
      </c>
      <c r="G5522">
        <v>-330.25689999999997</v>
      </c>
      <c r="H5522" s="1">
        <v>-4.458363E-6</v>
      </c>
      <c r="I5522">
        <v>17.945910000000001</v>
      </c>
      <c r="J5522">
        <v>-382.97750000000002</v>
      </c>
      <c r="K5522">
        <v>1.1099429999999999</v>
      </c>
      <c r="L5522">
        <v>17.710750000000001</v>
      </c>
      <c r="M5522">
        <v>0.99773420000000002</v>
      </c>
      <c r="N5522">
        <v>-1.0280829999999999E-2</v>
      </c>
      <c r="O5522">
        <v>-6.6490079999999993E-2</v>
      </c>
      <c r="P5522">
        <v>0.98950890000000002</v>
      </c>
      <c r="Q5522">
        <v>0.1441693</v>
      </c>
      <c r="R5522">
        <v>-9.3464740000000004E-3</v>
      </c>
      <c r="S5522">
        <v>3.040985</v>
      </c>
      <c r="T5522">
        <v>-6.3797950000000006E-2</v>
      </c>
      <c r="U5522">
        <v>1.281738E-2</v>
      </c>
      <c r="V5522">
        <v>-5.6561689999999998E-2</v>
      </c>
      <c r="W5522">
        <v>0.15428499999999901</v>
      </c>
      <c r="X5522">
        <v>0.98640609999999995</v>
      </c>
      <c r="Y5522">
        <v>-7.0671559999999994E-2</v>
      </c>
      <c r="Z5522">
        <v>1.8147219999999999E-3</v>
      </c>
      <c r="AA5522">
        <v>0.997498</v>
      </c>
      <c r="AB5522">
        <v>30</v>
      </c>
      <c r="AC5522">
        <v>52.720599999999997</v>
      </c>
      <c r="AD5522">
        <v>-1.109947458363</v>
      </c>
      <c r="AE5522">
        <v>0.23516000000000001</v>
      </c>
      <c r="AF5522">
        <v>-3.73856438605441</v>
      </c>
      <c r="AG5522">
        <v>-1.109947458363</v>
      </c>
      <c r="AH5522">
        <v>52.564986173389599</v>
      </c>
      <c r="AI5522">
        <v>91.206614755247998</v>
      </c>
      <c r="AJ5522">
        <v>94.068180918035793</v>
      </c>
      <c r="AK5522">
        <v>52.709454734778298</v>
      </c>
      <c r="AL5522">
        <v>81.124669395682403</v>
      </c>
      <c r="AM5522">
        <v>93.281813890124496</v>
      </c>
      <c r="AN5522">
        <v>1.00000004005893</v>
      </c>
    </row>
    <row r="5523" spans="1:40" x14ac:dyDescent="0.25">
      <c r="A5523" t="str">
        <f>"20190304155745168"</f>
        <v>20190304155745168</v>
      </c>
      <c r="B5523" t="str">
        <f>"1551686265160199"</f>
        <v>1551686265160199</v>
      </c>
      <c r="C5523" t="s">
        <v>40</v>
      </c>
      <c r="D5523">
        <v>4.7384510000000004</v>
      </c>
      <c r="E5523">
        <v>0.4941103</v>
      </c>
      <c r="F5523" t="s">
        <v>41</v>
      </c>
      <c r="G5523">
        <v>-329.0822</v>
      </c>
      <c r="H5523" s="1">
        <v>-7.77927E-7</v>
      </c>
      <c r="I5523">
        <v>17.957929999999902</v>
      </c>
      <c r="J5523">
        <v>-382.81479999999999</v>
      </c>
      <c r="K5523">
        <v>1.1099429999999999</v>
      </c>
      <c r="L5523">
        <v>17.70007</v>
      </c>
      <c r="M5523">
        <v>0.99774560000000001</v>
      </c>
      <c r="N5523">
        <v>-1.0282360000000001E-2</v>
      </c>
      <c r="O5523">
        <v>-6.6318909999999995E-2</v>
      </c>
      <c r="P5523">
        <v>0.98945419999999995</v>
      </c>
      <c r="Q5523">
        <v>0.1445553</v>
      </c>
      <c r="R5523">
        <v>-9.1641550000000002E-3</v>
      </c>
      <c r="S5523">
        <v>3.0410460000000001</v>
      </c>
      <c r="T5523">
        <v>-6.2628630000000005E-2</v>
      </c>
      <c r="U5523">
        <v>1.394653E-2</v>
      </c>
      <c r="V5523">
        <v>-5.6570460000000003E-2</v>
      </c>
      <c r="W5523">
        <v>0.1546717</v>
      </c>
      <c r="X5523">
        <v>0.98634500000000003</v>
      </c>
      <c r="Y5523">
        <v>-7.0871630000000005E-2</v>
      </c>
      <c r="Z5523">
        <v>1.7768370000000001E-3</v>
      </c>
      <c r="AA5523">
        <v>0.99748380000000003</v>
      </c>
      <c r="AB5523">
        <v>30</v>
      </c>
      <c r="AC5523">
        <v>53.732599999999898</v>
      </c>
      <c r="AD5523">
        <v>-1.1099437779269901</v>
      </c>
      <c r="AE5523">
        <v>0.25785999999999698</v>
      </c>
      <c r="AF5523">
        <v>-3.8193380556297098</v>
      </c>
      <c r="AG5523">
        <v>-1.1099437779269901</v>
      </c>
      <c r="AH5523">
        <v>53.574332260025301</v>
      </c>
      <c r="AI5523">
        <v>91.183870548536603</v>
      </c>
      <c r="AJ5523">
        <v>94.077742886842401</v>
      </c>
      <c r="AK5523">
        <v>53.721768357723697</v>
      </c>
      <c r="AL5523">
        <v>81.102243615961896</v>
      </c>
      <c r="AM5523">
        <v>93.2825245109197</v>
      </c>
      <c r="AN5523">
        <v>1.00000000537525</v>
      </c>
    </row>
    <row r="5524" spans="1:40" x14ac:dyDescent="0.25">
      <c r="A5524" t="str">
        <f>"20190304155745179"</f>
        <v>20190304155745179</v>
      </c>
      <c r="B5524" t="str">
        <f>"1551686265169960"</f>
        <v>1551686265169960</v>
      </c>
      <c r="C5524" t="s">
        <v>40</v>
      </c>
      <c r="D5524">
        <v>4.7264019999999896</v>
      </c>
      <c r="E5524">
        <v>0.5183567</v>
      </c>
      <c r="F5524" t="s">
        <v>41</v>
      </c>
      <c r="G5524">
        <v>-327.89780000000002</v>
      </c>
      <c r="H5524" s="1">
        <v>-1.268255E-6</v>
      </c>
      <c r="I5524">
        <v>17.958539999999999</v>
      </c>
      <c r="J5524">
        <v>-382.67610000000002</v>
      </c>
      <c r="K5524">
        <v>1.1099490000000001</v>
      </c>
      <c r="L5524">
        <v>17.69098</v>
      </c>
      <c r="M5524">
        <v>0.99775519999999995</v>
      </c>
      <c r="N5524">
        <v>-1.02837E-2</v>
      </c>
      <c r="O5524">
        <v>-6.6172999999999996E-2</v>
      </c>
      <c r="P5524">
        <v>0.98940320000000004</v>
      </c>
      <c r="Q5524">
        <v>0.14492840000000001</v>
      </c>
      <c r="R5524">
        <v>-8.7872579999999992E-3</v>
      </c>
      <c r="S5524">
        <v>3.0410460000000001</v>
      </c>
      <c r="T5524">
        <v>-6.1463480000000001E-2</v>
      </c>
      <c r="U5524">
        <v>1.4312739999999999E-2</v>
      </c>
      <c r="V5524">
        <v>-5.6798960000000003E-2</v>
      </c>
      <c r="W5524">
        <v>0.1550453</v>
      </c>
      <c r="X5524">
        <v>0.98627319999999996</v>
      </c>
      <c r="Y5524">
        <v>-7.0846839999999994E-2</v>
      </c>
      <c r="Z5524">
        <v>1.7360139999999999E-3</v>
      </c>
      <c r="AA5524">
        <v>0.99748570000000003</v>
      </c>
      <c r="AB5524">
        <v>30</v>
      </c>
      <c r="AC5524">
        <v>54.778300000000002</v>
      </c>
      <c r="AD5524">
        <v>-1.109950268255</v>
      </c>
      <c r="AE5524">
        <v>0.26755999999999902</v>
      </c>
      <c r="AF5524">
        <v>-3.8904122570238902</v>
      </c>
      <c r="AG5524">
        <v>-1.109950268255</v>
      </c>
      <c r="AH5524">
        <v>54.618091957839297</v>
      </c>
      <c r="AI5524">
        <v>91.161264681014501</v>
      </c>
      <c r="AJ5524">
        <v>94.074261129511399</v>
      </c>
      <c r="AK5524">
        <v>54.767721024729497</v>
      </c>
      <c r="AL5524">
        <v>81.080576450825106</v>
      </c>
      <c r="AM5524">
        <v>93.295993549456199</v>
      </c>
      <c r="AN5524">
        <v>0.99999999597370504</v>
      </c>
    </row>
    <row r="5525" spans="1:40" x14ac:dyDescent="0.25">
      <c r="A5525" t="str">
        <f>"20190304155745192"</f>
        <v>20190304155745192</v>
      </c>
      <c r="B5525" t="str">
        <f>"1551686265180695"</f>
        <v>1551686265180695</v>
      </c>
      <c r="C5525" t="s">
        <v>40</v>
      </c>
      <c r="D5525">
        <v>4.6325349999999998</v>
      </c>
      <c r="E5525">
        <v>0.52155969999999996</v>
      </c>
      <c r="F5525" t="s">
        <v>41</v>
      </c>
      <c r="G5525">
        <v>-346.55360000000002</v>
      </c>
      <c r="H5525" s="1">
        <v>-2.2338460000000001E-6</v>
      </c>
      <c r="I5525">
        <v>15.57611</v>
      </c>
      <c r="J5525">
        <v>-382.5093</v>
      </c>
      <c r="K5525">
        <v>1.1099509999999999</v>
      </c>
      <c r="L5525">
        <v>17.680109999999999</v>
      </c>
      <c r="M5525">
        <v>0.99776670000000001</v>
      </c>
      <c r="N5525">
        <v>-1.0285310000000001E-2</v>
      </c>
      <c r="O5525">
        <v>-6.5997769999999997E-2</v>
      </c>
      <c r="P5525">
        <v>0.98935960000000001</v>
      </c>
      <c r="Q5525">
        <v>0.1452446</v>
      </c>
      <c r="R5525">
        <v>-8.4425319999999904E-3</v>
      </c>
      <c r="S5525">
        <v>3.0442200000000001</v>
      </c>
      <c r="T5525">
        <v>-9.3541029999999997E-2</v>
      </c>
      <c r="U5525">
        <v>-0.17822270000000001</v>
      </c>
      <c r="V5525">
        <v>-5.6966799999999998E-2</v>
      </c>
      <c r="W5525">
        <v>0.1553628</v>
      </c>
      <c r="X5525">
        <v>0.98621360000000002</v>
      </c>
      <c r="Y5525">
        <v>-7.5529250000000003E-3</v>
      </c>
      <c r="Z5525">
        <v>1.499614E-3</v>
      </c>
      <c r="AA5525">
        <v>0.99997040000000004</v>
      </c>
      <c r="AB5525">
        <v>30</v>
      </c>
      <c r="AC5525">
        <v>35.955699999999901</v>
      </c>
      <c r="AD5525">
        <v>-1.1099532338460001</v>
      </c>
      <c r="AE5525">
        <v>-2.1039999999999899</v>
      </c>
      <c r="AF5525">
        <v>-0.27344967932978897</v>
      </c>
      <c r="AG5525">
        <v>-1.1099532338460001</v>
      </c>
      <c r="AH5525">
        <v>35.981994345286402</v>
      </c>
      <c r="AI5525">
        <v>91.766818153698395</v>
      </c>
      <c r="AJ5525">
        <v>90.435418080854603</v>
      </c>
      <c r="AK5525">
        <v>36.000148443758903</v>
      </c>
      <c r="AL5525">
        <v>81.062162301251306</v>
      </c>
      <c r="AM5525">
        <v>93.305910920222004</v>
      </c>
      <c r="AN5525">
        <v>1.00000004037551</v>
      </c>
    </row>
    <row r="5526" spans="1:40" x14ac:dyDescent="0.25">
      <c r="A5526" t="str">
        <f>"20190304155745210"</f>
        <v>20190304155745210</v>
      </c>
      <c r="B5526" t="str">
        <f>"1551686265200214"</f>
        <v>1551686265200214</v>
      </c>
      <c r="C5526" t="s">
        <v>40</v>
      </c>
      <c r="D5526">
        <v>4.6972139999999998</v>
      </c>
      <c r="E5526">
        <v>0.52428079999999999</v>
      </c>
      <c r="F5526" t="s">
        <v>41</v>
      </c>
      <c r="G5526">
        <v>-352.28609999999998</v>
      </c>
      <c r="H5526" s="1">
        <v>-3.9923839999999997E-6</v>
      </c>
      <c r="I5526">
        <v>15.66521</v>
      </c>
      <c r="J5526">
        <v>-382.2552</v>
      </c>
      <c r="K5526">
        <v>1.1099540000000001</v>
      </c>
      <c r="L5526">
        <v>17.663540000000001</v>
      </c>
      <c r="M5526">
        <v>0.99778449999999996</v>
      </c>
      <c r="N5526">
        <v>-1.028772E-2</v>
      </c>
      <c r="O5526">
        <v>-6.5730640000000007E-2</v>
      </c>
      <c r="P5526">
        <v>0.98928570000000005</v>
      </c>
      <c r="Q5526">
        <v>0.145767799999999</v>
      </c>
      <c r="R5526">
        <v>-8.1087759999999998E-3</v>
      </c>
      <c r="S5526">
        <v>3.046967</v>
      </c>
      <c r="T5526">
        <v>-0.1119006</v>
      </c>
      <c r="U5526">
        <v>-0.203125</v>
      </c>
      <c r="V5526">
        <v>-5.7031150000000003E-2</v>
      </c>
      <c r="W5526">
        <v>0.15588750000000001</v>
      </c>
      <c r="X5526">
        <v>0.98612699999999998</v>
      </c>
      <c r="Y5526">
        <v>8.0670079999999999E-4</v>
      </c>
      <c r="Z5526">
        <v>1.7128579999999901E-3</v>
      </c>
      <c r="AA5526">
        <v>0.99999819999999995</v>
      </c>
      <c r="AB5526">
        <v>30</v>
      </c>
      <c r="AC5526">
        <v>29.969100000000001</v>
      </c>
      <c r="AD5526">
        <v>-1.1099579923839999</v>
      </c>
      <c r="AE5526">
        <v>-1.9983299999999999</v>
      </c>
      <c r="AF5526">
        <v>2.3983091945542798E-2</v>
      </c>
      <c r="AG5526">
        <v>-1.1099579923839999</v>
      </c>
      <c r="AH5526">
        <v>29.994678314841401</v>
      </c>
      <c r="AI5526">
        <v>92.119272033033397</v>
      </c>
      <c r="AJ5526">
        <v>89.954187551508596</v>
      </c>
      <c r="AK5526">
        <v>30.015217959301498</v>
      </c>
      <c r="AL5526">
        <v>81.031727700787798</v>
      </c>
      <c r="AM5526">
        <v>93.309926998535204</v>
      </c>
      <c r="AN5526">
        <v>0.99999996242778499</v>
      </c>
    </row>
    <row r="5527" spans="1:40" x14ac:dyDescent="0.25">
      <c r="A5527" t="str">
        <f>"20190304155745222"</f>
        <v>20190304155745222</v>
      </c>
      <c r="B5527" t="str">
        <f>"1551686265220712"</f>
        <v>1551686265220712</v>
      </c>
      <c r="C5527" t="s">
        <v>40</v>
      </c>
      <c r="D5527">
        <v>4.5862579999999999</v>
      </c>
      <c r="E5527">
        <v>0.52540529999999996</v>
      </c>
      <c r="F5527" t="s">
        <v>41</v>
      </c>
      <c r="G5527">
        <v>-348.71080000000001</v>
      </c>
      <c r="H5527" s="1">
        <v>-1.600311E-6</v>
      </c>
      <c r="I5527">
        <v>15.198219999999999</v>
      </c>
      <c r="J5527">
        <v>-382.09</v>
      </c>
      <c r="K5527">
        <v>1.109955</v>
      </c>
      <c r="L5527">
        <v>17.65286</v>
      </c>
      <c r="M5527">
        <v>0.99779580000000001</v>
      </c>
      <c r="N5527">
        <v>-1.028928E-2</v>
      </c>
      <c r="O5527">
        <v>-6.5556959999999997E-2</v>
      </c>
      <c r="P5527">
        <v>0.98930810000000002</v>
      </c>
      <c r="Q5527">
        <v>0.14563019999999999</v>
      </c>
      <c r="R5527">
        <v>-7.8361819999999902E-3</v>
      </c>
      <c r="S5527">
        <v>3.045471</v>
      </c>
      <c r="T5527">
        <v>-0.100772</v>
      </c>
      <c r="U5527">
        <v>-0.22381590000000001</v>
      </c>
      <c r="V5527">
        <v>-5.713302E-2</v>
      </c>
      <c r="W5527">
        <v>0.1557509</v>
      </c>
      <c r="X5527">
        <v>0.98614270000000004</v>
      </c>
      <c r="Y5527">
        <v>7.7632859999999899E-3</v>
      </c>
      <c r="Z5527">
        <v>1.32071799999999E-3</v>
      </c>
      <c r="AA5527">
        <v>0.999969</v>
      </c>
      <c r="AB5527">
        <v>30</v>
      </c>
      <c r="AC5527">
        <v>33.379199999999898</v>
      </c>
      <c r="AD5527">
        <v>-1.109956600311</v>
      </c>
      <c r="AE5527">
        <v>-2.4546399999999902</v>
      </c>
      <c r="AF5527">
        <v>0.26071767418817599</v>
      </c>
      <c r="AG5527">
        <v>-1.109956600311</v>
      </c>
      <c r="AH5527">
        <v>33.431546899807202</v>
      </c>
      <c r="AI5527">
        <v>91.901513724059001</v>
      </c>
      <c r="AJ5527">
        <v>89.5531849124242</v>
      </c>
      <c r="AK5527">
        <v>33.450983624913199</v>
      </c>
      <c r="AL5527">
        <v>81.039651195727899</v>
      </c>
      <c r="AM5527">
        <v>93.315773393418795</v>
      </c>
      <c r="AN5527">
        <v>0.99999997479420899</v>
      </c>
    </row>
    <row r="5528" spans="1:40" x14ac:dyDescent="0.25">
      <c r="A5528" t="str">
        <f>"20190304155745235"</f>
        <v>20190304155745235</v>
      </c>
      <c r="B5528" t="str">
        <f>"1551686265230471"</f>
        <v>1551686265230471</v>
      </c>
      <c r="C5528" t="s">
        <v>40</v>
      </c>
      <c r="D5528">
        <v>4.652641</v>
      </c>
      <c r="E5528">
        <v>0.52567609999999998</v>
      </c>
      <c r="F5528" t="s">
        <v>41</v>
      </c>
      <c r="G5528">
        <v>-350.20650000000001</v>
      </c>
      <c r="H5528" s="1">
        <v>-4.9626889999999998E-6</v>
      </c>
      <c r="I5528">
        <v>15.22457</v>
      </c>
      <c r="J5528">
        <v>-381.91890000000001</v>
      </c>
      <c r="K5528">
        <v>1.1099540000000001</v>
      </c>
      <c r="L5528">
        <v>17.641779999999901</v>
      </c>
      <c r="M5528">
        <v>0.99780769999999996</v>
      </c>
      <c r="N5528">
        <v>-1.029089E-2</v>
      </c>
      <c r="O5528">
        <v>-6.5376840000000006E-2</v>
      </c>
      <c r="P5528">
        <v>0.98926820000000004</v>
      </c>
      <c r="Q5528">
        <v>0.14590529999999999</v>
      </c>
      <c r="R5528">
        <v>-7.7633909999999997E-3</v>
      </c>
      <c r="S5528">
        <v>3.0462039999999999</v>
      </c>
      <c r="T5528">
        <v>-0.1060474</v>
      </c>
      <c r="U5528">
        <v>-0.2319946</v>
      </c>
      <c r="V5528">
        <v>-5.7024699999999998E-2</v>
      </c>
      <c r="W5528">
        <v>0.15602750000000001</v>
      </c>
      <c r="X5528">
        <v>0.98610529999999996</v>
      </c>
      <c r="Y5528">
        <v>1.059591E-2</v>
      </c>
      <c r="Z5528">
        <v>1.358155E-3</v>
      </c>
      <c r="AA5528">
        <v>0.99994300000000003</v>
      </c>
      <c r="AB5528">
        <v>30</v>
      </c>
      <c r="AC5528">
        <v>31.712399999999999</v>
      </c>
      <c r="AD5528">
        <v>-1.1099589626890001</v>
      </c>
      <c r="AE5528">
        <v>-2.4172099999999901</v>
      </c>
      <c r="AF5528">
        <v>0.33826014899649098</v>
      </c>
      <c r="AG5528">
        <v>-1.1099589626890001</v>
      </c>
      <c r="AH5528">
        <v>31.763898920007101</v>
      </c>
      <c r="AI5528">
        <v>92.001218312726095</v>
      </c>
      <c r="AJ5528">
        <v>89.389868782136602</v>
      </c>
      <c r="AK5528">
        <v>31.785086179333799</v>
      </c>
      <c r="AL5528">
        <v>81.023607534521005</v>
      </c>
      <c r="AM5528">
        <v>93.3096261582469</v>
      </c>
      <c r="AN5528">
        <v>1.00000002992721</v>
      </c>
    </row>
    <row r="5529" spans="1:40" x14ac:dyDescent="0.25">
      <c r="A5529" t="str">
        <f>"20190304155745257"</f>
        <v>20190304155745257</v>
      </c>
      <c r="B5529" t="str">
        <f>"1551686265249990"</f>
        <v>1551686265249990</v>
      </c>
      <c r="C5529" t="s">
        <v>40</v>
      </c>
      <c r="D5529">
        <v>4.6706099999999999</v>
      </c>
      <c r="E5529">
        <v>0.52578429999999998</v>
      </c>
      <c r="F5529" t="s">
        <v>41</v>
      </c>
      <c r="G5529">
        <v>-350.23009999999999</v>
      </c>
      <c r="H5529" s="1">
        <v>-4.9558169999999999E-6</v>
      </c>
      <c r="I5529">
        <v>15.206300000000001</v>
      </c>
      <c r="J5529">
        <v>-381.61959999999999</v>
      </c>
      <c r="K5529">
        <v>1.1099479999999999</v>
      </c>
      <c r="L5529">
        <v>17.622499999999999</v>
      </c>
      <c r="M5529">
        <v>0.99782820000000005</v>
      </c>
      <c r="N5529">
        <v>-1.029364E-2</v>
      </c>
      <c r="O5529">
        <v>-6.5060820000000005E-2</v>
      </c>
      <c r="P5529">
        <v>0.98927379999999998</v>
      </c>
      <c r="Q5529">
        <v>0.14588309999999999</v>
      </c>
      <c r="R5529">
        <v>-7.4414900000000003E-3</v>
      </c>
      <c r="S5529">
        <v>3.0464479999999998</v>
      </c>
      <c r="T5529">
        <v>-0.1067076</v>
      </c>
      <c r="U5529">
        <v>-0.2341309</v>
      </c>
      <c r="V5529">
        <v>-5.7033819999999999E-2</v>
      </c>
      <c r="W5529">
        <v>0.1560076</v>
      </c>
      <c r="X5529">
        <v>0.98610790000000004</v>
      </c>
      <c r="Y5529">
        <v>1.1602960000000001E-2</v>
      </c>
      <c r="Z5529">
        <v>1.3401520000000001E-3</v>
      </c>
      <c r="AA5529">
        <v>0.99993180000000004</v>
      </c>
      <c r="AB5529">
        <v>30</v>
      </c>
      <c r="AC5529">
        <v>31.389500000000002</v>
      </c>
      <c r="AD5529">
        <v>-1.109952955817</v>
      </c>
      <c r="AE5529">
        <v>-2.4161999999999901</v>
      </c>
      <c r="AF5529">
        <v>0.36828764119639201</v>
      </c>
      <c r="AG5529">
        <v>-1.109952955817</v>
      </c>
      <c r="AH5529">
        <v>31.441114680017201</v>
      </c>
      <c r="AI5529">
        <v>92.021711507767407</v>
      </c>
      <c r="AJ5529">
        <v>89.328892671474804</v>
      </c>
      <c r="AK5529">
        <v>31.462856254205199</v>
      </c>
      <c r="AL5529">
        <v>81.024761668079705</v>
      </c>
      <c r="AM5529">
        <v>93.310145583907001</v>
      </c>
      <c r="AN5529">
        <v>1.0000000091619801</v>
      </c>
    </row>
    <row r="5530" spans="1:40" x14ac:dyDescent="0.25">
      <c r="A5530" t="str">
        <f>"20190304155745277"</f>
        <v>20190304155745277</v>
      </c>
      <c r="B5530" t="str">
        <f>"1551686265270017"</f>
        <v>1551686265270017</v>
      </c>
      <c r="C5530" t="s">
        <v>40</v>
      </c>
      <c r="D5530">
        <v>4.9024089999999996</v>
      </c>
      <c r="E5530">
        <v>0.52588809999999997</v>
      </c>
      <c r="F5530" t="s">
        <v>41</v>
      </c>
      <c r="G5530">
        <v>-348.82490000000001</v>
      </c>
      <c r="H5530" s="1">
        <v>-1.586492E-6</v>
      </c>
      <c r="I5530">
        <v>15.10422</v>
      </c>
      <c r="J5530">
        <v>-381.34190000000001</v>
      </c>
      <c r="K5530">
        <v>1.109952</v>
      </c>
      <c r="L5530">
        <v>17.60474</v>
      </c>
      <c r="M5530">
        <v>0.9978475</v>
      </c>
      <c r="N5530">
        <v>-1.029623E-2</v>
      </c>
      <c r="O5530">
        <v>-6.4764459999999996E-2</v>
      </c>
      <c r="P5530">
        <v>0.98922410000000005</v>
      </c>
      <c r="Q5530">
        <v>0.14623369999999999</v>
      </c>
      <c r="R5530">
        <v>-7.1753059999999898E-3</v>
      </c>
      <c r="S5530">
        <v>3.0459290000000001</v>
      </c>
      <c r="T5530">
        <v>-0.1030906</v>
      </c>
      <c r="U5530">
        <v>-0.2338867</v>
      </c>
      <c r="V5530">
        <v>-5.7004270000000003E-2</v>
      </c>
      <c r="W5530">
        <v>0.15636040000000001</v>
      </c>
      <c r="X5530">
        <v>0.98605370000000003</v>
      </c>
      <c r="Y5530">
        <v>1.183172E-2</v>
      </c>
      <c r="Z5530">
        <v>1.2582279999999999E-3</v>
      </c>
      <c r="AA5530">
        <v>0.99992919999999996</v>
      </c>
      <c r="AB5530">
        <v>30</v>
      </c>
      <c r="AC5530">
        <v>32.517000000000003</v>
      </c>
      <c r="AD5530">
        <v>-1.109953586492</v>
      </c>
      <c r="AE5530">
        <v>-2.5005199999999901</v>
      </c>
      <c r="AF5530">
        <v>0.38876199003690598</v>
      </c>
      <c r="AG5530">
        <v>-1.109953586492</v>
      </c>
      <c r="AH5530">
        <v>32.572949421113201</v>
      </c>
      <c r="AI5530">
        <v>91.951512999369299</v>
      </c>
      <c r="AJ5530">
        <v>89.316200586416898</v>
      </c>
      <c r="AK5530">
        <v>32.594173817408802</v>
      </c>
      <c r="AL5530">
        <v>81.004296307974499</v>
      </c>
      <c r="AM5530">
        <v>93.308615812349203</v>
      </c>
      <c r="AN5530">
        <v>0.99999998038504101</v>
      </c>
    </row>
    <row r="5531" spans="1:40" x14ac:dyDescent="0.25">
      <c r="A5531" t="str">
        <f>"20190304155745290"</f>
        <v>20190304155745290</v>
      </c>
      <c r="B5531" t="str">
        <f>"1551686265280754"</f>
        <v>1551686265280754</v>
      </c>
      <c r="C5531" t="s">
        <v>40</v>
      </c>
      <c r="D5531">
        <v>4.7314740000000004</v>
      </c>
      <c r="E5531">
        <v>0.52654969999999901</v>
      </c>
      <c r="F5531" t="s">
        <v>41</v>
      </c>
      <c r="G5531">
        <v>-347.5292</v>
      </c>
      <c r="H5531" s="1">
        <v>-2.0526250000000001E-6</v>
      </c>
      <c r="I5531">
        <v>15.0094799999999</v>
      </c>
      <c r="J5531">
        <v>-381.17059999999998</v>
      </c>
      <c r="K5531">
        <v>1.1099540000000001</v>
      </c>
      <c r="L5531">
        <v>17.593779999999999</v>
      </c>
      <c r="M5531">
        <v>0.99785939999999995</v>
      </c>
      <c r="N5531">
        <v>-1.029798E-2</v>
      </c>
      <c r="O5531">
        <v>-6.4579670000000006E-2</v>
      </c>
      <c r="P5531">
        <v>0.98922650000000001</v>
      </c>
      <c r="Q5531">
        <v>0.14621439999999999</v>
      </c>
      <c r="R5531">
        <v>-7.2305700000000004E-3</v>
      </c>
      <c r="S5531">
        <v>3.0457459999999998</v>
      </c>
      <c r="T5531">
        <v>-9.9981189999999998E-2</v>
      </c>
      <c r="U5531">
        <v>-0.23376459999999999</v>
      </c>
      <c r="V5531">
        <v>-5.6767459999999999E-2</v>
      </c>
      <c r="W5531">
        <v>0.1563425</v>
      </c>
      <c r="X5531">
        <v>0.98607020000000001</v>
      </c>
      <c r="Y5531">
        <v>1.198046E-2</v>
      </c>
      <c r="Z5531">
        <v>1.1910149999999999E-3</v>
      </c>
      <c r="AA5531">
        <v>0.99992749999999997</v>
      </c>
      <c r="AB5531">
        <v>30</v>
      </c>
      <c r="AC5531">
        <v>33.641399999999898</v>
      </c>
      <c r="AD5531">
        <v>-1.1099560526250001</v>
      </c>
      <c r="AE5531">
        <v>-2.5842999999999998</v>
      </c>
      <c r="AF5531">
        <v>0.405799928103874</v>
      </c>
      <c r="AG5531">
        <v>-1.1099560526250001</v>
      </c>
      <c r="AH5531">
        <v>33.7015981231132</v>
      </c>
      <c r="AI5531">
        <v>91.886207683398695</v>
      </c>
      <c r="AJ5531">
        <v>89.310136582949397</v>
      </c>
      <c r="AK5531">
        <v>33.722312970379697</v>
      </c>
      <c r="AL5531">
        <v>81.005334674512298</v>
      </c>
      <c r="AM5531">
        <v>93.294846328066598</v>
      </c>
      <c r="AN5531">
        <v>0.99999998057456996</v>
      </c>
    </row>
    <row r="5532" spans="1:40" x14ac:dyDescent="0.25">
      <c r="A5532" t="str">
        <f>"20190304155745302"</f>
        <v>20190304155745302</v>
      </c>
      <c r="B5532" t="str">
        <f>"1551686265290514"</f>
        <v>1551686265290514</v>
      </c>
      <c r="C5532" t="s">
        <v>40</v>
      </c>
      <c r="D5532">
        <v>4.7542160000000004</v>
      </c>
      <c r="E5532">
        <v>0.52693140000000005</v>
      </c>
      <c r="F5532" t="s">
        <v>41</v>
      </c>
      <c r="G5532">
        <v>-348.38650000000001</v>
      </c>
      <c r="H5532" s="1">
        <v>-1.7588710000000001E-6</v>
      </c>
      <c r="I5532">
        <v>15.01704</v>
      </c>
      <c r="J5532">
        <v>-381.01229999999998</v>
      </c>
      <c r="K5532">
        <v>1.1099570000000001</v>
      </c>
      <c r="L5532">
        <v>17.583679999999902</v>
      </c>
      <c r="M5532">
        <v>0.9978707</v>
      </c>
      <c r="N5532">
        <v>-1.029966E-2</v>
      </c>
      <c r="O5532">
        <v>-6.4404999999999907E-2</v>
      </c>
      <c r="P5532">
        <v>0.98924290000000004</v>
      </c>
      <c r="Q5532">
        <v>0.1461171</v>
      </c>
      <c r="R5532">
        <v>-6.9849159999999999E-3</v>
      </c>
      <c r="S5532">
        <v>3.0461429999999998</v>
      </c>
      <c r="T5532">
        <v>-0.1031319</v>
      </c>
      <c r="U5532">
        <v>-0.2394104</v>
      </c>
      <c r="V5532">
        <v>-5.6842139999999999E-2</v>
      </c>
      <c r="W5532">
        <v>0.15624689999999999</v>
      </c>
      <c r="X5532">
        <v>0.98608110000000004</v>
      </c>
      <c r="Y5532">
        <v>1.398719E-2</v>
      </c>
      <c r="Z5532">
        <v>1.202552E-3</v>
      </c>
      <c r="AA5532">
        <v>0.9999015</v>
      </c>
      <c r="AB5532">
        <v>30</v>
      </c>
      <c r="AC5532">
        <v>32.625799999999899</v>
      </c>
      <c r="AD5532">
        <v>-1.10995875887099</v>
      </c>
      <c r="AE5532">
        <v>-2.5666399999999898</v>
      </c>
      <c r="AF5532">
        <v>0.45940614011525399</v>
      </c>
      <c r="AG5532">
        <v>-1.10995875887099</v>
      </c>
      <c r="AH5532">
        <v>32.685771226468603</v>
      </c>
      <c r="AI5532">
        <v>91.9447376491174</v>
      </c>
      <c r="AJ5532">
        <v>89.194747474922707</v>
      </c>
      <c r="AK5532">
        <v>32.7078385577068</v>
      </c>
      <c r="AL5532">
        <v>81.0108807451426</v>
      </c>
      <c r="AM5532">
        <v>93.299134881632696</v>
      </c>
      <c r="AN5532">
        <v>1.00000002920829</v>
      </c>
    </row>
    <row r="5533" spans="1:40" x14ac:dyDescent="0.25">
      <c r="A5533" t="str">
        <f>"20190304155745313"</f>
        <v>20190304155745313</v>
      </c>
      <c r="B5533" t="str">
        <f>"1551686265310034"</f>
        <v>1551686265310034</v>
      </c>
      <c r="C5533" t="s">
        <v>40</v>
      </c>
      <c r="D5533">
        <v>4.698607</v>
      </c>
      <c r="E5533">
        <v>0.52720049999999996</v>
      </c>
      <c r="F5533" t="s">
        <v>41</v>
      </c>
      <c r="G5533">
        <v>-348.5874</v>
      </c>
      <c r="H5533" s="1">
        <v>-1.691937E-6</v>
      </c>
      <c r="I5533">
        <v>15.01164</v>
      </c>
      <c r="J5533">
        <v>-380.85739999999998</v>
      </c>
      <c r="K5533">
        <v>1.1099540000000001</v>
      </c>
      <c r="L5533">
        <v>17.57385</v>
      </c>
      <c r="M5533">
        <v>0.99788180000000004</v>
      </c>
      <c r="N5533">
        <v>-1.030126E-2</v>
      </c>
      <c r="O5533">
        <v>-6.4232239999999996E-2</v>
      </c>
      <c r="P5533">
        <v>0.98926009999999998</v>
      </c>
      <c r="Q5533">
        <v>0.14599000000000001</v>
      </c>
      <c r="R5533">
        <v>-7.1747349999999998E-3</v>
      </c>
      <c r="S5533">
        <v>3.0463559999999998</v>
      </c>
      <c r="T5533">
        <v>-0.1042819</v>
      </c>
      <c r="U5533">
        <v>-0.2416382</v>
      </c>
      <c r="V5533">
        <v>-5.6484050000000001E-2</v>
      </c>
      <c r="W5533">
        <v>0.15612119999999999</v>
      </c>
      <c r="X5533">
        <v>0.98612149999999998</v>
      </c>
      <c r="Y5533">
        <v>1.4881149999999999E-2</v>
      </c>
      <c r="Z5533">
        <v>1.1998519999999999E-3</v>
      </c>
      <c r="AA5533">
        <v>0.99988849999999996</v>
      </c>
      <c r="AB5533">
        <v>30</v>
      </c>
      <c r="AC5533">
        <v>32.269999999999897</v>
      </c>
      <c r="AD5533">
        <v>-1.1099556919369999</v>
      </c>
      <c r="AE5533">
        <v>-2.5622099999999999</v>
      </c>
      <c r="AF5533">
        <v>0.48346563430761902</v>
      </c>
      <c r="AG5533">
        <v>-1.1099556919369999</v>
      </c>
      <c r="AH5533">
        <v>32.3299306565183</v>
      </c>
      <c r="AI5533">
        <v>91.966094730346498</v>
      </c>
      <c r="AJ5533">
        <v>89.143255947375494</v>
      </c>
      <c r="AK5533">
        <v>32.3525911931781</v>
      </c>
      <c r="AL5533">
        <v>81.018171542973604</v>
      </c>
      <c r="AM5533">
        <v>93.278262689326198</v>
      </c>
      <c r="AN5533">
        <v>0.999999944878044</v>
      </c>
    </row>
    <row r="5534" spans="1:40" x14ac:dyDescent="0.25">
      <c r="A5534" t="str">
        <f>"20190304155745325"</f>
        <v>20190304155745325</v>
      </c>
      <c r="B5534" t="str">
        <f>"1551686265320770"</f>
        <v>1551686265320770</v>
      </c>
      <c r="C5534" t="s">
        <v>40</v>
      </c>
      <c r="D5534">
        <v>4.6758439999999997</v>
      </c>
      <c r="E5534">
        <v>0.52731759999999905</v>
      </c>
      <c r="F5534" t="s">
        <v>41</v>
      </c>
      <c r="G5534">
        <v>-348.24119999999999</v>
      </c>
      <c r="H5534" s="1">
        <v>-1.8244709999999999E-6</v>
      </c>
      <c r="I5534">
        <v>14.956340000000001</v>
      </c>
      <c r="J5534">
        <v>-380.6848</v>
      </c>
      <c r="K5534">
        <v>1.109958</v>
      </c>
      <c r="L5534">
        <v>17.562929999999898</v>
      </c>
      <c r="M5534">
        <v>0.99789439999999996</v>
      </c>
      <c r="N5534">
        <v>-1.03029E-2</v>
      </c>
      <c r="O5534">
        <v>-6.4036090000000004E-2</v>
      </c>
      <c r="P5534">
        <v>0.9892666</v>
      </c>
      <c r="Q5534">
        <v>0.14596099999999901</v>
      </c>
      <c r="R5534">
        <v>-6.8403309999999998E-3</v>
      </c>
      <c r="S5534">
        <v>3.0460820000000002</v>
      </c>
      <c r="T5534">
        <v>-0.10366060000000001</v>
      </c>
      <c r="U5534">
        <v>-0.24444579999999999</v>
      </c>
      <c r="V5534">
        <v>-5.6625370000000001E-2</v>
      </c>
      <c r="W5534">
        <v>0.15609289999999901</v>
      </c>
      <c r="X5534">
        <v>0.98611800000000005</v>
      </c>
      <c r="Y5534">
        <v>1.599948E-2</v>
      </c>
      <c r="Z5534">
        <v>1.1589110000000001E-3</v>
      </c>
      <c r="AA5534">
        <v>0.99987130000000002</v>
      </c>
      <c r="AB5534">
        <v>31</v>
      </c>
      <c r="AC5534">
        <v>32.443600000000004</v>
      </c>
      <c r="AD5534">
        <v>-1.1099598244710001</v>
      </c>
      <c r="AE5534">
        <v>-2.6065900000000002</v>
      </c>
      <c r="AF5534">
        <v>0.522959884808335</v>
      </c>
      <c r="AG5534">
        <v>-1.1099598244710001</v>
      </c>
      <c r="AH5534">
        <v>32.506126736040898</v>
      </c>
      <c r="AI5534">
        <v>91.955418909065799</v>
      </c>
      <c r="AJ5534">
        <v>89.078302690243305</v>
      </c>
      <c r="AK5534">
        <v>32.529275633383101</v>
      </c>
      <c r="AL5534">
        <v>81.019814253631097</v>
      </c>
      <c r="AM5534">
        <v>93.286458405874697</v>
      </c>
      <c r="AN5534">
        <v>1.0000000679410199</v>
      </c>
    </row>
    <row r="5535" spans="1:40" x14ac:dyDescent="0.25">
      <c r="A5535" t="str">
        <f>"20190304155745345"</f>
        <v>20190304155745345</v>
      </c>
      <c r="B5535" t="str">
        <f>"1551686265340290"</f>
        <v>1551686265340290</v>
      </c>
      <c r="C5535" t="s">
        <v>40</v>
      </c>
      <c r="D5535">
        <v>4.7622330000000002</v>
      </c>
      <c r="E5535">
        <v>0.52752129999999997</v>
      </c>
      <c r="F5535" t="s">
        <v>41</v>
      </c>
      <c r="G5535">
        <v>-347.82549999999998</v>
      </c>
      <c r="H5535" s="1">
        <v>-1.973506E-6</v>
      </c>
      <c r="I5535">
        <v>14.927849999999999</v>
      </c>
      <c r="J5535">
        <v>-380.42610000000002</v>
      </c>
      <c r="K5535">
        <v>1.1099680000000001</v>
      </c>
      <c r="L5535">
        <v>17.546659999999999</v>
      </c>
      <c r="M5535">
        <v>0.99791399999999997</v>
      </c>
      <c r="N5535">
        <v>-1.0305369999999999E-2</v>
      </c>
      <c r="O5535">
        <v>-6.3732140000000007E-2</v>
      </c>
      <c r="P5535">
        <v>0.98932220000000004</v>
      </c>
      <c r="Q5535">
        <v>0.14558209999999999</v>
      </c>
      <c r="R5535">
        <v>-6.8871089999999998E-3</v>
      </c>
      <c r="S5535">
        <v>3.0460509999999998</v>
      </c>
      <c r="T5535">
        <v>-0.1028932</v>
      </c>
      <c r="U5535">
        <v>-0.2442627</v>
      </c>
      <c r="V5535">
        <v>-5.6285019999999998E-2</v>
      </c>
      <c r="W5535">
        <v>0.15571660000000001</v>
      </c>
      <c r="X5535">
        <v>0.98619690000000004</v>
      </c>
      <c r="Y5535">
        <v>1.6244620000000001E-2</v>
      </c>
      <c r="Z5535">
        <v>1.1322089999999999E-3</v>
      </c>
      <c r="AA5535">
        <v>0.99986739999999996</v>
      </c>
      <c r="AB5535">
        <v>31</v>
      </c>
      <c r="AC5535">
        <v>32.6006</v>
      </c>
      <c r="AD5535">
        <v>-1.109969973506</v>
      </c>
      <c r="AE5535">
        <v>-2.6188099999999999</v>
      </c>
      <c r="AF5535">
        <v>0.53505323821974204</v>
      </c>
      <c r="AG5535">
        <v>-1.109969973506</v>
      </c>
      <c r="AH5535">
        <v>32.663606478325399</v>
      </c>
      <c r="AI5535">
        <v>91.946007135008401</v>
      </c>
      <c r="AJ5535">
        <v>89.0615380806872</v>
      </c>
      <c r="AK5535">
        <v>32.6868399127342</v>
      </c>
      <c r="AL5535">
        <v>81.041640891009393</v>
      </c>
      <c r="AM5535">
        <v>93.266487083492294</v>
      </c>
      <c r="AN5535">
        <v>0.99999999428078501</v>
      </c>
    </row>
    <row r="5536" spans="1:40" x14ac:dyDescent="0.25">
      <c r="A5536" t="str">
        <f>"20190304155745357"</f>
        <v>20190304155745357</v>
      </c>
      <c r="B5536" t="str">
        <f>"1551686265350050"</f>
        <v>1551686265350050</v>
      </c>
      <c r="C5536" t="s">
        <v>40</v>
      </c>
      <c r="D5536">
        <v>4.6710479999999999</v>
      </c>
      <c r="E5536">
        <v>0.52776719999999999</v>
      </c>
      <c r="F5536" t="s">
        <v>41</v>
      </c>
      <c r="G5536">
        <v>-348.22089999999997</v>
      </c>
      <c r="H5536" s="1">
        <v>-1.834379E-6</v>
      </c>
      <c r="I5536">
        <v>14.94505</v>
      </c>
      <c r="J5536">
        <v>-380.26440000000002</v>
      </c>
      <c r="K5536">
        <v>1.109972</v>
      </c>
      <c r="L5536">
        <v>17.536529999999999</v>
      </c>
      <c r="M5536">
        <v>0.99792650000000005</v>
      </c>
      <c r="N5536">
        <v>-1.030696E-2</v>
      </c>
      <c r="O5536">
        <v>-6.3534770000000004E-2</v>
      </c>
      <c r="P5536">
        <v>0.98928059999999995</v>
      </c>
      <c r="Q5536">
        <v>0.14586459999999901</v>
      </c>
      <c r="R5536">
        <v>-6.9024019999999898E-3</v>
      </c>
      <c r="S5536">
        <v>3.0461119999999999</v>
      </c>
      <c r="T5536">
        <v>-0.1049857</v>
      </c>
      <c r="U5536">
        <v>-0.24606320000000001</v>
      </c>
      <c r="V5536">
        <v>-5.6075109999999997E-2</v>
      </c>
      <c r="W5536">
        <v>0.15599969999999999</v>
      </c>
      <c r="X5536">
        <v>0.98616420000000005</v>
      </c>
      <c r="Y5536">
        <v>1.7027919999999998E-2</v>
      </c>
      <c r="Z5536">
        <v>1.1478219999999999E-3</v>
      </c>
      <c r="AA5536">
        <v>0.99985429999999997</v>
      </c>
      <c r="AB5536">
        <v>31</v>
      </c>
      <c r="AC5536">
        <v>32.043500000000002</v>
      </c>
      <c r="AD5536">
        <v>-1.109973834379</v>
      </c>
      <c r="AE5536">
        <v>-2.59147999999999</v>
      </c>
      <c r="AF5536">
        <v>0.54960415194050105</v>
      </c>
      <c r="AG5536">
        <v>-1.109973834379</v>
      </c>
      <c r="AH5536">
        <v>32.105138396608403</v>
      </c>
      <c r="AI5536">
        <v>91.979813599915701</v>
      </c>
      <c r="AJ5536">
        <v>89.019255972431694</v>
      </c>
      <c r="AK5536">
        <v>32.129021430822</v>
      </c>
      <c r="AL5536">
        <v>81.025220527900899</v>
      </c>
      <c r="AM5536">
        <v>93.254438919107102</v>
      </c>
      <c r="AN5536">
        <v>1.00000007686161</v>
      </c>
    </row>
    <row r="5537" spans="1:40" x14ac:dyDescent="0.25">
      <c r="A5537" t="str">
        <f>"20190304155745368"</f>
        <v>20190304155745368</v>
      </c>
      <c r="B5537" t="str">
        <f>"1551686265360317"</f>
        <v>1551686265360317</v>
      </c>
      <c r="C5537" t="s">
        <v>40</v>
      </c>
      <c r="D5537">
        <v>4.7770549999999998</v>
      </c>
      <c r="E5537">
        <v>0.52781800000000001</v>
      </c>
      <c r="F5537" t="s">
        <v>41</v>
      </c>
      <c r="G5537">
        <v>-347.5575</v>
      </c>
      <c r="H5537" s="1">
        <v>-2.0791460000000001E-6</v>
      </c>
      <c r="I5537">
        <v>14.873670000000001</v>
      </c>
      <c r="J5537">
        <v>-380.10340000000002</v>
      </c>
      <c r="K5537">
        <v>1.109979</v>
      </c>
      <c r="L5537">
        <v>17.52646</v>
      </c>
      <c r="M5537">
        <v>0.99793909999999997</v>
      </c>
      <c r="N5537">
        <v>-1.0308589999999999E-2</v>
      </c>
      <c r="O5537">
        <v>-6.3334550000000003E-2</v>
      </c>
      <c r="P5537">
        <v>0.98927220000000005</v>
      </c>
      <c r="Q5537">
        <v>0.1459231</v>
      </c>
      <c r="R5537">
        <v>-6.8664140000000004E-3</v>
      </c>
      <c r="S5537">
        <v>3.0460210000000001</v>
      </c>
      <c r="T5537">
        <v>-0.10337250000000001</v>
      </c>
      <c r="U5537">
        <v>-0.24798580000000001</v>
      </c>
      <c r="V5537">
        <v>-5.591517E-2</v>
      </c>
      <c r="W5537">
        <v>0.15605849999999999</v>
      </c>
      <c r="X5537">
        <v>0.98616389999999998</v>
      </c>
      <c r="Y5537">
        <v>1.7856790000000001E-2</v>
      </c>
      <c r="Z5537">
        <v>1.0956659999999999E-3</v>
      </c>
      <c r="AA5537">
        <v>0.99983999999999995</v>
      </c>
      <c r="AB5537">
        <v>31</v>
      </c>
      <c r="AC5537">
        <v>32.545900000000003</v>
      </c>
      <c r="AD5537">
        <v>-1.1099810791460001</v>
      </c>
      <c r="AE5537">
        <v>-2.6527899999999902</v>
      </c>
      <c r="AF5537">
        <v>0.58539766540208305</v>
      </c>
      <c r="AG5537">
        <v>-1.1099810791460001</v>
      </c>
      <c r="AH5537">
        <v>32.610893263808002</v>
      </c>
      <c r="AI5537">
        <v>91.949117297934293</v>
      </c>
      <c r="AJ5537">
        <v>88.971594758768902</v>
      </c>
      <c r="AK5537">
        <v>32.635028847638502</v>
      </c>
      <c r="AL5537">
        <v>81.021809063991995</v>
      </c>
      <c r="AM5537">
        <v>93.245177311788794</v>
      </c>
      <c r="AN5537">
        <v>0.999999999660794</v>
      </c>
    </row>
    <row r="5538" spans="1:40" x14ac:dyDescent="0.25">
      <c r="A5538" t="str">
        <f>"20190304155745379"</f>
        <v>20190304155745379</v>
      </c>
      <c r="B5538" t="str">
        <f>"1551686265370077"</f>
        <v>1551686265370077</v>
      </c>
      <c r="C5538" t="s">
        <v>40</v>
      </c>
      <c r="D5538">
        <v>4.5696099999999999</v>
      </c>
      <c r="E5538">
        <v>0.5280513</v>
      </c>
      <c r="F5538" t="s">
        <v>41</v>
      </c>
      <c r="G5538">
        <v>-347.15629999999999</v>
      </c>
      <c r="H5538" s="1">
        <v>-2.2246210000000002E-6</v>
      </c>
      <c r="I5538">
        <v>14.84003</v>
      </c>
      <c r="J5538">
        <v>-379.95299999999997</v>
      </c>
      <c r="K5538">
        <v>1.109988</v>
      </c>
      <c r="L5538">
        <v>17.51709</v>
      </c>
      <c r="M5538">
        <v>0.99795160000000005</v>
      </c>
      <c r="N5538">
        <v>-1.031001E-2</v>
      </c>
      <c r="O5538">
        <v>-6.3138719999999995E-2</v>
      </c>
      <c r="P5538">
        <v>0.9892687</v>
      </c>
      <c r="Q5538">
        <v>0.14595089999999999</v>
      </c>
      <c r="R5538">
        <v>-6.7701799999999998E-3</v>
      </c>
      <c r="S5538">
        <v>3.0459589999999999</v>
      </c>
      <c r="T5538">
        <v>-0.1026176</v>
      </c>
      <c r="U5538">
        <v>-0.24835209999999999</v>
      </c>
      <c r="V5538">
        <v>-5.5820399999999999E-2</v>
      </c>
      <c r="W5538">
        <v>0.15608629999999901</v>
      </c>
      <c r="X5538">
        <v>0.98616490000000001</v>
      </c>
      <c r="Y5538">
        <v>1.8173539999999998E-2</v>
      </c>
      <c r="Z5538">
        <v>1.0706520000000001E-3</v>
      </c>
      <c r="AA5538">
        <v>0.99983429999999995</v>
      </c>
      <c r="AB5538">
        <v>31</v>
      </c>
      <c r="AC5538">
        <v>32.796700000000001</v>
      </c>
      <c r="AD5538">
        <v>-1.1099902246210001</v>
      </c>
      <c r="AE5538">
        <v>-2.67706</v>
      </c>
      <c r="AF5538">
        <v>0.60018359768180196</v>
      </c>
      <c r="AG5538">
        <v>-1.1099902246210001</v>
      </c>
      <c r="AH5538">
        <v>32.862897067379201</v>
      </c>
      <c r="AI5538">
        <v>91.934187203566196</v>
      </c>
      <c r="AJ5538">
        <v>88.953708662925607</v>
      </c>
      <c r="AK5538">
        <v>32.887114533063503</v>
      </c>
      <c r="AL5538">
        <v>81.020196755228895</v>
      </c>
      <c r="AM5538">
        <v>93.239685544413106</v>
      </c>
      <c r="AN5538">
        <v>1.0000000300479199</v>
      </c>
    </row>
    <row r="5539" spans="1:40" x14ac:dyDescent="0.25">
      <c r="A5539" t="str">
        <f>"20190304155745392"</f>
        <v>20190304155745392</v>
      </c>
      <c r="B5539" t="str">
        <f>"1551686265379837"</f>
        <v>1551686265379837</v>
      </c>
      <c r="C5539" t="s">
        <v>40</v>
      </c>
      <c r="D5539">
        <v>4.6803869999999996</v>
      </c>
      <c r="E5539">
        <v>0.5281785</v>
      </c>
      <c r="F5539" t="s">
        <v>41</v>
      </c>
      <c r="G5539">
        <v>-347.71120000000002</v>
      </c>
      <c r="H5539" s="1">
        <v>-2.0271960000000001E-6</v>
      </c>
      <c r="I5539">
        <v>14.87229</v>
      </c>
      <c r="J5539">
        <v>-379.78190000000001</v>
      </c>
      <c r="K5539">
        <v>1.1100019999999999</v>
      </c>
      <c r="L5539">
        <v>17.50647</v>
      </c>
      <c r="M5539">
        <v>0.99796580000000001</v>
      </c>
      <c r="N5539">
        <v>-1.031163E-2</v>
      </c>
      <c r="O5539">
        <v>-6.2911990000000001E-2</v>
      </c>
      <c r="P5539">
        <v>0.98928640000000001</v>
      </c>
      <c r="Q5539">
        <v>0.14582999999999999</v>
      </c>
      <c r="R5539">
        <v>-6.7767779999999998E-3</v>
      </c>
      <c r="S5539">
        <v>3.046265</v>
      </c>
      <c r="T5539">
        <v>-0.10487390000000001</v>
      </c>
      <c r="U5539">
        <v>-0.24987789999999999</v>
      </c>
      <c r="V5539">
        <v>-5.5593860000000002E-2</v>
      </c>
      <c r="W5539">
        <v>0.1559662</v>
      </c>
      <c r="X5539">
        <v>0.98619659999999998</v>
      </c>
      <c r="Y5539">
        <v>1.8890009999999999E-2</v>
      </c>
      <c r="Z5539">
        <v>1.088763E-3</v>
      </c>
      <c r="AA5539">
        <v>0.99982090000000001</v>
      </c>
      <c r="AB5539">
        <v>31</v>
      </c>
      <c r="AC5539">
        <v>32.070699999999903</v>
      </c>
      <c r="AD5539">
        <v>-1.1100040271960001</v>
      </c>
      <c r="AE5539">
        <v>-2.6341800000000002</v>
      </c>
      <c r="AF5539">
        <v>0.61049606194494199</v>
      </c>
      <c r="AG5539">
        <v>-1.1100040271960001</v>
      </c>
      <c r="AH5539">
        <v>32.1346568481517</v>
      </c>
      <c r="AI5539">
        <v>91.977983128545603</v>
      </c>
      <c r="AJ5539">
        <v>88.911622408965599</v>
      </c>
      <c r="AK5539">
        <v>32.1596173038565</v>
      </c>
      <c r="AL5539">
        <v>81.027162423041801</v>
      </c>
      <c r="AM5539">
        <v>93.226462033575203</v>
      </c>
      <c r="AN5539">
        <v>0.999999933331847</v>
      </c>
    </row>
    <row r="5540" spans="1:40" x14ac:dyDescent="0.25">
      <c r="A5540" t="str">
        <f>"20190304155745404"</f>
        <v>20190304155745404</v>
      </c>
      <c r="B5540" t="str">
        <f>"1551686265400334"</f>
        <v>1551686265400334</v>
      </c>
      <c r="C5540" t="s">
        <v>40</v>
      </c>
      <c r="D5540">
        <v>4.5921629999999896</v>
      </c>
      <c r="E5540">
        <v>0.52834590000000003</v>
      </c>
      <c r="F5540" t="s">
        <v>41</v>
      </c>
      <c r="G5540">
        <v>-347.59190000000001</v>
      </c>
      <c r="H5540" s="1">
        <v>-2.0726779999999999E-6</v>
      </c>
      <c r="I5540">
        <v>14.853999999999999</v>
      </c>
      <c r="J5540">
        <v>-379.62009999999998</v>
      </c>
      <c r="K5540">
        <v>1.1100129999999999</v>
      </c>
      <c r="L5540">
        <v>17.496489999999898</v>
      </c>
      <c r="M5540">
        <v>0.99798010000000004</v>
      </c>
      <c r="N5540">
        <v>-1.0313279999999999E-2</v>
      </c>
      <c r="O5540">
        <v>-6.2686459999999999E-2</v>
      </c>
      <c r="P5540">
        <v>0.98930510000000005</v>
      </c>
      <c r="Q5540">
        <v>0.1457166</v>
      </c>
      <c r="R5540">
        <v>-6.5236119999999998E-3</v>
      </c>
      <c r="S5540">
        <v>3.0462950000000002</v>
      </c>
      <c r="T5540">
        <v>-0.1050447</v>
      </c>
      <c r="U5540">
        <v>-0.25100709999999998</v>
      </c>
      <c r="V5540">
        <v>-5.5628730000000001E-2</v>
      </c>
      <c r="W5540">
        <v>0.1558532</v>
      </c>
      <c r="X5540">
        <v>0.98621259999999999</v>
      </c>
      <c r="Y5540">
        <v>1.9482780000000002E-2</v>
      </c>
      <c r="Z5540">
        <v>1.0729100000000001E-3</v>
      </c>
      <c r="AA5540">
        <v>0.99980959999999997</v>
      </c>
      <c r="AB5540">
        <v>31</v>
      </c>
      <c r="AC5540">
        <v>32.028199999999899</v>
      </c>
      <c r="AD5540">
        <v>-1.11001507267799</v>
      </c>
      <c r="AE5540">
        <v>-2.6424899999999898</v>
      </c>
      <c r="AF5540">
        <v>0.62870130730236595</v>
      </c>
      <c r="AG5540">
        <v>-1.11001507267799</v>
      </c>
      <c r="AH5540">
        <v>32.0925726492164</v>
      </c>
      <c r="AI5540">
        <v>91.980571957447594</v>
      </c>
      <c r="AJ5540">
        <v>88.877705293369104</v>
      </c>
      <c r="AK5540">
        <v>32.117917398869601</v>
      </c>
      <c r="AL5540">
        <v>81.033717910289099</v>
      </c>
      <c r="AM5540">
        <v>93.228429212782302</v>
      </c>
      <c r="AN5540">
        <v>1.0000000339752</v>
      </c>
    </row>
    <row r="5541" spans="1:40" x14ac:dyDescent="0.25">
      <c r="A5541" t="str">
        <f>"20190304155745414"</f>
        <v>20190304155745414</v>
      </c>
      <c r="B5541" t="str">
        <f>"1551686265410094"</f>
        <v>1551686265410094</v>
      </c>
      <c r="C5541" t="s">
        <v>40</v>
      </c>
      <c r="D5541">
        <v>4.6814080000000002</v>
      </c>
      <c r="E5541">
        <v>0.52843580000000001</v>
      </c>
      <c r="F5541" t="s">
        <v>41</v>
      </c>
      <c r="G5541">
        <v>-347.97320000000002</v>
      </c>
      <c r="H5541" s="1">
        <v>-1.9346929999999999E-6</v>
      </c>
      <c r="I5541">
        <v>14.884840000000001</v>
      </c>
      <c r="J5541">
        <v>-379.47089999999997</v>
      </c>
      <c r="K5541">
        <v>1.110015</v>
      </c>
      <c r="L5541">
        <v>17.48734</v>
      </c>
      <c r="M5541">
        <v>0.99799340000000003</v>
      </c>
      <c r="N5541">
        <v>-1.0314800000000001E-2</v>
      </c>
      <c r="O5541">
        <v>-6.2472970000000003E-2</v>
      </c>
      <c r="P5541">
        <v>0.98929219999999896</v>
      </c>
      <c r="Q5541">
        <v>0.14579810000000001</v>
      </c>
      <c r="R5541">
        <v>-6.6317109999999898E-3</v>
      </c>
      <c r="S5541">
        <v>3.0465089999999999</v>
      </c>
      <c r="T5541">
        <v>-0.1068563</v>
      </c>
      <c r="U5541">
        <v>-0.25140380000000001</v>
      </c>
      <c r="V5541">
        <v>-5.5312920000000002E-2</v>
      </c>
      <c r="W5541">
        <v>0.15593509999999999</v>
      </c>
      <c r="X5541">
        <v>0.98621740000000002</v>
      </c>
      <c r="Y5541">
        <v>1.9820339999999999E-2</v>
      </c>
      <c r="Z5541">
        <v>1.0911269999999999E-3</v>
      </c>
      <c r="AA5541">
        <v>0.99980290000000005</v>
      </c>
      <c r="AB5541">
        <v>31</v>
      </c>
      <c r="AC5541">
        <v>31.497699999999899</v>
      </c>
      <c r="AD5541">
        <v>-1.110016934693</v>
      </c>
      <c r="AE5541">
        <v>-2.6025</v>
      </c>
      <c r="AF5541">
        <v>0.62878080401905501</v>
      </c>
      <c r="AG5541">
        <v>-1.110016934693</v>
      </c>
      <c r="AH5541">
        <v>31.559832432489198</v>
      </c>
      <c r="AI5541">
        <v>92.013967484719601</v>
      </c>
      <c r="AJ5541">
        <v>88.858621296884095</v>
      </c>
      <c r="AK5541">
        <v>31.585606311445101</v>
      </c>
      <c r="AL5541">
        <v>81.028967153231903</v>
      </c>
      <c r="AM5541">
        <v>93.210123938650895</v>
      </c>
      <c r="AN5541">
        <v>1.00000001729684</v>
      </c>
    </row>
    <row r="5542" spans="1:40" x14ac:dyDescent="0.25">
      <c r="A5542" t="str">
        <f>"20190304155745425"</f>
        <v>20190304155745425</v>
      </c>
      <c r="B5542" t="str">
        <f>"1551686265419854"</f>
        <v>1551686265419854</v>
      </c>
      <c r="C5542" t="s">
        <v>40</v>
      </c>
      <c r="D5542">
        <v>4.8037549999999998</v>
      </c>
      <c r="E5542">
        <v>0.52842049999999996</v>
      </c>
      <c r="F5542" t="s">
        <v>41</v>
      </c>
      <c r="G5542">
        <v>-347.56670000000003</v>
      </c>
      <c r="H5542" s="1">
        <v>-2.0844049999999998E-6</v>
      </c>
      <c r="I5542">
        <v>14.842169999999999</v>
      </c>
      <c r="J5542">
        <v>-379.30739999999997</v>
      </c>
      <c r="K5542">
        <v>1.1100270000000001</v>
      </c>
      <c r="L5542">
        <v>17.47729</v>
      </c>
      <c r="M5542">
        <v>0.99800849999999997</v>
      </c>
      <c r="N5542">
        <v>-1.0316469999999999E-2</v>
      </c>
      <c r="O5542">
        <v>-6.2231809999999999E-2</v>
      </c>
      <c r="P5542">
        <v>0.98932520000000002</v>
      </c>
      <c r="Q5542">
        <v>0.14558960000000001</v>
      </c>
      <c r="R5542">
        <v>-6.2852860000000002E-3</v>
      </c>
      <c r="S5542">
        <v>3.0463559999999998</v>
      </c>
      <c r="T5542">
        <v>-0.105989</v>
      </c>
      <c r="U5542">
        <v>-0.2525635</v>
      </c>
      <c r="V5542">
        <v>-5.5426219999999998E-2</v>
      </c>
      <c r="W5542">
        <v>0.155727</v>
      </c>
      <c r="X5542">
        <v>0.98624389999999995</v>
      </c>
      <c r="Y5542">
        <v>2.0443280000000001E-2</v>
      </c>
      <c r="Z5542">
        <v>1.056265E-3</v>
      </c>
      <c r="AA5542">
        <v>0.99979039999999997</v>
      </c>
      <c r="AB5542">
        <v>31</v>
      </c>
      <c r="AC5542">
        <v>31.740699999999901</v>
      </c>
      <c r="AD5542">
        <v>-1.110029084405</v>
      </c>
      <c r="AE5542">
        <v>-2.6351199999999899</v>
      </c>
      <c r="AF5542">
        <v>0.65383154085000095</v>
      </c>
      <c r="AG5542">
        <v>-1.110029084405</v>
      </c>
      <c r="AH5542">
        <v>31.8045366541512</v>
      </c>
      <c r="AI5542">
        <v>91.998480853060201</v>
      </c>
      <c r="AJ5542">
        <v>88.822290287125</v>
      </c>
      <c r="AK5542">
        <v>31.830617525226899</v>
      </c>
      <c r="AL5542">
        <v>81.041037683637896</v>
      </c>
      <c r="AM5542">
        <v>93.216599339665905</v>
      </c>
      <c r="AN5542">
        <v>0.99999999733984901</v>
      </c>
    </row>
    <row r="5543" spans="1:40" x14ac:dyDescent="0.25">
      <c r="A5543" t="str">
        <f>"20190304155745437"</f>
        <v>20190304155745437</v>
      </c>
      <c r="B5543" t="str">
        <f>"1551686265430589"</f>
        <v>1551686265430589</v>
      </c>
      <c r="C5543" t="s">
        <v>40</v>
      </c>
      <c r="D5543">
        <v>4.6067109999999998</v>
      </c>
      <c r="E5543">
        <v>0.52846930000000003</v>
      </c>
      <c r="F5543" t="s">
        <v>41</v>
      </c>
      <c r="G5543">
        <v>-347.4083</v>
      </c>
      <c r="H5543" s="1">
        <v>-2.1372699999999999E-6</v>
      </c>
      <c r="I5543">
        <v>14.845980000000001</v>
      </c>
      <c r="J5543">
        <v>-379.16</v>
      </c>
      <c r="K5543">
        <v>1.1100380000000001</v>
      </c>
      <c r="L5543">
        <v>17.468350000000001</v>
      </c>
      <c r="M5543">
        <v>0.99802270000000004</v>
      </c>
      <c r="N5543">
        <v>-1.0317990000000001E-2</v>
      </c>
      <c r="O5543">
        <v>-6.2004120000000003E-2</v>
      </c>
      <c r="P5543">
        <v>0.98937339999999996</v>
      </c>
      <c r="Q5543">
        <v>0.14526310000000001</v>
      </c>
      <c r="R5543">
        <v>-6.2367350000000002E-3</v>
      </c>
      <c r="S5543">
        <v>3.0463559999999998</v>
      </c>
      <c r="T5543">
        <v>-0.10600759999999999</v>
      </c>
      <c r="U5543">
        <v>-0.2512817</v>
      </c>
      <c r="V5543">
        <v>-5.5256020000000003E-2</v>
      </c>
      <c r="W5543">
        <v>0.1554014</v>
      </c>
      <c r="X5543">
        <v>0.98630479999999998</v>
      </c>
      <c r="Y5543">
        <v>2.0253670000000001E-2</v>
      </c>
      <c r="Z5543">
        <v>1.05524E-3</v>
      </c>
      <c r="AA5543">
        <v>0.99979430000000002</v>
      </c>
      <c r="AB5543">
        <v>31</v>
      </c>
      <c r="AC5543">
        <v>31.7517</v>
      </c>
      <c r="AD5543">
        <v>-1.1100401372699999</v>
      </c>
      <c r="AE5543">
        <v>-2.6223700000000001</v>
      </c>
      <c r="AF5543">
        <v>0.64769674557909895</v>
      </c>
      <c r="AG5543">
        <v>-1.1100401372699999</v>
      </c>
      <c r="AH5543">
        <v>31.814585776268199</v>
      </c>
      <c r="AI5543">
        <v>91.997878127940993</v>
      </c>
      <c r="AJ5543">
        <v>88.833705884030195</v>
      </c>
      <c r="AK5543">
        <v>31.840533417267299</v>
      </c>
      <c r="AL5543">
        <v>81.059923044806993</v>
      </c>
      <c r="AM5543">
        <v>93.206545027477304</v>
      </c>
      <c r="AN5543">
        <v>0.99999999068561995</v>
      </c>
    </row>
    <row r="5544" spans="1:40" x14ac:dyDescent="0.25">
      <c r="A5544" t="str">
        <f>"20190304155745457"</f>
        <v>20190304155745457</v>
      </c>
      <c r="B5544" t="str">
        <f>"1551686265450109"</f>
        <v>1551686265450109</v>
      </c>
      <c r="C5544" t="s">
        <v>40</v>
      </c>
      <c r="D5544">
        <v>4.6579879999999996</v>
      </c>
      <c r="E5544">
        <v>0.52868090000000001</v>
      </c>
      <c r="F5544" t="s">
        <v>41</v>
      </c>
      <c r="G5544">
        <v>-347.73599999999999</v>
      </c>
      <c r="H5544" s="1">
        <v>-2.018094E-6</v>
      </c>
      <c r="I5544">
        <v>14.87476</v>
      </c>
      <c r="J5544">
        <v>-378.88240000000002</v>
      </c>
      <c r="K5544">
        <v>1.1100650000000001</v>
      </c>
      <c r="L5544">
        <v>17.451539999999898</v>
      </c>
      <c r="M5544">
        <v>0.99805049999999995</v>
      </c>
      <c r="N5544">
        <v>-1.0320940000000001E-2</v>
      </c>
      <c r="O5544">
        <v>-6.1554690000000002E-2</v>
      </c>
      <c r="P5544">
        <v>0.98929670000000003</v>
      </c>
      <c r="Q5544">
        <v>0.14579329999999999</v>
      </c>
      <c r="R5544">
        <v>-6.0419769999999996E-3</v>
      </c>
      <c r="S5544">
        <v>3.046478</v>
      </c>
      <c r="T5544">
        <v>-0.10761569999999999</v>
      </c>
      <c r="U5544">
        <v>-0.2514343</v>
      </c>
      <c r="V5544">
        <v>-5.5010110000000001E-2</v>
      </c>
      <c r="W5544">
        <v>0.1559304</v>
      </c>
      <c r="X5544">
        <v>0.98623510000000003</v>
      </c>
      <c r="Y5544">
        <v>2.0750169999999998E-2</v>
      </c>
      <c r="Z5544">
        <v>1.059754E-3</v>
      </c>
      <c r="AA5544">
        <v>0.99978409999999995</v>
      </c>
      <c r="AB5544">
        <v>31</v>
      </c>
      <c r="AC5544">
        <v>31.1464</v>
      </c>
      <c r="AD5544">
        <v>-1.11006701809399</v>
      </c>
      <c r="AE5544">
        <v>-2.5767799999999901</v>
      </c>
      <c r="AF5544">
        <v>0.653759556098929</v>
      </c>
      <c r="AG5544">
        <v>-1.11006701809399</v>
      </c>
      <c r="AH5544">
        <v>31.206582398102</v>
      </c>
      <c r="AI5544">
        <v>92.036795123621403</v>
      </c>
      <c r="AJ5544">
        <v>88.799862651868395</v>
      </c>
      <c r="AK5544">
        <v>31.2331624289213</v>
      </c>
      <c r="AL5544">
        <v>81.029239957879398</v>
      </c>
      <c r="AM5544">
        <v>93.192529422972697</v>
      </c>
      <c r="AN5544">
        <v>1.0000000371591899</v>
      </c>
    </row>
    <row r="5545" spans="1:40" x14ac:dyDescent="0.25">
      <c r="A5545" t="str">
        <f>"20190304155745472"</f>
        <v>20190304155745472</v>
      </c>
      <c r="B5545" t="str">
        <f>"1551686265459870"</f>
        <v>1551686265459870</v>
      </c>
      <c r="C5545" t="s">
        <v>40</v>
      </c>
      <c r="D5545">
        <v>4.6470940000000001</v>
      </c>
      <c r="E5545">
        <v>0.52878150000000002</v>
      </c>
      <c r="F5545" t="s">
        <v>41</v>
      </c>
      <c r="G5545">
        <v>-346.80349999999999</v>
      </c>
      <c r="H5545" s="1">
        <v>-2.3568870000000001E-6</v>
      </c>
      <c r="I5545">
        <v>14.79419</v>
      </c>
      <c r="J5545">
        <v>-378.68540000000002</v>
      </c>
      <c r="K5545">
        <v>1.1100829999999999</v>
      </c>
      <c r="L5545">
        <v>17.439699999999998</v>
      </c>
      <c r="M5545">
        <v>0.99807109999999999</v>
      </c>
      <c r="N5545">
        <v>-1.032312E-2</v>
      </c>
      <c r="O5545">
        <v>-6.1217489999999999E-2</v>
      </c>
      <c r="P5545">
        <v>0.98930560000000001</v>
      </c>
      <c r="Q5545">
        <v>0.1457406</v>
      </c>
      <c r="R5545">
        <v>-5.85135E-3</v>
      </c>
      <c r="S5545">
        <v>3.0464169999999999</v>
      </c>
      <c r="T5545">
        <v>-0.105418899999999</v>
      </c>
      <c r="U5545">
        <v>-0.25234990000000002</v>
      </c>
      <c r="V5545">
        <v>-5.487467E-2</v>
      </c>
      <c r="W5545">
        <v>0.15587809999999999</v>
      </c>
      <c r="X5545">
        <v>0.98625090000000004</v>
      </c>
      <c r="Y5545">
        <v>2.138692E-2</v>
      </c>
      <c r="Z5545">
        <v>1.0004269999999999E-3</v>
      </c>
      <c r="AA5545">
        <v>0.99977079999999996</v>
      </c>
      <c r="AB5545">
        <v>31</v>
      </c>
      <c r="AC5545">
        <v>31.881900000000002</v>
      </c>
      <c r="AD5545">
        <v>-1.1100853568869999</v>
      </c>
      <c r="AE5545">
        <v>-2.6455099999999998</v>
      </c>
      <c r="AF5545">
        <v>0.68788560746887395</v>
      </c>
      <c r="AG5545">
        <v>-1.1100853568869999</v>
      </c>
      <c r="AH5545">
        <v>31.945593580947101</v>
      </c>
      <c r="AI5545">
        <v>91.989723593974901</v>
      </c>
      <c r="AJ5545">
        <v>88.766438565753802</v>
      </c>
      <c r="AK5545">
        <v>31.972275886267202</v>
      </c>
      <c r="AL5545">
        <v>81.032273508682906</v>
      </c>
      <c r="AM5545">
        <v>93.184634404026994</v>
      </c>
      <c r="AN5545">
        <v>1.0000000246090099</v>
      </c>
    </row>
    <row r="5546" spans="1:40" x14ac:dyDescent="0.25">
      <c r="A5546" t="str">
        <f>"20190304155745489"</f>
        <v>20190304155745489</v>
      </c>
      <c r="B5546" t="str">
        <f>"1551686265480383"</f>
        <v>1551686265480383</v>
      </c>
      <c r="C5546" t="s">
        <v>40</v>
      </c>
      <c r="D5546">
        <v>3.4264389999999998</v>
      </c>
      <c r="E5546">
        <v>0.52959400000000001</v>
      </c>
      <c r="F5546" t="s">
        <v>41</v>
      </c>
      <c r="G5546">
        <v>-346.4905</v>
      </c>
      <c r="H5546" s="1">
        <v>-2.469099E-6</v>
      </c>
      <c r="I5546">
        <v>14.77277</v>
      </c>
      <c r="J5546">
        <v>-378.44920000000002</v>
      </c>
      <c r="K5546">
        <v>1.110112</v>
      </c>
      <c r="L5546">
        <v>17.425629999999899</v>
      </c>
      <c r="M5546">
        <v>0.99809709999999996</v>
      </c>
      <c r="N5546">
        <v>-1.032566E-2</v>
      </c>
      <c r="O5546">
        <v>-6.0790829999999997E-2</v>
      </c>
      <c r="P5546">
        <v>0.98934920000000004</v>
      </c>
      <c r="Q5546">
        <v>0.14544649999999901</v>
      </c>
      <c r="R5546">
        <v>-5.7425499999999999E-3</v>
      </c>
      <c r="S5546">
        <v>3.0464479999999998</v>
      </c>
      <c r="T5546">
        <v>-0.105042</v>
      </c>
      <c r="U5546">
        <v>-0.25234990000000002</v>
      </c>
      <c r="V5546">
        <v>-5.457248E-2</v>
      </c>
      <c r="W5546">
        <v>0.15558369999999999</v>
      </c>
      <c r="X5546">
        <v>0.98631409999999997</v>
      </c>
      <c r="Y5546">
        <v>2.1812950000000001E-2</v>
      </c>
      <c r="Z5546">
        <v>9.7423150000000005E-4</v>
      </c>
      <c r="AA5546">
        <v>0.99976160000000003</v>
      </c>
      <c r="AB5546">
        <v>31</v>
      </c>
      <c r="AC5546">
        <v>31.9587</v>
      </c>
      <c r="AD5546">
        <v>-1.1101144690989999</v>
      </c>
      <c r="AE5546">
        <v>-2.6528599999999898</v>
      </c>
      <c r="AF5546">
        <v>0.704209700391349</v>
      </c>
      <c r="AG5546">
        <v>-1.1101144690989999</v>
      </c>
      <c r="AH5546">
        <v>32.022491713129298</v>
      </c>
      <c r="AI5546">
        <v>91.984981592890804</v>
      </c>
      <c r="AJ5546">
        <v>88.740206048802094</v>
      </c>
      <c r="AK5546">
        <v>32.049465533048398</v>
      </c>
      <c r="AL5546">
        <v>81.049349263282906</v>
      </c>
      <c r="AM5546">
        <v>93.166930175274999</v>
      </c>
      <c r="AN5546">
        <v>0.99999997356892401</v>
      </c>
    </row>
    <row r="5547" spans="1:40" x14ac:dyDescent="0.25">
      <c r="A5547" t="str">
        <f>"20190304155745578"</f>
        <v>20190304155745578</v>
      </c>
      <c r="B5547" t="str">
        <f>"1551686265570157"</f>
        <v>1551686265570157</v>
      </c>
      <c r="C5547" t="s">
        <v>40</v>
      </c>
      <c r="D5547">
        <v>2.8570639999999998</v>
      </c>
      <c r="E5547">
        <v>0.52959400000000001</v>
      </c>
      <c r="F5547" t="s">
        <v>41</v>
      </c>
      <c r="G5547">
        <v>-345.53800000000001</v>
      </c>
      <c r="H5547" s="1">
        <v>-2.8298430000000001E-6</v>
      </c>
      <c r="I5547">
        <v>14.635199999999999</v>
      </c>
      <c r="J5547">
        <v>-377.21440000000001</v>
      </c>
      <c r="K5547">
        <v>1.1102650000000001</v>
      </c>
      <c r="L5547">
        <v>17.354340000000001</v>
      </c>
      <c r="M5547">
        <v>0.9982567</v>
      </c>
      <c r="N5547">
        <v>-1.034009E-2</v>
      </c>
      <c r="O5547">
        <v>-5.810949E-2</v>
      </c>
      <c r="P5547">
        <v>0.98926729999999996</v>
      </c>
      <c r="Q5547">
        <v>0.14606469999999999</v>
      </c>
      <c r="R5547">
        <v>-3.9232709999999999E-3</v>
      </c>
      <c r="S5547">
        <v>3.045868</v>
      </c>
      <c r="T5547">
        <v>-0.1027386</v>
      </c>
      <c r="U5547">
        <v>-0.25823970000000002</v>
      </c>
      <c r="V5547">
        <v>-5.3787420000000002E-2</v>
      </c>
      <c r="W5547">
        <v>0.15619749999999999</v>
      </c>
      <c r="X5547">
        <v>0.98626020000000003</v>
      </c>
      <c r="Y5547">
        <v>2.642914E-2</v>
      </c>
      <c r="Z5547">
        <v>7.7191809999999897E-4</v>
      </c>
      <c r="AA5547">
        <v>0.99965040000000005</v>
      </c>
      <c r="AB5547">
        <v>31</v>
      </c>
      <c r="AC5547">
        <v>31.676400000000001</v>
      </c>
      <c r="AD5547">
        <v>-1.110267829843</v>
      </c>
      <c r="AE5547">
        <v>-2.7191399999999999</v>
      </c>
      <c r="AF5547">
        <v>0.87268268464538101</v>
      </c>
      <c r="AG5547">
        <v>-1.110267829843</v>
      </c>
      <c r="AH5547">
        <v>31.742173485066498</v>
      </c>
      <c r="AI5547">
        <v>92.002501149886896</v>
      </c>
      <c r="AJ5547">
        <v>88.4251726634985</v>
      </c>
      <c r="AK5547">
        <v>31.773571522227702</v>
      </c>
      <c r="AL5547">
        <v>81.013745748158996</v>
      </c>
      <c r="AM5547">
        <v>93.121632862247907</v>
      </c>
      <c r="AN5547">
        <v>0.99999996383027201</v>
      </c>
    </row>
    <row r="5548" spans="1:40" x14ac:dyDescent="0.25">
      <c r="A5548" t="str">
        <f>"20190304155745590"</f>
        <v>20190304155745590</v>
      </c>
      <c r="B5548" t="str">
        <f>"1551686265579918"</f>
        <v>1551686265579918</v>
      </c>
      <c r="C5548" t="s">
        <v>40</v>
      </c>
      <c r="D5548">
        <v>4.1682499999999996</v>
      </c>
      <c r="E5548">
        <v>0.48664350000000001</v>
      </c>
      <c r="F5548" t="s">
        <v>41</v>
      </c>
      <c r="G5548">
        <v>-343.73289999999997</v>
      </c>
      <c r="H5548" s="1">
        <v>-3.5637610000000001E-6</v>
      </c>
      <c r="I5548">
        <v>14.58254</v>
      </c>
      <c r="J5548">
        <v>-377.0564</v>
      </c>
      <c r="K5548">
        <v>1.110284</v>
      </c>
      <c r="L5548">
        <v>17.345489999999899</v>
      </c>
      <c r="M5548">
        <v>0.99827929999999998</v>
      </c>
      <c r="N5548">
        <v>-1.0341950000000001E-2</v>
      </c>
      <c r="O5548">
        <v>-5.77183E-2</v>
      </c>
      <c r="P5548">
        <v>0.98923510000000003</v>
      </c>
      <c r="Q5548">
        <v>0.14629300000000001</v>
      </c>
      <c r="R5548">
        <v>-3.4959629999999999E-3</v>
      </c>
      <c r="S5548">
        <v>3.046478</v>
      </c>
      <c r="T5548">
        <v>-0.10102319999999999</v>
      </c>
      <c r="U5548">
        <v>-0.25219730000000001</v>
      </c>
      <c r="V5548">
        <v>-5.3832949999999997E-2</v>
      </c>
      <c r="W5548">
        <v>0.15642449999999999</v>
      </c>
      <c r="X5548">
        <v>0.98622180000000004</v>
      </c>
      <c r="Y5548">
        <v>2.4835909999999999E-2</v>
      </c>
      <c r="Z5548">
        <v>7.7217509999999998E-4</v>
      </c>
      <c r="AA5548">
        <v>0.9996912</v>
      </c>
      <c r="AB5548">
        <v>31</v>
      </c>
      <c r="AC5548">
        <v>33.323500000000003</v>
      </c>
      <c r="AD5548">
        <v>-1.1102875637609999</v>
      </c>
      <c r="AE5548">
        <v>-2.7629499999999898</v>
      </c>
      <c r="AF5548">
        <v>0.83394524579092599</v>
      </c>
      <c r="AG5548">
        <v>-1.1102875637609999</v>
      </c>
      <c r="AH5548">
        <v>33.390607583207697</v>
      </c>
      <c r="AI5548">
        <v>91.903875271969795</v>
      </c>
      <c r="AJ5548">
        <v>88.5693098999716</v>
      </c>
      <c r="AK5548">
        <v>33.419468546387598</v>
      </c>
      <c r="AL5548">
        <v>81.0005782958998</v>
      </c>
      <c r="AM5548">
        <v>93.124391437914099</v>
      </c>
      <c r="AN5548">
        <v>1.00000002475059</v>
      </c>
    </row>
    <row r="5549" spans="1:40" x14ac:dyDescent="0.25">
      <c r="A5549" t="str">
        <f>"20190304155745602"</f>
        <v>20190304155745602</v>
      </c>
      <c r="B5549" t="str">
        <f>"1551686265590654"</f>
        <v>1551686265590654</v>
      </c>
      <c r="C5549" t="s">
        <v>40</v>
      </c>
      <c r="D5549">
        <v>4.5343689999999999</v>
      </c>
      <c r="E5549">
        <v>0.48664350000000001</v>
      </c>
      <c r="F5549" t="s">
        <v>42</v>
      </c>
      <c r="G5549">
        <v>-376.11079999999998</v>
      </c>
      <c r="H5549">
        <v>0.91777989999999998</v>
      </c>
      <c r="I5549">
        <v>17.37171</v>
      </c>
      <c r="J5549">
        <v>-376.89269999999999</v>
      </c>
      <c r="K5549">
        <v>1.110303</v>
      </c>
      <c r="L5549">
        <v>17.336459999999999</v>
      </c>
      <c r="M5549">
        <v>0.99830359999999996</v>
      </c>
      <c r="N5549">
        <v>-1.034382E-2</v>
      </c>
      <c r="O5549">
        <v>-5.7296729999999997E-2</v>
      </c>
      <c r="P5549">
        <v>0.98924570000000001</v>
      </c>
      <c r="Q5549">
        <v>0.14623620000000001</v>
      </c>
      <c r="R5549">
        <v>-2.85812E-3</v>
      </c>
      <c r="S5549">
        <v>3.1271059999999999</v>
      </c>
      <c r="T5549">
        <v>-0.63659200000000005</v>
      </c>
      <c r="U5549">
        <v>8.7158200000000005E-2</v>
      </c>
      <c r="V5549">
        <v>-5.405919E-2</v>
      </c>
      <c r="W5549">
        <v>0.15636649999999999</v>
      </c>
      <c r="X5549">
        <v>0.98621859999999995</v>
      </c>
      <c r="Y5549">
        <v>-8.2261310000000004E-2</v>
      </c>
      <c r="Z5549">
        <v>1.9670529999999999E-2</v>
      </c>
      <c r="AA5549">
        <v>0.99641659999999999</v>
      </c>
      <c r="AB5549">
        <v>31</v>
      </c>
      <c r="AC5549">
        <v>0.78190000000000703</v>
      </c>
      <c r="AD5549">
        <v>-0.192523099999999</v>
      </c>
      <c r="AE5549">
        <v>3.5250000000001301E-2</v>
      </c>
      <c r="AF5549">
        <v>-7.5430948414175705E-2</v>
      </c>
      <c r="AG5549">
        <v>-0.192523099999999</v>
      </c>
      <c r="AH5549">
        <v>0.73417525974193898</v>
      </c>
      <c r="AI5549">
        <v>104.620213177515</v>
      </c>
      <c r="AJ5549">
        <v>95.866124309302407</v>
      </c>
      <c r="AK5549">
        <v>0.76273736241868695</v>
      </c>
      <c r="AL5549">
        <v>81.003942653229402</v>
      </c>
      <c r="AM5549">
        <v>93.137506081985507</v>
      </c>
      <c r="AN5549">
        <v>1.00000000266583</v>
      </c>
    </row>
    <row r="5550" spans="1:40" x14ac:dyDescent="0.25">
      <c r="A5550" t="str">
        <f>"20190304155745613"</f>
        <v>20190304155745613</v>
      </c>
      <c r="B5550" t="str">
        <f>"1551686265610174"</f>
        <v>1551686265610174</v>
      </c>
      <c r="C5550" t="s">
        <v>40</v>
      </c>
      <c r="D5550">
        <v>4.5529070000000003</v>
      </c>
      <c r="E5550">
        <v>0.50463829999999998</v>
      </c>
      <c r="F5550" t="s">
        <v>42</v>
      </c>
      <c r="G5550">
        <v>-376.09899999999999</v>
      </c>
      <c r="H5550">
        <v>0.94866200000000001</v>
      </c>
      <c r="I5550">
        <v>17.358899999999998</v>
      </c>
      <c r="J5550">
        <v>-376.74360000000001</v>
      </c>
      <c r="K5550">
        <v>1.1103149999999999</v>
      </c>
      <c r="L5550">
        <v>17.328250000000001</v>
      </c>
      <c r="M5550">
        <v>0.99832589999999999</v>
      </c>
      <c r="N5550">
        <v>-1.034554E-2</v>
      </c>
      <c r="O5550">
        <v>-5.6908800000000002E-2</v>
      </c>
      <c r="P5550">
        <v>0.98919480000000004</v>
      </c>
      <c r="Q5550">
        <v>0.14658929999999901</v>
      </c>
      <c r="R5550">
        <v>-2.3089740000000001E-3</v>
      </c>
      <c r="S5550">
        <v>3.127014</v>
      </c>
      <c r="T5550">
        <v>-0.63682150000000004</v>
      </c>
      <c r="U5550">
        <v>8.8989260000000001E-2</v>
      </c>
      <c r="V5550">
        <v>-5.4227299999999999E-2</v>
      </c>
      <c r="W5550">
        <v>0.15671879999999999</v>
      </c>
      <c r="X5550">
        <v>0.98615339999999996</v>
      </c>
      <c r="Y5550">
        <v>-8.2458680000000006E-2</v>
      </c>
      <c r="Z5550">
        <v>1.962477E-2</v>
      </c>
      <c r="AA5550">
        <v>0.99640130000000005</v>
      </c>
      <c r="AB5550">
        <v>31</v>
      </c>
      <c r="AC5550">
        <v>0.64460000000002504</v>
      </c>
      <c r="AD5550">
        <v>-0.16165299999999899</v>
      </c>
      <c r="AE5550">
        <v>3.0649999999997801E-2</v>
      </c>
      <c r="AF5550">
        <v>-6.3312880112238207E-2</v>
      </c>
      <c r="AG5550">
        <v>-0.16165299999999899</v>
      </c>
      <c r="AH5550">
        <v>0.60391583249247005</v>
      </c>
      <c r="AI5550">
        <v>104.907293908971</v>
      </c>
      <c r="AJ5550">
        <v>95.984870060405498</v>
      </c>
      <c r="AK5550">
        <v>0.62837452680084005</v>
      </c>
      <c r="AL5550">
        <v>80.983504952709197</v>
      </c>
      <c r="AM5550">
        <v>93.147450987909806</v>
      </c>
      <c r="AN5550">
        <v>0.99999995533514396</v>
      </c>
    </row>
    <row r="5551" spans="1:40" x14ac:dyDescent="0.25">
      <c r="A5551" t="str">
        <f>"20190304155745625"</f>
        <v>20190304155745625</v>
      </c>
      <c r="B5551" t="str">
        <f>"1551686265619934"</f>
        <v>1551686265619934</v>
      </c>
      <c r="C5551" t="s">
        <v>40</v>
      </c>
      <c r="D5551">
        <v>4.8172240000000004</v>
      </c>
      <c r="E5551">
        <v>0.50327409999999995</v>
      </c>
      <c r="F5551" t="s">
        <v>41</v>
      </c>
      <c r="G5551">
        <v>-346.89530000000002</v>
      </c>
      <c r="H5551" s="1">
        <v>-1.804651E-6</v>
      </c>
      <c r="I5551">
        <v>16.851420000000001</v>
      </c>
      <c r="J5551">
        <v>-376.56689999999998</v>
      </c>
      <c r="K5551">
        <v>1.1103320000000001</v>
      </c>
      <c r="L5551">
        <v>17.318629999999999</v>
      </c>
      <c r="M5551">
        <v>0.99835249999999998</v>
      </c>
      <c r="N5551">
        <v>-1.034764E-2</v>
      </c>
      <c r="O5551">
        <v>-5.6439089999999997E-2</v>
      </c>
      <c r="P5551">
        <v>0.98916890000000002</v>
      </c>
      <c r="Q5551">
        <v>0.14677370000000001</v>
      </c>
      <c r="R5551">
        <v>-1.5248060000000001E-3</v>
      </c>
      <c r="S5551">
        <v>3.0494690000000002</v>
      </c>
      <c r="T5551">
        <v>-0.113436</v>
      </c>
      <c r="U5551">
        <v>-4.8706050000000001E-2</v>
      </c>
      <c r="V5551">
        <v>-5.4550149999999999E-2</v>
      </c>
      <c r="W5551">
        <v>0.15690200000000001</v>
      </c>
      <c r="X5551">
        <v>0.9861065</v>
      </c>
      <c r="Y5551">
        <v>-4.0434400000000002E-2</v>
      </c>
      <c r="Z5551">
        <v>2.4744340000000002E-3</v>
      </c>
      <c r="AA5551">
        <v>0.99917909999999999</v>
      </c>
      <c r="AB5551">
        <v>31</v>
      </c>
      <c r="AC5551">
        <v>29.671599999999899</v>
      </c>
      <c r="AD5551">
        <v>-1.1103338046509901</v>
      </c>
      <c r="AE5551">
        <v>-0.46720999999999702</v>
      </c>
      <c r="AF5551">
        <v>-1.2065732619516201</v>
      </c>
      <c r="AG5551">
        <v>-1.1103338046509901</v>
      </c>
      <c r="AH5551">
        <v>29.609218134756699</v>
      </c>
      <c r="AI5551">
        <v>92.145783290065395</v>
      </c>
      <c r="AJ5551">
        <v>92.333507347048695</v>
      </c>
      <c r="AK5551">
        <v>29.654585796227401</v>
      </c>
      <c r="AL5551">
        <v>80.972877224615701</v>
      </c>
      <c r="AM5551">
        <v>93.166302054608906</v>
      </c>
      <c r="AN5551">
        <v>0.99999999290563601</v>
      </c>
    </row>
    <row r="5552" spans="1:40" x14ac:dyDescent="0.25">
      <c r="A5552" t="str">
        <f>"20190304155745637"</f>
        <v>20190304155745637</v>
      </c>
      <c r="B5552" t="str">
        <f>"1551686265630670"</f>
        <v>1551686265630670</v>
      </c>
      <c r="C5552" t="s">
        <v>40</v>
      </c>
      <c r="D5552">
        <v>4.4672299999999998</v>
      </c>
      <c r="E5552">
        <v>0.49941619999999998</v>
      </c>
      <c r="F5552" t="s">
        <v>41</v>
      </c>
      <c r="G5552">
        <v>-323.60840000000002</v>
      </c>
      <c r="H5552" s="1">
        <v>-3.5172150000000002E-6</v>
      </c>
      <c r="I5552">
        <v>16.710899999999999</v>
      </c>
      <c r="J5552">
        <v>-376.40589999999997</v>
      </c>
      <c r="K5552">
        <v>1.1103430000000001</v>
      </c>
      <c r="L5552">
        <v>17.309940000000001</v>
      </c>
      <c r="M5552">
        <v>0.99837679999999995</v>
      </c>
      <c r="N5552">
        <v>-1.0349580000000001E-2</v>
      </c>
      <c r="O5552">
        <v>-5.600542E-2</v>
      </c>
      <c r="P5552">
        <v>0.98910370000000003</v>
      </c>
      <c r="Q5552">
        <v>0.1472194</v>
      </c>
      <c r="R5552">
        <v>-8.2971809999999896E-4</v>
      </c>
      <c r="S5552">
        <v>3.0422669999999998</v>
      </c>
      <c r="T5552">
        <v>-6.3784599999999997E-2</v>
      </c>
      <c r="U5552">
        <v>-3.4912110000000003E-2</v>
      </c>
      <c r="V5552">
        <v>-5.4817060000000001E-2</v>
      </c>
      <c r="W5552">
        <v>0.1573466</v>
      </c>
      <c r="X5552">
        <v>0.98602089999999998</v>
      </c>
      <c r="Y5552">
        <v>-4.4530069999999998E-2</v>
      </c>
      <c r="Z5552">
        <v>1.2908539999999999E-3</v>
      </c>
      <c r="AA5552">
        <v>0.99900719999999998</v>
      </c>
      <c r="AB5552">
        <v>31</v>
      </c>
      <c r="AC5552">
        <v>52.7974999999999</v>
      </c>
      <c r="AD5552">
        <v>-1.110346517215</v>
      </c>
      <c r="AE5552">
        <v>-0.59904000000000202</v>
      </c>
      <c r="AF5552">
        <v>-2.3579621922695999</v>
      </c>
      <c r="AG5552">
        <v>-1.110346517215</v>
      </c>
      <c r="AH5552">
        <v>52.724859082928702</v>
      </c>
      <c r="AI5552">
        <v>91.205224091130702</v>
      </c>
      <c r="AJ5552">
        <v>92.560676727624696</v>
      </c>
      <c r="AK5552">
        <v>52.789237732734399</v>
      </c>
      <c r="AL5552">
        <v>80.947083547927704</v>
      </c>
      <c r="AM5552">
        <v>93.182038443808807</v>
      </c>
      <c r="AN5552">
        <v>1.0000000389177</v>
      </c>
    </row>
    <row r="5553" spans="1:40" x14ac:dyDescent="0.25">
      <c r="A5553" t="str">
        <f>"20190304155745652"</f>
        <v>20190304155745652</v>
      </c>
      <c r="B5553" t="str">
        <f>"1551686265640430"</f>
        <v>1551686265640430</v>
      </c>
      <c r="C5553" t="s">
        <v>40</v>
      </c>
      <c r="D5553">
        <v>4.5430210000000004</v>
      </c>
      <c r="E5553">
        <v>0.49793379999999998</v>
      </c>
      <c r="F5553" t="s">
        <v>41</v>
      </c>
      <c r="G5553">
        <v>-321.07319999999999</v>
      </c>
      <c r="H5553" s="1">
        <v>-4.6159570000000002E-6</v>
      </c>
      <c r="I5553">
        <v>17.272749999999998</v>
      </c>
      <c r="J5553">
        <v>-376.2208</v>
      </c>
      <c r="K5553">
        <v>1.1103590000000001</v>
      </c>
      <c r="L5553">
        <v>17.30002</v>
      </c>
      <c r="M5553">
        <v>0.99840490000000004</v>
      </c>
      <c r="N5553">
        <v>-1.0351809999999999E-2</v>
      </c>
      <c r="O5553">
        <v>-5.5502610000000001E-2</v>
      </c>
      <c r="P5553">
        <v>0.98910399999999998</v>
      </c>
      <c r="Q5553">
        <v>0.1472184</v>
      </c>
      <c r="R5553" s="1">
        <v>8.5576900000000004E-5</v>
      </c>
      <c r="S5553">
        <v>3.0421749999999999</v>
      </c>
      <c r="T5553">
        <v>-6.104648E-2</v>
      </c>
      <c r="U5553">
        <v>-2.0446779999999999E-3</v>
      </c>
      <c r="V5553">
        <v>-5.5237870000000001E-2</v>
      </c>
      <c r="W5553">
        <v>0.1573456</v>
      </c>
      <c r="X5553">
        <v>0.98599760000000003</v>
      </c>
      <c r="Y5553">
        <v>-5.4815160000000002E-2</v>
      </c>
      <c r="Z5553">
        <v>1.372138E-3</v>
      </c>
      <c r="AA5553">
        <v>0.99849560000000004</v>
      </c>
      <c r="AB5553">
        <v>31</v>
      </c>
      <c r="AC5553">
        <v>55.147599999999997</v>
      </c>
      <c r="AD5553">
        <v>-1.1103636159570001</v>
      </c>
      <c r="AE5553">
        <v>-2.7270000000001401E-2</v>
      </c>
      <c r="AF5553">
        <v>-3.0325423467446901</v>
      </c>
      <c r="AG5553">
        <v>-1.1103636159570001</v>
      </c>
      <c r="AH5553">
        <v>55.041783221819301</v>
      </c>
      <c r="AI5553">
        <v>91.153927399315705</v>
      </c>
      <c r="AJ5553">
        <v>93.153538633104702</v>
      </c>
      <c r="AK5553">
        <v>55.1364409504476</v>
      </c>
      <c r="AL5553">
        <v>80.947141792315307</v>
      </c>
      <c r="AM5553">
        <v>93.206490595681899</v>
      </c>
      <c r="AN5553">
        <v>1.0000000636636199</v>
      </c>
    </row>
    <row r="5554" spans="1:40" x14ac:dyDescent="0.25">
      <c r="A5554" t="str">
        <f>"20190304155745670"</f>
        <v>20190304155745670</v>
      </c>
      <c r="B5554" t="str">
        <f>"1551686265659950"</f>
        <v>1551686265659950</v>
      </c>
      <c r="C5554" t="s">
        <v>40</v>
      </c>
      <c r="D5554">
        <v>4.57064</v>
      </c>
      <c r="E5554">
        <v>0.49692380000000003</v>
      </c>
      <c r="F5554" t="s">
        <v>41</v>
      </c>
      <c r="G5554">
        <v>-322.78160000000003</v>
      </c>
      <c r="H5554" s="1">
        <v>-3.7642840000000001E-6</v>
      </c>
      <c r="I5554">
        <v>17.52139</v>
      </c>
      <c r="J5554">
        <v>-375.9556</v>
      </c>
      <c r="K5554">
        <v>1.1103689999999999</v>
      </c>
      <c r="L5554">
        <v>17.286010000000001</v>
      </c>
      <c r="M5554">
        <v>0.99844509999999997</v>
      </c>
      <c r="N5554">
        <v>-1.0354830000000001E-2</v>
      </c>
      <c r="O5554">
        <v>-5.4774740000000002E-2</v>
      </c>
      <c r="P5554">
        <v>0.98901910000000004</v>
      </c>
      <c r="Q5554">
        <v>0.1477801</v>
      </c>
      <c r="R5554">
        <v>1.57013799999999E-3</v>
      </c>
      <c r="S5554">
        <v>3.0424500000000001</v>
      </c>
      <c r="T5554">
        <v>-6.3216209999999995E-2</v>
      </c>
      <c r="U5554">
        <v>1.260376E-2</v>
      </c>
      <c r="V5554">
        <v>-5.6001019999999999E-2</v>
      </c>
      <c r="W5554">
        <v>0.157906399999999</v>
      </c>
      <c r="X5554">
        <v>0.98586479999999999</v>
      </c>
      <c r="Y5554">
        <v>-5.8891579999999999E-2</v>
      </c>
      <c r="Z5554">
        <v>1.486951E-3</v>
      </c>
      <c r="AA5554">
        <v>0.99826329999999996</v>
      </c>
      <c r="AB5554">
        <v>31</v>
      </c>
      <c r="AC5554">
        <v>53.1739999999999</v>
      </c>
      <c r="AD5554">
        <v>-1.110372764284</v>
      </c>
      <c r="AE5554">
        <v>0.23537999999999901</v>
      </c>
      <c r="AF5554">
        <v>-3.1464026458526302</v>
      </c>
      <c r="AG5554">
        <v>-1.110372764284</v>
      </c>
      <c r="AH5554">
        <v>53.0581340293704</v>
      </c>
      <c r="AI5554">
        <v>91.1967791385363</v>
      </c>
      <c r="AJ5554">
        <v>93.393725023401402</v>
      </c>
      <c r="AK5554">
        <v>53.162941641373898</v>
      </c>
      <c r="AL5554">
        <v>80.914602740849602</v>
      </c>
      <c r="AM5554">
        <v>93.2511331014489</v>
      </c>
      <c r="AN5554">
        <v>0.99999997464051904</v>
      </c>
    </row>
    <row r="5555" spans="1:40" x14ac:dyDescent="0.25">
      <c r="A5555" t="str">
        <f>"20190304155745691"</f>
        <v>20190304155745691</v>
      </c>
      <c r="B5555" t="str">
        <f>"1551686265680445"</f>
        <v>1551686265680445</v>
      </c>
      <c r="C5555" t="s">
        <v>40</v>
      </c>
      <c r="D5555">
        <v>4.5638009999999998</v>
      </c>
      <c r="E5555">
        <v>0.49680999999999997</v>
      </c>
      <c r="F5555" t="s">
        <v>41</v>
      </c>
      <c r="G5555">
        <v>-325.63310000000001</v>
      </c>
      <c r="H5555" s="1">
        <v>-2.3850410000000001E-6</v>
      </c>
      <c r="I5555">
        <v>17.697789999999902</v>
      </c>
      <c r="J5555">
        <v>-375.67509999999999</v>
      </c>
      <c r="K5555">
        <v>1.1103769999999999</v>
      </c>
      <c r="L5555">
        <v>17.27139</v>
      </c>
      <c r="M5555">
        <v>0.99848729999999997</v>
      </c>
      <c r="N5555">
        <v>-1.035781E-2</v>
      </c>
      <c r="O5555">
        <v>-5.3999940000000003E-2</v>
      </c>
      <c r="P5555">
        <v>0.98899780000000004</v>
      </c>
      <c r="Q5555">
        <v>0.14789720000000001</v>
      </c>
      <c r="R5555">
        <v>3.1702330000000002E-3</v>
      </c>
      <c r="S5555">
        <v>3.043304</v>
      </c>
      <c r="T5555">
        <v>-6.7150829999999995E-2</v>
      </c>
      <c r="U5555">
        <v>2.4902339999999999E-2</v>
      </c>
      <c r="V5555">
        <v>-5.6834809999999999E-2</v>
      </c>
      <c r="W5555">
        <v>0.1580232</v>
      </c>
      <c r="X5555">
        <v>0.98579839999999996</v>
      </c>
      <c r="Y5555">
        <v>-6.2145560000000002E-2</v>
      </c>
      <c r="Z5555">
        <v>1.63896299999999E-3</v>
      </c>
      <c r="AA5555">
        <v>0.9980658</v>
      </c>
      <c r="AB5555">
        <v>31</v>
      </c>
      <c r="AC5555">
        <v>50.041999999999902</v>
      </c>
      <c r="AD5555">
        <v>-1.110379385041</v>
      </c>
      <c r="AE5555">
        <v>0.426399999999997</v>
      </c>
      <c r="AF5555">
        <v>-3.1266482378227201</v>
      </c>
      <c r="AG5555">
        <v>-1.110379385041</v>
      </c>
      <c r="AH5555">
        <v>49.921374047477798</v>
      </c>
      <c r="AI5555">
        <v>91.2717039801786</v>
      </c>
      <c r="AJ5555">
        <v>93.583836761412996</v>
      </c>
      <c r="AK5555">
        <v>50.0315146519671</v>
      </c>
      <c r="AL5555">
        <v>80.907825794925301</v>
      </c>
      <c r="AM5555">
        <v>93.299654275714502</v>
      </c>
      <c r="AN5555">
        <v>1.00000000640426</v>
      </c>
    </row>
    <row r="5556" spans="1:40" x14ac:dyDescent="0.25">
      <c r="A5556" t="str">
        <f>"20190304155745702"</f>
        <v>20190304155745702</v>
      </c>
      <c r="B5556" t="str">
        <f>"1551686265690206"</f>
        <v>1551686265690206</v>
      </c>
      <c r="C5556" t="s">
        <v>40</v>
      </c>
      <c r="D5556">
        <v>4.5976559999999997</v>
      </c>
      <c r="E5556">
        <v>0.49693900000000002</v>
      </c>
      <c r="F5556" t="s">
        <v>41</v>
      </c>
      <c r="G5556">
        <v>-327.8288</v>
      </c>
      <c r="H5556" s="1">
        <v>-1.3365710000000001E-6</v>
      </c>
      <c r="I5556">
        <v>17.757339999999999</v>
      </c>
      <c r="J5556">
        <v>-375.50029999999998</v>
      </c>
      <c r="K5556">
        <v>1.1103809999999901</v>
      </c>
      <c r="L5556">
        <v>17.262419999999999</v>
      </c>
      <c r="M5556">
        <v>0.99851330000000005</v>
      </c>
      <c r="N5556">
        <v>-1.0359749999999999E-2</v>
      </c>
      <c r="O5556">
        <v>-5.351641E-2</v>
      </c>
      <c r="P5556">
        <v>0.98901410000000001</v>
      </c>
      <c r="Q5556">
        <v>0.14776439999999999</v>
      </c>
      <c r="R5556">
        <v>4.0706780000000003E-3</v>
      </c>
      <c r="S5556">
        <v>3.0438230000000002</v>
      </c>
      <c r="T5556">
        <v>-7.063854E-2</v>
      </c>
      <c r="U5556">
        <v>3.091431E-2</v>
      </c>
      <c r="V5556">
        <v>-5.7258160000000002E-2</v>
      </c>
      <c r="W5556">
        <v>0.1578909</v>
      </c>
      <c r="X5556">
        <v>0.98579510000000004</v>
      </c>
      <c r="Y5556">
        <v>-6.3628669999999998E-2</v>
      </c>
      <c r="Z5556">
        <v>1.7547400000000001E-3</v>
      </c>
      <c r="AA5556">
        <v>0.99797210000000003</v>
      </c>
      <c r="AB5556">
        <v>31</v>
      </c>
      <c r="AC5556">
        <v>47.671499999999902</v>
      </c>
      <c r="AD5556">
        <v>-1.1103823365709999</v>
      </c>
      <c r="AE5556">
        <v>0.49491999999999597</v>
      </c>
      <c r="AF5556">
        <v>-3.0439037177101298</v>
      </c>
      <c r="AG5556">
        <v>-1.1103823365709999</v>
      </c>
      <c r="AH5556">
        <v>47.550895001385399</v>
      </c>
      <c r="AI5556">
        <v>91.334965027034499</v>
      </c>
      <c r="AJ5556">
        <v>93.662711313307099</v>
      </c>
      <c r="AK5556">
        <v>47.661157289860697</v>
      </c>
      <c r="AL5556">
        <v>80.915502396728598</v>
      </c>
      <c r="AM5556">
        <v>93.324188862696204</v>
      </c>
      <c r="AN5556">
        <v>1.0000000061867</v>
      </c>
    </row>
    <row r="5557" spans="1:40" x14ac:dyDescent="0.25">
      <c r="A5557" t="str">
        <f>"20190304155745715"</f>
        <v>20190304155745715</v>
      </c>
      <c r="B5557" t="str">
        <f>"1551686265710703"</f>
        <v>1551686265710703</v>
      </c>
      <c r="C5557" t="s">
        <v>40</v>
      </c>
      <c r="D5557">
        <v>4.5926010000000002</v>
      </c>
      <c r="E5557">
        <v>0.49698759999999997</v>
      </c>
      <c r="F5557" t="s">
        <v>41</v>
      </c>
      <c r="G5557">
        <v>-328.39150000000001</v>
      </c>
      <c r="H5557" s="1">
        <v>-1.094115E-6</v>
      </c>
      <c r="I5557">
        <v>17.766369999999998</v>
      </c>
      <c r="J5557">
        <v>-375.32420000000002</v>
      </c>
      <c r="K5557">
        <v>1.1103879999999999</v>
      </c>
      <c r="L5557">
        <v>17.253450000000001</v>
      </c>
      <c r="M5557">
        <v>0.99853930000000002</v>
      </c>
      <c r="N5557">
        <v>-1.0361759999999999E-2</v>
      </c>
      <c r="O5557">
        <v>-5.3029430000000002E-2</v>
      </c>
      <c r="P5557">
        <v>0.9889966</v>
      </c>
      <c r="Q5557">
        <v>0.1478573</v>
      </c>
      <c r="R5557">
        <v>4.9398439999999997E-3</v>
      </c>
      <c r="S5557">
        <v>3.0438839999999998</v>
      </c>
      <c r="T5557">
        <v>-7.1746110000000002E-2</v>
      </c>
      <c r="U5557">
        <v>3.2562260000000003E-2</v>
      </c>
      <c r="V5557">
        <v>-5.7644609999999999E-2</v>
      </c>
      <c r="W5557">
        <v>0.15798409999999999</v>
      </c>
      <c r="X5557">
        <v>0.98575760000000001</v>
      </c>
      <c r="Y5557">
        <v>-6.3681100000000004E-2</v>
      </c>
      <c r="Z5557">
        <v>1.780167E-3</v>
      </c>
      <c r="AA5557">
        <v>0.99796870000000004</v>
      </c>
      <c r="AB5557">
        <v>31</v>
      </c>
      <c r="AC5557">
        <v>46.932699999999997</v>
      </c>
      <c r="AD5557">
        <v>-1.1103890941150001</v>
      </c>
      <c r="AE5557">
        <v>0.51292000000000104</v>
      </c>
      <c r="AF5557">
        <v>-2.99946712038841</v>
      </c>
      <c r="AG5557">
        <v>-1.1103890941150001</v>
      </c>
      <c r="AH5557">
        <v>46.813254042181299</v>
      </c>
      <c r="AI5557">
        <v>91.355995517394604</v>
      </c>
      <c r="AJ5557">
        <v>93.666102907263394</v>
      </c>
      <c r="AK5557">
        <v>46.9223882700404</v>
      </c>
      <c r="AL5557">
        <v>80.910094146686106</v>
      </c>
      <c r="AM5557">
        <v>93.346700863259002</v>
      </c>
      <c r="AN5557">
        <v>0.99999996143630998</v>
      </c>
    </row>
    <row r="5558" spans="1:40" x14ac:dyDescent="0.25">
      <c r="A5558" t="str">
        <f>"20190304155745737"</f>
        <v>20190304155745737</v>
      </c>
      <c r="B5558" t="str">
        <f>"1551686265730222"</f>
        <v>1551686265730222</v>
      </c>
      <c r="C5558" t="s">
        <v>40</v>
      </c>
      <c r="D5558">
        <v>4.6095839999999999</v>
      </c>
      <c r="E5558">
        <v>0.4969558</v>
      </c>
      <c r="F5558" t="s">
        <v>41</v>
      </c>
      <c r="G5558">
        <v>-327.68310000000002</v>
      </c>
      <c r="H5558" s="1">
        <v>-1.3982159999999901E-6</v>
      </c>
      <c r="I5558">
        <v>17.79796</v>
      </c>
      <c r="J5558">
        <v>-375.03</v>
      </c>
      <c r="K5558">
        <v>1.1103909999999999</v>
      </c>
      <c r="L5558">
        <v>17.23865</v>
      </c>
      <c r="M5558">
        <v>0.99858210000000003</v>
      </c>
      <c r="N5558">
        <v>-1.036511E-2</v>
      </c>
      <c r="O5558">
        <v>-5.2216650000000003E-2</v>
      </c>
      <c r="P5558">
        <v>0.98892000000000002</v>
      </c>
      <c r="Q5558">
        <v>0.1483227</v>
      </c>
      <c r="R5558">
        <v>6.1343939999999996E-3</v>
      </c>
      <c r="S5558">
        <v>3.0438540000000001</v>
      </c>
      <c r="T5558">
        <v>-7.0944309999999997E-2</v>
      </c>
      <c r="U5558">
        <v>3.4790040000000001E-2</v>
      </c>
      <c r="V5558">
        <v>-5.80327E-2</v>
      </c>
      <c r="W5558">
        <v>0.1584507</v>
      </c>
      <c r="X5558">
        <v>0.98565999999999998</v>
      </c>
      <c r="Y5558">
        <v>-6.3600000000000004E-2</v>
      </c>
      <c r="Z5558">
        <v>1.7459179999999999E-3</v>
      </c>
      <c r="AA5558">
        <v>0.99797389999999997</v>
      </c>
      <c r="AB5558">
        <v>31</v>
      </c>
      <c r="AC5558">
        <v>47.346899999999899</v>
      </c>
      <c r="AD5558">
        <v>-1.110392398216</v>
      </c>
      <c r="AE5558">
        <v>0.55930999999999997</v>
      </c>
      <c r="AF5558">
        <v>-3.0293100260511299</v>
      </c>
      <c r="AG5558">
        <v>-1.110392398216</v>
      </c>
      <c r="AH5558">
        <v>47.227122907900799</v>
      </c>
      <c r="AI5558">
        <v>91.344114760630006</v>
      </c>
      <c r="AJ5558">
        <v>93.670120362475302</v>
      </c>
      <c r="AK5558">
        <v>47.3372034310215</v>
      </c>
      <c r="AL5558">
        <v>80.883019506788003</v>
      </c>
      <c r="AM5558">
        <v>93.369513507331504</v>
      </c>
      <c r="AN5558">
        <v>1.0000000270998799</v>
      </c>
    </row>
    <row r="5559" spans="1:40" x14ac:dyDescent="0.25">
      <c r="A5559" t="str">
        <f>"20190304155745748"</f>
        <v>20190304155745748</v>
      </c>
      <c r="B5559" t="str">
        <f>"1551686265739981"</f>
        <v>1551686265739981</v>
      </c>
      <c r="C5559" t="s">
        <v>40</v>
      </c>
      <c r="D5559">
        <v>4.6193519999999904</v>
      </c>
      <c r="E5559">
        <v>0.49689119999999998</v>
      </c>
      <c r="F5559" t="s">
        <v>41</v>
      </c>
      <c r="G5559">
        <v>-325.18639999999999</v>
      </c>
      <c r="H5559" s="1">
        <v>-2.5654149999999998E-6</v>
      </c>
      <c r="I5559">
        <v>17.871369999999999</v>
      </c>
      <c r="J5559">
        <v>-374.85419999999999</v>
      </c>
      <c r="K5559">
        <v>1.1103970000000001</v>
      </c>
      <c r="L5559">
        <v>17.229890000000001</v>
      </c>
      <c r="M5559">
        <v>0.99860729999999998</v>
      </c>
      <c r="N5559">
        <v>-1.036699E-2</v>
      </c>
      <c r="O5559">
        <v>-5.1732300000000002E-2</v>
      </c>
      <c r="P5559">
        <v>0.98889919999999998</v>
      </c>
      <c r="Q5559">
        <v>0.14844289999999999</v>
      </c>
      <c r="R5559">
        <v>6.5964760000000004E-3</v>
      </c>
      <c r="S5559">
        <v>3.0435490000000001</v>
      </c>
      <c r="T5559">
        <v>-6.7802909999999994E-2</v>
      </c>
      <c r="U5559">
        <v>3.8635250000000003E-2</v>
      </c>
      <c r="V5559">
        <v>-5.8015089999999998E-2</v>
      </c>
      <c r="W5559">
        <v>0.1585722</v>
      </c>
      <c r="X5559">
        <v>0.98564149999999995</v>
      </c>
      <c r="Y5559">
        <v>-6.4379969999999995E-2</v>
      </c>
      <c r="Z5559">
        <v>1.6663820000000001E-3</v>
      </c>
      <c r="AA5559">
        <v>0.99792409999999998</v>
      </c>
      <c r="AB5559">
        <v>31</v>
      </c>
      <c r="AC5559">
        <v>49.6678</v>
      </c>
      <c r="AD5559">
        <v>-1.1103995654149901</v>
      </c>
      <c r="AE5559">
        <v>0.64148000000000105</v>
      </c>
      <c r="AF5559">
        <v>-3.2085848295671799</v>
      </c>
      <c r="AG5559">
        <v>-1.1103995654149901</v>
      </c>
      <c r="AH5559">
        <v>49.543341729105798</v>
      </c>
      <c r="AI5559">
        <v>91.2812543390136</v>
      </c>
      <c r="AJ5559">
        <v>93.705482609561898</v>
      </c>
      <c r="AK5559">
        <v>49.659548059666797</v>
      </c>
      <c r="AL5559">
        <v>80.875968956087902</v>
      </c>
      <c r="AM5559">
        <v>93.368556463934496</v>
      </c>
      <c r="AN5559">
        <v>1.00000002990139</v>
      </c>
    </row>
    <row r="5560" spans="1:40" x14ac:dyDescent="0.25">
      <c r="A5560" t="str">
        <f>"20190304155745761"</f>
        <v>20190304155745761</v>
      </c>
      <c r="B5560" t="str">
        <f>"1551686265749742"</f>
        <v>1551686265749742</v>
      </c>
      <c r="C5560" t="s">
        <v>40</v>
      </c>
      <c r="D5560">
        <v>4.6062960000000004</v>
      </c>
      <c r="E5560">
        <v>0.49695080000000003</v>
      </c>
      <c r="F5560" t="s">
        <v>41</v>
      </c>
      <c r="G5560">
        <v>-324.06569999999999</v>
      </c>
      <c r="H5560" s="1">
        <v>-3.0883850000000002E-6</v>
      </c>
      <c r="I5560">
        <v>17.909770000000002</v>
      </c>
      <c r="J5560">
        <v>-374.685</v>
      </c>
      <c r="K5560">
        <v>1.1104000000000001</v>
      </c>
      <c r="L5560">
        <v>17.221620000000001</v>
      </c>
      <c r="M5560">
        <v>0.9986313</v>
      </c>
      <c r="N5560">
        <v>-1.036888E-2</v>
      </c>
      <c r="O5560">
        <v>-5.1267020000000003E-2</v>
      </c>
      <c r="P5560">
        <v>0.98888220000000004</v>
      </c>
      <c r="Q5560">
        <v>0.1485262</v>
      </c>
      <c r="R5560">
        <v>7.2238629999999996E-3</v>
      </c>
      <c r="S5560">
        <v>3.043396</v>
      </c>
      <c r="T5560">
        <v>-6.6538449999999999E-2</v>
      </c>
      <c r="U5560">
        <v>4.0740970000000001E-2</v>
      </c>
      <c r="V5560">
        <v>-5.8182089999999999E-2</v>
      </c>
      <c r="W5560">
        <v>0.15865689999999999</v>
      </c>
      <c r="X5560">
        <v>0.98561799999999999</v>
      </c>
      <c r="Y5560">
        <v>-6.4606910000000004E-2</v>
      </c>
      <c r="Z5560">
        <v>1.629913E-3</v>
      </c>
      <c r="AA5560">
        <v>0.9979095</v>
      </c>
      <c r="AB5560">
        <v>31</v>
      </c>
      <c r="AC5560">
        <v>50.619300000000003</v>
      </c>
      <c r="AD5560">
        <v>-1.110403088385</v>
      </c>
      <c r="AE5560">
        <v>0.68815000000000004</v>
      </c>
      <c r="AF5560">
        <v>-3.28090627933681</v>
      </c>
      <c r="AG5560">
        <v>-1.110403088385</v>
      </c>
      <c r="AH5560">
        <v>50.493153252269401</v>
      </c>
      <c r="AI5560">
        <v>91.257147466639793</v>
      </c>
      <c r="AJ5560">
        <v>93.717696018298497</v>
      </c>
      <c r="AK5560">
        <v>50.611815482055697</v>
      </c>
      <c r="AL5560">
        <v>80.871053548594304</v>
      </c>
      <c r="AM5560">
        <v>93.378310995624702</v>
      </c>
      <c r="AN5560">
        <v>1.0000000047191799</v>
      </c>
    </row>
    <row r="5561" spans="1:40" x14ac:dyDescent="0.25">
      <c r="A5561" t="str">
        <f>"20190304155745779"</f>
        <v>20190304155745779</v>
      </c>
      <c r="B5561" t="str">
        <f>"1551686265770238"</f>
        <v>1551686265770238</v>
      </c>
      <c r="C5561" t="s">
        <v>40</v>
      </c>
      <c r="D5561">
        <v>4.611917</v>
      </c>
      <c r="E5561">
        <v>0.49719920000000001</v>
      </c>
      <c r="F5561" t="s">
        <v>41</v>
      </c>
      <c r="G5561">
        <v>-323.35700000000003</v>
      </c>
      <c r="H5561" s="1">
        <v>-3.4192869999999999E-6</v>
      </c>
      <c r="I5561">
        <v>17.932950000000002</v>
      </c>
      <c r="J5561">
        <v>-374.43790000000001</v>
      </c>
      <c r="K5561">
        <v>1.1104080000000001</v>
      </c>
      <c r="L5561">
        <v>17.209589999999999</v>
      </c>
      <c r="M5561">
        <v>0.99866580000000005</v>
      </c>
      <c r="N5561">
        <v>-1.0371699999999999E-2</v>
      </c>
      <c r="O5561">
        <v>-5.0588960000000002E-2</v>
      </c>
      <c r="P5561">
        <v>0.98876989999999998</v>
      </c>
      <c r="Q5561">
        <v>0.14923400000000001</v>
      </c>
      <c r="R5561">
        <v>7.9587700000000004E-3</v>
      </c>
      <c r="S5561">
        <v>3.043304</v>
      </c>
      <c r="T5561">
        <v>-6.5837259999999995E-2</v>
      </c>
      <c r="U5561">
        <v>4.2175289999999997E-2</v>
      </c>
      <c r="V5561">
        <v>-5.8241620000000001E-2</v>
      </c>
      <c r="W5561">
        <v>0.15936539999999999</v>
      </c>
      <c r="X5561">
        <v>0.98550020000000005</v>
      </c>
      <c r="Y5561">
        <v>-6.4400639999999995E-2</v>
      </c>
      <c r="Z5561">
        <v>1.5997520000000001E-3</v>
      </c>
      <c r="AA5561">
        <v>0.9979228</v>
      </c>
      <c r="AB5561">
        <v>31</v>
      </c>
      <c r="AC5561">
        <v>51.0808999999999</v>
      </c>
      <c r="AD5561">
        <v>-1.110411419287</v>
      </c>
      <c r="AE5561">
        <v>0.723360000000003</v>
      </c>
      <c r="AF5561">
        <v>-3.30514049490142</v>
      </c>
      <c r="AG5561">
        <v>-1.110411419287</v>
      </c>
      <c r="AH5561">
        <v>50.954816850924999</v>
      </c>
      <c r="AI5561">
        <v>91.245779446712206</v>
      </c>
      <c r="AJ5561">
        <v>93.711242585829098</v>
      </c>
      <c r="AK5561">
        <v>51.073969177286699</v>
      </c>
      <c r="AL5561">
        <v>80.829936584586505</v>
      </c>
      <c r="AM5561">
        <v>93.382162848411696</v>
      </c>
      <c r="AN5561">
        <v>1.00000003060871</v>
      </c>
    </row>
    <row r="5562" spans="1:40" x14ac:dyDescent="0.25">
      <c r="A5562" t="str">
        <f>"20190304155745791"</f>
        <v>20190304155745791</v>
      </c>
      <c r="B5562" t="str">
        <f>"1551686265779998"</f>
        <v>1551686265779998</v>
      </c>
      <c r="C5562" t="s">
        <v>40</v>
      </c>
      <c r="D5562">
        <v>4.5862780000000001</v>
      </c>
      <c r="E5562">
        <v>0.4973339</v>
      </c>
      <c r="F5562" t="s">
        <v>41</v>
      </c>
      <c r="G5562">
        <v>-321.65879999999999</v>
      </c>
      <c r="H5562" s="1">
        <v>-4.2199580000000004E-6</v>
      </c>
      <c r="I5562">
        <v>17.94472</v>
      </c>
      <c r="J5562">
        <v>-374.27440000000001</v>
      </c>
      <c r="K5562">
        <v>1.110411</v>
      </c>
      <c r="L5562">
        <v>17.201720000000002</v>
      </c>
      <c r="M5562">
        <v>0.99868849999999998</v>
      </c>
      <c r="N5562">
        <v>-1.037358E-2</v>
      </c>
      <c r="O5562">
        <v>-5.0140379999999998E-2</v>
      </c>
      <c r="P5562">
        <v>0.9887148</v>
      </c>
      <c r="Q5562">
        <v>0.14957799999999999</v>
      </c>
      <c r="R5562">
        <v>8.3688140000000005E-3</v>
      </c>
      <c r="S5562">
        <v>3.043396</v>
      </c>
      <c r="T5562">
        <v>-6.4029459999999996E-2</v>
      </c>
      <c r="U5562">
        <v>4.2388919999999997E-2</v>
      </c>
      <c r="V5562">
        <v>-5.8206380000000002E-2</v>
      </c>
      <c r="W5562">
        <v>0.15971050000000001</v>
      </c>
      <c r="X5562">
        <v>0.98544639999999994</v>
      </c>
      <c r="Y5562">
        <v>-6.4023490000000002E-2</v>
      </c>
      <c r="Z5562">
        <v>1.539812E-3</v>
      </c>
      <c r="AA5562">
        <v>0.99794720000000003</v>
      </c>
      <c r="AB5562">
        <v>31</v>
      </c>
      <c r="AC5562">
        <v>52.615600000000001</v>
      </c>
      <c r="AD5562">
        <v>-1.110415219958</v>
      </c>
      <c r="AE5562">
        <v>0.742999999999998</v>
      </c>
      <c r="AF5562">
        <v>-3.3788683452789701</v>
      </c>
      <c r="AG5562">
        <v>-1.110415219958</v>
      </c>
      <c r="AH5562">
        <v>52.488782262210798</v>
      </c>
      <c r="AI5562">
        <v>91.209425313169206</v>
      </c>
      <c r="AJ5562">
        <v>93.683227872681698</v>
      </c>
      <c r="AK5562">
        <v>52.609144040035702</v>
      </c>
      <c r="AL5562">
        <v>80.809907144792305</v>
      </c>
      <c r="AM5562">
        <v>93.380305272629201</v>
      </c>
      <c r="AN5562">
        <v>1.0000000168779499</v>
      </c>
    </row>
    <row r="5563" spans="1:40" x14ac:dyDescent="0.25">
      <c r="A5563" t="str">
        <f>"20190304155745802"</f>
        <v>20190304155745802</v>
      </c>
      <c r="B5563" t="str">
        <f>"1551686265790734"</f>
        <v>1551686265790734</v>
      </c>
      <c r="C5563" t="s">
        <v>40</v>
      </c>
      <c r="D5563">
        <v>4.6438810000000004</v>
      </c>
      <c r="E5563">
        <v>0.49750060000000002</v>
      </c>
      <c r="F5563" t="s">
        <v>41</v>
      </c>
      <c r="G5563">
        <v>-320.6635</v>
      </c>
      <c r="H5563" s="1">
        <v>-4.6889089999999997E-6</v>
      </c>
      <c r="I5563">
        <v>17.95326</v>
      </c>
      <c r="J5563">
        <v>-374.11040000000003</v>
      </c>
      <c r="K5563">
        <v>1.110414</v>
      </c>
      <c r="L5563">
        <v>17.193939999999898</v>
      </c>
      <c r="M5563">
        <v>0.99871080000000001</v>
      </c>
      <c r="N5563">
        <v>-1.03753E-2</v>
      </c>
      <c r="O5563">
        <v>-4.969109E-2</v>
      </c>
      <c r="P5563">
        <v>0.98866659999999995</v>
      </c>
      <c r="Q5563">
        <v>0.1498826</v>
      </c>
      <c r="R5563">
        <v>8.5902099999999992E-3</v>
      </c>
      <c r="S5563">
        <v>3.043396</v>
      </c>
      <c r="T5563">
        <v>-6.3036320000000007E-2</v>
      </c>
      <c r="U5563">
        <v>4.2663569999999998E-2</v>
      </c>
      <c r="V5563">
        <v>-5.7982140000000001E-2</v>
      </c>
      <c r="W5563">
        <v>0.16001689999999999</v>
      </c>
      <c r="X5563">
        <v>0.98540989999999995</v>
      </c>
      <c r="Y5563">
        <v>-6.3665459999999993E-2</v>
      </c>
      <c r="Z5563">
        <v>1.5027860000000001E-3</v>
      </c>
      <c r="AA5563">
        <v>0.99797020000000003</v>
      </c>
      <c r="AB5563">
        <v>31</v>
      </c>
      <c r="AC5563">
        <v>53.446899999999999</v>
      </c>
      <c r="AD5563">
        <v>-1.110418688909</v>
      </c>
      <c r="AE5563">
        <v>0.75932000000000199</v>
      </c>
      <c r="AF5563">
        <v>-3.4128865226607901</v>
      </c>
      <c r="AG5563">
        <v>-1.110418688909</v>
      </c>
      <c r="AH5563">
        <v>53.320122169645899</v>
      </c>
      <c r="AI5563">
        <v>91.190605588620599</v>
      </c>
      <c r="AJ5563">
        <v>93.662362259592001</v>
      </c>
      <c r="AK5563">
        <v>53.440773312773103</v>
      </c>
      <c r="AL5563">
        <v>80.792122877747801</v>
      </c>
      <c r="AM5563">
        <v>93.367437114548494</v>
      </c>
      <c r="AN5563">
        <v>1.00000000393129</v>
      </c>
    </row>
    <row r="5564" spans="1:40" x14ac:dyDescent="0.25">
      <c r="A5564" t="str">
        <f>"20190304155745815"</f>
        <v>20190304155745815</v>
      </c>
      <c r="B5564" t="str">
        <f>"1551686265810254"</f>
        <v>1551686265810254</v>
      </c>
      <c r="C5564" t="s">
        <v>40</v>
      </c>
      <c r="D5564">
        <v>4.6340199999999996</v>
      </c>
      <c r="E5564">
        <v>0.49777870000000002</v>
      </c>
      <c r="F5564" t="s">
        <v>41</v>
      </c>
      <c r="G5564">
        <v>-320.024</v>
      </c>
      <c r="H5564" s="1">
        <v>-4.9934210000000003E-6</v>
      </c>
      <c r="I5564">
        <v>17.940739999999899</v>
      </c>
      <c r="J5564">
        <v>-373.94540000000001</v>
      </c>
      <c r="K5564">
        <v>1.110411</v>
      </c>
      <c r="L5564">
        <v>17.186160000000001</v>
      </c>
      <c r="M5564">
        <v>0.99873319999999999</v>
      </c>
      <c r="N5564">
        <v>-1.037706E-2</v>
      </c>
      <c r="O5564">
        <v>-4.9239289999999998E-2</v>
      </c>
      <c r="P5564">
        <v>0.98862989999999995</v>
      </c>
      <c r="Q5564">
        <v>0.15010799999999999</v>
      </c>
      <c r="R5564">
        <v>8.887186E-3</v>
      </c>
      <c r="S5564">
        <v>3.043488</v>
      </c>
      <c r="T5564">
        <v>-6.248426E-2</v>
      </c>
      <c r="U5564">
        <v>4.2022709999999998E-2</v>
      </c>
      <c r="V5564">
        <v>-5.7831510000000003E-2</v>
      </c>
      <c r="W5564">
        <v>0.16024379999999999</v>
      </c>
      <c r="X5564">
        <v>0.98538190000000003</v>
      </c>
      <c r="Y5564">
        <v>-6.3004099999999993E-2</v>
      </c>
      <c r="Z5564">
        <v>1.4731259999999999E-3</v>
      </c>
      <c r="AA5564">
        <v>0.99801220000000002</v>
      </c>
      <c r="AB5564">
        <v>31</v>
      </c>
      <c r="AC5564">
        <v>53.921399999999998</v>
      </c>
      <c r="AD5564">
        <v>-1.1104159934209901</v>
      </c>
      <c r="AE5564">
        <v>0.75457999999999703</v>
      </c>
      <c r="AF5564">
        <v>-3.4074140221470199</v>
      </c>
      <c r="AG5564">
        <v>-1.1104159934209901</v>
      </c>
      <c r="AH5564">
        <v>53.7960204734012</v>
      </c>
      <c r="AI5564">
        <v>91.180123179761097</v>
      </c>
      <c r="AJ5564">
        <v>93.624245551107506</v>
      </c>
      <c r="AK5564">
        <v>53.915260481345904</v>
      </c>
      <c r="AL5564">
        <v>80.778952699301698</v>
      </c>
      <c r="AM5564">
        <v>93.358804228257</v>
      </c>
      <c r="AN5564">
        <v>1.00000002391746</v>
      </c>
    </row>
    <row r="5565" spans="1:40" x14ac:dyDescent="0.25">
      <c r="A5565" t="str">
        <f>"20190304155745827"</f>
        <v>20190304155745827</v>
      </c>
      <c r="B5565" t="str">
        <f>"1551686265820015"</f>
        <v>1551686265820015</v>
      </c>
      <c r="C5565" t="s">
        <v>40</v>
      </c>
      <c r="D5565">
        <v>4.6404579999999997</v>
      </c>
      <c r="E5565">
        <v>0.49784659999999897</v>
      </c>
      <c r="F5565" t="s">
        <v>44</v>
      </c>
      <c r="G5565">
        <v>-317.40690000000001</v>
      </c>
      <c r="H5565">
        <v>-0.05</v>
      </c>
      <c r="I5565">
        <v>17.943529999999999</v>
      </c>
      <c r="J5565">
        <v>-373.75510000000003</v>
      </c>
      <c r="K5565">
        <v>1.110412</v>
      </c>
      <c r="L5565">
        <v>17.17728</v>
      </c>
      <c r="M5565">
        <v>0.9987587</v>
      </c>
      <c r="N5565">
        <v>-1.037915E-2</v>
      </c>
      <c r="O5565">
        <v>-4.8718589999999999E-2</v>
      </c>
      <c r="P5565">
        <v>0.9886007</v>
      </c>
      <c r="Q5565">
        <v>0.15028039999999901</v>
      </c>
      <c r="R5565">
        <v>9.1903609999999993E-3</v>
      </c>
      <c r="S5565">
        <v>3.0436399999999999</v>
      </c>
      <c r="T5565">
        <v>-6.2468530000000001E-2</v>
      </c>
      <c r="U5565">
        <v>4.0771479999999999E-2</v>
      </c>
      <c r="V5565">
        <v>-5.7618870000000003E-2</v>
      </c>
      <c r="W5565">
        <v>0.16041839999999999</v>
      </c>
      <c r="X5565">
        <v>0.98536590000000002</v>
      </c>
      <c r="Y5565">
        <v>-6.207319E-2</v>
      </c>
      <c r="Z5565">
        <v>1.45293299999999E-3</v>
      </c>
      <c r="AA5565">
        <v>0.99807049999999997</v>
      </c>
      <c r="AB5565">
        <v>31</v>
      </c>
      <c r="AC5565">
        <v>56.348199999999999</v>
      </c>
      <c r="AD5565">
        <v>-1.160412</v>
      </c>
      <c r="AE5565">
        <v>0.76624999999999899</v>
      </c>
      <c r="AF5565">
        <v>-3.5092045488297101</v>
      </c>
      <c r="AG5565">
        <v>-1.160412</v>
      </c>
      <c r="AH5565">
        <v>56.220110864711998</v>
      </c>
      <c r="AI5565">
        <v>91.180150327655397</v>
      </c>
      <c r="AJ5565">
        <v>93.571712922511693</v>
      </c>
      <c r="AK5565">
        <v>56.3414761806591</v>
      </c>
      <c r="AL5565">
        <v>80.768817307119903</v>
      </c>
      <c r="AM5565">
        <v>93.346536615320105</v>
      </c>
      <c r="AN5565">
        <v>0.99999997706072297</v>
      </c>
    </row>
    <row r="5566" spans="1:40" x14ac:dyDescent="0.25">
      <c r="A5566" t="str">
        <f>"20190304155745847"</f>
        <v>20190304155745847</v>
      </c>
      <c r="B5566" t="str">
        <f>"1551686265840509"</f>
        <v>1551686265840509</v>
      </c>
      <c r="C5566" t="s">
        <v>40</v>
      </c>
      <c r="D5566">
        <v>4.666385</v>
      </c>
      <c r="E5566">
        <v>0.49798429999999999</v>
      </c>
      <c r="F5566" t="s">
        <v>41</v>
      </c>
      <c r="G5566">
        <v>-320.07130000000001</v>
      </c>
      <c r="H5566" s="1">
        <v>-4.9778029999999999E-6</v>
      </c>
      <c r="I5566">
        <v>17.902839999999902</v>
      </c>
      <c r="J5566">
        <v>-373.48989999999998</v>
      </c>
      <c r="K5566">
        <v>1.110417</v>
      </c>
      <c r="L5566">
        <v>17.16507</v>
      </c>
      <c r="M5566">
        <v>0.99879379999999995</v>
      </c>
      <c r="N5566">
        <v>-1.038217E-2</v>
      </c>
      <c r="O5566">
        <v>-4.7992140000000003E-2</v>
      </c>
      <c r="P5566">
        <v>0.98854010000000003</v>
      </c>
      <c r="Q5566">
        <v>0.1506499</v>
      </c>
      <c r="R5566">
        <v>9.6585420000000009E-3</v>
      </c>
      <c r="S5566">
        <v>3.043793</v>
      </c>
      <c r="T5566">
        <v>-6.2958959999999994E-2</v>
      </c>
      <c r="U5566">
        <v>4.1137699999999902E-2</v>
      </c>
      <c r="V5566">
        <v>-5.7366800000000003E-2</v>
      </c>
      <c r="W5566">
        <v>0.16079070000000001</v>
      </c>
      <c r="X5566">
        <v>0.98531999999999997</v>
      </c>
      <c r="Y5566">
        <v>-6.1466519999999997E-2</v>
      </c>
      <c r="Z5566">
        <v>1.448754E-3</v>
      </c>
      <c r="AA5566">
        <v>0.99810810000000005</v>
      </c>
      <c r="AB5566">
        <v>31</v>
      </c>
      <c r="AC5566">
        <v>53.418599999999898</v>
      </c>
      <c r="AD5566">
        <v>-1.110421977803</v>
      </c>
      <c r="AE5566">
        <v>0.73776999999999704</v>
      </c>
      <c r="AF5566">
        <v>-3.2993053996848301</v>
      </c>
      <c r="AG5566">
        <v>-1.110421977803</v>
      </c>
      <c r="AH5566">
        <v>53.298604462602803</v>
      </c>
      <c r="AI5566">
        <v>91.191246847545102</v>
      </c>
      <c r="AJ5566">
        <v>93.542219813622694</v>
      </c>
      <c r="AK5566">
        <v>53.412168002714097</v>
      </c>
      <c r="AL5566">
        <v>80.747206228969702</v>
      </c>
      <c r="AM5566">
        <v>93.332084168241195</v>
      </c>
      <c r="AN5566">
        <v>1.00000005067436</v>
      </c>
    </row>
    <row r="5567" spans="1:40" x14ac:dyDescent="0.25">
      <c r="A5567" t="str">
        <f>"20190304155745861"</f>
        <v>20190304155745861</v>
      </c>
      <c r="B5567" t="str">
        <f>"1551686265850270"</f>
        <v>1551686265850270</v>
      </c>
      <c r="C5567" t="s">
        <v>40</v>
      </c>
      <c r="D5567">
        <v>4.6746860000000003</v>
      </c>
      <c r="E5567">
        <v>0.49804609999999999</v>
      </c>
      <c r="F5567" t="s">
        <v>41</v>
      </c>
      <c r="G5567">
        <v>-320.084</v>
      </c>
      <c r="H5567" s="1">
        <v>-4.9744420000000001E-6</v>
      </c>
      <c r="I5567">
        <v>17.887889999999999</v>
      </c>
      <c r="J5567">
        <v>-373.30560000000003</v>
      </c>
      <c r="K5567">
        <v>1.110414</v>
      </c>
      <c r="L5567">
        <v>17.15671</v>
      </c>
      <c r="M5567">
        <v>0.99881799999999998</v>
      </c>
      <c r="N5567">
        <v>-1.038412E-2</v>
      </c>
      <c r="O5567">
        <v>-4.7487300000000003E-2</v>
      </c>
      <c r="P5567">
        <v>0.9885022</v>
      </c>
      <c r="Q5567">
        <v>0.15088560000000001</v>
      </c>
      <c r="R5567">
        <v>9.8519420000000007E-3</v>
      </c>
      <c r="S5567">
        <v>3.044006</v>
      </c>
      <c r="T5567">
        <v>-6.3291310000000003E-2</v>
      </c>
      <c r="U5567">
        <v>4.1198730000000003E-2</v>
      </c>
      <c r="V5567">
        <v>-5.7060569999999998E-2</v>
      </c>
      <c r="W5567">
        <v>0.1610279</v>
      </c>
      <c r="X5567">
        <v>0.98529900000000004</v>
      </c>
      <c r="Y5567">
        <v>-6.0981050000000002E-2</v>
      </c>
      <c r="Z5567">
        <v>1.4443889999999999E-3</v>
      </c>
      <c r="AA5567">
        <v>0.99813790000000002</v>
      </c>
      <c r="AB5567">
        <v>31</v>
      </c>
      <c r="AC5567">
        <v>53.221600000000002</v>
      </c>
      <c r="AD5567">
        <v>-1.1104189744419899</v>
      </c>
      <c r="AE5567">
        <v>0.73117999999999805</v>
      </c>
      <c r="AF5567">
        <v>-3.2564237571649901</v>
      </c>
      <c r="AG5567">
        <v>-1.1104189744419899</v>
      </c>
      <c r="AH5567">
        <v>53.103715345345002</v>
      </c>
      <c r="AI5567">
        <v>91.195656766033196</v>
      </c>
      <c r="AJ5567">
        <v>93.509095225131006</v>
      </c>
      <c r="AK5567">
        <v>53.215053410331798</v>
      </c>
      <c r="AL5567">
        <v>80.733435822004097</v>
      </c>
      <c r="AM5567">
        <v>93.314407393655799</v>
      </c>
      <c r="AN5567">
        <v>1.0000000063140599</v>
      </c>
    </row>
    <row r="5568" spans="1:40" x14ac:dyDescent="0.25">
      <c r="A5568" t="str">
        <f>"20190304155745882"</f>
        <v>20190304155745882</v>
      </c>
      <c r="B5568" t="str">
        <f>"1551686265869789"</f>
        <v>1551686265869789</v>
      </c>
      <c r="C5568" t="s">
        <v>40</v>
      </c>
      <c r="D5568">
        <v>4.6758119999999996</v>
      </c>
      <c r="E5568">
        <v>0.49817420000000001</v>
      </c>
      <c r="F5568" t="s">
        <v>41</v>
      </c>
      <c r="G5568">
        <v>-320.00020000000001</v>
      </c>
      <c r="H5568" s="1">
        <v>-5.0159550000000002E-6</v>
      </c>
      <c r="I5568">
        <v>17.877050000000001</v>
      </c>
      <c r="J5568">
        <v>-373.00810000000001</v>
      </c>
      <c r="K5568">
        <v>1.1104130000000001</v>
      </c>
      <c r="L5568">
        <v>17.1434</v>
      </c>
      <c r="M5568">
        <v>0.99885639999999998</v>
      </c>
      <c r="N5568">
        <v>-1.038728E-2</v>
      </c>
      <c r="O5568">
        <v>-4.667085E-2</v>
      </c>
      <c r="P5568">
        <v>0.98853420000000003</v>
      </c>
      <c r="Q5568">
        <v>0.15063789999999999</v>
      </c>
      <c r="R5568">
        <v>1.042276E-2</v>
      </c>
      <c r="S5568">
        <v>3.0441889999999998</v>
      </c>
      <c r="T5568">
        <v>-6.341434E-2</v>
      </c>
      <c r="U5568">
        <v>4.1137699999999902E-2</v>
      </c>
      <c r="V5568">
        <v>-5.6826059999999998E-2</v>
      </c>
      <c r="W5568">
        <v>0.1607846</v>
      </c>
      <c r="X5568">
        <v>0.98535229999999996</v>
      </c>
      <c r="Y5568">
        <v>-6.014456E-2</v>
      </c>
      <c r="Z5568">
        <v>1.4258230000000001E-3</v>
      </c>
      <c r="AA5568">
        <v>0.99818870000000004</v>
      </c>
      <c r="AB5568">
        <v>31</v>
      </c>
      <c r="AC5568">
        <v>53.007899999999999</v>
      </c>
      <c r="AD5568">
        <v>-1.1104180159549999</v>
      </c>
      <c r="AE5568">
        <v>0.73365000000000002</v>
      </c>
      <c r="AF5568">
        <v>-3.2055010965429802</v>
      </c>
      <c r="AG5568">
        <v>-1.1104180159549999</v>
      </c>
      <c r="AH5568">
        <v>52.892684117039103</v>
      </c>
      <c r="AI5568">
        <v>91.200477110535303</v>
      </c>
      <c r="AJ5568">
        <v>93.468103929846293</v>
      </c>
      <c r="AK5568">
        <v>53.001361289640201</v>
      </c>
      <c r="AL5568">
        <v>80.747560072007801</v>
      </c>
      <c r="AM5568">
        <v>93.3006377261719</v>
      </c>
      <c r="AN5568">
        <v>1.0000000219037799</v>
      </c>
    </row>
    <row r="5569" spans="1:40" x14ac:dyDescent="0.25">
      <c r="A5569" t="str">
        <f>"20190304155745896"</f>
        <v>20190304155745896</v>
      </c>
      <c r="B5569" t="str">
        <f>"1551686265890285"</f>
        <v>1551686265890285</v>
      </c>
      <c r="C5569" t="s">
        <v>40</v>
      </c>
      <c r="D5569">
        <v>4.6915420000000001</v>
      </c>
      <c r="E5569">
        <v>0.49831300000000001</v>
      </c>
      <c r="F5569" t="s">
        <v>41</v>
      </c>
      <c r="G5569">
        <v>-321.56470000000002</v>
      </c>
      <c r="H5569" s="1">
        <v>-4.2809690000000004E-6</v>
      </c>
      <c r="I5569">
        <v>17.85144</v>
      </c>
      <c r="J5569">
        <v>-372.81279999999998</v>
      </c>
      <c r="K5569">
        <v>1.1104130000000001</v>
      </c>
      <c r="L5569">
        <v>17.134799999999998</v>
      </c>
      <c r="M5569">
        <v>0.99888120000000002</v>
      </c>
      <c r="N5569">
        <v>-1.038938E-2</v>
      </c>
      <c r="O5569">
        <v>-4.6133929999999997E-2</v>
      </c>
      <c r="P5569">
        <v>0.98853570000000002</v>
      </c>
      <c r="Q5569">
        <v>0.1505918</v>
      </c>
      <c r="R5569">
        <v>1.0922609999999999E-2</v>
      </c>
      <c r="S5569">
        <v>3.0443419999999999</v>
      </c>
      <c r="T5569">
        <v>-6.5712809999999997E-2</v>
      </c>
      <c r="U5569">
        <v>4.1900630000000001E-2</v>
      </c>
      <c r="V5569">
        <v>-5.6795470000000001E-2</v>
      </c>
      <c r="W5569">
        <v>0.160740299999999</v>
      </c>
      <c r="X5569">
        <v>0.9853613</v>
      </c>
      <c r="Y5569">
        <v>-5.9855999999999902E-2</v>
      </c>
      <c r="Z5569">
        <v>1.473015E-3</v>
      </c>
      <c r="AA5569">
        <v>0.99820600000000004</v>
      </c>
      <c r="AB5569">
        <v>31</v>
      </c>
      <c r="AC5569">
        <v>51.248099999999901</v>
      </c>
      <c r="AD5569">
        <v>-1.1104172809689901</v>
      </c>
      <c r="AE5569">
        <v>0.71664000000000105</v>
      </c>
      <c r="AF5569">
        <v>-3.0788356659193901</v>
      </c>
      <c r="AG5569">
        <v>-1.1104172809689901</v>
      </c>
      <c r="AH5569">
        <v>51.136462329570797</v>
      </c>
      <c r="AI5569">
        <v>91.241722131227604</v>
      </c>
      <c r="AJ5569">
        <v>93.445517873059103</v>
      </c>
      <c r="AK5569">
        <v>51.241097130908699</v>
      </c>
      <c r="AL5569">
        <v>80.750131804318798</v>
      </c>
      <c r="AM5569">
        <v>93.298834822774495</v>
      </c>
      <c r="AN5569">
        <v>1.0000000304971499</v>
      </c>
    </row>
    <row r="5570" spans="1:40" x14ac:dyDescent="0.25">
      <c r="A5570" t="str">
        <f>"20190304155745915"</f>
        <v>20190304155745915</v>
      </c>
      <c r="B5570" t="str">
        <f>"1551686265909805"</f>
        <v>1551686265909805</v>
      </c>
      <c r="C5570" t="s">
        <v>40</v>
      </c>
      <c r="D5570">
        <v>4.7108239999999997</v>
      </c>
      <c r="E5570">
        <v>0.49844290000000002</v>
      </c>
      <c r="F5570" t="s">
        <v>41</v>
      </c>
      <c r="G5570">
        <v>-322.5752</v>
      </c>
      <c r="H5570" s="1">
        <v>-3.806589E-6</v>
      </c>
      <c r="I5570">
        <v>17.832729999999898</v>
      </c>
      <c r="J5570">
        <v>-372.54239999999999</v>
      </c>
      <c r="K5570">
        <v>1.110409</v>
      </c>
      <c r="L5570">
        <v>17.123049999999999</v>
      </c>
      <c r="M5570">
        <v>0.99891549999999996</v>
      </c>
      <c r="N5570">
        <v>-1.039229E-2</v>
      </c>
      <c r="O5570">
        <v>-4.5388039999999998E-2</v>
      </c>
      <c r="P5570">
        <v>0.98854050000000004</v>
      </c>
      <c r="Q5570">
        <v>0.1505078</v>
      </c>
      <c r="R5570">
        <v>1.162989E-2</v>
      </c>
      <c r="S5570">
        <v>3.0445859999999998</v>
      </c>
      <c r="T5570">
        <v>-6.7295430000000003E-2</v>
      </c>
      <c r="U5570">
        <v>4.2297359999999999E-2</v>
      </c>
      <c r="V5570">
        <v>-5.6766160000000003E-2</v>
      </c>
      <c r="W5570">
        <v>0.16065889999999999</v>
      </c>
      <c r="X5570">
        <v>0.98537620000000004</v>
      </c>
      <c r="Y5570">
        <v>-5.9238720000000002E-2</v>
      </c>
      <c r="Z5570">
        <v>1.4936120000000001E-3</v>
      </c>
      <c r="AA5570">
        <v>0.99824270000000004</v>
      </c>
      <c r="AB5570">
        <v>31</v>
      </c>
      <c r="AC5570">
        <v>49.967199999999899</v>
      </c>
      <c r="AD5570">
        <v>-1.110412806589</v>
      </c>
      <c r="AE5570">
        <v>0.70967999999999798</v>
      </c>
      <c r="AF5570">
        <v>-2.9755148385684702</v>
      </c>
      <c r="AG5570">
        <v>-1.110412806589</v>
      </c>
      <c r="AH5570">
        <v>49.858869070683703</v>
      </c>
      <c r="AI5570">
        <v>91.273565042982199</v>
      </c>
      <c r="AJ5570">
        <v>93.415289601667993</v>
      </c>
      <c r="AK5570">
        <v>49.959919236955898</v>
      </c>
      <c r="AL5570">
        <v>80.754856504088906</v>
      </c>
      <c r="AM5570">
        <v>93.297086428963496</v>
      </c>
      <c r="AN5570">
        <v>0.99999996729839702</v>
      </c>
    </row>
    <row r="5571" spans="1:40" x14ac:dyDescent="0.25">
      <c r="A5571" t="str">
        <f>"20190304155745927"</f>
        <v>20190304155745927</v>
      </c>
      <c r="B5571" t="str">
        <f>"1551686265920542"</f>
        <v>1551686265920542</v>
      </c>
      <c r="C5571" t="s">
        <v>40</v>
      </c>
      <c r="D5571">
        <v>4.7980900000000002</v>
      </c>
      <c r="E5571">
        <v>0.49844290000000002</v>
      </c>
      <c r="F5571" t="s">
        <v>41</v>
      </c>
      <c r="G5571">
        <v>-323.42399999999998</v>
      </c>
      <c r="H5571" s="1">
        <v>-3.4063619999999999E-6</v>
      </c>
      <c r="I5571">
        <v>17.827059999999999</v>
      </c>
      <c r="J5571">
        <v>-372.36919999999998</v>
      </c>
      <c r="K5571">
        <v>1.1104130000000001</v>
      </c>
      <c r="L5571">
        <v>17.115629999999999</v>
      </c>
      <c r="M5571">
        <v>0.99893719999999997</v>
      </c>
      <c r="N5571">
        <v>-1.0394179999999999E-2</v>
      </c>
      <c r="O5571">
        <v>-4.490798E-2</v>
      </c>
      <c r="P5571">
        <v>0.98858829999999998</v>
      </c>
      <c r="Q5571">
        <v>0.15013850000000001</v>
      </c>
      <c r="R5571">
        <v>1.2330560000000001E-2</v>
      </c>
      <c r="S5571">
        <v>3.0447690000000001</v>
      </c>
      <c r="T5571">
        <v>-6.883264E-2</v>
      </c>
      <c r="U5571">
        <v>4.3640140000000001E-2</v>
      </c>
      <c r="V5571">
        <v>-5.6994209999999997E-2</v>
      </c>
      <c r="W5571">
        <v>0.16029089999999999</v>
      </c>
      <c r="X5571">
        <v>0.98542300000000005</v>
      </c>
      <c r="Y5571">
        <v>-5.919725E-2</v>
      </c>
      <c r="Z5571">
        <v>1.5248E-3</v>
      </c>
      <c r="AA5571">
        <v>0.9982451</v>
      </c>
      <c r="AB5571">
        <v>31</v>
      </c>
      <c r="AC5571">
        <v>48.9451999999999</v>
      </c>
      <c r="AD5571">
        <v>-1.1104164063619999</v>
      </c>
      <c r="AE5571">
        <v>0.71143000000000001</v>
      </c>
      <c r="AF5571">
        <v>-2.9073645695964898</v>
      </c>
      <c r="AG5571">
        <v>-1.1104164063619999</v>
      </c>
      <c r="AH5571">
        <v>48.838732784007199</v>
      </c>
      <c r="AI5571">
        <v>91.300173749152705</v>
      </c>
      <c r="AJ5571">
        <v>93.406791120008904</v>
      </c>
      <c r="AK5571">
        <v>48.937793302147597</v>
      </c>
      <c r="AL5571">
        <v>80.776218512422304</v>
      </c>
      <c r="AM5571">
        <v>93.310145744302503</v>
      </c>
      <c r="AN5571">
        <v>1.0000000007626599</v>
      </c>
    </row>
    <row r="5572" spans="1:40" x14ac:dyDescent="0.25">
      <c r="A5572" t="str">
        <f>"20190304155745939"</f>
        <v>20190304155745939</v>
      </c>
      <c r="B5572" t="str">
        <f>"1551686265930301"</f>
        <v>1551686265930301</v>
      </c>
      <c r="C5572" t="s">
        <v>40</v>
      </c>
      <c r="D5572">
        <v>4.9138679999999999</v>
      </c>
      <c r="E5572">
        <v>0.4702694</v>
      </c>
      <c r="F5572" t="s">
        <v>41</v>
      </c>
      <c r="G5572">
        <v>-324.0437</v>
      </c>
      <c r="H5572" s="1">
        <v>-3.110742E-6</v>
      </c>
      <c r="I5572">
        <v>17.842199999999998</v>
      </c>
      <c r="J5572">
        <v>-372.20679999999999</v>
      </c>
      <c r="K5572">
        <v>1.110412</v>
      </c>
      <c r="L5572">
        <v>17.10876</v>
      </c>
      <c r="M5572">
        <v>0.9989574</v>
      </c>
      <c r="N5572">
        <v>-1.039604E-2</v>
      </c>
      <c r="O5572">
        <v>-4.4454489999999999E-2</v>
      </c>
      <c r="P5572">
        <v>0.9885737</v>
      </c>
      <c r="Q5572">
        <v>0.15020310000000001</v>
      </c>
      <c r="R5572">
        <v>1.2704780000000001E-2</v>
      </c>
      <c r="S5572">
        <v>3.0446469999999999</v>
      </c>
      <c r="T5572">
        <v>-6.9959519999999997E-2</v>
      </c>
      <c r="U5572">
        <v>4.5776369999999997E-2</v>
      </c>
      <c r="V5572">
        <v>-5.6921220000000002E-2</v>
      </c>
      <c r="W5572">
        <v>0.16035720000000001</v>
      </c>
      <c r="X5572">
        <v>0.98541639999999997</v>
      </c>
      <c r="Y5572">
        <v>-5.9444039999999997E-2</v>
      </c>
      <c r="Z5572">
        <v>1.5508270000000001E-3</v>
      </c>
      <c r="AA5572">
        <v>0.99823050000000002</v>
      </c>
      <c r="AB5572">
        <v>31</v>
      </c>
      <c r="AC5572">
        <v>48.163099999999901</v>
      </c>
      <c r="AD5572">
        <v>-1.1104151107419999</v>
      </c>
      <c r="AE5572">
        <v>0.73343999999999798</v>
      </c>
      <c r="AF5572">
        <v>-2.8723699835806702</v>
      </c>
      <c r="AG5572">
        <v>-1.1104151107419999</v>
      </c>
      <c r="AH5572">
        <v>48.0573360421145</v>
      </c>
      <c r="AI5572">
        <v>91.321286355751894</v>
      </c>
      <c r="AJ5572">
        <v>93.420479237581603</v>
      </c>
      <c r="AK5572">
        <v>48.155903880058801</v>
      </c>
      <c r="AL5572">
        <v>80.772369725405099</v>
      </c>
      <c r="AM5572">
        <v>93.3059380861867</v>
      </c>
      <c r="AN5572">
        <v>0.99999996913354305</v>
      </c>
    </row>
    <row r="5573" spans="1:40" x14ac:dyDescent="0.25">
      <c r="A5573" t="str">
        <f>"20190304155745950"</f>
        <v>20190304155745950</v>
      </c>
      <c r="B5573" t="str">
        <f>"1551686265940062"</f>
        <v>1551686265940062</v>
      </c>
      <c r="C5573" t="s">
        <v>40</v>
      </c>
      <c r="D5573">
        <v>4.6851440000000002</v>
      </c>
      <c r="E5573">
        <v>0.46433590000000002</v>
      </c>
      <c r="F5573" t="s">
        <v>41</v>
      </c>
      <c r="G5573">
        <v>-336.62110000000001</v>
      </c>
      <c r="H5573" s="1">
        <v>-1.608856E-6</v>
      </c>
      <c r="I5573">
        <v>20.281479999999998</v>
      </c>
      <c r="J5573">
        <v>-372.04739999999998</v>
      </c>
      <c r="K5573">
        <v>1.1104149999999999</v>
      </c>
      <c r="L5573">
        <v>17.102079999999901</v>
      </c>
      <c r="M5573">
        <v>0.99897709999999995</v>
      </c>
      <c r="N5573">
        <v>-1.039789E-2</v>
      </c>
      <c r="O5573">
        <v>-4.4008020000000002E-2</v>
      </c>
      <c r="P5573">
        <v>0.98860990000000004</v>
      </c>
      <c r="Q5573">
        <v>0.14992359999999999</v>
      </c>
      <c r="R5573">
        <v>1.317103E-2</v>
      </c>
      <c r="S5573">
        <v>3.0456240000000001</v>
      </c>
      <c r="T5573">
        <v>-9.5035309999999998E-2</v>
      </c>
      <c r="U5573">
        <v>0.27154539999999999</v>
      </c>
      <c r="V5573">
        <v>-5.6948730000000003E-2</v>
      </c>
      <c r="W5573">
        <v>0.160079</v>
      </c>
      <c r="X5573">
        <v>0.98546</v>
      </c>
      <c r="Y5573">
        <v>-0.13246250000000001</v>
      </c>
      <c r="Z5573">
        <v>3.6663519999999999E-3</v>
      </c>
      <c r="AA5573">
        <v>0.99118130000000004</v>
      </c>
      <c r="AB5573">
        <v>31</v>
      </c>
      <c r="AC5573">
        <v>35.426299999999898</v>
      </c>
      <c r="AD5573">
        <v>-1.1104166088559999</v>
      </c>
      <c r="AE5573">
        <v>3.1793999999999998</v>
      </c>
      <c r="AF5573">
        <v>-4.7308341689764202</v>
      </c>
      <c r="AG5573">
        <v>-1.1104166088559999</v>
      </c>
      <c r="AH5573">
        <v>35.217723869475599</v>
      </c>
      <c r="AI5573">
        <v>91.789874327623906</v>
      </c>
      <c r="AJ5573">
        <v>97.650802998089205</v>
      </c>
      <c r="AK5573">
        <v>35.551397884277499</v>
      </c>
      <c r="AL5573">
        <v>80.788517637715799</v>
      </c>
      <c r="AM5573">
        <v>93.307386286897696</v>
      </c>
      <c r="AN5573">
        <v>0.99999992784480396</v>
      </c>
    </row>
    <row r="5574" spans="1:40" x14ac:dyDescent="0.25">
      <c r="A5574" t="str">
        <f>"20190304155745962"</f>
        <v>20190304155745962</v>
      </c>
      <c r="B5574" t="str">
        <f>"1551686265960558"</f>
        <v>1551686265960558</v>
      </c>
      <c r="C5574" t="s">
        <v>40</v>
      </c>
      <c r="D5574">
        <v>4.6072030000000002</v>
      </c>
      <c r="E5574">
        <v>0.4549859</v>
      </c>
      <c r="F5574" t="s">
        <v>41</v>
      </c>
      <c r="G5574">
        <v>-334.00749999999999</v>
      </c>
      <c r="H5574" s="1">
        <v>-2.949242E-6</v>
      </c>
      <c r="I5574">
        <v>21.10521</v>
      </c>
      <c r="J5574">
        <v>-371.86829999999998</v>
      </c>
      <c r="K5574">
        <v>1.11042</v>
      </c>
      <c r="L5574">
        <v>17.0947</v>
      </c>
      <c r="M5574">
        <v>0.99899939999999998</v>
      </c>
      <c r="N5574">
        <v>-1.039989E-2</v>
      </c>
      <c r="O5574">
        <v>-4.349836E-2</v>
      </c>
      <c r="P5574">
        <v>0.98860530000000002</v>
      </c>
      <c r="Q5574">
        <v>0.1499103</v>
      </c>
      <c r="R5574">
        <v>1.365977E-2</v>
      </c>
      <c r="S5574">
        <v>3.0437319999999999</v>
      </c>
      <c r="T5574">
        <v>-8.8849070000000002E-2</v>
      </c>
      <c r="U5574">
        <v>0.3203125</v>
      </c>
      <c r="V5574">
        <v>-5.6935689999999997E-2</v>
      </c>
      <c r="W5574">
        <v>0.160067299999999</v>
      </c>
      <c r="X5574">
        <v>0.98546270000000002</v>
      </c>
      <c r="Y5574">
        <v>-0.14772929999999901</v>
      </c>
      <c r="Z5574">
        <v>3.735801E-3</v>
      </c>
      <c r="AA5574">
        <v>0.98902080000000003</v>
      </c>
      <c r="AB5574">
        <v>31</v>
      </c>
      <c r="AC5574">
        <v>37.860799999999898</v>
      </c>
      <c r="AD5574">
        <v>-1.1104229492419999</v>
      </c>
      <c r="AE5574">
        <v>4.01051</v>
      </c>
      <c r="AF5574">
        <v>-5.6488801331870704</v>
      </c>
      <c r="AG5574">
        <v>-1.1104229492419999</v>
      </c>
      <c r="AH5574">
        <v>37.618500570606798</v>
      </c>
      <c r="AI5574">
        <v>91.672030782137895</v>
      </c>
      <c r="AJ5574">
        <v>98.539859224579203</v>
      </c>
      <c r="AK5574">
        <v>38.056464248088801</v>
      </c>
      <c r="AL5574">
        <v>80.789197176974696</v>
      </c>
      <c r="AM5574">
        <v>93.306621609699604</v>
      </c>
      <c r="AN5574">
        <v>0.99999997320817702</v>
      </c>
    </row>
    <row r="5575" spans="1:40" x14ac:dyDescent="0.25">
      <c r="A5575" t="str">
        <f>"20190304155745981"</f>
        <v>20190304155745981</v>
      </c>
      <c r="B5575" t="str">
        <f>"1551686265970318"</f>
        <v>1551686265970318</v>
      </c>
      <c r="C5575" t="s">
        <v>40</v>
      </c>
      <c r="D5575">
        <v>4.6146690000000001</v>
      </c>
      <c r="E5575">
        <v>0.45225769999999998</v>
      </c>
      <c r="F5575" t="s">
        <v>41</v>
      </c>
      <c r="G5575">
        <v>-326.31380000000001</v>
      </c>
      <c r="H5575" s="1">
        <v>-2.6334309999999999E-6</v>
      </c>
      <c r="I5575">
        <v>23.03811</v>
      </c>
      <c r="J5575">
        <v>-371.61799999999999</v>
      </c>
      <c r="K5575">
        <v>1.1104369999999999</v>
      </c>
      <c r="L5575">
        <v>17.084529999999901</v>
      </c>
      <c r="M5575">
        <v>0.99903039999999999</v>
      </c>
      <c r="N5575">
        <v>-1.0402720000000001E-2</v>
      </c>
      <c r="O5575">
        <v>-4.2776689999999999E-2</v>
      </c>
      <c r="P5575">
        <v>0.98867280000000002</v>
      </c>
      <c r="Q5575">
        <v>0.149393</v>
      </c>
      <c r="R5575">
        <v>1.442099E-2</v>
      </c>
      <c r="S5575">
        <v>3.0403440000000002</v>
      </c>
      <c r="T5575">
        <v>-7.4110389999999998E-2</v>
      </c>
      <c r="U5575">
        <v>0.39666750000000001</v>
      </c>
      <c r="V5575">
        <v>-5.698984E-2</v>
      </c>
      <c r="W5575">
        <v>0.1595519</v>
      </c>
      <c r="X5575">
        <v>0.98554319999999895</v>
      </c>
      <c r="Y5575">
        <v>-0.17159659999999999</v>
      </c>
      <c r="Z5575">
        <v>3.5745320000000001E-3</v>
      </c>
      <c r="AA5575">
        <v>0.98516079999999995</v>
      </c>
      <c r="AB5575">
        <v>31</v>
      </c>
      <c r="AC5575">
        <v>45.304200000000002</v>
      </c>
      <c r="AD5575">
        <v>-1.1104396334310001</v>
      </c>
      <c r="AE5575">
        <v>5.9535799999999997</v>
      </c>
      <c r="AF5575">
        <v>-7.8815439661364897</v>
      </c>
      <c r="AG5575">
        <v>-1.1104396334310001</v>
      </c>
      <c r="AH5575">
        <v>44.981473383713102</v>
      </c>
      <c r="AI5575">
        <v>91.392938513414904</v>
      </c>
      <c r="AJ5575">
        <v>99.938339868187498</v>
      </c>
      <c r="AK5575">
        <v>45.6802447370778</v>
      </c>
      <c r="AL5575">
        <v>80.819112369414995</v>
      </c>
      <c r="AM5575">
        <v>93.309489717271205</v>
      </c>
      <c r="AN5575">
        <v>1.0000000248615299</v>
      </c>
    </row>
    <row r="5576" spans="1:40" x14ac:dyDescent="0.25">
      <c r="A5576" t="str">
        <f>"20190304155745992"</f>
        <v>20190304155745992</v>
      </c>
      <c r="B5576" t="str">
        <f>"1551686265980078"</f>
        <v>1551686265980078</v>
      </c>
      <c r="C5576" t="s">
        <v>40</v>
      </c>
      <c r="D5576">
        <v>4.5872159999999997</v>
      </c>
      <c r="E5576">
        <v>0.45041419999999999</v>
      </c>
      <c r="F5576" t="s">
        <v>41</v>
      </c>
      <c r="G5576">
        <v>-326.36540000000002</v>
      </c>
      <c r="H5576" s="1">
        <v>-2.6922670000000002E-6</v>
      </c>
      <c r="I5576">
        <v>23.350960000000001</v>
      </c>
      <c r="J5576">
        <v>-371.4599</v>
      </c>
      <c r="K5576">
        <v>1.1104459999999901</v>
      </c>
      <c r="L5576">
        <v>17.078189999999999</v>
      </c>
      <c r="M5576">
        <v>0.99905029999999995</v>
      </c>
      <c r="N5576">
        <v>-1.040451E-2</v>
      </c>
      <c r="O5576">
        <v>-4.2315039999999998E-2</v>
      </c>
      <c r="P5576">
        <v>0.98869989999999996</v>
      </c>
      <c r="Q5576">
        <v>0.149171</v>
      </c>
      <c r="R5576">
        <v>1.486488E-2</v>
      </c>
      <c r="S5576">
        <v>3.0394899999999998</v>
      </c>
      <c r="T5576">
        <v>-7.4585079999999998E-2</v>
      </c>
      <c r="U5576">
        <v>0.42089840000000001</v>
      </c>
      <c r="V5576">
        <v>-5.69811E-2</v>
      </c>
      <c r="W5576">
        <v>0.15933059999999999</v>
      </c>
      <c r="X5576">
        <v>0.98557950000000005</v>
      </c>
      <c r="Y5576">
        <v>-0.1788824</v>
      </c>
      <c r="Z5576">
        <v>3.7151240000000002E-3</v>
      </c>
      <c r="AA5576">
        <v>0.98386340000000005</v>
      </c>
      <c r="AB5576">
        <v>31</v>
      </c>
      <c r="AC5576">
        <v>45.094499999999897</v>
      </c>
      <c r="AD5576">
        <v>-1.1104486922669901</v>
      </c>
      <c r="AE5576">
        <v>6.2727700000000004</v>
      </c>
      <c r="AF5576">
        <v>-8.1705690647013594</v>
      </c>
      <c r="AG5576">
        <v>-1.1104486922669901</v>
      </c>
      <c r="AH5576">
        <v>44.762030574592799</v>
      </c>
      <c r="AI5576">
        <v>91.398002848478001</v>
      </c>
      <c r="AJ5576">
        <v>100.344513378144</v>
      </c>
      <c r="AK5576">
        <v>45.515169738231201</v>
      </c>
      <c r="AL5576">
        <v>80.831956170937801</v>
      </c>
      <c r="AM5576">
        <v>93.308861696843096</v>
      </c>
      <c r="AN5576">
        <v>1.00000001833691</v>
      </c>
    </row>
    <row r="5577" spans="1:40" x14ac:dyDescent="0.25">
      <c r="A5577" t="str">
        <f>"20190304155746004"</f>
        <v>20190304155746004</v>
      </c>
      <c r="B5577" t="str">
        <f>"1551686266000574"</f>
        <v>1551686266000574</v>
      </c>
      <c r="C5577" t="s">
        <v>40</v>
      </c>
      <c r="D5577">
        <v>4.56229</v>
      </c>
      <c r="E5577">
        <v>0.44715129999999997</v>
      </c>
      <c r="F5577" t="s">
        <v>41</v>
      </c>
      <c r="G5577">
        <v>-325.40249999999997</v>
      </c>
      <c r="H5577" s="1">
        <v>-3.2406209999999999E-6</v>
      </c>
      <c r="I5577">
        <v>23.701229999999999</v>
      </c>
      <c r="J5577">
        <v>-371.29140000000001</v>
      </c>
      <c r="K5577">
        <v>1.1104560000000001</v>
      </c>
      <c r="L5577">
        <v>17.071529999999999</v>
      </c>
      <c r="M5577">
        <v>0.9990713</v>
      </c>
      <c r="N5577">
        <v>-1.0406439999999999E-2</v>
      </c>
      <c r="O5577">
        <v>-4.1812830000000002E-2</v>
      </c>
      <c r="P5577">
        <v>0.98870469999999999</v>
      </c>
      <c r="Q5577">
        <v>0.1490822</v>
      </c>
      <c r="R5577">
        <v>1.5426189999999999E-2</v>
      </c>
      <c r="S5577">
        <v>3.038818</v>
      </c>
      <c r="T5577">
        <v>-7.3266269999999994E-2</v>
      </c>
      <c r="U5577">
        <v>0.43698120000000001</v>
      </c>
      <c r="V5577">
        <v>-5.7049599999999999E-2</v>
      </c>
      <c r="W5577">
        <v>0.1592421</v>
      </c>
      <c r="X5577">
        <v>0.98558979999999996</v>
      </c>
      <c r="Y5577">
        <v>-0.1835213</v>
      </c>
      <c r="Z5577">
        <v>3.7314370000000002E-3</v>
      </c>
      <c r="AA5577">
        <v>0.98300860000000001</v>
      </c>
      <c r="AB5577">
        <v>32</v>
      </c>
      <c r="AC5577">
        <v>45.8889</v>
      </c>
      <c r="AD5577">
        <v>-1.1104592406210001</v>
      </c>
      <c r="AE5577">
        <v>6.6296999999999997</v>
      </c>
      <c r="AF5577">
        <v>-8.5378526356234499</v>
      </c>
      <c r="AG5577">
        <v>-1.1104592406210001</v>
      </c>
      <c r="AH5577">
        <v>45.545417097645696</v>
      </c>
      <c r="AI5577">
        <v>91.372770087008504</v>
      </c>
      <c r="AJ5577">
        <v>100.61733036560901</v>
      </c>
      <c r="AK5577">
        <v>46.352055682043002</v>
      </c>
      <c r="AL5577">
        <v>80.837092057309306</v>
      </c>
      <c r="AM5577">
        <v>93.312796056683894</v>
      </c>
      <c r="AN5577">
        <v>0.99999997856830403</v>
      </c>
    </row>
    <row r="5578" spans="1:40" x14ac:dyDescent="0.25">
      <c r="A5578" t="str">
        <f>"20190304155746017"</f>
        <v>20190304155746017</v>
      </c>
      <c r="B5578" t="str">
        <f>"1551686266010333"</f>
        <v>1551686266010333</v>
      </c>
      <c r="C5578" t="s">
        <v>40</v>
      </c>
      <c r="D5578">
        <v>4.5748170000000004</v>
      </c>
      <c r="E5578">
        <v>0.44647389999999998</v>
      </c>
      <c r="F5578" t="s">
        <v>41</v>
      </c>
      <c r="G5578">
        <v>-323.524</v>
      </c>
      <c r="H5578" s="1">
        <v>-4.2034939999999999E-6</v>
      </c>
      <c r="I5578">
        <v>24.382680000000001</v>
      </c>
      <c r="J5578">
        <v>-371.12009999999998</v>
      </c>
      <c r="K5578">
        <v>1.110468</v>
      </c>
      <c r="L5578">
        <v>17.064879999999999</v>
      </c>
      <c r="M5578">
        <v>0.99909289999999995</v>
      </c>
      <c r="N5578">
        <v>-1.0408509999999999E-2</v>
      </c>
      <c r="O5578">
        <v>-4.1294289999999997E-2</v>
      </c>
      <c r="P5578">
        <v>0.98871869999999995</v>
      </c>
      <c r="Q5578">
        <v>0.14893319999999999</v>
      </c>
      <c r="R5578">
        <v>1.5947070000000001E-2</v>
      </c>
      <c r="S5578">
        <v>3.0376590000000001</v>
      </c>
      <c r="T5578">
        <v>-7.0617079999999999E-2</v>
      </c>
      <c r="U5578">
        <v>0.4649353</v>
      </c>
      <c r="V5578">
        <v>-5.7063200000000001E-2</v>
      </c>
      <c r="W5578">
        <v>0.15909379999999901</v>
      </c>
      <c r="X5578">
        <v>0.98561299999999996</v>
      </c>
      <c r="Y5578">
        <v>-0.1919101</v>
      </c>
      <c r="Z5578">
        <v>3.750013E-3</v>
      </c>
      <c r="AA5578">
        <v>0.98140530000000004</v>
      </c>
      <c r="AB5578">
        <v>32</v>
      </c>
      <c r="AC5578">
        <v>47.5960999999999</v>
      </c>
      <c r="AD5578">
        <v>-1.110472203494</v>
      </c>
      <c r="AE5578">
        <v>7.3178000000000001</v>
      </c>
      <c r="AF5578">
        <v>-9.2721802012763401</v>
      </c>
      <c r="AG5578">
        <v>-1.110472203494</v>
      </c>
      <c r="AH5578">
        <v>47.228183060604401</v>
      </c>
      <c r="AI5578">
        <v>91.321720137920593</v>
      </c>
      <c r="AJ5578">
        <v>101.10745185908399</v>
      </c>
      <c r="AK5578">
        <v>48.142577303314802</v>
      </c>
      <c r="AL5578">
        <v>80.845699088283695</v>
      </c>
      <c r="AM5578">
        <v>93.313506207951704</v>
      </c>
      <c r="AN5578">
        <v>1.00000001588084</v>
      </c>
    </row>
    <row r="5579" spans="1:40" x14ac:dyDescent="0.25">
      <c r="A5579" t="str">
        <f>"20190304155746027"</f>
        <v>20190304155746027</v>
      </c>
      <c r="B5579" t="str">
        <f>"1551686266020093"</f>
        <v>1551686266020093</v>
      </c>
      <c r="C5579" t="s">
        <v>40</v>
      </c>
      <c r="D5579">
        <v>4.56874</v>
      </c>
      <c r="E5579">
        <v>0.44537009999999999</v>
      </c>
      <c r="F5579" t="s">
        <v>41</v>
      </c>
      <c r="G5579">
        <v>-323.2527</v>
      </c>
      <c r="H5579" s="1">
        <v>-4.3288510000000003E-6</v>
      </c>
      <c r="I5579">
        <v>24.501950000000001</v>
      </c>
      <c r="J5579">
        <v>-370.95069999999998</v>
      </c>
      <c r="K5579">
        <v>1.1104780000000001</v>
      </c>
      <c r="L5579">
        <v>17.058319999999998</v>
      </c>
      <c r="M5579">
        <v>0.99911419999999995</v>
      </c>
      <c r="N5579">
        <v>-1.0410620000000001E-2</v>
      </c>
      <c r="O5579">
        <v>-4.0774900000000003E-2</v>
      </c>
      <c r="P5579">
        <v>0.98869260000000003</v>
      </c>
      <c r="Q5579">
        <v>0.1490551</v>
      </c>
      <c r="R5579">
        <v>1.642451E-2</v>
      </c>
      <c r="S5579">
        <v>3.0372620000000001</v>
      </c>
      <c r="T5579">
        <v>-7.046115E-2</v>
      </c>
      <c r="U5579">
        <v>0.47189330000000002</v>
      </c>
      <c r="V5579">
        <v>-5.7031039999999998E-2</v>
      </c>
      <c r="W5579">
        <v>0.15921569999999999</v>
      </c>
      <c r="X5579">
        <v>0.9855952</v>
      </c>
      <c r="Y5579">
        <v>-0.1936146</v>
      </c>
      <c r="Z5579">
        <v>3.7652110000000001E-3</v>
      </c>
      <c r="AA5579">
        <v>0.98107049999999996</v>
      </c>
      <c r="AB5579">
        <v>32</v>
      </c>
      <c r="AC5579">
        <v>47.697999999999901</v>
      </c>
      <c r="AD5579">
        <v>-1.110482328851</v>
      </c>
      <c r="AE5579">
        <v>7.44362999999999</v>
      </c>
      <c r="AF5579">
        <v>-9.3774633055047207</v>
      </c>
      <c r="AG5579">
        <v>-1.110482328851</v>
      </c>
      <c r="AH5579">
        <v>47.329754148062598</v>
      </c>
      <c r="AI5579">
        <v>91.318445470376801</v>
      </c>
      <c r="AJ5579">
        <v>101.206895571773</v>
      </c>
      <c r="AK5579">
        <v>48.262569520953001</v>
      </c>
      <c r="AL5579">
        <v>80.838624767027397</v>
      </c>
      <c r="AM5579">
        <v>93.311702596578101</v>
      </c>
      <c r="AN5579">
        <v>1.0000000384565</v>
      </c>
    </row>
    <row r="5580" spans="1:40" x14ac:dyDescent="0.25">
      <c r="A5580" t="str">
        <f>"20190304155746040"</f>
        <v>20190304155746040</v>
      </c>
      <c r="B5580" t="str">
        <f>"1551686266029855"</f>
        <v>1551686266029855</v>
      </c>
      <c r="C5580" t="s">
        <v>40</v>
      </c>
      <c r="D5580">
        <v>4.558554</v>
      </c>
      <c r="E5580">
        <v>0.44486969999999998</v>
      </c>
      <c r="F5580" t="s">
        <v>41</v>
      </c>
      <c r="G5580">
        <v>-322.02609999999999</v>
      </c>
      <c r="H5580" s="1">
        <v>-4.8573979999999998E-6</v>
      </c>
      <c r="I5580">
        <v>24.826360000000001</v>
      </c>
      <c r="J5580">
        <v>-370.7885</v>
      </c>
      <c r="K5580">
        <v>1.110495</v>
      </c>
      <c r="L5580">
        <v>17.052219999999998</v>
      </c>
      <c r="M5580">
        <v>0.99913479999999999</v>
      </c>
      <c r="N5580">
        <v>-1.0412640000000001E-2</v>
      </c>
      <c r="O5580">
        <v>-4.026457E-2</v>
      </c>
      <c r="P5580">
        <v>0.9886798</v>
      </c>
      <c r="Q5580">
        <v>0.14908969999999999</v>
      </c>
      <c r="R5580">
        <v>1.686677E-2</v>
      </c>
      <c r="S5580">
        <v>3.0366520000000001</v>
      </c>
      <c r="T5580">
        <v>-6.8925500000000001E-2</v>
      </c>
      <c r="U5580">
        <v>0.4821472</v>
      </c>
      <c r="V5580">
        <v>-5.6973389999999999E-2</v>
      </c>
      <c r="W5580">
        <v>0.15925059999999999</v>
      </c>
      <c r="X5580">
        <v>0.98559280000000005</v>
      </c>
      <c r="Y5580">
        <v>-0.19637760000000001</v>
      </c>
      <c r="Z5580">
        <v>3.7357789999999998E-3</v>
      </c>
      <c r="AA5580">
        <v>0.98052130000000004</v>
      </c>
      <c r="AB5580">
        <v>32</v>
      </c>
      <c r="AC5580">
        <v>48.7624</v>
      </c>
      <c r="AD5580">
        <v>-1.1104998573980001</v>
      </c>
      <c r="AE5580">
        <v>7.7741399999999903</v>
      </c>
      <c r="AF5580">
        <v>-9.7264189335506099</v>
      </c>
      <c r="AG5580">
        <v>-1.1104998573980001</v>
      </c>
      <c r="AH5580">
        <v>48.385340045502602</v>
      </c>
      <c r="AI5580">
        <v>91.288997304307102</v>
      </c>
      <c r="AJ5580">
        <v>101.366112957482</v>
      </c>
      <c r="AK5580">
        <v>49.365752972309998</v>
      </c>
      <c r="AL5580">
        <v>80.836598429332994</v>
      </c>
      <c r="AM5580">
        <v>93.308370429939799</v>
      </c>
      <c r="AN5580">
        <v>0.99999994409014403</v>
      </c>
    </row>
    <row r="5581" spans="1:40" x14ac:dyDescent="0.25">
      <c r="A5581" t="str">
        <f>"20190304155746060"</f>
        <v>20190304155746060</v>
      </c>
      <c r="B5581" t="str">
        <f>"1551686266050350"</f>
        <v>1551686266050350</v>
      </c>
      <c r="C5581" t="s">
        <v>40</v>
      </c>
      <c r="D5581">
        <v>4.6549060000000004</v>
      </c>
      <c r="E5581">
        <v>0.44464759999999998</v>
      </c>
      <c r="F5581" t="s">
        <v>41</v>
      </c>
      <c r="G5581">
        <v>-321.64690000000002</v>
      </c>
      <c r="H5581" s="1">
        <v>-5.024157E-6</v>
      </c>
      <c r="I5581">
        <v>24.945329999999998</v>
      </c>
      <c r="J5581">
        <v>-370.50920000000002</v>
      </c>
      <c r="K5581">
        <v>1.11052</v>
      </c>
      <c r="L5581">
        <v>17.041840000000001</v>
      </c>
      <c r="M5581">
        <v>0.99917049999999996</v>
      </c>
      <c r="N5581">
        <v>-1.041595E-2</v>
      </c>
      <c r="O5581">
        <v>-3.9369109999999999E-2</v>
      </c>
      <c r="P5581">
        <v>0.98856500000000003</v>
      </c>
      <c r="Q5581">
        <v>0.14975069999999999</v>
      </c>
      <c r="R5581">
        <v>1.7730050000000001E-2</v>
      </c>
      <c r="S5581">
        <v>3.0363769999999999</v>
      </c>
      <c r="T5581">
        <v>-6.8615789999999996E-2</v>
      </c>
      <c r="U5581">
        <v>0.48770140000000001</v>
      </c>
      <c r="V5581">
        <v>-5.6957349999999997E-2</v>
      </c>
      <c r="W5581">
        <v>0.15991050000000001</v>
      </c>
      <c r="X5581">
        <v>0.98548690000000005</v>
      </c>
      <c r="Y5581">
        <v>-0.19726179999999999</v>
      </c>
      <c r="Z5581">
        <v>3.7256889999999999E-3</v>
      </c>
      <c r="AA5581">
        <v>0.98034379999999999</v>
      </c>
      <c r="AB5581">
        <v>32</v>
      </c>
      <c r="AC5581">
        <v>48.862299999999998</v>
      </c>
      <c r="AD5581">
        <v>-1.1105250241569999</v>
      </c>
      <c r="AE5581">
        <v>7.9034899999999899</v>
      </c>
      <c r="AF5581">
        <v>-9.8161903309696203</v>
      </c>
      <c r="AG5581">
        <v>-1.1105250241569999</v>
      </c>
      <c r="AH5581">
        <v>48.488836368154303</v>
      </c>
      <c r="AI5581">
        <v>91.2859216212197</v>
      </c>
      <c r="AJ5581">
        <v>101.44441909320599</v>
      </c>
      <c r="AK5581">
        <v>49.484928117364603</v>
      </c>
      <c r="AL5581">
        <v>80.798298349897905</v>
      </c>
      <c r="AM5581">
        <v>93.307795703177803</v>
      </c>
      <c r="AN5581">
        <v>0.99999996890043996</v>
      </c>
    </row>
    <row r="5582" spans="1:40" x14ac:dyDescent="0.25">
      <c r="A5582" t="str">
        <f>"20190304155746073"</f>
        <v>20190304155746073</v>
      </c>
      <c r="B5582" t="str">
        <f>"1551686266069870"</f>
        <v>1551686266069870</v>
      </c>
      <c r="C5582" t="s">
        <v>40</v>
      </c>
      <c r="D5582">
        <v>4.5950810000000004</v>
      </c>
      <c r="E5582">
        <v>0.44315270000000001</v>
      </c>
      <c r="F5582" t="s">
        <v>41</v>
      </c>
      <c r="G5582">
        <v>-324.892</v>
      </c>
      <c r="H5582" s="1">
        <v>-3.67718E-6</v>
      </c>
      <c r="I5582">
        <v>24.434989999999999</v>
      </c>
      <c r="J5582">
        <v>-370.31790000000001</v>
      </c>
      <c r="K5582">
        <v>1.1105320000000001</v>
      </c>
      <c r="L5582">
        <v>17.03491</v>
      </c>
      <c r="M5582">
        <v>0.9991949</v>
      </c>
      <c r="N5582">
        <v>-1.041809E-2</v>
      </c>
      <c r="O5582">
        <v>-3.87418E-2</v>
      </c>
      <c r="P5582">
        <v>0.98853729999999995</v>
      </c>
      <c r="Q5582">
        <v>0.14985709999999999</v>
      </c>
      <c r="R5582">
        <v>1.8354079999999998E-2</v>
      </c>
      <c r="S5582">
        <v>3.0370789999999999</v>
      </c>
      <c r="T5582">
        <v>-7.3935870000000001E-2</v>
      </c>
      <c r="U5582">
        <v>0.49221799999999999</v>
      </c>
      <c r="V5582">
        <v>-5.6966240000000001E-2</v>
      </c>
      <c r="W5582">
        <v>0.1600164</v>
      </c>
      <c r="X5582">
        <v>0.98546920000000005</v>
      </c>
      <c r="Y5582">
        <v>-0.1980209</v>
      </c>
      <c r="Z5582">
        <v>3.9695240000000003E-3</v>
      </c>
      <c r="AA5582">
        <v>0.98018970000000005</v>
      </c>
      <c r="AB5582">
        <v>32</v>
      </c>
      <c r="AC5582">
        <v>45.425899999999999</v>
      </c>
      <c r="AD5582">
        <v>-1.1105356771799999</v>
      </c>
      <c r="AE5582">
        <v>7.4000799999999902</v>
      </c>
      <c r="AF5582">
        <v>-9.1491737631701806</v>
      </c>
      <c r="AG5582">
        <v>-1.1105356771799999</v>
      </c>
      <c r="AH5582">
        <v>45.078839467460099</v>
      </c>
      <c r="AI5582">
        <v>91.383032995571995</v>
      </c>
      <c r="AJ5582">
        <v>101.472878300453</v>
      </c>
      <c r="AK5582">
        <v>46.0113294501692</v>
      </c>
      <c r="AL5582">
        <v>80.792151607287806</v>
      </c>
      <c r="AM5582">
        <v>93.308370131412204</v>
      </c>
      <c r="AN5582">
        <v>0.99999997245866801</v>
      </c>
    </row>
    <row r="5583" spans="1:40" x14ac:dyDescent="0.25">
      <c r="A5583" t="str">
        <f>"20190304155746095"</f>
        <v>20190304155746095</v>
      </c>
      <c r="B5583" t="str">
        <f>"1551686266090366"</f>
        <v>1551686266090366</v>
      </c>
      <c r="C5583" t="s">
        <v>40</v>
      </c>
      <c r="D5583">
        <v>4.5980980000000002</v>
      </c>
      <c r="E5583">
        <v>0.44219560000000002</v>
      </c>
      <c r="F5583" t="s">
        <v>41</v>
      </c>
      <c r="G5583">
        <v>-326.2749</v>
      </c>
      <c r="H5583" s="1">
        <v>-3.0072390000000002E-6</v>
      </c>
      <c r="I5583">
        <v>24.373989999999999</v>
      </c>
      <c r="J5583">
        <v>-370.0231</v>
      </c>
      <c r="K5583">
        <v>1.1105560000000001</v>
      </c>
      <c r="L5583">
        <v>17.024480000000001</v>
      </c>
      <c r="M5583">
        <v>0.99923269999999997</v>
      </c>
      <c r="N5583">
        <v>-1.0421349999999999E-2</v>
      </c>
      <c r="O5583">
        <v>-3.7752760000000003E-2</v>
      </c>
      <c r="P5583">
        <v>0.98849529999999997</v>
      </c>
      <c r="Q5583">
        <v>0.1499886</v>
      </c>
      <c r="R5583">
        <v>1.950464E-2</v>
      </c>
      <c r="S5583">
        <v>3.0370180000000002</v>
      </c>
      <c r="T5583">
        <v>-7.6577900000000004E-2</v>
      </c>
      <c r="U5583">
        <v>0.506073</v>
      </c>
      <c r="V5583">
        <v>-5.7147330000000003E-2</v>
      </c>
      <c r="W5583">
        <v>0.16014729999999999</v>
      </c>
      <c r="X5583">
        <v>0.98543749999999997</v>
      </c>
      <c r="Y5583">
        <v>-0.20139989999999999</v>
      </c>
      <c r="Z5583">
        <v>4.1335870000000002E-3</v>
      </c>
      <c r="AA5583">
        <v>0.97950040000000005</v>
      </c>
      <c r="AB5583">
        <v>32</v>
      </c>
      <c r="AC5583">
        <v>43.748199999999997</v>
      </c>
      <c r="AD5583">
        <v>-1.1105590072389999</v>
      </c>
      <c r="AE5583">
        <v>7.3495099999999898</v>
      </c>
      <c r="AF5583">
        <v>-8.9903406870212201</v>
      </c>
      <c r="AG5583">
        <v>-1.1105590072389999</v>
      </c>
      <c r="AH5583">
        <v>43.412322088882597</v>
      </c>
      <c r="AI5583">
        <v>91.434966620928094</v>
      </c>
      <c r="AJ5583">
        <v>101.700102478727</v>
      </c>
      <c r="AK5583">
        <v>44.347370566090497</v>
      </c>
      <c r="AL5583">
        <v>80.784554052309204</v>
      </c>
      <c r="AM5583">
        <v>93.318970162106893</v>
      </c>
      <c r="AN5583">
        <v>1.0000000207148301</v>
      </c>
    </row>
    <row r="5584" spans="1:40" x14ac:dyDescent="0.25">
      <c r="A5584" t="str">
        <f>"20190304155746115"</f>
        <v>20190304155746115</v>
      </c>
      <c r="B5584" t="str">
        <f>"1551686266109886"</f>
        <v>1551686266109886</v>
      </c>
      <c r="C5584" t="s">
        <v>40</v>
      </c>
      <c r="D5584">
        <v>4.6049530000000001</v>
      </c>
      <c r="E5584">
        <v>0.4413378</v>
      </c>
      <c r="F5584" t="s">
        <v>41</v>
      </c>
      <c r="G5584">
        <v>-326.20150000000001</v>
      </c>
      <c r="H5584" s="1">
        <v>-3.071487E-6</v>
      </c>
      <c r="I5584">
        <v>24.484960000000001</v>
      </c>
      <c r="J5584">
        <v>-369.71589999999998</v>
      </c>
      <c r="K5584">
        <v>1.110584</v>
      </c>
      <c r="L5584">
        <v>17.013950000000001</v>
      </c>
      <c r="M5584">
        <v>0.9992721</v>
      </c>
      <c r="N5584">
        <v>-1.042475E-2</v>
      </c>
      <c r="O5584">
        <v>-3.6699130000000003E-2</v>
      </c>
      <c r="P5584">
        <v>0.988456</v>
      </c>
      <c r="Q5584">
        <v>0.15010870000000001</v>
      </c>
      <c r="R5584">
        <v>2.0551349999999999E-2</v>
      </c>
      <c r="S5584">
        <v>3.0364070000000001</v>
      </c>
      <c r="T5584">
        <v>-7.6950790000000005E-2</v>
      </c>
      <c r="U5584">
        <v>0.51693729999999904</v>
      </c>
      <c r="V5584">
        <v>-5.7159830000000002E-2</v>
      </c>
      <c r="W5584">
        <v>0.16026779999999999</v>
      </c>
      <c r="X5584">
        <v>0.98541719999999999</v>
      </c>
      <c r="Y5584">
        <v>-0.2038046</v>
      </c>
      <c r="Z5584">
        <v>4.1780300000000001E-3</v>
      </c>
      <c r="AA5584">
        <v>0.9790027</v>
      </c>
      <c r="AB5584">
        <v>32</v>
      </c>
      <c r="AC5584">
        <v>43.514399999999902</v>
      </c>
      <c r="AD5584">
        <v>-1.1105870714870001</v>
      </c>
      <c r="AE5584">
        <v>7.4710099999999997</v>
      </c>
      <c r="AF5584">
        <v>-9.0572730422597196</v>
      </c>
      <c r="AG5584">
        <v>-1.1105870714870001</v>
      </c>
      <c r="AH5584">
        <v>43.183565563917</v>
      </c>
      <c r="AI5584">
        <v>91.441839125377996</v>
      </c>
      <c r="AJ5584">
        <v>101.845449676329</v>
      </c>
      <c r="AK5584">
        <v>44.137149131072299</v>
      </c>
      <c r="AL5584">
        <v>80.777559707598002</v>
      </c>
      <c r="AM5584">
        <v>93.319762740678698</v>
      </c>
      <c r="AN5584">
        <v>1.0000000359691501</v>
      </c>
    </row>
    <row r="5585" spans="1:40" x14ac:dyDescent="0.25">
      <c r="A5585" t="str">
        <f>"20190304155746128"</f>
        <v>20190304155746128</v>
      </c>
      <c r="B5585" t="str">
        <f>"1551686266120623"</f>
        <v>1551686266120623</v>
      </c>
      <c r="C5585" t="s">
        <v>40</v>
      </c>
      <c r="D5585">
        <v>4.5982500000000002</v>
      </c>
      <c r="E5585">
        <v>0.44094499999999998</v>
      </c>
      <c r="F5585" t="s">
        <v>41</v>
      </c>
      <c r="G5585">
        <v>-326.81939999999997</v>
      </c>
      <c r="H5585" s="1">
        <v>-2.7723390000000001E-6</v>
      </c>
      <c r="I5585">
        <v>24.45852</v>
      </c>
      <c r="J5585">
        <v>-369.53989999999999</v>
      </c>
      <c r="K5585">
        <v>1.110595</v>
      </c>
      <c r="L5585">
        <v>17.008029999999899</v>
      </c>
      <c r="M5585">
        <v>0.99929420000000002</v>
      </c>
      <c r="N5585">
        <v>-1.0426660000000001E-2</v>
      </c>
      <c r="O5585">
        <v>-3.6088469999999997E-2</v>
      </c>
      <c r="P5585">
        <v>0.98839529999999998</v>
      </c>
      <c r="Q5585">
        <v>0.1504259</v>
      </c>
      <c r="R5585">
        <v>2.113613E-2</v>
      </c>
      <c r="S5585">
        <v>3.0359799999999999</v>
      </c>
      <c r="T5585">
        <v>-7.8601359999999995E-2</v>
      </c>
      <c r="U5585">
        <v>0.52688599999999997</v>
      </c>
      <c r="V5585">
        <v>-5.714321E-2</v>
      </c>
      <c r="W5585">
        <v>0.16058499999999901</v>
      </c>
      <c r="X5585">
        <v>0.98536650000000003</v>
      </c>
      <c r="Y5585">
        <v>-0.20633969999999999</v>
      </c>
      <c r="Z5585">
        <v>4.2893710000000002E-3</v>
      </c>
      <c r="AA5585">
        <v>0.97847099999999998</v>
      </c>
      <c r="AB5585">
        <v>32</v>
      </c>
      <c r="AC5585">
        <v>42.720500000000001</v>
      </c>
      <c r="AD5585">
        <v>-1.1105977723389999</v>
      </c>
      <c r="AE5585">
        <v>7.4504900000000003</v>
      </c>
      <c r="AF5585">
        <v>-8.9815466433927202</v>
      </c>
      <c r="AG5585">
        <v>-1.1105977723389999</v>
      </c>
      <c r="AH5585">
        <v>42.395970461851903</v>
      </c>
      <c r="AI5585">
        <v>91.4680018035816</v>
      </c>
      <c r="AJ5585">
        <v>101.961210061031</v>
      </c>
      <c r="AK5585">
        <v>43.351123617751597</v>
      </c>
      <c r="AL5585">
        <v>80.759146797167503</v>
      </c>
      <c r="AM5585">
        <v>93.318970012612397</v>
      </c>
      <c r="AN5585">
        <v>1.00000001399817</v>
      </c>
    </row>
    <row r="5586" spans="1:40" x14ac:dyDescent="0.25">
      <c r="A5586" t="str">
        <f>"20190304155746140"</f>
        <v>20190304155746140</v>
      </c>
      <c r="B5586" t="str">
        <f>"1551686266130382"</f>
        <v>1551686266130382</v>
      </c>
      <c r="C5586" t="s">
        <v>40</v>
      </c>
      <c r="D5586">
        <v>4.636469</v>
      </c>
      <c r="E5586">
        <v>0.4405984</v>
      </c>
      <c r="F5586" t="s">
        <v>41</v>
      </c>
      <c r="G5586">
        <v>-326.50150000000002</v>
      </c>
      <c r="H5586" s="1">
        <v>-2.9456109999999999E-6</v>
      </c>
      <c r="I5586">
        <v>24.544820000000001</v>
      </c>
      <c r="J5586">
        <v>-369.3777</v>
      </c>
      <c r="K5586">
        <v>1.1106039999999999</v>
      </c>
      <c r="L5586">
        <v>17.002749999999999</v>
      </c>
      <c r="M5586">
        <v>0.9993147</v>
      </c>
      <c r="N5586">
        <v>-1.0428410000000001E-2</v>
      </c>
      <c r="O5586">
        <v>-3.5520500000000003E-2</v>
      </c>
      <c r="P5586">
        <v>0.98839069999999996</v>
      </c>
      <c r="Q5586">
        <v>0.150400799999999</v>
      </c>
      <c r="R5586">
        <v>2.1530609999999999E-2</v>
      </c>
      <c r="S5586">
        <v>3.0357669999999999</v>
      </c>
      <c r="T5586">
        <v>-7.8337309999999993E-2</v>
      </c>
      <c r="U5586">
        <v>0.53161619999999998</v>
      </c>
      <c r="V5586">
        <v>-5.697994E-2</v>
      </c>
      <c r="W5586">
        <v>0.16056049999999999</v>
      </c>
      <c r="X5586">
        <v>0.98537989999999998</v>
      </c>
      <c r="Y5586">
        <v>-0.20727499999999999</v>
      </c>
      <c r="Z5586">
        <v>4.2856480000000004E-3</v>
      </c>
      <c r="AA5586">
        <v>0.97827330000000001</v>
      </c>
      <c r="AB5586">
        <v>32</v>
      </c>
      <c r="AC5586">
        <v>42.876199999999898</v>
      </c>
      <c r="AD5586">
        <v>-1.1106069456109999</v>
      </c>
      <c r="AE5586">
        <v>7.5420699999999998</v>
      </c>
      <c r="AF5586">
        <v>-9.0544839328461695</v>
      </c>
      <c r="AG5586">
        <v>-1.1106069456109999</v>
      </c>
      <c r="AH5586">
        <v>42.5535330799975</v>
      </c>
      <c r="AI5586">
        <v>91.462304617552405</v>
      </c>
      <c r="AJ5586">
        <v>102.012174906353</v>
      </c>
      <c r="AK5586">
        <v>43.520343572497701</v>
      </c>
      <c r="AL5586">
        <v>80.760568565052793</v>
      </c>
      <c r="AM5586">
        <v>93.309463230600699</v>
      </c>
      <c r="AN5586">
        <v>0.99999996752333098</v>
      </c>
    </row>
    <row r="5587" spans="1:40" x14ac:dyDescent="0.25">
      <c r="A5587" t="str">
        <f>"20190304155746151"</f>
        <v>20190304155746151</v>
      </c>
      <c r="B5587" t="str">
        <f>"1551686266140142"</f>
        <v>1551686266140142</v>
      </c>
      <c r="C5587" t="s">
        <v>40</v>
      </c>
      <c r="D5587">
        <v>4.6499230000000003</v>
      </c>
      <c r="E5587">
        <v>0.44028919999999999</v>
      </c>
      <c r="F5587" t="s">
        <v>41</v>
      </c>
      <c r="G5587">
        <v>-327.24459999999999</v>
      </c>
      <c r="H5587" s="1">
        <v>-2.565154E-6</v>
      </c>
      <c r="I5587">
        <v>24.435210000000001</v>
      </c>
      <c r="J5587">
        <v>-369.21159999999998</v>
      </c>
      <c r="K5587">
        <v>1.110611</v>
      </c>
      <c r="L5587">
        <v>16.99738</v>
      </c>
      <c r="M5587">
        <v>0.99933510000000003</v>
      </c>
      <c r="N5587">
        <v>-1.0430200000000001E-2</v>
      </c>
      <c r="O5587">
        <v>-3.4937040000000003E-2</v>
      </c>
      <c r="P5587">
        <v>0.98835050000000002</v>
      </c>
      <c r="Q5587">
        <v>0.15056349999999999</v>
      </c>
      <c r="R5587">
        <v>2.22259E-2</v>
      </c>
      <c r="S5587">
        <v>3.0357669999999999</v>
      </c>
      <c r="T5587">
        <v>-8.0021259999999997E-2</v>
      </c>
      <c r="U5587">
        <v>0.53552250000000001</v>
      </c>
      <c r="V5587">
        <v>-5.7100079999999998E-2</v>
      </c>
      <c r="W5587">
        <v>0.160723799999999</v>
      </c>
      <c r="X5587">
        <v>0.98534639999999996</v>
      </c>
      <c r="Y5587">
        <v>-0.20792079999999999</v>
      </c>
      <c r="Z5587">
        <v>4.3647269999999997E-3</v>
      </c>
      <c r="AA5587">
        <v>0.97813589999999995</v>
      </c>
      <c r="AB5587">
        <v>32</v>
      </c>
      <c r="AC5587">
        <v>41.966999999999899</v>
      </c>
      <c r="AD5587">
        <v>-1.1106135651539999</v>
      </c>
      <c r="AE5587">
        <v>7.4378299999999999</v>
      </c>
      <c r="AF5587">
        <v>-8.89353249163638</v>
      </c>
      <c r="AG5587">
        <v>-1.1106135651539999</v>
      </c>
      <c r="AH5587">
        <v>41.653223996319603</v>
      </c>
      <c r="AI5587">
        <v>91.493682420325399</v>
      </c>
      <c r="AJ5587">
        <v>102.052457229792</v>
      </c>
      <c r="AK5587">
        <v>42.606565831553098</v>
      </c>
      <c r="AL5587">
        <v>80.751089759722902</v>
      </c>
      <c r="AM5587">
        <v>93.316538047675607</v>
      </c>
      <c r="AN5587">
        <v>1.0000000435077001</v>
      </c>
    </row>
    <row r="5588" spans="1:40" x14ac:dyDescent="0.25">
      <c r="A5588" t="str">
        <f>"20190304155746171"</f>
        <v>20190304155746171</v>
      </c>
      <c r="B5588" t="str">
        <f>"1551686266159662"</f>
        <v>1551686266159662</v>
      </c>
      <c r="C5588" t="s">
        <v>40</v>
      </c>
      <c r="D5588">
        <v>4.6212650000000002</v>
      </c>
      <c r="E5588">
        <v>0.4398553</v>
      </c>
      <c r="F5588" t="s">
        <v>41</v>
      </c>
      <c r="G5588">
        <v>-327.5557</v>
      </c>
      <c r="H5588" s="1">
        <v>-2.4107469999999999E-6</v>
      </c>
      <c r="I5588">
        <v>24.40765</v>
      </c>
      <c r="J5588">
        <v>-368.92630000000003</v>
      </c>
      <c r="K5588">
        <v>1.110616</v>
      </c>
      <c r="L5588">
        <v>16.98837</v>
      </c>
      <c r="M5588">
        <v>0.99936979999999997</v>
      </c>
      <c r="N5588">
        <v>-1.043324E-2</v>
      </c>
      <c r="O5588">
        <v>-3.392966E-2</v>
      </c>
      <c r="P5588">
        <v>0.98827889999999996</v>
      </c>
      <c r="Q5588">
        <v>0.15083829999999901</v>
      </c>
      <c r="R5588">
        <v>2.3514569999999999E-2</v>
      </c>
      <c r="S5588">
        <v>3.0355829999999999</v>
      </c>
      <c r="T5588">
        <v>-8.0933690000000003E-2</v>
      </c>
      <c r="U5588">
        <v>0.5400085</v>
      </c>
      <c r="V5588">
        <v>-5.7394889999999997E-2</v>
      </c>
      <c r="W5588">
        <v>0.16099920000000001</v>
      </c>
      <c r="X5588">
        <v>0.9852843</v>
      </c>
      <c r="Y5588">
        <v>-0.20834430000000001</v>
      </c>
      <c r="Z5588">
        <v>4.3978699999999999E-3</v>
      </c>
      <c r="AA5588">
        <v>0.97804559999999996</v>
      </c>
      <c r="AB5588">
        <v>32</v>
      </c>
      <c r="AC5588">
        <v>41.370600000000003</v>
      </c>
      <c r="AD5588">
        <v>-1.1106184107470001</v>
      </c>
      <c r="AE5588">
        <v>7.4192799999999997</v>
      </c>
      <c r="AF5588">
        <v>-8.8126211983944494</v>
      </c>
      <c r="AG5588">
        <v>-1.1106184107470001</v>
      </c>
      <c r="AH5588">
        <v>41.066356090152198</v>
      </c>
      <c r="AI5588">
        <v>91.514689934681201</v>
      </c>
      <c r="AJ5588">
        <v>102.11168079586901</v>
      </c>
      <c r="AK5588">
        <v>42.015965634076103</v>
      </c>
      <c r="AL5588">
        <v>80.735102207195098</v>
      </c>
      <c r="AM5588">
        <v>93.333832582996195</v>
      </c>
      <c r="AN5588">
        <v>1.00000003381262</v>
      </c>
    </row>
    <row r="5589" spans="1:40" x14ac:dyDescent="0.25">
      <c r="A5589" t="str">
        <f>"20190304155746182"</f>
        <v>20190304155746182</v>
      </c>
      <c r="B5589" t="str">
        <f>"1551686266180158"</f>
        <v>1551686266180158</v>
      </c>
      <c r="C5589" t="s">
        <v>40</v>
      </c>
      <c r="D5589">
        <v>4.5953059999999999</v>
      </c>
      <c r="E5589">
        <v>0.43958829999999999</v>
      </c>
      <c r="F5589" t="s">
        <v>41</v>
      </c>
      <c r="G5589">
        <v>-327.84589999999997</v>
      </c>
      <c r="H5589" s="1">
        <v>-2.2704069999999999E-6</v>
      </c>
      <c r="I5589">
        <v>24.395689999999998</v>
      </c>
      <c r="J5589">
        <v>-368.77159999999998</v>
      </c>
      <c r="K5589">
        <v>1.110619</v>
      </c>
      <c r="L5589">
        <v>16.98367</v>
      </c>
      <c r="M5589">
        <v>0.99938819999999995</v>
      </c>
      <c r="N5589">
        <v>-1.0434789999999999E-2</v>
      </c>
      <c r="O5589">
        <v>-3.3381639999999997E-2</v>
      </c>
      <c r="P5589">
        <v>0.9881974</v>
      </c>
      <c r="Q5589">
        <v>0.15127750000000001</v>
      </c>
      <c r="R5589">
        <v>2.4106909999999999E-2</v>
      </c>
      <c r="S5589">
        <v>3.035126</v>
      </c>
      <c r="T5589">
        <v>-8.2055329999999996E-2</v>
      </c>
      <c r="U5589">
        <v>0.54727169999999903</v>
      </c>
      <c r="V5589">
        <v>-5.7445219999999998E-2</v>
      </c>
      <c r="W5589">
        <v>0.1614382</v>
      </c>
      <c r="X5589">
        <v>0.98520949999999996</v>
      </c>
      <c r="Y5589">
        <v>-0.21009749999999999</v>
      </c>
      <c r="Z5589">
        <v>4.472373E-3</v>
      </c>
      <c r="AA5589">
        <v>0.97767020000000004</v>
      </c>
      <c r="AB5589">
        <v>32</v>
      </c>
      <c r="AC5589">
        <v>40.925699999999999</v>
      </c>
      <c r="AD5589">
        <v>-1.110621270407</v>
      </c>
      <c r="AE5589">
        <v>7.4120199999999903</v>
      </c>
      <c r="AF5589">
        <v>-8.7678780557917904</v>
      </c>
      <c r="AG5589">
        <v>-1.110621270407</v>
      </c>
      <c r="AH5589">
        <v>40.626480924000198</v>
      </c>
      <c r="AI5589">
        <v>91.530701474721198</v>
      </c>
      <c r="AJ5589">
        <v>102.178605411351</v>
      </c>
      <c r="AK5589">
        <v>41.576677566583797</v>
      </c>
      <c r="AL5589">
        <v>80.709615672317298</v>
      </c>
      <c r="AM5589">
        <v>93.337002205843206</v>
      </c>
      <c r="AN5589">
        <v>1.0000000023051601</v>
      </c>
    </row>
    <row r="5590" spans="1:40" x14ac:dyDescent="0.25">
      <c r="A5590" t="str">
        <f>"20190304155746193"</f>
        <v>20190304155746193</v>
      </c>
      <c r="B5590" t="str">
        <f>"1551686266189918"</f>
        <v>1551686266189918</v>
      </c>
      <c r="C5590" t="s">
        <v>40</v>
      </c>
      <c r="D5590">
        <v>4.5690670000000004</v>
      </c>
      <c r="E5590">
        <v>0.43948340000000002</v>
      </c>
      <c r="F5590" t="s">
        <v>41</v>
      </c>
      <c r="G5590">
        <v>-327.64510000000001</v>
      </c>
      <c r="H5590" s="1">
        <v>-2.3809559999999998E-6</v>
      </c>
      <c r="I5590">
        <v>24.454350000000002</v>
      </c>
      <c r="J5590">
        <v>-368.60899999999998</v>
      </c>
      <c r="K5590">
        <v>1.110622</v>
      </c>
      <c r="L5590">
        <v>16.97879</v>
      </c>
      <c r="M5590">
        <v>0.9994073</v>
      </c>
      <c r="N5590">
        <v>-1.043651E-2</v>
      </c>
      <c r="O5590">
        <v>-3.280537E-2</v>
      </c>
      <c r="P5590">
        <v>0.98812149999999999</v>
      </c>
      <c r="Q5590">
        <v>0.1516739</v>
      </c>
      <c r="R5590">
        <v>2.4718110000000001E-2</v>
      </c>
      <c r="S5590">
        <v>3.0349430000000002</v>
      </c>
      <c r="T5590">
        <v>-8.1958530000000002E-2</v>
      </c>
      <c r="U5590">
        <v>0.55130000000000001</v>
      </c>
      <c r="V5590">
        <v>-5.7486530000000001E-2</v>
      </c>
      <c r="W5590">
        <v>0.16183499999999901</v>
      </c>
      <c r="X5590">
        <v>0.98514199999999996</v>
      </c>
      <c r="Y5590">
        <v>-0.2108004</v>
      </c>
      <c r="Z5590">
        <v>4.4717009999999998E-3</v>
      </c>
      <c r="AA5590">
        <v>0.97751889999999997</v>
      </c>
      <c r="AB5590">
        <v>32</v>
      </c>
      <c r="AC5590">
        <v>40.963900000000002</v>
      </c>
      <c r="AD5590">
        <v>-1.1106243809559999</v>
      </c>
      <c r="AE5590">
        <v>7.4755599999999998</v>
      </c>
      <c r="AF5590">
        <v>-8.8091782454545804</v>
      </c>
      <c r="AG5590">
        <v>-1.1106243809559999</v>
      </c>
      <c r="AH5590">
        <v>40.667666961422299</v>
      </c>
      <c r="AI5590">
        <v>91.528904682948394</v>
      </c>
      <c r="AJ5590">
        <v>102.22222992261401</v>
      </c>
      <c r="AK5590">
        <v>41.625644066619799</v>
      </c>
      <c r="AL5590">
        <v>80.686577878785698</v>
      </c>
      <c r="AM5590">
        <v>93.339624772684203</v>
      </c>
      <c r="AN5590">
        <v>1.0000000142602199</v>
      </c>
    </row>
    <row r="5591" spans="1:40" x14ac:dyDescent="0.25">
      <c r="A5591" t="str">
        <f>"20190304155746205"</f>
        <v>20190304155746205</v>
      </c>
      <c r="B5591" t="str">
        <f>"1551686266200655"</f>
        <v>1551686266200655</v>
      </c>
      <c r="C5591" t="s">
        <v>40</v>
      </c>
      <c r="D5591">
        <v>4.5887869999999999</v>
      </c>
      <c r="E5591">
        <v>0.43938310000000003</v>
      </c>
      <c r="F5591" t="s">
        <v>41</v>
      </c>
      <c r="G5591">
        <v>-327.1662</v>
      </c>
      <c r="H5591" s="1">
        <v>-2.6302510000000002E-6</v>
      </c>
      <c r="I5591">
        <v>24.540520000000001</v>
      </c>
      <c r="J5591">
        <v>-368.44189999999998</v>
      </c>
      <c r="K5591">
        <v>1.1106240000000001</v>
      </c>
      <c r="L5591">
        <v>16.973849999999999</v>
      </c>
      <c r="M5591">
        <v>0.99942660000000005</v>
      </c>
      <c r="N5591">
        <v>-1.043845E-2</v>
      </c>
      <c r="O5591">
        <v>-3.2213369999999998E-2</v>
      </c>
      <c r="P5591">
        <v>0.98807789999999995</v>
      </c>
      <c r="Q5591">
        <v>0.15188299999999999</v>
      </c>
      <c r="R5591">
        <v>2.5173129999999998E-2</v>
      </c>
      <c r="S5591">
        <v>3.0346679999999999</v>
      </c>
      <c r="T5591">
        <v>-8.1326010000000004E-2</v>
      </c>
      <c r="U5591">
        <v>0.55371090000000001</v>
      </c>
      <c r="V5591">
        <v>-5.735722E-2</v>
      </c>
      <c r="W5591">
        <v>0.16204569999999999</v>
      </c>
      <c r="X5591">
        <v>0.98511490000000002</v>
      </c>
      <c r="Y5591">
        <v>-0.21099010000000001</v>
      </c>
      <c r="Z5591">
        <v>4.437346E-3</v>
      </c>
      <c r="AA5591">
        <v>0.97747810000000002</v>
      </c>
      <c r="AB5591">
        <v>32</v>
      </c>
      <c r="AC5591">
        <v>41.275699999999901</v>
      </c>
      <c r="AD5591">
        <v>-1.1106266302509999</v>
      </c>
      <c r="AE5591">
        <v>7.5666700000000002</v>
      </c>
      <c r="AF5591">
        <v>-8.8862197289313105</v>
      </c>
      <c r="AG5591">
        <v>-1.1106266302509999</v>
      </c>
      <c r="AH5591">
        <v>40.981808292856201</v>
      </c>
      <c r="AI5591">
        <v>91.517124718317305</v>
      </c>
      <c r="AJ5591">
        <v>102.234240308523</v>
      </c>
      <c r="AK5591">
        <v>41.948861766859501</v>
      </c>
      <c r="AL5591">
        <v>80.674344167176699</v>
      </c>
      <c r="AM5591">
        <v>93.332221036875694</v>
      </c>
      <c r="AN5591">
        <v>1.00000001288831</v>
      </c>
    </row>
    <row r="5592" spans="1:40" x14ac:dyDescent="0.25">
      <c r="A5592" t="str">
        <f>"20190304155746217"</f>
        <v>20190304155746217</v>
      </c>
      <c r="B5592" t="str">
        <f>"1551686266210414"</f>
        <v>1551686266210414</v>
      </c>
      <c r="C5592" t="s">
        <v>40</v>
      </c>
      <c r="D5592">
        <v>4.5370269999999904</v>
      </c>
      <c r="E5592">
        <v>0.43939650000000002</v>
      </c>
      <c r="F5592" t="s">
        <v>41</v>
      </c>
      <c r="G5592">
        <v>-326.69549999999998</v>
      </c>
      <c r="H5592" s="1">
        <v>-2.875345E-6</v>
      </c>
      <c r="I5592">
        <v>24.625509999999998</v>
      </c>
      <c r="J5592">
        <v>-368.27600000000001</v>
      </c>
      <c r="K5592">
        <v>1.110627</v>
      </c>
      <c r="L5592">
        <v>16.969059999999999</v>
      </c>
      <c r="M5592">
        <v>0.99944529999999998</v>
      </c>
      <c r="N5592">
        <v>-1.04403E-2</v>
      </c>
      <c r="O5592">
        <v>-3.1625309999999997E-2</v>
      </c>
      <c r="P5592">
        <v>0.98806470000000002</v>
      </c>
      <c r="Q5592">
        <v>0.15189459999999999</v>
      </c>
      <c r="R5592">
        <v>2.562006E-2</v>
      </c>
      <c r="S5592">
        <v>3.0344540000000002</v>
      </c>
      <c r="T5592">
        <v>-8.0729010000000004E-2</v>
      </c>
      <c r="U5592">
        <v>0.55618290000000004</v>
      </c>
      <c r="V5592">
        <v>-5.7224150000000001E-2</v>
      </c>
      <c r="W5592">
        <v>0.16205939999999999</v>
      </c>
      <c r="X5592">
        <v>0.98512040000000001</v>
      </c>
      <c r="Y5592">
        <v>-0.211199</v>
      </c>
      <c r="Z5592">
        <v>4.4051259999999997E-3</v>
      </c>
      <c r="AA5592">
        <v>0.97743310000000005</v>
      </c>
      <c r="AB5592">
        <v>32</v>
      </c>
      <c r="AC5592">
        <v>41.580500000000001</v>
      </c>
      <c r="AD5592">
        <v>-1.1106298753449999</v>
      </c>
      <c r="AE5592">
        <v>7.6564500000000004</v>
      </c>
      <c r="AF5592">
        <v>-8.9615037643209092</v>
      </c>
      <c r="AG5592">
        <v>-1.1106298753449999</v>
      </c>
      <c r="AH5592">
        <v>41.2890567930665</v>
      </c>
      <c r="AI5592">
        <v>91.505779374006806</v>
      </c>
      <c r="AJ5592">
        <v>102.245720529816</v>
      </c>
      <c r="AK5592">
        <v>42.264976745516201</v>
      </c>
      <c r="AL5592">
        <v>80.673548837973897</v>
      </c>
      <c r="AM5592">
        <v>93.324489052320999</v>
      </c>
      <c r="AN5592">
        <v>1.0000000274838701</v>
      </c>
    </row>
    <row r="5593" spans="1:40" x14ac:dyDescent="0.25">
      <c r="A5593" t="str">
        <f>"20190304155746227"</f>
        <v>20190304155746227</v>
      </c>
      <c r="B5593" t="str">
        <f>"1551686266220173"</f>
        <v>1551686266220173</v>
      </c>
      <c r="C5593" t="s">
        <v>40</v>
      </c>
      <c r="D5593">
        <v>4.613435</v>
      </c>
      <c r="E5593">
        <v>0.43935160000000001</v>
      </c>
      <c r="F5593" t="s">
        <v>41</v>
      </c>
      <c r="G5593">
        <v>-326.42970000000003</v>
      </c>
      <c r="H5593" s="1">
        <v>-3.0093999999999999E-6</v>
      </c>
      <c r="I5593">
        <v>24.657060000000001</v>
      </c>
      <c r="J5593">
        <v>-368.11610000000002</v>
      </c>
      <c r="K5593">
        <v>1.11063</v>
      </c>
      <c r="L5593">
        <v>16.964510000000001</v>
      </c>
      <c r="M5593">
        <v>0.99946310000000005</v>
      </c>
      <c r="N5593">
        <v>-1.044204E-2</v>
      </c>
      <c r="O5593">
        <v>-3.1059059999999999E-2</v>
      </c>
      <c r="P5593">
        <v>0.98798869999999905</v>
      </c>
      <c r="Q5593">
        <v>0.15229519999999999</v>
      </c>
      <c r="R5593">
        <v>2.6165279999999999E-2</v>
      </c>
      <c r="S5593">
        <v>3.0341490000000002</v>
      </c>
      <c r="T5593">
        <v>-8.0528500000000003E-2</v>
      </c>
      <c r="U5593">
        <v>0.55743409999999904</v>
      </c>
      <c r="V5593">
        <v>-5.720952E-2</v>
      </c>
      <c r="W5593">
        <v>0.162460299999999</v>
      </c>
      <c r="X5593">
        <v>0.98505520000000002</v>
      </c>
      <c r="Y5593">
        <v>-0.2110532</v>
      </c>
      <c r="Z5593">
        <v>4.3848000000000003E-3</v>
      </c>
      <c r="AA5593">
        <v>0.97746469999999996</v>
      </c>
      <c r="AB5593">
        <v>32</v>
      </c>
      <c r="AC5593">
        <v>41.6863999999999</v>
      </c>
      <c r="AD5593">
        <v>-1.1106330093999901</v>
      </c>
      <c r="AE5593">
        <v>7.6925499999999998</v>
      </c>
      <c r="AF5593">
        <v>-8.9774865947975808</v>
      </c>
      <c r="AG5593">
        <v>-1.1106330093999901</v>
      </c>
      <c r="AH5593">
        <v>41.398931525355501</v>
      </c>
      <c r="AI5593">
        <v>91.501848119768397</v>
      </c>
      <c r="AJ5593">
        <v>102.235325099802</v>
      </c>
      <c r="AK5593">
        <v>42.375704155593802</v>
      </c>
      <c r="AL5593">
        <v>80.650270337158702</v>
      </c>
      <c r="AM5593">
        <v>93.323860510682096</v>
      </c>
      <c r="AN5593">
        <v>1.0000000126508799</v>
      </c>
    </row>
    <row r="5594" spans="1:40" x14ac:dyDescent="0.25">
      <c r="A5594" t="str">
        <f>"20190304155746241"</f>
        <v>20190304155746241</v>
      </c>
      <c r="B5594" t="str">
        <f>"1551686266229934"</f>
        <v>1551686266229934</v>
      </c>
      <c r="C5594" t="s">
        <v>40</v>
      </c>
      <c r="D5594">
        <v>4.5416569999999998</v>
      </c>
      <c r="E5594">
        <v>0.4393069</v>
      </c>
      <c r="F5594" t="s">
        <v>41</v>
      </c>
      <c r="G5594">
        <v>-325.7518</v>
      </c>
      <c r="H5594" s="1">
        <v>-3.3618309999999999E-6</v>
      </c>
      <c r="I5594">
        <v>24.77721</v>
      </c>
      <c r="J5594">
        <v>-367.9427</v>
      </c>
      <c r="K5594">
        <v>1.1106389999999999</v>
      </c>
      <c r="L5594">
        <v>16.959720000000001</v>
      </c>
      <c r="M5594">
        <v>0.99948190000000003</v>
      </c>
      <c r="N5594">
        <v>-1.0443879999999999E-2</v>
      </c>
      <c r="O5594">
        <v>-3.0445610000000001E-2</v>
      </c>
      <c r="P5594">
        <v>0.98794360000000003</v>
      </c>
      <c r="Q5594">
        <v>0.15254579999999901</v>
      </c>
      <c r="R5594">
        <v>2.6406550000000001E-2</v>
      </c>
      <c r="S5594">
        <v>3.0339360000000002</v>
      </c>
      <c r="T5594">
        <v>-7.9538349999999994E-2</v>
      </c>
      <c r="U5594">
        <v>0.55950929999999999</v>
      </c>
      <c r="V5594">
        <v>-5.6845439999999997E-2</v>
      </c>
      <c r="W5594">
        <v>0.16271340000000001</v>
      </c>
      <c r="X5594">
        <v>0.98503450000000004</v>
      </c>
      <c r="Y5594">
        <v>-0.21111450000000001</v>
      </c>
      <c r="Z5594">
        <v>4.3323679999999996E-3</v>
      </c>
      <c r="AA5594">
        <v>0.97745170000000003</v>
      </c>
      <c r="AB5594">
        <v>32</v>
      </c>
      <c r="AC5594">
        <v>42.190899999999999</v>
      </c>
      <c r="AD5594">
        <v>-1.110642361831</v>
      </c>
      <c r="AE5594">
        <v>7.8174899999999896</v>
      </c>
      <c r="AF5594">
        <v>-9.0923717536545592</v>
      </c>
      <c r="AG5594">
        <v>-1.110642361831</v>
      </c>
      <c r="AH5594">
        <v>41.905243021978698</v>
      </c>
      <c r="AI5594">
        <v>91.483685679401603</v>
      </c>
      <c r="AJ5594">
        <v>102.241971691397</v>
      </c>
      <c r="AK5594">
        <v>42.894686655734397</v>
      </c>
      <c r="AL5594">
        <v>80.635573197762795</v>
      </c>
      <c r="AM5594">
        <v>93.3028237716196</v>
      </c>
      <c r="AN5594">
        <v>1.0000000103893001</v>
      </c>
    </row>
    <row r="5595" spans="1:40" x14ac:dyDescent="0.25">
      <c r="A5595" t="str">
        <f>"20190304155746253"</f>
        <v>20190304155746253</v>
      </c>
      <c r="B5595" t="str">
        <f>"1551686266250430"</f>
        <v>1551686266250430</v>
      </c>
      <c r="C5595" t="s">
        <v>40</v>
      </c>
      <c r="D5595">
        <v>4.5701409999999996</v>
      </c>
      <c r="E5595">
        <v>0.4392064</v>
      </c>
      <c r="F5595" t="s">
        <v>41</v>
      </c>
      <c r="G5595">
        <v>-325.10109999999997</v>
      </c>
      <c r="H5595" s="1">
        <v>-3.6852880000000002E-6</v>
      </c>
      <c r="I5595">
        <v>24.875499999999999</v>
      </c>
      <c r="J5595">
        <v>-367.77159999999998</v>
      </c>
      <c r="K5595">
        <v>1.110643</v>
      </c>
      <c r="L5595">
        <v>16.95505</v>
      </c>
      <c r="M5595">
        <v>0.9995001</v>
      </c>
      <c r="N5595">
        <v>-1.0445680000000001E-2</v>
      </c>
      <c r="O5595">
        <v>-2.9840740000000001E-2</v>
      </c>
      <c r="P5595">
        <v>0.98781980000000003</v>
      </c>
      <c r="Q5595">
        <v>0.1532819</v>
      </c>
      <c r="R5595">
        <v>2.677382E-2</v>
      </c>
      <c r="S5595">
        <v>3.0337830000000001</v>
      </c>
      <c r="T5595">
        <v>-7.8648919999999997E-2</v>
      </c>
      <c r="U5595">
        <v>0.56054689999999996</v>
      </c>
      <c r="V5595">
        <v>-5.6613919999999998E-2</v>
      </c>
      <c r="W5595">
        <v>0.1634506</v>
      </c>
      <c r="X5595">
        <v>0.98492570000000002</v>
      </c>
      <c r="Y5595">
        <v>-0.21085719999999999</v>
      </c>
      <c r="Z5595">
        <v>4.2791239999999996E-3</v>
      </c>
      <c r="AA5595">
        <v>0.97750749999999997</v>
      </c>
      <c r="AB5595">
        <v>32</v>
      </c>
      <c r="AC5595">
        <v>42.670499999999997</v>
      </c>
      <c r="AD5595">
        <v>-1.1106466852879999</v>
      </c>
      <c r="AE5595">
        <v>7.92044999999999</v>
      </c>
      <c r="AF5595">
        <v>-9.1842961831127603</v>
      </c>
      <c r="AG5595">
        <v>-1.1106466852879999</v>
      </c>
      <c r="AH5595">
        <v>42.387370187640997</v>
      </c>
      <c r="AI5595">
        <v>91.466913765976003</v>
      </c>
      <c r="AJ5595">
        <v>102.22559518910801</v>
      </c>
      <c r="AK5595">
        <v>43.385181616109399</v>
      </c>
      <c r="AL5595">
        <v>80.592760889208606</v>
      </c>
      <c r="AM5595">
        <v>93.289764202302294</v>
      </c>
      <c r="AN5595">
        <v>0.99999993454930602</v>
      </c>
    </row>
    <row r="5596" spans="1:40" x14ac:dyDescent="0.25">
      <c r="A5596" t="str">
        <f>"20190304155746266"</f>
        <v>20190304155746266</v>
      </c>
      <c r="B5596" t="str">
        <f>"1551686266260190"</f>
        <v>1551686266260190</v>
      </c>
      <c r="C5596" t="s">
        <v>40</v>
      </c>
      <c r="D5596">
        <v>4.5202169999999997</v>
      </c>
      <c r="E5596">
        <v>0.43918849999999998</v>
      </c>
      <c r="F5596" t="s">
        <v>41</v>
      </c>
      <c r="G5596">
        <v>-323.64760000000001</v>
      </c>
      <c r="H5596" s="1">
        <v>-4.2902580000000004E-6</v>
      </c>
      <c r="I5596">
        <v>25.13935</v>
      </c>
      <c r="J5596">
        <v>-367.5831</v>
      </c>
      <c r="K5596">
        <v>1.1106480000000001</v>
      </c>
      <c r="L5596">
        <v>16.95007</v>
      </c>
      <c r="M5596">
        <v>0.99951990000000002</v>
      </c>
      <c r="N5596">
        <v>-1.0447659999999999E-2</v>
      </c>
      <c r="O5596">
        <v>-2.917484E-2</v>
      </c>
      <c r="P5596">
        <v>0.98775849999999998</v>
      </c>
      <c r="Q5596">
        <v>0.15362870000000001</v>
      </c>
      <c r="R5596">
        <v>2.7052920000000001E-2</v>
      </c>
      <c r="S5596">
        <v>3.0335999999999999</v>
      </c>
      <c r="T5596">
        <v>-7.6358800000000004E-2</v>
      </c>
      <c r="U5596">
        <v>0.56268309999999999</v>
      </c>
      <c r="V5596">
        <v>-5.6235380000000001E-2</v>
      </c>
      <c r="W5596">
        <v>0.16379920000000001</v>
      </c>
      <c r="X5596">
        <v>0.98488960000000003</v>
      </c>
      <c r="Y5596">
        <v>-0.21088709999999999</v>
      </c>
      <c r="Z5596">
        <v>4.1689079999999998E-3</v>
      </c>
      <c r="AA5596">
        <v>0.97750150000000002</v>
      </c>
      <c r="AB5596">
        <v>32</v>
      </c>
      <c r="AC5596">
        <v>43.935499999999898</v>
      </c>
      <c r="AD5596">
        <v>-1.1106522902579901</v>
      </c>
      <c r="AE5596">
        <v>8.1892800000000001</v>
      </c>
      <c r="AF5596">
        <v>-9.4618311242345303</v>
      </c>
      <c r="AG5596">
        <v>-1.1106522902579901</v>
      </c>
      <c r="AH5596">
        <v>43.650903833566304</v>
      </c>
      <c r="AI5596">
        <v>91.424451554018503</v>
      </c>
      <c r="AJ5596">
        <v>102.23030713649401</v>
      </c>
      <c r="AK5596">
        <v>44.678419871573801</v>
      </c>
      <c r="AL5596">
        <v>80.572515907560401</v>
      </c>
      <c r="AM5596">
        <v>93.267935064333201</v>
      </c>
      <c r="AN5596">
        <v>1.00000006003627</v>
      </c>
    </row>
    <row r="5597" spans="1:40" x14ac:dyDescent="0.25">
      <c r="A5597" t="str">
        <f>"20190304155746284"</f>
        <v>20190304155746284</v>
      </c>
      <c r="B5597" t="str">
        <f>"1551686266279710"</f>
        <v>1551686266279710</v>
      </c>
      <c r="C5597" t="s">
        <v>40</v>
      </c>
      <c r="D5597">
        <v>4.5657860000000001</v>
      </c>
      <c r="E5597">
        <v>0.43911070000000002</v>
      </c>
      <c r="F5597" t="s">
        <v>41</v>
      </c>
      <c r="G5597">
        <v>-322.76369999999997</v>
      </c>
      <c r="H5597" s="1">
        <v>-4.6545920000000001E-6</v>
      </c>
      <c r="I5597">
        <v>25.279720000000001</v>
      </c>
      <c r="J5597">
        <v>-367.32459999999998</v>
      </c>
      <c r="K5597">
        <v>1.1106529999999999</v>
      </c>
      <c r="L5597">
        <v>16.94342</v>
      </c>
      <c r="M5597">
        <v>0.99954589999999999</v>
      </c>
      <c r="N5597">
        <v>-1.04505E-2</v>
      </c>
      <c r="O5597">
        <v>-2.8262309999999999E-2</v>
      </c>
      <c r="P5597">
        <v>0.98770029999999998</v>
      </c>
      <c r="Q5597">
        <v>0.15397520000000001</v>
      </c>
      <c r="R5597">
        <v>2.7196359999999999E-2</v>
      </c>
      <c r="S5597">
        <v>3.0333860000000001</v>
      </c>
      <c r="T5597">
        <v>-7.5169089999999994E-2</v>
      </c>
      <c r="U5597">
        <v>0.56375120000000001</v>
      </c>
      <c r="V5597">
        <v>-5.5478329999999999E-2</v>
      </c>
      <c r="W5597">
        <v>0.16414960000000001</v>
      </c>
      <c r="X5597">
        <v>0.98487409999999997</v>
      </c>
      <c r="Y5597">
        <v>-0.21034269999999999</v>
      </c>
      <c r="Z5597">
        <v>4.0944079999999999E-3</v>
      </c>
      <c r="AA5597">
        <v>0.97761920000000002</v>
      </c>
      <c r="AB5597">
        <v>32</v>
      </c>
      <c r="AC5597">
        <v>44.560899999999997</v>
      </c>
      <c r="AD5597">
        <v>-1.1106576545919999</v>
      </c>
      <c r="AE5597">
        <v>8.3362999999999996</v>
      </c>
      <c r="AF5597">
        <v>-9.5866782360737908</v>
      </c>
      <c r="AG5597">
        <v>-1.1106576545919999</v>
      </c>
      <c r="AH5597">
        <v>44.280903395334803</v>
      </c>
      <c r="AI5597">
        <v>91.404277170792795</v>
      </c>
      <c r="AJ5597">
        <v>102.215831488956</v>
      </c>
      <c r="AK5597">
        <v>45.320374728533402</v>
      </c>
      <c r="AL5597">
        <v>80.552163085909896</v>
      </c>
      <c r="AM5597">
        <v>93.224085651305998</v>
      </c>
      <c r="AN5597">
        <v>0.99999996456527795</v>
      </c>
    </row>
    <row r="5598" spans="1:40" x14ac:dyDescent="0.25">
      <c r="A5598" t="str">
        <f>"20190304155746306"</f>
        <v>20190304155746306</v>
      </c>
      <c r="B5598" t="str">
        <f>"1551686266300207"</f>
        <v>1551686266300207</v>
      </c>
      <c r="C5598" t="s">
        <v>40</v>
      </c>
      <c r="D5598">
        <v>4.5834029999999997</v>
      </c>
      <c r="E5598">
        <v>0.43904840000000001</v>
      </c>
      <c r="F5598" t="s">
        <v>41</v>
      </c>
      <c r="G5598">
        <v>-322.03960000000001</v>
      </c>
      <c r="H5598" s="1">
        <v>-4.949968E-6</v>
      </c>
      <c r="I5598">
        <v>25.377359999999999</v>
      </c>
      <c r="J5598">
        <v>-367.01900000000001</v>
      </c>
      <c r="K5598">
        <v>1.110657</v>
      </c>
      <c r="L5598">
        <v>16.935879999999901</v>
      </c>
      <c r="M5598">
        <v>0.99957569999999996</v>
      </c>
      <c r="N5598">
        <v>-1.045367E-2</v>
      </c>
      <c r="O5598">
        <v>-2.7184549999999998E-2</v>
      </c>
      <c r="P5598">
        <v>0.98769189999999996</v>
      </c>
      <c r="Q5598">
        <v>0.15397810000000001</v>
      </c>
      <c r="R5598">
        <v>2.7489610000000001E-2</v>
      </c>
      <c r="S5598">
        <v>3.0333860000000001</v>
      </c>
      <c r="T5598">
        <v>-7.4396729999999994E-2</v>
      </c>
      <c r="U5598">
        <v>0.56494140000000004</v>
      </c>
      <c r="V5598">
        <v>-5.4708989999999999E-2</v>
      </c>
      <c r="W5598">
        <v>0.16415759999999999</v>
      </c>
      <c r="X5598">
        <v>0.98491589999999996</v>
      </c>
      <c r="Y5598">
        <v>-0.20966129999999999</v>
      </c>
      <c r="Z5598">
        <v>4.0339640000000001E-3</v>
      </c>
      <c r="AA5598">
        <v>0.97776569999999996</v>
      </c>
      <c r="AB5598">
        <v>32</v>
      </c>
      <c r="AC5598">
        <v>44.979399999999998</v>
      </c>
      <c r="AD5598">
        <v>-1.1106619499679999</v>
      </c>
      <c r="AE5598">
        <v>8.4414800000000003</v>
      </c>
      <c r="AF5598">
        <v>-9.6554846854358392</v>
      </c>
      <c r="AG5598">
        <v>-1.1106619499679999</v>
      </c>
      <c r="AH5598">
        <v>44.706953177912602</v>
      </c>
      <c r="AI5598">
        <v>91.391055848067296</v>
      </c>
      <c r="AJ5598">
        <v>102.187142783098</v>
      </c>
      <c r="AK5598">
        <v>45.751214376559098</v>
      </c>
      <c r="AL5598">
        <v>80.551699332461098</v>
      </c>
      <c r="AM5598">
        <v>93.179333688620403</v>
      </c>
      <c r="AN5598">
        <v>1.0000000606486901</v>
      </c>
    </row>
    <row r="5599" spans="1:40" x14ac:dyDescent="0.25">
      <c r="A5599" t="str">
        <f>"20190304155746317"</f>
        <v>20190304155746317</v>
      </c>
      <c r="B5599" t="str">
        <f>"1551686266309966"</f>
        <v>1551686266309966</v>
      </c>
      <c r="C5599" t="s">
        <v>40</v>
      </c>
      <c r="D5599">
        <v>4.460089</v>
      </c>
      <c r="E5599">
        <v>0.43893729999999997</v>
      </c>
      <c r="F5599" t="s">
        <v>41</v>
      </c>
      <c r="G5599">
        <v>-322.11799999999999</v>
      </c>
      <c r="H5599" s="1">
        <v>-4.9083559999999999E-6</v>
      </c>
      <c r="I5599">
        <v>25.312560000000001</v>
      </c>
      <c r="J5599">
        <v>-366.84910000000002</v>
      </c>
      <c r="K5599">
        <v>1.110657</v>
      </c>
      <c r="L5599">
        <v>16.931819999999998</v>
      </c>
      <c r="M5599">
        <v>0.99959189999999998</v>
      </c>
      <c r="N5599">
        <v>-1.04555E-2</v>
      </c>
      <c r="O5599">
        <v>-2.6586129999999999E-2</v>
      </c>
      <c r="P5599">
        <v>0.987645</v>
      </c>
      <c r="Q5599">
        <v>0.1542394</v>
      </c>
      <c r="R5599">
        <v>2.770794E-2</v>
      </c>
      <c r="S5599">
        <v>3.0332949999999999</v>
      </c>
      <c r="T5599">
        <v>-7.5031039999999993E-2</v>
      </c>
      <c r="U5599">
        <v>0.56588749999999999</v>
      </c>
      <c r="V5599">
        <v>-5.4336019999999999E-2</v>
      </c>
      <c r="W5599">
        <v>0.1644215</v>
      </c>
      <c r="X5599">
        <v>0.98489249999999995</v>
      </c>
      <c r="Y5599">
        <v>-0.2093749</v>
      </c>
      <c r="Z5599">
        <v>4.0480050000000004E-3</v>
      </c>
      <c r="AA5599">
        <v>0.97782709999999995</v>
      </c>
      <c r="AB5599">
        <v>32</v>
      </c>
      <c r="AC5599">
        <v>44.731099999999998</v>
      </c>
      <c r="AD5599">
        <v>-1.1106619083560001</v>
      </c>
      <c r="AE5599">
        <v>8.3807399999999994</v>
      </c>
      <c r="AF5599">
        <v>-9.5613742521346108</v>
      </c>
      <c r="AG5599">
        <v>-1.1106619083560001</v>
      </c>
      <c r="AH5599">
        <v>44.465979076641801</v>
      </c>
      <c r="AI5599">
        <v>91.398863743634706</v>
      </c>
      <c r="AJ5599">
        <v>102.135344227896</v>
      </c>
      <c r="AK5599">
        <v>45.4958980866232</v>
      </c>
      <c r="AL5599">
        <v>80.536370445648998</v>
      </c>
      <c r="AM5599">
        <v>93.157777961857406</v>
      </c>
      <c r="AN5599">
        <v>1.0000000346439599</v>
      </c>
    </row>
    <row r="5600" spans="1:40" x14ac:dyDescent="0.25">
      <c r="A5600" t="str">
        <f>"20190304155746329"</f>
        <v>20190304155746329</v>
      </c>
      <c r="B5600" t="str">
        <f>"1551686266319726"</f>
        <v>1551686266319726</v>
      </c>
      <c r="C5600" t="s">
        <v>40</v>
      </c>
      <c r="D5600">
        <v>4.4741220000000004</v>
      </c>
      <c r="E5600">
        <v>0.43893729999999997</v>
      </c>
      <c r="F5600" t="s">
        <v>41</v>
      </c>
      <c r="G5600">
        <v>-321.26530000000002</v>
      </c>
      <c r="H5600" s="1">
        <v>-5.261831E-6</v>
      </c>
      <c r="I5600">
        <v>25.459240000000001</v>
      </c>
      <c r="J5600">
        <v>-366.6841</v>
      </c>
      <c r="K5600">
        <v>1.1106609999999999</v>
      </c>
      <c r="L5600">
        <v>16.927949999999999</v>
      </c>
      <c r="M5600">
        <v>0.99960729999999998</v>
      </c>
      <c r="N5600">
        <v>-1.0457340000000001E-2</v>
      </c>
      <c r="O5600">
        <v>-2.6004389999999999E-2</v>
      </c>
      <c r="P5600">
        <v>0.98770279999999999</v>
      </c>
      <c r="Q5600">
        <v>0.1537751</v>
      </c>
      <c r="R5600">
        <v>2.822471E-2</v>
      </c>
      <c r="S5600">
        <v>3.0331419999999998</v>
      </c>
      <c r="T5600">
        <v>-7.3903319999999995E-2</v>
      </c>
      <c r="U5600">
        <v>0.56741330000000001</v>
      </c>
      <c r="V5600">
        <v>-5.4279189999999998E-2</v>
      </c>
      <c r="W5600">
        <v>0.16395950000000001</v>
      </c>
      <c r="X5600">
        <v>0.98497259999999998</v>
      </c>
      <c r="Y5600">
        <v>-0.20929239999999999</v>
      </c>
      <c r="Z5600">
        <v>3.9903789999999996E-3</v>
      </c>
      <c r="AA5600">
        <v>0.97784499999999996</v>
      </c>
      <c r="AB5600">
        <v>32</v>
      </c>
      <c r="AC5600">
        <v>45.418799999999898</v>
      </c>
      <c r="AD5600">
        <v>-1.1106662618309999</v>
      </c>
      <c r="AE5600">
        <v>8.5312899999999896</v>
      </c>
      <c r="AF5600">
        <v>-9.7039520915023108</v>
      </c>
      <c r="AG5600">
        <v>-1.1106662618309999</v>
      </c>
      <c r="AH5600">
        <v>45.155493499346598</v>
      </c>
      <c r="AI5600">
        <v>91.377552722414407</v>
      </c>
      <c r="AJ5600">
        <v>102.128447943599</v>
      </c>
      <c r="AK5600">
        <v>46.199771199746003</v>
      </c>
      <c r="AL5600">
        <v>80.563204811381596</v>
      </c>
      <c r="AM5600">
        <v>93.154225906960605</v>
      </c>
      <c r="AN5600">
        <v>0.99999998542903201</v>
      </c>
    </row>
    <row r="5601" spans="1:40" x14ac:dyDescent="0.25">
      <c r="A5601" t="str">
        <f>"20190304155746340"</f>
        <v>20190304155746340</v>
      </c>
      <c r="B5601" t="str">
        <f>"1551686266330462"</f>
        <v>1551686266330462</v>
      </c>
      <c r="C5601" t="s">
        <v>40</v>
      </c>
      <c r="D5601">
        <v>4.46549</v>
      </c>
      <c r="E5601">
        <v>0.42372510000000002</v>
      </c>
      <c r="F5601" t="s">
        <v>41</v>
      </c>
      <c r="G5601">
        <v>-321.96679999999998</v>
      </c>
      <c r="H5601" s="1">
        <v>-4.9671490000000001E-6</v>
      </c>
      <c r="I5601">
        <v>25.316600000000001</v>
      </c>
      <c r="J5601">
        <v>-366.52910000000003</v>
      </c>
      <c r="K5601">
        <v>1.1106609999999999</v>
      </c>
      <c r="L5601">
        <v>16.924469999999999</v>
      </c>
      <c r="M5601">
        <v>0.99962130000000005</v>
      </c>
      <c r="N5601">
        <v>-1.0459E-2</v>
      </c>
      <c r="O5601">
        <v>-2.5458069999999999E-2</v>
      </c>
      <c r="P5601">
        <v>0.98772230000000005</v>
      </c>
      <c r="Q5601">
        <v>0.1536276</v>
      </c>
      <c r="R5601">
        <v>2.834617E-2</v>
      </c>
      <c r="S5601">
        <v>3.0328369999999998</v>
      </c>
      <c r="T5601">
        <v>-7.5328110000000004E-2</v>
      </c>
      <c r="U5601">
        <v>0.56893919999999998</v>
      </c>
      <c r="V5601">
        <v>-5.3862489999999999E-2</v>
      </c>
      <c r="W5601">
        <v>0.16381509999999999</v>
      </c>
      <c r="X5601">
        <v>0.98501950000000005</v>
      </c>
      <c r="Y5601">
        <v>-0.20924809999999999</v>
      </c>
      <c r="Z5601">
        <v>4.0429970000000004E-3</v>
      </c>
      <c r="AA5601">
        <v>0.97785429999999995</v>
      </c>
      <c r="AB5601">
        <v>32</v>
      </c>
      <c r="AC5601">
        <v>44.5623</v>
      </c>
      <c r="AD5601">
        <v>-1.110665967149</v>
      </c>
      <c r="AE5601">
        <v>8.3921299999999999</v>
      </c>
      <c r="AF5601">
        <v>-9.5182315919680605</v>
      </c>
      <c r="AG5601">
        <v>-1.110665967149</v>
      </c>
      <c r="AH5601">
        <v>44.307615092581202</v>
      </c>
      <c r="AI5601">
        <v>91.403925830493904</v>
      </c>
      <c r="AJ5601">
        <v>102.124108409786</v>
      </c>
      <c r="AK5601">
        <v>45.332053413906202</v>
      </c>
      <c r="AL5601">
        <v>80.571591717759404</v>
      </c>
      <c r="AM5601">
        <v>93.129910591808098</v>
      </c>
      <c r="AN5601">
        <v>0.99999998509862997</v>
      </c>
    </row>
    <row r="5602" spans="1:40" x14ac:dyDescent="0.25">
      <c r="A5602" t="str">
        <f>"20190304155746361"</f>
        <v>20190304155746361</v>
      </c>
      <c r="B5602" t="str">
        <f>"1551686266349983"</f>
        <v>1551686266349983</v>
      </c>
      <c r="C5602" t="s">
        <v>40</v>
      </c>
      <c r="D5602">
        <v>4.4224649999999999</v>
      </c>
      <c r="E5602">
        <v>0.42256969999999999</v>
      </c>
      <c r="F5602" t="s">
        <v>44</v>
      </c>
      <c r="G5602">
        <v>-293.02960000000002</v>
      </c>
      <c r="H5602">
        <v>-0.05</v>
      </c>
      <c r="I5602">
        <v>33.708039999999997</v>
      </c>
      <c r="J5602">
        <v>-366.23160000000001</v>
      </c>
      <c r="K5602">
        <v>1.11066</v>
      </c>
      <c r="L5602">
        <v>16.917939999999899</v>
      </c>
      <c r="M5602">
        <v>0.99964719999999996</v>
      </c>
      <c r="N5602">
        <v>-1.046219E-2</v>
      </c>
      <c r="O5602">
        <v>-2.440929E-2</v>
      </c>
      <c r="P5602">
        <v>0.98772079999999995</v>
      </c>
      <c r="Q5602">
        <v>0.15345500000000001</v>
      </c>
      <c r="R5602">
        <v>2.9311400000000001E-2</v>
      </c>
      <c r="S5602">
        <v>3.024902</v>
      </c>
      <c r="T5602">
        <v>-4.7767520000000001E-2</v>
      </c>
      <c r="U5602">
        <v>0.69073490000000004</v>
      </c>
      <c r="V5602">
        <v>-5.3792159999999999E-2</v>
      </c>
      <c r="W5602">
        <v>0.16364579999999901</v>
      </c>
      <c r="X5602">
        <v>0.98505149999999997</v>
      </c>
      <c r="Y5602">
        <v>-0.2463011</v>
      </c>
      <c r="Z5602">
        <v>3.353656E-3</v>
      </c>
      <c r="AA5602">
        <v>0.96918760000000004</v>
      </c>
      <c r="AB5602">
        <v>32</v>
      </c>
      <c r="AC5602">
        <v>73.201999999999998</v>
      </c>
      <c r="AD5602">
        <v>-1.16066</v>
      </c>
      <c r="AE5602">
        <v>16.790099999999999</v>
      </c>
      <c r="AF5602">
        <v>-18.567569073857001</v>
      </c>
      <c r="AG5602">
        <v>-1.16066</v>
      </c>
      <c r="AH5602">
        <v>72.752954182930097</v>
      </c>
      <c r="AI5602">
        <v>90.885605433267997</v>
      </c>
      <c r="AJ5602">
        <v>104.31706144571601</v>
      </c>
      <c r="AK5602">
        <v>75.093901851558996</v>
      </c>
      <c r="AL5602">
        <v>80.581424737912599</v>
      </c>
      <c r="AM5602">
        <v>93.125730532551103</v>
      </c>
      <c r="AN5602">
        <v>1.00000000099367</v>
      </c>
    </row>
    <row r="5603" spans="1:40" x14ac:dyDescent="0.25">
      <c r="A5603" t="str">
        <f>"20190304155746373"</f>
        <v>20190304155746373</v>
      </c>
      <c r="B5603" t="str">
        <f>"1551686266370478"</f>
        <v>1551686266370478</v>
      </c>
      <c r="C5603" t="s">
        <v>40</v>
      </c>
      <c r="D5603">
        <v>4.5993729999999999</v>
      </c>
      <c r="E5603">
        <v>0.42217179999999999</v>
      </c>
      <c r="F5603" t="s">
        <v>44</v>
      </c>
      <c r="G5603">
        <v>-291.33100000000002</v>
      </c>
      <c r="H5603">
        <v>-0.05</v>
      </c>
      <c r="I5603">
        <v>34.326790000000003</v>
      </c>
      <c r="J5603">
        <v>-366.06630000000001</v>
      </c>
      <c r="K5603">
        <v>1.11066</v>
      </c>
      <c r="L5603">
        <v>16.914429999999999</v>
      </c>
      <c r="M5603">
        <v>0.99966140000000003</v>
      </c>
      <c r="N5603">
        <v>-1.046394E-2</v>
      </c>
      <c r="O5603">
        <v>-2.382708E-2</v>
      </c>
      <c r="P5603">
        <v>0.98774209999999996</v>
      </c>
      <c r="Q5603">
        <v>0.1531959</v>
      </c>
      <c r="R5603">
        <v>2.994612E-2</v>
      </c>
      <c r="S5603">
        <v>3.0237120000000002</v>
      </c>
      <c r="T5603">
        <v>-4.685545E-2</v>
      </c>
      <c r="U5603">
        <v>0.70278929999999995</v>
      </c>
      <c r="V5603">
        <v>-5.3852259999999999E-2</v>
      </c>
      <c r="W5603">
        <v>0.16338849999999999</v>
      </c>
      <c r="X5603">
        <v>0.98509089999999999</v>
      </c>
      <c r="Y5603">
        <v>-0.24948799999999999</v>
      </c>
      <c r="Z5603">
        <v>3.3488210000000001E-3</v>
      </c>
      <c r="AA5603">
        <v>0.96837209999999996</v>
      </c>
      <c r="AB5603">
        <v>32</v>
      </c>
      <c r="AC5603">
        <v>74.735299999999995</v>
      </c>
      <c r="AD5603">
        <v>-1.16066</v>
      </c>
      <c r="AE5603">
        <v>17.41236</v>
      </c>
      <c r="AF5603">
        <v>-19.183848634900698</v>
      </c>
      <c r="AG5603">
        <v>-1.16066</v>
      </c>
      <c r="AH5603">
        <v>74.282177939356899</v>
      </c>
      <c r="AI5603">
        <v>90.866741282026297</v>
      </c>
      <c r="AJ5603">
        <v>104.48060185547899</v>
      </c>
      <c r="AK5603">
        <v>76.728150893245598</v>
      </c>
      <c r="AL5603">
        <v>80.5963678210273</v>
      </c>
      <c r="AM5603">
        <v>93.129090951326205</v>
      </c>
      <c r="AN5603">
        <v>0.99999997455108303</v>
      </c>
    </row>
    <row r="5604" spans="1:40" x14ac:dyDescent="0.25">
      <c r="A5604" t="str">
        <f>"20190304155746384"</f>
        <v>20190304155746384</v>
      </c>
      <c r="B5604" t="str">
        <f>"1551686266380238"</f>
        <v>1551686266380238</v>
      </c>
      <c r="C5604" t="s">
        <v>40</v>
      </c>
      <c r="D5604">
        <v>4.4692540000000003</v>
      </c>
      <c r="E5604">
        <v>0.42221320000000001</v>
      </c>
      <c r="F5604" t="s">
        <v>44</v>
      </c>
      <c r="G5604">
        <v>-305.36430000000001</v>
      </c>
      <c r="H5604">
        <v>-0.05</v>
      </c>
      <c r="I5604">
        <v>31.121210000000001</v>
      </c>
      <c r="J5604">
        <v>-365.89400000000001</v>
      </c>
      <c r="K5604">
        <v>1.11066</v>
      </c>
      <c r="L5604">
        <v>16.910920000000001</v>
      </c>
      <c r="M5604">
        <v>0.9996756</v>
      </c>
      <c r="N5604">
        <v>-1.04657E-2</v>
      </c>
      <c r="O5604">
        <v>-2.3219719999999999E-2</v>
      </c>
      <c r="P5604">
        <v>0.98775449999999998</v>
      </c>
      <c r="Q5604">
        <v>0.15300250000000001</v>
      </c>
      <c r="R5604">
        <v>3.0517849999999999E-2</v>
      </c>
      <c r="S5604">
        <v>3.02475</v>
      </c>
      <c r="T5604">
        <v>-5.78351E-2</v>
      </c>
      <c r="U5604">
        <v>0.70791630000000005</v>
      </c>
      <c r="V5604">
        <v>-5.3824400000000001E-2</v>
      </c>
      <c r="W5604">
        <v>0.16319700000000001</v>
      </c>
      <c r="X5604">
        <v>0.98512420000000001</v>
      </c>
      <c r="Y5604">
        <v>-0.25036269999999999</v>
      </c>
      <c r="Z5604">
        <v>3.8878839999999999E-3</v>
      </c>
      <c r="AA5604">
        <v>0.96814429999999996</v>
      </c>
      <c r="AB5604">
        <v>32</v>
      </c>
      <c r="AC5604">
        <v>60.529699999999899</v>
      </c>
      <c r="AD5604">
        <v>-1.16066</v>
      </c>
      <c r="AE5604">
        <v>14.210289999999899</v>
      </c>
      <c r="AF5604">
        <v>-15.606579433270801</v>
      </c>
      <c r="AG5604">
        <v>-1.16066</v>
      </c>
      <c r="AH5604">
        <v>60.162436343387597</v>
      </c>
      <c r="AI5604">
        <v>91.069818480036005</v>
      </c>
      <c r="AJ5604">
        <v>104.542406485265</v>
      </c>
      <c r="AK5604">
        <v>62.164549383187499</v>
      </c>
      <c r="AL5604">
        <v>80.607489556858596</v>
      </c>
      <c r="AM5604">
        <v>93.127369849931895</v>
      </c>
      <c r="AN5604">
        <v>1.000000008135</v>
      </c>
    </row>
    <row r="5605" spans="1:40" x14ac:dyDescent="0.25">
      <c r="A5605" t="str">
        <f>"20190304155746395"</f>
        <v>20190304155746395</v>
      </c>
      <c r="B5605" t="str">
        <f>"1551686266389998"</f>
        <v>1551686266389998</v>
      </c>
      <c r="C5605" t="s">
        <v>40</v>
      </c>
      <c r="D5605">
        <v>4.4412060000000002</v>
      </c>
      <c r="E5605">
        <v>0.42229349999999999</v>
      </c>
      <c r="F5605" t="s">
        <v>44</v>
      </c>
      <c r="G5605">
        <v>-305.08190000000002</v>
      </c>
      <c r="H5605">
        <v>-0.05</v>
      </c>
      <c r="I5605">
        <v>31.179790000000001</v>
      </c>
      <c r="J5605">
        <v>-365.73059999999998</v>
      </c>
      <c r="K5605">
        <v>1.110662</v>
      </c>
      <c r="L5605">
        <v>16.90765</v>
      </c>
      <c r="M5605">
        <v>0.99968880000000004</v>
      </c>
      <c r="N5605">
        <v>-1.04674E-2</v>
      </c>
      <c r="O5605">
        <v>-2.2644069999999999E-2</v>
      </c>
      <c r="P5605">
        <v>0.98776819999999999</v>
      </c>
      <c r="Q5605">
        <v>0.15279029999999999</v>
      </c>
      <c r="R5605">
        <v>3.1129859999999999E-2</v>
      </c>
      <c r="S5605">
        <v>3.0242</v>
      </c>
      <c r="T5605">
        <v>-5.7719949999999999E-2</v>
      </c>
      <c r="U5605">
        <v>0.70959469999999902</v>
      </c>
      <c r="V5605">
        <v>-5.3868569999999998E-2</v>
      </c>
      <c r="W5605">
        <v>0.1629872</v>
      </c>
      <c r="X5605">
        <v>0.98515649999999999</v>
      </c>
      <c r="Y5605">
        <v>-0.25035380000000002</v>
      </c>
      <c r="Z5605">
        <v>3.8778670000000001E-3</v>
      </c>
      <c r="AA5605">
        <v>0.96814659999999997</v>
      </c>
      <c r="AB5605">
        <v>32</v>
      </c>
      <c r="AC5605">
        <v>60.648699999999899</v>
      </c>
      <c r="AD5605">
        <v>-1.1606620000000001</v>
      </c>
      <c r="AE5605">
        <v>14.27214</v>
      </c>
      <c r="AF5605">
        <v>-15.636462478791</v>
      </c>
      <c r="AG5605">
        <v>-1.1606620000000001</v>
      </c>
      <c r="AH5605">
        <v>60.289028539886303</v>
      </c>
      <c r="AI5605">
        <v>91.067587200700999</v>
      </c>
      <c r="AJ5605">
        <v>104.539774421415</v>
      </c>
      <c r="AK5605">
        <v>62.2945668370213</v>
      </c>
      <c r="AL5605">
        <v>80.619673168748506</v>
      </c>
      <c r="AM5605">
        <v>93.129828751632104</v>
      </c>
      <c r="AN5605">
        <v>0.99999998984496696</v>
      </c>
    </row>
    <row r="5606" spans="1:40" x14ac:dyDescent="0.25">
      <c r="A5606" t="str">
        <f>"20190304155746406"</f>
        <v>20190304155746406</v>
      </c>
      <c r="B5606" t="str">
        <f>"1551686266399758"</f>
        <v>1551686266399758</v>
      </c>
      <c r="C5606" t="s">
        <v>40</v>
      </c>
      <c r="D5606">
        <v>4.442717</v>
      </c>
      <c r="E5606">
        <v>0.42225180000000001</v>
      </c>
      <c r="F5606" t="s">
        <v>44</v>
      </c>
      <c r="G5606">
        <v>-306.74759999999998</v>
      </c>
      <c r="H5606">
        <v>-0.05</v>
      </c>
      <c r="I5606">
        <v>30.77111</v>
      </c>
      <c r="J5606">
        <v>-365.56670000000003</v>
      </c>
      <c r="K5606">
        <v>1.11066</v>
      </c>
      <c r="L5606">
        <v>16.90448</v>
      </c>
      <c r="M5606">
        <v>0.99970170000000003</v>
      </c>
      <c r="N5606">
        <v>-1.046915E-2</v>
      </c>
      <c r="O5606">
        <v>-2.2066869999999999E-2</v>
      </c>
      <c r="P5606">
        <v>0.98773860000000002</v>
      </c>
      <c r="Q5606">
        <v>0.1528678</v>
      </c>
      <c r="R5606">
        <v>3.1687229999999997E-2</v>
      </c>
      <c r="S5606">
        <v>3.0239560000000001</v>
      </c>
      <c r="T5606">
        <v>-5.950511E-2</v>
      </c>
      <c r="U5606">
        <v>0.71075440000000001</v>
      </c>
      <c r="V5606">
        <v>-5.3856130000000002E-2</v>
      </c>
      <c r="W5606">
        <v>0.16306579999999901</v>
      </c>
      <c r="X5606">
        <v>0.98514420000000003</v>
      </c>
      <c r="Y5606">
        <v>-0.25016060000000001</v>
      </c>
      <c r="Z5606">
        <v>3.9561400000000004E-3</v>
      </c>
      <c r="AA5606">
        <v>0.96819630000000001</v>
      </c>
      <c r="AB5606">
        <v>32</v>
      </c>
      <c r="AC5606">
        <v>58.819099999999999</v>
      </c>
      <c r="AD5606">
        <v>-1.16066</v>
      </c>
      <c r="AE5606">
        <v>13.866629999999899</v>
      </c>
      <c r="AF5606">
        <v>-15.1556870067567</v>
      </c>
      <c r="AG5606">
        <v>-1.16066</v>
      </c>
      <c r="AH5606">
        <v>58.477194960924699</v>
      </c>
      <c r="AI5606">
        <v>91.100704628996496</v>
      </c>
      <c r="AJ5606">
        <v>104.529802811194</v>
      </c>
      <c r="AK5606">
        <v>60.420396479834302</v>
      </c>
      <c r="AL5606">
        <v>80.615108905767499</v>
      </c>
      <c r="AM5606">
        <v>93.129146399918596</v>
      </c>
      <c r="AN5606">
        <v>1.0000000163309199</v>
      </c>
    </row>
    <row r="5607" spans="1:40" x14ac:dyDescent="0.25">
      <c r="A5607" t="str">
        <f>"20190304155746418"</f>
        <v>20190304155746418</v>
      </c>
      <c r="B5607" t="str">
        <f>"1551686266410494"</f>
        <v>1551686266410494</v>
      </c>
      <c r="C5607" t="s">
        <v>40</v>
      </c>
      <c r="D5607">
        <v>4.4433669999999896</v>
      </c>
      <c r="E5607">
        <v>0.42213440000000002</v>
      </c>
      <c r="F5607" t="s">
        <v>44</v>
      </c>
      <c r="G5607">
        <v>-304.24400000000003</v>
      </c>
      <c r="H5607">
        <v>-0.05</v>
      </c>
      <c r="I5607">
        <v>31.360939999999999</v>
      </c>
      <c r="J5607">
        <v>-365.41469999999998</v>
      </c>
      <c r="K5607">
        <v>1.1106609999999999</v>
      </c>
      <c r="L5607">
        <v>16.90164</v>
      </c>
      <c r="M5607">
        <v>0.99971339999999997</v>
      </c>
      <c r="N5607">
        <v>-1.047083E-2</v>
      </c>
      <c r="O5607">
        <v>-2.153128E-2</v>
      </c>
      <c r="P5607">
        <v>0.98768029999999996</v>
      </c>
      <c r="Q5607">
        <v>0.15314749999999999</v>
      </c>
      <c r="R5607">
        <v>3.2148759999999998E-2</v>
      </c>
      <c r="S5607">
        <v>3.0232239999999999</v>
      </c>
      <c r="T5607">
        <v>-5.7220819999999999E-2</v>
      </c>
      <c r="U5607">
        <v>0.71270749999999905</v>
      </c>
      <c r="V5607">
        <v>-5.3788759999999998E-2</v>
      </c>
      <c r="W5607">
        <v>0.1633471</v>
      </c>
      <c r="X5607">
        <v>0.98510129999999996</v>
      </c>
      <c r="Y5607">
        <v>-0.25029129999999999</v>
      </c>
      <c r="Z5607">
        <v>3.8446639999999998E-3</v>
      </c>
      <c r="AA5607">
        <v>0.968163</v>
      </c>
      <c r="AB5607">
        <v>32</v>
      </c>
      <c r="AC5607">
        <v>61.170699999999897</v>
      </c>
      <c r="AD5607">
        <v>-1.1606609999999999</v>
      </c>
      <c r="AE5607">
        <v>14.459300000000001</v>
      </c>
      <c r="AF5607">
        <v>-15.767726938432901</v>
      </c>
      <c r="AG5607">
        <v>-1.1606609999999999</v>
      </c>
      <c r="AH5607">
        <v>60.824434166034102</v>
      </c>
      <c r="AI5607">
        <v>91.058223131587994</v>
      </c>
      <c r="AJ5607">
        <v>104.53306858523599</v>
      </c>
      <c r="AK5607">
        <v>62.845685121415599</v>
      </c>
      <c r="AL5607">
        <v>80.598772775055494</v>
      </c>
      <c r="AM5607">
        <v>93.125375666221004</v>
      </c>
      <c r="AN5607">
        <v>1.00000003852121</v>
      </c>
    </row>
    <row r="5608" spans="1:40" x14ac:dyDescent="0.25">
      <c r="A5608" t="str">
        <f>"20190304155746429"</f>
        <v>20190304155746429</v>
      </c>
      <c r="B5608" t="str">
        <f>"1551686266420254"</f>
        <v>1551686266420254</v>
      </c>
      <c r="C5608" t="s">
        <v>40</v>
      </c>
      <c r="D5608">
        <v>4.4537969999999998</v>
      </c>
      <c r="E5608">
        <v>0.4220488</v>
      </c>
      <c r="F5608" t="s">
        <v>44</v>
      </c>
      <c r="G5608">
        <v>-302.65629999999999</v>
      </c>
      <c r="H5608">
        <v>-0.05</v>
      </c>
      <c r="I5608">
        <v>31.74728</v>
      </c>
      <c r="J5608">
        <v>-365.25439999999998</v>
      </c>
      <c r="K5608">
        <v>1.110662</v>
      </c>
      <c r="L5608">
        <v>16.898679999999999</v>
      </c>
      <c r="M5608">
        <v>0.99972550000000004</v>
      </c>
      <c r="N5608">
        <v>-1.047264E-2</v>
      </c>
      <c r="O5608">
        <v>-2.0966720000000001E-2</v>
      </c>
      <c r="P5608">
        <v>0.98763000000000001</v>
      </c>
      <c r="Q5608">
        <v>0.153358299999999</v>
      </c>
      <c r="R5608">
        <v>3.2691199999999997E-2</v>
      </c>
      <c r="S5608">
        <v>3.0228269999999999</v>
      </c>
      <c r="T5608">
        <v>-5.5904509999999998E-2</v>
      </c>
      <c r="U5608">
        <v>0.71505739999999995</v>
      </c>
      <c r="V5608">
        <v>-5.3773689999999999E-2</v>
      </c>
      <c r="W5608">
        <v>0.1635588</v>
      </c>
      <c r="X5608">
        <v>0.98506700000000003</v>
      </c>
      <c r="Y5608">
        <v>-0.2504883</v>
      </c>
      <c r="Z5608">
        <v>3.780463E-3</v>
      </c>
      <c r="AA5608">
        <v>0.96811219999999998</v>
      </c>
      <c r="AB5608">
        <v>32</v>
      </c>
      <c r="AC5608">
        <v>62.598099999999903</v>
      </c>
      <c r="AD5608">
        <v>-1.1606620000000001</v>
      </c>
      <c r="AE5608">
        <v>14.848599999999999</v>
      </c>
      <c r="AF5608">
        <v>-16.152626865301599</v>
      </c>
      <c r="AG5608">
        <v>-1.1606620000000001</v>
      </c>
      <c r="AH5608">
        <v>62.252732736524798</v>
      </c>
      <c r="AI5608">
        <v>91.0338908994202</v>
      </c>
      <c r="AJ5608">
        <v>104.54569122839401</v>
      </c>
      <c r="AK5608">
        <v>64.324623777314798</v>
      </c>
      <c r="AL5608">
        <v>80.586477946048106</v>
      </c>
      <c r="AM5608">
        <v>93.124610344218894</v>
      </c>
      <c r="AN5608">
        <v>1.00000004264132</v>
      </c>
    </row>
    <row r="5609" spans="1:40" x14ac:dyDescent="0.25">
      <c r="A5609" t="str">
        <f>"20190304155746442"</f>
        <v>20190304155746442</v>
      </c>
      <c r="B5609" t="str">
        <f>"1551686266430014"</f>
        <v>1551686266430014</v>
      </c>
      <c r="C5609" t="s">
        <v>40</v>
      </c>
      <c r="D5609">
        <v>4.4721979999999997</v>
      </c>
      <c r="E5609">
        <v>0.42191489999999998</v>
      </c>
      <c r="F5609" t="s">
        <v>44</v>
      </c>
      <c r="G5609">
        <v>-301.16930000000002</v>
      </c>
      <c r="H5609">
        <v>-0.05</v>
      </c>
      <c r="I5609">
        <v>32.110439999999997</v>
      </c>
      <c r="J5609">
        <v>-365.07850000000002</v>
      </c>
      <c r="K5609">
        <v>1.1106670000000001</v>
      </c>
      <c r="L5609">
        <v>16.895600000000002</v>
      </c>
      <c r="M5609">
        <v>0.99973820000000002</v>
      </c>
      <c r="N5609">
        <v>-1.0474529999999999E-2</v>
      </c>
      <c r="O5609">
        <v>-2.034828E-2</v>
      </c>
      <c r="P5609">
        <v>0.98758939999999995</v>
      </c>
      <c r="Q5609">
        <v>0.1535116</v>
      </c>
      <c r="R5609">
        <v>3.3191890000000002E-2</v>
      </c>
      <c r="S5609">
        <v>3.0223390000000001</v>
      </c>
      <c r="T5609">
        <v>-5.47384E-2</v>
      </c>
      <c r="U5609">
        <v>0.71740719999999902</v>
      </c>
      <c r="V5609">
        <v>-5.3663790000000003E-2</v>
      </c>
      <c r="W5609">
        <v>0.16371350000000001</v>
      </c>
      <c r="X5609">
        <v>0.98504720000000001</v>
      </c>
      <c r="Y5609">
        <v>-0.25063930000000001</v>
      </c>
      <c r="Z5609">
        <v>3.7228280000000001E-3</v>
      </c>
      <c r="AA5609">
        <v>0.96807339999999997</v>
      </c>
      <c r="AB5609">
        <v>32</v>
      </c>
      <c r="AC5609">
        <v>63.909199999999998</v>
      </c>
      <c r="AD5609">
        <v>-1.1606669999999999</v>
      </c>
      <c r="AE5609">
        <v>15.214840000000001</v>
      </c>
      <c r="AF5609">
        <v>-16.507050472828499</v>
      </c>
      <c r="AG5609">
        <v>-1.1606669999999999</v>
      </c>
      <c r="AH5609">
        <v>63.566512022804403</v>
      </c>
      <c r="AI5609">
        <v>91.012479082132501</v>
      </c>
      <c r="AJ5609">
        <v>104.557124437962</v>
      </c>
      <c r="AK5609">
        <v>65.685092022031398</v>
      </c>
      <c r="AL5609">
        <v>80.577492294335997</v>
      </c>
      <c r="AM5609">
        <v>93.118299590333706</v>
      </c>
      <c r="AN5609">
        <v>0.99999994933362502</v>
      </c>
    </row>
    <row r="5610" spans="1:40" x14ac:dyDescent="0.25">
      <c r="A5610" t="str">
        <f>"20190304155746454"</f>
        <v>20190304155746454</v>
      </c>
      <c r="B5610" t="str">
        <f>"1551686266450510"</f>
        <v>1551686266450510</v>
      </c>
      <c r="C5610" t="s">
        <v>40</v>
      </c>
      <c r="D5610">
        <v>4.4701149999999998</v>
      </c>
      <c r="E5610">
        <v>0.42191590000000001</v>
      </c>
      <c r="F5610" t="s">
        <v>44</v>
      </c>
      <c r="G5610">
        <v>-299.45909999999998</v>
      </c>
      <c r="H5610">
        <v>-0.05</v>
      </c>
      <c r="I5610">
        <v>32.532049999999998</v>
      </c>
      <c r="J5610">
        <v>-364.89600000000002</v>
      </c>
      <c r="K5610">
        <v>1.110668</v>
      </c>
      <c r="L5610">
        <v>16.892489999999999</v>
      </c>
      <c r="M5610">
        <v>0.99975099999999995</v>
      </c>
      <c r="N5610">
        <v>-1.047652E-2</v>
      </c>
      <c r="O5610">
        <v>-1.9708030000000001E-2</v>
      </c>
      <c r="P5610">
        <v>0.98756920000000004</v>
      </c>
      <c r="Q5610">
        <v>0.1535656</v>
      </c>
      <c r="R5610">
        <v>3.3540309999999997E-2</v>
      </c>
      <c r="S5610">
        <v>3.0217900000000002</v>
      </c>
      <c r="T5610">
        <v>-5.3449030000000002E-2</v>
      </c>
      <c r="U5610">
        <v>0.72006230000000004</v>
      </c>
      <c r="V5610">
        <v>-5.3379570000000001E-2</v>
      </c>
      <c r="W5610">
        <v>0.1637709</v>
      </c>
      <c r="X5610">
        <v>0.98505310000000001</v>
      </c>
      <c r="Y5610">
        <v>-0.25086639999999999</v>
      </c>
      <c r="Z5610">
        <v>3.6607200000000001E-3</v>
      </c>
      <c r="AA5610">
        <v>0.96801479999999995</v>
      </c>
      <c r="AB5610">
        <v>32</v>
      </c>
      <c r="AC5610">
        <v>65.436899999999895</v>
      </c>
      <c r="AD5610">
        <v>-1.160668</v>
      </c>
      <c r="AE5610">
        <v>15.639559999999999</v>
      </c>
      <c r="AF5610">
        <v>-16.921189249806201</v>
      </c>
      <c r="AG5610">
        <v>-1.160668</v>
      </c>
      <c r="AH5610">
        <v>65.096574217517102</v>
      </c>
      <c r="AI5610">
        <v>90.9886247803732</v>
      </c>
      <c r="AJ5610">
        <v>104.570984330531</v>
      </c>
      <c r="AK5610">
        <v>67.269887547777998</v>
      </c>
      <c r="AL5610">
        <v>80.574158508341398</v>
      </c>
      <c r="AM5610">
        <v>93.101797906605796</v>
      </c>
      <c r="AN5610">
        <v>0.999999947999901</v>
      </c>
    </row>
    <row r="5611" spans="1:40" x14ac:dyDescent="0.25">
      <c r="A5611" t="str">
        <f>"20190304155746473"</f>
        <v>20190304155746473</v>
      </c>
      <c r="B5611" t="str">
        <f>"1551686266470030"</f>
        <v>1551686266470030</v>
      </c>
      <c r="C5611" t="s">
        <v>40</v>
      </c>
      <c r="D5611">
        <v>4.4462789999999996</v>
      </c>
      <c r="E5611">
        <v>0.42185089999999997</v>
      </c>
      <c r="F5611" t="s">
        <v>44</v>
      </c>
      <c r="G5611">
        <v>-297.79500000000002</v>
      </c>
      <c r="H5611">
        <v>-0.05</v>
      </c>
      <c r="I5611">
        <v>32.904260000000001</v>
      </c>
      <c r="J5611">
        <v>-364.61849999999998</v>
      </c>
      <c r="K5611">
        <v>1.1106640000000001</v>
      </c>
      <c r="L5611">
        <v>16.887969999999999</v>
      </c>
      <c r="M5611">
        <v>0.99976949999999998</v>
      </c>
      <c r="N5611">
        <v>-1.047962E-2</v>
      </c>
      <c r="O5611">
        <v>-1.87376E-2</v>
      </c>
      <c r="P5611">
        <v>0.9875138</v>
      </c>
      <c r="Q5611">
        <v>0.15378059999999999</v>
      </c>
      <c r="R5611">
        <v>3.417705E-2</v>
      </c>
      <c r="S5611">
        <v>3.021423</v>
      </c>
      <c r="T5611">
        <v>-5.2262540000000003E-2</v>
      </c>
      <c r="U5611">
        <v>0.7209778</v>
      </c>
      <c r="V5611">
        <v>-5.3057260000000002E-2</v>
      </c>
      <c r="W5611">
        <v>0.16398960000000001</v>
      </c>
      <c r="X5611">
        <v>0.98503419999999997</v>
      </c>
      <c r="Y5611">
        <v>-0.25023299999999998</v>
      </c>
      <c r="Z5611">
        <v>3.5898010000000001E-3</v>
      </c>
      <c r="AA5611">
        <v>0.96817900000000001</v>
      </c>
      <c r="AB5611">
        <v>32</v>
      </c>
      <c r="AC5611">
        <v>66.823499999999896</v>
      </c>
      <c r="AD5611">
        <v>-1.1606639999999999</v>
      </c>
      <c r="AE5611">
        <v>16.016289999999898</v>
      </c>
      <c r="AF5611">
        <v>-17.260734171328501</v>
      </c>
      <c r="AG5611">
        <v>-1.1606639999999999</v>
      </c>
      <c r="AH5611">
        <v>66.492673462596002</v>
      </c>
      <c r="AI5611">
        <v>90.967950707281801</v>
      </c>
      <c r="AJ5611">
        <v>104.552130322876</v>
      </c>
      <c r="AK5611">
        <v>68.706300360720803</v>
      </c>
      <c r="AL5611">
        <v>80.561456859450999</v>
      </c>
      <c r="AM5611">
        <v>93.083164293350606</v>
      </c>
      <c r="AN5611">
        <v>1.00000001845825</v>
      </c>
    </row>
    <row r="5612" spans="1:40" x14ac:dyDescent="0.25">
      <c r="A5612" t="str">
        <f>"20190304155746497"</f>
        <v>20190304155746497</v>
      </c>
      <c r="B5612" t="str">
        <f>"1551686266490528"</f>
        <v>1551686266490528</v>
      </c>
      <c r="C5612" t="s">
        <v>40</v>
      </c>
      <c r="D5612">
        <v>3.9092899999999999</v>
      </c>
      <c r="E5612">
        <v>0.42224919999999999</v>
      </c>
      <c r="F5612" t="s">
        <v>44</v>
      </c>
      <c r="G5612">
        <v>-300.27010000000001</v>
      </c>
      <c r="H5612">
        <v>-0.05</v>
      </c>
      <c r="I5612">
        <v>32.293750000000003</v>
      </c>
      <c r="J5612">
        <v>-364.2835</v>
      </c>
      <c r="K5612">
        <v>1.1106659999999999</v>
      </c>
      <c r="L5612">
        <v>16.882899999999999</v>
      </c>
      <c r="M5612">
        <v>0.99979070000000003</v>
      </c>
      <c r="N5612">
        <v>-1.048319E-2</v>
      </c>
      <c r="O5612">
        <v>-1.7573950000000001E-2</v>
      </c>
      <c r="P5612">
        <v>0.98738150000000002</v>
      </c>
      <c r="Q5612">
        <v>0.15444949999999999</v>
      </c>
      <c r="R5612">
        <v>3.4978599999999999E-2</v>
      </c>
      <c r="S5612">
        <v>3.0213930000000002</v>
      </c>
      <c r="T5612">
        <v>-5.4497480000000001E-2</v>
      </c>
      <c r="U5612">
        <v>0.72335819999999995</v>
      </c>
      <c r="V5612">
        <v>-5.270793E-2</v>
      </c>
      <c r="W5612">
        <v>0.16466229999999901</v>
      </c>
      <c r="X5612">
        <v>0.9849407</v>
      </c>
      <c r="Y5612">
        <v>-0.24982589999999999</v>
      </c>
      <c r="Z5612">
        <v>3.6805660000000001E-3</v>
      </c>
      <c r="AA5612">
        <v>0.96828380000000003</v>
      </c>
      <c r="AB5612">
        <v>32</v>
      </c>
      <c r="AC5612">
        <v>64.013399999999905</v>
      </c>
      <c r="AD5612">
        <v>-1.160666</v>
      </c>
      <c r="AE5612">
        <v>15.41085</v>
      </c>
      <c r="AF5612">
        <v>-16.5283636809475</v>
      </c>
      <c r="AG5612">
        <v>-1.160666</v>
      </c>
      <c r="AH5612">
        <v>63.712870250229699</v>
      </c>
      <c r="AI5612">
        <v>91.010217222842897</v>
      </c>
      <c r="AJ5612">
        <v>104.543059924711</v>
      </c>
      <c r="AK5612">
        <v>65.832087822397199</v>
      </c>
      <c r="AL5612">
        <v>80.522382554364199</v>
      </c>
      <c r="AM5612">
        <v>93.063193667418304</v>
      </c>
      <c r="AN5612">
        <v>0.99999999072133205</v>
      </c>
    </row>
    <row r="5613" spans="1:40" x14ac:dyDescent="0.25">
      <c r="A5613" t="str">
        <f>"20190304155746517"</f>
        <v>20190304155746517</v>
      </c>
      <c r="B5613" t="str">
        <f>"1551686266510046"</f>
        <v>1551686266510046</v>
      </c>
      <c r="C5613" t="s">
        <v>40</v>
      </c>
      <c r="D5613">
        <v>4.785609</v>
      </c>
      <c r="E5613">
        <v>0.49392170000000002</v>
      </c>
      <c r="F5613" t="s">
        <v>44</v>
      </c>
      <c r="G5613">
        <v>-297.1755</v>
      </c>
      <c r="H5613">
        <v>-0.05</v>
      </c>
      <c r="I5613">
        <v>32.933679999999903</v>
      </c>
      <c r="J5613">
        <v>-363.98009999999999</v>
      </c>
      <c r="K5613">
        <v>1.110657</v>
      </c>
      <c r="L5613">
        <v>16.878629999999902</v>
      </c>
      <c r="M5613">
        <v>0.99980840000000004</v>
      </c>
      <c r="N5613">
        <v>-1.0486219999999999E-2</v>
      </c>
      <c r="O5613">
        <v>-1.6528339999999999E-2</v>
      </c>
      <c r="P5613">
        <v>0.98728260000000001</v>
      </c>
      <c r="Q5613">
        <v>0.15497949999999999</v>
      </c>
      <c r="R5613">
        <v>3.5418060000000001E-2</v>
      </c>
      <c r="S5613">
        <v>3.020905</v>
      </c>
      <c r="T5613">
        <v>-5.2248000000000003E-2</v>
      </c>
      <c r="U5613">
        <v>0.72253420000000002</v>
      </c>
      <c r="V5613">
        <v>-5.2113310000000003E-2</v>
      </c>
      <c r="W5613">
        <v>0.16519700000000001</v>
      </c>
      <c r="X5613">
        <v>0.98488279999999995</v>
      </c>
      <c r="Y5613">
        <v>-0.24860309999999999</v>
      </c>
      <c r="Z5613">
        <v>3.5527419999999998E-3</v>
      </c>
      <c r="AA5613">
        <v>0.96859890000000004</v>
      </c>
      <c r="AB5613">
        <v>32</v>
      </c>
      <c r="AC5613">
        <v>66.804599999999994</v>
      </c>
      <c r="AD5613">
        <v>-1.160657</v>
      </c>
      <c r="AE5613">
        <v>16.055049999999898</v>
      </c>
      <c r="AF5613">
        <v>-17.1521917388073</v>
      </c>
      <c r="AG5613">
        <v>-1.160657</v>
      </c>
      <c r="AH5613">
        <v>66.511115114121793</v>
      </c>
      <c r="AI5613">
        <v>90.968076392785406</v>
      </c>
      <c r="AJ5613">
        <v>104.460628426349</v>
      </c>
      <c r="AK5613">
        <v>68.696966744103193</v>
      </c>
      <c r="AL5613">
        <v>80.491321096509694</v>
      </c>
      <c r="AM5613">
        <v>93.028878936793603</v>
      </c>
      <c r="AN5613">
        <v>0.99999998781199795</v>
      </c>
    </row>
    <row r="5614" spans="1:40" x14ac:dyDescent="0.25">
      <c r="A5614" t="str">
        <f>"20190304155746528"</f>
        <v>20190304155746528</v>
      </c>
      <c r="B5614" t="str">
        <f>"1551686266519808"</f>
        <v>1551686266519808</v>
      </c>
      <c r="C5614" t="s">
        <v>40</v>
      </c>
      <c r="D5614">
        <v>4.5873879999999998</v>
      </c>
      <c r="E5614">
        <v>0.49392170000000002</v>
      </c>
      <c r="F5614" t="s">
        <v>44</v>
      </c>
      <c r="G5614">
        <v>-281.65300000000002</v>
      </c>
      <c r="H5614">
        <v>-0.05</v>
      </c>
      <c r="I5614">
        <v>21.020199999999999</v>
      </c>
      <c r="J5614">
        <v>-363.81610000000001</v>
      </c>
      <c r="K5614">
        <v>1.110654</v>
      </c>
      <c r="L5614">
        <v>16.876429999999999</v>
      </c>
      <c r="M5614">
        <v>0.99981770000000003</v>
      </c>
      <c r="N5614">
        <v>-1.048788E-2</v>
      </c>
      <c r="O5614">
        <v>-1.5966560000000001E-2</v>
      </c>
      <c r="P5614">
        <v>0.98722529999999997</v>
      </c>
      <c r="Q5614">
        <v>0.15533339999999901</v>
      </c>
      <c r="R5614">
        <v>3.5466159999999997E-2</v>
      </c>
      <c r="S5614">
        <v>3.0398559999999999</v>
      </c>
      <c r="T5614">
        <v>-4.285622E-2</v>
      </c>
      <c r="U5614">
        <v>0.15292359999999999</v>
      </c>
      <c r="V5614">
        <v>-5.1605320000000003E-2</v>
      </c>
      <c r="W5614">
        <v>0.16555349999999999</v>
      </c>
      <c r="X5614">
        <v>0.98484970000000005</v>
      </c>
      <c r="Y5614">
        <v>-6.6171980000000005E-2</v>
      </c>
      <c r="Z5614">
        <v>8.7101249999999996E-4</v>
      </c>
      <c r="AA5614">
        <v>0.99780789999999997</v>
      </c>
      <c r="AB5614">
        <v>32</v>
      </c>
      <c r="AC5614">
        <v>82.163099999999901</v>
      </c>
      <c r="AD5614">
        <v>-1.1606540000000001</v>
      </c>
      <c r="AE5614">
        <v>4.14377</v>
      </c>
      <c r="AF5614">
        <v>-5.4540901030821303</v>
      </c>
      <c r="AG5614">
        <v>-1.1606540000000001</v>
      </c>
      <c r="AH5614">
        <v>82.070124292264893</v>
      </c>
      <c r="AI5614">
        <v>90.808452632117493</v>
      </c>
      <c r="AJ5614">
        <v>93.802084122939206</v>
      </c>
      <c r="AK5614">
        <v>82.259343043255896</v>
      </c>
      <c r="AL5614">
        <v>80.470610100284404</v>
      </c>
      <c r="AM5614">
        <v>92.999508837963006</v>
      </c>
      <c r="AN5614">
        <v>1.00000000100232</v>
      </c>
    </row>
    <row r="5615" spans="1:40" x14ac:dyDescent="0.25">
      <c r="A5615" t="str">
        <f>"20190304155746540"</f>
        <v>20190304155746540</v>
      </c>
      <c r="B5615" t="str">
        <f>"1551686266530542"</f>
        <v>1551686266530542</v>
      </c>
      <c r="C5615" t="s">
        <v>40</v>
      </c>
      <c r="D5615">
        <v>4.5583479999999996</v>
      </c>
      <c r="E5615">
        <v>0.56086389999999997</v>
      </c>
      <c r="F5615" t="s">
        <v>88</v>
      </c>
      <c r="G5615">
        <v>-279.68</v>
      </c>
      <c r="H5615">
        <v>-4.5469759999999998E-2</v>
      </c>
      <c r="I5615">
        <v>21.11149</v>
      </c>
      <c r="J5615">
        <v>-363.6635</v>
      </c>
      <c r="K5615">
        <v>1.1106469999999999</v>
      </c>
      <c r="L5615">
        <v>16.874479999999998</v>
      </c>
      <c r="M5615">
        <v>0.99982570000000004</v>
      </c>
      <c r="N5615">
        <v>-1.0489389999999999E-2</v>
      </c>
      <c r="O5615">
        <v>-1.545033E-2</v>
      </c>
      <c r="P5615">
        <v>0.98720300000000005</v>
      </c>
      <c r="Q5615">
        <v>0.15538920000000001</v>
      </c>
      <c r="R5615">
        <v>3.584296E-2</v>
      </c>
      <c r="S5615">
        <v>3.0398860000000001</v>
      </c>
      <c r="T5615">
        <v>-4.1771290000000003E-2</v>
      </c>
      <c r="U5615">
        <v>0.15301509999999999</v>
      </c>
      <c r="V5615">
        <v>-5.1470969999999998E-2</v>
      </c>
      <c r="W5615">
        <v>0.1656118</v>
      </c>
      <c r="X5615">
        <v>0.98484689999999997</v>
      </c>
      <c r="Y5615">
        <v>-6.5686800000000004E-2</v>
      </c>
      <c r="Z5615">
        <v>8.4598020000000004E-4</v>
      </c>
      <c r="AA5615">
        <v>0.9978399</v>
      </c>
      <c r="AB5615">
        <v>32</v>
      </c>
      <c r="AC5615">
        <v>83.983499999999907</v>
      </c>
      <c r="AD5615">
        <v>-1.15611676</v>
      </c>
      <c r="AE5615">
        <v>4.2370099999999997</v>
      </c>
      <c r="AF5615">
        <v>-5.5331023933593997</v>
      </c>
      <c r="AG5615">
        <v>-1.15611676</v>
      </c>
      <c r="AH5615">
        <v>83.892150107864396</v>
      </c>
      <c r="AI5615">
        <v>90.787831023473203</v>
      </c>
      <c r="AJ5615">
        <v>93.773474880022306</v>
      </c>
      <c r="AK5615">
        <v>84.082368412043493</v>
      </c>
      <c r="AL5615">
        <v>80.467222728658001</v>
      </c>
      <c r="AM5615">
        <v>92.991722570093799</v>
      </c>
      <c r="AN5615">
        <v>0.999999972745795</v>
      </c>
    </row>
    <row r="5616" spans="1:40" x14ac:dyDescent="0.25">
      <c r="A5616" t="str">
        <f>"20190304155746551"</f>
        <v>20190304155746551</v>
      </c>
      <c r="B5616" t="str">
        <f>"1551686266540302"</f>
        <v>1551686266540302</v>
      </c>
      <c r="C5616" t="s">
        <v>40</v>
      </c>
      <c r="D5616">
        <v>4.5739219999999996</v>
      </c>
      <c r="E5616">
        <v>0.56215539999999997</v>
      </c>
      <c r="F5616" t="s">
        <v>89</v>
      </c>
      <c r="G5616">
        <v>-265.7654</v>
      </c>
      <c r="H5616">
        <v>1.788672</v>
      </c>
      <c r="I5616">
        <v>4.6990699999999999</v>
      </c>
      <c r="J5616">
        <v>-363.5018</v>
      </c>
      <c r="K5616">
        <v>1.110641</v>
      </c>
      <c r="L5616">
        <v>16.87247</v>
      </c>
      <c r="M5616">
        <v>0.999834</v>
      </c>
      <c r="N5616">
        <v>-1.049099E-2</v>
      </c>
      <c r="O5616">
        <v>-1.490561E-2</v>
      </c>
      <c r="P5616">
        <v>0.98714669999999904</v>
      </c>
      <c r="Q5616">
        <v>0.15569229999999901</v>
      </c>
      <c r="R5616">
        <v>3.6077930000000001E-2</v>
      </c>
      <c r="S5616">
        <v>3.049347</v>
      </c>
      <c r="T5616">
        <v>2.1119240000000001E-2</v>
      </c>
      <c r="U5616">
        <v>-0.37924190000000002</v>
      </c>
      <c r="V5616">
        <v>-5.1166349999999999E-2</v>
      </c>
      <c r="W5616">
        <v>0.16591700000000001</v>
      </c>
      <c r="X5616">
        <v>0.9848114</v>
      </c>
      <c r="Y5616">
        <v>0.1086148</v>
      </c>
      <c r="Z5616">
        <v>-4.5588550000000001E-4</v>
      </c>
      <c r="AA5616">
        <v>0.99408379999999996</v>
      </c>
      <c r="AB5616">
        <v>32</v>
      </c>
      <c r="AC5616">
        <v>97.736400000000003</v>
      </c>
      <c r="AD5616">
        <v>0.67803100000000005</v>
      </c>
      <c r="AE5616">
        <v>-12.173400000000001</v>
      </c>
      <c r="AF5616">
        <v>10.714639023465899</v>
      </c>
      <c r="AG5616">
        <v>0.67803100000000005</v>
      </c>
      <c r="AH5616">
        <v>97.902362976590695</v>
      </c>
      <c r="AI5616">
        <v>89.605554773890006</v>
      </c>
      <c r="AJ5616">
        <v>83.754287261427606</v>
      </c>
      <c r="AK5616">
        <v>98.489267901839298</v>
      </c>
      <c r="AL5616">
        <v>80.449490713653006</v>
      </c>
      <c r="AM5616">
        <v>92.974155591148403</v>
      </c>
      <c r="AN5616">
        <v>0.99999996991564</v>
      </c>
    </row>
    <row r="5617" spans="1:40" x14ac:dyDescent="0.25">
      <c r="A5617" t="str">
        <f>"20190304155746562"</f>
        <v>20190304155746562</v>
      </c>
      <c r="B5617" t="str">
        <f>"1551686266560798"</f>
        <v>1551686266560798</v>
      </c>
      <c r="C5617" t="s">
        <v>40</v>
      </c>
      <c r="D5617">
        <v>4.5464000000000002</v>
      </c>
      <c r="E5617">
        <v>0.56315179999999998</v>
      </c>
      <c r="F5617" t="s">
        <v>89</v>
      </c>
      <c r="G5617">
        <v>-267.28199999999998</v>
      </c>
      <c r="H5617">
        <v>1.9946189999999999</v>
      </c>
      <c r="I5617">
        <v>4.6006090000000004</v>
      </c>
      <c r="J5617">
        <v>-363.33010000000002</v>
      </c>
      <c r="K5617">
        <v>1.110635</v>
      </c>
      <c r="L5617">
        <v>16.870480000000001</v>
      </c>
      <c r="M5617">
        <v>0.99984229999999996</v>
      </c>
      <c r="N5617">
        <v>-1.049257E-2</v>
      </c>
      <c r="O5617">
        <v>-1.433852E-2</v>
      </c>
      <c r="P5617">
        <v>0.98713580000000001</v>
      </c>
      <c r="Q5617">
        <v>0.15567879999999901</v>
      </c>
      <c r="R5617">
        <v>3.6432369999999999E-2</v>
      </c>
      <c r="S5617">
        <v>3.048889</v>
      </c>
      <c r="T5617">
        <v>2.801037E-2</v>
      </c>
      <c r="U5617">
        <v>-0.38885500000000001</v>
      </c>
      <c r="V5617">
        <v>-5.0957460000000003E-2</v>
      </c>
      <c r="W5617">
        <v>0.1659071</v>
      </c>
      <c r="X5617">
        <v>0.98482389999999997</v>
      </c>
      <c r="Y5617">
        <v>0.1122814</v>
      </c>
      <c r="Z5617">
        <v>-3.5881159999999999E-4</v>
      </c>
      <c r="AA5617">
        <v>0.99367640000000002</v>
      </c>
      <c r="AB5617">
        <v>32</v>
      </c>
      <c r="AC5617">
        <v>96.048100000000005</v>
      </c>
      <c r="AD5617">
        <v>0.88398399999999899</v>
      </c>
      <c r="AE5617">
        <v>-12.269871</v>
      </c>
      <c r="AF5617">
        <v>10.890438624921501</v>
      </c>
      <c r="AG5617">
        <v>0.88398399999999899</v>
      </c>
      <c r="AH5617">
        <v>96.206148111553603</v>
      </c>
      <c r="AI5617">
        <v>89.476896901249802</v>
      </c>
      <c r="AJ5617">
        <v>83.541667809225501</v>
      </c>
      <c r="AK5617">
        <v>96.824614719696299</v>
      </c>
      <c r="AL5617">
        <v>80.450065927049806</v>
      </c>
      <c r="AM5617">
        <v>92.961997542480503</v>
      </c>
      <c r="AN5617">
        <v>0.999999971285635</v>
      </c>
    </row>
    <row r="5618" spans="1:40" x14ac:dyDescent="0.25">
      <c r="A5618" t="str">
        <f>"20190304155746576"</f>
        <v>20190304155746576</v>
      </c>
      <c r="B5618" t="str">
        <f>"1551686266570558"</f>
        <v>1551686266570558</v>
      </c>
      <c r="C5618" t="s">
        <v>40</v>
      </c>
      <c r="D5618">
        <v>4.5533590000000004</v>
      </c>
      <c r="E5618">
        <v>0.56376689999999996</v>
      </c>
      <c r="F5618" t="s">
        <v>89</v>
      </c>
      <c r="G5618">
        <v>-268.82150000000001</v>
      </c>
      <c r="H5618">
        <v>2.1293000000000002</v>
      </c>
      <c r="I5618">
        <v>4.6006549999999997</v>
      </c>
      <c r="J5618">
        <v>-363.14749999999998</v>
      </c>
      <c r="K5618">
        <v>1.1106320000000001</v>
      </c>
      <c r="L5618">
        <v>16.868410000000001</v>
      </c>
      <c r="M5618">
        <v>0.99985060000000003</v>
      </c>
      <c r="N5618">
        <v>-1.049429E-2</v>
      </c>
      <c r="O5618">
        <v>-1.3741400000000001E-2</v>
      </c>
      <c r="P5618">
        <v>0.98711669999999996</v>
      </c>
      <c r="Q5618">
        <v>0.155685299999999</v>
      </c>
      <c r="R5618">
        <v>3.6917819999999997E-2</v>
      </c>
      <c r="S5618">
        <v>3.0485229999999999</v>
      </c>
      <c r="T5618">
        <v>3.2858730000000003E-2</v>
      </c>
      <c r="U5618">
        <v>-0.39578249999999998</v>
      </c>
      <c r="V5618">
        <v>-5.084984E-2</v>
      </c>
      <c r="W5618">
        <v>0.16591649999999999</v>
      </c>
      <c r="X5618">
        <v>0.98482789999999998</v>
      </c>
      <c r="Y5618">
        <v>0.11511010000000001</v>
      </c>
      <c r="Z5618">
        <v>-2.798772E-4</v>
      </c>
      <c r="AA5618">
        <v>0.99335269999999998</v>
      </c>
      <c r="AB5618">
        <v>32</v>
      </c>
      <c r="AC5618">
        <v>94.325999999999894</v>
      </c>
      <c r="AD5618">
        <v>1.0186679999999999</v>
      </c>
      <c r="AE5618">
        <v>-12.267754999999999</v>
      </c>
      <c r="AF5618">
        <v>10.9690959981061</v>
      </c>
      <c r="AG5618">
        <v>1.0186679999999999</v>
      </c>
      <c r="AH5618">
        <v>94.474843263755304</v>
      </c>
      <c r="AI5618">
        <v>89.386358405640806</v>
      </c>
      <c r="AJ5618">
        <v>83.377269552237195</v>
      </c>
      <c r="AK5618">
        <v>95.1149555076436</v>
      </c>
      <c r="AL5618">
        <v>80.449519976208705</v>
      </c>
      <c r="AM5618">
        <v>92.9557410495337</v>
      </c>
      <c r="AN5618">
        <v>0.99999999190934197</v>
      </c>
    </row>
    <row r="5619" spans="1:40" x14ac:dyDescent="0.25">
      <c r="A5619" t="str">
        <f>"20190304155746587"</f>
        <v>20190304155746587</v>
      </c>
      <c r="B5619" t="str">
        <f>"1551686266580318"</f>
        <v>1551686266580318</v>
      </c>
      <c r="C5619" t="s">
        <v>40</v>
      </c>
      <c r="D5619">
        <v>4.4925940000000004</v>
      </c>
      <c r="E5619">
        <v>0.56371669999999996</v>
      </c>
      <c r="F5619" t="s">
        <v>89</v>
      </c>
      <c r="G5619">
        <v>-269.4708</v>
      </c>
      <c r="H5619">
        <v>1.9609080000000001</v>
      </c>
      <c r="I5619">
        <v>4.6005969999999996</v>
      </c>
      <c r="J5619">
        <v>-362.97879999999998</v>
      </c>
      <c r="K5619">
        <v>1.1106199999999999</v>
      </c>
      <c r="L5619">
        <v>16.866610000000001</v>
      </c>
      <c r="M5619">
        <v>0.99985780000000002</v>
      </c>
      <c r="N5619">
        <v>-1.0495910000000001E-2</v>
      </c>
      <c r="O5619">
        <v>-1.319709E-2</v>
      </c>
      <c r="P5619">
        <v>0.98707769999999995</v>
      </c>
      <c r="Q5619">
        <v>0.15584189999999901</v>
      </c>
      <c r="R5619">
        <v>3.72959E-2</v>
      </c>
      <c r="S5619">
        <v>3.0496829999999999</v>
      </c>
      <c r="T5619">
        <v>2.7681230000000001E-2</v>
      </c>
      <c r="U5619">
        <v>-0.3993835</v>
      </c>
      <c r="V5619">
        <v>-5.0686450000000001E-2</v>
      </c>
      <c r="W5619">
        <v>0.16607640000000001</v>
      </c>
      <c r="X5619">
        <v>0.98480939999999995</v>
      </c>
      <c r="Y5619">
        <v>0.1167562</v>
      </c>
      <c r="Z5619">
        <v>-3.4493449999999998E-4</v>
      </c>
      <c r="AA5619">
        <v>0.9931605</v>
      </c>
      <c r="AB5619">
        <v>32</v>
      </c>
      <c r="AC5619">
        <v>93.507999999999896</v>
      </c>
      <c r="AD5619">
        <v>0.85028799999999904</v>
      </c>
      <c r="AE5619">
        <v>-12.266012999999999</v>
      </c>
      <c r="AF5619">
        <v>11.029946589323201</v>
      </c>
      <c r="AG5619">
        <v>0.85028799999999904</v>
      </c>
      <c r="AH5619">
        <v>93.654127586980806</v>
      </c>
      <c r="AI5619">
        <v>89.483394838044504</v>
      </c>
      <c r="AJ5619">
        <v>83.283034431472799</v>
      </c>
      <c r="AK5619">
        <v>94.305240180621695</v>
      </c>
      <c r="AL5619">
        <v>80.440229764745894</v>
      </c>
      <c r="AM5619">
        <v>92.946315712542201</v>
      </c>
      <c r="AN5619">
        <v>1.0000000205894599</v>
      </c>
    </row>
    <row r="5620" spans="1:40" x14ac:dyDescent="0.25">
      <c r="A5620" t="str">
        <f>"20190304155746598"</f>
        <v>20190304155746598</v>
      </c>
      <c r="B5620" t="str">
        <f>"1551686266590079"</f>
        <v>1551686266590079</v>
      </c>
      <c r="C5620" t="s">
        <v>40</v>
      </c>
      <c r="D5620">
        <v>4.489306</v>
      </c>
      <c r="E5620">
        <v>0.56402799999999997</v>
      </c>
      <c r="F5620" t="s">
        <v>89</v>
      </c>
      <c r="G5620">
        <v>-268.92469999999997</v>
      </c>
      <c r="H5620">
        <v>1.8536360000000001</v>
      </c>
      <c r="I5620">
        <v>4.6005630000000002</v>
      </c>
      <c r="J5620">
        <v>-362.81180000000001</v>
      </c>
      <c r="K5620">
        <v>1.1106119999999999</v>
      </c>
      <c r="L5620">
        <v>16.864929999999902</v>
      </c>
      <c r="M5620">
        <v>0.9998648</v>
      </c>
      <c r="N5620">
        <v>-1.049748E-2</v>
      </c>
      <c r="O5620">
        <v>-1.267008E-2</v>
      </c>
      <c r="P5620">
        <v>0.98705350000000003</v>
      </c>
      <c r="Q5620">
        <v>0.15588060000000001</v>
      </c>
      <c r="R5620">
        <v>3.777254E-2</v>
      </c>
      <c r="S5620">
        <v>3.0504760000000002</v>
      </c>
      <c r="T5620">
        <v>2.4098519999999998E-2</v>
      </c>
      <c r="U5620">
        <v>-0.39782709999999999</v>
      </c>
      <c r="V5620">
        <v>-5.063865E-2</v>
      </c>
      <c r="W5620">
        <v>0.16611770000000001</v>
      </c>
      <c r="X5620">
        <v>0.98480489999999998</v>
      </c>
      <c r="Y5620">
        <v>0.1167482</v>
      </c>
      <c r="Z5620">
        <v>-3.8829799999999997E-4</v>
      </c>
      <c r="AA5620">
        <v>0.99316139999999997</v>
      </c>
      <c r="AB5620">
        <v>32</v>
      </c>
      <c r="AC5620">
        <v>93.887100000000004</v>
      </c>
      <c r="AD5620">
        <v>0.74302399999999902</v>
      </c>
      <c r="AE5620">
        <v>-12.264366999999901</v>
      </c>
      <c r="AF5620">
        <v>11.0730781475546</v>
      </c>
      <c r="AG5620">
        <v>0.74302399999999902</v>
      </c>
      <c r="AH5620">
        <v>94.029171629419494</v>
      </c>
      <c r="AI5620">
        <v>89.5503617420881</v>
      </c>
      <c r="AJ5620">
        <v>83.283658623209504</v>
      </c>
      <c r="AK5620">
        <v>94.681837020841797</v>
      </c>
      <c r="AL5620">
        <v>80.437830179371403</v>
      </c>
      <c r="AM5620">
        <v>92.943555496553103</v>
      </c>
      <c r="AN5620">
        <v>1.00000002709556</v>
      </c>
    </row>
    <row r="5621" spans="1:40" x14ac:dyDescent="0.25">
      <c r="A5621" t="str">
        <f>"20190304155746610"</f>
        <v>20190304155746610</v>
      </c>
      <c r="B5621" t="str">
        <f>"1551686266600815"</f>
        <v>1551686266600815</v>
      </c>
      <c r="C5621" t="s">
        <v>40</v>
      </c>
      <c r="D5621">
        <v>4.5447540000000002</v>
      </c>
      <c r="E5621">
        <v>0.56434390000000001</v>
      </c>
      <c r="F5621" t="s">
        <v>89</v>
      </c>
      <c r="G5621">
        <v>-268.97140000000002</v>
      </c>
      <c r="H5621">
        <v>1.7308129999999999</v>
      </c>
      <c r="I5621">
        <v>4.6005209999999996</v>
      </c>
      <c r="J5621">
        <v>-362.65129999999999</v>
      </c>
      <c r="K5621">
        <v>1.110603</v>
      </c>
      <c r="L5621">
        <v>16.863340000000001</v>
      </c>
      <c r="M5621">
        <v>0.99987079999999995</v>
      </c>
      <c r="N5621">
        <v>-1.049899E-2</v>
      </c>
      <c r="O5621">
        <v>-1.216691E-2</v>
      </c>
      <c r="P5621">
        <v>0.98708899999999999</v>
      </c>
      <c r="Q5621">
        <v>0.15554960000000001</v>
      </c>
      <c r="R5621">
        <v>3.8210029999999999E-2</v>
      </c>
      <c r="S5621">
        <v>3.0514220000000001</v>
      </c>
      <c r="T5621">
        <v>2.0167230000000001E-2</v>
      </c>
      <c r="U5621">
        <v>-0.39880369999999998</v>
      </c>
      <c r="V5621">
        <v>-5.0574800000000003E-2</v>
      </c>
      <c r="W5621">
        <v>0.16579050000000001</v>
      </c>
      <c r="X5621">
        <v>0.9848633</v>
      </c>
      <c r="Y5621">
        <v>0.117521</v>
      </c>
      <c r="Z5621">
        <v>-4.4012579999999998E-4</v>
      </c>
      <c r="AA5621">
        <v>0.99307029999999996</v>
      </c>
      <c r="AB5621">
        <v>32</v>
      </c>
      <c r="AC5621">
        <v>93.679899999999904</v>
      </c>
      <c r="AD5621">
        <v>0.62021000000000004</v>
      </c>
      <c r="AE5621">
        <v>-12.262819</v>
      </c>
      <c r="AF5621">
        <v>11.1215741445017</v>
      </c>
      <c r="AG5621">
        <v>0.62021000000000004</v>
      </c>
      <c r="AH5621">
        <v>93.818131036716295</v>
      </c>
      <c r="AI5621">
        <v>89.623869870384397</v>
      </c>
      <c r="AJ5621">
        <v>83.239480553749999</v>
      </c>
      <c r="AK5621">
        <v>94.477064852366297</v>
      </c>
      <c r="AL5621">
        <v>80.456840806759502</v>
      </c>
      <c r="AM5621">
        <v>92.939676478060406</v>
      </c>
      <c r="AN5621">
        <v>1.00000000998609</v>
      </c>
    </row>
    <row r="5622" spans="1:40" x14ac:dyDescent="0.25">
      <c r="A5622" t="str">
        <f>"20190304155746629"</f>
        <v>20190304155746629</v>
      </c>
      <c r="B5622" t="str">
        <f>"1551686266620334"</f>
        <v>1551686266620334</v>
      </c>
      <c r="C5622" t="s">
        <v>40</v>
      </c>
      <c r="D5622">
        <v>4.5469850000000003</v>
      </c>
      <c r="E5622">
        <v>0.56526259999999995</v>
      </c>
      <c r="F5622" t="s">
        <v>89</v>
      </c>
      <c r="G5622">
        <v>-269.09989999999999</v>
      </c>
      <c r="H5622">
        <v>1.6033660000000001</v>
      </c>
      <c r="I5622">
        <v>4.600479</v>
      </c>
      <c r="J5622">
        <v>-362.37639999999999</v>
      </c>
      <c r="K5622">
        <v>1.110576</v>
      </c>
      <c r="L5622">
        <v>16.86084</v>
      </c>
      <c r="M5622">
        <v>0.99988069999999896</v>
      </c>
      <c r="N5622">
        <v>-1.050152E-2</v>
      </c>
      <c r="O5622">
        <v>-1.133558E-2</v>
      </c>
      <c r="P5622">
        <v>0.9870546</v>
      </c>
      <c r="Q5622">
        <v>0.155557</v>
      </c>
      <c r="R5622">
        <v>3.9057960000000003E-2</v>
      </c>
      <c r="S5622">
        <v>3.0521850000000001</v>
      </c>
      <c r="T5622">
        <v>1.6076799999999999E-2</v>
      </c>
      <c r="U5622">
        <v>-0.40008539999999998</v>
      </c>
      <c r="V5622">
        <v>-5.0592529999999997E-2</v>
      </c>
      <c r="W5622">
        <v>0.16580320000000001</v>
      </c>
      <c r="X5622">
        <v>0.98486019999999996</v>
      </c>
      <c r="Y5622">
        <v>0.11872439999999999</v>
      </c>
      <c r="Z5622">
        <v>-4.9271609999999996E-4</v>
      </c>
      <c r="AA5622">
        <v>0.99292709999999995</v>
      </c>
      <c r="AB5622">
        <v>32</v>
      </c>
      <c r="AC5622">
        <v>93.276499999999999</v>
      </c>
      <c r="AD5622">
        <v>0.49279000000000001</v>
      </c>
      <c r="AE5622">
        <v>-12.260361</v>
      </c>
      <c r="AF5622">
        <v>11.2018644057193</v>
      </c>
      <c r="AG5622">
        <v>0.49279000000000001</v>
      </c>
      <c r="AH5622">
        <v>93.406929475044805</v>
      </c>
      <c r="AI5622">
        <v>89.699876044759193</v>
      </c>
      <c r="AJ5622">
        <v>83.161439593794697</v>
      </c>
      <c r="AK5622">
        <v>94.0775163474473</v>
      </c>
      <c r="AL5622">
        <v>80.456102450746499</v>
      </c>
      <c r="AM5622">
        <v>92.940714471505103</v>
      </c>
      <c r="AN5622">
        <v>0.99999995938303898</v>
      </c>
    </row>
    <row r="5623" spans="1:40" x14ac:dyDescent="0.25">
      <c r="A5623" t="str">
        <f>"20190304155746652"</f>
        <v>20190304155746652</v>
      </c>
      <c r="B5623" t="str">
        <f>"1551686266640834"</f>
        <v>1551686266640834</v>
      </c>
      <c r="C5623" t="s">
        <v>40</v>
      </c>
      <c r="D5623">
        <v>4.505547</v>
      </c>
      <c r="E5623">
        <v>0.56585200000000002</v>
      </c>
      <c r="F5623" t="s">
        <v>89</v>
      </c>
      <c r="G5623">
        <v>-269.923</v>
      </c>
      <c r="H5623">
        <v>1.4596039999999999</v>
      </c>
      <c r="I5623">
        <v>4.6004310000000004</v>
      </c>
      <c r="J5623">
        <v>-362.04520000000002</v>
      </c>
      <c r="K5623">
        <v>1.1105419999999999</v>
      </c>
      <c r="L5623">
        <v>16.858059999999998</v>
      </c>
      <c r="M5623">
        <v>0.99989110000000003</v>
      </c>
      <c r="N5623">
        <v>-1.050388E-2</v>
      </c>
      <c r="O5623">
        <v>-1.0372839999999999E-2</v>
      </c>
      <c r="P5623">
        <v>0.9870892</v>
      </c>
      <c r="Q5623">
        <v>0.15505920000000001</v>
      </c>
      <c r="R5623">
        <v>4.014624E-2</v>
      </c>
      <c r="S5623">
        <v>3.0535580000000002</v>
      </c>
      <c r="T5623">
        <v>1.152778E-2</v>
      </c>
      <c r="U5623">
        <v>-0.40493770000000001</v>
      </c>
      <c r="V5623">
        <v>-5.0717930000000001E-2</v>
      </c>
      <c r="W5623">
        <v>0.16531170000000001</v>
      </c>
      <c r="X5623">
        <v>0.98493640000000005</v>
      </c>
      <c r="Y5623">
        <v>0.121173</v>
      </c>
      <c r="Z5623">
        <v>-5.5893570000000001E-4</v>
      </c>
      <c r="AA5623">
        <v>0.99263129999999999</v>
      </c>
      <c r="AB5623">
        <v>32</v>
      </c>
      <c r="AC5623">
        <v>92.122200000000007</v>
      </c>
      <c r="AD5623">
        <v>0.34906199999999998</v>
      </c>
      <c r="AE5623">
        <v>-12.257629</v>
      </c>
      <c r="AF5623">
        <v>11.301188547975899</v>
      </c>
      <c r="AG5623">
        <v>0.34906199999999998</v>
      </c>
      <c r="AH5623">
        <v>92.243095435602996</v>
      </c>
      <c r="AI5623">
        <v>89.784794118951396</v>
      </c>
      <c r="AJ5623">
        <v>83.015200077259806</v>
      </c>
      <c r="AK5623">
        <v>92.933456636555306</v>
      </c>
      <c r="AL5623">
        <v>80.484657669145406</v>
      </c>
      <c r="AM5623">
        <v>92.9477628935025</v>
      </c>
      <c r="AN5623">
        <v>0.99999998931266698</v>
      </c>
    </row>
    <row r="5624" spans="1:40" x14ac:dyDescent="0.25">
      <c r="A5624" t="str">
        <f>"20190304155746663"</f>
        <v>20190304155746663</v>
      </c>
      <c r="B5624" t="str">
        <f>"1551686266660351"</f>
        <v>1551686266660351</v>
      </c>
      <c r="C5624" t="s">
        <v>40</v>
      </c>
      <c r="D5624">
        <v>4.5244390000000001</v>
      </c>
      <c r="E5624">
        <v>0.56635259999999998</v>
      </c>
      <c r="F5624" t="s">
        <v>89</v>
      </c>
      <c r="G5624">
        <v>-269.92439999999999</v>
      </c>
      <c r="H5624">
        <v>1.3126040000000001</v>
      </c>
      <c r="I5624">
        <v>4.600384</v>
      </c>
      <c r="J5624">
        <v>-361.87180000000001</v>
      </c>
      <c r="K5624">
        <v>1.110525</v>
      </c>
      <c r="L5624">
        <v>16.856750000000002</v>
      </c>
      <c r="M5624">
        <v>0.99989600000000001</v>
      </c>
      <c r="N5624">
        <v>-1.050279E-2</v>
      </c>
      <c r="O5624">
        <v>-9.8901130000000007E-3</v>
      </c>
      <c r="P5624">
        <v>0.9870641</v>
      </c>
      <c r="Q5624">
        <v>0.15506010000000001</v>
      </c>
      <c r="R5624">
        <v>4.075782E-2</v>
      </c>
      <c r="S5624">
        <v>3.0547179999999998</v>
      </c>
      <c r="T5624">
        <v>6.7003969999999899E-3</v>
      </c>
      <c r="U5624">
        <v>-0.40646359999999998</v>
      </c>
      <c r="V5624">
        <v>-5.0845189999999998E-2</v>
      </c>
      <c r="W5624">
        <v>0.1653136</v>
      </c>
      <c r="X5624">
        <v>0.98492950000000001</v>
      </c>
      <c r="Y5624">
        <v>0.12208960000000001</v>
      </c>
      <c r="Z5624">
        <v>-6.3568990000000003E-4</v>
      </c>
      <c r="AA5624">
        <v>0.99251889999999998</v>
      </c>
      <c r="AB5624">
        <v>32</v>
      </c>
      <c r="AC5624">
        <v>91.947400000000002</v>
      </c>
      <c r="AD5624">
        <v>0.20207900000000001</v>
      </c>
      <c r="AE5624">
        <v>-12.256366</v>
      </c>
      <c r="AF5624">
        <v>11.3462923722157</v>
      </c>
      <c r="AG5624">
        <v>0.20207900000000001</v>
      </c>
      <c r="AH5624">
        <v>92.063689109371794</v>
      </c>
      <c r="AI5624">
        <v>89.875180830363902</v>
      </c>
      <c r="AJ5624">
        <v>82.974071509450496</v>
      </c>
      <c r="AK5624">
        <v>92.760455146280407</v>
      </c>
      <c r="AL5624">
        <v>80.484547101355304</v>
      </c>
      <c r="AM5624">
        <v>92.955166908894896</v>
      </c>
      <c r="AN5624">
        <v>0.99999996983067196</v>
      </c>
    </row>
    <row r="5625" spans="1:40" x14ac:dyDescent="0.25">
      <c r="A5625" t="str">
        <f>"20190304155746675"</f>
        <v>20190304155746675</v>
      </c>
      <c r="B5625" t="str">
        <f>"1551686266670110"</f>
        <v>1551686266670110</v>
      </c>
      <c r="C5625" t="s">
        <v>40</v>
      </c>
      <c r="D5625">
        <v>4.5718120000000004</v>
      </c>
      <c r="E5625">
        <v>0.5666909</v>
      </c>
      <c r="F5625" t="s">
        <v>89</v>
      </c>
      <c r="G5625">
        <v>-270.22030000000001</v>
      </c>
      <c r="H5625">
        <v>1.2528779999999999</v>
      </c>
      <c r="I5625">
        <v>4.6003629999999998</v>
      </c>
      <c r="J5625">
        <v>-361.69240000000002</v>
      </c>
      <c r="K5625">
        <v>1.1105080000000001</v>
      </c>
      <c r="L5625">
        <v>16.855439999999899</v>
      </c>
      <c r="M5625">
        <v>0.99990069999999998</v>
      </c>
      <c r="N5625">
        <v>-1.0500600000000001E-2</v>
      </c>
      <c r="O5625">
        <v>-9.4013099999999995E-3</v>
      </c>
      <c r="P5625">
        <v>0.98707339999999999</v>
      </c>
      <c r="Q5625">
        <v>0.1549304</v>
      </c>
      <c r="R5625">
        <v>4.1023270000000001E-2</v>
      </c>
      <c r="S5625">
        <v>3.05545</v>
      </c>
      <c r="T5625">
        <v>4.7458409999999998E-3</v>
      </c>
      <c r="U5625">
        <v>-0.40859990000000002</v>
      </c>
      <c r="V5625">
        <v>-5.062088E-2</v>
      </c>
      <c r="W5625">
        <v>0.16518479999999999</v>
      </c>
      <c r="X5625">
        <v>0.98496269999999997</v>
      </c>
      <c r="Y5625">
        <v>0.123225</v>
      </c>
      <c r="Z5625">
        <v>-6.674122E-4</v>
      </c>
      <c r="AA5625">
        <v>0.99237850000000005</v>
      </c>
      <c r="AB5625">
        <v>32</v>
      </c>
      <c r="AC5625">
        <v>91.472099999999998</v>
      </c>
      <c r="AD5625">
        <v>0.14237</v>
      </c>
      <c r="AE5625">
        <v>-12.255076999999901</v>
      </c>
      <c r="AF5625">
        <v>11.39450327352</v>
      </c>
      <c r="AG5625">
        <v>0.14237</v>
      </c>
      <c r="AH5625">
        <v>91.583059282525397</v>
      </c>
      <c r="AI5625">
        <v>89.911612669247404</v>
      </c>
      <c r="AJ5625">
        <v>82.907867054258304</v>
      </c>
      <c r="AK5625">
        <v>92.289282810160202</v>
      </c>
      <c r="AL5625">
        <v>80.492030016750604</v>
      </c>
      <c r="AM5625">
        <v>92.9420537754431</v>
      </c>
      <c r="AN5625">
        <v>1.0000000060171499</v>
      </c>
    </row>
    <row r="5626" spans="1:40" x14ac:dyDescent="0.25">
      <c r="A5626" t="str">
        <f>"20190304155746689"</f>
        <v>20190304155746689</v>
      </c>
      <c r="B5626" t="str">
        <f>"1551686266680847"</f>
        <v>1551686266680847</v>
      </c>
      <c r="C5626" t="s">
        <v>40</v>
      </c>
      <c r="D5626">
        <v>4.524762</v>
      </c>
      <c r="E5626">
        <v>0.56686740000000002</v>
      </c>
      <c r="F5626" t="s">
        <v>89</v>
      </c>
      <c r="G5626">
        <v>-270.47969999999998</v>
      </c>
      <c r="H5626">
        <v>1.195154</v>
      </c>
      <c r="I5626">
        <v>4.6003439999999998</v>
      </c>
      <c r="J5626">
        <v>-361.50400000000002</v>
      </c>
      <c r="K5626">
        <v>1.110487</v>
      </c>
      <c r="L5626">
        <v>16.854129999999898</v>
      </c>
      <c r="M5626">
        <v>0.9999053</v>
      </c>
      <c r="N5626">
        <v>-1.0497289999999999E-2</v>
      </c>
      <c r="O5626">
        <v>-8.8982060000000005E-3</v>
      </c>
      <c r="P5626">
        <v>0.98705290000000001</v>
      </c>
      <c r="Q5626">
        <v>0.15490590000000001</v>
      </c>
      <c r="R5626">
        <v>4.1607850000000002E-2</v>
      </c>
      <c r="S5626">
        <v>3.0559080000000001</v>
      </c>
      <c r="T5626">
        <v>2.8359890000000001E-3</v>
      </c>
      <c r="U5626">
        <v>-0.41058349999999999</v>
      </c>
      <c r="V5626">
        <v>-5.0701410000000002E-2</v>
      </c>
      <c r="W5626">
        <v>0.1651589</v>
      </c>
      <c r="X5626">
        <v>0.98496289999999997</v>
      </c>
      <c r="Y5626">
        <v>0.12433710000000001</v>
      </c>
      <c r="Z5626">
        <v>-6.9932649999999996E-4</v>
      </c>
      <c r="AA5626">
        <v>0.99223980000000001</v>
      </c>
      <c r="AB5626">
        <v>32</v>
      </c>
      <c r="AC5626">
        <v>91.024299999999997</v>
      </c>
      <c r="AD5626">
        <v>8.4667000000000006E-2</v>
      </c>
      <c r="AE5626">
        <v>-12.2537859999999</v>
      </c>
      <c r="AF5626">
        <v>11.4432934871684</v>
      </c>
      <c r="AG5626">
        <v>8.4667000000000006E-2</v>
      </c>
      <c r="AH5626">
        <v>91.129661247076001</v>
      </c>
      <c r="AI5626">
        <v>89.947182284185402</v>
      </c>
      <c r="AJ5626">
        <v>82.842741909108994</v>
      </c>
      <c r="AK5626">
        <v>91.8453662050579</v>
      </c>
      <c r="AL5626">
        <v>80.493534632110396</v>
      </c>
      <c r="AM5626">
        <v>92.946725288926302</v>
      </c>
      <c r="AN5626">
        <v>1.0000000048008</v>
      </c>
    </row>
    <row r="5627" spans="1:40" x14ac:dyDescent="0.25">
      <c r="A5627" t="str">
        <f>"20190304155746711"</f>
        <v>20190304155746711</v>
      </c>
      <c r="B5627" t="str">
        <f>"1551686266700368"</f>
        <v>1551686266700368</v>
      </c>
      <c r="C5627" t="s">
        <v>40</v>
      </c>
      <c r="D5627">
        <v>4.5696430000000001</v>
      </c>
      <c r="E5627">
        <v>0.56730689999999995</v>
      </c>
      <c r="F5627" t="s">
        <v>89</v>
      </c>
      <c r="G5627">
        <v>-270.23759999999999</v>
      </c>
      <c r="H5627">
        <v>1.1924619999999999</v>
      </c>
      <c r="I5627">
        <v>4.6003439999999998</v>
      </c>
      <c r="J5627">
        <v>-361.209</v>
      </c>
      <c r="K5627">
        <v>1.1104499999999999</v>
      </c>
      <c r="L5627">
        <v>16.85229</v>
      </c>
      <c r="M5627">
        <v>0.99991180000000002</v>
      </c>
      <c r="N5627">
        <v>-1.0482709999999999E-2</v>
      </c>
      <c r="O5627">
        <v>-8.1452E-3</v>
      </c>
      <c r="P5627">
        <v>0.98698560000000002</v>
      </c>
      <c r="Q5627">
        <v>0.15516820000000001</v>
      </c>
      <c r="R5627">
        <v>4.2213340000000002E-2</v>
      </c>
      <c r="S5627">
        <v>3.0562130000000001</v>
      </c>
      <c r="T5627">
        <v>2.7451519999999998E-3</v>
      </c>
      <c r="U5627">
        <v>-0.41033940000000002</v>
      </c>
      <c r="V5627">
        <v>-5.05513E-2</v>
      </c>
      <c r="W5627">
        <v>0.16541049999999999</v>
      </c>
      <c r="X5627">
        <v>0.98492840000000004</v>
      </c>
      <c r="Y5627">
        <v>0.1249933</v>
      </c>
      <c r="Z5627">
        <v>-6.9449179999999896E-4</v>
      </c>
      <c r="AA5627">
        <v>0.99215730000000002</v>
      </c>
      <c r="AB5627">
        <v>32</v>
      </c>
      <c r="AC5627">
        <v>90.971400000000003</v>
      </c>
      <c r="AD5627">
        <v>8.2012000000000196E-2</v>
      </c>
      <c r="AE5627">
        <v>-12.251946</v>
      </c>
      <c r="AF5627">
        <v>11.510509314671401</v>
      </c>
      <c r="AG5627">
        <v>8.2012000000000196E-2</v>
      </c>
      <c r="AH5627">
        <v>91.068109248757295</v>
      </c>
      <c r="AI5627">
        <v>89.948809194087204</v>
      </c>
      <c r="AJ5627">
        <v>82.796326719781902</v>
      </c>
      <c r="AK5627">
        <v>91.792696184363507</v>
      </c>
      <c r="AL5627">
        <v>80.47891802769</v>
      </c>
      <c r="AM5627">
        <v>92.938119056299797</v>
      </c>
      <c r="AN5627">
        <v>1.0000000102842499</v>
      </c>
    </row>
    <row r="5628" spans="1:40" x14ac:dyDescent="0.25">
      <c r="A5628" t="str">
        <f>"20190304155746726"</f>
        <v>20190304155746726</v>
      </c>
      <c r="B5628" t="str">
        <f>"1551686266720863"</f>
        <v>1551686266720863</v>
      </c>
      <c r="C5628" t="s">
        <v>40</v>
      </c>
      <c r="D5628">
        <v>4.5182949999999904</v>
      </c>
      <c r="E5628">
        <v>0.56754259999999901</v>
      </c>
      <c r="F5628" t="s">
        <v>89</v>
      </c>
      <c r="G5628">
        <v>-270.28750000000002</v>
      </c>
      <c r="H5628">
        <v>1.197632</v>
      </c>
      <c r="I5628">
        <v>4.600346</v>
      </c>
      <c r="J5628">
        <v>-360.96789999999999</v>
      </c>
      <c r="K5628">
        <v>1.110419</v>
      </c>
      <c r="L5628">
        <v>16.850919999999999</v>
      </c>
      <c r="M5628">
        <v>0.99991680000000005</v>
      </c>
      <c r="N5628">
        <v>-1.045862E-2</v>
      </c>
      <c r="O5628">
        <v>-7.5599439999999999E-3</v>
      </c>
      <c r="P5628">
        <v>0.98694760000000004</v>
      </c>
      <c r="Q5628">
        <v>0.15523480000000001</v>
      </c>
      <c r="R5628">
        <v>4.2857560000000003E-2</v>
      </c>
      <c r="S5628">
        <v>3.0566710000000001</v>
      </c>
      <c r="T5628">
        <v>2.9309990000000001E-3</v>
      </c>
      <c r="U5628">
        <v>-0.41189579999999998</v>
      </c>
      <c r="V5628">
        <v>-5.0607260000000001E-2</v>
      </c>
      <c r="W5628">
        <v>0.16545609999999999</v>
      </c>
      <c r="X5628">
        <v>0.98491790000000001</v>
      </c>
      <c r="Y5628">
        <v>0.12605060000000001</v>
      </c>
      <c r="Z5628">
        <v>-6.8791619999999996E-4</v>
      </c>
      <c r="AA5628">
        <v>0.99202360000000001</v>
      </c>
      <c r="AB5628">
        <v>32</v>
      </c>
      <c r="AC5628">
        <v>90.680399999999906</v>
      </c>
      <c r="AD5628">
        <v>8.7212999999999902E-2</v>
      </c>
      <c r="AE5628">
        <v>-12.250574</v>
      </c>
      <c r="AF5628">
        <v>11.5646371811257</v>
      </c>
      <c r="AG5628">
        <v>8.7212999999999902E-2</v>
      </c>
      <c r="AH5628">
        <v>90.7703446185172</v>
      </c>
      <c r="AI5628">
        <v>89.945391119025302</v>
      </c>
      <c r="AJ5628">
        <v>82.739321916411697</v>
      </c>
      <c r="AK5628">
        <v>91.504119587059193</v>
      </c>
      <c r="AL5628">
        <v>80.476269149151406</v>
      </c>
      <c r="AM5628">
        <v>92.941397131186903</v>
      </c>
      <c r="AN5628">
        <v>1.0000000427661599</v>
      </c>
    </row>
    <row r="5629" spans="1:40" x14ac:dyDescent="0.25">
      <c r="A5629" t="str">
        <f>"20190304155746741"</f>
        <v>20190304155746741</v>
      </c>
      <c r="B5629" t="str">
        <f>"1551686266730623"</f>
        <v>1551686266730623</v>
      </c>
      <c r="C5629" t="s">
        <v>40</v>
      </c>
      <c r="D5629">
        <v>4.5296099999999999</v>
      </c>
      <c r="E5629">
        <v>0.56778139999999999</v>
      </c>
      <c r="F5629" t="s">
        <v>89</v>
      </c>
      <c r="G5629">
        <v>-270.0292</v>
      </c>
      <c r="H5629">
        <v>1.2236039999999999</v>
      </c>
      <c r="I5629">
        <v>4.6003530000000001</v>
      </c>
      <c r="J5629">
        <v>-360.74770000000001</v>
      </c>
      <c r="K5629">
        <v>1.110387</v>
      </c>
      <c r="L5629">
        <v>16.849729999999902</v>
      </c>
      <c r="M5629">
        <v>0.9999207</v>
      </c>
      <c r="N5629">
        <v>-1.042685E-2</v>
      </c>
      <c r="O5629">
        <v>-7.0442459999999997E-3</v>
      </c>
      <c r="P5629">
        <v>0.98690330000000004</v>
      </c>
      <c r="Q5629">
        <v>0.15537190000000001</v>
      </c>
      <c r="R5629">
        <v>4.3375400000000001E-2</v>
      </c>
      <c r="S5629">
        <v>3.056915</v>
      </c>
      <c r="T5629">
        <v>3.804684E-3</v>
      </c>
      <c r="U5629">
        <v>-0.41180420000000001</v>
      </c>
      <c r="V5629">
        <v>-5.0607260000000001E-2</v>
      </c>
      <c r="W5629">
        <v>0.1655652</v>
      </c>
      <c r="X5629">
        <v>0.98489950000000004</v>
      </c>
      <c r="Y5629">
        <v>0.12652269999999999</v>
      </c>
      <c r="Z5629">
        <v>-6.6607319999999995E-4</v>
      </c>
      <c r="AA5629">
        <v>0.9919635</v>
      </c>
      <c r="AB5629">
        <v>32</v>
      </c>
      <c r="AC5629">
        <v>90.718500000000006</v>
      </c>
      <c r="AD5629">
        <v>0.113217</v>
      </c>
      <c r="AE5629">
        <v>-12.2493769999999</v>
      </c>
      <c r="AF5629">
        <v>11.6099770359586</v>
      </c>
      <c r="AG5629">
        <v>0.113217</v>
      </c>
      <c r="AH5629">
        <v>90.802402370439907</v>
      </c>
      <c r="AI5629">
        <v>89.929137663318599</v>
      </c>
      <c r="AJ5629">
        <v>82.713707192052297</v>
      </c>
      <c r="AK5629">
        <v>91.5416881049713</v>
      </c>
      <c r="AL5629">
        <v>80.469930134572493</v>
      </c>
      <c r="AM5629">
        <v>92.9414519861879</v>
      </c>
      <c r="AN5629">
        <v>0.99999997765799797</v>
      </c>
    </row>
    <row r="5630" spans="1:40" x14ac:dyDescent="0.25">
      <c r="A5630" t="str">
        <f>"20190304155746755"</f>
        <v>20190304155746755</v>
      </c>
      <c r="B5630" t="str">
        <f>"1551686266750143"</f>
        <v>1551686266750143</v>
      </c>
      <c r="C5630" t="s">
        <v>40</v>
      </c>
      <c r="D5630">
        <v>4.8477639999999997</v>
      </c>
      <c r="E5630">
        <v>0.56728800000000001</v>
      </c>
      <c r="F5630" t="s">
        <v>89</v>
      </c>
      <c r="G5630">
        <v>-269.8886</v>
      </c>
      <c r="H5630">
        <v>1.2371000000000001</v>
      </c>
      <c r="I5630">
        <v>4.6003569999999998</v>
      </c>
      <c r="J5630">
        <v>-360.55040000000002</v>
      </c>
      <c r="K5630">
        <v>1.1103590000000001</v>
      </c>
      <c r="L5630">
        <v>16.84882</v>
      </c>
      <c r="M5630">
        <v>0.99992420000000004</v>
      </c>
      <c r="N5630">
        <v>-1.0392759999999999E-2</v>
      </c>
      <c r="O5630">
        <v>-6.5945469999999897E-3</v>
      </c>
      <c r="P5630">
        <v>0.98689400000000005</v>
      </c>
      <c r="Q5630">
        <v>0.1552432</v>
      </c>
      <c r="R5630">
        <v>4.4043730000000003E-2</v>
      </c>
      <c r="S5630">
        <v>3.0572509999999999</v>
      </c>
      <c r="T5630">
        <v>4.2636389999999996E-3</v>
      </c>
      <c r="U5630">
        <v>-0.41217039999999999</v>
      </c>
      <c r="V5630">
        <v>-5.0822800000000001E-2</v>
      </c>
      <c r="W5630">
        <v>0.16540489999999999</v>
      </c>
      <c r="X5630">
        <v>0.9849154</v>
      </c>
      <c r="Y5630">
        <v>0.12707109999999999</v>
      </c>
      <c r="Z5630">
        <v>-6.5248219999999998E-4</v>
      </c>
      <c r="AA5630">
        <v>0.99189340000000004</v>
      </c>
      <c r="AB5630">
        <v>33</v>
      </c>
      <c r="AC5630">
        <v>90.661799999999999</v>
      </c>
      <c r="AD5630">
        <v>0.12674099999999999</v>
      </c>
      <c r="AE5630">
        <v>-12.248462999999999</v>
      </c>
      <c r="AF5630">
        <v>11.6502684569693</v>
      </c>
      <c r="AG5630">
        <v>0.12674099999999999</v>
      </c>
      <c r="AH5630">
        <v>90.7404316912436</v>
      </c>
      <c r="AI5630">
        <v>89.920624164802703</v>
      </c>
      <c r="AJ5630">
        <v>82.683754751261901</v>
      </c>
      <c r="AK5630">
        <v>91.485358183229394</v>
      </c>
      <c r="AL5630">
        <v>80.479243665939507</v>
      </c>
      <c r="AM5630">
        <v>92.953910100183094</v>
      </c>
      <c r="AN5630">
        <v>1.0000000415504999</v>
      </c>
    </row>
    <row r="5631" spans="1:40" x14ac:dyDescent="0.25">
      <c r="A5631" t="str">
        <f>"20190304155746775"</f>
        <v>20190304155746775</v>
      </c>
      <c r="B5631" t="str">
        <f>"1551686266770638"</f>
        <v>1551686266770638</v>
      </c>
      <c r="C5631" t="s">
        <v>40</v>
      </c>
      <c r="D5631">
        <v>4.5141530000000003</v>
      </c>
      <c r="E5631">
        <v>0.56786510000000001</v>
      </c>
      <c r="F5631" t="s">
        <v>89</v>
      </c>
      <c r="G5631">
        <v>-268.3836</v>
      </c>
      <c r="H5631">
        <v>1.176115</v>
      </c>
      <c r="I5631">
        <v>4.6003400000000001</v>
      </c>
      <c r="J5631">
        <v>-360.25850000000003</v>
      </c>
      <c r="K5631">
        <v>1.1103160000000001</v>
      </c>
      <c r="L5631">
        <v>16.847529999999999</v>
      </c>
      <c r="M5631">
        <v>0.99992890000000001</v>
      </c>
      <c r="N5631">
        <v>-1.033326E-2</v>
      </c>
      <c r="O5631">
        <v>-5.9522960000000001E-3</v>
      </c>
      <c r="P5631">
        <v>0.98689990000000005</v>
      </c>
      <c r="Q5631">
        <v>0.1550069</v>
      </c>
      <c r="R5631">
        <v>4.4737510000000001E-2</v>
      </c>
      <c r="S5631">
        <v>3.057617</v>
      </c>
      <c r="T5631">
        <v>2.1814109999999999E-3</v>
      </c>
      <c r="U5631">
        <v>-0.40634160000000002</v>
      </c>
      <c r="V5631">
        <v>-5.0871810000000003E-2</v>
      </c>
      <c r="W5631">
        <v>0.1651137</v>
      </c>
      <c r="X5631">
        <v>0.98496170000000005</v>
      </c>
      <c r="Y5631">
        <v>0.12583430000000001</v>
      </c>
      <c r="Z5631">
        <v>-6.7378309999999999E-4</v>
      </c>
      <c r="AA5631">
        <v>0.99205109999999996</v>
      </c>
      <c r="AB5631">
        <v>33</v>
      </c>
      <c r="AC5631">
        <v>91.874899999999997</v>
      </c>
      <c r="AD5631">
        <v>6.5798999999999899E-2</v>
      </c>
      <c r="AE5631">
        <v>-12.24719</v>
      </c>
      <c r="AF5631">
        <v>11.7000713253918</v>
      </c>
      <c r="AG5631">
        <v>6.5798999999999899E-2</v>
      </c>
      <c r="AH5631">
        <v>91.946128710656396</v>
      </c>
      <c r="AI5631">
        <v>89.959325666816</v>
      </c>
      <c r="AJ5631">
        <v>82.748131914717604</v>
      </c>
      <c r="AK5631">
        <v>92.687575129594606</v>
      </c>
      <c r="AL5631">
        <v>80.496160527849597</v>
      </c>
      <c r="AM5631">
        <v>92.956614853790001</v>
      </c>
      <c r="AN5631">
        <v>1.0000000127236199</v>
      </c>
    </row>
    <row r="5632" spans="1:40" x14ac:dyDescent="0.25">
      <c r="A5632" t="str">
        <f>"20190304155746787"</f>
        <v>20190304155746787</v>
      </c>
      <c r="B5632" t="str">
        <f>"1551686266780399"</f>
        <v>1551686266780399</v>
      </c>
      <c r="C5632" t="s">
        <v>40</v>
      </c>
      <c r="D5632">
        <v>4.7926070000000003</v>
      </c>
      <c r="E5632">
        <v>0.56718139999999995</v>
      </c>
      <c r="F5632" t="s">
        <v>89</v>
      </c>
      <c r="G5632">
        <v>-268.68470000000002</v>
      </c>
      <c r="H5632">
        <v>1.1940139999999999</v>
      </c>
      <c r="I5632">
        <v>4.600346</v>
      </c>
      <c r="J5632">
        <v>-360.07589999999999</v>
      </c>
      <c r="K5632">
        <v>1.110293</v>
      </c>
      <c r="L5632">
        <v>16.846800000000002</v>
      </c>
      <c r="M5632">
        <v>0.99993160000000003</v>
      </c>
      <c r="N5632">
        <v>-1.0292600000000001E-2</v>
      </c>
      <c r="O5632">
        <v>-5.560331E-3</v>
      </c>
      <c r="P5632">
        <v>0.9868673</v>
      </c>
      <c r="Q5632">
        <v>0.1550213</v>
      </c>
      <c r="R5632">
        <v>4.5402600000000001E-2</v>
      </c>
      <c r="S5632">
        <v>3.0578919999999998</v>
      </c>
      <c r="T5632">
        <v>2.794862E-3</v>
      </c>
      <c r="U5632">
        <v>-0.4089661</v>
      </c>
      <c r="V5632">
        <v>-5.114349E-2</v>
      </c>
      <c r="W5632">
        <v>0.165089299999999</v>
      </c>
      <c r="X5632">
        <v>0.98495169999999999</v>
      </c>
      <c r="Y5632">
        <v>0.1270481</v>
      </c>
      <c r="Z5632">
        <v>-6.6098160000000003E-4</v>
      </c>
      <c r="AA5632">
        <v>0.99189629999999995</v>
      </c>
      <c r="AB5632">
        <v>33</v>
      </c>
      <c r="AC5632">
        <v>91.391199999999898</v>
      </c>
      <c r="AD5632">
        <v>8.3720999999999907E-2</v>
      </c>
      <c r="AE5632">
        <v>-12.246454</v>
      </c>
      <c r="AF5632">
        <v>11.738062761859901</v>
      </c>
      <c r="AG5632">
        <v>8.3720999999999907E-2</v>
      </c>
      <c r="AH5632">
        <v>91.4578096021242</v>
      </c>
      <c r="AI5632">
        <v>89.947977840732804</v>
      </c>
      <c r="AJ5632">
        <v>82.686411488483103</v>
      </c>
      <c r="AK5632">
        <v>92.208026027160997</v>
      </c>
      <c r="AL5632">
        <v>80.497577802833405</v>
      </c>
      <c r="AM5632">
        <v>92.972406487059899</v>
      </c>
      <c r="AN5632">
        <v>0.99999999243838</v>
      </c>
    </row>
    <row r="5633" spans="1:40" x14ac:dyDescent="0.25">
      <c r="A5633" t="str">
        <f>"20190304155746798"</f>
        <v>20190304155746798</v>
      </c>
      <c r="B5633" t="str">
        <f>"1551686266790158"</f>
        <v>1551686266790158</v>
      </c>
      <c r="C5633" t="s">
        <v>40</v>
      </c>
      <c r="D5633">
        <v>4.8275379999999997</v>
      </c>
      <c r="E5633">
        <v>0.56657049999999998</v>
      </c>
      <c r="F5633" t="s">
        <v>89</v>
      </c>
      <c r="G5633">
        <v>-266.791</v>
      </c>
      <c r="H5633">
        <v>1.136738</v>
      </c>
      <c r="I5633">
        <v>4.6003249999999998</v>
      </c>
      <c r="J5633">
        <v>-359.9171</v>
      </c>
      <c r="K5633">
        <v>1.1102749999999999</v>
      </c>
      <c r="L5633">
        <v>16.846219999999999</v>
      </c>
      <c r="M5633">
        <v>0.99993390000000004</v>
      </c>
      <c r="N5633">
        <v>-1.0256670000000001E-2</v>
      </c>
      <c r="O5633">
        <v>-5.2275899999999998E-3</v>
      </c>
      <c r="P5633">
        <v>0.98684780000000005</v>
      </c>
      <c r="Q5633">
        <v>0.15502550000000001</v>
      </c>
      <c r="R5633">
        <v>4.5815420000000003E-2</v>
      </c>
      <c r="S5633">
        <v>3.0582579999999999</v>
      </c>
      <c r="T5633">
        <v>8.6700920000000003E-4</v>
      </c>
      <c r="U5633">
        <v>-0.40148929999999999</v>
      </c>
      <c r="V5633">
        <v>-5.1224060000000002E-2</v>
      </c>
      <c r="W5633">
        <v>0.16505919999999999</v>
      </c>
      <c r="X5633">
        <v>0.98495259999999996</v>
      </c>
      <c r="Y5633">
        <v>0.1249788</v>
      </c>
      <c r="Z5633">
        <v>-6.8091769999999998E-4</v>
      </c>
      <c r="AA5633">
        <v>0.99215920000000002</v>
      </c>
      <c r="AB5633">
        <v>33</v>
      </c>
      <c r="AC5633">
        <v>93.126099999999994</v>
      </c>
      <c r="AD5633">
        <v>2.6463000000000101E-2</v>
      </c>
      <c r="AE5633">
        <v>-12.245895000000001</v>
      </c>
      <c r="AF5633">
        <v>11.7588761246021</v>
      </c>
      <c r="AG5633">
        <v>2.6463000000000101E-2</v>
      </c>
      <c r="AH5633">
        <v>93.188839875098296</v>
      </c>
      <c r="AI5633">
        <v>89.983857620194001</v>
      </c>
      <c r="AJ5633">
        <v>82.808237877925094</v>
      </c>
      <c r="AK5633">
        <v>93.927800704960703</v>
      </c>
      <c r="AL5633">
        <v>80.499326793368795</v>
      </c>
      <c r="AM5633">
        <v>92.977077999248394</v>
      </c>
      <c r="AN5633">
        <v>1.00000003403714</v>
      </c>
    </row>
    <row r="5634" spans="1:40" x14ac:dyDescent="0.25">
      <c r="A5634" t="str">
        <f>"20190304155746810"</f>
        <v>20190304155746810</v>
      </c>
      <c r="B5634" t="str">
        <f>"1551686266800896"</f>
        <v>1551686266800896</v>
      </c>
      <c r="C5634" t="s">
        <v>40</v>
      </c>
      <c r="D5634">
        <v>4.7879050000000003</v>
      </c>
      <c r="E5634">
        <v>0.56600299999999903</v>
      </c>
      <c r="F5634" t="s">
        <v>89</v>
      </c>
      <c r="G5634">
        <v>-265.7654</v>
      </c>
      <c r="H5634">
        <v>1.075215</v>
      </c>
      <c r="I5634">
        <v>4.6768260000000001</v>
      </c>
      <c r="J5634">
        <v>-359.74680000000001</v>
      </c>
      <c r="K5634">
        <v>1.1102590000000001</v>
      </c>
      <c r="L5634">
        <v>16.84564</v>
      </c>
      <c r="M5634">
        <v>0.99993600000000005</v>
      </c>
      <c r="N5634">
        <v>-1.021795E-2</v>
      </c>
      <c r="O5634">
        <v>-4.8731419999999996E-3</v>
      </c>
      <c r="P5634">
        <v>0.98679859999999997</v>
      </c>
      <c r="Q5634">
        <v>0.1552057</v>
      </c>
      <c r="R5634">
        <v>4.6259910000000001E-2</v>
      </c>
      <c r="S5634">
        <v>3.0585330000000002</v>
      </c>
      <c r="T5634">
        <v>-1.138926E-3</v>
      </c>
      <c r="U5634">
        <v>-0.39532469999999997</v>
      </c>
      <c r="V5634">
        <v>-5.1314409999999998E-2</v>
      </c>
      <c r="W5634">
        <v>0.16520219999999999</v>
      </c>
      <c r="X5634">
        <v>0.98492389999999996</v>
      </c>
      <c r="Y5634">
        <v>0.123352</v>
      </c>
      <c r="Z5634">
        <v>-7.0348669999999896E-4</v>
      </c>
      <c r="AA5634">
        <v>0.99236270000000004</v>
      </c>
      <c r="AB5634">
        <v>33</v>
      </c>
      <c r="AC5634">
        <v>93.981399999999994</v>
      </c>
      <c r="AD5634">
        <v>-3.5043999999999999E-2</v>
      </c>
      <c r="AE5634">
        <v>-12.168813999999999</v>
      </c>
      <c r="AF5634">
        <v>11.7106593116178</v>
      </c>
      <c r="AG5634">
        <v>-3.5043999999999999E-2</v>
      </c>
      <c r="AH5634">
        <v>94.039574554814095</v>
      </c>
      <c r="AI5634">
        <v>90.021187712150393</v>
      </c>
      <c r="AJ5634">
        <v>82.901553248738296</v>
      </c>
      <c r="AK5634">
        <v>94.765934554802797</v>
      </c>
      <c r="AL5634">
        <v>80.491019241616797</v>
      </c>
      <c r="AM5634">
        <v>92.982406302473507</v>
      </c>
      <c r="AN5634">
        <v>1.00000001217484</v>
      </c>
    </row>
    <row r="5635" spans="1:40" x14ac:dyDescent="0.25">
      <c r="A5635" t="str">
        <f>"20190304155746825"</f>
        <v>20190304155746825</v>
      </c>
      <c r="B5635" t="str">
        <f>"1551686266820415"</f>
        <v>1551686266820415</v>
      </c>
      <c r="C5635" t="s">
        <v>40</v>
      </c>
      <c r="D5635">
        <v>4.808128</v>
      </c>
      <c r="E5635">
        <v>0.565191</v>
      </c>
      <c r="F5635" t="s">
        <v>89</v>
      </c>
      <c r="G5635">
        <v>-265.7654</v>
      </c>
      <c r="H5635">
        <v>1.047302</v>
      </c>
      <c r="I5635">
        <v>4.8743249999999998</v>
      </c>
      <c r="J5635">
        <v>-359.52789999999999</v>
      </c>
      <c r="K5635">
        <v>1.1102379999999901</v>
      </c>
      <c r="L5635">
        <v>16.845029999999898</v>
      </c>
      <c r="M5635">
        <v>0.99993869999999896</v>
      </c>
      <c r="N5635">
        <v>-1.016384E-2</v>
      </c>
      <c r="O5635">
        <v>-4.4285080000000003E-3</v>
      </c>
      <c r="P5635">
        <v>0.9868072</v>
      </c>
      <c r="Q5635">
        <v>0.15503629999999999</v>
      </c>
      <c r="R5635">
        <v>4.664513E-2</v>
      </c>
      <c r="S5635">
        <v>3.058716</v>
      </c>
      <c r="T5635">
        <v>-2.0489689999999999E-3</v>
      </c>
      <c r="U5635">
        <v>-0.38961790000000002</v>
      </c>
      <c r="V5635">
        <v>-5.1255729999999999E-2</v>
      </c>
      <c r="W5635">
        <v>0.16498160000000001</v>
      </c>
      <c r="X5635">
        <v>0.9849639</v>
      </c>
      <c r="Y5635">
        <v>0.1219639</v>
      </c>
      <c r="Z5635">
        <v>-7.0488739999999999E-4</v>
      </c>
      <c r="AA5635">
        <v>0.99253429999999998</v>
      </c>
      <c r="AB5635">
        <v>33</v>
      </c>
      <c r="AC5635">
        <v>93.762500000000003</v>
      </c>
      <c r="AD5635">
        <v>-6.2935999999999798E-2</v>
      </c>
      <c r="AE5635">
        <v>-11.970705000000001</v>
      </c>
      <c r="AF5635">
        <v>11.5553331177417</v>
      </c>
      <c r="AG5635">
        <v>-6.2935999999999798E-2</v>
      </c>
      <c r="AH5635">
        <v>93.814553983431097</v>
      </c>
      <c r="AI5635">
        <v>90.038148881462703</v>
      </c>
      <c r="AJ5635">
        <v>82.978127962091193</v>
      </c>
      <c r="AK5635">
        <v>94.523543223432895</v>
      </c>
      <c r="AL5635">
        <v>80.503834243165798</v>
      </c>
      <c r="AM5635">
        <v>92.978881191619607</v>
      </c>
      <c r="AN5635">
        <v>0.99999998124980105</v>
      </c>
    </row>
    <row r="5636" spans="1:40" x14ac:dyDescent="0.25">
      <c r="A5636" t="str">
        <f>"20190304155746841"</f>
        <v>20190304155746841</v>
      </c>
      <c r="B5636" t="str">
        <f>"1551686266830175"</f>
        <v>1551686266830175</v>
      </c>
      <c r="C5636" t="s">
        <v>40</v>
      </c>
      <c r="D5636">
        <v>4.8073769999999998</v>
      </c>
      <c r="E5636">
        <v>0.56479599999999996</v>
      </c>
      <c r="F5636" t="s">
        <v>89</v>
      </c>
      <c r="G5636">
        <v>-265.06760000000003</v>
      </c>
      <c r="H5636">
        <v>0.95200709999999999</v>
      </c>
      <c r="I5636">
        <v>5.0473879999999998</v>
      </c>
      <c r="J5636">
        <v>-359.28410000000002</v>
      </c>
      <c r="K5636">
        <v>1.1102179999999999</v>
      </c>
      <c r="L5636">
        <v>16.844449999999998</v>
      </c>
      <c r="M5636">
        <v>0.99994130000000003</v>
      </c>
      <c r="N5636">
        <v>-1.010221E-2</v>
      </c>
      <c r="O5636">
        <v>-3.9392480000000002E-3</v>
      </c>
      <c r="P5636">
        <v>0.98680959999999995</v>
      </c>
      <c r="Q5636">
        <v>0.15495149999999999</v>
      </c>
      <c r="R5636">
        <v>4.6872879999999999E-2</v>
      </c>
      <c r="S5636">
        <v>3.0589599999999999</v>
      </c>
      <c r="T5636">
        <v>-5.1240920000000002E-3</v>
      </c>
      <c r="U5636">
        <v>-0.38204959999999999</v>
      </c>
      <c r="V5636">
        <v>-5.0996310000000003E-2</v>
      </c>
      <c r="W5636">
        <v>0.1648377</v>
      </c>
      <c r="X5636">
        <v>0.98500140000000003</v>
      </c>
      <c r="Y5636">
        <v>0.1200213</v>
      </c>
      <c r="Z5636">
        <v>-7.4181200000000001E-4</v>
      </c>
      <c r="AA5636">
        <v>0.99277099999999996</v>
      </c>
      <c r="AB5636">
        <v>33</v>
      </c>
      <c r="AC5636">
        <v>94.216499999999996</v>
      </c>
      <c r="AD5636">
        <v>-0.15821089999999899</v>
      </c>
      <c r="AE5636">
        <v>-11.797062</v>
      </c>
      <c r="AF5636">
        <v>11.4257776713002</v>
      </c>
      <c r="AG5636">
        <v>-0.15821089999999899</v>
      </c>
      <c r="AH5636">
        <v>94.2619811351245</v>
      </c>
      <c r="AI5636">
        <v>90.095467340334594</v>
      </c>
      <c r="AJ5636">
        <v>83.088723168171597</v>
      </c>
      <c r="AK5636">
        <v>94.952064293523605</v>
      </c>
      <c r="AL5636">
        <v>80.512193012534993</v>
      </c>
      <c r="AM5636">
        <v>92.963718531354502</v>
      </c>
      <c r="AN5636">
        <v>0.99999992448843</v>
      </c>
    </row>
    <row r="5637" spans="1:40" x14ac:dyDescent="0.25">
      <c r="A5637" t="str">
        <f>"20190304155746852"</f>
        <v>20190304155746852</v>
      </c>
      <c r="B5637" t="str">
        <f>"1551686266850671"</f>
        <v>1551686266850671</v>
      </c>
      <c r="C5637" t="s">
        <v>40</v>
      </c>
      <c r="D5637">
        <v>4.814019</v>
      </c>
      <c r="E5637">
        <v>0.56413849999999999</v>
      </c>
      <c r="F5637" t="s">
        <v>89</v>
      </c>
      <c r="G5637">
        <v>-260.29559999999998</v>
      </c>
      <c r="H5637">
        <v>0.90329309999999996</v>
      </c>
      <c r="I5637">
        <v>4.6002460000000003</v>
      </c>
      <c r="J5637">
        <v>-359.12009999999998</v>
      </c>
      <c r="K5637">
        <v>1.110206</v>
      </c>
      <c r="L5637">
        <v>16.844089999999898</v>
      </c>
      <c r="M5637">
        <v>0.99994280000000002</v>
      </c>
      <c r="N5637">
        <v>-1.00602E-2</v>
      </c>
      <c r="O5637">
        <v>-3.6128610000000002E-3</v>
      </c>
      <c r="P5637">
        <v>0.98681249999999998</v>
      </c>
      <c r="Q5637">
        <v>0.15489990000000001</v>
      </c>
      <c r="R5637">
        <v>4.6979380000000001E-2</v>
      </c>
      <c r="S5637">
        <v>3.0590820000000001</v>
      </c>
      <c r="T5637">
        <v>-6.3947439999999999E-3</v>
      </c>
      <c r="U5637">
        <v>-0.37838749999999999</v>
      </c>
      <c r="V5637">
        <v>-5.0778230000000001E-2</v>
      </c>
      <c r="W5637">
        <v>0.164746</v>
      </c>
      <c r="X5637">
        <v>0.98502809999999996</v>
      </c>
      <c r="Y5637">
        <v>0.1191697</v>
      </c>
      <c r="Z5637">
        <v>-7.5450179999999895E-4</v>
      </c>
      <c r="AA5637">
        <v>0.99287360000000002</v>
      </c>
      <c r="AB5637">
        <v>33</v>
      </c>
      <c r="AC5637">
        <v>98.8245</v>
      </c>
      <c r="AD5637">
        <v>-0.20691290000000001</v>
      </c>
      <c r="AE5637">
        <v>-12.2438439999999</v>
      </c>
      <c r="AF5637">
        <v>11.886655488106101</v>
      </c>
      <c r="AG5637">
        <v>-0.20691290000000001</v>
      </c>
      <c r="AH5637">
        <v>98.867665655215902</v>
      </c>
      <c r="AI5637">
        <v>90.119052618881298</v>
      </c>
      <c r="AJ5637">
        <v>83.144352492585099</v>
      </c>
      <c r="AK5637">
        <v>99.579870976782601</v>
      </c>
      <c r="AL5637">
        <v>80.517520733401199</v>
      </c>
      <c r="AM5637">
        <v>92.950987122667499</v>
      </c>
      <c r="AN5637">
        <v>1.00000001547377</v>
      </c>
    </row>
    <row r="5638" spans="1:40" x14ac:dyDescent="0.25">
      <c r="A5638" t="str">
        <f>"20190304155746864"</f>
        <v>20190304155746864</v>
      </c>
      <c r="B5638" t="str">
        <f>"1551686266860431"</f>
        <v>1551686266860431</v>
      </c>
      <c r="C5638" t="s">
        <v>40</v>
      </c>
      <c r="D5638">
        <v>4.7348229999999996</v>
      </c>
      <c r="E5638">
        <v>0.56389129999999998</v>
      </c>
      <c r="F5638" t="s">
        <v>89</v>
      </c>
      <c r="G5638">
        <v>-258.69159999999999</v>
      </c>
      <c r="H5638">
        <v>0.84433740000000002</v>
      </c>
      <c r="I5638">
        <v>4.6002269999999896</v>
      </c>
      <c r="J5638">
        <v>-358.94529999999997</v>
      </c>
      <c r="K5638">
        <v>1.1101939999999999</v>
      </c>
      <c r="L5638">
        <v>16.843779999999999</v>
      </c>
      <c r="M5638">
        <v>0.99994459999999996</v>
      </c>
      <c r="N5638">
        <v>-1.001487E-2</v>
      </c>
      <c r="O5638">
        <v>-3.2673749999999999E-3</v>
      </c>
      <c r="P5638">
        <v>0.98677969999999904</v>
      </c>
      <c r="Q5638">
        <v>0.15504609999999999</v>
      </c>
      <c r="R5638">
        <v>4.718841E-2</v>
      </c>
      <c r="S5638">
        <v>3.059113</v>
      </c>
      <c r="T5638">
        <v>-8.0986019999999999E-3</v>
      </c>
      <c r="U5638">
        <v>-0.37295529999999999</v>
      </c>
      <c r="V5638">
        <v>-5.06449E-2</v>
      </c>
      <c r="W5638">
        <v>0.1648481</v>
      </c>
      <c r="X5638">
        <v>0.9850179</v>
      </c>
      <c r="Y5638">
        <v>0.117774</v>
      </c>
      <c r="Z5638">
        <v>-7.7124850000000005E-4</v>
      </c>
      <c r="AA5638">
        <v>0.99304009999999998</v>
      </c>
      <c r="AB5638">
        <v>33</v>
      </c>
      <c r="AC5638">
        <v>100.253699999999</v>
      </c>
      <c r="AD5638">
        <v>-0.2658566</v>
      </c>
      <c r="AE5638">
        <v>-12.243553</v>
      </c>
      <c r="AF5638">
        <v>11.9158222427643</v>
      </c>
      <c r="AG5638">
        <v>-0.2658566</v>
      </c>
      <c r="AH5638">
        <v>100.292476168645</v>
      </c>
      <c r="AI5638">
        <v>90.150819295083195</v>
      </c>
      <c r="AJ5638">
        <v>83.224408906952206</v>
      </c>
      <c r="AK5638">
        <v>100.998209268735</v>
      </c>
      <c r="AL5638">
        <v>80.511589907354605</v>
      </c>
      <c r="AM5638">
        <v>92.9432826888671</v>
      </c>
      <c r="AN5638">
        <v>1.00000003264501</v>
      </c>
    </row>
    <row r="5639" spans="1:40" x14ac:dyDescent="0.25">
      <c r="A5639" t="str">
        <f>"20190304155746875"</f>
        <v>20190304155746875</v>
      </c>
      <c r="B5639" t="str">
        <f>"1551686266870817"</f>
        <v>1551686266870817</v>
      </c>
      <c r="C5639" t="s">
        <v>40</v>
      </c>
      <c r="D5639">
        <v>4.7821230000000003</v>
      </c>
      <c r="E5639">
        <v>0.56368619999999903</v>
      </c>
      <c r="F5639" t="s">
        <v>89</v>
      </c>
      <c r="G5639">
        <v>-257.88150000000002</v>
      </c>
      <c r="H5639">
        <v>0.84269159999999899</v>
      </c>
      <c r="I5639">
        <v>4.6002269999999896</v>
      </c>
      <c r="J5639">
        <v>-358.77850000000001</v>
      </c>
      <c r="K5639">
        <v>1.1101810000000001</v>
      </c>
      <c r="L5639">
        <v>16.843540000000001</v>
      </c>
      <c r="M5639">
        <v>0.999946</v>
      </c>
      <c r="N5639">
        <v>-9.9724089999999998E-3</v>
      </c>
      <c r="O5639">
        <v>-2.9391769999999998E-3</v>
      </c>
      <c r="P5639">
        <v>0.98680760000000001</v>
      </c>
      <c r="Q5639">
        <v>0.15490880000000001</v>
      </c>
      <c r="R5639">
        <v>4.7054039999999998E-2</v>
      </c>
      <c r="S5639">
        <v>3.0591430000000002</v>
      </c>
      <c r="T5639">
        <v>-8.0970529999999999E-3</v>
      </c>
      <c r="U5639">
        <v>-0.37060549999999998</v>
      </c>
      <c r="V5639">
        <v>-5.0184699999999999E-2</v>
      </c>
      <c r="W5639">
        <v>0.16467029999999999</v>
      </c>
      <c r="X5639">
        <v>0.98507120000000004</v>
      </c>
      <c r="Y5639">
        <v>0.1173471</v>
      </c>
      <c r="Z5639">
        <v>-7.6345609999999996E-4</v>
      </c>
      <c r="AA5639">
        <v>0.99309069999999999</v>
      </c>
      <c r="AB5639">
        <v>33</v>
      </c>
      <c r="AC5639">
        <v>100.89700000000001</v>
      </c>
      <c r="AD5639">
        <v>-0.26748939999999999</v>
      </c>
      <c r="AE5639">
        <v>-12.243313000000001</v>
      </c>
      <c r="AF5639">
        <v>11.946608488508501</v>
      </c>
      <c r="AG5639">
        <v>-0.26748939999999999</v>
      </c>
      <c r="AH5639">
        <v>100.93185209916</v>
      </c>
      <c r="AI5639">
        <v>90.150792201474502</v>
      </c>
      <c r="AJ5639">
        <v>83.249699619939804</v>
      </c>
      <c r="AK5639">
        <v>101.636763885533</v>
      </c>
      <c r="AL5639">
        <v>80.521918320135697</v>
      </c>
      <c r="AM5639">
        <v>92.916426523452301</v>
      </c>
      <c r="AN5639">
        <v>1.0000000404428</v>
      </c>
    </row>
    <row r="5640" spans="1:40" x14ac:dyDescent="0.25">
      <c r="A5640" t="str">
        <f>"20190304155746888"</f>
        <v>20190304155746888</v>
      </c>
      <c r="B5640" t="str">
        <f>"1551686266880577"</f>
        <v>1551686266880577</v>
      </c>
      <c r="C5640" t="s">
        <v>40</v>
      </c>
      <c r="D5640">
        <v>4.7650269999999999</v>
      </c>
      <c r="E5640">
        <v>0.56351200000000001</v>
      </c>
      <c r="F5640" t="s">
        <v>89</v>
      </c>
      <c r="G5640">
        <v>-257.43090000000001</v>
      </c>
      <c r="H5640">
        <v>0.80579789999999996</v>
      </c>
      <c r="I5640">
        <v>4.6002140000000002</v>
      </c>
      <c r="J5640">
        <v>-358.59469999999999</v>
      </c>
      <c r="K5640">
        <v>1.1101700000000001</v>
      </c>
      <c r="L5640">
        <v>16.843319999999999</v>
      </c>
      <c r="M5640">
        <v>0.99994740000000004</v>
      </c>
      <c r="N5640">
        <v>-9.9262199999999995E-3</v>
      </c>
      <c r="O5640">
        <v>-2.577939E-3</v>
      </c>
      <c r="P5640">
        <v>0.98676439999999999</v>
      </c>
      <c r="Q5640">
        <v>0.15513569999999999</v>
      </c>
      <c r="R5640">
        <v>4.7211459999999997E-2</v>
      </c>
      <c r="S5640">
        <v>3.0592039999999998</v>
      </c>
      <c r="T5640">
        <v>-9.1879370000000002E-3</v>
      </c>
      <c r="U5640">
        <v>-0.3695679</v>
      </c>
      <c r="V5640">
        <v>-4.9984460000000001E-2</v>
      </c>
      <c r="W5640">
        <v>0.16485229999999901</v>
      </c>
      <c r="X5640">
        <v>0.98505089999999995</v>
      </c>
      <c r="Y5640">
        <v>0.11737119999999999</v>
      </c>
      <c r="Z5640">
        <v>-7.7805639999999998E-4</v>
      </c>
      <c r="AA5640">
        <v>0.99308779999999997</v>
      </c>
      <c r="AB5640">
        <v>33</v>
      </c>
      <c r="AC5640">
        <v>101.163799999999</v>
      </c>
      <c r="AD5640">
        <v>-0.30437209999999998</v>
      </c>
      <c r="AE5640">
        <v>-12.243105999999999</v>
      </c>
      <c r="AF5640">
        <v>11.9821514558798</v>
      </c>
      <c r="AG5640">
        <v>-0.30437209999999998</v>
      </c>
      <c r="AH5640">
        <v>101.194124528969</v>
      </c>
      <c r="AI5640">
        <v>90.171138431596404</v>
      </c>
      <c r="AJ5640">
        <v>83.247187181571803</v>
      </c>
      <c r="AK5640">
        <v>101.90149868903499</v>
      </c>
      <c r="AL5640">
        <v>80.511345627157795</v>
      </c>
      <c r="AM5640">
        <v>92.904869534309697</v>
      </c>
      <c r="AN5640">
        <v>1.00000000132379</v>
      </c>
    </row>
    <row r="5641" spans="1:40" x14ac:dyDescent="0.25">
      <c r="A5641" t="str">
        <f>"20190304155746903"</f>
        <v>20190304155746903</v>
      </c>
      <c r="B5641" t="str">
        <f>"1551686266890337"</f>
        <v>1551686266890337</v>
      </c>
      <c r="C5641" t="s">
        <v>40</v>
      </c>
      <c r="D5641">
        <v>4.7228139999999996</v>
      </c>
      <c r="E5641">
        <v>0.56332469999999901</v>
      </c>
      <c r="F5641" t="s">
        <v>89</v>
      </c>
      <c r="G5641">
        <v>-256.79300000000001</v>
      </c>
      <c r="H5641">
        <v>0.81654159999999998</v>
      </c>
      <c r="I5641">
        <v>4.6002179999999999</v>
      </c>
      <c r="J5641">
        <v>-358.39359999999999</v>
      </c>
      <c r="K5641">
        <v>1.1101620000000001</v>
      </c>
      <c r="L5641">
        <v>16.8432</v>
      </c>
      <c r="M5641">
        <v>0.99994899999999998</v>
      </c>
      <c r="N5641">
        <v>-9.8762030000000001E-3</v>
      </c>
      <c r="O5641">
        <v>-2.1834189999999998E-3</v>
      </c>
      <c r="P5641">
        <v>0.98674790000000001</v>
      </c>
      <c r="Q5641">
        <v>0.15515979999999999</v>
      </c>
      <c r="R5641">
        <v>4.7480080000000001E-2</v>
      </c>
      <c r="S5641">
        <v>3.0592649999999999</v>
      </c>
      <c r="T5641">
        <v>-8.8237519999999903E-3</v>
      </c>
      <c r="U5641">
        <v>-0.36791990000000002</v>
      </c>
      <c r="V5641">
        <v>-4.9862539999999997E-2</v>
      </c>
      <c r="W5641">
        <v>0.16482729999999901</v>
      </c>
      <c r="X5641">
        <v>0.98506119999999997</v>
      </c>
      <c r="Y5641">
        <v>0.1172334</v>
      </c>
      <c r="Z5641">
        <v>-7.6468079999999995E-4</v>
      </c>
      <c r="AA5641">
        <v>0.99310410000000005</v>
      </c>
      <c r="AB5641">
        <v>33</v>
      </c>
      <c r="AC5641">
        <v>101.6006</v>
      </c>
      <c r="AD5641">
        <v>-0.2936204</v>
      </c>
      <c r="AE5641">
        <v>-12.242982</v>
      </c>
      <c r="AF5641">
        <v>12.021006388143601</v>
      </c>
      <c r="AG5641">
        <v>-0.2936204</v>
      </c>
      <c r="AH5641">
        <v>101.626254040376</v>
      </c>
      <c r="AI5641">
        <v>90.164393466532999</v>
      </c>
      <c r="AJ5641">
        <v>83.254032941109898</v>
      </c>
      <c r="AK5641">
        <v>102.33516657436</v>
      </c>
      <c r="AL5641">
        <v>80.512797298335002</v>
      </c>
      <c r="AM5641">
        <v>92.897765941273704</v>
      </c>
      <c r="AN5641">
        <v>0.99999993973298895</v>
      </c>
    </row>
    <row r="5642" spans="1:40" x14ac:dyDescent="0.25">
      <c r="A5642" t="str">
        <f>"20190304155746921"</f>
        <v>20190304155746921</v>
      </c>
      <c r="B5642" t="str">
        <f>"1551686266910833"</f>
        <v>1551686266910833</v>
      </c>
      <c r="C5642" t="s">
        <v>40</v>
      </c>
      <c r="D5642">
        <v>4.7627649999999999</v>
      </c>
      <c r="E5642">
        <v>0.56305890000000003</v>
      </c>
      <c r="F5642" t="s">
        <v>89</v>
      </c>
      <c r="G5642">
        <v>-255.9374</v>
      </c>
      <c r="H5642">
        <v>0.80561530000000003</v>
      </c>
      <c r="I5642">
        <v>4.6002140000000002</v>
      </c>
      <c r="J5642">
        <v>-358.11700000000002</v>
      </c>
      <c r="K5642">
        <v>1.1101510000000001</v>
      </c>
      <c r="L5642">
        <v>16.84308</v>
      </c>
      <c r="M5642">
        <v>0.99995069999999997</v>
      </c>
      <c r="N5642">
        <v>-9.8089019999999996E-3</v>
      </c>
      <c r="O5642">
        <v>-1.6414890000000001E-3</v>
      </c>
      <c r="P5642">
        <v>0.9867378</v>
      </c>
      <c r="Q5642">
        <v>0.15516729999999901</v>
      </c>
      <c r="R5642">
        <v>4.766505E-2</v>
      </c>
      <c r="S5642">
        <v>3.0592959999999998</v>
      </c>
      <c r="T5642">
        <v>-9.0936420000000007E-3</v>
      </c>
      <c r="U5642">
        <v>-0.36557010000000001</v>
      </c>
      <c r="V5642">
        <v>-4.9511680000000002E-2</v>
      </c>
      <c r="W5642">
        <v>0.16477</v>
      </c>
      <c r="X5642">
        <v>0.98508850000000003</v>
      </c>
      <c r="Y5642">
        <v>0.11701839999999999</v>
      </c>
      <c r="Z5642">
        <v>-7.6044749999999999E-4</v>
      </c>
      <c r="AA5642">
        <v>0.99312940000000005</v>
      </c>
      <c r="AB5642">
        <v>33</v>
      </c>
      <c r="AC5642">
        <v>102.179599999999</v>
      </c>
      <c r="AD5642">
        <v>-0.30453570000000002</v>
      </c>
      <c r="AE5642">
        <v>-12.242865999999999</v>
      </c>
      <c r="AF5642">
        <v>12.0750090301415</v>
      </c>
      <c r="AG5642">
        <v>-0.30453570000000002</v>
      </c>
      <c r="AH5642">
        <v>102.19866486127501</v>
      </c>
      <c r="AI5642">
        <v>90.169552402853199</v>
      </c>
      <c r="AJ5642">
        <v>83.261610927648306</v>
      </c>
      <c r="AK5642">
        <v>102.90998826400499</v>
      </c>
      <c r="AL5642">
        <v>80.516126013927803</v>
      </c>
      <c r="AM5642">
        <v>92.877330460498101</v>
      </c>
      <c r="AN5642">
        <v>0.99999995609433501</v>
      </c>
    </row>
    <row r="5643" spans="1:40" x14ac:dyDescent="0.25">
      <c r="A5643" t="str">
        <f>"20190304155746934"</f>
        <v>20190304155746934</v>
      </c>
      <c r="B5643" t="str">
        <f>"1551686266930353"</f>
        <v>1551686266930353</v>
      </c>
      <c r="C5643" t="s">
        <v>40</v>
      </c>
      <c r="D5643">
        <v>4.8309509999999998</v>
      </c>
      <c r="E5643">
        <v>0.56275109999999995</v>
      </c>
      <c r="F5643" t="s">
        <v>89</v>
      </c>
      <c r="G5643">
        <v>-254.9958</v>
      </c>
      <c r="H5643">
        <v>0.78535519999999903</v>
      </c>
      <c r="I5643">
        <v>4.6002080000000003</v>
      </c>
      <c r="J5643">
        <v>-357.93119999999999</v>
      </c>
      <c r="K5643">
        <v>1.110142</v>
      </c>
      <c r="L5643">
        <v>16.843139999999998</v>
      </c>
      <c r="M5643">
        <v>0.99995160000000005</v>
      </c>
      <c r="N5643">
        <v>-9.7653510000000002E-3</v>
      </c>
      <c r="O5643">
        <v>-1.277502E-3</v>
      </c>
      <c r="P5643">
        <v>0.98670420000000003</v>
      </c>
      <c r="Q5643">
        <v>0.15528520000000001</v>
      </c>
      <c r="R5643">
        <v>4.797328E-2</v>
      </c>
      <c r="S5643">
        <v>3.0593870000000001</v>
      </c>
      <c r="T5643">
        <v>-9.635925E-3</v>
      </c>
      <c r="U5643">
        <v>-0.36322019999999999</v>
      </c>
      <c r="V5643">
        <v>-4.9459860000000001E-2</v>
      </c>
      <c r="W5643">
        <v>0.16484480000000001</v>
      </c>
      <c r="X5643">
        <v>0.98507860000000003</v>
      </c>
      <c r="Y5643">
        <v>0.11662409999999999</v>
      </c>
      <c r="Z5643">
        <v>-7.6289039999999895E-4</v>
      </c>
      <c r="AA5643">
        <v>0.99317580000000005</v>
      </c>
      <c r="AB5643">
        <v>33</v>
      </c>
      <c r="AC5643">
        <v>102.9354</v>
      </c>
      <c r="AD5643">
        <v>-0.32478679999999999</v>
      </c>
      <c r="AE5643">
        <v>-12.2429319999999</v>
      </c>
      <c r="AF5643">
        <v>12.1112966785034</v>
      </c>
      <c r="AG5643">
        <v>-0.32478679999999999</v>
      </c>
      <c r="AH5643">
        <v>102.94994647913801</v>
      </c>
      <c r="AI5643">
        <v>90.179518327574797</v>
      </c>
      <c r="AJ5643">
        <v>83.290416655964805</v>
      </c>
      <c r="AK5643">
        <v>103.660409384478</v>
      </c>
      <c r="AL5643">
        <v>80.511780977469996</v>
      </c>
      <c r="AM5643">
        <v>92.874352875011994</v>
      </c>
      <c r="AN5643">
        <v>0.999999967008109</v>
      </c>
    </row>
    <row r="5644" spans="1:40" x14ac:dyDescent="0.25">
      <c r="A5644" t="str">
        <f>"20190304155746945"</f>
        <v>20190304155746945</v>
      </c>
      <c r="B5644" t="str">
        <f>"1551686266940113"</f>
        <v>1551686266940113</v>
      </c>
      <c r="C5644" t="s">
        <v>40</v>
      </c>
      <c r="D5644">
        <v>4.7453139999999996</v>
      </c>
      <c r="E5644">
        <v>0.56255559999999905</v>
      </c>
      <c r="F5644" t="s">
        <v>89</v>
      </c>
      <c r="G5644">
        <v>-253.86770000000001</v>
      </c>
      <c r="H5644">
        <v>0.76312829999999998</v>
      </c>
      <c r="I5644">
        <v>4.6002010000000002</v>
      </c>
      <c r="J5644">
        <v>-357.74599999999998</v>
      </c>
      <c r="K5644">
        <v>1.1101379999999901</v>
      </c>
      <c r="L5644">
        <v>16.8432</v>
      </c>
      <c r="M5644">
        <v>0.99995230000000002</v>
      </c>
      <c r="N5644">
        <v>-9.7243409999999992E-3</v>
      </c>
      <c r="O5644">
        <v>-9.151923E-4</v>
      </c>
      <c r="P5644">
        <v>0.98670469999999999</v>
      </c>
      <c r="Q5644">
        <v>0.15522059999999999</v>
      </c>
      <c r="R5644">
        <v>4.8169209999999997E-2</v>
      </c>
      <c r="S5644">
        <v>3.0595699999999999</v>
      </c>
      <c r="T5644">
        <v>-1.020253E-2</v>
      </c>
      <c r="U5644">
        <v>-0.35995480000000002</v>
      </c>
      <c r="V5644">
        <v>-4.9297729999999998E-2</v>
      </c>
      <c r="W5644">
        <v>0.16474040000000001</v>
      </c>
      <c r="X5644">
        <v>0.98510430000000004</v>
      </c>
      <c r="Y5644">
        <v>0.11593150000000001</v>
      </c>
      <c r="Z5644">
        <v>-7.6409280000000002E-4</v>
      </c>
      <c r="AA5644">
        <v>0.9932569</v>
      </c>
      <c r="AB5644">
        <v>33</v>
      </c>
      <c r="AC5644">
        <v>103.878299999999</v>
      </c>
      <c r="AD5644">
        <v>-0.34700969999999898</v>
      </c>
      <c r="AE5644">
        <v>-12.242998999999999</v>
      </c>
      <c r="AF5644">
        <v>12.1477870543075</v>
      </c>
      <c r="AG5644">
        <v>-0.34700969999999898</v>
      </c>
      <c r="AH5644">
        <v>103.888318292286</v>
      </c>
      <c r="AI5644">
        <v>90.190084637068296</v>
      </c>
      <c r="AJ5644">
        <v>83.330621570737094</v>
      </c>
      <c r="AK5644">
        <v>104.59671038635901</v>
      </c>
      <c r="AL5644">
        <v>80.517846591979094</v>
      </c>
      <c r="AM5644">
        <v>92.864871817918996</v>
      </c>
      <c r="AN5644">
        <v>1.0000000737268899</v>
      </c>
    </row>
    <row r="5645" spans="1:40" x14ac:dyDescent="0.25">
      <c r="A5645" t="str">
        <f>"20190304155746964"</f>
        <v>20190304155746964</v>
      </c>
      <c r="B5645" t="str">
        <f>"1551686266960609"</f>
        <v>1551686266960609</v>
      </c>
      <c r="C5645" t="s">
        <v>40</v>
      </c>
      <c r="D5645">
        <v>4.7859800000000003</v>
      </c>
      <c r="E5645">
        <v>0.56225630000000004</v>
      </c>
      <c r="F5645" t="s">
        <v>89</v>
      </c>
      <c r="G5645">
        <v>-253.05860000000001</v>
      </c>
      <c r="H5645">
        <v>0.73978880000000002</v>
      </c>
      <c r="I5645">
        <v>4.600193</v>
      </c>
      <c r="J5645">
        <v>-357.48020000000002</v>
      </c>
      <c r="K5645">
        <v>1.110131</v>
      </c>
      <c r="L5645">
        <v>16.84348</v>
      </c>
      <c r="M5645">
        <v>0.99995330000000004</v>
      </c>
      <c r="N5645">
        <v>-9.6696089999999991E-3</v>
      </c>
      <c r="O5645">
        <v>-3.9643250000000001E-4</v>
      </c>
      <c r="P5645">
        <v>0.98673809999999995</v>
      </c>
      <c r="Q5645">
        <v>0.15498290000000001</v>
      </c>
      <c r="R5645">
        <v>4.8257000000000001E-2</v>
      </c>
      <c r="S5645">
        <v>3.059631</v>
      </c>
      <c r="T5645">
        <v>-1.082397E-2</v>
      </c>
      <c r="U5645">
        <v>-0.35781859999999999</v>
      </c>
      <c r="V5645">
        <v>-4.8873130000000001E-2</v>
      </c>
      <c r="W5645">
        <v>0.16445009999999999</v>
      </c>
      <c r="X5645">
        <v>0.98517390000000005</v>
      </c>
      <c r="Y5645">
        <v>0.11576019999999899</v>
      </c>
      <c r="Z5645">
        <v>-7.6808550000000001E-4</v>
      </c>
      <c r="AA5645">
        <v>0.99327690000000002</v>
      </c>
      <c r="AB5645">
        <v>33</v>
      </c>
      <c r="AC5645">
        <v>104.4216</v>
      </c>
      <c r="AD5645">
        <v>-0.37034219999999901</v>
      </c>
      <c r="AE5645">
        <v>-12.243287</v>
      </c>
      <c r="AF5645">
        <v>12.201736594719801</v>
      </c>
      <c r="AG5645">
        <v>-0.37034219999999901</v>
      </c>
      <c r="AH5645">
        <v>104.42514996691401</v>
      </c>
      <c r="AI5645">
        <v>90.201824665826095</v>
      </c>
      <c r="AJ5645">
        <v>83.335397217985701</v>
      </c>
      <c r="AK5645">
        <v>105.13625195376</v>
      </c>
      <c r="AL5645">
        <v>80.534708992176306</v>
      </c>
      <c r="AM5645">
        <v>92.840037006794205</v>
      </c>
      <c r="AN5645">
        <v>1.0000000157336</v>
      </c>
    </row>
    <row r="5646" spans="1:40" x14ac:dyDescent="0.25">
      <c r="A5646" t="str">
        <f>"20190304155746976"</f>
        <v>20190304155746976</v>
      </c>
      <c r="B5646" t="str">
        <f>"1551686266970369"</f>
        <v>1551686266970369</v>
      </c>
      <c r="C5646" t="s">
        <v>40</v>
      </c>
      <c r="D5646">
        <v>4.8038489999999996</v>
      </c>
      <c r="E5646">
        <v>0.56205669999999996</v>
      </c>
      <c r="F5646" t="s">
        <v>89</v>
      </c>
      <c r="G5646">
        <v>-252.1508</v>
      </c>
      <c r="H5646">
        <v>0.70037069999999901</v>
      </c>
      <c r="I5646">
        <v>4.6018299999999996</v>
      </c>
      <c r="J5646">
        <v>-357.30430000000001</v>
      </c>
      <c r="K5646">
        <v>1.110128</v>
      </c>
      <c r="L5646">
        <v>16.843720000000001</v>
      </c>
      <c r="M5646">
        <v>0.99995369999999995</v>
      </c>
      <c r="N5646">
        <v>-9.6360179999999997E-3</v>
      </c>
      <c r="O5646" s="1">
        <v>-5.3945410000000001E-5</v>
      </c>
      <c r="P5646">
        <v>0.98666540000000003</v>
      </c>
      <c r="Q5646">
        <v>0.15546270000000001</v>
      </c>
      <c r="R5646">
        <v>4.8196660000000002E-2</v>
      </c>
      <c r="S5646">
        <v>3.0595699999999999</v>
      </c>
      <c r="T5646">
        <v>-1.1902569999999999E-2</v>
      </c>
      <c r="U5646">
        <v>-0.35559079999999998</v>
      </c>
      <c r="V5646">
        <v>-4.8474860000000002E-2</v>
      </c>
      <c r="W5646">
        <v>0.16489699999999999</v>
      </c>
      <c r="X5646">
        <v>0.98511890000000002</v>
      </c>
      <c r="Y5646">
        <v>0.1153888</v>
      </c>
      <c r="Z5646">
        <v>-7.8183159999999996E-4</v>
      </c>
      <c r="AA5646">
        <v>0.99332010000000004</v>
      </c>
      <c r="AB5646">
        <v>33</v>
      </c>
      <c r="AC5646">
        <v>105.15349999999999</v>
      </c>
      <c r="AD5646">
        <v>-0.40975729999999999</v>
      </c>
      <c r="AE5646">
        <v>-12.24189</v>
      </c>
      <c r="AF5646">
        <v>12.2360338550496</v>
      </c>
      <c r="AG5646">
        <v>-0.40975729999999999</v>
      </c>
      <c r="AH5646">
        <v>105.152584913431</v>
      </c>
      <c r="AI5646">
        <v>90.221771947959496</v>
      </c>
      <c r="AJ5646">
        <v>83.362652773809103</v>
      </c>
      <c r="AK5646">
        <v>105.862904454409</v>
      </c>
      <c r="AL5646">
        <v>80.508749338845107</v>
      </c>
      <c r="AM5646">
        <v>92.817087826477405</v>
      </c>
      <c r="AN5646">
        <v>1.00000003989911</v>
      </c>
    </row>
    <row r="5647" spans="1:40" x14ac:dyDescent="0.25">
      <c r="A5647" t="str">
        <f>"20190304155746987"</f>
        <v>20190304155746987</v>
      </c>
      <c r="B5647" t="str">
        <f>"1551686266980129"</f>
        <v>1551686266980129</v>
      </c>
      <c r="C5647" t="s">
        <v>40</v>
      </c>
      <c r="D5647">
        <v>4.8415999999999997</v>
      </c>
      <c r="E5647">
        <v>0.56194650000000002</v>
      </c>
      <c r="F5647" t="s">
        <v>89</v>
      </c>
      <c r="G5647">
        <v>-252.1508</v>
      </c>
      <c r="H5647">
        <v>0.74903299999999995</v>
      </c>
      <c r="I5647">
        <v>4.663303</v>
      </c>
      <c r="J5647">
        <v>-357.1266</v>
      </c>
      <c r="K5647">
        <v>1.110123</v>
      </c>
      <c r="L5647">
        <v>16.84402</v>
      </c>
      <c r="M5647">
        <v>0.99995389999999995</v>
      </c>
      <c r="N5647">
        <v>-9.6038819999999993E-3</v>
      </c>
      <c r="O5647">
        <v>2.9032119999999997E-4</v>
      </c>
      <c r="P5647">
        <v>0.98667890000000003</v>
      </c>
      <c r="Q5647">
        <v>0.1554922</v>
      </c>
      <c r="R5647">
        <v>4.782484E-2</v>
      </c>
      <c r="S5647">
        <v>3.0595400000000001</v>
      </c>
      <c r="T5647">
        <v>-1.0506390000000001E-2</v>
      </c>
      <c r="U5647">
        <v>-0.35440060000000001</v>
      </c>
      <c r="V5647">
        <v>-4.7762730000000003E-2</v>
      </c>
      <c r="W5647">
        <v>0.1648965</v>
      </c>
      <c r="X5647">
        <v>0.98515370000000002</v>
      </c>
      <c r="Y5647">
        <v>0.1153511</v>
      </c>
      <c r="Z5647">
        <v>-7.5138440000000004E-4</v>
      </c>
      <c r="AA5647">
        <v>0.99332450000000005</v>
      </c>
      <c r="AB5647">
        <v>33</v>
      </c>
      <c r="AC5647">
        <v>104.97580000000001</v>
      </c>
      <c r="AD5647">
        <v>-0.36109000000000002</v>
      </c>
      <c r="AE5647">
        <v>-12.180717</v>
      </c>
      <c r="AF5647">
        <v>12.2110520307013</v>
      </c>
      <c r="AG5647">
        <v>-0.36109000000000002</v>
      </c>
      <c r="AH5647">
        <v>104.971033591024</v>
      </c>
      <c r="AI5647">
        <v>90.195770911388806</v>
      </c>
      <c r="AJ5647">
        <v>83.364729194632503</v>
      </c>
      <c r="AK5647">
        <v>105.679506390087</v>
      </c>
      <c r="AL5647">
        <v>80.508777746930505</v>
      </c>
      <c r="AM5647">
        <v>92.775670119337903</v>
      </c>
      <c r="AN5647">
        <v>0.99999997335649604</v>
      </c>
    </row>
    <row r="5648" spans="1:40" x14ac:dyDescent="0.25">
      <c r="A5648" t="str">
        <f>"20190304155746998"</f>
        <v>20190304155746998</v>
      </c>
      <c r="B5648" t="str">
        <f>"1551686266990865"</f>
        <v>1551686266990865</v>
      </c>
      <c r="C5648" t="s">
        <v>40</v>
      </c>
      <c r="D5648">
        <v>4.7847280000000003</v>
      </c>
      <c r="E5648">
        <v>0.56184049999999996</v>
      </c>
      <c r="F5648" t="s">
        <v>89</v>
      </c>
      <c r="G5648">
        <v>-252.1508</v>
      </c>
      <c r="H5648">
        <v>0.74089519999999998</v>
      </c>
      <c r="I5648">
        <v>4.6793879999999897</v>
      </c>
      <c r="J5648">
        <v>-356.96940000000001</v>
      </c>
      <c r="K5648">
        <v>1.1101190000000001</v>
      </c>
      <c r="L5648">
        <v>16.844329999999999</v>
      </c>
      <c r="M5648">
        <v>0.99995400000000001</v>
      </c>
      <c r="N5648">
        <v>-9.5780469999999993E-3</v>
      </c>
      <c r="O5648">
        <v>5.927765E-4</v>
      </c>
      <c r="P5648">
        <v>0.98669340000000005</v>
      </c>
      <c r="Q5648">
        <v>0.1554982</v>
      </c>
      <c r="R5648">
        <v>4.7507300000000002E-2</v>
      </c>
      <c r="S5648">
        <v>3.0593870000000001</v>
      </c>
      <c r="T5648">
        <v>-1.076066E-2</v>
      </c>
      <c r="U5648">
        <v>-0.35452270000000002</v>
      </c>
      <c r="V5648">
        <v>-4.7146069999999998E-2</v>
      </c>
      <c r="W5648">
        <v>0.16487859999999999</v>
      </c>
      <c r="X5648">
        <v>0.98518640000000002</v>
      </c>
      <c r="Y5648">
        <v>0.1156962</v>
      </c>
      <c r="Z5648">
        <v>-7.5514539999999995E-4</v>
      </c>
      <c r="AA5648">
        <v>0.99328430000000001</v>
      </c>
      <c r="AB5648">
        <v>33</v>
      </c>
      <c r="AC5648">
        <v>104.8186</v>
      </c>
      <c r="AD5648">
        <v>-0.36922379999999999</v>
      </c>
      <c r="AE5648">
        <v>-12.164942</v>
      </c>
      <c r="AF5648">
        <v>12.2269270170124</v>
      </c>
      <c r="AG5648">
        <v>-0.36922379999999999</v>
      </c>
      <c r="AH5648">
        <v>104.810086957897</v>
      </c>
      <c r="AI5648">
        <v>90.200480539408503</v>
      </c>
      <c r="AJ5648">
        <v>83.346069222350096</v>
      </c>
      <c r="AK5648">
        <v>105.521506806034</v>
      </c>
      <c r="AL5648">
        <v>80.509817577467103</v>
      </c>
      <c r="AM5648">
        <v>92.739797871307402</v>
      </c>
      <c r="AN5648">
        <v>0.99999997369968197</v>
      </c>
    </row>
    <row r="5649" spans="1:40" x14ac:dyDescent="0.25">
      <c r="A5649" t="str">
        <f>"20190304155747010"</f>
        <v>20190304155747010</v>
      </c>
      <c r="B5649" t="str">
        <f>"1551686267000625"</f>
        <v>1551686267000625</v>
      </c>
      <c r="C5649" t="s">
        <v>40</v>
      </c>
      <c r="D5649">
        <v>4.7579979999999997</v>
      </c>
      <c r="E5649">
        <v>0.56167609999999901</v>
      </c>
      <c r="F5649" t="s">
        <v>89</v>
      </c>
      <c r="G5649">
        <v>-252.1508</v>
      </c>
      <c r="H5649">
        <v>0.72915940000000001</v>
      </c>
      <c r="I5649">
        <v>4.6893079999999996</v>
      </c>
      <c r="J5649">
        <v>-356.80250000000001</v>
      </c>
      <c r="K5649">
        <v>1.1101129999999999</v>
      </c>
      <c r="L5649">
        <v>16.844729999999998</v>
      </c>
      <c r="M5649">
        <v>0.99995400000000001</v>
      </c>
      <c r="N5649">
        <v>-9.551202E-3</v>
      </c>
      <c r="O5649">
        <v>9.130548E-4</v>
      </c>
      <c r="P5649">
        <v>0.98669079999999998</v>
      </c>
      <c r="Q5649">
        <v>0.15552179999999999</v>
      </c>
      <c r="R5649">
        <v>4.7483600000000001E-2</v>
      </c>
      <c r="S5649">
        <v>3.059326</v>
      </c>
      <c r="T5649">
        <v>-1.111901E-2</v>
      </c>
      <c r="U5649">
        <v>-0.35476679999999999</v>
      </c>
      <c r="V5649">
        <v>-4.6805020000000003E-2</v>
      </c>
      <c r="W5649">
        <v>0.1648763</v>
      </c>
      <c r="X5649">
        <v>0.9852031</v>
      </c>
      <c r="Y5649">
        <v>0.1160947</v>
      </c>
      <c r="Z5649">
        <v>-7.6117399999999999E-4</v>
      </c>
      <c r="AA5649">
        <v>0.99323790000000001</v>
      </c>
      <c r="AB5649">
        <v>33</v>
      </c>
      <c r="AC5649">
        <v>104.65170000000001</v>
      </c>
      <c r="AD5649">
        <v>-0.380953599999999</v>
      </c>
      <c r="AE5649">
        <v>-12.1554219999999</v>
      </c>
      <c r="AF5649">
        <v>12.250813849858901</v>
      </c>
      <c r="AG5649">
        <v>-0.380953599999999</v>
      </c>
      <c r="AH5649">
        <v>104.639189175498</v>
      </c>
      <c r="AI5649">
        <v>90.207177334711602</v>
      </c>
      <c r="AJ5649">
        <v>83.322396782617005</v>
      </c>
      <c r="AK5649">
        <v>105.354579762509</v>
      </c>
      <c r="AL5649">
        <v>80.509951689395905</v>
      </c>
      <c r="AM5649">
        <v>92.719962280511098</v>
      </c>
      <c r="AN5649">
        <v>1.0000000262242399</v>
      </c>
    </row>
    <row r="5650" spans="1:40" x14ac:dyDescent="0.25">
      <c r="A5650" t="str">
        <f>"20190304155747022"</f>
        <v>20190304155747022</v>
      </c>
      <c r="B5650" t="str">
        <f>"1551686267010385"</f>
        <v>1551686267010385</v>
      </c>
      <c r="C5650" t="s">
        <v>40</v>
      </c>
      <c r="D5650">
        <v>4.8244350000000003</v>
      </c>
      <c r="E5650">
        <v>0.5615831</v>
      </c>
      <c r="F5650" t="s">
        <v>89</v>
      </c>
      <c r="G5650">
        <v>-252.1508</v>
      </c>
      <c r="H5650">
        <v>0.7216496</v>
      </c>
      <c r="I5650">
        <v>4.7455959999999999</v>
      </c>
      <c r="J5650">
        <v>-356.62049999999999</v>
      </c>
      <c r="K5650">
        <v>1.110109</v>
      </c>
      <c r="L5650">
        <v>16.845210000000002</v>
      </c>
      <c r="M5650">
        <v>0.99995389999999995</v>
      </c>
      <c r="N5650">
        <v>-9.5252930000000006E-3</v>
      </c>
      <c r="O5650">
        <v>1.2570369999999999E-3</v>
      </c>
      <c r="P5650">
        <v>0.98671770000000003</v>
      </c>
      <c r="Q5650">
        <v>0.15537899999999999</v>
      </c>
      <c r="R5650">
        <v>4.7388300000000001E-2</v>
      </c>
      <c r="S5650">
        <v>3.059326</v>
      </c>
      <c r="T5650">
        <v>-1.1356120000000001E-2</v>
      </c>
      <c r="U5650">
        <v>-0.35369869999999998</v>
      </c>
      <c r="V5650">
        <v>-4.6368960000000001E-2</v>
      </c>
      <c r="W5650">
        <v>0.164709299999999</v>
      </c>
      <c r="X5650">
        <v>0.98525160000000001</v>
      </c>
      <c r="Y5650">
        <v>0.11609410000000001</v>
      </c>
      <c r="Z5650">
        <v>-7.6223920000000002E-4</v>
      </c>
      <c r="AA5650">
        <v>0.99323790000000001</v>
      </c>
      <c r="AB5650">
        <v>33</v>
      </c>
      <c r="AC5650">
        <v>104.4697</v>
      </c>
      <c r="AD5650">
        <v>-0.38845940000000001</v>
      </c>
      <c r="AE5650">
        <v>-12.099614000000001</v>
      </c>
      <c r="AF5650">
        <v>12.230765798704301</v>
      </c>
      <c r="AG5650">
        <v>-0.38845940000000001</v>
      </c>
      <c r="AH5650">
        <v>104.452982005214</v>
      </c>
      <c r="AI5650">
        <v>90.211635439031099</v>
      </c>
      <c r="AJ5650">
        <v>83.321448494406695</v>
      </c>
      <c r="AK5650">
        <v>105.167333248066</v>
      </c>
      <c r="AL5650">
        <v>80.519652221091505</v>
      </c>
      <c r="AM5650">
        <v>92.694526765841204</v>
      </c>
      <c r="AN5650">
        <v>0.99999997463026502</v>
      </c>
    </row>
    <row r="5651" spans="1:40" x14ac:dyDescent="0.25">
      <c r="A5651" t="str">
        <f>"20190304155747034"</f>
        <v>20190304155747034</v>
      </c>
      <c r="B5651" t="str">
        <f>"1551686267030882"</f>
        <v>1551686267030882</v>
      </c>
      <c r="C5651" t="s">
        <v>40</v>
      </c>
      <c r="D5651">
        <v>4.5699779999999999</v>
      </c>
      <c r="E5651">
        <v>0.56162849999999997</v>
      </c>
      <c r="F5651" t="s">
        <v>89</v>
      </c>
      <c r="G5651">
        <v>-252.1508</v>
      </c>
      <c r="H5651">
        <v>0.70722629999999997</v>
      </c>
      <c r="I5651">
        <v>4.7698839999999896</v>
      </c>
      <c r="J5651">
        <v>-356.44740000000002</v>
      </c>
      <c r="K5651">
        <v>1.1101030000000001</v>
      </c>
      <c r="L5651">
        <v>16.84573</v>
      </c>
      <c r="M5651">
        <v>0.9999536</v>
      </c>
      <c r="N5651">
        <v>-9.5016519999999993E-3</v>
      </c>
      <c r="O5651">
        <v>1.5824109999999999E-3</v>
      </c>
      <c r="P5651">
        <v>0.98673840000000002</v>
      </c>
      <c r="Q5651">
        <v>0.15528520000000001</v>
      </c>
      <c r="R5651">
        <v>4.7263260000000001E-2</v>
      </c>
      <c r="S5651">
        <v>3.0592350000000001</v>
      </c>
      <c r="T5651">
        <v>-1.1797790000000001E-2</v>
      </c>
      <c r="U5651">
        <v>-0.35360720000000001</v>
      </c>
      <c r="V5651">
        <v>-4.5921200000000002E-2</v>
      </c>
      <c r="W5651">
        <v>0.16459360000000001</v>
      </c>
      <c r="X5651">
        <v>0.98529199999999995</v>
      </c>
      <c r="Y5651">
        <v>0.1163912</v>
      </c>
      <c r="Z5651">
        <v>-7.6958799999999998E-4</v>
      </c>
      <c r="AA5651">
        <v>0.99320319999999995</v>
      </c>
      <c r="AB5651">
        <v>33</v>
      </c>
      <c r="AC5651">
        <v>104.2966</v>
      </c>
      <c r="AD5651">
        <v>-0.40287669999999998</v>
      </c>
      <c r="AE5651">
        <v>-12.075846</v>
      </c>
      <c r="AF5651">
        <v>12.2406981883019</v>
      </c>
      <c r="AG5651">
        <v>-0.40287669999999998</v>
      </c>
      <c r="AH5651">
        <v>104.275824254412</v>
      </c>
      <c r="AI5651">
        <v>90.219855426207403</v>
      </c>
      <c r="AJ5651">
        <v>83.304821464567098</v>
      </c>
      <c r="AK5651">
        <v>104.99259271829401</v>
      </c>
      <c r="AL5651">
        <v>80.526373958446499</v>
      </c>
      <c r="AM5651">
        <v>92.668435710733604</v>
      </c>
      <c r="AN5651">
        <v>1.0000000675171901</v>
      </c>
    </row>
    <row r="5652" spans="1:40" x14ac:dyDescent="0.25">
      <c r="A5652" t="str">
        <f>"20190304155747045"</f>
        <v>20190304155747045</v>
      </c>
      <c r="B5652" t="str">
        <f>"1551686267040641"</f>
        <v>1551686267040641</v>
      </c>
      <c r="C5652" t="s">
        <v>40</v>
      </c>
      <c r="D5652">
        <v>4.6603570000000003</v>
      </c>
      <c r="E5652">
        <v>0.56156539999999999</v>
      </c>
      <c r="F5652" t="s">
        <v>89</v>
      </c>
      <c r="G5652">
        <v>-252.1508</v>
      </c>
      <c r="H5652">
        <v>0.70217779999999996</v>
      </c>
      <c r="I5652">
        <v>4.7528360000000003</v>
      </c>
      <c r="J5652">
        <v>-356.26310000000001</v>
      </c>
      <c r="K5652">
        <v>1.110098</v>
      </c>
      <c r="L5652">
        <v>16.846309999999999</v>
      </c>
      <c r="M5652">
        <v>0.99995330000000004</v>
      </c>
      <c r="N5652">
        <v>-9.4785219999999996E-3</v>
      </c>
      <c r="O5652">
        <v>1.924345E-3</v>
      </c>
      <c r="P5652">
        <v>0.98677060000000005</v>
      </c>
      <c r="Q5652">
        <v>0.155146799999999</v>
      </c>
      <c r="R5652">
        <v>4.704618E-2</v>
      </c>
      <c r="S5652">
        <v>3.0592039999999998</v>
      </c>
      <c r="T5652">
        <v>-1.1965160000000001E-2</v>
      </c>
      <c r="U5652">
        <v>-0.35470580000000002</v>
      </c>
      <c r="V5652">
        <v>-4.5364269999999998E-2</v>
      </c>
      <c r="W5652">
        <v>0.1644342</v>
      </c>
      <c r="X5652">
        <v>0.98534440000000001</v>
      </c>
      <c r="Y5652">
        <v>0.1170838</v>
      </c>
      <c r="Z5652">
        <v>-7.7428920000000001E-4</v>
      </c>
      <c r="AA5652">
        <v>0.9931217</v>
      </c>
      <c r="AB5652">
        <v>33</v>
      </c>
      <c r="AC5652">
        <v>104.1123</v>
      </c>
      <c r="AD5652">
        <v>-0.40792020000000001</v>
      </c>
      <c r="AE5652">
        <v>-12.093474000000001</v>
      </c>
      <c r="AF5652">
        <v>12.293622364789201</v>
      </c>
      <c r="AG5652">
        <v>-0.40792020000000001</v>
      </c>
      <c r="AH5652">
        <v>104.08725754679401</v>
      </c>
      <c r="AI5652">
        <v>90.222992307576803</v>
      </c>
      <c r="AJ5652">
        <v>83.264069247875099</v>
      </c>
      <c r="AK5652">
        <v>104.811529582151</v>
      </c>
      <c r="AL5652">
        <v>80.535632941719797</v>
      </c>
      <c r="AM5652">
        <v>92.635978998398798</v>
      </c>
      <c r="AN5652">
        <v>1.00000005486681</v>
      </c>
    </row>
    <row r="5653" spans="1:40" x14ac:dyDescent="0.25">
      <c r="A5653" t="str">
        <f>"20190304155747065"</f>
        <v>20190304155747065</v>
      </c>
      <c r="B5653" t="str">
        <f>"1551686267060161"</f>
        <v>1551686267060161</v>
      </c>
      <c r="C5653" t="s">
        <v>40</v>
      </c>
      <c r="D5653">
        <v>4.7089499999999997</v>
      </c>
      <c r="E5653">
        <v>0.56134340000000005</v>
      </c>
      <c r="F5653" t="s">
        <v>89</v>
      </c>
      <c r="G5653">
        <v>-252.1508</v>
      </c>
      <c r="H5653">
        <v>0.67029229999999995</v>
      </c>
      <c r="I5653">
        <v>4.7602539999999998</v>
      </c>
      <c r="J5653">
        <v>-355.98509999999999</v>
      </c>
      <c r="K5653">
        <v>1.110085</v>
      </c>
      <c r="L5653">
        <v>16.847349999999999</v>
      </c>
      <c r="M5653">
        <v>0.99995239999999996</v>
      </c>
      <c r="N5653">
        <v>-9.4473490000000007E-3</v>
      </c>
      <c r="O5653">
        <v>2.4297630000000001E-3</v>
      </c>
      <c r="P5653">
        <v>0.9867496</v>
      </c>
      <c r="Q5653">
        <v>0.15528729999999999</v>
      </c>
      <c r="R5653">
        <v>4.7025520000000001E-2</v>
      </c>
      <c r="S5653">
        <v>3.0592039999999998</v>
      </c>
      <c r="T5653">
        <v>-1.292312E-2</v>
      </c>
      <c r="U5653">
        <v>-0.35513309999999998</v>
      </c>
      <c r="V5653">
        <v>-4.4841869999999999E-2</v>
      </c>
      <c r="W5653">
        <v>0.16454559999999999</v>
      </c>
      <c r="X5653">
        <v>0.9853497</v>
      </c>
      <c r="Y5653">
        <v>0.1177223</v>
      </c>
      <c r="Z5653">
        <v>-7.9313159999999997E-4</v>
      </c>
      <c r="AA5653">
        <v>0.99304619999999999</v>
      </c>
      <c r="AB5653">
        <v>33</v>
      </c>
      <c r="AC5653">
        <v>103.834299999999</v>
      </c>
      <c r="AD5653">
        <v>-0.43979269999999898</v>
      </c>
      <c r="AE5653">
        <v>-12.087096000000001</v>
      </c>
      <c r="AF5653">
        <v>12.3391459216414</v>
      </c>
      <c r="AG5653">
        <v>-0.43979269999999898</v>
      </c>
      <c r="AH5653">
        <v>103.80278608573001</v>
      </c>
      <c r="AI5653">
        <v>90.241052805982207</v>
      </c>
      <c r="AJ5653">
        <v>83.221001058169406</v>
      </c>
      <c r="AK5653">
        <v>104.534522234783</v>
      </c>
      <c r="AL5653">
        <v>80.529161904206504</v>
      </c>
      <c r="AM5653">
        <v>92.605652015316394</v>
      </c>
      <c r="AN5653">
        <v>1.0000000395372699</v>
      </c>
    </row>
    <row r="5654" spans="1:40" x14ac:dyDescent="0.25">
      <c r="A5654" t="str">
        <f>"20190304155747076"</f>
        <v>20190304155747076</v>
      </c>
      <c r="B5654" t="str">
        <f>"1551686267070602"</f>
        <v>1551686267070602</v>
      </c>
      <c r="C5654" t="s">
        <v>40</v>
      </c>
      <c r="D5654">
        <v>4.6770800000000001</v>
      </c>
      <c r="E5654">
        <v>0.56126919999999902</v>
      </c>
      <c r="F5654" t="s">
        <v>89</v>
      </c>
      <c r="G5654">
        <v>-252.1508</v>
      </c>
      <c r="H5654">
        <v>0.6404453</v>
      </c>
      <c r="I5654">
        <v>4.8312169999999997</v>
      </c>
      <c r="J5654">
        <v>-355.81150000000002</v>
      </c>
      <c r="K5654">
        <v>1.11008</v>
      </c>
      <c r="L5654">
        <v>16.848020000000002</v>
      </c>
      <c r="M5654">
        <v>0.99995179999999995</v>
      </c>
      <c r="N5654">
        <v>-9.4299050000000006E-3</v>
      </c>
      <c r="O5654">
        <v>2.7373800000000002E-3</v>
      </c>
      <c r="P5654">
        <v>0.98677119999999996</v>
      </c>
      <c r="Q5654">
        <v>0.1551942</v>
      </c>
      <c r="R5654">
        <v>4.6878490000000002E-2</v>
      </c>
      <c r="S5654">
        <v>3.0592959999999998</v>
      </c>
      <c r="T5654">
        <v>-1.38371E-2</v>
      </c>
      <c r="U5654">
        <v>-0.35403440000000003</v>
      </c>
      <c r="V5654">
        <v>-4.438835E-2</v>
      </c>
      <c r="W5654">
        <v>0.16443650000000001</v>
      </c>
      <c r="X5654">
        <v>0.98538840000000005</v>
      </c>
      <c r="Y5654">
        <v>0.1176721</v>
      </c>
      <c r="Z5654">
        <v>-8.085255E-4</v>
      </c>
      <c r="AA5654">
        <v>0.99305220000000005</v>
      </c>
      <c r="AB5654">
        <v>33</v>
      </c>
      <c r="AC5654">
        <v>103.66070000000001</v>
      </c>
      <c r="AD5654">
        <v>-0.46963470000000002</v>
      </c>
      <c r="AE5654">
        <v>-12.016802999999999</v>
      </c>
      <c r="AF5654">
        <v>12.3002801943374</v>
      </c>
      <c r="AG5654">
        <v>-0.46963470000000002</v>
      </c>
      <c r="AH5654">
        <v>103.62531681915</v>
      </c>
      <c r="AI5654">
        <v>90.257855171273803</v>
      </c>
      <c r="AJ5654">
        <v>83.230689490612093</v>
      </c>
      <c r="AK5654">
        <v>104.353839102737</v>
      </c>
      <c r="AL5654">
        <v>80.535498756733205</v>
      </c>
      <c r="AM5654">
        <v>92.579233679157298</v>
      </c>
      <c r="AN5654">
        <v>0.999999993501266</v>
      </c>
    </row>
    <row r="5655" spans="1:40" x14ac:dyDescent="0.25">
      <c r="A5655" t="str">
        <f>"20190304155747089"</f>
        <v>20190304155747089</v>
      </c>
      <c r="B5655" t="str">
        <f>"1551686267080361"</f>
        <v>1551686267080361</v>
      </c>
      <c r="C5655" t="s">
        <v>40</v>
      </c>
      <c r="D5655">
        <v>4.6867580000000002</v>
      </c>
      <c r="E5655">
        <v>0.56117450000000002</v>
      </c>
      <c r="F5655" t="s">
        <v>89</v>
      </c>
      <c r="G5655">
        <v>-252.1508</v>
      </c>
      <c r="H5655">
        <v>0.60200750000000003</v>
      </c>
      <c r="I5655">
        <v>4.8554329999999997</v>
      </c>
      <c r="J5655">
        <v>-355.62880000000001</v>
      </c>
      <c r="K5655">
        <v>1.1100699999999999</v>
      </c>
      <c r="L5655">
        <v>16.84882</v>
      </c>
      <c r="M5655">
        <v>0.99995109999999998</v>
      </c>
      <c r="N5655">
        <v>-9.4126560000000001E-3</v>
      </c>
      <c r="O5655">
        <v>3.0563690000000002E-3</v>
      </c>
      <c r="P5655">
        <v>0.98678730000000003</v>
      </c>
      <c r="Q5655">
        <v>0.15511129999999901</v>
      </c>
      <c r="R5655">
        <v>4.6812760000000002E-2</v>
      </c>
      <c r="S5655">
        <v>3.0593870000000001</v>
      </c>
      <c r="T5655">
        <v>-1.499498E-2</v>
      </c>
      <c r="U5655">
        <v>-0.3539429</v>
      </c>
      <c r="V5655">
        <v>-4.4004250000000002E-2</v>
      </c>
      <c r="W5655">
        <v>0.16433819999999999</v>
      </c>
      <c r="X5655">
        <v>0.98542200000000002</v>
      </c>
      <c r="Y5655">
        <v>0.1179558</v>
      </c>
      <c r="Z5655">
        <v>-8.3137039999999895E-4</v>
      </c>
      <c r="AA5655">
        <v>0.99301850000000003</v>
      </c>
      <c r="AB5655">
        <v>33</v>
      </c>
      <c r="AC5655">
        <v>103.47799999999999</v>
      </c>
      <c r="AD5655">
        <v>-0.50806249999999997</v>
      </c>
      <c r="AE5655">
        <v>-11.993386999999901</v>
      </c>
      <c r="AF5655">
        <v>12.3093191136384</v>
      </c>
      <c r="AG5655">
        <v>-0.50806249999999997</v>
      </c>
      <c r="AH5655">
        <v>103.43839829629199</v>
      </c>
      <c r="AI5655">
        <v>90.279448006642099</v>
      </c>
      <c r="AJ5655">
        <v>83.213633912287904</v>
      </c>
      <c r="AK5655">
        <v>104.169475887361</v>
      </c>
      <c r="AL5655">
        <v>80.541208366478699</v>
      </c>
      <c r="AM5655">
        <v>92.556857809441098</v>
      </c>
      <c r="AN5655">
        <v>0.99999996804064994</v>
      </c>
    </row>
    <row r="5656" spans="1:40" x14ac:dyDescent="0.25">
      <c r="A5656" t="str">
        <f>"20190304155747102"</f>
        <v>20190304155747102</v>
      </c>
      <c r="B5656" t="str">
        <f>"1551686267090120"</f>
        <v>1551686267090120</v>
      </c>
      <c r="C5656" t="s">
        <v>40</v>
      </c>
      <c r="D5656">
        <v>4.6976490000000002</v>
      </c>
      <c r="E5656">
        <v>0.56108429999999998</v>
      </c>
      <c r="F5656" t="s">
        <v>89</v>
      </c>
      <c r="G5656">
        <v>-252.1508</v>
      </c>
      <c r="H5656">
        <v>0.56337919999999997</v>
      </c>
      <c r="I5656">
        <v>4.8880460000000001</v>
      </c>
      <c r="J5656">
        <v>-355.42559999999997</v>
      </c>
      <c r="K5656">
        <v>1.1100570000000001</v>
      </c>
      <c r="L5656">
        <v>16.84976</v>
      </c>
      <c r="M5656">
        <v>0.99995020000000001</v>
      </c>
      <c r="N5656">
        <v>-9.3959430000000004E-3</v>
      </c>
      <c r="O5656">
        <v>3.3979790000000002E-3</v>
      </c>
      <c r="P5656">
        <v>0.98682610000000004</v>
      </c>
      <c r="Q5656">
        <v>0.15487300000000001</v>
      </c>
      <c r="R5656">
        <v>4.6783560000000002E-2</v>
      </c>
      <c r="S5656">
        <v>3.0594790000000001</v>
      </c>
      <c r="T5656">
        <v>-1.6163710000000001E-2</v>
      </c>
      <c r="U5656">
        <v>-0.3536377</v>
      </c>
      <c r="V5656">
        <v>-4.3633020000000002E-2</v>
      </c>
      <c r="W5656">
        <v>0.1640856</v>
      </c>
      <c r="X5656">
        <v>0.98548060000000004</v>
      </c>
      <c r="Y5656">
        <v>0.11819350000000001</v>
      </c>
      <c r="Z5656">
        <v>-8.5438669999999997E-4</v>
      </c>
      <c r="AA5656">
        <v>0.99299020000000005</v>
      </c>
      <c r="AB5656">
        <v>33</v>
      </c>
      <c r="AC5656">
        <v>103.274799999999</v>
      </c>
      <c r="AD5656">
        <v>-0.54667779999999999</v>
      </c>
      <c r="AE5656">
        <v>-11.961714000000001</v>
      </c>
      <c r="AF5656">
        <v>12.3122455625555</v>
      </c>
      <c r="AG5656">
        <v>-0.54667779999999999</v>
      </c>
      <c r="AH5656">
        <v>103.230702010689</v>
      </c>
      <c r="AI5656">
        <v>90.301282564636594</v>
      </c>
      <c r="AJ5656">
        <v>83.1985062419961</v>
      </c>
      <c r="AK5656">
        <v>103.963782564071</v>
      </c>
      <c r="AL5656">
        <v>80.555880460147193</v>
      </c>
      <c r="AM5656">
        <v>92.535165270852502</v>
      </c>
      <c r="AN5656">
        <v>0.99999996876901898</v>
      </c>
    </row>
    <row r="5657" spans="1:40" x14ac:dyDescent="0.25">
      <c r="A5657" t="str">
        <f>"20190304155747122"</f>
        <v>20190304155747122</v>
      </c>
      <c r="B5657" t="str">
        <f>"1551686267110617"</f>
        <v>1551686267110617</v>
      </c>
      <c r="C5657" t="s">
        <v>40</v>
      </c>
      <c r="D5657">
        <v>4.6686259999999997</v>
      </c>
      <c r="E5657">
        <v>0.56085890000000005</v>
      </c>
      <c r="F5657" t="s">
        <v>89</v>
      </c>
      <c r="G5657">
        <v>-252.1508</v>
      </c>
      <c r="H5657">
        <v>0.51091070000000005</v>
      </c>
      <c r="I5657">
        <v>4.925198</v>
      </c>
      <c r="J5657">
        <v>-355.13959999999997</v>
      </c>
      <c r="K5657">
        <v>1.110031</v>
      </c>
      <c r="L5657">
        <v>16.85117</v>
      </c>
      <c r="M5657">
        <v>0.99994859999999997</v>
      </c>
      <c r="N5657">
        <v>-9.3747689999999998E-3</v>
      </c>
      <c r="O5657">
        <v>3.8644199999999999E-3</v>
      </c>
      <c r="P5657">
        <v>0.98688169999999997</v>
      </c>
      <c r="Q5657">
        <v>0.15455849999999999</v>
      </c>
      <c r="R5657">
        <v>4.6653689999999998E-2</v>
      </c>
      <c r="S5657">
        <v>3.0595699999999999</v>
      </c>
      <c r="T5657">
        <v>-1.7750019999999998E-2</v>
      </c>
      <c r="U5657">
        <v>-0.35327150000000002</v>
      </c>
      <c r="V5657">
        <v>-4.3035810000000001E-2</v>
      </c>
      <c r="W5657">
        <v>0.1637536</v>
      </c>
      <c r="X5657">
        <v>0.9855621</v>
      </c>
      <c r="Y5657">
        <v>0.1185354</v>
      </c>
      <c r="Z5657">
        <v>-8.8642270000000001E-4</v>
      </c>
      <c r="AA5657">
        <v>0.99294939999999998</v>
      </c>
      <c r="AB5657">
        <v>33</v>
      </c>
      <c r="AC5657">
        <v>102.988799999999</v>
      </c>
      <c r="AD5657">
        <v>-0.59912029999999905</v>
      </c>
      <c r="AE5657">
        <v>-11.925972</v>
      </c>
      <c r="AF5657">
        <v>12.3234808809803</v>
      </c>
      <c r="AG5657">
        <v>-0.59912029999999905</v>
      </c>
      <c r="AH5657">
        <v>102.93850444926299</v>
      </c>
      <c r="AI5657">
        <v>90.331103586522204</v>
      </c>
      <c r="AJ5657">
        <v>83.173216071217396</v>
      </c>
      <c r="AK5657">
        <v>103.67527585885</v>
      </c>
      <c r="AL5657">
        <v>80.575163667733406</v>
      </c>
      <c r="AM5657">
        <v>92.500304014696894</v>
      </c>
      <c r="AN5657">
        <v>0.99999998770586296</v>
      </c>
    </row>
    <row r="5658" spans="1:40" x14ac:dyDescent="0.25">
      <c r="A5658" t="str">
        <f>"20190304155747135"</f>
        <v>20190304155747135</v>
      </c>
      <c r="B5658" t="str">
        <f>"1551686267130138"</f>
        <v>1551686267130138</v>
      </c>
      <c r="C5658" t="s">
        <v>40</v>
      </c>
      <c r="D5658">
        <v>4.7127189999999999</v>
      </c>
      <c r="E5658">
        <v>0.56064419999999904</v>
      </c>
      <c r="F5658" t="s">
        <v>89</v>
      </c>
      <c r="G5658">
        <v>-252.1508</v>
      </c>
      <c r="H5658">
        <v>0.42560520000000002</v>
      </c>
      <c r="I5658">
        <v>4.9932059999999998</v>
      </c>
      <c r="J5658">
        <v>-354.92669999999998</v>
      </c>
      <c r="K5658">
        <v>1.1100159999999999</v>
      </c>
      <c r="L5658">
        <v>16.85229</v>
      </c>
      <c r="M5658">
        <v>0.99994740000000004</v>
      </c>
      <c r="N5658">
        <v>-9.3609190000000005E-3</v>
      </c>
      <c r="O5658">
        <v>4.1986030000000004E-3</v>
      </c>
      <c r="P5658">
        <v>0.98688469999999995</v>
      </c>
      <c r="Q5658">
        <v>0.15455550000000001</v>
      </c>
      <c r="R5658">
        <v>4.6596970000000001E-2</v>
      </c>
      <c r="S5658">
        <v>3.0597530000000002</v>
      </c>
      <c r="T5658">
        <v>-2.033401E-2</v>
      </c>
      <c r="U5658">
        <v>-0.35229490000000002</v>
      </c>
      <c r="V5658">
        <v>-4.2643960000000002E-2</v>
      </c>
      <c r="W5658">
        <v>0.16373889999999999</v>
      </c>
      <c r="X5658">
        <v>0.98558159999999895</v>
      </c>
      <c r="Y5658">
        <v>0.1185466</v>
      </c>
      <c r="Z5658">
        <v>-9.3795339999999997E-4</v>
      </c>
      <c r="AA5658">
        <v>0.9929481</v>
      </c>
      <c r="AB5658">
        <v>33</v>
      </c>
      <c r="AC5658">
        <v>102.775899999999</v>
      </c>
      <c r="AD5658">
        <v>-0.68441079999999999</v>
      </c>
      <c r="AE5658">
        <v>-11.859083999999999</v>
      </c>
      <c r="AF5658">
        <v>12.289975713784701</v>
      </c>
      <c r="AG5658">
        <v>-0.68441079999999999</v>
      </c>
      <c r="AH5658">
        <v>102.720704905544</v>
      </c>
      <c r="AI5658">
        <v>90.379043255116699</v>
      </c>
      <c r="AJ5658">
        <v>83.177302351867894</v>
      </c>
      <c r="AK5658">
        <v>103.455570838309</v>
      </c>
      <c r="AL5658">
        <v>80.576017675076201</v>
      </c>
      <c r="AM5658">
        <v>92.477517766866697</v>
      </c>
      <c r="AN5658">
        <v>1.0000000124781201</v>
      </c>
    </row>
    <row r="5659" spans="1:40" x14ac:dyDescent="0.25">
      <c r="A5659" t="str">
        <f>"20190304155747154"</f>
        <v>20190304155747154</v>
      </c>
      <c r="B5659" t="str">
        <f>"1551686267150633"</f>
        <v>1551686267150633</v>
      </c>
      <c r="C5659" t="s">
        <v>40</v>
      </c>
      <c r="D5659">
        <v>4.6605439999999998</v>
      </c>
      <c r="E5659">
        <v>0.56043030000000005</v>
      </c>
      <c r="F5659" t="s">
        <v>89</v>
      </c>
      <c r="G5659">
        <v>-252.04429999999999</v>
      </c>
      <c r="H5659">
        <v>0.36048140000000001</v>
      </c>
      <c r="I5659">
        <v>5.0471919999999999</v>
      </c>
      <c r="J5659">
        <v>-354.6429</v>
      </c>
      <c r="K5659">
        <v>1.109996</v>
      </c>
      <c r="L5659">
        <v>16.85388</v>
      </c>
      <c r="M5659">
        <v>0.99994559999999999</v>
      </c>
      <c r="N5659">
        <v>-9.3448530000000002E-3</v>
      </c>
      <c r="O5659">
        <v>4.6262639999999997E-3</v>
      </c>
      <c r="P5659">
        <v>0.98689689999999997</v>
      </c>
      <c r="Q5659">
        <v>0.15461329999999901</v>
      </c>
      <c r="R5659">
        <v>4.6139920000000001E-2</v>
      </c>
      <c r="S5659">
        <v>3.0599059999999998</v>
      </c>
      <c r="T5659">
        <v>-2.2292490000000002E-2</v>
      </c>
      <c r="U5659">
        <v>-0.35110469999999999</v>
      </c>
      <c r="V5659">
        <v>-4.1757280000000001E-2</v>
      </c>
      <c r="W5659">
        <v>0.16378409999999999</v>
      </c>
      <c r="X5659">
        <v>0.98561200000000004</v>
      </c>
      <c r="Y5659">
        <v>0.1185836</v>
      </c>
      <c r="Z5659">
        <v>-9.7696400000000009E-4</v>
      </c>
      <c r="AA5659">
        <v>0.99294360000000004</v>
      </c>
      <c r="AB5659">
        <v>33</v>
      </c>
      <c r="AC5659">
        <v>102.5986</v>
      </c>
      <c r="AD5659">
        <v>-0.74951459999999903</v>
      </c>
      <c r="AE5659">
        <v>-11.806687999999999</v>
      </c>
      <c r="AF5659">
        <v>12.280583775707001</v>
      </c>
      <c r="AG5659">
        <v>-0.74951459999999903</v>
      </c>
      <c r="AH5659">
        <v>102.537478075606</v>
      </c>
      <c r="AI5659">
        <v>90.415833833967696</v>
      </c>
      <c r="AJ5659">
        <v>83.170399674805907</v>
      </c>
      <c r="AK5659">
        <v>103.272982527441</v>
      </c>
      <c r="AL5659">
        <v>80.573391949065794</v>
      </c>
      <c r="AM5659">
        <v>92.4259911255335</v>
      </c>
      <c r="AN5659">
        <v>0.99999995819490295</v>
      </c>
    </row>
    <row r="5660" spans="1:40" x14ac:dyDescent="0.25">
      <c r="A5660" t="str">
        <f>"20190304155747166"</f>
        <v>20190304155747166</v>
      </c>
      <c r="B5660" t="str">
        <f>"1551686267160393"</f>
        <v>1551686267160393</v>
      </c>
      <c r="C5660" t="s">
        <v>40</v>
      </c>
      <c r="D5660">
        <v>4.6532099999999996</v>
      </c>
      <c r="E5660">
        <v>0.56032439999999994</v>
      </c>
      <c r="F5660" t="s">
        <v>89</v>
      </c>
      <c r="G5660">
        <v>-251.8091</v>
      </c>
      <c r="H5660">
        <v>0.31989240000000002</v>
      </c>
      <c r="I5660">
        <v>5.0471779999999997</v>
      </c>
      <c r="J5660">
        <v>-354.46030000000002</v>
      </c>
      <c r="K5660">
        <v>1.109982</v>
      </c>
      <c r="L5660">
        <v>16.854979999999902</v>
      </c>
      <c r="M5660">
        <v>0.99994459999999996</v>
      </c>
      <c r="N5660">
        <v>-9.3357730000000003E-3</v>
      </c>
      <c r="O5660">
        <v>4.8910639999999997E-3</v>
      </c>
      <c r="P5660">
        <v>0.98688149999999997</v>
      </c>
      <c r="Q5660">
        <v>0.154753799999999</v>
      </c>
      <c r="R5660">
        <v>4.6005499999999998E-2</v>
      </c>
      <c r="S5660">
        <v>3.0599059999999998</v>
      </c>
      <c r="T5660">
        <v>-2.3510219999999998E-2</v>
      </c>
      <c r="U5660">
        <v>-0.35131839999999998</v>
      </c>
      <c r="V5660">
        <v>-4.1357350000000001E-2</v>
      </c>
      <c r="W5660">
        <v>0.16391720000000001</v>
      </c>
      <c r="X5660">
        <v>0.98560680000000001</v>
      </c>
      <c r="Y5660">
        <v>0.1189144</v>
      </c>
      <c r="Z5660">
        <v>-1.0042E-3</v>
      </c>
      <c r="AA5660">
        <v>0.99290400000000001</v>
      </c>
      <c r="AB5660">
        <v>34</v>
      </c>
      <c r="AC5660">
        <v>102.6512</v>
      </c>
      <c r="AD5660">
        <v>-0.79008959999999995</v>
      </c>
      <c r="AE5660">
        <v>-11.807802000000001</v>
      </c>
      <c r="AF5660">
        <v>12.3090364688212</v>
      </c>
      <c r="AG5660">
        <v>-0.79008959999999995</v>
      </c>
      <c r="AH5660">
        <v>102.58621884567999</v>
      </c>
      <c r="AI5660">
        <v>90.438124485845293</v>
      </c>
      <c r="AJ5660">
        <v>83.157947740639699</v>
      </c>
      <c r="AK5660">
        <v>103.32506432333101</v>
      </c>
      <c r="AL5660">
        <v>80.565662006354799</v>
      </c>
      <c r="AM5660">
        <v>92.402796241407003</v>
      </c>
      <c r="AN5660">
        <v>1.00000002153055</v>
      </c>
    </row>
    <row r="5661" spans="1:40" x14ac:dyDescent="0.25">
      <c r="A5661" t="str">
        <f>"20190304155747177"</f>
        <v>20190304155747177</v>
      </c>
      <c r="B5661" t="str">
        <f>"1551686267170153"</f>
        <v>1551686267170153</v>
      </c>
      <c r="C5661" t="s">
        <v>40</v>
      </c>
      <c r="D5661">
        <v>4.6829159999999996</v>
      </c>
      <c r="E5661">
        <v>0.5602511</v>
      </c>
      <c r="F5661" t="s">
        <v>89</v>
      </c>
      <c r="G5661">
        <v>-251.50749999999999</v>
      </c>
      <c r="H5661">
        <v>0.30800640000000001</v>
      </c>
      <c r="I5661">
        <v>5.047174</v>
      </c>
      <c r="J5661">
        <v>-354.30329999999998</v>
      </c>
      <c r="K5661">
        <v>1.1099749999999999</v>
      </c>
      <c r="L5661">
        <v>16.85596</v>
      </c>
      <c r="M5661">
        <v>0.99994349999999999</v>
      </c>
      <c r="N5661">
        <v>-9.3289189999999998E-3</v>
      </c>
      <c r="O5661">
        <v>5.1109320000000003E-3</v>
      </c>
      <c r="P5661">
        <v>0.98690679999999997</v>
      </c>
      <c r="Q5661">
        <v>0.1546527</v>
      </c>
      <c r="R5661">
        <v>4.5799739999999999E-2</v>
      </c>
      <c r="S5661">
        <v>3.0599669999999999</v>
      </c>
      <c r="T5661">
        <v>-2.3836369999999999E-2</v>
      </c>
      <c r="U5661">
        <v>-0.35095209999999999</v>
      </c>
      <c r="V5661">
        <v>-4.0930399999999999E-2</v>
      </c>
      <c r="W5661">
        <v>0.16381089999999901</v>
      </c>
      <c r="X5661">
        <v>0.98564229999999997</v>
      </c>
      <c r="Y5661">
        <v>0.11901299999999999</v>
      </c>
      <c r="Z5661">
        <v>-1.0111580000000001E-3</v>
      </c>
      <c r="AA5661">
        <v>0.9928922</v>
      </c>
      <c r="AB5661">
        <v>34</v>
      </c>
      <c r="AC5661">
        <v>102.7958</v>
      </c>
      <c r="AD5661">
        <v>-0.80196859999999903</v>
      </c>
      <c r="AE5661">
        <v>-11.808786</v>
      </c>
      <c r="AF5661">
        <v>12.3332960370709</v>
      </c>
      <c r="AG5661">
        <v>-0.80196859999999903</v>
      </c>
      <c r="AH5661">
        <v>102.727929707172</v>
      </c>
      <c r="AI5661">
        <v>90.444094270406495</v>
      </c>
      <c r="AJ5661">
        <v>83.1539581875045</v>
      </c>
      <c r="AK5661">
        <v>103.468743525256</v>
      </c>
      <c r="AL5661">
        <v>80.571836045157099</v>
      </c>
      <c r="AM5661">
        <v>92.377934199220704</v>
      </c>
      <c r="AN5661">
        <v>1.0000000260761199</v>
      </c>
    </row>
    <row r="5662" spans="1:40" x14ac:dyDescent="0.25">
      <c r="A5662" t="str">
        <f>"20190304155747188"</f>
        <v>20190304155747188</v>
      </c>
      <c r="B5662" t="str">
        <f>"1551686267180889"</f>
        <v>1551686267180889</v>
      </c>
      <c r="C5662" t="s">
        <v>40</v>
      </c>
      <c r="D5662">
        <v>4.7033180000000003</v>
      </c>
      <c r="E5662">
        <v>0.56017550000000005</v>
      </c>
      <c r="F5662" t="s">
        <v>89</v>
      </c>
      <c r="G5662">
        <v>-251.44040000000001</v>
      </c>
      <c r="H5662">
        <v>0.277918099999999</v>
      </c>
      <c r="I5662">
        <v>5.0471649999999997</v>
      </c>
      <c r="J5662">
        <v>-354.12569999999999</v>
      </c>
      <c r="K5662">
        <v>1.1099619999999999</v>
      </c>
      <c r="L5662">
        <v>16.857089999999999</v>
      </c>
      <c r="M5662">
        <v>0.9999422</v>
      </c>
      <c r="N5662">
        <v>-9.3215759999999998E-3</v>
      </c>
      <c r="O5662">
        <v>5.3563609999999996E-3</v>
      </c>
      <c r="P5662">
        <v>0.9869097</v>
      </c>
      <c r="Q5662">
        <v>0.15469089999999999</v>
      </c>
      <c r="R5662">
        <v>4.560935E-2</v>
      </c>
      <c r="S5662">
        <v>3.0599669999999999</v>
      </c>
      <c r="T5662">
        <v>-2.475202E-2</v>
      </c>
      <c r="U5662">
        <v>-0.35128779999999998</v>
      </c>
      <c r="V5662">
        <v>-4.0494019999999999E-2</v>
      </c>
      <c r="W5662">
        <v>0.1638434</v>
      </c>
      <c r="X5662">
        <v>0.9856549</v>
      </c>
      <c r="Y5662">
        <v>0.1193637</v>
      </c>
      <c r="Z5662">
        <v>-1.032783E-3</v>
      </c>
      <c r="AA5662">
        <v>0.99285009999999996</v>
      </c>
      <c r="AB5662">
        <v>34</v>
      </c>
      <c r="AC5662">
        <v>102.685299999999</v>
      </c>
      <c r="AD5662">
        <v>-0.83204389999999995</v>
      </c>
      <c r="AE5662">
        <v>-11.809925</v>
      </c>
      <c r="AF5662">
        <v>12.3589981529553</v>
      </c>
      <c r="AG5662">
        <v>-0.83204389999999995</v>
      </c>
      <c r="AH5662">
        <v>102.613916549934</v>
      </c>
      <c r="AI5662">
        <v>90.461238841437506</v>
      </c>
      <c r="AJ5662">
        <v>83.132277620659906</v>
      </c>
      <c r="AK5662">
        <v>103.35885546054099</v>
      </c>
      <c r="AL5662">
        <v>80.569948215365301</v>
      </c>
      <c r="AM5662">
        <v>92.352580421333101</v>
      </c>
      <c r="AN5662">
        <v>1.0000000036366601</v>
      </c>
    </row>
    <row r="5663" spans="1:40" x14ac:dyDescent="0.25">
      <c r="A5663" t="str">
        <f>"20190304155747200"</f>
        <v>20190304155747200</v>
      </c>
      <c r="B5663" t="str">
        <f>"1551686267190649"</f>
        <v>1551686267190649</v>
      </c>
      <c r="C5663" t="s">
        <v>40</v>
      </c>
      <c r="D5663">
        <v>4.6912609999999999</v>
      </c>
      <c r="E5663">
        <v>0.56009699999999996</v>
      </c>
      <c r="F5663" t="s">
        <v>89</v>
      </c>
      <c r="G5663">
        <v>-251.2576</v>
      </c>
      <c r="H5663">
        <v>0.25011109999999998</v>
      </c>
      <c r="I5663">
        <v>5.0471550000000001</v>
      </c>
      <c r="J5663">
        <v>-353.96710000000002</v>
      </c>
      <c r="K5663">
        <v>1.109952</v>
      </c>
      <c r="L5663">
        <v>16.85812</v>
      </c>
      <c r="M5663">
        <v>0.99994110000000003</v>
      </c>
      <c r="N5663">
        <v>-9.3181359999999994E-3</v>
      </c>
      <c r="O5663">
        <v>5.5647730000000003E-3</v>
      </c>
      <c r="P5663">
        <v>0.98693359999999997</v>
      </c>
      <c r="Q5663">
        <v>0.15456989999999901</v>
      </c>
      <c r="R5663">
        <v>4.5498669999999998E-2</v>
      </c>
      <c r="S5663">
        <v>3.0600890000000001</v>
      </c>
      <c r="T5663">
        <v>-2.557862E-2</v>
      </c>
      <c r="U5663">
        <v>-0.35131839999999998</v>
      </c>
      <c r="V5663">
        <v>-4.017337E-2</v>
      </c>
      <c r="W5663">
        <v>0.16372110000000001</v>
      </c>
      <c r="X5663">
        <v>0.98568829999999996</v>
      </c>
      <c r="Y5663">
        <v>0.1195755</v>
      </c>
      <c r="Z5663">
        <v>-1.051759E-3</v>
      </c>
      <c r="AA5663">
        <v>0.99282459999999995</v>
      </c>
      <c r="AB5663">
        <v>34</v>
      </c>
      <c r="AC5663">
        <v>102.70950000000001</v>
      </c>
      <c r="AD5663">
        <v>-0.85984090000000002</v>
      </c>
      <c r="AE5663">
        <v>-11.810964999999999</v>
      </c>
      <c r="AF5663">
        <v>12.3815055647181</v>
      </c>
      <c r="AG5663">
        <v>-0.85984090000000002</v>
      </c>
      <c r="AH5663">
        <v>102.63508223354199</v>
      </c>
      <c r="AI5663">
        <v>90.476537951591993</v>
      </c>
      <c r="AJ5663">
        <v>83.121295581361196</v>
      </c>
      <c r="AK5663">
        <v>103.382789242255</v>
      </c>
      <c r="AL5663">
        <v>80.577051006344504</v>
      </c>
      <c r="AM5663">
        <v>92.333893307831303</v>
      </c>
      <c r="AN5663">
        <v>0.999999961499627</v>
      </c>
    </row>
    <row r="5664" spans="1:40" x14ac:dyDescent="0.25">
      <c r="A5664" t="str">
        <f>"20190304155747212"</f>
        <v>20190304155747212</v>
      </c>
      <c r="B5664" t="str">
        <f>"1551686267200410"</f>
        <v>1551686267200410</v>
      </c>
      <c r="C5664" t="s">
        <v>40</v>
      </c>
      <c r="D5664">
        <v>4.6881240000000002</v>
      </c>
      <c r="E5664">
        <v>0.56002529999999995</v>
      </c>
      <c r="F5664" t="s">
        <v>89</v>
      </c>
      <c r="G5664">
        <v>-251.0899</v>
      </c>
      <c r="H5664">
        <v>0.21759400000000001</v>
      </c>
      <c r="I5664">
        <v>5.0471500000000002</v>
      </c>
      <c r="J5664">
        <v>-353.79109999999997</v>
      </c>
      <c r="K5664">
        <v>1.109947</v>
      </c>
      <c r="L5664">
        <v>16.859279999999998</v>
      </c>
      <c r="M5664">
        <v>0.99993989999999999</v>
      </c>
      <c r="N5664">
        <v>-9.3152860000000007E-3</v>
      </c>
      <c r="O5664">
        <v>5.7934379999999997E-3</v>
      </c>
      <c r="P5664">
        <v>0.98695469999999996</v>
      </c>
      <c r="Q5664">
        <v>0.15449789999999999</v>
      </c>
      <c r="R5664">
        <v>4.5285150000000003E-2</v>
      </c>
      <c r="S5664">
        <v>3.0600890000000001</v>
      </c>
      <c r="T5664">
        <v>-2.6543259999999999E-2</v>
      </c>
      <c r="U5664">
        <v>-0.35131839999999998</v>
      </c>
      <c r="V5664">
        <v>-3.97297E-2</v>
      </c>
      <c r="W5664">
        <v>0.16364770000000001</v>
      </c>
      <c r="X5664">
        <v>0.98571850000000005</v>
      </c>
      <c r="Y5664">
        <v>0.11980200000000001</v>
      </c>
      <c r="Z5664">
        <v>-1.074031E-3</v>
      </c>
      <c r="AA5664">
        <v>0.99279720000000005</v>
      </c>
      <c r="AB5664">
        <v>34</v>
      </c>
      <c r="AC5664">
        <v>102.70119999999901</v>
      </c>
      <c r="AD5664">
        <v>-0.89235299999999995</v>
      </c>
      <c r="AE5664">
        <v>-11.8121299999999</v>
      </c>
      <c r="AF5664">
        <v>12.406026185739099</v>
      </c>
      <c r="AG5664">
        <v>-0.89235299999999995</v>
      </c>
      <c r="AH5664">
        <v>102.623394024367</v>
      </c>
      <c r="AI5664">
        <v>90.494597262370604</v>
      </c>
      <c r="AJ5664">
        <v>83.107026313395394</v>
      </c>
      <c r="AK5664">
        <v>103.374400993081</v>
      </c>
      <c r="AL5664">
        <v>80.581314283913301</v>
      </c>
      <c r="AM5664">
        <v>92.308075456387201</v>
      </c>
      <c r="AN5664">
        <v>0.99999999000981499</v>
      </c>
    </row>
    <row r="5665" spans="1:40" x14ac:dyDescent="0.25">
      <c r="A5665" t="str">
        <f>"20190304155747223"</f>
        <v>20190304155747223</v>
      </c>
      <c r="B5665" t="str">
        <f>"1551686267219930"</f>
        <v>1551686267219930</v>
      </c>
      <c r="C5665" t="s">
        <v>40</v>
      </c>
      <c r="D5665">
        <v>4.6759009999999996</v>
      </c>
      <c r="E5665">
        <v>0.5599478</v>
      </c>
      <c r="F5665" t="s">
        <v>89</v>
      </c>
      <c r="G5665">
        <v>-250.99299999999999</v>
      </c>
      <c r="H5665">
        <v>0.1894537</v>
      </c>
      <c r="I5665">
        <v>5.0471339999999998</v>
      </c>
      <c r="J5665">
        <v>-353.60899999999998</v>
      </c>
      <c r="K5665">
        <v>1.109936</v>
      </c>
      <c r="L5665">
        <v>16.860569999999999</v>
      </c>
      <c r="M5665">
        <v>0.99993849999999995</v>
      </c>
      <c r="N5665">
        <v>-9.3172059999999998E-3</v>
      </c>
      <c r="O5665">
        <v>6.0193989999999999E-3</v>
      </c>
      <c r="P5665">
        <v>0.98692100000000005</v>
      </c>
      <c r="Q5665">
        <v>0.15474170000000001</v>
      </c>
      <c r="R5665">
        <v>4.5191809999999999E-2</v>
      </c>
      <c r="S5665">
        <v>3.0600890000000001</v>
      </c>
      <c r="T5665">
        <v>-2.7401209999999999E-2</v>
      </c>
      <c r="U5665">
        <v>-0.35162349999999998</v>
      </c>
      <c r="V5665">
        <v>-3.9409369999999999E-2</v>
      </c>
      <c r="W5665">
        <v>0.1638946</v>
      </c>
      <c r="X5665">
        <v>0.98569039999999997</v>
      </c>
      <c r="Y5665">
        <v>0.1201236</v>
      </c>
      <c r="Z5665">
        <v>-1.0953510000000001E-3</v>
      </c>
      <c r="AA5665">
        <v>0.99275829999999998</v>
      </c>
      <c r="AB5665">
        <v>34</v>
      </c>
      <c r="AC5665">
        <v>102.616</v>
      </c>
      <c r="AD5665">
        <v>-0.92048229999999998</v>
      </c>
      <c r="AE5665">
        <v>-11.813435999999999</v>
      </c>
      <c r="AF5665">
        <v>12.429948326836</v>
      </c>
      <c r="AG5665">
        <v>-0.92048229999999998</v>
      </c>
      <c r="AH5665">
        <v>102.53488546451101</v>
      </c>
      <c r="AI5665">
        <v>90.510607253037804</v>
      </c>
      <c r="AJ5665">
        <v>83.087959296607096</v>
      </c>
      <c r="AK5665">
        <v>103.28965892233801</v>
      </c>
      <c r="AL5665">
        <v>80.566974928379693</v>
      </c>
      <c r="AM5665">
        <v>92.2895511406076</v>
      </c>
      <c r="AN5665">
        <v>1.00000005150255</v>
      </c>
    </row>
    <row r="5666" spans="1:40" x14ac:dyDescent="0.25">
      <c r="A5666" t="str">
        <f>"20190304155747234"</f>
        <v>20190304155747234</v>
      </c>
      <c r="B5666" t="str">
        <f>"1551686267230666"</f>
        <v>1551686267230666</v>
      </c>
      <c r="C5666" t="s">
        <v>40</v>
      </c>
      <c r="D5666">
        <v>4.6856730000000004</v>
      </c>
      <c r="E5666">
        <v>0.55989769999999905</v>
      </c>
      <c r="F5666" t="s">
        <v>44</v>
      </c>
      <c r="G5666">
        <v>-230.07839999999999</v>
      </c>
      <c r="H5666">
        <v>-0.05</v>
      </c>
      <c r="I5666">
        <v>2.673721</v>
      </c>
      <c r="J5666">
        <v>-353.44060000000002</v>
      </c>
      <c r="K5666">
        <v>1.109928</v>
      </c>
      <c r="L5666">
        <v>16.86176</v>
      </c>
      <c r="M5666">
        <v>0.99993719999999997</v>
      </c>
      <c r="N5666">
        <v>-9.3204010000000007E-3</v>
      </c>
      <c r="O5666">
        <v>6.2243239999999998E-3</v>
      </c>
      <c r="P5666">
        <v>0.98691799999999996</v>
      </c>
      <c r="Q5666">
        <v>0.15482299999999999</v>
      </c>
      <c r="R5666">
        <v>4.4979520000000002E-2</v>
      </c>
      <c r="S5666">
        <v>3.0603940000000001</v>
      </c>
      <c r="T5666">
        <v>-2.8736709999999999E-2</v>
      </c>
      <c r="U5666">
        <v>-0.35147089999999998</v>
      </c>
      <c r="V5666">
        <v>-3.8991440000000002E-2</v>
      </c>
      <c r="W5666">
        <v>0.1639803</v>
      </c>
      <c r="X5666">
        <v>0.98569269999999998</v>
      </c>
      <c r="Y5666">
        <v>0.12026630000000001</v>
      </c>
      <c r="Z5666">
        <v>-1.125556E-3</v>
      </c>
      <c r="AA5666">
        <v>0.99274099999999998</v>
      </c>
      <c r="AB5666">
        <v>34</v>
      </c>
      <c r="AC5666">
        <v>123.3622</v>
      </c>
      <c r="AD5666">
        <v>-1.1599280000000001</v>
      </c>
      <c r="AE5666">
        <v>-14.188039</v>
      </c>
      <c r="AF5666">
        <v>14.954338942581799</v>
      </c>
      <c r="AG5666">
        <v>-1.1599280000000001</v>
      </c>
      <c r="AH5666">
        <v>123.26074019132</v>
      </c>
      <c r="AI5666">
        <v>90.535233534686299</v>
      </c>
      <c r="AJ5666">
        <v>83.082522985575395</v>
      </c>
      <c r="AK5666">
        <v>124.169995404232</v>
      </c>
      <c r="AL5666">
        <v>80.561996703866299</v>
      </c>
      <c r="AM5666">
        <v>92.265290970653396</v>
      </c>
      <c r="AN5666">
        <v>0.99999998500732601</v>
      </c>
    </row>
    <row r="5667" spans="1:40" x14ac:dyDescent="0.25">
      <c r="A5667" t="str">
        <f>"20190304155747247"</f>
        <v>20190304155747247</v>
      </c>
      <c r="B5667" t="str">
        <f>"1551686267240425"</f>
        <v>1551686267240425</v>
      </c>
      <c r="C5667" t="s">
        <v>40</v>
      </c>
      <c r="D5667">
        <v>4.6358430000000004</v>
      </c>
      <c r="E5667">
        <v>0.55982259999999995</v>
      </c>
      <c r="F5667" t="s">
        <v>44</v>
      </c>
      <c r="G5667">
        <v>-231.44280000000001</v>
      </c>
      <c r="H5667">
        <v>-0.05</v>
      </c>
      <c r="I5667">
        <v>2.842133</v>
      </c>
      <c r="J5667">
        <v>-353.25619999999998</v>
      </c>
      <c r="K5667">
        <v>1.1099239999999999</v>
      </c>
      <c r="L5667">
        <v>16.863099999999999</v>
      </c>
      <c r="M5667">
        <v>0.99993580000000004</v>
      </c>
      <c r="N5667">
        <v>-9.3259320000000003E-3</v>
      </c>
      <c r="O5667">
        <v>6.4431840000000002E-3</v>
      </c>
      <c r="P5667">
        <v>0.98693540000000002</v>
      </c>
      <c r="Q5667">
        <v>0.15481639999999999</v>
      </c>
      <c r="R5667">
        <v>4.4614069999999999E-2</v>
      </c>
      <c r="S5667">
        <v>3.060333</v>
      </c>
      <c r="T5667">
        <v>-2.9096960000000002E-2</v>
      </c>
      <c r="U5667">
        <v>-0.35168460000000001</v>
      </c>
      <c r="V5667">
        <v>-3.840532E-2</v>
      </c>
      <c r="W5667">
        <v>0.16398070000000001</v>
      </c>
      <c r="X5667">
        <v>0.98571569999999997</v>
      </c>
      <c r="Y5667">
        <v>0.12055399999999999</v>
      </c>
      <c r="Z5667">
        <v>-1.136403E-3</v>
      </c>
      <c r="AA5667">
        <v>0.99270610000000004</v>
      </c>
      <c r="AB5667">
        <v>34</v>
      </c>
      <c r="AC5667">
        <v>121.81339999999901</v>
      </c>
      <c r="AD5667">
        <v>-1.159924</v>
      </c>
      <c r="AE5667">
        <v>-14.020967000000001</v>
      </c>
      <c r="AF5667">
        <v>14.804251414507201</v>
      </c>
      <c r="AG5667">
        <v>-1.159924</v>
      </c>
      <c r="AH5667">
        <v>121.709636385146</v>
      </c>
      <c r="AI5667">
        <v>90.542032126428893</v>
      </c>
      <c r="AJ5667">
        <v>83.064849455011199</v>
      </c>
      <c r="AK5667">
        <v>122.612180767794</v>
      </c>
      <c r="AL5667">
        <v>80.561973993896601</v>
      </c>
      <c r="AM5667">
        <v>92.231221746921406</v>
      </c>
      <c r="AN5667">
        <v>1.00000003990164</v>
      </c>
    </row>
    <row r="5668" spans="1:40" x14ac:dyDescent="0.25">
      <c r="A5668" t="str">
        <f>"20190304155747266"</f>
        <v>20190304155747266</v>
      </c>
      <c r="B5668" t="str">
        <f>"1551686267259945"</f>
        <v>1551686267259945</v>
      </c>
      <c r="C5668" t="s">
        <v>40</v>
      </c>
      <c r="D5668">
        <v>4.6620790000000003</v>
      </c>
      <c r="E5668">
        <v>0.55966850000000001</v>
      </c>
      <c r="F5668" t="s">
        <v>44</v>
      </c>
      <c r="G5668">
        <v>-233.76750000000001</v>
      </c>
      <c r="H5668">
        <v>-0.05</v>
      </c>
      <c r="I5668">
        <v>3.110214</v>
      </c>
      <c r="J5668">
        <v>-352.97239999999999</v>
      </c>
      <c r="K5668">
        <v>1.1099110000000001</v>
      </c>
      <c r="L5668">
        <v>16.86523</v>
      </c>
      <c r="M5668">
        <v>0.99993359999999998</v>
      </c>
      <c r="N5668">
        <v>-9.3361999999999994E-3</v>
      </c>
      <c r="O5668">
        <v>6.7686109999999999E-3</v>
      </c>
      <c r="P5668">
        <v>0.98694139999999997</v>
      </c>
      <c r="Q5668">
        <v>0.154939299999999</v>
      </c>
      <c r="R5668">
        <v>4.405241E-2</v>
      </c>
      <c r="S5668">
        <v>3.0603030000000002</v>
      </c>
      <c r="T5668">
        <v>-2.9707549999999999E-2</v>
      </c>
      <c r="U5668">
        <v>-0.35223389999999999</v>
      </c>
      <c r="V5668">
        <v>-3.7517509999999997E-2</v>
      </c>
      <c r="W5668">
        <v>0.16411619999999999</v>
      </c>
      <c r="X5668">
        <v>0.98572729999999997</v>
      </c>
      <c r="Y5668">
        <v>0.1210536</v>
      </c>
      <c r="Z5668">
        <v>-1.155112E-3</v>
      </c>
      <c r="AA5668">
        <v>0.99264529999999995</v>
      </c>
      <c r="AB5668">
        <v>34</v>
      </c>
      <c r="AC5668">
        <v>119.204899999999</v>
      </c>
      <c r="AD5668">
        <v>-1.1599109999999999</v>
      </c>
      <c r="AE5668">
        <v>-13.755015999999999</v>
      </c>
      <c r="AF5668">
        <v>14.560227115216801</v>
      </c>
      <c r="AG5668">
        <v>-1.1599109999999999</v>
      </c>
      <c r="AH5668">
        <v>119.097934598159</v>
      </c>
      <c r="AI5668">
        <v>90.553870267129895</v>
      </c>
      <c r="AJ5668">
        <v>83.029935955568405</v>
      </c>
      <c r="AK5668">
        <v>119.990264741445</v>
      </c>
      <c r="AL5668">
        <v>80.554103415441801</v>
      </c>
      <c r="AM5668">
        <v>92.179667642435604</v>
      </c>
      <c r="AN5668">
        <v>1.0000000003121601</v>
      </c>
    </row>
    <row r="5669" spans="1:40" x14ac:dyDescent="0.25">
      <c r="A5669" t="str">
        <f>"20190304155747277"</f>
        <v>20190304155747277</v>
      </c>
      <c r="B5669" t="str">
        <f>"1551686267270213"</f>
        <v>1551686267270213</v>
      </c>
      <c r="C5669" t="s">
        <v>40</v>
      </c>
      <c r="D5669">
        <v>4.6910509999999999</v>
      </c>
      <c r="E5669">
        <v>0.55965509999999996</v>
      </c>
      <c r="F5669" t="s">
        <v>44</v>
      </c>
      <c r="G5669">
        <v>-238.03630000000001</v>
      </c>
      <c r="H5669">
        <v>-0.05</v>
      </c>
      <c r="I5669">
        <v>3.6280670000000002</v>
      </c>
      <c r="J5669">
        <v>-352.7962</v>
      </c>
      <c r="K5669">
        <v>1.1099030000000001</v>
      </c>
      <c r="L5669">
        <v>16.86664</v>
      </c>
      <c r="M5669">
        <v>0.99993220000000005</v>
      </c>
      <c r="N5669">
        <v>-9.3430779999999995E-3</v>
      </c>
      <c r="O5669">
        <v>6.9650729999999996E-3</v>
      </c>
      <c r="P5669">
        <v>0.98695739999999998</v>
      </c>
      <c r="Q5669">
        <v>0.1548995</v>
      </c>
      <c r="R5669">
        <v>4.3833740000000003E-2</v>
      </c>
      <c r="S5669">
        <v>3.0602420000000001</v>
      </c>
      <c r="T5669">
        <v>-3.0883310000000001E-2</v>
      </c>
      <c r="U5669">
        <v>-0.35244750000000002</v>
      </c>
      <c r="V5669">
        <v>-3.7101259999999997E-2</v>
      </c>
      <c r="W5669">
        <v>0.16408420000000001</v>
      </c>
      <c r="X5669">
        <v>0.98574839999999997</v>
      </c>
      <c r="Y5669">
        <v>0.1213186</v>
      </c>
      <c r="Z5669">
        <v>-1.183988E-3</v>
      </c>
      <c r="AA5669">
        <v>0.99261290000000002</v>
      </c>
      <c r="AB5669">
        <v>34</v>
      </c>
      <c r="AC5669">
        <v>114.7599</v>
      </c>
      <c r="AD5669">
        <v>-1.1599029999999999</v>
      </c>
      <c r="AE5669">
        <v>-13.238573000000001</v>
      </c>
      <c r="AF5669">
        <v>14.036182691750801</v>
      </c>
      <c r="AG5669">
        <v>-1.1599029999999999</v>
      </c>
      <c r="AH5669">
        <v>114.653345766424</v>
      </c>
      <c r="AI5669">
        <v>90.575324226384694</v>
      </c>
      <c r="AJ5669">
        <v>83.020420875947494</v>
      </c>
      <c r="AK5669">
        <v>115.515148335449</v>
      </c>
      <c r="AL5669">
        <v>80.555962246941405</v>
      </c>
      <c r="AM5669">
        <v>92.155461467296504</v>
      </c>
      <c r="AN5669">
        <v>1.0000000181428901</v>
      </c>
    </row>
    <row r="5670" spans="1:40" x14ac:dyDescent="0.25">
      <c r="A5670" t="str">
        <f>"20190304155747288"</f>
        <v>20190304155747288</v>
      </c>
      <c r="B5670" t="str">
        <f>"1551686267279974"</f>
        <v>1551686267279974</v>
      </c>
      <c r="C5670" t="s">
        <v>40</v>
      </c>
      <c r="D5670">
        <v>4.6943720000000004</v>
      </c>
      <c r="E5670">
        <v>0.55960589999999999</v>
      </c>
      <c r="F5670" t="s">
        <v>44</v>
      </c>
      <c r="G5670">
        <v>-239.77950000000001</v>
      </c>
      <c r="H5670">
        <v>-0.05</v>
      </c>
      <c r="I5670">
        <v>3.8313600000000001</v>
      </c>
      <c r="J5670">
        <v>-352.61900000000003</v>
      </c>
      <c r="K5670">
        <v>1.109896</v>
      </c>
      <c r="L5670">
        <v>16.868010000000002</v>
      </c>
      <c r="M5670">
        <v>0.99993069999999895</v>
      </c>
      <c r="N5670">
        <v>-9.3501690000000002E-3</v>
      </c>
      <c r="O5670">
        <v>7.1601669999999899E-3</v>
      </c>
      <c r="P5670">
        <v>0.98701269999999997</v>
      </c>
      <c r="Q5670">
        <v>0.15458179999999999</v>
      </c>
      <c r="R5670">
        <v>4.371092E-2</v>
      </c>
      <c r="S5670">
        <v>3.0602420000000001</v>
      </c>
      <c r="T5670">
        <v>-3.1407589999999999E-2</v>
      </c>
      <c r="U5670">
        <v>-0.35296630000000001</v>
      </c>
      <c r="V5670">
        <v>-3.6782130000000003E-2</v>
      </c>
      <c r="W5670">
        <v>0.16377520000000001</v>
      </c>
      <c r="X5670">
        <v>0.98581169999999996</v>
      </c>
      <c r="Y5670">
        <v>0.12167799999999999</v>
      </c>
      <c r="Z5670">
        <v>-1.199618E-3</v>
      </c>
      <c r="AA5670">
        <v>0.99256889999999998</v>
      </c>
      <c r="AB5670">
        <v>34</v>
      </c>
      <c r="AC5670">
        <v>112.8395</v>
      </c>
      <c r="AD5670">
        <v>-1.15989599999999</v>
      </c>
      <c r="AE5670">
        <v>-13.03665</v>
      </c>
      <c r="AF5670">
        <v>13.842857341869401</v>
      </c>
      <c r="AG5670">
        <v>-1.15989599999999</v>
      </c>
      <c r="AH5670">
        <v>112.731504059001</v>
      </c>
      <c r="AI5670">
        <v>90.585101820983397</v>
      </c>
      <c r="AJ5670">
        <v>82.99941462276</v>
      </c>
      <c r="AK5670">
        <v>113.58416291685501</v>
      </c>
      <c r="AL5670">
        <v>80.5739090168925</v>
      </c>
      <c r="AM5670">
        <v>92.136801236866702</v>
      </c>
      <c r="AN5670">
        <v>0.99999997453963296</v>
      </c>
    </row>
    <row r="5671" spans="1:40" x14ac:dyDescent="0.25">
      <c r="A5671" t="str">
        <f>"20190304155747301"</f>
        <v>20190304155747301</v>
      </c>
      <c r="B5671" t="str">
        <f>"1551686267290709"</f>
        <v>1551686267290709</v>
      </c>
      <c r="C5671" t="s">
        <v>40</v>
      </c>
      <c r="D5671">
        <v>4.6355110000000002</v>
      </c>
      <c r="E5671">
        <v>0.55953219999999904</v>
      </c>
      <c r="F5671" t="s">
        <v>44</v>
      </c>
      <c r="G5671">
        <v>-245.07640000000001</v>
      </c>
      <c r="H5671">
        <v>-0.05</v>
      </c>
      <c r="I5671">
        <v>4.463165</v>
      </c>
      <c r="J5671">
        <v>-352.43849999999998</v>
      </c>
      <c r="K5671">
        <v>1.1098889999999999</v>
      </c>
      <c r="L5671">
        <v>16.869479999999999</v>
      </c>
      <c r="M5671">
        <v>0.99992910000000002</v>
      </c>
      <c r="N5671">
        <v>-9.3598889999999997E-3</v>
      </c>
      <c r="O5671">
        <v>7.3537100000000003E-3</v>
      </c>
      <c r="P5671">
        <v>0.98703580000000002</v>
      </c>
      <c r="Q5671">
        <v>0.15454899999999999</v>
      </c>
      <c r="R5671">
        <v>4.3301949999999999E-2</v>
      </c>
      <c r="S5671">
        <v>3.0602719999999999</v>
      </c>
      <c r="T5671">
        <v>-3.3006430000000003E-2</v>
      </c>
      <c r="U5671">
        <v>-0.3529968</v>
      </c>
      <c r="V5671">
        <v>-3.6179620000000003E-2</v>
      </c>
      <c r="W5671">
        <v>0.16375300000000001</v>
      </c>
      <c r="X5671">
        <v>0.98583770000000004</v>
      </c>
      <c r="Y5671">
        <v>0.12187779999999999</v>
      </c>
      <c r="Z5671">
        <v>-1.2378319999999999E-3</v>
      </c>
      <c r="AA5671">
        <v>0.99254439999999999</v>
      </c>
      <c r="AB5671">
        <v>34</v>
      </c>
      <c r="AC5671">
        <v>107.362099999999</v>
      </c>
      <c r="AD5671">
        <v>-1.1598889999999999</v>
      </c>
      <c r="AE5671">
        <v>-12.406314999999999</v>
      </c>
      <c r="AF5671">
        <v>13.1940042345131</v>
      </c>
      <c r="AG5671">
        <v>-1.1598889999999999</v>
      </c>
      <c r="AH5671">
        <v>107.255606848103</v>
      </c>
      <c r="AI5671">
        <v>90.614951685089807</v>
      </c>
      <c r="AJ5671">
        <v>82.987016552272294</v>
      </c>
      <c r="AK5671">
        <v>108.07031179092399</v>
      </c>
      <c r="AL5671">
        <v>80.575198540528902</v>
      </c>
      <c r="AM5671">
        <v>92.101775616779094</v>
      </c>
      <c r="AN5671">
        <v>0.99999999032681697</v>
      </c>
    </row>
    <row r="5672" spans="1:40" x14ac:dyDescent="0.25">
      <c r="A5672" t="str">
        <f>"20190304155747315"</f>
        <v>20190304155747315</v>
      </c>
      <c r="B5672" t="str">
        <f>"1551686267310229"</f>
        <v>1551686267310229</v>
      </c>
      <c r="C5672" t="s">
        <v>40</v>
      </c>
      <c r="D5672">
        <v>4.6311470000000003</v>
      </c>
      <c r="E5672">
        <v>0.55947259999999999</v>
      </c>
      <c r="F5672" t="s">
        <v>44</v>
      </c>
      <c r="G5672">
        <v>-247.0284</v>
      </c>
      <c r="H5672">
        <v>-0.05</v>
      </c>
      <c r="I5672">
        <v>4.6870880000000001</v>
      </c>
      <c r="J5672">
        <v>-352.2319</v>
      </c>
      <c r="K5672">
        <v>1.10988</v>
      </c>
      <c r="L5672">
        <v>16.871220000000001</v>
      </c>
      <c r="M5672">
        <v>0.99992740000000002</v>
      </c>
      <c r="N5672">
        <v>-9.3730040000000008E-3</v>
      </c>
      <c r="O5672">
        <v>7.5732799999999999E-3</v>
      </c>
      <c r="P5672">
        <v>0.98711130000000002</v>
      </c>
      <c r="Q5672">
        <v>0.15406539999999999</v>
      </c>
      <c r="R5672">
        <v>4.330295E-2</v>
      </c>
      <c r="S5672">
        <v>3.060181</v>
      </c>
      <c r="T5672">
        <v>-3.3672929999999997E-2</v>
      </c>
      <c r="U5672">
        <v>-0.35366819999999999</v>
      </c>
      <c r="V5672">
        <v>-3.5960110000000003E-2</v>
      </c>
      <c r="W5672">
        <v>0.1632845</v>
      </c>
      <c r="X5672">
        <v>0.98592349999999995</v>
      </c>
      <c r="Y5672">
        <v>0.12231350000000001</v>
      </c>
      <c r="Z5672">
        <v>-1.258178E-3</v>
      </c>
      <c r="AA5672">
        <v>0.99249069999999995</v>
      </c>
      <c r="AB5672">
        <v>34</v>
      </c>
      <c r="AC5672">
        <v>105.20350000000001</v>
      </c>
      <c r="AD5672">
        <v>-1.15988</v>
      </c>
      <c r="AE5672">
        <v>-12.184132</v>
      </c>
      <c r="AF5672">
        <v>12.978996358675699</v>
      </c>
      <c r="AG5672">
        <v>-1.15988</v>
      </c>
      <c r="AH5672">
        <v>105.095599237785</v>
      </c>
      <c r="AI5672">
        <v>90.627548029321503</v>
      </c>
      <c r="AJ5672">
        <v>82.959787219027703</v>
      </c>
      <c r="AK5672">
        <v>105.900352441539</v>
      </c>
      <c r="AL5672">
        <v>80.6024084358599</v>
      </c>
      <c r="AM5672">
        <v>92.088853360691004</v>
      </c>
      <c r="AN5672">
        <v>1.00000005265185</v>
      </c>
    </row>
    <row r="5673" spans="1:40" x14ac:dyDescent="0.25">
      <c r="A5673" t="str">
        <f>"20190304155747333"</f>
        <v>20190304155747333</v>
      </c>
      <c r="B5673" t="str">
        <f>"1551686267330725"</f>
        <v>1551686267330725</v>
      </c>
      <c r="C5673" t="s">
        <v>40</v>
      </c>
      <c r="D5673">
        <v>4.6715359999999997</v>
      </c>
      <c r="E5673">
        <v>0.55935199999999996</v>
      </c>
      <c r="F5673" t="s">
        <v>44</v>
      </c>
      <c r="G5673">
        <v>-252.52029999999999</v>
      </c>
      <c r="H5673">
        <v>-0.05</v>
      </c>
      <c r="I5673">
        <v>5.3596190000000004</v>
      </c>
      <c r="J5673">
        <v>-351.94920000000002</v>
      </c>
      <c r="K5673">
        <v>1.109874</v>
      </c>
      <c r="L5673">
        <v>16.873629999999999</v>
      </c>
      <c r="M5673">
        <v>0.99992510000000001</v>
      </c>
      <c r="N5673">
        <v>-9.3961840000000001E-3</v>
      </c>
      <c r="O5673">
        <v>7.8681329999999994E-3</v>
      </c>
      <c r="P5673">
        <v>0.98725459999999998</v>
      </c>
      <c r="Q5673">
        <v>0.1533871</v>
      </c>
      <c r="R5673">
        <v>4.2437849999999999E-2</v>
      </c>
      <c r="S5673">
        <v>3.0602420000000001</v>
      </c>
      <c r="T5673">
        <v>-3.5597799999999999E-2</v>
      </c>
      <c r="U5673">
        <v>-0.353302</v>
      </c>
      <c r="V5673">
        <v>-3.4798910000000002E-2</v>
      </c>
      <c r="W5673">
        <v>0.16263150000000001</v>
      </c>
      <c r="X5673">
        <v>0.98607299999999998</v>
      </c>
      <c r="Y5673">
        <v>0.12248539999999999</v>
      </c>
      <c r="Z5673">
        <v>-1.304964E-3</v>
      </c>
      <c r="AA5673">
        <v>0.99246939999999995</v>
      </c>
      <c r="AB5673">
        <v>34</v>
      </c>
      <c r="AC5673">
        <v>99.428899999999999</v>
      </c>
      <c r="AD5673">
        <v>-1.1598740000000001</v>
      </c>
      <c r="AE5673">
        <v>-11.514010999999901</v>
      </c>
      <c r="AF5673">
        <v>12.2943578647716</v>
      </c>
      <c r="AG5673">
        <v>-1.1598740000000001</v>
      </c>
      <c r="AH5673">
        <v>99.321887294119804</v>
      </c>
      <c r="AI5673">
        <v>90.663998492416795</v>
      </c>
      <c r="AJ5673">
        <v>82.943651994499803</v>
      </c>
      <c r="AK5673">
        <v>100.08663166811399</v>
      </c>
      <c r="AL5673">
        <v>80.640328642235303</v>
      </c>
      <c r="AM5673">
        <v>92.021152165074199</v>
      </c>
      <c r="AN5673">
        <v>0.99999996512921796</v>
      </c>
    </row>
    <row r="5674" spans="1:40" x14ac:dyDescent="0.25">
      <c r="A5674" t="str">
        <f>"20190304155747355"</f>
        <v>20190304155747355</v>
      </c>
      <c r="B5674" t="str">
        <f>"1551686267350245"</f>
        <v>1551686267350245</v>
      </c>
      <c r="C5674" t="s">
        <v>40</v>
      </c>
      <c r="D5674">
        <v>4.7323779999999998</v>
      </c>
      <c r="E5674">
        <v>0.55927930000000003</v>
      </c>
      <c r="F5674" t="s">
        <v>44</v>
      </c>
      <c r="G5674">
        <v>-260.65989999999999</v>
      </c>
      <c r="H5674">
        <v>-0.05</v>
      </c>
      <c r="I5674">
        <v>6.2890169999999896</v>
      </c>
      <c r="J5674">
        <v>-351.6157</v>
      </c>
      <c r="K5674">
        <v>1.1098589999999999</v>
      </c>
      <c r="L5674">
        <v>16.87659</v>
      </c>
      <c r="M5674">
        <v>0.99992190000000003</v>
      </c>
      <c r="N5674">
        <v>-9.428423E-3</v>
      </c>
      <c r="O5674">
        <v>8.2111110000000001E-3</v>
      </c>
      <c r="P5674">
        <v>0.98736409999999997</v>
      </c>
      <c r="Q5674">
        <v>0.1528921</v>
      </c>
      <c r="R5674">
        <v>4.16715E-2</v>
      </c>
      <c r="S5674">
        <v>3.060028</v>
      </c>
      <c r="T5674">
        <v>-3.8879160000000003E-2</v>
      </c>
      <c r="U5674">
        <v>-0.35479739999999999</v>
      </c>
      <c r="V5674">
        <v>-3.3689469999999999E-2</v>
      </c>
      <c r="W5674">
        <v>0.16217139999999999</v>
      </c>
      <c r="X5674">
        <v>0.98618729999999999</v>
      </c>
      <c r="Y5674">
        <v>0.1233099</v>
      </c>
      <c r="Z5674">
        <v>-1.390847E-3</v>
      </c>
      <c r="AA5674">
        <v>0.9923672</v>
      </c>
      <c r="AB5674">
        <v>34</v>
      </c>
      <c r="AC5674">
        <v>90.955799999999996</v>
      </c>
      <c r="AD5674">
        <v>-1.159859</v>
      </c>
      <c r="AE5674">
        <v>-10.5875729999999</v>
      </c>
      <c r="AF5674">
        <v>11.332279247521599</v>
      </c>
      <c r="AG5674">
        <v>-1.159859</v>
      </c>
      <c r="AH5674">
        <v>90.851217957069196</v>
      </c>
      <c r="AI5674">
        <v>90.725807297619198</v>
      </c>
      <c r="AJ5674">
        <v>82.889963379652798</v>
      </c>
      <c r="AK5674">
        <v>91.562599515995501</v>
      </c>
      <c r="AL5674">
        <v>80.667045116575494</v>
      </c>
      <c r="AM5674">
        <v>91.956539188597901</v>
      </c>
      <c r="AN5674">
        <v>0.99999996702406402</v>
      </c>
    </row>
    <row r="5675" spans="1:40" x14ac:dyDescent="0.25">
      <c r="A5675" t="str">
        <f>"20190304155747366"</f>
        <v>20190304155747366</v>
      </c>
      <c r="B5675" t="str">
        <f>"1551686267360981"</f>
        <v>1551686267360981</v>
      </c>
      <c r="C5675" t="s">
        <v>40</v>
      </c>
      <c r="D5675">
        <v>4.7056659999999999</v>
      </c>
      <c r="E5675">
        <v>0.54079500000000003</v>
      </c>
      <c r="F5675" t="s">
        <v>44</v>
      </c>
      <c r="G5675">
        <v>-265.44880000000001</v>
      </c>
      <c r="H5675">
        <v>-0.05</v>
      </c>
      <c r="I5675">
        <v>6.842117</v>
      </c>
      <c r="J5675">
        <v>-351.43680000000001</v>
      </c>
      <c r="K5675">
        <v>1.109856</v>
      </c>
      <c r="L5675">
        <v>16.878229999999999</v>
      </c>
      <c r="M5675">
        <v>0.99992029999999998</v>
      </c>
      <c r="N5675">
        <v>-9.4477020000000005E-3</v>
      </c>
      <c r="O5675">
        <v>8.3934979999999992E-3</v>
      </c>
      <c r="P5675">
        <v>0.9873826</v>
      </c>
      <c r="Q5675">
        <v>0.1527966</v>
      </c>
      <c r="R5675">
        <v>4.1582800000000003E-2</v>
      </c>
      <c r="S5675">
        <v>3.0597840000000001</v>
      </c>
      <c r="T5675">
        <v>-4.1186569999999999E-2</v>
      </c>
      <c r="U5675">
        <v>-0.35632320000000001</v>
      </c>
      <c r="V5675">
        <v>-3.3419490000000003E-2</v>
      </c>
      <c r="W5675">
        <v>0.16209560000000001</v>
      </c>
      <c r="X5675">
        <v>0.986209</v>
      </c>
      <c r="Y5675">
        <v>0.1239865</v>
      </c>
      <c r="Z5675">
        <v>-1.4529279999999901E-3</v>
      </c>
      <c r="AA5675">
        <v>0.99228289999999997</v>
      </c>
      <c r="AB5675">
        <v>34</v>
      </c>
      <c r="AC5675">
        <v>85.988</v>
      </c>
      <c r="AD5675">
        <v>-1.159856</v>
      </c>
      <c r="AE5675">
        <v>-10.036113</v>
      </c>
      <c r="AF5675">
        <v>10.755601047333499</v>
      </c>
      <c r="AG5675">
        <v>-1.159856</v>
      </c>
      <c r="AH5675">
        <v>85.885312752626902</v>
      </c>
      <c r="AI5675">
        <v>90.767719729869796</v>
      </c>
      <c r="AJ5675">
        <v>82.861888312761593</v>
      </c>
      <c r="AK5675">
        <v>86.563936870077001</v>
      </c>
      <c r="AL5675">
        <v>80.671446857529801</v>
      </c>
      <c r="AM5675">
        <v>91.940829280969098</v>
      </c>
      <c r="AN5675">
        <v>1.00000001876611</v>
      </c>
    </row>
    <row r="5676" spans="1:40" x14ac:dyDescent="0.25">
      <c r="A5676" t="str">
        <f>"20190304155747378"</f>
        <v>20190304155747378</v>
      </c>
      <c r="B5676" t="str">
        <f>"1551686267370742"</f>
        <v>1551686267370742</v>
      </c>
      <c r="C5676" t="s">
        <v>40</v>
      </c>
      <c r="D5676">
        <v>4.8575920000000004</v>
      </c>
      <c r="E5676">
        <v>0.53660330000000001</v>
      </c>
      <c r="F5676" t="s">
        <v>44</v>
      </c>
      <c r="G5676">
        <v>-313.76530000000002</v>
      </c>
      <c r="H5676">
        <v>-0.05</v>
      </c>
      <c r="I5676">
        <v>14.293049999999999</v>
      </c>
      <c r="J5676">
        <v>-351.26139999999998</v>
      </c>
      <c r="K5676">
        <v>1.1098570000000001</v>
      </c>
      <c r="L5676">
        <v>16.879850000000001</v>
      </c>
      <c r="M5676">
        <v>0.99991850000000004</v>
      </c>
      <c r="N5676">
        <v>-9.4675780000000008E-3</v>
      </c>
      <c r="O5676">
        <v>8.5716569999999999E-3</v>
      </c>
      <c r="P5676">
        <v>0.98745579999999999</v>
      </c>
      <c r="Q5676">
        <v>0.15242649999999999</v>
      </c>
      <c r="R5676">
        <v>4.1200880000000002E-2</v>
      </c>
      <c r="S5676">
        <v>3.0617679999999998</v>
      </c>
      <c r="T5676">
        <v>-9.426785E-2</v>
      </c>
      <c r="U5676">
        <v>-0.21011350000000001</v>
      </c>
      <c r="V5676">
        <v>-3.2859909999999999E-2</v>
      </c>
      <c r="W5676">
        <v>0.161746</v>
      </c>
      <c r="X5676">
        <v>0.98628519999999997</v>
      </c>
      <c r="Y5676">
        <v>7.696385E-2</v>
      </c>
      <c r="Z5676">
        <v>-1.730531E-3</v>
      </c>
      <c r="AA5676">
        <v>0.99703240000000004</v>
      </c>
      <c r="AB5676">
        <v>34</v>
      </c>
      <c r="AC5676">
        <v>37.496099999999899</v>
      </c>
      <c r="AD5676">
        <v>-1.1598569999999999</v>
      </c>
      <c r="AE5676">
        <v>-2.5868000000000002</v>
      </c>
      <c r="AF5676">
        <v>2.9053562783465798</v>
      </c>
      <c r="AG5676">
        <v>-1.1598569999999999</v>
      </c>
      <c r="AH5676">
        <v>37.436896990202399</v>
      </c>
      <c r="AI5676">
        <v>91.769233918300003</v>
      </c>
      <c r="AJ5676">
        <v>85.562354958746596</v>
      </c>
      <c r="AK5676">
        <v>37.567374404123598</v>
      </c>
      <c r="AL5676">
        <v>80.691745327206903</v>
      </c>
      <c r="AM5676">
        <v>91.908208703266894</v>
      </c>
      <c r="AN5676">
        <v>1.0000000189701199</v>
      </c>
    </row>
    <row r="5677" spans="1:40" x14ac:dyDescent="0.25">
      <c r="A5677" t="str">
        <f>"20190304155747389"</f>
        <v>20190304155747389</v>
      </c>
      <c r="B5677" t="str">
        <f>"1551686267380502"</f>
        <v>1551686267380502</v>
      </c>
      <c r="C5677" t="s">
        <v>40</v>
      </c>
      <c r="D5677">
        <v>4.8861059999999998</v>
      </c>
      <c r="E5677">
        <v>0.53351599999999999</v>
      </c>
      <c r="F5677" t="s">
        <v>41</v>
      </c>
      <c r="G5677">
        <v>-322.09289999999999</v>
      </c>
      <c r="H5677" s="1">
        <v>-4.5045739999999997E-6</v>
      </c>
      <c r="I5677">
        <v>15.18327</v>
      </c>
      <c r="J5677">
        <v>-351.09210000000002</v>
      </c>
      <c r="K5677">
        <v>1.109858</v>
      </c>
      <c r="L5677">
        <v>16.88147</v>
      </c>
      <c r="M5677">
        <v>0.9999169</v>
      </c>
      <c r="N5677">
        <v>-9.4870649999999994E-3</v>
      </c>
      <c r="O5677">
        <v>8.7430860000000006E-3</v>
      </c>
      <c r="P5677">
        <v>0.98754489999999995</v>
      </c>
      <c r="Q5677">
        <v>0.15197659999999999</v>
      </c>
      <c r="R5677">
        <v>4.0726039999999998E-2</v>
      </c>
      <c r="S5677">
        <v>3.0635680000000001</v>
      </c>
      <c r="T5677">
        <v>-0.116568699999999</v>
      </c>
      <c r="U5677">
        <v>-0.17819209999999999</v>
      </c>
      <c r="V5677">
        <v>-3.2213180000000001E-2</v>
      </c>
      <c r="W5677">
        <v>0.161317299999999</v>
      </c>
      <c r="X5677">
        <v>0.9863767</v>
      </c>
      <c r="Y5677">
        <v>6.6729559999999993E-2</v>
      </c>
      <c r="Z5677">
        <v>-1.83439E-3</v>
      </c>
      <c r="AA5677">
        <v>0.99776940000000003</v>
      </c>
      <c r="AB5677">
        <v>34</v>
      </c>
      <c r="AC5677">
        <v>28.999199999999998</v>
      </c>
      <c r="AD5677">
        <v>-1.109862504574</v>
      </c>
      <c r="AE5677">
        <v>-1.6981999999999899</v>
      </c>
      <c r="AF5677">
        <v>1.94884413244463</v>
      </c>
      <c r="AG5677">
        <v>-1.109862504574</v>
      </c>
      <c r="AH5677">
        <v>28.940996609302999</v>
      </c>
      <c r="AI5677">
        <v>92.191210508150107</v>
      </c>
      <c r="AJ5677">
        <v>86.147602349371795</v>
      </c>
      <c r="AK5677">
        <v>29.027763830018198</v>
      </c>
      <c r="AL5677">
        <v>80.716634498479706</v>
      </c>
      <c r="AM5677">
        <v>91.870505971992102</v>
      </c>
      <c r="AN5677">
        <v>0.99999997727394596</v>
      </c>
    </row>
    <row r="5678" spans="1:40" x14ac:dyDescent="0.25">
      <c r="A5678" t="str">
        <f>"20190304155747400"</f>
        <v>20190304155747400</v>
      </c>
      <c r="B5678" t="str">
        <f>"1551686267390261"</f>
        <v>1551686267390261</v>
      </c>
      <c r="C5678" t="s">
        <v>40</v>
      </c>
      <c r="D5678">
        <v>4.7712190000000003</v>
      </c>
      <c r="E5678">
        <v>0.531049199999999</v>
      </c>
      <c r="F5678" t="s">
        <v>41</v>
      </c>
      <c r="G5678">
        <v>-325.68490000000003</v>
      </c>
      <c r="H5678" s="1">
        <v>-2.7338110000000001E-6</v>
      </c>
      <c r="I5678">
        <v>15.59351</v>
      </c>
      <c r="J5678">
        <v>-350.92880000000002</v>
      </c>
      <c r="K5678">
        <v>1.1098570000000001</v>
      </c>
      <c r="L5678">
        <v>16.883029999999899</v>
      </c>
      <c r="M5678">
        <v>0.9999152</v>
      </c>
      <c r="N5678">
        <v>-9.5079210000000008E-3</v>
      </c>
      <c r="O5678">
        <v>8.9083169999999903E-3</v>
      </c>
      <c r="P5678">
        <v>0.98753040000000003</v>
      </c>
      <c r="Q5678">
        <v>0.1520842</v>
      </c>
      <c r="R5678">
        <v>4.06749E-2</v>
      </c>
      <c r="S5678">
        <v>3.0648499999999999</v>
      </c>
      <c r="T5678">
        <v>-0.13388159999999999</v>
      </c>
      <c r="U5678">
        <v>-0.155365</v>
      </c>
      <c r="V5678">
        <v>-3.199896E-2</v>
      </c>
      <c r="W5678">
        <v>0.16144530000000001</v>
      </c>
      <c r="X5678">
        <v>0.98636279999999998</v>
      </c>
      <c r="Y5678">
        <v>5.9448719999999997E-2</v>
      </c>
      <c r="Z5678">
        <v>-1.8840770000000001E-3</v>
      </c>
      <c r="AA5678">
        <v>0.99822960000000005</v>
      </c>
      <c r="AB5678">
        <v>34</v>
      </c>
      <c r="AC5678">
        <v>25.2439</v>
      </c>
      <c r="AD5678">
        <v>-1.1098597338109999</v>
      </c>
      <c r="AE5678">
        <v>-1.28951999999999</v>
      </c>
      <c r="AF5678">
        <v>1.51144567452863</v>
      </c>
      <c r="AG5678">
        <v>-1.1098597338109999</v>
      </c>
      <c r="AH5678">
        <v>25.182859446395302</v>
      </c>
      <c r="AI5678">
        <v>92.518981232443707</v>
      </c>
      <c r="AJ5678">
        <v>86.5652948230927</v>
      </c>
      <c r="AK5678">
        <v>25.252577423952001</v>
      </c>
      <c r="AL5678">
        <v>80.709203872528505</v>
      </c>
      <c r="AM5678">
        <v>91.858101885137003</v>
      </c>
      <c r="AN5678">
        <v>1.0000000457785001</v>
      </c>
    </row>
    <row r="5679" spans="1:40" x14ac:dyDescent="0.25">
      <c r="A5679" t="str">
        <f>"20190304155747411"</f>
        <v>20190304155747411</v>
      </c>
      <c r="B5679" t="str">
        <f>"1551686267400022"</f>
        <v>1551686267400022</v>
      </c>
      <c r="C5679" t="s">
        <v>40</v>
      </c>
      <c r="D5679">
        <v>4.7567839999999997</v>
      </c>
      <c r="E5679">
        <v>0.52933509999999995</v>
      </c>
      <c r="F5679" t="s">
        <v>41</v>
      </c>
      <c r="G5679">
        <v>-325.52800000000002</v>
      </c>
      <c r="H5679" s="1">
        <v>-2.7785039999999999E-6</v>
      </c>
      <c r="I5679">
        <v>15.75975</v>
      </c>
      <c r="J5679">
        <v>-350.75869999999998</v>
      </c>
      <c r="K5679">
        <v>1.1098570000000001</v>
      </c>
      <c r="L5679">
        <v>16.884699999999999</v>
      </c>
      <c r="M5679">
        <v>0.99991350000000001</v>
      </c>
      <c r="N5679">
        <v>-9.5301659999999996E-3</v>
      </c>
      <c r="O5679">
        <v>9.0800380000000003E-3</v>
      </c>
      <c r="P5679">
        <v>0.98756909999999998</v>
      </c>
      <c r="Q5679">
        <v>0.1519104</v>
      </c>
      <c r="R5679">
        <v>4.0382559999999998E-2</v>
      </c>
      <c r="S5679">
        <v>3.0640559999999999</v>
      </c>
      <c r="T5679">
        <v>-0.13388039999999901</v>
      </c>
      <c r="U5679">
        <v>-0.13549800000000001</v>
      </c>
      <c r="V5679">
        <v>-3.1535519999999997E-2</v>
      </c>
      <c r="W5679">
        <v>0.16129470000000001</v>
      </c>
      <c r="X5679">
        <v>0.98640229999999995</v>
      </c>
      <c r="Y5679">
        <v>5.3181350000000002E-2</v>
      </c>
      <c r="Z5679">
        <v>-1.724335E-3</v>
      </c>
      <c r="AA5679">
        <v>0.99858340000000001</v>
      </c>
      <c r="AB5679">
        <v>34</v>
      </c>
      <c r="AC5679">
        <v>25.230699999999899</v>
      </c>
      <c r="AD5679">
        <v>-1.1098597785040001</v>
      </c>
      <c r="AE5679">
        <v>-1.1249499999999899</v>
      </c>
      <c r="AF5679">
        <v>1.3513999569693</v>
      </c>
      <c r="AG5679">
        <v>-1.1098597785040001</v>
      </c>
      <c r="AH5679">
        <v>25.1708361731202</v>
      </c>
      <c r="AI5679">
        <v>92.521086017380796</v>
      </c>
      <c r="AJ5679">
        <v>86.926790813094399</v>
      </c>
      <c r="AK5679">
        <v>25.2315093529043</v>
      </c>
      <c r="AL5679">
        <v>80.717946622344598</v>
      </c>
      <c r="AM5679">
        <v>91.831136226710498</v>
      </c>
      <c r="AN5679">
        <v>0.99999998335752505</v>
      </c>
    </row>
    <row r="5680" spans="1:40" x14ac:dyDescent="0.25">
      <c r="A5680" t="str">
        <f>"20190304155747422"</f>
        <v>20190304155747422</v>
      </c>
      <c r="B5680" t="str">
        <f>"1551686267420517"</f>
        <v>1551686267420517</v>
      </c>
      <c r="C5680" t="s">
        <v>40</v>
      </c>
      <c r="D5680">
        <v>4.8268409999999999</v>
      </c>
      <c r="E5680">
        <v>0.52811809999999904</v>
      </c>
      <c r="F5680" t="s">
        <v>41</v>
      </c>
      <c r="G5680">
        <v>-325.62950000000001</v>
      </c>
      <c r="H5680" s="1">
        <v>-2.709415E-6</v>
      </c>
      <c r="I5680">
        <v>15.8789</v>
      </c>
      <c r="J5680">
        <v>-350.577</v>
      </c>
      <c r="K5680">
        <v>1.109858</v>
      </c>
      <c r="L5680">
        <v>16.88654</v>
      </c>
      <c r="M5680">
        <v>0.99991149999999995</v>
      </c>
      <c r="N5680">
        <v>-9.5567629999999994E-3</v>
      </c>
      <c r="O5680">
        <v>9.2634859999999996E-3</v>
      </c>
      <c r="P5680">
        <v>0.98759509999999995</v>
      </c>
      <c r="Q5680">
        <v>0.151814</v>
      </c>
      <c r="R5680">
        <v>4.010946E-2</v>
      </c>
      <c r="S5680">
        <v>3.0635680000000001</v>
      </c>
      <c r="T5680">
        <v>-0.1353056</v>
      </c>
      <c r="U5680">
        <v>-0.1226196</v>
      </c>
      <c r="V5680">
        <v>-3.108058E-2</v>
      </c>
      <c r="W5680">
        <v>0.16122510000000001</v>
      </c>
      <c r="X5680">
        <v>0.98642810000000003</v>
      </c>
      <c r="Y5680">
        <v>4.9184070000000003E-2</v>
      </c>
      <c r="Z5680">
        <v>-1.64075299999999E-3</v>
      </c>
      <c r="AA5680">
        <v>0.99878840000000002</v>
      </c>
      <c r="AB5680">
        <v>34</v>
      </c>
      <c r="AC5680">
        <v>24.947499999999899</v>
      </c>
      <c r="AD5680">
        <v>-1.1098607094149999</v>
      </c>
      <c r="AE5680">
        <v>-1.0076400000000001</v>
      </c>
      <c r="AF5680">
        <v>1.2362653219042301</v>
      </c>
      <c r="AG5680">
        <v>-1.1098607094149999</v>
      </c>
      <c r="AH5680">
        <v>24.887917625814801</v>
      </c>
      <c r="AI5680">
        <v>92.550236627573199</v>
      </c>
      <c r="AJ5680">
        <v>87.156266186556095</v>
      </c>
      <c r="AK5680">
        <v>24.943307448888799</v>
      </c>
      <c r="AL5680">
        <v>80.721987129634996</v>
      </c>
      <c r="AM5680">
        <v>91.804690182366699</v>
      </c>
      <c r="AN5680">
        <v>0.99999996589637696</v>
      </c>
    </row>
    <row r="5681" spans="1:40" x14ac:dyDescent="0.25">
      <c r="A5681" t="str">
        <f>"20190304155747434"</f>
        <v>20190304155747434</v>
      </c>
      <c r="B5681" t="str">
        <f>"1551686267430278"</f>
        <v>1551686267430278</v>
      </c>
      <c r="C5681" t="s">
        <v>40</v>
      </c>
      <c r="D5681">
        <v>4.6820490000000001</v>
      </c>
      <c r="E5681">
        <v>0.527416199999999</v>
      </c>
      <c r="F5681" t="s">
        <v>41</v>
      </c>
      <c r="G5681">
        <v>-327.31689999999998</v>
      </c>
      <c r="H5681" s="1">
        <v>-1.9710109999999999E-6</v>
      </c>
      <c r="I5681">
        <v>16.02169</v>
      </c>
      <c r="J5681">
        <v>-350.4187</v>
      </c>
      <c r="K5681">
        <v>1.1098600000000001</v>
      </c>
      <c r="L5681">
        <v>16.888120000000001</v>
      </c>
      <c r="M5681">
        <v>0.99990990000000002</v>
      </c>
      <c r="N5681">
        <v>-9.5811149999999994E-3</v>
      </c>
      <c r="O5681">
        <v>9.4231039999999999E-3</v>
      </c>
      <c r="P5681">
        <v>0.98757410000000001</v>
      </c>
      <c r="Q5681">
        <v>0.15194540000000001</v>
      </c>
      <c r="R5681">
        <v>4.0128129999999998E-2</v>
      </c>
      <c r="S5681">
        <v>3.0647579999999999</v>
      </c>
      <c r="T5681">
        <v>-0.1462357</v>
      </c>
      <c r="U5681">
        <v>-0.1139526</v>
      </c>
      <c r="V5681">
        <v>-3.0941489999999999E-2</v>
      </c>
      <c r="W5681">
        <v>0.16138079999999999</v>
      </c>
      <c r="X5681">
        <v>0.98640700000000003</v>
      </c>
      <c r="Y5681">
        <v>4.6501000000000001E-2</v>
      </c>
      <c r="Z5681">
        <v>-1.6904089999999999E-3</v>
      </c>
      <c r="AA5681">
        <v>0.99891680000000005</v>
      </c>
      <c r="AB5681">
        <v>34</v>
      </c>
      <c r="AC5681">
        <v>23.101800000000001</v>
      </c>
      <c r="AD5681">
        <v>-1.109861971011</v>
      </c>
      <c r="AE5681">
        <v>-0.86643000000000103</v>
      </c>
      <c r="AF5681">
        <v>1.0815992562628201</v>
      </c>
      <c r="AG5681">
        <v>-1.109861971011</v>
      </c>
      <c r="AH5681">
        <v>23.039507614318101</v>
      </c>
      <c r="AI5681">
        <v>92.754897923307595</v>
      </c>
      <c r="AJ5681">
        <v>87.312199192277106</v>
      </c>
      <c r="AK5681">
        <v>23.091569060071802</v>
      </c>
      <c r="AL5681">
        <v>80.712947694771898</v>
      </c>
      <c r="AM5681">
        <v>91.796657648782002</v>
      </c>
      <c r="AN5681">
        <v>0.99999995403052899</v>
      </c>
    </row>
    <row r="5682" spans="1:40" x14ac:dyDescent="0.25">
      <c r="A5682" t="str">
        <f>"20190304155747447"</f>
        <v>20190304155747447</v>
      </c>
      <c r="B5682" t="str">
        <f>"1551686267440038"</f>
        <v>1551686267440038</v>
      </c>
      <c r="C5682" t="s">
        <v>40</v>
      </c>
      <c r="D5682">
        <v>4.7478569999999998</v>
      </c>
      <c r="E5682">
        <v>0.52675459999999996</v>
      </c>
      <c r="F5682" t="s">
        <v>41</v>
      </c>
      <c r="G5682">
        <v>-327.56700000000001</v>
      </c>
      <c r="H5682" s="1">
        <v>-1.8587549999999999E-6</v>
      </c>
      <c r="I5682">
        <v>16.08267</v>
      </c>
      <c r="J5682">
        <v>-350.20440000000002</v>
      </c>
      <c r="K5682">
        <v>1.109864</v>
      </c>
      <c r="L5682">
        <v>16.890350000000002</v>
      </c>
      <c r="M5682">
        <v>0.9999074</v>
      </c>
      <c r="N5682">
        <v>-9.6167200000000005E-3</v>
      </c>
      <c r="O5682">
        <v>9.6395319999999993E-3</v>
      </c>
      <c r="P5682">
        <v>0.98758080000000004</v>
      </c>
      <c r="Q5682">
        <v>0.15195069999999999</v>
      </c>
      <c r="R5682">
        <v>3.994487E-2</v>
      </c>
      <c r="S5682">
        <v>3.0650330000000001</v>
      </c>
      <c r="T5682">
        <v>-0.1488621</v>
      </c>
      <c r="U5682">
        <v>-0.10803219999999999</v>
      </c>
      <c r="V5682">
        <v>-3.05443E-2</v>
      </c>
      <c r="W5682">
        <v>0.16142129999999999</v>
      </c>
      <c r="X5682">
        <v>0.98641279999999998</v>
      </c>
      <c r="Y5682">
        <v>4.4786680000000002E-2</v>
      </c>
      <c r="Z5682">
        <v>-1.6773319999999999E-3</v>
      </c>
      <c r="AA5682">
        <v>0.99899519999999997</v>
      </c>
      <c r="AB5682">
        <v>34</v>
      </c>
      <c r="AC5682">
        <v>22.6374</v>
      </c>
      <c r="AD5682">
        <v>-1.1098658587550001</v>
      </c>
      <c r="AE5682">
        <v>-0.80768000000000095</v>
      </c>
      <c r="AF5682">
        <v>1.0234095951325901</v>
      </c>
      <c r="AG5682">
        <v>-1.1098658587550001</v>
      </c>
      <c r="AH5682">
        <v>22.5743681482756</v>
      </c>
      <c r="AI5682">
        <v>92.8117897467326</v>
      </c>
      <c r="AJ5682">
        <v>87.404271603907404</v>
      </c>
      <c r="AK5682">
        <v>22.6247931861867</v>
      </c>
      <c r="AL5682">
        <v>80.710596829234603</v>
      </c>
      <c r="AM5682">
        <v>91.773598701792295</v>
      </c>
      <c r="AN5682">
        <v>1.0000000011800001</v>
      </c>
    </row>
    <row r="5683" spans="1:40" x14ac:dyDescent="0.25">
      <c r="A5683" t="str">
        <f>"20190304155747459"</f>
        <v>20190304155747459</v>
      </c>
      <c r="B5683" t="str">
        <f>"1551686267450774"</f>
        <v>1551686267450774</v>
      </c>
      <c r="C5683" t="s">
        <v>40</v>
      </c>
      <c r="D5683">
        <v>4.7520660000000001</v>
      </c>
      <c r="E5683">
        <v>0.52618769999999904</v>
      </c>
      <c r="F5683" t="s">
        <v>41</v>
      </c>
      <c r="G5683">
        <v>-327.26620000000003</v>
      </c>
      <c r="H5683" s="1">
        <v>-1.964937E-6</v>
      </c>
      <c r="I5683">
        <v>16.117629999999998</v>
      </c>
      <c r="J5683">
        <v>-350.03489999999999</v>
      </c>
      <c r="K5683">
        <v>1.1098680000000001</v>
      </c>
      <c r="L5683">
        <v>16.892119999999998</v>
      </c>
      <c r="M5683">
        <v>0.9999053</v>
      </c>
      <c r="N5683">
        <v>-9.6477139999999999E-3</v>
      </c>
      <c r="O5683">
        <v>9.8105080000000008E-3</v>
      </c>
      <c r="P5683">
        <v>0.98758219999999997</v>
      </c>
      <c r="Q5683">
        <v>0.15195349999999999</v>
      </c>
      <c r="R5683">
        <v>3.9900280000000003E-2</v>
      </c>
      <c r="S5683">
        <v>3.0646969999999998</v>
      </c>
      <c r="T5683">
        <v>-0.14828569999999999</v>
      </c>
      <c r="U5683">
        <v>-0.103241</v>
      </c>
      <c r="V5683">
        <v>-3.0330119999999999E-2</v>
      </c>
      <c r="W5683">
        <v>0.16145470000000001</v>
      </c>
      <c r="X5683">
        <v>0.98641400000000001</v>
      </c>
      <c r="Y5683">
        <v>4.3403659999999997E-2</v>
      </c>
      <c r="Z5683">
        <v>-1.6384259999999999E-3</v>
      </c>
      <c r="AA5683">
        <v>0.99905630000000001</v>
      </c>
      <c r="AB5683">
        <v>34</v>
      </c>
      <c r="AC5683">
        <v>22.7686999999999</v>
      </c>
      <c r="AD5683">
        <v>-1.1098699649370001</v>
      </c>
      <c r="AE5683">
        <v>-0.77449000000000301</v>
      </c>
      <c r="AF5683">
        <v>0.99547301591154802</v>
      </c>
      <c r="AG5683">
        <v>-1.1098699649370001</v>
      </c>
      <c r="AH5683">
        <v>22.706115656527501</v>
      </c>
      <c r="AI5683">
        <v>92.795696693603702</v>
      </c>
      <c r="AJ5683">
        <v>87.489667436667403</v>
      </c>
      <c r="AK5683">
        <v>22.755009691759799</v>
      </c>
      <c r="AL5683">
        <v>80.708658245888003</v>
      </c>
      <c r="AM5683">
        <v>91.761167750844393</v>
      </c>
      <c r="AN5683">
        <v>1.0000000578636501</v>
      </c>
    </row>
    <row r="5684" spans="1:40" x14ac:dyDescent="0.25">
      <c r="A5684" t="str">
        <f>"20190304155747479"</f>
        <v>20190304155747479</v>
      </c>
      <c r="B5684" t="str">
        <f>"1551686267470293"</f>
        <v>1551686267470293</v>
      </c>
      <c r="C5684" t="s">
        <v>40</v>
      </c>
      <c r="D5684">
        <v>4.7383509999999998</v>
      </c>
      <c r="E5684">
        <v>0.52536919999999898</v>
      </c>
      <c r="F5684" t="s">
        <v>41</v>
      </c>
      <c r="G5684">
        <v>-326.9622</v>
      </c>
      <c r="H5684" s="1">
        <v>-2.0734380000000001E-6</v>
      </c>
      <c r="I5684">
        <v>16.14856</v>
      </c>
      <c r="J5684">
        <v>-349.73360000000002</v>
      </c>
      <c r="K5684">
        <v>1.1098699999999999</v>
      </c>
      <c r="L5684">
        <v>16.895389999999999</v>
      </c>
      <c r="M5684">
        <v>0.99990179999999995</v>
      </c>
      <c r="N5684">
        <v>-9.7064149999999995E-3</v>
      </c>
      <c r="O5684">
        <v>1.0114690000000001E-2</v>
      </c>
      <c r="P5684">
        <v>0.98763849999999997</v>
      </c>
      <c r="Q5684">
        <v>0.15165279999999901</v>
      </c>
      <c r="R5684">
        <v>3.9647910000000001E-2</v>
      </c>
      <c r="S5684">
        <v>3.064362</v>
      </c>
      <c r="T5684">
        <v>-0.1474056</v>
      </c>
      <c r="U5684">
        <v>-9.8754880000000003E-2</v>
      </c>
      <c r="V5684">
        <v>-2.977581E-2</v>
      </c>
      <c r="W5684">
        <v>0.161213299999999</v>
      </c>
      <c r="X5684">
        <v>0.98647030000000002</v>
      </c>
      <c r="Y5684">
        <v>4.2252320000000003E-2</v>
      </c>
      <c r="Z5684">
        <v>-1.608695E-3</v>
      </c>
      <c r="AA5684">
        <v>0.99910569999999999</v>
      </c>
      <c r="AB5684">
        <v>34</v>
      </c>
      <c r="AC5684">
        <v>22.7714</v>
      </c>
      <c r="AD5684">
        <v>-1.1098720734379901</v>
      </c>
      <c r="AE5684">
        <v>-0.74682999999999899</v>
      </c>
      <c r="AF5684">
        <v>0.97481503459397401</v>
      </c>
      <c r="AG5684">
        <v>-1.1098720734379901</v>
      </c>
      <c r="AH5684">
        <v>22.708792532582901</v>
      </c>
      <c r="AI5684">
        <v>92.795483533826598</v>
      </c>
      <c r="AJ5684">
        <v>87.541986509881099</v>
      </c>
      <c r="AK5684">
        <v>22.756786650556901</v>
      </c>
      <c r="AL5684">
        <v>80.722672405651394</v>
      </c>
      <c r="AM5684">
        <v>91.728901939660403</v>
      </c>
      <c r="AN5684">
        <v>0.999999989870068</v>
      </c>
    </row>
    <row r="5685" spans="1:40" x14ac:dyDescent="0.25">
      <c r="A5685" t="str">
        <f>"20190304155747491"</f>
        <v>20190304155747491</v>
      </c>
      <c r="B5685" t="str">
        <f>"1551686267480053"</f>
        <v>1551686267480053</v>
      </c>
      <c r="C5685" t="s">
        <v>40</v>
      </c>
      <c r="D5685">
        <v>4.9176979999999997</v>
      </c>
      <c r="E5685">
        <v>0.5253833</v>
      </c>
      <c r="F5685" t="s">
        <v>41</v>
      </c>
      <c r="G5685">
        <v>-326.58870000000002</v>
      </c>
      <c r="H5685" s="1">
        <v>-2.2046079999999998E-6</v>
      </c>
      <c r="I5685">
        <v>16.194790000000001</v>
      </c>
      <c r="J5685">
        <v>-349.536</v>
      </c>
      <c r="K5685">
        <v>1.1098749999999999</v>
      </c>
      <c r="L5685">
        <v>16.897549999999999</v>
      </c>
      <c r="M5685">
        <v>0.99989939999999999</v>
      </c>
      <c r="N5685">
        <v>-9.7469840000000002E-3</v>
      </c>
      <c r="O5685">
        <v>1.031405E-2</v>
      </c>
      <c r="P5685">
        <v>0.9876646</v>
      </c>
      <c r="Q5685">
        <v>0.15155260000000001</v>
      </c>
      <c r="R5685">
        <v>3.937794E-2</v>
      </c>
      <c r="S5685">
        <v>3.0638730000000001</v>
      </c>
      <c r="T5685">
        <v>-0.146922</v>
      </c>
      <c r="U5685">
        <v>-9.2742920000000006E-2</v>
      </c>
      <c r="V5685">
        <v>-2.9308540000000001E-2</v>
      </c>
      <c r="W5685">
        <v>0.16115350000000001</v>
      </c>
      <c r="X5685">
        <v>0.98649410000000004</v>
      </c>
      <c r="Y5685">
        <v>4.0500700000000001E-2</v>
      </c>
      <c r="Z5685">
        <v>-1.5615959999999999E-3</v>
      </c>
      <c r="AA5685">
        <v>0.99917829999999996</v>
      </c>
      <c r="AB5685">
        <v>34</v>
      </c>
      <c r="AC5685">
        <v>22.947299999999899</v>
      </c>
      <c r="AD5685">
        <v>-1.1098772046080001</v>
      </c>
      <c r="AE5685">
        <v>-0.70275999999999705</v>
      </c>
      <c r="AF5685">
        <v>0.93722304064805295</v>
      </c>
      <c r="AG5685">
        <v>-1.1098772046080001</v>
      </c>
      <c r="AH5685">
        <v>22.885345026508801</v>
      </c>
      <c r="AI5685">
        <v>92.774192846161696</v>
      </c>
      <c r="AJ5685">
        <v>87.654877630981801</v>
      </c>
      <c r="AK5685">
        <v>22.931402735540999</v>
      </c>
      <c r="AL5685">
        <v>80.7261444179791</v>
      </c>
      <c r="AM5685">
        <v>91.701745433487901</v>
      </c>
      <c r="AN5685">
        <v>1.0000000252069901</v>
      </c>
    </row>
    <row r="5686" spans="1:40" x14ac:dyDescent="0.25">
      <c r="A5686" t="str">
        <f>"20190304155747504"</f>
        <v>20190304155747504</v>
      </c>
      <c r="B5686" t="str">
        <f>"1551686267500550"</f>
        <v>1551686267500550</v>
      </c>
      <c r="C5686" t="s">
        <v>40</v>
      </c>
      <c r="D5686">
        <v>4.8576110000000003</v>
      </c>
      <c r="E5686">
        <v>0.52520940000000005</v>
      </c>
      <c r="F5686" t="s">
        <v>41</v>
      </c>
      <c r="G5686">
        <v>-326.36360000000002</v>
      </c>
      <c r="H5686" s="1">
        <v>-2.3072940000000002E-6</v>
      </c>
      <c r="I5686">
        <v>16.189399999999999</v>
      </c>
      <c r="J5686">
        <v>-349.33640000000003</v>
      </c>
      <c r="K5686">
        <v>1.1098779999999999</v>
      </c>
      <c r="L5686">
        <v>16.899809999999999</v>
      </c>
      <c r="M5686">
        <v>0.99989680000000003</v>
      </c>
      <c r="N5686">
        <v>-9.7884930000000005E-3</v>
      </c>
      <c r="O5686">
        <v>1.0515439999999999E-2</v>
      </c>
      <c r="P5686">
        <v>0.98763599999999996</v>
      </c>
      <c r="Q5686">
        <v>0.1517609</v>
      </c>
      <c r="R5686">
        <v>3.9293389999999997E-2</v>
      </c>
      <c r="S5686">
        <v>3.0637210000000001</v>
      </c>
      <c r="T5686">
        <v>-0.1467415</v>
      </c>
      <c r="U5686">
        <v>-9.3627929999999998E-2</v>
      </c>
      <c r="V5686">
        <v>-2.9026039999999999E-2</v>
      </c>
      <c r="W5686">
        <v>0.16140289999999999</v>
      </c>
      <c r="X5686">
        <v>0.98646160000000005</v>
      </c>
      <c r="Y5686">
        <v>4.0991100000000003E-2</v>
      </c>
      <c r="Z5686">
        <v>-1.5820859999999999E-3</v>
      </c>
      <c r="AA5686">
        <v>0.99915830000000005</v>
      </c>
      <c r="AB5686">
        <v>34</v>
      </c>
      <c r="AC5686">
        <v>22.972799999999999</v>
      </c>
      <c r="AD5686">
        <v>-1.109880307294</v>
      </c>
      <c r="AE5686">
        <v>-0.71041000000000298</v>
      </c>
      <c r="AF5686">
        <v>0.94973670444148095</v>
      </c>
      <c r="AG5686">
        <v>-1.109880307294</v>
      </c>
      <c r="AH5686">
        <v>22.910633876493101</v>
      </c>
      <c r="AI5686">
        <v>92.771086174483401</v>
      </c>
      <c r="AJ5686">
        <v>87.626221640016098</v>
      </c>
      <c r="AK5686">
        <v>22.957155283854199</v>
      </c>
      <c r="AL5686">
        <v>80.711664578309097</v>
      </c>
      <c r="AM5686">
        <v>91.685407600142597</v>
      </c>
      <c r="AN5686">
        <v>0.99999994770052403</v>
      </c>
    </row>
    <row r="5687" spans="1:40" x14ac:dyDescent="0.25">
      <c r="A5687" t="str">
        <f>"20190304155747523"</f>
        <v>20190304155747523</v>
      </c>
      <c r="B5687" t="str">
        <f>"1551686267520069"</f>
        <v>1551686267520069</v>
      </c>
      <c r="C5687" t="s">
        <v>40</v>
      </c>
      <c r="D5687">
        <v>4.7299189999999998</v>
      </c>
      <c r="E5687">
        <v>0.52484240000000004</v>
      </c>
      <c r="F5687" t="s">
        <v>41</v>
      </c>
      <c r="G5687">
        <v>-326.19799999999998</v>
      </c>
      <c r="H5687" s="1">
        <v>-2.3834689999999999E-6</v>
      </c>
      <c r="I5687">
        <v>16.201250000000002</v>
      </c>
      <c r="J5687">
        <v>-349.04770000000002</v>
      </c>
      <c r="K5687">
        <v>1.1098809999999999</v>
      </c>
      <c r="L5687">
        <v>16.903110000000002</v>
      </c>
      <c r="M5687">
        <v>0.99989309999999998</v>
      </c>
      <c r="N5687">
        <v>-9.8495370000000002E-3</v>
      </c>
      <c r="O5687">
        <v>1.080626E-2</v>
      </c>
      <c r="P5687">
        <v>0.98764430000000003</v>
      </c>
      <c r="Q5687">
        <v>0.15171379999999901</v>
      </c>
      <c r="R5687">
        <v>3.9268310000000001E-2</v>
      </c>
      <c r="S5687">
        <v>3.0638429999999999</v>
      </c>
      <c r="T5687">
        <v>-0.1469636</v>
      </c>
      <c r="U5687">
        <v>-9.2498780000000003E-2</v>
      </c>
      <c r="V5687">
        <v>-2.871317E-2</v>
      </c>
      <c r="W5687">
        <v>0.16141659999999999</v>
      </c>
      <c r="X5687">
        <v>0.98646860000000003</v>
      </c>
      <c r="Y5687">
        <v>4.0912289999999997E-2</v>
      </c>
      <c r="Z5687">
        <v>-1.5936870000000001E-3</v>
      </c>
      <c r="AA5687">
        <v>0.99916150000000004</v>
      </c>
      <c r="AB5687">
        <v>34</v>
      </c>
      <c r="AC5687">
        <v>22.849699999999999</v>
      </c>
      <c r="AD5687">
        <v>-1.1098833834689901</v>
      </c>
      <c r="AE5687">
        <v>-0.70185999999999904</v>
      </c>
      <c r="AF5687">
        <v>0.946519719043875</v>
      </c>
      <c r="AG5687">
        <v>-1.1098833834689901</v>
      </c>
      <c r="AH5687">
        <v>22.7870686852403</v>
      </c>
      <c r="AI5687">
        <v>92.786087133296704</v>
      </c>
      <c r="AJ5687">
        <v>87.621439235449898</v>
      </c>
      <c r="AK5687">
        <v>22.833708414738499</v>
      </c>
      <c r="AL5687">
        <v>80.710869985097403</v>
      </c>
      <c r="AM5687">
        <v>91.667239174634702</v>
      </c>
      <c r="AN5687">
        <v>1.0000000318364799</v>
      </c>
    </row>
    <row r="5688" spans="1:40" x14ac:dyDescent="0.25">
      <c r="A5688" t="str">
        <f>"20190304155747536"</f>
        <v>20190304155747536</v>
      </c>
      <c r="B5688" t="str">
        <f>"1551686267530807"</f>
        <v>1551686267530807</v>
      </c>
      <c r="C5688" t="s">
        <v>40</v>
      </c>
      <c r="D5688">
        <v>4.7467779999999999</v>
      </c>
      <c r="E5688">
        <v>0.52473749999999997</v>
      </c>
      <c r="F5688" t="s">
        <v>41</v>
      </c>
      <c r="G5688">
        <v>-325.83370000000002</v>
      </c>
      <c r="H5688" s="1">
        <v>-2.5516260000000001E-6</v>
      </c>
      <c r="I5688">
        <v>16.22418</v>
      </c>
      <c r="J5688">
        <v>-348.84570000000002</v>
      </c>
      <c r="K5688">
        <v>1.109885</v>
      </c>
      <c r="L5688">
        <v>16.90549</v>
      </c>
      <c r="M5688">
        <v>0.99989059999999996</v>
      </c>
      <c r="N5688">
        <v>-9.8923310000000007E-3</v>
      </c>
      <c r="O5688">
        <v>1.10081E-2</v>
      </c>
      <c r="P5688">
        <v>0.9876627</v>
      </c>
      <c r="Q5688">
        <v>0.1516024</v>
      </c>
      <c r="R5688">
        <v>3.9232610000000001E-2</v>
      </c>
      <c r="S5688">
        <v>3.063599</v>
      </c>
      <c r="T5688">
        <v>-0.1464734</v>
      </c>
      <c r="U5688">
        <v>-8.9599609999999996E-2</v>
      </c>
      <c r="V5688">
        <v>-2.8476890000000001E-2</v>
      </c>
      <c r="W5688">
        <v>0.16134789999999999</v>
      </c>
      <c r="X5688">
        <v>0.98648670000000005</v>
      </c>
      <c r="Y5688">
        <v>4.0172930000000003E-2</v>
      </c>
      <c r="Z5688">
        <v>-1.5755700000000001E-3</v>
      </c>
      <c r="AA5688">
        <v>0.99919150000000001</v>
      </c>
      <c r="AB5688">
        <v>34</v>
      </c>
      <c r="AC5688">
        <v>23.011999999999901</v>
      </c>
      <c r="AD5688">
        <v>-1.1098875516260001</v>
      </c>
      <c r="AE5688">
        <v>-0.68130999999999897</v>
      </c>
      <c r="AF5688">
        <v>0.93243234064535896</v>
      </c>
      <c r="AG5688">
        <v>-1.1098875516260001</v>
      </c>
      <c r="AH5688">
        <v>22.949765991342201</v>
      </c>
      <c r="AI5688">
        <v>92.766479845537404</v>
      </c>
      <c r="AJ5688">
        <v>87.673393692997905</v>
      </c>
      <c r="AK5688">
        <v>22.9955004186581</v>
      </c>
      <c r="AL5688">
        <v>80.714858597412402</v>
      </c>
      <c r="AM5688">
        <v>91.653496828844197</v>
      </c>
      <c r="AN5688">
        <v>1.0000000436876799</v>
      </c>
    </row>
    <row r="5689" spans="1:40" x14ac:dyDescent="0.25">
      <c r="A5689" t="str">
        <f>"20190304155747548"</f>
        <v>20190304155747548</v>
      </c>
      <c r="B5689" t="str">
        <f>"1551686267540566"</f>
        <v>1551686267540566</v>
      </c>
      <c r="C5689" t="s">
        <v>40</v>
      </c>
      <c r="D5689">
        <v>4.7436959999999999</v>
      </c>
      <c r="E5689">
        <v>0.52457109999999996</v>
      </c>
      <c r="F5689" t="s">
        <v>41</v>
      </c>
      <c r="G5689">
        <v>-325.57619999999997</v>
      </c>
      <c r="H5689" s="1">
        <v>-2.6721409999999999E-6</v>
      </c>
      <c r="I5689">
        <v>16.230920000000001</v>
      </c>
      <c r="J5689">
        <v>-348.65600000000001</v>
      </c>
      <c r="K5689">
        <v>1.1098950000000001</v>
      </c>
      <c r="L5689">
        <v>16.907710000000002</v>
      </c>
      <c r="M5689">
        <v>0.999888</v>
      </c>
      <c r="N5689">
        <v>-9.9323539999999991E-3</v>
      </c>
      <c r="O5689">
        <v>1.119685E-2</v>
      </c>
      <c r="P5689">
        <v>0.98766940000000003</v>
      </c>
      <c r="Q5689">
        <v>0.1515717</v>
      </c>
      <c r="R5689">
        <v>3.9182870000000002E-2</v>
      </c>
      <c r="S5689">
        <v>3.0634160000000001</v>
      </c>
      <c r="T5689">
        <v>-0.14611579999999999</v>
      </c>
      <c r="U5689">
        <v>-8.880615E-2</v>
      </c>
      <c r="V5689">
        <v>-2.8240709999999999E-2</v>
      </c>
      <c r="W5689">
        <v>0.16135729999999901</v>
      </c>
      <c r="X5689">
        <v>0.98649189999999998</v>
      </c>
      <c r="Y5689">
        <v>4.0104939999999999E-2</v>
      </c>
      <c r="Z5689">
        <v>-1.577567E-3</v>
      </c>
      <c r="AA5689">
        <v>0.99919420000000003</v>
      </c>
      <c r="AB5689">
        <v>34</v>
      </c>
      <c r="AC5689">
        <v>23.079799999999999</v>
      </c>
      <c r="AD5689">
        <v>-1.1098976721410001</v>
      </c>
      <c r="AE5689">
        <v>-0.67679</v>
      </c>
      <c r="AF5689">
        <v>0.93302550483072999</v>
      </c>
      <c r="AG5689">
        <v>-1.1098976721410001</v>
      </c>
      <c r="AH5689">
        <v>23.017589869576799</v>
      </c>
      <c r="AI5689">
        <v>92.758376310574207</v>
      </c>
      <c r="AJ5689">
        <v>87.678767701763704</v>
      </c>
      <c r="AK5689">
        <v>23.063214278138599</v>
      </c>
      <c r="AL5689">
        <v>80.714312385515399</v>
      </c>
      <c r="AM5689">
        <v>91.639782031098406</v>
      </c>
      <c r="AN5689">
        <v>0.99999999236510195</v>
      </c>
    </row>
    <row r="5690" spans="1:40" x14ac:dyDescent="0.25">
      <c r="A5690" t="str">
        <f>"20190304155747561"</f>
        <v>20190304155747561</v>
      </c>
      <c r="B5690" t="str">
        <f>"1551686267550326"</f>
        <v>1551686267550326</v>
      </c>
      <c r="C5690" t="s">
        <v>40</v>
      </c>
      <c r="D5690">
        <v>4.7501439999999997</v>
      </c>
      <c r="E5690">
        <v>0.52440959999999903</v>
      </c>
      <c r="F5690" t="s">
        <v>41</v>
      </c>
      <c r="G5690">
        <v>-325.29329999999999</v>
      </c>
      <c r="H5690" s="1">
        <v>-2.8042160000000002E-6</v>
      </c>
      <c r="I5690">
        <v>16.240179999999999</v>
      </c>
      <c r="J5690">
        <v>-348.48180000000002</v>
      </c>
      <c r="K5690">
        <v>1.1098950000000001</v>
      </c>
      <c r="L5690">
        <v>16.909849999999999</v>
      </c>
      <c r="M5690">
        <v>0.99988580000000005</v>
      </c>
      <c r="N5690">
        <v>-9.9695990000000009E-3</v>
      </c>
      <c r="O5690">
        <v>1.1366940000000001E-2</v>
      </c>
      <c r="P5690">
        <v>0.98768230000000001</v>
      </c>
      <c r="Q5690">
        <v>0.15146570000000001</v>
      </c>
      <c r="R5690">
        <v>3.927025E-2</v>
      </c>
      <c r="S5690">
        <v>3.0632320000000002</v>
      </c>
      <c r="T5690">
        <v>-0.14552570000000001</v>
      </c>
      <c r="U5690">
        <v>-8.7524409999999997E-2</v>
      </c>
      <c r="V5690">
        <v>-2.815871E-2</v>
      </c>
      <c r="W5690">
        <v>0.16128809999999999</v>
      </c>
      <c r="X5690">
        <v>0.98650559999999998</v>
      </c>
      <c r="Y5690">
        <v>3.9859560000000002E-2</v>
      </c>
      <c r="Z5690">
        <v>-1.5713159999999999E-3</v>
      </c>
      <c r="AA5690">
        <v>0.99920399999999998</v>
      </c>
      <c r="AB5690">
        <v>34</v>
      </c>
      <c r="AC5690">
        <v>23.188500000000001</v>
      </c>
      <c r="AD5690">
        <v>-1.1098978042159999</v>
      </c>
      <c r="AE5690">
        <v>-0.66966999999999999</v>
      </c>
      <c r="AF5690">
        <v>0.93109076166836902</v>
      </c>
      <c r="AG5690">
        <v>-1.1098978042159999</v>
      </c>
      <c r="AH5690">
        <v>23.1264512551714</v>
      </c>
      <c r="AI5690">
        <v>92.745442599137803</v>
      </c>
      <c r="AJ5690">
        <v>87.6944679468766</v>
      </c>
      <c r="AK5690">
        <v>23.1717835049459</v>
      </c>
      <c r="AL5690">
        <v>80.718330242102397</v>
      </c>
      <c r="AM5690">
        <v>91.635000638346796</v>
      </c>
      <c r="AN5690">
        <v>1.0000000314909101</v>
      </c>
    </row>
    <row r="5691" spans="1:40" x14ac:dyDescent="0.25">
      <c r="A5691" t="str">
        <f>"20190304155747571"</f>
        <v>20190304155747571</v>
      </c>
      <c r="B5691" t="str">
        <f>"1551686267560086"</f>
        <v>1551686267560086</v>
      </c>
      <c r="C5691" t="s">
        <v>40</v>
      </c>
      <c r="D5691">
        <v>4.7447900000000001</v>
      </c>
      <c r="E5691">
        <v>0.52427199999999996</v>
      </c>
      <c r="F5691" t="s">
        <v>41</v>
      </c>
      <c r="G5691">
        <v>-325.07850000000002</v>
      </c>
      <c r="H5691" s="1">
        <v>-2.9036489999999999E-6</v>
      </c>
      <c r="I5691">
        <v>16.252079999999999</v>
      </c>
      <c r="J5691">
        <v>-348.30489999999998</v>
      </c>
      <c r="K5691">
        <v>1.109896</v>
      </c>
      <c r="L5691">
        <v>16.912019999999998</v>
      </c>
      <c r="M5691">
        <v>0.99988339999999998</v>
      </c>
      <c r="N5691">
        <v>-1.000732E-2</v>
      </c>
      <c r="O5691">
        <v>1.1538690000000001E-2</v>
      </c>
      <c r="P5691">
        <v>0.98769929999999995</v>
      </c>
      <c r="Q5691">
        <v>0.1514046</v>
      </c>
      <c r="R5691">
        <v>3.9071590000000003E-2</v>
      </c>
      <c r="S5691">
        <v>3.0630799999999998</v>
      </c>
      <c r="T5691">
        <v>-0.14526610000000001</v>
      </c>
      <c r="U5691">
        <v>-8.6090089999999994E-2</v>
      </c>
      <c r="V5691">
        <v>-2.7789080000000001E-2</v>
      </c>
      <c r="W5691">
        <v>0.16126509999999999</v>
      </c>
      <c r="X5691">
        <v>0.98651979999999995</v>
      </c>
      <c r="Y5691">
        <v>3.9565570000000001E-2</v>
      </c>
      <c r="Z5691">
        <v>-1.567056E-3</v>
      </c>
      <c r="AA5691">
        <v>0.99921570000000004</v>
      </c>
      <c r="AB5691">
        <v>34</v>
      </c>
      <c r="AC5691">
        <v>23.226399999999899</v>
      </c>
      <c r="AD5691">
        <v>-1.1098989036489999</v>
      </c>
      <c r="AE5691">
        <v>-0.65994000000000197</v>
      </c>
      <c r="AF5691">
        <v>0.92579933076997001</v>
      </c>
      <c r="AG5691">
        <v>-1.1098989036489999</v>
      </c>
      <c r="AH5691">
        <v>23.164384922245901</v>
      </c>
      <c r="AI5691">
        <v>92.740988537977003</v>
      </c>
      <c r="AJ5691">
        <v>87.711306448646198</v>
      </c>
      <c r="AK5691">
        <v>23.209431462298902</v>
      </c>
      <c r="AL5691">
        <v>80.719665142187097</v>
      </c>
      <c r="AM5691">
        <v>91.613526737852396</v>
      </c>
      <c r="AN5691">
        <v>0.99999999061864797</v>
      </c>
    </row>
    <row r="5692" spans="1:40" x14ac:dyDescent="0.25">
      <c r="A5692" t="str">
        <f>"20190304155747589"</f>
        <v>20190304155747589</v>
      </c>
      <c r="B5692" t="str">
        <f>"1551686267580581"</f>
        <v>1551686267580581</v>
      </c>
      <c r="C5692" t="s">
        <v>40</v>
      </c>
      <c r="D5692">
        <v>4.7697010000000004</v>
      </c>
      <c r="E5692">
        <v>0.52398059999999902</v>
      </c>
      <c r="F5692" t="s">
        <v>41</v>
      </c>
      <c r="G5692">
        <v>-324.85309999999998</v>
      </c>
      <c r="H5692" s="1">
        <v>-3.0093769999999999E-6</v>
      </c>
      <c r="I5692">
        <v>16.256609999999998</v>
      </c>
      <c r="J5692">
        <v>-348.0376</v>
      </c>
      <c r="K5692">
        <v>1.109901</v>
      </c>
      <c r="L5692">
        <v>16.915310000000002</v>
      </c>
      <c r="M5692">
        <v>0.99987999999999999</v>
      </c>
      <c r="N5692">
        <v>-1.0063300000000001E-2</v>
      </c>
      <c r="O5692">
        <v>1.1791609999999999E-2</v>
      </c>
      <c r="P5692">
        <v>0.98774309999999998</v>
      </c>
      <c r="Q5692">
        <v>0.15115680000000001</v>
      </c>
      <c r="R5692">
        <v>3.8925099999999997E-2</v>
      </c>
      <c r="S5692">
        <v>3.0629879999999998</v>
      </c>
      <c r="T5692">
        <v>-0.1449617</v>
      </c>
      <c r="U5692">
        <v>-8.560181E-2</v>
      </c>
      <c r="V5692">
        <v>-2.738962E-2</v>
      </c>
      <c r="W5692">
        <v>0.16107399999999999</v>
      </c>
      <c r="X5692">
        <v>0.98656219999999994</v>
      </c>
      <c r="Y5692">
        <v>3.9659930000000003E-2</v>
      </c>
      <c r="Z5692">
        <v>-1.5765830000000001E-3</v>
      </c>
      <c r="AA5692">
        <v>0.99921199999999999</v>
      </c>
      <c r="AB5692">
        <v>34</v>
      </c>
      <c r="AC5692">
        <v>23.1845</v>
      </c>
      <c r="AD5692">
        <v>-1.1099040093770001</v>
      </c>
      <c r="AE5692">
        <v>-0.65869999999999895</v>
      </c>
      <c r="AF5692">
        <v>0.92992111375591102</v>
      </c>
      <c r="AG5692">
        <v>-1.1099040093770001</v>
      </c>
      <c r="AH5692">
        <v>23.122171955386399</v>
      </c>
      <c r="AI5692">
        <v>92.745970009610105</v>
      </c>
      <c r="AJ5692">
        <v>87.696935367277703</v>
      </c>
      <c r="AK5692">
        <v>23.167465897726</v>
      </c>
      <c r="AL5692">
        <v>80.730759488141899</v>
      </c>
      <c r="AM5692">
        <v>91.590276440929003</v>
      </c>
      <c r="AN5692">
        <v>0.99999999961429198</v>
      </c>
    </row>
    <row r="5693" spans="1:40" x14ac:dyDescent="0.25">
      <c r="A5693" t="str">
        <f>"20190304155747601"</f>
        <v>20190304155747601</v>
      </c>
      <c r="B5693" t="str">
        <f>"1551686267590342"</f>
        <v>1551686267590342</v>
      </c>
      <c r="C5693" t="s">
        <v>40</v>
      </c>
      <c r="D5693">
        <v>4.7470359999999996</v>
      </c>
      <c r="E5693">
        <v>0.52385009999999999</v>
      </c>
      <c r="F5693" t="s">
        <v>41</v>
      </c>
      <c r="G5693">
        <v>-324.65030000000002</v>
      </c>
      <c r="H5693" s="1">
        <v>-3.101674E-6</v>
      </c>
      <c r="I5693">
        <v>16.276810000000001</v>
      </c>
      <c r="J5693">
        <v>-347.8682</v>
      </c>
      <c r="K5693">
        <v>1.1098980000000001</v>
      </c>
      <c r="L5693">
        <v>16.917479999999902</v>
      </c>
      <c r="M5693">
        <v>0.99987760000000003</v>
      </c>
      <c r="N5693">
        <v>-1.00968E-2</v>
      </c>
      <c r="O5693">
        <v>1.1947080000000001E-2</v>
      </c>
      <c r="P5693">
        <v>0.98774050000000002</v>
      </c>
      <c r="Q5693">
        <v>0.15113869999999999</v>
      </c>
      <c r="R5693">
        <v>3.9062119999999999E-2</v>
      </c>
      <c r="S5693">
        <v>3.062805</v>
      </c>
      <c r="T5693">
        <v>-0.14535329999999999</v>
      </c>
      <c r="U5693">
        <v>-8.3618159999999997E-2</v>
      </c>
      <c r="V5693">
        <v>-2.7371679999999999E-2</v>
      </c>
      <c r="W5693">
        <v>0.16108900000000001</v>
      </c>
      <c r="X5693">
        <v>0.9865602</v>
      </c>
      <c r="Y5693">
        <v>3.9170530000000002E-2</v>
      </c>
      <c r="Z5693">
        <v>-1.572716E-3</v>
      </c>
      <c r="AA5693">
        <v>0.99923130000000004</v>
      </c>
      <c r="AB5693">
        <v>34</v>
      </c>
      <c r="AC5693">
        <v>23.217899999999901</v>
      </c>
      <c r="AD5693">
        <v>-1.1099011016739999</v>
      </c>
      <c r="AE5693">
        <v>-0.64066999999999596</v>
      </c>
      <c r="AF5693">
        <v>0.91593304482007498</v>
      </c>
      <c r="AG5693">
        <v>-1.1099011016739999</v>
      </c>
      <c r="AH5693">
        <v>23.1557132779391</v>
      </c>
      <c r="AI5693">
        <v>92.742063557140796</v>
      </c>
      <c r="AJ5693">
        <v>87.734824545011193</v>
      </c>
      <c r="AK5693">
        <v>23.2003851521524</v>
      </c>
      <c r="AL5693">
        <v>80.729888229748497</v>
      </c>
      <c r="AM5693">
        <v>91.589238576002899</v>
      </c>
      <c r="AN5693">
        <v>0.99999995150553</v>
      </c>
    </row>
    <row r="5694" spans="1:40" x14ac:dyDescent="0.25">
      <c r="A5694" t="str">
        <f>"20190304155747611"</f>
        <v>20190304155747611</v>
      </c>
      <c r="B5694" t="str">
        <f>"1551686267600102"</f>
        <v>1551686267600102</v>
      </c>
      <c r="C5694" t="s">
        <v>40</v>
      </c>
      <c r="D5694">
        <v>4.7673920000000001</v>
      </c>
      <c r="E5694">
        <v>0.52381069999999996</v>
      </c>
      <c r="F5694" t="s">
        <v>41</v>
      </c>
      <c r="G5694">
        <v>-324.40379999999999</v>
      </c>
      <c r="H5694" s="1">
        <v>-3.2161169999999998E-6</v>
      </c>
      <c r="I5694">
        <v>16.288529999999898</v>
      </c>
      <c r="J5694">
        <v>-347.69159999999999</v>
      </c>
      <c r="K5694">
        <v>1.109896</v>
      </c>
      <c r="L5694">
        <v>16.919740000000001</v>
      </c>
      <c r="M5694">
        <v>0.99987550000000003</v>
      </c>
      <c r="N5694">
        <v>-1.013117E-2</v>
      </c>
      <c r="O5694">
        <v>1.210719E-2</v>
      </c>
      <c r="P5694">
        <v>0.98779110000000003</v>
      </c>
      <c r="Q5694">
        <v>0.15082999999999999</v>
      </c>
      <c r="R5694">
        <v>3.89778E-2</v>
      </c>
      <c r="S5694">
        <v>3.0626530000000001</v>
      </c>
      <c r="T5694">
        <v>-0.144868</v>
      </c>
      <c r="U5694">
        <v>-8.2092289999999998E-2</v>
      </c>
      <c r="V5694">
        <v>-2.7125929999999999E-2</v>
      </c>
      <c r="W5694">
        <v>0.16081519999999999</v>
      </c>
      <c r="X5694">
        <v>0.98661169999999998</v>
      </c>
      <c r="Y5694">
        <v>3.8835130000000002E-2</v>
      </c>
      <c r="Z5694">
        <v>-1.564392E-3</v>
      </c>
      <c r="AA5694">
        <v>0.99924440000000003</v>
      </c>
      <c r="AB5694">
        <v>34</v>
      </c>
      <c r="AC5694">
        <v>23.287800000000001</v>
      </c>
      <c r="AD5694">
        <v>-1.109899216117</v>
      </c>
      <c r="AE5694">
        <v>-0.63121000000000205</v>
      </c>
      <c r="AF5694">
        <v>0.91106004582773503</v>
      </c>
      <c r="AG5694">
        <v>-1.109899216117</v>
      </c>
      <c r="AH5694">
        <v>23.225732174689298</v>
      </c>
      <c r="AI5694">
        <v>92.7338402742201</v>
      </c>
      <c r="AJ5694">
        <v>87.753648995627302</v>
      </c>
      <c r="AK5694">
        <v>23.270078249276299</v>
      </c>
      <c r="AL5694">
        <v>80.745783459853101</v>
      </c>
      <c r="AM5694">
        <v>91.574895030925305</v>
      </c>
      <c r="AN5694">
        <v>0.99999999560314701</v>
      </c>
    </row>
    <row r="5695" spans="1:40" x14ac:dyDescent="0.25">
      <c r="A5695" t="str">
        <f>"20190304155747623"</f>
        <v>20190304155747623</v>
      </c>
      <c r="B5695" t="str">
        <f>"1551686267620598"</f>
        <v>1551686267620598</v>
      </c>
      <c r="C5695" t="s">
        <v>40</v>
      </c>
      <c r="D5695">
        <v>4.7503970000000004</v>
      </c>
      <c r="E5695">
        <v>0.52362470000000005</v>
      </c>
      <c r="F5695" t="s">
        <v>41</v>
      </c>
      <c r="G5695">
        <v>-324.27159999999998</v>
      </c>
      <c r="H5695" s="1">
        <v>-3.277932E-6</v>
      </c>
      <c r="I5695">
        <v>16.29242</v>
      </c>
      <c r="J5695">
        <v>-347.51179999999999</v>
      </c>
      <c r="K5695">
        <v>1.109893</v>
      </c>
      <c r="L5695">
        <v>16.922059999999998</v>
      </c>
      <c r="M5695">
        <v>0.99987320000000002</v>
      </c>
      <c r="N5695">
        <v>-1.016383E-2</v>
      </c>
      <c r="O5695">
        <v>1.2263960000000001E-2</v>
      </c>
      <c r="P5695">
        <v>0.9878226</v>
      </c>
      <c r="Q5695">
        <v>0.1505871</v>
      </c>
      <c r="R5695">
        <v>3.9122669999999998E-2</v>
      </c>
      <c r="S5695">
        <v>3.0625</v>
      </c>
      <c r="T5695">
        <v>-0.1451354</v>
      </c>
      <c r="U5695">
        <v>-8.203125E-2</v>
      </c>
      <c r="V5695">
        <v>-2.7113229999999999E-2</v>
      </c>
      <c r="W5695">
        <v>0.16060529999999901</v>
      </c>
      <c r="X5695">
        <v>0.98664620000000003</v>
      </c>
      <c r="Y5695">
        <v>3.8972710000000001E-2</v>
      </c>
      <c r="Z5695">
        <v>-1.5772430000000001E-3</v>
      </c>
      <c r="AA5695">
        <v>0.99923899999999999</v>
      </c>
      <c r="AB5695">
        <v>34</v>
      </c>
      <c r="AC5695">
        <v>23.240200000000002</v>
      </c>
      <c r="AD5695">
        <v>-1.1098962779320001</v>
      </c>
      <c r="AE5695">
        <v>-0.62964000000000198</v>
      </c>
      <c r="AF5695">
        <v>0.91254443664767604</v>
      </c>
      <c r="AG5695">
        <v>-1.1098962779320001</v>
      </c>
      <c r="AH5695">
        <v>23.177904627564399</v>
      </c>
      <c r="AI5695">
        <v>92.739450159737999</v>
      </c>
      <c r="AJ5695">
        <v>87.745354675234097</v>
      </c>
      <c r="AK5695">
        <v>23.222400177869101</v>
      </c>
      <c r="AL5695">
        <v>80.757967864419001</v>
      </c>
      <c r="AM5695">
        <v>91.574103041277894</v>
      </c>
      <c r="AN5695">
        <v>0.99999995680178</v>
      </c>
    </row>
    <row r="5696" spans="1:40" x14ac:dyDescent="0.25">
      <c r="A5696" t="str">
        <f>"20190304155747635"</f>
        <v>20190304155747635</v>
      </c>
      <c r="B5696" t="str">
        <f>"1551686267630358"</f>
        <v>1551686267630358</v>
      </c>
      <c r="C5696" t="s">
        <v>40</v>
      </c>
      <c r="D5696">
        <v>4.7516129999999999</v>
      </c>
      <c r="E5696">
        <v>0.52358260000000001</v>
      </c>
      <c r="F5696" t="s">
        <v>41</v>
      </c>
      <c r="G5696">
        <v>-324.22410000000002</v>
      </c>
      <c r="H5696" s="1">
        <v>-3.2967510000000001E-6</v>
      </c>
      <c r="I5696">
        <v>16.31287</v>
      </c>
      <c r="J5696">
        <v>-347.33789999999999</v>
      </c>
      <c r="K5696">
        <v>1.1098870000000001</v>
      </c>
      <c r="L5696">
        <v>16.924320000000002</v>
      </c>
      <c r="M5696">
        <v>0.99987099999999995</v>
      </c>
      <c r="N5696">
        <v>-1.019429E-2</v>
      </c>
      <c r="O5696">
        <v>1.241221E-2</v>
      </c>
      <c r="P5696">
        <v>0.98780500000000004</v>
      </c>
      <c r="Q5696">
        <v>0.15074650000000001</v>
      </c>
      <c r="R5696">
        <v>3.894545E-2</v>
      </c>
      <c r="S5696">
        <v>3.0623469999999999</v>
      </c>
      <c r="T5696">
        <v>-0.1459522</v>
      </c>
      <c r="U5696">
        <v>-8.0108639999999995E-2</v>
      </c>
      <c r="V5696">
        <v>-2.6786819999999999E-2</v>
      </c>
      <c r="W5696">
        <v>0.1607954</v>
      </c>
      <c r="X5696">
        <v>0.98662419999999995</v>
      </c>
      <c r="Y5696">
        <v>3.8495149999999999E-2</v>
      </c>
      <c r="Z5696">
        <v>-1.577745E-3</v>
      </c>
      <c r="AA5696">
        <v>0.99925759999999997</v>
      </c>
      <c r="AB5696">
        <v>34</v>
      </c>
      <c r="AC5696">
        <v>23.113799999999902</v>
      </c>
      <c r="AD5696">
        <v>-1.109890296751</v>
      </c>
      <c r="AE5696">
        <v>-0.61145000000000105</v>
      </c>
      <c r="AF5696">
        <v>0.89624604125764995</v>
      </c>
      <c r="AG5696">
        <v>-1.109890296751</v>
      </c>
      <c r="AH5696">
        <v>23.051315380058799</v>
      </c>
      <c r="AI5696">
        <v>92.754509010165606</v>
      </c>
      <c r="AJ5696">
        <v>87.773434509419204</v>
      </c>
      <c r="AK5696">
        <v>23.095416302552898</v>
      </c>
      <c r="AL5696">
        <v>80.746932945576702</v>
      </c>
      <c r="AM5696">
        <v>91.555196796416695</v>
      </c>
      <c r="AN5696">
        <v>1.0000000032062499</v>
      </c>
    </row>
    <row r="5697" spans="1:40" x14ac:dyDescent="0.25">
      <c r="A5697" t="str">
        <f>"20190304155747645"</f>
        <v>20190304155747645</v>
      </c>
      <c r="B5697" t="str">
        <f>"1551686267640118"</f>
        <v>1551686267640118</v>
      </c>
      <c r="C5697" t="s">
        <v>40</v>
      </c>
      <c r="D5697">
        <v>4.8347119999999997</v>
      </c>
      <c r="E5697">
        <v>0.52349959999999995</v>
      </c>
      <c r="F5697" t="s">
        <v>41</v>
      </c>
      <c r="G5697">
        <v>-323.88979999999998</v>
      </c>
      <c r="H5697" s="1">
        <v>-3.455607E-6</v>
      </c>
      <c r="I5697">
        <v>16.308129999999998</v>
      </c>
      <c r="J5697">
        <v>-347.16309999999999</v>
      </c>
      <c r="K5697">
        <v>1.109885</v>
      </c>
      <c r="L5697">
        <v>16.926639999999999</v>
      </c>
      <c r="M5697">
        <v>0.99986889999999995</v>
      </c>
      <c r="N5697">
        <v>-1.022344E-2</v>
      </c>
      <c r="O5697">
        <v>1.2556700000000001E-2</v>
      </c>
      <c r="P5697">
        <v>0.98785230000000002</v>
      </c>
      <c r="Q5697">
        <v>0.15041640000000001</v>
      </c>
      <c r="R5697">
        <v>3.902431E-2</v>
      </c>
      <c r="S5697">
        <v>3.0623469999999999</v>
      </c>
      <c r="T5697">
        <v>-0.14495339999999901</v>
      </c>
      <c r="U5697">
        <v>-8.0474850000000001E-2</v>
      </c>
      <c r="V5697">
        <v>-2.6719929999999999E-2</v>
      </c>
      <c r="W5697">
        <v>0.1604951</v>
      </c>
      <c r="X5697">
        <v>0.98667490000000002</v>
      </c>
      <c r="Y5697">
        <v>3.8759309999999998E-2</v>
      </c>
      <c r="Z5697">
        <v>-1.5805909999999999E-3</v>
      </c>
      <c r="AA5697">
        <v>0.99924729999999995</v>
      </c>
      <c r="AB5697">
        <v>34</v>
      </c>
      <c r="AC5697">
        <v>23.273299999999999</v>
      </c>
      <c r="AD5697">
        <v>-1.1098884556069999</v>
      </c>
      <c r="AE5697">
        <v>-0.61851</v>
      </c>
      <c r="AF5697">
        <v>0.90864729676311196</v>
      </c>
      <c r="AG5697">
        <v>-1.1098884556069999</v>
      </c>
      <c r="AH5697">
        <v>23.210947335921801</v>
      </c>
      <c r="AI5697">
        <v>92.735560980670996</v>
      </c>
      <c r="AJ5697">
        <v>87.758166276325298</v>
      </c>
      <c r="AK5697">
        <v>23.255226692611298</v>
      </c>
      <c r="AL5697">
        <v>80.764365199500503</v>
      </c>
      <c r="AM5697">
        <v>91.551235502954398</v>
      </c>
      <c r="AN5697">
        <v>0.99999999503661197</v>
      </c>
    </row>
    <row r="5698" spans="1:40" x14ac:dyDescent="0.25">
      <c r="A5698" t="str">
        <f>"20190304155747657"</f>
        <v>20190304155747657</v>
      </c>
      <c r="B5698" t="str">
        <f>"1551686267650854"</f>
        <v>1551686267650854</v>
      </c>
      <c r="C5698" t="s">
        <v>40</v>
      </c>
      <c r="D5698">
        <v>4.7782410000000004</v>
      </c>
      <c r="E5698">
        <v>0.52346190000000004</v>
      </c>
      <c r="F5698" t="s">
        <v>41</v>
      </c>
      <c r="G5698">
        <v>-323.77999999999997</v>
      </c>
      <c r="H5698" s="1">
        <v>-3.5055280000000001E-6</v>
      </c>
      <c r="I5698">
        <v>16.31934</v>
      </c>
      <c r="J5698">
        <v>-346.98340000000002</v>
      </c>
      <c r="K5698">
        <v>1.1098779999999999</v>
      </c>
      <c r="L5698">
        <v>16.928989999999999</v>
      </c>
      <c r="M5698">
        <v>0.99986679999999994</v>
      </c>
      <c r="N5698">
        <v>-1.025148E-2</v>
      </c>
      <c r="O5698">
        <v>1.269869E-2</v>
      </c>
      <c r="P5698">
        <v>0.98784099999999997</v>
      </c>
      <c r="Q5698">
        <v>0.15055729999999901</v>
      </c>
      <c r="R5698">
        <v>3.8765170000000002E-2</v>
      </c>
      <c r="S5698">
        <v>3.0621640000000001</v>
      </c>
      <c r="T5698">
        <v>-0.14534710000000001</v>
      </c>
      <c r="U5698">
        <v>-7.9528810000000005E-2</v>
      </c>
      <c r="V5698">
        <v>-2.6317400000000001E-2</v>
      </c>
      <c r="W5698">
        <v>0.1606641</v>
      </c>
      <c r="X5698">
        <v>0.98665820000000004</v>
      </c>
      <c r="Y5698">
        <v>3.8594070000000001E-2</v>
      </c>
      <c r="Z5698">
        <v>-1.5854910000000001E-3</v>
      </c>
      <c r="AA5698">
        <v>0.99925370000000002</v>
      </c>
      <c r="AB5698">
        <v>34</v>
      </c>
      <c r="AC5698">
        <v>23.203399999999998</v>
      </c>
      <c r="AD5698">
        <v>-1.109881505528</v>
      </c>
      <c r="AE5698">
        <v>-0.60964999999999803</v>
      </c>
      <c r="AF5698">
        <v>0.90220631499488901</v>
      </c>
      <c r="AG5698">
        <v>-1.109881505528</v>
      </c>
      <c r="AH5698">
        <v>23.140877646033399</v>
      </c>
      <c r="AI5698">
        <v>92.743831437134901</v>
      </c>
      <c r="AJ5698">
        <v>87.767308253623099</v>
      </c>
      <c r="AK5698">
        <v>23.1850389566163</v>
      </c>
      <c r="AL5698">
        <v>80.754554773457002</v>
      </c>
      <c r="AM5698">
        <v>91.527903483561502</v>
      </c>
      <c r="AN5698">
        <v>0.99999998109940402</v>
      </c>
    </row>
    <row r="5699" spans="1:40" x14ac:dyDescent="0.25">
      <c r="A5699" t="str">
        <f>"20190304155747670"</f>
        <v>20190304155747670</v>
      </c>
      <c r="B5699" t="str">
        <f>"1551686267660614"</f>
        <v>1551686267660614</v>
      </c>
      <c r="C5699" t="s">
        <v>40</v>
      </c>
      <c r="D5699">
        <v>4.9042379999999897</v>
      </c>
      <c r="E5699">
        <v>0.52334729999999996</v>
      </c>
      <c r="F5699" t="s">
        <v>41</v>
      </c>
      <c r="G5699">
        <v>-323.46159999999998</v>
      </c>
      <c r="H5699" s="1">
        <v>-3.6567940000000001E-6</v>
      </c>
      <c r="I5699">
        <v>16.31503</v>
      </c>
      <c r="J5699">
        <v>-346.79410000000001</v>
      </c>
      <c r="K5699">
        <v>1.109872</v>
      </c>
      <c r="L5699">
        <v>16.931519999999999</v>
      </c>
      <c r="M5699">
        <v>0.99986470000000005</v>
      </c>
      <c r="N5699">
        <v>-1.0280060000000001E-2</v>
      </c>
      <c r="O5699">
        <v>1.28448999999999E-2</v>
      </c>
      <c r="P5699">
        <v>0.98788050000000005</v>
      </c>
      <c r="Q5699">
        <v>0.15030560000000001</v>
      </c>
      <c r="R5699">
        <v>3.873559E-2</v>
      </c>
      <c r="S5699">
        <v>3.0620729999999998</v>
      </c>
      <c r="T5699">
        <v>-0.14448459999999999</v>
      </c>
      <c r="U5699">
        <v>-7.9925540000000003E-2</v>
      </c>
      <c r="V5699">
        <v>-2.6139579999999999E-2</v>
      </c>
      <c r="W5699">
        <v>0.1604419</v>
      </c>
      <c r="X5699">
        <v>0.98669910000000005</v>
      </c>
      <c r="Y5699">
        <v>3.8870559999999998E-2</v>
      </c>
      <c r="Z5699">
        <v>-1.590059E-3</v>
      </c>
      <c r="AA5699">
        <v>0.99924299999999999</v>
      </c>
      <c r="AB5699">
        <v>34</v>
      </c>
      <c r="AC5699">
        <v>23.3325</v>
      </c>
      <c r="AD5699">
        <v>-1.109875656794</v>
      </c>
      <c r="AE5699">
        <v>-0.61649000000000198</v>
      </c>
      <c r="AF5699">
        <v>0.91409171987886895</v>
      </c>
      <c r="AG5699">
        <v>-1.109875656794</v>
      </c>
      <c r="AH5699">
        <v>23.270039435381499</v>
      </c>
      <c r="AI5699">
        <v>92.728579018475102</v>
      </c>
      <c r="AJ5699">
        <v>87.750468622698307</v>
      </c>
      <c r="AK5699">
        <v>23.314418778303398</v>
      </c>
      <c r="AL5699">
        <v>80.767453376790499</v>
      </c>
      <c r="AM5699">
        <v>91.517521794690197</v>
      </c>
      <c r="AN5699">
        <v>0.99999999742949797</v>
      </c>
    </row>
    <row r="5700" spans="1:40" x14ac:dyDescent="0.25">
      <c r="A5700" t="str">
        <f>"20190304155747690"</f>
        <v>20190304155747690</v>
      </c>
      <c r="B5700" t="str">
        <f>"1551686267680133"</f>
        <v>1551686267680133</v>
      </c>
      <c r="C5700" t="s">
        <v>40</v>
      </c>
      <c r="D5700">
        <v>4.735233</v>
      </c>
      <c r="E5700">
        <v>0.52337460000000002</v>
      </c>
      <c r="F5700" t="s">
        <v>41</v>
      </c>
      <c r="G5700">
        <v>-323.37189999999998</v>
      </c>
      <c r="H5700" s="1">
        <v>-3.697172E-6</v>
      </c>
      <c r="I5700">
        <v>16.32667</v>
      </c>
      <c r="J5700">
        <v>-346.48939999999999</v>
      </c>
      <c r="K5700">
        <v>1.1098509999999999</v>
      </c>
      <c r="L5700">
        <v>16.935639999999999</v>
      </c>
      <c r="M5700">
        <v>0.99986149999999996</v>
      </c>
      <c r="N5700">
        <v>-1.0321790000000001E-2</v>
      </c>
      <c r="O5700">
        <v>1.3062249999999999E-2</v>
      </c>
      <c r="P5700">
        <v>0.98786289999999999</v>
      </c>
      <c r="Q5700">
        <v>0.15049650000000001</v>
      </c>
      <c r="R5700">
        <v>3.8444159999999998E-2</v>
      </c>
      <c r="S5700">
        <v>3.0619809999999998</v>
      </c>
      <c r="T5700">
        <v>-0.14509369999999999</v>
      </c>
      <c r="U5700">
        <v>-7.9071039999999995E-2</v>
      </c>
      <c r="V5700">
        <v>-2.5627629999999998E-2</v>
      </c>
      <c r="W5700">
        <v>0.16067490000000001</v>
      </c>
      <c r="X5700">
        <v>0.98667459999999996</v>
      </c>
      <c r="Y5700">
        <v>3.8809299999999998E-2</v>
      </c>
      <c r="Z5700">
        <v>-1.603078E-3</v>
      </c>
      <c r="AA5700">
        <v>0.9992453</v>
      </c>
      <c r="AB5700">
        <v>34</v>
      </c>
      <c r="AC5700">
        <v>23.1175</v>
      </c>
      <c r="AD5700">
        <v>-1.109854697172</v>
      </c>
      <c r="AE5700">
        <v>-0.60896999999999901</v>
      </c>
      <c r="AF5700">
        <v>0.90880741422792799</v>
      </c>
      <c r="AG5700">
        <v>-1.109854697172</v>
      </c>
      <c r="AH5700">
        <v>23.0544713725441</v>
      </c>
      <c r="AI5700">
        <v>92.753986321477797</v>
      </c>
      <c r="AJ5700">
        <v>87.742568809790498</v>
      </c>
      <c r="AK5700">
        <v>23.0990553623399</v>
      </c>
      <c r="AL5700">
        <v>80.753927847964803</v>
      </c>
      <c r="AM5700">
        <v>91.487851182333898</v>
      </c>
      <c r="AN5700">
        <v>0.99999998259729295</v>
      </c>
    </row>
    <row r="5701" spans="1:40" x14ac:dyDescent="0.25">
      <c r="A5701" t="str">
        <f>"20190304155747703"</f>
        <v>20190304155747703</v>
      </c>
      <c r="B5701" t="str">
        <f>"1551686267690870"</f>
        <v>1551686267690870</v>
      </c>
      <c r="C5701" t="s">
        <v>40</v>
      </c>
      <c r="D5701">
        <v>4.9048990000000003</v>
      </c>
      <c r="E5701">
        <v>0.52343640000000002</v>
      </c>
      <c r="F5701" t="s">
        <v>41</v>
      </c>
      <c r="G5701">
        <v>-322.98259999999999</v>
      </c>
      <c r="H5701" s="1">
        <v>-3.8823869999999997E-6</v>
      </c>
      <c r="I5701">
        <v>16.31972</v>
      </c>
      <c r="J5701">
        <v>-346.28129999999999</v>
      </c>
      <c r="K5701">
        <v>1.109842</v>
      </c>
      <c r="L5701">
        <v>16.938510000000001</v>
      </c>
      <c r="M5701">
        <v>0.99985939999999995</v>
      </c>
      <c r="N5701">
        <v>-1.0347429999999999E-2</v>
      </c>
      <c r="O5701">
        <v>1.319914E-2</v>
      </c>
      <c r="P5701">
        <v>0.98786600000000002</v>
      </c>
      <c r="Q5701">
        <v>0.1504694</v>
      </c>
      <c r="R5701">
        <v>3.8469620000000003E-2</v>
      </c>
      <c r="S5701">
        <v>3.0620729999999998</v>
      </c>
      <c r="T5701">
        <v>-0.1445736</v>
      </c>
      <c r="U5701">
        <v>-8.0230709999999997E-2</v>
      </c>
      <c r="V5701">
        <v>-2.5514249999999999E-2</v>
      </c>
      <c r="W5701">
        <v>0.16067390000000001</v>
      </c>
      <c r="X5701">
        <v>0.98667769999999999</v>
      </c>
      <c r="Y5701">
        <v>3.9323150000000001E-2</v>
      </c>
      <c r="Z5701">
        <v>-1.617509E-3</v>
      </c>
      <c r="AA5701">
        <v>0.99922529999999998</v>
      </c>
      <c r="AB5701">
        <v>34</v>
      </c>
      <c r="AC5701">
        <v>23.2987</v>
      </c>
      <c r="AD5701">
        <v>-1.1098458823870001</v>
      </c>
      <c r="AE5701">
        <v>-0.61878999999999995</v>
      </c>
      <c r="AF5701">
        <v>0.92417972288059402</v>
      </c>
      <c r="AG5701">
        <v>-1.1098458823870001</v>
      </c>
      <c r="AH5701">
        <v>23.235814011187198</v>
      </c>
      <c r="AI5701">
        <v>92.732465843866606</v>
      </c>
      <c r="AJ5701">
        <v>87.722322035197493</v>
      </c>
      <c r="AK5701">
        <v>23.280655463395401</v>
      </c>
      <c r="AL5701">
        <v>80.753985886662093</v>
      </c>
      <c r="AM5701">
        <v>91.481267020655693</v>
      </c>
      <c r="AN5701">
        <v>0.99999998138578094</v>
      </c>
    </row>
    <row r="5702" spans="1:40" x14ac:dyDescent="0.25">
      <c r="A5702" t="str">
        <f>"20190304155747726"</f>
        <v>20190304155747726</v>
      </c>
      <c r="B5702" t="str">
        <f>"1551686267720151"</f>
        <v>1551686267720151</v>
      </c>
      <c r="C5702" t="s">
        <v>40</v>
      </c>
      <c r="D5702">
        <v>4.7776779999999999</v>
      </c>
      <c r="E5702">
        <v>0.52342250000000001</v>
      </c>
      <c r="F5702" t="s">
        <v>41</v>
      </c>
      <c r="G5702">
        <v>-322.7842</v>
      </c>
      <c r="H5702" s="1">
        <v>-3.976012E-6</v>
      </c>
      <c r="I5702">
        <v>16.320729999999902</v>
      </c>
      <c r="J5702">
        <v>-345.94709999999998</v>
      </c>
      <c r="K5702">
        <v>1.1098250000000001</v>
      </c>
      <c r="L5702">
        <v>16.943149999999999</v>
      </c>
      <c r="M5702">
        <v>0.99985630000000003</v>
      </c>
      <c r="N5702">
        <v>-1.0385810000000001E-2</v>
      </c>
      <c r="O5702">
        <v>1.3407550000000001E-2</v>
      </c>
      <c r="P5702">
        <v>0.98785250000000002</v>
      </c>
      <c r="Q5702">
        <v>0.15059549999999999</v>
      </c>
      <c r="R5702">
        <v>3.832406E-2</v>
      </c>
      <c r="S5702">
        <v>3.0620120000000002</v>
      </c>
      <c r="T5702">
        <v>-0.14462939999999999</v>
      </c>
      <c r="U5702">
        <v>-8.0505370000000007E-2</v>
      </c>
      <c r="V5702">
        <v>-2.5156000000000001E-2</v>
      </c>
      <c r="W5702">
        <v>0.1608387</v>
      </c>
      <c r="X5702">
        <v>0.98666010000000004</v>
      </c>
      <c r="Y5702">
        <v>3.9620889999999999E-2</v>
      </c>
      <c r="Z5702">
        <v>-1.6346329999999999E-3</v>
      </c>
      <c r="AA5702">
        <v>0.99921349999999998</v>
      </c>
      <c r="AB5702">
        <v>34</v>
      </c>
      <c r="AC5702">
        <v>23.162899999999901</v>
      </c>
      <c r="AD5702">
        <v>-1.1098289760119999</v>
      </c>
      <c r="AE5702">
        <v>-0.62242000000000097</v>
      </c>
      <c r="AF5702">
        <v>0.93080314188782898</v>
      </c>
      <c r="AG5702">
        <v>-1.1098289760119999</v>
      </c>
      <c r="AH5702">
        <v>23.099479628063101</v>
      </c>
      <c r="AI5702">
        <v>92.7484693407023</v>
      </c>
      <c r="AJ5702">
        <v>87.692491103494206</v>
      </c>
      <c r="AK5702">
        <v>23.144849836027198</v>
      </c>
      <c r="AL5702">
        <v>80.744419593634504</v>
      </c>
      <c r="AM5702">
        <v>91.460503406906994</v>
      </c>
      <c r="AN5702">
        <v>1.00000003234284</v>
      </c>
    </row>
    <row r="5703" spans="1:40" x14ac:dyDescent="0.25">
      <c r="A5703" t="str">
        <f>"20190304155747747"</f>
        <v>20190304155747747</v>
      </c>
      <c r="B5703" t="str">
        <f>"1551686267740647"</f>
        <v>1551686267740647</v>
      </c>
      <c r="C5703" t="s">
        <v>40</v>
      </c>
      <c r="D5703">
        <v>4.7594260000000004</v>
      </c>
      <c r="E5703">
        <v>0.52340750000000003</v>
      </c>
      <c r="F5703" t="s">
        <v>41</v>
      </c>
      <c r="G5703">
        <v>-322.2081</v>
      </c>
      <c r="H5703" s="1">
        <v>-4.2489320000000001E-6</v>
      </c>
      <c r="I5703">
        <v>16.317309999999999</v>
      </c>
      <c r="J5703">
        <v>-345.60910000000001</v>
      </c>
      <c r="K5703">
        <v>1.1098140000000001</v>
      </c>
      <c r="L5703">
        <v>16.947849999999999</v>
      </c>
      <c r="M5703">
        <v>0.9998532</v>
      </c>
      <c r="N5703">
        <v>-1.042044E-2</v>
      </c>
      <c r="O5703">
        <v>1.3599399999999999E-2</v>
      </c>
      <c r="P5703">
        <v>0.98785579999999995</v>
      </c>
      <c r="Q5703">
        <v>0.15071180000000001</v>
      </c>
      <c r="R5703">
        <v>3.7772239999999999E-2</v>
      </c>
      <c r="S5703">
        <v>3.0618289999999999</v>
      </c>
      <c r="T5703">
        <v>-0.14314499999999999</v>
      </c>
      <c r="U5703">
        <v>-8.0718990000000004E-2</v>
      </c>
      <c r="V5703">
        <v>-2.440873E-2</v>
      </c>
      <c r="W5703">
        <v>0.16099069999999999</v>
      </c>
      <c r="X5703">
        <v>0.98665400000000003</v>
      </c>
      <c r="Y5703">
        <v>3.9884599999999999E-2</v>
      </c>
      <c r="Z5703">
        <v>-1.6333700000000001E-3</v>
      </c>
      <c r="AA5703">
        <v>0.99920299999999995</v>
      </c>
      <c r="AB5703">
        <v>35</v>
      </c>
      <c r="AC5703">
        <v>23.401</v>
      </c>
      <c r="AD5703">
        <v>-1.1098182489320001</v>
      </c>
      <c r="AE5703">
        <v>-0.63053999999999899</v>
      </c>
      <c r="AF5703">
        <v>0.94661092453192797</v>
      </c>
      <c r="AG5703">
        <v>-1.1098182489320001</v>
      </c>
      <c r="AH5703">
        <v>23.3378061658562</v>
      </c>
      <c r="AI5703">
        <v>92.720388850385504</v>
      </c>
      <c r="AJ5703">
        <v>87.677283974395706</v>
      </c>
      <c r="AK5703">
        <v>23.383348037079401</v>
      </c>
      <c r="AL5703">
        <v>80.735594909072702</v>
      </c>
      <c r="AM5703">
        <v>91.417145233739902</v>
      </c>
      <c r="AN5703">
        <v>0.99999995365134997</v>
      </c>
    </row>
    <row r="5704" spans="1:40" x14ac:dyDescent="0.25">
      <c r="A5704" t="str">
        <f>"20190304155747761"</f>
        <v>20190304155747761</v>
      </c>
      <c r="B5704" t="str">
        <f>"1551686267750406"</f>
        <v>1551686267750406</v>
      </c>
      <c r="C5704" t="s">
        <v>40</v>
      </c>
      <c r="D5704">
        <v>4.878622</v>
      </c>
      <c r="E5704">
        <v>0.5233061</v>
      </c>
      <c r="F5704" t="s">
        <v>41</v>
      </c>
      <c r="G5704">
        <v>-321.68669999999997</v>
      </c>
      <c r="H5704" s="1">
        <v>-4.4967950000000004E-6</v>
      </c>
      <c r="I5704">
        <v>16.30951</v>
      </c>
      <c r="J5704">
        <v>-345.39789999999999</v>
      </c>
      <c r="K5704">
        <v>1.109801</v>
      </c>
      <c r="L5704">
        <v>16.950839999999999</v>
      </c>
      <c r="M5704">
        <v>0.9998515</v>
      </c>
      <c r="N5704">
        <v>-1.0439810000000001E-2</v>
      </c>
      <c r="O5704">
        <v>1.3707830000000001E-2</v>
      </c>
      <c r="P5704">
        <v>0.98786940000000001</v>
      </c>
      <c r="Q5704">
        <v>0.150689299999999</v>
      </c>
      <c r="R5704">
        <v>3.7504599999999999E-2</v>
      </c>
      <c r="S5704">
        <v>3.0616759999999998</v>
      </c>
      <c r="T5704">
        <v>-0.14203879999999999</v>
      </c>
      <c r="U5704">
        <v>-8.169556E-2</v>
      </c>
      <c r="V5704">
        <v>-2.402953E-2</v>
      </c>
      <c r="W5704">
        <v>0.160988299999999</v>
      </c>
      <c r="X5704">
        <v>0.98666379999999998</v>
      </c>
      <c r="Y5704">
        <v>4.031303E-2</v>
      </c>
      <c r="Z5704">
        <v>-1.6375319999999999E-3</v>
      </c>
      <c r="AA5704">
        <v>0.99918569999999995</v>
      </c>
      <c r="AB5704">
        <v>35</v>
      </c>
      <c r="AC5704">
        <v>23.711200000000002</v>
      </c>
      <c r="AD5704">
        <v>-1.109805496795</v>
      </c>
      <c r="AE5704">
        <v>-0.64132999999999996</v>
      </c>
      <c r="AF5704">
        <v>0.96420580251210597</v>
      </c>
      <c r="AG5704">
        <v>-1.109805496795</v>
      </c>
      <c r="AH5704">
        <v>23.648411057660201</v>
      </c>
      <c r="AI5704">
        <v>92.6846573226088</v>
      </c>
      <c r="AJ5704">
        <v>87.665198715674507</v>
      </c>
      <c r="AK5704">
        <v>23.694064797378701</v>
      </c>
      <c r="AL5704">
        <v>80.735735161448503</v>
      </c>
      <c r="AM5704">
        <v>91.395124198141502</v>
      </c>
      <c r="AN5704">
        <v>1.00000005263967</v>
      </c>
    </row>
    <row r="5705" spans="1:40" x14ac:dyDescent="0.25">
      <c r="A5705" t="str">
        <f>"20190304155747774"</f>
        <v>20190304155747774</v>
      </c>
      <c r="B5705" t="str">
        <f>"1551686267770902"</f>
        <v>1551686267770902</v>
      </c>
      <c r="C5705" t="s">
        <v>40</v>
      </c>
      <c r="D5705">
        <v>4.7930570000000001</v>
      </c>
      <c r="E5705">
        <v>0.52330909999999997</v>
      </c>
      <c r="F5705" t="s">
        <v>41</v>
      </c>
      <c r="G5705">
        <v>-321.41750000000002</v>
      </c>
      <c r="H5705" s="1">
        <v>-4.6237920000000003E-6</v>
      </c>
      <c r="I5705">
        <v>16.310929999999999</v>
      </c>
      <c r="J5705">
        <v>-345.18329999999997</v>
      </c>
      <c r="K5705">
        <v>1.1097900000000001</v>
      </c>
      <c r="L5705">
        <v>16.953889999999902</v>
      </c>
      <c r="M5705">
        <v>0.99984989999999996</v>
      </c>
      <c r="N5705">
        <v>-1.045837E-2</v>
      </c>
      <c r="O5705">
        <v>1.381228E-2</v>
      </c>
      <c r="P5705">
        <v>0.98791969999999996</v>
      </c>
      <c r="Q5705">
        <v>0.15039569999999999</v>
      </c>
      <c r="R5705">
        <v>3.7359570000000002E-2</v>
      </c>
      <c r="S5705">
        <v>3.0615540000000001</v>
      </c>
      <c r="T5705">
        <v>-0.14168810000000001</v>
      </c>
      <c r="U5705">
        <v>-8.169556E-2</v>
      </c>
      <c r="V5705">
        <v>-2.377655E-2</v>
      </c>
      <c r="W5705">
        <v>0.16071440000000001</v>
      </c>
      <c r="X5705">
        <v>0.98671450000000005</v>
      </c>
      <c r="Y5705">
        <v>4.0418549999999998E-2</v>
      </c>
      <c r="Z5705">
        <v>-1.6405720000000001E-3</v>
      </c>
      <c r="AA5705">
        <v>0.99918149999999994</v>
      </c>
      <c r="AB5705">
        <v>35</v>
      </c>
      <c r="AC5705">
        <v>23.765799999999899</v>
      </c>
      <c r="AD5705">
        <v>-1.109794623792</v>
      </c>
      <c r="AE5705">
        <v>-0.64295999999999798</v>
      </c>
      <c r="AF5705">
        <v>0.96906488124479395</v>
      </c>
      <c r="AG5705">
        <v>-1.109794623792</v>
      </c>
      <c r="AH5705">
        <v>23.703001925327801</v>
      </c>
      <c r="AI5705">
        <v>92.678444933911507</v>
      </c>
      <c r="AJ5705">
        <v>87.658844069213799</v>
      </c>
      <c r="AK5705">
        <v>23.748747990644699</v>
      </c>
      <c r="AL5705">
        <v>80.751634781514198</v>
      </c>
      <c r="AM5705">
        <v>91.380371308705094</v>
      </c>
      <c r="AN5705">
        <v>0.99999997360375503</v>
      </c>
    </row>
    <row r="5706" spans="1:40" x14ac:dyDescent="0.25">
      <c r="A5706" t="str">
        <f>"20190304155747790"</f>
        <v>20190304155747790</v>
      </c>
      <c r="B5706" t="str">
        <f>"1551686267780662"</f>
        <v>1551686267780662</v>
      </c>
      <c r="C5706" t="s">
        <v>40</v>
      </c>
      <c r="D5706">
        <v>4.7738680000000002</v>
      </c>
      <c r="E5706">
        <v>0.52331740000000004</v>
      </c>
      <c r="F5706" t="s">
        <v>41</v>
      </c>
      <c r="G5706">
        <v>-321.2321</v>
      </c>
      <c r="H5706" s="1">
        <v>-4.7116090000000004E-6</v>
      </c>
      <c r="I5706">
        <v>16.309950000000001</v>
      </c>
      <c r="J5706">
        <v>-344.94499999999999</v>
      </c>
      <c r="K5706">
        <v>1.1097760000000001</v>
      </c>
      <c r="L5706">
        <v>16.957279999999901</v>
      </c>
      <c r="M5706">
        <v>0.99984819999999996</v>
      </c>
      <c r="N5706">
        <v>-1.0477530000000001E-2</v>
      </c>
      <c r="O5706">
        <v>1.3921350000000001E-2</v>
      </c>
      <c r="P5706">
        <v>0.98803629999999998</v>
      </c>
      <c r="Q5706">
        <v>0.14971139999999999</v>
      </c>
      <c r="R5706">
        <v>3.702689E-2</v>
      </c>
      <c r="S5706">
        <v>3.0613709999999998</v>
      </c>
      <c r="T5706">
        <v>-0.14185049999999999</v>
      </c>
      <c r="U5706">
        <v>-8.2305909999999996E-2</v>
      </c>
      <c r="V5706">
        <v>-2.332977E-2</v>
      </c>
      <c r="W5706">
        <v>0.16005079999999999</v>
      </c>
      <c r="X5706">
        <v>0.98683299999999996</v>
      </c>
      <c r="Y5706">
        <v>4.0727590000000001E-2</v>
      </c>
      <c r="Z5706">
        <v>-1.655271E-3</v>
      </c>
      <c r="AA5706">
        <v>0.99916890000000003</v>
      </c>
      <c r="AB5706">
        <v>35</v>
      </c>
      <c r="AC5706">
        <v>23.712899999999902</v>
      </c>
      <c r="AD5706">
        <v>-1.1097807116089999</v>
      </c>
      <c r="AE5706">
        <v>-0.64732999999999596</v>
      </c>
      <c r="AF5706">
        <v>0.97526642105467398</v>
      </c>
      <c r="AG5706">
        <v>-1.1097807116089999</v>
      </c>
      <c r="AH5706">
        <v>23.6498277956394</v>
      </c>
      <c r="AI5706">
        <v>92.684385818664097</v>
      </c>
      <c r="AJ5706">
        <v>87.638587152030695</v>
      </c>
      <c r="AK5706">
        <v>23.695930295797499</v>
      </c>
      <c r="AL5706">
        <v>80.790154720155698</v>
      </c>
      <c r="AM5706">
        <v>91.354280222761204</v>
      </c>
      <c r="AN5706">
        <v>0.99999995331894498</v>
      </c>
    </row>
    <row r="5707" spans="1:40" x14ac:dyDescent="0.25">
      <c r="A5707" t="str">
        <f>"20190304155747801"</f>
        <v>20190304155747801</v>
      </c>
      <c r="B5707" t="str">
        <f>"1551686267790422"</f>
        <v>1551686267790422</v>
      </c>
      <c r="C5707" t="s">
        <v>40</v>
      </c>
      <c r="D5707">
        <v>4.7550309999999998</v>
      </c>
      <c r="E5707">
        <v>0.52331369999999999</v>
      </c>
      <c r="F5707" t="s">
        <v>41</v>
      </c>
      <c r="G5707">
        <v>-321.26900000000001</v>
      </c>
      <c r="H5707" s="1">
        <v>-4.6942870000000004E-6</v>
      </c>
      <c r="I5707">
        <v>16.309379999999901</v>
      </c>
      <c r="J5707">
        <v>-344.76459999999997</v>
      </c>
      <c r="K5707">
        <v>1.1097680000000001</v>
      </c>
      <c r="L5707">
        <v>16.95984</v>
      </c>
      <c r="M5707">
        <v>0.99984709999999999</v>
      </c>
      <c r="N5707">
        <v>-1.0490630000000001E-2</v>
      </c>
      <c r="O5707">
        <v>1.399719E-2</v>
      </c>
      <c r="P5707">
        <v>0.98808059999999998</v>
      </c>
      <c r="Q5707">
        <v>0.14948229999999901</v>
      </c>
      <c r="R5707">
        <v>3.6765680000000002E-2</v>
      </c>
      <c r="S5707">
        <v>3.0612180000000002</v>
      </c>
      <c r="T5707">
        <v>-0.14349029999999999</v>
      </c>
      <c r="U5707">
        <v>-8.3770750000000005E-2</v>
      </c>
      <c r="V5707">
        <v>-2.2989889999999999E-2</v>
      </c>
      <c r="W5707">
        <v>0.1598357</v>
      </c>
      <c r="X5707">
        <v>0.98687590000000003</v>
      </c>
      <c r="Y5707">
        <v>4.1280270000000001E-2</v>
      </c>
      <c r="Z5707">
        <v>-1.692367E-3</v>
      </c>
      <c r="AA5707">
        <v>0.99914619999999998</v>
      </c>
      <c r="AB5707">
        <v>35</v>
      </c>
      <c r="AC5707">
        <v>23.4955999999999</v>
      </c>
      <c r="AD5707">
        <v>-1.1097726942870001</v>
      </c>
      <c r="AE5707">
        <v>-0.65046000000000204</v>
      </c>
      <c r="AF5707">
        <v>0.97710847685031998</v>
      </c>
      <c r="AG5707">
        <v>-1.1097726942870001</v>
      </c>
      <c r="AH5707">
        <v>23.4319567681477</v>
      </c>
      <c r="AI5707">
        <v>92.709237011018601</v>
      </c>
      <c r="AJ5707">
        <v>87.612159480580004</v>
      </c>
      <c r="AK5707">
        <v>23.478563294905001</v>
      </c>
      <c r="AL5707">
        <v>80.802640336001105</v>
      </c>
      <c r="AM5707">
        <v>91.334499572202603</v>
      </c>
      <c r="AN5707">
        <v>1.0000000140187499</v>
      </c>
    </row>
    <row r="5708" spans="1:40" x14ac:dyDescent="0.25">
      <c r="A5708" t="str">
        <f>"20190304155747813"</f>
        <v>20190304155747813</v>
      </c>
      <c r="B5708" t="str">
        <f>"1551686267800183"</f>
        <v>1551686267800183</v>
      </c>
      <c r="C5708" t="s">
        <v>40</v>
      </c>
      <c r="D5708">
        <v>4.7476960000000004</v>
      </c>
      <c r="E5708">
        <v>0.52331050000000001</v>
      </c>
      <c r="F5708" t="s">
        <v>41</v>
      </c>
      <c r="G5708">
        <v>-321.1463</v>
      </c>
      <c r="H5708" s="1">
        <v>-4.7526309999999998E-6</v>
      </c>
      <c r="I5708">
        <v>16.307369999999999</v>
      </c>
      <c r="J5708">
        <v>-344.5874</v>
      </c>
      <c r="K5708">
        <v>1.1097619999999999</v>
      </c>
      <c r="L5708">
        <v>16.962399999999999</v>
      </c>
      <c r="M5708">
        <v>0.99984589999999995</v>
      </c>
      <c r="N5708">
        <v>-1.050311E-2</v>
      </c>
      <c r="O5708">
        <v>1.406987E-2</v>
      </c>
      <c r="P5708">
        <v>0.98811749999999998</v>
      </c>
      <c r="Q5708">
        <v>0.14932619999999999</v>
      </c>
      <c r="R5708">
        <v>3.6413840000000003E-2</v>
      </c>
      <c r="S5708">
        <v>3.061096</v>
      </c>
      <c r="T5708">
        <v>-0.14383409999999999</v>
      </c>
      <c r="U5708">
        <v>-8.4564210000000001E-2</v>
      </c>
      <c r="V5708">
        <v>-2.2563130000000001E-2</v>
      </c>
      <c r="W5708">
        <v>0.15969259999999999</v>
      </c>
      <c r="X5708">
        <v>0.98690889999999998</v>
      </c>
      <c r="Y5708">
        <v>4.1611969999999998E-2</v>
      </c>
      <c r="Z5708">
        <v>-1.7085749999999999E-3</v>
      </c>
      <c r="AA5708">
        <v>0.99913240000000003</v>
      </c>
      <c r="AB5708">
        <v>35</v>
      </c>
      <c r="AC5708">
        <v>23.441099999999999</v>
      </c>
      <c r="AD5708">
        <v>-1.109766752631</v>
      </c>
      <c r="AE5708">
        <v>-0.655029999999996</v>
      </c>
      <c r="AF5708">
        <v>0.98259594895924196</v>
      </c>
      <c r="AG5708">
        <v>-1.109766752631</v>
      </c>
      <c r="AH5708">
        <v>23.377207367388198</v>
      </c>
      <c r="AI5708">
        <v>92.715520370657799</v>
      </c>
      <c r="AJ5708">
        <v>87.593147861116407</v>
      </c>
      <c r="AK5708">
        <v>23.4241520944095</v>
      </c>
      <c r="AL5708">
        <v>80.810945908879702</v>
      </c>
      <c r="AM5708">
        <v>91.309692264746005</v>
      </c>
      <c r="AN5708">
        <v>0.99999999911468296</v>
      </c>
    </row>
    <row r="5709" spans="1:40" x14ac:dyDescent="0.25">
      <c r="A5709" t="str">
        <f>"20190304155747826"</f>
        <v>20190304155747826</v>
      </c>
      <c r="B5709" t="str">
        <f>"1551686267820678"</f>
        <v>1551686267820678</v>
      </c>
      <c r="C5709" t="s">
        <v>40</v>
      </c>
      <c r="D5709">
        <v>4.7343359999999999</v>
      </c>
      <c r="E5709">
        <v>0.52332109999999998</v>
      </c>
      <c r="F5709" t="s">
        <v>41</v>
      </c>
      <c r="G5709">
        <v>-320.9914</v>
      </c>
      <c r="H5709" s="1">
        <v>-4.8269509999999998E-6</v>
      </c>
      <c r="I5709">
        <v>16.301120000000001</v>
      </c>
      <c r="J5709">
        <v>-344.37180000000001</v>
      </c>
      <c r="K5709">
        <v>1.1097549999999901</v>
      </c>
      <c r="L5709">
        <v>16.965520000000001</v>
      </c>
      <c r="M5709">
        <v>0.99984450000000002</v>
      </c>
      <c r="N5709">
        <v>-1.051704E-2</v>
      </c>
      <c r="O5709">
        <v>1.415337E-2</v>
      </c>
      <c r="P5709">
        <v>0.98814299999999999</v>
      </c>
      <c r="Q5709">
        <v>0.14917949999999999</v>
      </c>
      <c r="R5709">
        <v>3.6316220000000003E-2</v>
      </c>
      <c r="S5709">
        <v>3.0610050000000002</v>
      </c>
      <c r="T5709">
        <v>-0.1439655</v>
      </c>
      <c r="U5709">
        <v>-8.5784910000000006E-2</v>
      </c>
      <c r="V5709">
        <v>-2.237915E-2</v>
      </c>
      <c r="W5709">
        <v>0.1595608</v>
      </c>
      <c r="X5709">
        <v>0.98693439999999999</v>
      </c>
      <c r="Y5709">
        <v>4.2093539999999999E-2</v>
      </c>
      <c r="Z5709">
        <v>-1.7271039999999999E-3</v>
      </c>
      <c r="AA5709">
        <v>0.99911220000000001</v>
      </c>
      <c r="AB5709">
        <v>35</v>
      </c>
      <c r="AC5709">
        <v>23.380400000000002</v>
      </c>
      <c r="AD5709">
        <v>-1.1097598269509901</v>
      </c>
      <c r="AE5709">
        <v>-0.66439999999999999</v>
      </c>
      <c r="AF5709">
        <v>0.99302775620754102</v>
      </c>
      <c r="AG5709">
        <v>-1.1097598269509901</v>
      </c>
      <c r="AH5709">
        <v>23.316165766747002</v>
      </c>
      <c r="AI5709">
        <v>92.722537936784605</v>
      </c>
      <c r="AJ5709">
        <v>87.561265590843902</v>
      </c>
      <c r="AK5709">
        <v>23.363673877636099</v>
      </c>
      <c r="AL5709">
        <v>80.818595520398503</v>
      </c>
      <c r="AM5709">
        <v>91.298983142508703</v>
      </c>
      <c r="AN5709">
        <v>0.99999999257736105</v>
      </c>
    </row>
    <row r="5710" spans="1:40" x14ac:dyDescent="0.25">
      <c r="A5710" t="str">
        <f>"20190304155747838"</f>
        <v>20190304155747838</v>
      </c>
      <c r="B5710" t="str">
        <f>"1551686267830438"</f>
        <v>1551686267830438</v>
      </c>
      <c r="C5710" t="s">
        <v>40</v>
      </c>
      <c r="D5710">
        <v>4.7362359999999999</v>
      </c>
      <c r="E5710">
        <v>0.52333269999999998</v>
      </c>
      <c r="F5710" t="s">
        <v>41</v>
      </c>
      <c r="G5710">
        <v>-320.77440000000001</v>
      </c>
      <c r="H5710" s="1">
        <v>-4.9293169999999901E-6</v>
      </c>
      <c r="I5710">
        <v>16.302520000000001</v>
      </c>
      <c r="J5710">
        <v>-344.1986</v>
      </c>
      <c r="K5710">
        <v>1.10975</v>
      </c>
      <c r="L5710">
        <v>16.968050000000002</v>
      </c>
      <c r="M5710">
        <v>0.99984360000000005</v>
      </c>
      <c r="N5710">
        <v>-1.052907E-2</v>
      </c>
      <c r="O5710">
        <v>1.421618E-2</v>
      </c>
      <c r="P5710">
        <v>0.98821429999999999</v>
      </c>
      <c r="Q5710">
        <v>0.1487918</v>
      </c>
      <c r="R5710">
        <v>3.5968310000000003E-2</v>
      </c>
      <c r="S5710">
        <v>3.060883</v>
      </c>
      <c r="T5710">
        <v>-0.14394960000000001</v>
      </c>
      <c r="U5710">
        <v>-8.5998539999999998E-2</v>
      </c>
      <c r="V5710">
        <v>-2.1965419999999999E-2</v>
      </c>
      <c r="W5710">
        <v>0.15918560000000001</v>
      </c>
      <c r="X5710">
        <v>0.98700429999999995</v>
      </c>
      <c r="Y5710">
        <v>4.222687E-2</v>
      </c>
      <c r="Z5710">
        <v>-1.733196E-3</v>
      </c>
      <c r="AA5710">
        <v>0.99910650000000001</v>
      </c>
      <c r="AB5710">
        <v>35</v>
      </c>
      <c r="AC5710">
        <v>23.4241999999999</v>
      </c>
      <c r="AD5710">
        <v>-1.1097549293169999</v>
      </c>
      <c r="AE5710">
        <v>-0.66552999999999995</v>
      </c>
      <c r="AF5710">
        <v>0.99624950593803197</v>
      </c>
      <c r="AG5710">
        <v>-1.1097549293169999</v>
      </c>
      <c r="AH5710">
        <v>23.359980995654201</v>
      </c>
      <c r="AI5710">
        <v>92.717420387162505</v>
      </c>
      <c r="AJ5710">
        <v>87.557946514848197</v>
      </c>
      <c r="AK5710">
        <v>23.407536846036301</v>
      </c>
      <c r="AL5710">
        <v>80.840371400843594</v>
      </c>
      <c r="AM5710">
        <v>91.274886191921894</v>
      </c>
      <c r="AN5710">
        <v>1.0000000115708101</v>
      </c>
    </row>
    <row r="5711" spans="1:40" x14ac:dyDescent="0.25">
      <c r="A5711" t="str">
        <f>"20190304155747848"</f>
        <v>20190304155747848</v>
      </c>
      <c r="B5711" t="str">
        <f>"1551686267840197"</f>
        <v>1551686267840197</v>
      </c>
      <c r="C5711" t="s">
        <v>40</v>
      </c>
      <c r="D5711">
        <v>4.737425</v>
      </c>
      <c r="E5711">
        <v>0.52336539999999998</v>
      </c>
      <c r="F5711" t="s">
        <v>41</v>
      </c>
      <c r="G5711">
        <v>-320.74189999999999</v>
      </c>
      <c r="H5711" s="1">
        <v>-4.9451390000000003E-6</v>
      </c>
      <c r="I5711">
        <v>16.299849999999999</v>
      </c>
      <c r="J5711">
        <v>-344.02379999999999</v>
      </c>
      <c r="K5711">
        <v>1.1097429999999999</v>
      </c>
      <c r="L5711">
        <v>16.970579999999899</v>
      </c>
      <c r="M5711">
        <v>0.99984260000000003</v>
      </c>
      <c r="N5711">
        <v>-1.054152E-2</v>
      </c>
      <c r="O5711">
        <v>1.427814E-2</v>
      </c>
      <c r="P5711">
        <v>0.98825620000000003</v>
      </c>
      <c r="Q5711">
        <v>0.1485205</v>
      </c>
      <c r="R5711">
        <v>3.594468E-2</v>
      </c>
      <c r="S5711">
        <v>3.06073</v>
      </c>
      <c r="T5711">
        <v>-0.1448053</v>
      </c>
      <c r="U5711">
        <v>-8.7188719999999997E-2</v>
      </c>
      <c r="V5711">
        <v>-2.1877859999999999E-2</v>
      </c>
      <c r="W5711">
        <v>0.1589276</v>
      </c>
      <c r="X5711">
        <v>0.98704780000000003</v>
      </c>
      <c r="Y5711">
        <v>4.2676949999999998E-2</v>
      </c>
      <c r="Z5711">
        <v>-1.7585089999999999E-3</v>
      </c>
      <c r="AA5711">
        <v>0.99908739999999996</v>
      </c>
      <c r="AB5711">
        <v>35</v>
      </c>
      <c r="AC5711">
        <v>23.2819</v>
      </c>
      <c r="AD5711">
        <v>-1.109747945139</v>
      </c>
      <c r="AE5711">
        <v>-0.67072999999999805</v>
      </c>
      <c r="AF5711">
        <v>1.00083026414831</v>
      </c>
      <c r="AG5711">
        <v>-1.109747945139</v>
      </c>
      <c r="AH5711">
        <v>23.217242861584801</v>
      </c>
      <c r="AI5711">
        <v>92.734030775414695</v>
      </c>
      <c r="AJ5711">
        <v>87.531667692739305</v>
      </c>
      <c r="AK5711">
        <v>23.2652867554472</v>
      </c>
      <c r="AL5711">
        <v>80.8553441367402</v>
      </c>
      <c r="AM5711">
        <v>91.269749881038393</v>
      </c>
      <c r="AN5711">
        <v>0.99999999114238902</v>
      </c>
    </row>
    <row r="5712" spans="1:40" x14ac:dyDescent="0.25">
      <c r="A5712" t="str">
        <f>"20190304155747860"</f>
        <v>20190304155747860</v>
      </c>
      <c r="B5712" t="str">
        <f>"1551686267849958"</f>
        <v>1551686267849958</v>
      </c>
      <c r="C5712" t="s">
        <v>40</v>
      </c>
      <c r="D5712">
        <v>4.7247199999999996</v>
      </c>
      <c r="E5712">
        <v>0.52335310000000002</v>
      </c>
      <c r="F5712" t="s">
        <v>41</v>
      </c>
      <c r="G5712">
        <v>-320.62400000000002</v>
      </c>
      <c r="H5712" s="1">
        <v>-5.0006239999999998E-6</v>
      </c>
      <c r="I5712">
        <v>16.301179999999999</v>
      </c>
      <c r="J5712">
        <v>-343.8553</v>
      </c>
      <c r="K5712">
        <v>1.109737</v>
      </c>
      <c r="L5712">
        <v>16.973050000000001</v>
      </c>
      <c r="M5712">
        <v>0.9998416</v>
      </c>
      <c r="N5712">
        <v>-1.0556350000000001E-2</v>
      </c>
      <c r="O5712">
        <v>1.433307E-2</v>
      </c>
      <c r="P5712">
        <v>0.9883094</v>
      </c>
      <c r="Q5712">
        <v>0.14821889999999999</v>
      </c>
      <c r="R5712">
        <v>3.5716640000000001E-2</v>
      </c>
      <c r="S5712">
        <v>3.0606080000000002</v>
      </c>
      <c r="T5712">
        <v>-0.1451509</v>
      </c>
      <c r="U5712">
        <v>-8.7554930000000003E-2</v>
      </c>
      <c r="V5712">
        <v>-2.159223E-2</v>
      </c>
      <c r="W5712">
        <v>0.15864139999999999</v>
      </c>
      <c r="X5712">
        <v>0.98710010000000004</v>
      </c>
      <c r="Y5712">
        <v>4.2851819999999999E-2</v>
      </c>
      <c r="Z5712">
        <v>-1.769786E-3</v>
      </c>
      <c r="AA5712">
        <v>0.99907990000000002</v>
      </c>
      <c r="AB5712">
        <v>35</v>
      </c>
      <c r="AC5712">
        <v>23.231299999999901</v>
      </c>
      <c r="AD5712">
        <v>-1.109742000624</v>
      </c>
      <c r="AE5712">
        <v>-0.67187000000000197</v>
      </c>
      <c r="AF5712">
        <v>1.0025096452873301</v>
      </c>
      <c r="AG5712">
        <v>-1.109742000624</v>
      </c>
      <c r="AH5712">
        <v>23.166463408900299</v>
      </c>
      <c r="AI5712">
        <v>92.739980129886902</v>
      </c>
      <c r="AJ5712">
        <v>87.522118245122897</v>
      </c>
      <c r="AK5712">
        <v>23.2146845718989</v>
      </c>
      <c r="AL5712">
        <v>80.871952639157698</v>
      </c>
      <c r="AM5712">
        <v>91.253111397452699</v>
      </c>
      <c r="AN5712">
        <v>0.99999996280517001</v>
      </c>
    </row>
    <row r="5713" spans="1:40" x14ac:dyDescent="0.25">
      <c r="A5713" t="str">
        <f>"20190304155747872"</f>
        <v>20190304155747872</v>
      </c>
      <c r="B5713" t="str">
        <f>"1551686267860696"</f>
        <v>1551686267860696</v>
      </c>
      <c r="C5713" t="s">
        <v>40</v>
      </c>
      <c r="D5713">
        <v>4.7189909999999999</v>
      </c>
      <c r="E5713">
        <v>0.52336369999999999</v>
      </c>
      <c r="F5713" t="s">
        <v>41</v>
      </c>
      <c r="G5713">
        <v>-320.56830000000002</v>
      </c>
      <c r="H5713" s="1">
        <v>-5.0267179999999997E-6</v>
      </c>
      <c r="I5713">
        <v>16.30245</v>
      </c>
      <c r="J5713">
        <v>-343.66640000000001</v>
      </c>
      <c r="K5713">
        <v>1.1097250000000001</v>
      </c>
      <c r="L5713">
        <v>16.9758</v>
      </c>
      <c r="M5713">
        <v>0.99984070000000003</v>
      </c>
      <c r="N5713">
        <v>-1.057347E-2</v>
      </c>
      <c r="O5713">
        <v>1.439298E-2</v>
      </c>
      <c r="P5713">
        <v>0.98841780000000001</v>
      </c>
      <c r="Q5713">
        <v>0.14750659999999999</v>
      </c>
      <c r="R5713">
        <v>3.5669260000000001E-2</v>
      </c>
      <c r="S5713">
        <v>3.0605159999999998</v>
      </c>
      <c r="T5713">
        <v>-0.14584929999999999</v>
      </c>
      <c r="U5713">
        <v>-8.8134770000000001E-2</v>
      </c>
      <c r="V5713">
        <v>-2.148168E-2</v>
      </c>
      <c r="W5713">
        <v>0.1579479</v>
      </c>
      <c r="X5713">
        <v>0.98721369999999997</v>
      </c>
      <c r="Y5713">
        <v>4.3100640000000003E-2</v>
      </c>
      <c r="Z5713">
        <v>-1.7875629999999901E-3</v>
      </c>
      <c r="AA5713">
        <v>0.99906919999999999</v>
      </c>
      <c r="AB5713">
        <v>35</v>
      </c>
      <c r="AC5713">
        <v>23.098099999999899</v>
      </c>
      <c r="AD5713">
        <v>-1.1097300267179999</v>
      </c>
      <c r="AE5713">
        <v>-0.673349999999999</v>
      </c>
      <c r="AF5713">
        <v>1.0034350482709999</v>
      </c>
      <c r="AG5713">
        <v>-1.1097300267179999</v>
      </c>
      <c r="AH5713">
        <v>23.0328946276057</v>
      </c>
      <c r="AI5713">
        <v>92.755780567082098</v>
      </c>
      <c r="AJ5713">
        <v>87.505469322936705</v>
      </c>
      <c r="AK5713">
        <v>23.081434477837099</v>
      </c>
      <c r="AL5713">
        <v>80.912194481121404</v>
      </c>
      <c r="AM5713">
        <v>91.246554211973404</v>
      </c>
      <c r="AN5713">
        <v>0.99999994557885896</v>
      </c>
    </row>
    <row r="5714" spans="1:40" x14ac:dyDescent="0.25">
      <c r="A5714" t="str">
        <f>"20190304155747883"</f>
        <v>20190304155747883</v>
      </c>
      <c r="B5714" t="str">
        <f>"1551686267880214"</f>
        <v>1551686267880214</v>
      </c>
      <c r="C5714" t="s">
        <v>40</v>
      </c>
      <c r="D5714">
        <v>4.7135629999999997</v>
      </c>
      <c r="E5714">
        <v>0.52331349999999999</v>
      </c>
      <c r="F5714" t="s">
        <v>41</v>
      </c>
      <c r="G5714">
        <v>-320.69760000000002</v>
      </c>
      <c r="H5714" s="1">
        <v>-4.9640530000000002E-6</v>
      </c>
      <c r="I5714">
        <v>16.311129999999999</v>
      </c>
      <c r="J5714">
        <v>-343.49310000000003</v>
      </c>
      <c r="K5714">
        <v>1.1097189999999999</v>
      </c>
      <c r="L5714">
        <v>16.978359999999999</v>
      </c>
      <c r="M5714">
        <v>0.9998397</v>
      </c>
      <c r="N5714">
        <v>-1.059042E-2</v>
      </c>
      <c r="O5714">
        <v>1.444402E-2</v>
      </c>
      <c r="P5714">
        <v>0.98854810000000004</v>
      </c>
      <c r="Q5714">
        <v>0.1466635</v>
      </c>
      <c r="R5714">
        <v>3.5532880000000003E-2</v>
      </c>
      <c r="S5714">
        <v>3.060425</v>
      </c>
      <c r="T5714">
        <v>-0.147864</v>
      </c>
      <c r="U5714">
        <v>-8.8562009999999997E-2</v>
      </c>
      <c r="V5714">
        <v>-2.1290570000000002E-2</v>
      </c>
      <c r="W5714">
        <v>0.15712290000000001</v>
      </c>
      <c r="X5714">
        <v>0.98734960000000005</v>
      </c>
      <c r="Y5714">
        <v>4.3289670000000002E-2</v>
      </c>
      <c r="Z5714">
        <v>-1.818844E-3</v>
      </c>
      <c r="AA5714">
        <v>0.99906090000000003</v>
      </c>
      <c r="AB5714">
        <v>35</v>
      </c>
      <c r="AC5714">
        <v>22.795500000000001</v>
      </c>
      <c r="AD5714">
        <v>-1.1097239640529999</v>
      </c>
      <c r="AE5714">
        <v>-0.66723000000000299</v>
      </c>
      <c r="AF5714">
        <v>0.99408360431215503</v>
      </c>
      <c r="AG5714">
        <v>-1.1097239640529999</v>
      </c>
      <c r="AH5714">
        <v>22.729662554994601</v>
      </c>
      <c r="AI5714">
        <v>92.792451243304001</v>
      </c>
      <c r="AJ5714">
        <v>87.495760368081406</v>
      </c>
      <c r="AK5714">
        <v>22.778438255347499</v>
      </c>
      <c r="AL5714">
        <v>80.960062272285796</v>
      </c>
      <c r="AM5714">
        <v>91.235297798996001</v>
      </c>
      <c r="AN5714">
        <v>1.0000000633477399</v>
      </c>
    </row>
    <row r="5715" spans="1:40" x14ac:dyDescent="0.25">
      <c r="A5715" t="str">
        <f>"20190304155747902"</f>
        <v>20190304155747902</v>
      </c>
      <c r="B5715" t="str">
        <f>"1551686267889974"</f>
        <v>1551686267889974</v>
      </c>
      <c r="C5715" t="s">
        <v>40</v>
      </c>
      <c r="D5715">
        <v>4.8425079999999996</v>
      </c>
      <c r="E5715">
        <v>0.52326349999999999</v>
      </c>
      <c r="F5715" t="s">
        <v>41</v>
      </c>
      <c r="G5715">
        <v>-320.8476</v>
      </c>
      <c r="H5715" s="1">
        <v>-4.8914280000000002E-6</v>
      </c>
      <c r="I5715">
        <v>16.320979999999999</v>
      </c>
      <c r="J5715">
        <v>-343.2</v>
      </c>
      <c r="K5715">
        <v>1.1097060000000001</v>
      </c>
      <c r="L5715">
        <v>16.982700000000001</v>
      </c>
      <c r="M5715">
        <v>0.99983809999999995</v>
      </c>
      <c r="N5715">
        <v>-1.062112E-2</v>
      </c>
      <c r="O5715">
        <v>1.4525400000000001E-2</v>
      </c>
      <c r="P5715">
        <v>0.98880000000000001</v>
      </c>
      <c r="Q5715">
        <v>0.14492859999999999</v>
      </c>
      <c r="R5715">
        <v>3.5642939999999998E-2</v>
      </c>
      <c r="S5715">
        <v>3.0602420000000001</v>
      </c>
      <c r="T5715">
        <v>-0.149964299999999</v>
      </c>
      <c r="U5715">
        <v>-8.8836670000000006E-2</v>
      </c>
      <c r="V5715">
        <v>-2.1312390000000001E-2</v>
      </c>
      <c r="W5715">
        <v>0.1554217</v>
      </c>
      <c r="X5715">
        <v>0.98761829999999995</v>
      </c>
      <c r="Y5715">
        <v>4.3459999999999999E-2</v>
      </c>
      <c r="Z5715">
        <v>-1.8520920000000001E-3</v>
      </c>
      <c r="AA5715">
        <v>0.99905350000000004</v>
      </c>
      <c r="AB5715">
        <v>35</v>
      </c>
      <c r="AC5715">
        <v>22.3523999999999</v>
      </c>
      <c r="AD5715">
        <v>-1.1097108914279901</v>
      </c>
      <c r="AE5715">
        <v>-0.66172000000000197</v>
      </c>
      <c r="AF5715">
        <v>0.98392305087444398</v>
      </c>
      <c r="AG5715">
        <v>-1.1097108914279901</v>
      </c>
      <c r="AH5715">
        <v>22.285549262891099</v>
      </c>
      <c r="AI5715">
        <v>92.847924020340301</v>
      </c>
      <c r="AJ5715">
        <v>87.471991818616203</v>
      </c>
      <c r="AK5715">
        <v>22.334844274839799</v>
      </c>
      <c r="AL5715">
        <v>81.058745850715098</v>
      </c>
      <c r="AM5715">
        <v>91.236227096151396</v>
      </c>
      <c r="AN5715">
        <v>1.0000000146466399</v>
      </c>
    </row>
    <row r="5716" spans="1:40" x14ac:dyDescent="0.25">
      <c r="A5716" t="str">
        <f>"20190304155747916"</f>
        <v>20190304155747916</v>
      </c>
      <c r="B5716" t="str">
        <f>"1551686267910471"</f>
        <v>1551686267910471</v>
      </c>
      <c r="C5716" t="s">
        <v>40</v>
      </c>
      <c r="D5716">
        <v>4.8769450000000001</v>
      </c>
      <c r="E5716">
        <v>0.558411199999999</v>
      </c>
      <c r="F5716" t="s">
        <v>41</v>
      </c>
      <c r="G5716">
        <v>-321.24669999999998</v>
      </c>
      <c r="H5716" s="1">
        <v>-4.6986659999999999E-6</v>
      </c>
      <c r="I5716">
        <v>16.344010000000001</v>
      </c>
      <c r="J5716">
        <v>-342.9846</v>
      </c>
      <c r="K5716">
        <v>1.1097030000000001</v>
      </c>
      <c r="L5716">
        <v>16.98584</v>
      </c>
      <c r="M5716">
        <v>0.99983710000000003</v>
      </c>
      <c r="N5716">
        <v>-1.064618E-2</v>
      </c>
      <c r="O5716">
        <v>1.458044E-2</v>
      </c>
      <c r="P5716">
        <v>0.98894459999999995</v>
      </c>
      <c r="Q5716">
        <v>0.14398369999999999</v>
      </c>
      <c r="R5716">
        <v>3.546009E-2</v>
      </c>
      <c r="S5716">
        <v>3.0598450000000001</v>
      </c>
      <c r="T5716">
        <v>-0.15467139999999999</v>
      </c>
      <c r="U5716">
        <v>-8.9019780000000007E-2</v>
      </c>
      <c r="V5716">
        <v>-2.107057E-2</v>
      </c>
      <c r="W5716">
        <v>0.154504</v>
      </c>
      <c r="X5716">
        <v>0.98776750000000002</v>
      </c>
      <c r="Y5716">
        <v>4.35737E-2</v>
      </c>
      <c r="Z5716">
        <v>-1.913847E-3</v>
      </c>
      <c r="AA5716">
        <v>0.99904839999999995</v>
      </c>
      <c r="AB5716">
        <v>35</v>
      </c>
      <c r="AC5716">
        <v>21.7379</v>
      </c>
      <c r="AD5716">
        <v>-1.1097076986659999</v>
      </c>
      <c r="AE5716">
        <v>-0.64182999999999801</v>
      </c>
      <c r="AF5716">
        <v>0.95623802114649303</v>
      </c>
      <c r="AG5716">
        <v>-1.1097076986659999</v>
      </c>
      <c r="AH5716">
        <v>21.669806981932599</v>
      </c>
      <c r="AI5716">
        <v>92.928702701709199</v>
      </c>
      <c r="AJ5716">
        <v>87.473310117535306</v>
      </c>
      <c r="AK5716">
        <v>21.719262808939401</v>
      </c>
      <c r="AL5716">
        <v>81.111969377380504</v>
      </c>
      <c r="AM5716">
        <v>91.222020029250899</v>
      </c>
      <c r="AN5716">
        <v>1.0000000444961801</v>
      </c>
    </row>
    <row r="5717" spans="1:40" x14ac:dyDescent="0.25">
      <c r="A5717" t="str">
        <f>"20190304155747929"</f>
        <v>20190304155747929</v>
      </c>
      <c r="B5717" t="str">
        <f>"1551686267920230"</f>
        <v>1551686267920230</v>
      </c>
      <c r="C5717" t="s">
        <v>40</v>
      </c>
      <c r="D5717">
        <v>4.7384649999999997</v>
      </c>
      <c r="E5717">
        <v>0.56050480000000003</v>
      </c>
      <c r="F5717" t="s">
        <v>44</v>
      </c>
      <c r="G5717">
        <v>-292.02229999999997</v>
      </c>
      <c r="H5717">
        <v>-0.05</v>
      </c>
      <c r="I5717">
        <v>10.84137</v>
      </c>
      <c r="J5717">
        <v>-342.7792</v>
      </c>
      <c r="K5717">
        <v>1.109701</v>
      </c>
      <c r="L5717">
        <v>16.988889999999898</v>
      </c>
      <c r="M5717">
        <v>0.99983610000000001</v>
      </c>
      <c r="N5717">
        <v>-1.0672020000000001E-2</v>
      </c>
      <c r="O5717">
        <v>1.462975E-2</v>
      </c>
      <c r="P5717">
        <v>0.98901870000000003</v>
      </c>
      <c r="Q5717">
        <v>0.1434754</v>
      </c>
      <c r="R5717">
        <v>3.545645E-2</v>
      </c>
      <c r="S5717">
        <v>3.056854</v>
      </c>
      <c r="T5717">
        <v>-6.9561960000000006E-2</v>
      </c>
      <c r="U5717">
        <v>-0.36856080000000002</v>
      </c>
      <c r="V5717">
        <v>-2.101424E-2</v>
      </c>
      <c r="W5717">
        <v>0.1540221</v>
      </c>
      <c r="X5717">
        <v>0.9878439</v>
      </c>
      <c r="Y5717">
        <v>0.1341628</v>
      </c>
      <c r="Z5717">
        <v>-2.4156440000000002E-3</v>
      </c>
      <c r="AA5717">
        <v>0.99095639999999996</v>
      </c>
      <c r="AB5717">
        <v>35</v>
      </c>
      <c r="AC5717">
        <v>50.756900000000002</v>
      </c>
      <c r="AD5717">
        <v>-1.1597010000000001</v>
      </c>
      <c r="AE5717">
        <v>-6.1475199999999903</v>
      </c>
      <c r="AF5717">
        <v>6.8859222649178102</v>
      </c>
      <c r="AG5717">
        <v>-1.1597010000000001</v>
      </c>
      <c r="AH5717">
        <v>50.635474085908797</v>
      </c>
      <c r="AI5717">
        <v>91.300050296557998</v>
      </c>
      <c r="AJ5717">
        <v>82.255847403237595</v>
      </c>
      <c r="AK5717">
        <v>51.114695223121799</v>
      </c>
      <c r="AL5717">
        <v>81.139914220504195</v>
      </c>
      <c r="AM5717">
        <v>91.218659840976798</v>
      </c>
      <c r="AN5717">
        <v>0.999999988169198</v>
      </c>
    </row>
    <row r="5718" spans="1:40" x14ac:dyDescent="0.25">
      <c r="A5718" t="str">
        <f>"20190304155747947"</f>
        <v>20190304155747947</v>
      </c>
      <c r="B5718" t="str">
        <f>"1551686267940726"</f>
        <v>1551686267940726</v>
      </c>
      <c r="C5718" t="s">
        <v>40</v>
      </c>
      <c r="D5718">
        <v>4.7041500000000003</v>
      </c>
      <c r="E5718">
        <v>0.5607607</v>
      </c>
      <c r="F5718" t="s">
        <v>44</v>
      </c>
      <c r="G5718">
        <v>-305.7373</v>
      </c>
      <c r="H5718">
        <v>-0.05</v>
      </c>
      <c r="I5718">
        <v>12.31813</v>
      </c>
      <c r="J5718">
        <v>-342.50420000000003</v>
      </c>
      <c r="K5718">
        <v>1.1096969999999999</v>
      </c>
      <c r="L5718">
        <v>16.992979999999999</v>
      </c>
      <c r="M5718">
        <v>0.99983480000000002</v>
      </c>
      <c r="N5718">
        <v>-1.07157E-2</v>
      </c>
      <c r="O5718">
        <v>1.468764E-2</v>
      </c>
      <c r="P5718">
        <v>0.98901119999999998</v>
      </c>
      <c r="Q5718">
        <v>0.14364759999999999</v>
      </c>
      <c r="R5718">
        <v>3.496436E-2</v>
      </c>
      <c r="S5718">
        <v>3.061096</v>
      </c>
      <c r="T5718">
        <v>-9.5836160000000004E-2</v>
      </c>
      <c r="U5718">
        <v>-0.3859863</v>
      </c>
      <c r="V5718">
        <v>-2.0461480000000001E-2</v>
      </c>
      <c r="W5718">
        <v>0.15423789999999901</v>
      </c>
      <c r="X5718">
        <v>0.98782190000000003</v>
      </c>
      <c r="Y5718">
        <v>0.13956939999999901</v>
      </c>
      <c r="Z5718">
        <v>-3.227958E-3</v>
      </c>
      <c r="AA5718">
        <v>0.99020699999999995</v>
      </c>
      <c r="AB5718">
        <v>35</v>
      </c>
      <c r="AC5718">
        <v>36.7669</v>
      </c>
      <c r="AD5718">
        <v>-1.159697</v>
      </c>
      <c r="AE5718">
        <v>-4.6748499999999904</v>
      </c>
      <c r="AF5718">
        <v>5.20929539726803</v>
      </c>
      <c r="AG5718">
        <v>-1.159697</v>
      </c>
      <c r="AH5718">
        <v>36.658376265111798</v>
      </c>
      <c r="AI5718">
        <v>91.793951572753002</v>
      </c>
      <c r="AJ5718">
        <v>81.912200930075798</v>
      </c>
      <c r="AK5718">
        <v>37.044813483972597</v>
      </c>
      <c r="AL5718">
        <v>81.1274008456231</v>
      </c>
      <c r="AM5718">
        <v>91.186639838418998</v>
      </c>
      <c r="AN5718">
        <v>1.0000000540399001</v>
      </c>
    </row>
    <row r="5719" spans="1:40" x14ac:dyDescent="0.25">
      <c r="A5719" t="str">
        <f>"20190304155747958"</f>
        <v>20190304155747958</v>
      </c>
      <c r="B5719" t="str">
        <f>"1551686267950485"</f>
        <v>1551686267950485</v>
      </c>
      <c r="C5719" t="s">
        <v>40</v>
      </c>
      <c r="D5719">
        <v>4.705902</v>
      </c>
      <c r="E5719">
        <v>0.561222</v>
      </c>
      <c r="F5719" t="s">
        <v>44</v>
      </c>
      <c r="G5719">
        <v>-312.76139999999998</v>
      </c>
      <c r="H5719">
        <v>-0.05</v>
      </c>
      <c r="I5719">
        <v>13.20856</v>
      </c>
      <c r="J5719">
        <v>-342.33679999999998</v>
      </c>
      <c r="K5719">
        <v>1.109696</v>
      </c>
      <c r="L5719">
        <v>16.995480000000001</v>
      </c>
      <c r="M5719">
        <v>0.99983390000000005</v>
      </c>
      <c r="N5719">
        <v>-1.0747980000000001E-2</v>
      </c>
      <c r="O5719">
        <v>1.4718139999999999E-2</v>
      </c>
      <c r="P5719">
        <v>0.98897420000000003</v>
      </c>
      <c r="Q5719">
        <v>0.14390720000000001</v>
      </c>
      <c r="R5719">
        <v>3.4940609999999997E-2</v>
      </c>
      <c r="S5719">
        <v>3.064514</v>
      </c>
      <c r="T5719">
        <v>-0.11948780000000001</v>
      </c>
      <c r="U5719">
        <v>-0.38992310000000002</v>
      </c>
      <c r="V5719">
        <v>-2.040637E-2</v>
      </c>
      <c r="W5719">
        <v>0.15452949999999999</v>
      </c>
      <c r="X5719">
        <v>0.98777740000000003</v>
      </c>
      <c r="Y5719">
        <v>0.14066770000000001</v>
      </c>
      <c r="Z5719">
        <v>-3.9036880000000002E-3</v>
      </c>
      <c r="AA5719">
        <v>0.99004919999999996</v>
      </c>
      <c r="AB5719">
        <v>35</v>
      </c>
      <c r="AC5719">
        <v>29.575399999999998</v>
      </c>
      <c r="AD5719">
        <v>-1.1596959999999901</v>
      </c>
      <c r="AE5719">
        <v>-3.7869199999999998</v>
      </c>
      <c r="AF5719">
        <v>4.2154529029543903</v>
      </c>
      <c r="AG5719">
        <v>-1.1596959999999901</v>
      </c>
      <c r="AH5719">
        <v>29.471873143548599</v>
      </c>
      <c r="AI5719">
        <v>92.230703640716101</v>
      </c>
      <c r="AJ5719">
        <v>81.860018825711293</v>
      </c>
      <c r="AK5719">
        <v>29.794399550567601</v>
      </c>
      <c r="AL5719">
        <v>81.110490078724894</v>
      </c>
      <c r="AM5719">
        <v>91.183498007724495</v>
      </c>
      <c r="AN5719">
        <v>0.99999998912879295</v>
      </c>
    </row>
    <row r="5720" spans="1:40" x14ac:dyDescent="0.25">
      <c r="A5720" t="str">
        <f>"20190304155747970"</f>
        <v>20190304155747970</v>
      </c>
      <c r="B5720" t="str">
        <f>"1551686267960246"</f>
        <v>1551686267960246</v>
      </c>
      <c r="C5720" t="s">
        <v>40</v>
      </c>
      <c r="D5720">
        <v>4.6521169999999996</v>
      </c>
      <c r="E5720">
        <v>0.5627877</v>
      </c>
      <c r="F5720" t="s">
        <v>44</v>
      </c>
      <c r="G5720">
        <v>-313.3528</v>
      </c>
      <c r="H5720">
        <v>-0.05</v>
      </c>
      <c r="I5720">
        <v>13.271789999999999</v>
      </c>
      <c r="J5720">
        <v>-342.1474</v>
      </c>
      <c r="K5720">
        <v>1.1096969999999999</v>
      </c>
      <c r="L5720">
        <v>16.998290000000001</v>
      </c>
      <c r="M5720">
        <v>0.99983310000000003</v>
      </c>
      <c r="N5720">
        <v>-1.0786759999999999E-2</v>
      </c>
      <c r="O5720">
        <v>1.4750320000000001E-2</v>
      </c>
      <c r="P5720">
        <v>0.98895560000000005</v>
      </c>
      <c r="Q5720">
        <v>0.14404979999999901</v>
      </c>
      <c r="R5720">
        <v>3.4883480000000001E-2</v>
      </c>
      <c r="S5720">
        <v>3.0652159999999999</v>
      </c>
      <c r="T5720">
        <v>-0.1226443</v>
      </c>
      <c r="U5720">
        <v>-0.3937988</v>
      </c>
      <c r="V5720">
        <v>-2.031488E-2</v>
      </c>
      <c r="W5720">
        <v>0.1547104</v>
      </c>
      <c r="X5720">
        <v>0.98775100000000005</v>
      </c>
      <c r="Y5720">
        <v>0.14189470000000001</v>
      </c>
      <c r="Z5720">
        <v>-4.0240919999999999E-3</v>
      </c>
      <c r="AA5720">
        <v>0.98987360000000002</v>
      </c>
      <c r="AB5720">
        <v>35</v>
      </c>
      <c r="AC5720">
        <v>28.794599999999999</v>
      </c>
      <c r="AD5720">
        <v>-1.159697</v>
      </c>
      <c r="AE5720">
        <v>-3.7265000000000001</v>
      </c>
      <c r="AF5720">
        <v>4.14423731404107</v>
      </c>
      <c r="AG5720">
        <v>-1.159697</v>
      </c>
      <c r="AH5720">
        <v>28.690725283146602</v>
      </c>
      <c r="AI5720">
        <v>92.290920826997507</v>
      </c>
      <c r="AJ5720">
        <v>81.780748810563196</v>
      </c>
      <c r="AK5720">
        <v>29.0116755345135</v>
      </c>
      <c r="AL5720">
        <v>81.099999385876998</v>
      </c>
      <c r="AM5720">
        <v>91.178224888259393</v>
      </c>
      <c r="AN5720">
        <v>1.00000002010928</v>
      </c>
    </row>
    <row r="5721" spans="1:40" x14ac:dyDescent="0.25">
      <c r="A5721" t="str">
        <f>"20190304155747980"</f>
        <v>20190304155747980</v>
      </c>
      <c r="B5721" t="str">
        <f>"1551686267970006"</f>
        <v>1551686267970006</v>
      </c>
      <c r="C5721" t="s">
        <v>40</v>
      </c>
      <c r="D5721">
        <v>4.6596080000000004</v>
      </c>
      <c r="E5721">
        <v>0.5635983</v>
      </c>
      <c r="F5721" t="s">
        <v>44</v>
      </c>
      <c r="G5721">
        <v>-313.11070000000001</v>
      </c>
      <c r="H5721">
        <v>-0.05</v>
      </c>
      <c r="I5721">
        <v>13.14934</v>
      </c>
      <c r="J5721">
        <v>-341.97519999999997</v>
      </c>
      <c r="K5721">
        <v>1.1097030000000001</v>
      </c>
      <c r="L5721">
        <v>17.00085</v>
      </c>
      <c r="M5721">
        <v>0.99983230000000001</v>
      </c>
      <c r="N5721">
        <v>-1.082985E-2</v>
      </c>
      <c r="O5721">
        <v>1.477361E-2</v>
      </c>
      <c r="P5721">
        <v>0.98895379999999999</v>
      </c>
      <c r="Q5721">
        <v>0.14408840000000001</v>
      </c>
      <c r="R5721">
        <v>3.4771379999999998E-2</v>
      </c>
      <c r="S5721">
        <v>3.065674</v>
      </c>
      <c r="T5721">
        <v>-0.1224401</v>
      </c>
      <c r="U5721">
        <v>-0.40637210000000001</v>
      </c>
      <c r="V5721">
        <v>-2.0177090000000002E-2</v>
      </c>
      <c r="W5721">
        <v>0.15479189999999901</v>
      </c>
      <c r="X5721">
        <v>0.98774110000000004</v>
      </c>
      <c r="Y5721">
        <v>0.14588619999999999</v>
      </c>
      <c r="Z5721">
        <v>-4.121418E-3</v>
      </c>
      <c r="AA5721">
        <v>0.98929279999999997</v>
      </c>
      <c r="AB5721">
        <v>35</v>
      </c>
      <c r="AC5721">
        <v>28.8644999999999</v>
      </c>
      <c r="AD5721">
        <v>-1.1597029999999999</v>
      </c>
      <c r="AE5721">
        <v>-3.8515100000000002</v>
      </c>
      <c r="AF5721">
        <v>4.2707740374622798</v>
      </c>
      <c r="AG5721">
        <v>-1.1597029999999999</v>
      </c>
      <c r="AH5721">
        <v>28.758834157608501</v>
      </c>
      <c r="AI5721">
        <v>92.284184761940494</v>
      </c>
      <c r="AJ5721">
        <v>81.553135407123094</v>
      </c>
      <c r="AK5721">
        <v>29.0973360298172</v>
      </c>
      <c r="AL5721">
        <v>81.095273235081606</v>
      </c>
      <c r="AM5721">
        <v>91.170247282786903</v>
      </c>
      <c r="AN5721">
        <v>1.0000000639478399</v>
      </c>
    </row>
    <row r="5722" spans="1:40" x14ac:dyDescent="0.25">
      <c r="A5722" t="str">
        <f>"20190304155747993"</f>
        <v>20190304155747993</v>
      </c>
      <c r="B5722" t="str">
        <f>"1551686267990501"</f>
        <v>1551686267990501</v>
      </c>
      <c r="C5722" t="s">
        <v>40</v>
      </c>
      <c r="D5722">
        <v>4.6422840000000001</v>
      </c>
      <c r="E5722">
        <v>0.56528210000000001</v>
      </c>
      <c r="F5722" t="s">
        <v>44</v>
      </c>
      <c r="G5722">
        <v>-313.32760000000002</v>
      </c>
      <c r="H5722">
        <v>-0.05</v>
      </c>
      <c r="I5722">
        <v>13.139849999999999</v>
      </c>
      <c r="J5722">
        <v>-341.79050000000001</v>
      </c>
      <c r="K5722">
        <v>1.109704</v>
      </c>
      <c r="L5722">
        <v>17.003599999999999</v>
      </c>
      <c r="M5722">
        <v>0.99983140000000004</v>
      </c>
      <c r="N5722">
        <v>-1.087689E-2</v>
      </c>
      <c r="O5722">
        <v>1.479686E-2</v>
      </c>
      <c r="P5722">
        <v>0.98896980000000001</v>
      </c>
      <c r="Q5722">
        <v>0.143986</v>
      </c>
      <c r="R5722">
        <v>3.4742729999999999E-2</v>
      </c>
      <c r="S5722">
        <v>3.0661010000000002</v>
      </c>
      <c r="T5722">
        <v>-0.1241211</v>
      </c>
      <c r="U5722">
        <v>-0.41323850000000001</v>
      </c>
      <c r="V5722">
        <v>-2.0122629999999999E-2</v>
      </c>
      <c r="W5722">
        <v>0.15473680000000001</v>
      </c>
      <c r="X5722">
        <v>0.98775080000000004</v>
      </c>
      <c r="Y5722">
        <v>0.14806140000000001</v>
      </c>
      <c r="Z5722">
        <v>-4.2275389999999998E-3</v>
      </c>
      <c r="AA5722">
        <v>0.98896910000000005</v>
      </c>
      <c r="AB5722">
        <v>35</v>
      </c>
      <c r="AC5722">
        <v>28.462899999999902</v>
      </c>
      <c r="AD5722">
        <v>-1.1597040000000001</v>
      </c>
      <c r="AE5722">
        <v>-3.86375</v>
      </c>
      <c r="AF5722">
        <v>4.2775407059748698</v>
      </c>
      <c r="AG5722">
        <v>-1.1597040000000001</v>
      </c>
      <c r="AH5722">
        <v>28.3563859101593</v>
      </c>
      <c r="AI5722">
        <v>92.315775296091601</v>
      </c>
      <c r="AJ5722">
        <v>81.4216503226546</v>
      </c>
      <c r="AK5722">
        <v>28.7006426712848</v>
      </c>
      <c r="AL5722">
        <v>81.098468341037204</v>
      </c>
      <c r="AM5722">
        <v>91.167078084229104</v>
      </c>
      <c r="AN5722">
        <v>1.00000002020649</v>
      </c>
    </row>
    <row r="5723" spans="1:40" x14ac:dyDescent="0.25">
      <c r="A5723" t="str">
        <f>"20190304155748004"</f>
        <v>20190304155748004</v>
      </c>
      <c r="B5723" t="str">
        <f>"1551686268000263"</f>
        <v>1551686268000263</v>
      </c>
      <c r="C5723" t="s">
        <v>40</v>
      </c>
      <c r="D5723">
        <v>4.6803809999999997</v>
      </c>
      <c r="E5723">
        <v>0.56554589999999905</v>
      </c>
      <c r="F5723" t="s">
        <v>44</v>
      </c>
      <c r="G5723">
        <v>-313.50369999999998</v>
      </c>
      <c r="H5723">
        <v>-0.05</v>
      </c>
      <c r="I5723">
        <v>13.070080000000001</v>
      </c>
      <c r="J5723">
        <v>-341.61270000000002</v>
      </c>
      <c r="K5723">
        <v>1.1097060000000001</v>
      </c>
      <c r="L5723">
        <v>17.006260000000001</v>
      </c>
      <c r="M5723">
        <v>0.99983069999999996</v>
      </c>
      <c r="N5723">
        <v>-1.092429E-2</v>
      </c>
      <c r="O5723">
        <v>1.481475E-2</v>
      </c>
      <c r="P5723">
        <v>0.9889945</v>
      </c>
      <c r="Q5723">
        <v>0.14387329999999901</v>
      </c>
      <c r="R5723">
        <v>3.4505689999999999E-2</v>
      </c>
      <c r="S5723">
        <v>3.0667110000000002</v>
      </c>
      <c r="T5723">
        <v>-0.12572920000000001</v>
      </c>
      <c r="U5723">
        <v>-0.42645260000000001</v>
      </c>
      <c r="V5723">
        <v>-1.98652E-2</v>
      </c>
      <c r="W5723">
        <v>0.15467129999999901</v>
      </c>
      <c r="X5723">
        <v>0.98776629999999999</v>
      </c>
      <c r="Y5723">
        <v>0.15222649999999999</v>
      </c>
      <c r="Z5723">
        <v>-4.3835660000000002E-3</v>
      </c>
      <c r="AA5723">
        <v>0.98833590000000004</v>
      </c>
      <c r="AB5723">
        <v>35</v>
      </c>
      <c r="AC5723">
        <v>28.109000000000002</v>
      </c>
      <c r="AD5723">
        <v>-1.1597059999999999</v>
      </c>
      <c r="AE5723">
        <v>-3.9361799999999998</v>
      </c>
      <c r="AF5723">
        <v>4.3449469457102401</v>
      </c>
      <c r="AG5723">
        <v>-1.1597059999999999</v>
      </c>
      <c r="AH5723">
        <v>28.000852037811999</v>
      </c>
      <c r="AI5723">
        <v>92.343637250613995</v>
      </c>
      <c r="AJ5723">
        <v>81.179646130135495</v>
      </c>
      <c r="AK5723">
        <v>28.359675541354701</v>
      </c>
      <c r="AL5723">
        <v>81.102267216542401</v>
      </c>
      <c r="AM5723">
        <v>91.152133561025806</v>
      </c>
      <c r="AN5723">
        <v>1.0000000503152</v>
      </c>
    </row>
    <row r="5724" spans="1:40" x14ac:dyDescent="0.25">
      <c r="A5724" t="str">
        <f>"20190304155748015"</f>
        <v>20190304155748015</v>
      </c>
      <c r="B5724" t="str">
        <f>"1551686268010022"</f>
        <v>1551686268010022</v>
      </c>
      <c r="C5724" t="s">
        <v>40</v>
      </c>
      <c r="D5724">
        <v>4.6870760000000002</v>
      </c>
      <c r="E5724">
        <v>0.56609350000000003</v>
      </c>
      <c r="F5724" t="s">
        <v>44</v>
      </c>
      <c r="G5724">
        <v>-313.58069999999998</v>
      </c>
      <c r="H5724">
        <v>-0.05</v>
      </c>
      <c r="I5724">
        <v>13.084239999999999</v>
      </c>
      <c r="J5724">
        <v>-341.44130000000001</v>
      </c>
      <c r="K5724">
        <v>1.109707</v>
      </c>
      <c r="L5724">
        <v>17.00882</v>
      </c>
      <c r="M5724">
        <v>0.99982979999999999</v>
      </c>
      <c r="N5724">
        <v>-1.097179E-2</v>
      </c>
      <c r="O5724">
        <v>1.4829119999999999E-2</v>
      </c>
      <c r="P5724">
        <v>0.98897330000000006</v>
      </c>
      <c r="Q5724">
        <v>0.14404589999999901</v>
      </c>
      <c r="R5724">
        <v>3.439387E-2</v>
      </c>
      <c r="S5724">
        <v>3.0667719999999998</v>
      </c>
      <c r="T5724">
        <v>-0.1268744</v>
      </c>
      <c r="U5724">
        <v>-0.42907709999999999</v>
      </c>
      <c r="V5724">
        <v>-1.9737350000000001E-2</v>
      </c>
      <c r="W5724">
        <v>0.1548908</v>
      </c>
      <c r="X5724">
        <v>0.98773440000000001</v>
      </c>
      <c r="Y5724">
        <v>0.1530639</v>
      </c>
      <c r="Z5724">
        <v>-4.4423129999999998E-3</v>
      </c>
      <c r="AA5724">
        <v>0.98820629999999998</v>
      </c>
      <c r="AB5724">
        <v>35</v>
      </c>
      <c r="AC5724">
        <v>27.860600000000002</v>
      </c>
      <c r="AD5724">
        <v>-1.159707</v>
      </c>
      <c r="AE5724">
        <v>-3.9245800000000002</v>
      </c>
      <c r="AF5724">
        <v>4.3299650560314404</v>
      </c>
      <c r="AG5724">
        <v>-1.159707</v>
      </c>
      <c r="AH5724">
        <v>27.752184812869899</v>
      </c>
      <c r="AI5724">
        <v>92.364310019248805</v>
      </c>
      <c r="AJ5724">
        <v>81.132065833604898</v>
      </c>
      <c r="AK5724">
        <v>28.111870795092699</v>
      </c>
      <c r="AL5724">
        <v>81.089536787398202</v>
      </c>
      <c r="AM5724">
        <v>91.144757509845107</v>
      </c>
      <c r="AN5724">
        <v>0.99999998392651102</v>
      </c>
    </row>
    <row r="5725" spans="1:40" x14ac:dyDescent="0.25">
      <c r="A5725" t="str">
        <f>"20190304155748027"</f>
        <v>20190304155748027</v>
      </c>
      <c r="B5725" t="str">
        <f>"1551686268021734"</f>
        <v>1551686268021734</v>
      </c>
      <c r="C5725" t="s">
        <v>40</v>
      </c>
      <c r="D5725">
        <v>4.6608179999999999</v>
      </c>
      <c r="E5725">
        <v>0.56576719999999903</v>
      </c>
      <c r="F5725" t="s">
        <v>44</v>
      </c>
      <c r="G5725">
        <v>-313.2491</v>
      </c>
      <c r="H5725">
        <v>-0.05</v>
      </c>
      <c r="I5725">
        <v>13.02275</v>
      </c>
      <c r="J5725">
        <v>-341.25830000000002</v>
      </c>
      <c r="K5725">
        <v>1.109712</v>
      </c>
      <c r="L5725">
        <v>17.011569999999999</v>
      </c>
      <c r="M5725">
        <v>0.99982910000000003</v>
      </c>
      <c r="N5725">
        <v>-1.1024269999999999E-2</v>
      </c>
      <c r="O5725">
        <v>1.484126E-2</v>
      </c>
      <c r="P5725">
        <v>0.98901320000000004</v>
      </c>
      <c r="Q5725">
        <v>0.14387469999999999</v>
      </c>
      <c r="R5725">
        <v>3.3957000000000001E-2</v>
      </c>
      <c r="S5725">
        <v>3.0668950000000001</v>
      </c>
      <c r="T5725">
        <v>-0.12615899999999999</v>
      </c>
      <c r="U5725">
        <v>-0.43362430000000002</v>
      </c>
      <c r="V5725">
        <v>-1.9285090000000001E-2</v>
      </c>
      <c r="W5725">
        <v>0.1547721</v>
      </c>
      <c r="X5725">
        <v>0.98776200000000003</v>
      </c>
      <c r="Y5725">
        <v>0.15450720000000001</v>
      </c>
      <c r="Z5725">
        <v>-4.4618490000000004E-3</v>
      </c>
      <c r="AA5725">
        <v>0.98798160000000002</v>
      </c>
      <c r="AB5725">
        <v>35</v>
      </c>
      <c r="AC5725">
        <v>28.0092</v>
      </c>
      <c r="AD5725">
        <v>-1.1597120000000001</v>
      </c>
      <c r="AE5725">
        <v>-3.98882</v>
      </c>
      <c r="AF5725">
        <v>4.3967100435146396</v>
      </c>
      <c r="AG5725">
        <v>-1.1597120000000001</v>
      </c>
      <c r="AH5725">
        <v>27.9000324546436</v>
      </c>
      <c r="AI5725">
        <v>92.351242556567698</v>
      </c>
      <c r="AJ5725">
        <v>81.044521970970905</v>
      </c>
      <c r="AK5725">
        <v>28.268141115040699</v>
      </c>
      <c r="AL5725">
        <v>81.096421343170604</v>
      </c>
      <c r="AM5725">
        <v>91.118502127396397</v>
      </c>
      <c r="AN5725">
        <v>1.0000000431393501</v>
      </c>
    </row>
    <row r="5726" spans="1:40" x14ac:dyDescent="0.25">
      <c r="A5726" t="str">
        <f>"20190304155748038"</f>
        <v>20190304155748038</v>
      </c>
      <c r="B5726" t="str">
        <f>"1551686268030518"</f>
        <v>1551686268030518</v>
      </c>
      <c r="C5726" t="s">
        <v>40</v>
      </c>
      <c r="D5726">
        <v>4.6894229999999997</v>
      </c>
      <c r="E5726">
        <v>0.56533279999999997</v>
      </c>
      <c r="F5726" t="s">
        <v>44</v>
      </c>
      <c r="G5726">
        <v>-313.65449999999998</v>
      </c>
      <c r="H5726">
        <v>-0.05</v>
      </c>
      <c r="I5726">
        <v>13.119160000000001</v>
      </c>
      <c r="J5726">
        <v>-341.08670000000001</v>
      </c>
      <c r="K5726">
        <v>1.109712</v>
      </c>
      <c r="L5726">
        <v>17.014129999999899</v>
      </c>
      <c r="M5726">
        <v>0.9998283</v>
      </c>
      <c r="N5726">
        <v>-1.107608E-2</v>
      </c>
      <c r="O5726">
        <v>1.484894E-2</v>
      </c>
      <c r="P5726">
        <v>0.98903430000000003</v>
      </c>
      <c r="Q5726">
        <v>0.1438536</v>
      </c>
      <c r="R5726">
        <v>3.3428939999999997E-2</v>
      </c>
      <c r="S5726">
        <v>3.0668950000000001</v>
      </c>
      <c r="T5726">
        <v>-0.12884889999999999</v>
      </c>
      <c r="U5726">
        <v>-0.43246459999999998</v>
      </c>
      <c r="V5726">
        <v>-1.874663E-2</v>
      </c>
      <c r="W5726">
        <v>0.15480269999999999</v>
      </c>
      <c r="X5726">
        <v>0.98776750000000002</v>
      </c>
      <c r="Y5726">
        <v>0.1541421</v>
      </c>
      <c r="Z5726">
        <v>-4.5360540000000003E-3</v>
      </c>
      <c r="AA5726">
        <v>0.98803830000000004</v>
      </c>
      <c r="AB5726">
        <v>35</v>
      </c>
      <c r="AC5726">
        <v>27.432200000000002</v>
      </c>
      <c r="AD5726">
        <v>-1.1597120000000001</v>
      </c>
      <c r="AE5726">
        <v>-3.8949699999999901</v>
      </c>
      <c r="AF5726">
        <v>4.2943812891574602</v>
      </c>
      <c r="AG5726">
        <v>-1.1597120000000001</v>
      </c>
      <c r="AH5726">
        <v>27.323467308269901</v>
      </c>
      <c r="AI5726">
        <v>92.400954346163005</v>
      </c>
      <c r="AJ5726">
        <v>81.067990577878703</v>
      </c>
      <c r="AK5726">
        <v>27.683180964724801</v>
      </c>
      <c r="AL5726">
        <v>81.094646074938197</v>
      </c>
      <c r="AM5726">
        <v>91.087273923290098</v>
      </c>
      <c r="AN5726">
        <v>0.99999997305994803</v>
      </c>
    </row>
    <row r="5727" spans="1:40" x14ac:dyDescent="0.25">
      <c r="A5727" t="str">
        <f>"20190304155748049"</f>
        <v>20190304155748049</v>
      </c>
      <c r="B5727" t="str">
        <f>"1551686268040278"</f>
        <v>1551686268040278</v>
      </c>
      <c r="C5727" t="s">
        <v>40</v>
      </c>
      <c r="D5727">
        <v>4.7718600000000002</v>
      </c>
      <c r="E5727">
        <v>0.56533100000000003</v>
      </c>
      <c r="F5727" t="s">
        <v>44</v>
      </c>
      <c r="G5727">
        <v>-313.87060000000002</v>
      </c>
      <c r="H5727">
        <v>-0.05</v>
      </c>
      <c r="I5727">
        <v>13.192019999999999</v>
      </c>
      <c r="J5727">
        <v>-340.91820000000001</v>
      </c>
      <c r="K5727">
        <v>1.1097170000000001</v>
      </c>
      <c r="L5727">
        <v>17.016629999999999</v>
      </c>
      <c r="M5727">
        <v>0.99982789999999999</v>
      </c>
      <c r="N5727">
        <v>-1.1127700000000001E-2</v>
      </c>
      <c r="O5727">
        <v>1.485495E-2</v>
      </c>
      <c r="P5727">
        <v>0.98903949999999996</v>
      </c>
      <c r="Q5727">
        <v>0.14388210000000001</v>
      </c>
      <c r="R5727">
        <v>3.315705E-2</v>
      </c>
      <c r="S5727">
        <v>3.0668329999999999</v>
      </c>
      <c r="T5727">
        <v>-0.13068179999999999</v>
      </c>
      <c r="U5727">
        <v>-0.43069459999999998</v>
      </c>
      <c r="V5727">
        <v>-1.8466630000000001E-2</v>
      </c>
      <c r="W5727">
        <v>0.154882399999999</v>
      </c>
      <c r="X5727">
        <v>0.98776030000000004</v>
      </c>
      <c r="Y5727">
        <v>0.15358740000000001</v>
      </c>
      <c r="Z5727">
        <v>-4.5794210000000002E-3</v>
      </c>
      <c r="AA5727">
        <v>0.98812440000000001</v>
      </c>
      <c r="AB5727">
        <v>35</v>
      </c>
      <c r="AC5727">
        <v>27.0475999999999</v>
      </c>
      <c r="AD5727">
        <v>-1.1597170000000001</v>
      </c>
      <c r="AE5727">
        <v>-3.8246099999999901</v>
      </c>
      <c r="AF5727">
        <v>4.2184002958377498</v>
      </c>
      <c r="AG5727">
        <v>-1.1597170000000001</v>
      </c>
      <c r="AH5727">
        <v>26.939242272460401</v>
      </c>
      <c r="AI5727">
        <v>92.435383437887197</v>
      </c>
      <c r="AJ5727">
        <v>81.100358028328202</v>
      </c>
      <c r="AK5727">
        <v>27.292171382840401</v>
      </c>
      <c r="AL5727">
        <v>81.090024025727004</v>
      </c>
      <c r="AM5727">
        <v>91.071045997291705</v>
      </c>
      <c r="AN5727">
        <v>0.99999999225470304</v>
      </c>
    </row>
    <row r="5728" spans="1:40" x14ac:dyDescent="0.25">
      <c r="A5728" t="str">
        <f>"20190304155748060"</f>
        <v>20190304155748060</v>
      </c>
      <c r="B5728" t="str">
        <f>"1551686268050038"</f>
        <v>1551686268050038</v>
      </c>
      <c r="C5728" t="s">
        <v>40</v>
      </c>
      <c r="D5728">
        <v>4.5238820000000004</v>
      </c>
      <c r="E5728">
        <v>0.56567449999999997</v>
      </c>
      <c r="F5728" t="s">
        <v>44</v>
      </c>
      <c r="G5728">
        <v>-314.18009999999998</v>
      </c>
      <c r="H5728">
        <v>-0.05</v>
      </c>
      <c r="I5728">
        <v>13.2563</v>
      </c>
      <c r="J5728">
        <v>-340.74549999999999</v>
      </c>
      <c r="K5728">
        <v>1.10972</v>
      </c>
      <c r="L5728">
        <v>17.019200000000001</v>
      </c>
      <c r="M5728">
        <v>0.99982709999999997</v>
      </c>
      <c r="N5728">
        <v>-1.118267E-2</v>
      </c>
      <c r="O5728">
        <v>1.485791E-2</v>
      </c>
      <c r="P5728">
        <v>0.98901740000000005</v>
      </c>
      <c r="Q5728">
        <v>0.14413970000000001</v>
      </c>
      <c r="R5728">
        <v>3.2687880000000002E-2</v>
      </c>
      <c r="S5728">
        <v>3.0670470000000001</v>
      </c>
      <c r="T5728">
        <v>-0.1330276</v>
      </c>
      <c r="U5728">
        <v>-0.43133539999999998</v>
      </c>
      <c r="V5728">
        <v>-1.799332E-2</v>
      </c>
      <c r="W5728">
        <v>0.15519469999999999</v>
      </c>
      <c r="X5728">
        <v>0.98772000000000004</v>
      </c>
      <c r="Y5728">
        <v>0.153777</v>
      </c>
      <c r="Z5728">
        <v>-4.657474E-3</v>
      </c>
      <c r="AA5728">
        <v>0.98809460000000005</v>
      </c>
      <c r="AB5728">
        <v>35</v>
      </c>
      <c r="AC5728">
        <v>26.5654</v>
      </c>
      <c r="AD5728">
        <v>-1.1597200000000001</v>
      </c>
      <c r="AE5728">
        <v>-3.7629000000000001</v>
      </c>
      <c r="AF5728">
        <v>4.1494631417300996</v>
      </c>
      <c r="AG5728">
        <v>-1.1597200000000001</v>
      </c>
      <c r="AH5728">
        <v>26.457125086082002</v>
      </c>
      <c r="AI5728">
        <v>92.479620036333998</v>
      </c>
      <c r="AJ5728">
        <v>81.086497883601098</v>
      </c>
      <c r="AK5728">
        <v>26.8056423661804</v>
      </c>
      <c r="AL5728">
        <v>81.071911402688002</v>
      </c>
      <c r="AM5728">
        <v>91.043643214072603</v>
      </c>
      <c r="AN5728">
        <v>0.99999997643635596</v>
      </c>
    </row>
    <row r="5729" spans="1:40" x14ac:dyDescent="0.25">
      <c r="A5729" t="str">
        <f>"20190304155748071"</f>
        <v>20190304155748071</v>
      </c>
      <c r="B5729" t="str">
        <f>"1551686268059798"</f>
        <v>1551686268059798</v>
      </c>
      <c r="C5729" t="s">
        <v>40</v>
      </c>
      <c r="D5729">
        <v>4.7157559999999998</v>
      </c>
      <c r="E5729">
        <v>0.56591150000000001</v>
      </c>
      <c r="F5729" t="s">
        <v>44</v>
      </c>
      <c r="G5729">
        <v>-315.39179999999999</v>
      </c>
      <c r="H5729">
        <v>-0.05</v>
      </c>
      <c r="I5729">
        <v>13.41905</v>
      </c>
      <c r="J5729">
        <v>-340.57369999999997</v>
      </c>
      <c r="K5729">
        <v>1.1097189999999999</v>
      </c>
      <c r="L5729">
        <v>17.02176</v>
      </c>
      <c r="M5729">
        <v>0.99982649999999995</v>
      </c>
      <c r="N5729">
        <v>-1.123796E-2</v>
      </c>
      <c r="O5729">
        <v>1.486022E-2</v>
      </c>
      <c r="P5729">
        <v>0.9890776</v>
      </c>
      <c r="Q5729">
        <v>0.14389969999999999</v>
      </c>
      <c r="R5729">
        <v>3.1914669999999999E-2</v>
      </c>
      <c r="S5729">
        <v>3.068146</v>
      </c>
      <c r="T5729">
        <v>-0.14034199999999999</v>
      </c>
      <c r="U5729">
        <v>-0.43566890000000003</v>
      </c>
      <c r="V5729">
        <v>-1.7215279999999999E-2</v>
      </c>
      <c r="W5729">
        <v>0.15500949999999999</v>
      </c>
      <c r="X5729">
        <v>0.98776299999999995</v>
      </c>
      <c r="Y5729">
        <v>0.15507779999999999</v>
      </c>
      <c r="Z5729">
        <v>-4.9136350000000004E-3</v>
      </c>
      <c r="AA5729">
        <v>0.98789009999999999</v>
      </c>
      <c r="AB5729">
        <v>35</v>
      </c>
      <c r="AC5729">
        <v>25.181899999999899</v>
      </c>
      <c r="AD5729">
        <v>-1.1597189999999999</v>
      </c>
      <c r="AE5729">
        <v>-3.6027099999999899</v>
      </c>
      <c r="AF5729">
        <v>3.9682966139718099</v>
      </c>
      <c r="AG5729">
        <v>-1.1597189999999999</v>
      </c>
      <c r="AH5729">
        <v>25.073465964233101</v>
      </c>
      <c r="AI5729">
        <v>92.615694352571197</v>
      </c>
      <c r="AJ5729">
        <v>81.0065768246928</v>
      </c>
      <c r="AK5729">
        <v>25.412025138405902</v>
      </c>
      <c r="AL5729">
        <v>81.082653025726898</v>
      </c>
      <c r="AM5729">
        <v>90.998481452152703</v>
      </c>
      <c r="AN5729">
        <v>1.0000000275623599</v>
      </c>
    </row>
    <row r="5730" spans="1:40" x14ac:dyDescent="0.25">
      <c r="A5730" t="str">
        <f>"20190304155748082"</f>
        <v>20190304155748082</v>
      </c>
      <c r="B5730" t="str">
        <f>"1551686268070534"</f>
        <v>1551686268070534</v>
      </c>
      <c r="C5730" t="s">
        <v>40</v>
      </c>
      <c r="D5730">
        <v>4.6048939999999998</v>
      </c>
      <c r="E5730">
        <v>0.56709030000000005</v>
      </c>
      <c r="F5730" t="s">
        <v>44</v>
      </c>
      <c r="G5730">
        <v>-316.48750000000001</v>
      </c>
      <c r="H5730">
        <v>-0.05</v>
      </c>
      <c r="I5730">
        <v>13.56926</v>
      </c>
      <c r="J5730">
        <v>-340.40269999999998</v>
      </c>
      <c r="K5730">
        <v>1.109723</v>
      </c>
      <c r="L5730">
        <v>17.024290000000001</v>
      </c>
      <c r="M5730">
        <v>0.99982590000000005</v>
      </c>
      <c r="N5730">
        <v>-1.129605E-2</v>
      </c>
      <c r="O5730">
        <v>1.485947E-2</v>
      </c>
      <c r="P5730">
        <v>0.98910989999999999</v>
      </c>
      <c r="Q5730">
        <v>0.14380000000000001</v>
      </c>
      <c r="R5730">
        <v>3.1357580000000003E-2</v>
      </c>
      <c r="S5730">
        <v>3.0687869999999999</v>
      </c>
      <c r="T5730">
        <v>-0.147758</v>
      </c>
      <c r="U5730">
        <v>-0.4398804</v>
      </c>
      <c r="V5730">
        <v>-1.6657249999999998E-2</v>
      </c>
      <c r="W5730">
        <v>0.15496760000000001</v>
      </c>
      <c r="X5730">
        <v>0.98777910000000002</v>
      </c>
      <c r="Y5730">
        <v>0.15635450000000001</v>
      </c>
      <c r="Z5730">
        <v>-5.1757870000000003E-3</v>
      </c>
      <c r="AA5730">
        <v>0.98768750000000005</v>
      </c>
      <c r="AB5730">
        <v>35</v>
      </c>
      <c r="AC5730">
        <v>23.915199999999899</v>
      </c>
      <c r="AD5730">
        <v>-1.1597230000000001</v>
      </c>
      <c r="AE5730">
        <v>-3.4550299999999998</v>
      </c>
      <c r="AF5730">
        <v>3.8012820415373998</v>
      </c>
      <c r="AG5730">
        <v>-1.1597230000000001</v>
      </c>
      <c r="AH5730">
        <v>23.8063779100763</v>
      </c>
      <c r="AI5730">
        <v>92.754113957139197</v>
      </c>
      <c r="AJ5730">
        <v>80.927883496828599</v>
      </c>
      <c r="AK5730">
        <v>24.135830870169201</v>
      </c>
      <c r="AL5730">
        <v>81.085082706853299</v>
      </c>
      <c r="AM5730">
        <v>90.966106360650897</v>
      </c>
      <c r="AN5730">
        <v>0.99999998571206605</v>
      </c>
    </row>
    <row r="5731" spans="1:40" x14ac:dyDescent="0.25">
      <c r="A5731" t="str">
        <f>"20190304155748092"</f>
        <v>20190304155748092</v>
      </c>
      <c r="B5731" t="str">
        <f>"1551686268090054"</f>
        <v>1551686268090054</v>
      </c>
      <c r="C5731" t="s">
        <v>40</v>
      </c>
      <c r="D5731">
        <v>4.6886219999999996</v>
      </c>
      <c r="E5731">
        <v>0.56786309999999995</v>
      </c>
      <c r="F5731" t="s">
        <v>44</v>
      </c>
      <c r="G5731">
        <v>-316.47699999999998</v>
      </c>
      <c r="H5731">
        <v>-0.05</v>
      </c>
      <c r="I5731">
        <v>13.50906</v>
      </c>
      <c r="J5731">
        <v>-340.24200000000002</v>
      </c>
      <c r="K5731">
        <v>1.109726</v>
      </c>
      <c r="L5731">
        <v>17.026700000000002</v>
      </c>
      <c r="M5731">
        <v>0.99982519999999997</v>
      </c>
      <c r="N5731">
        <v>-1.135075E-2</v>
      </c>
      <c r="O5731">
        <v>1.4858089999999999E-2</v>
      </c>
      <c r="P5731">
        <v>0.98911249999999995</v>
      </c>
      <c r="Q5731">
        <v>0.14393639999999999</v>
      </c>
      <c r="R5731">
        <v>3.064387E-2</v>
      </c>
      <c r="S5731">
        <v>3.0689389999999999</v>
      </c>
      <c r="T5731">
        <v>-0.14875720000000001</v>
      </c>
      <c r="U5731">
        <v>-0.4508972</v>
      </c>
      <c r="V5731">
        <v>-1.5943189999999999E-2</v>
      </c>
      <c r="W5731">
        <v>0.15515789999999999</v>
      </c>
      <c r="X5731">
        <v>0.987761</v>
      </c>
      <c r="Y5731">
        <v>0.1598099</v>
      </c>
      <c r="Z5731">
        <v>-5.3112119999999896E-3</v>
      </c>
      <c r="AA5731">
        <v>0.9871335</v>
      </c>
      <c r="AB5731">
        <v>35</v>
      </c>
      <c r="AC5731">
        <v>23.764999999999901</v>
      </c>
      <c r="AD5731">
        <v>-1.159726</v>
      </c>
      <c r="AE5731">
        <v>-3.5176400000000001</v>
      </c>
      <c r="AF5731">
        <v>3.8613785003824499</v>
      </c>
      <c r="AG5731">
        <v>-1.159726</v>
      </c>
      <c r="AH5731">
        <v>23.654982922736799</v>
      </c>
      <c r="AI5731">
        <v>92.770169518244401</v>
      </c>
      <c r="AJ5731">
        <v>80.728954225243299</v>
      </c>
      <c r="AK5731">
        <v>23.996112714214</v>
      </c>
      <c r="AL5731">
        <v>81.074045738804699</v>
      </c>
      <c r="AM5731">
        <v>90.924715780395701</v>
      </c>
      <c r="AN5731">
        <v>0.99999997618039205</v>
      </c>
    </row>
    <row r="5732" spans="1:40" x14ac:dyDescent="0.25">
      <c r="A5732" t="str">
        <f>"20190304155748103"</f>
        <v>20190304155748103</v>
      </c>
      <c r="B5732" t="str">
        <f>"1551686268099814"</f>
        <v>1551686268099814</v>
      </c>
      <c r="C5732" t="s">
        <v>40</v>
      </c>
      <c r="D5732">
        <v>4.6537759999999997</v>
      </c>
      <c r="E5732">
        <v>0.56757769999999996</v>
      </c>
      <c r="F5732" t="s">
        <v>44</v>
      </c>
      <c r="G5732">
        <v>-316.4973</v>
      </c>
      <c r="H5732">
        <v>-0.05</v>
      </c>
      <c r="I5732">
        <v>13.473750000000001</v>
      </c>
      <c r="J5732">
        <v>-340.06790000000001</v>
      </c>
      <c r="K5732">
        <v>1.109731</v>
      </c>
      <c r="L5732">
        <v>17.02927</v>
      </c>
      <c r="M5732">
        <v>0.99982459999999995</v>
      </c>
      <c r="N5732">
        <v>-1.141033E-2</v>
      </c>
      <c r="O5732">
        <v>1.485418E-2</v>
      </c>
      <c r="P5732">
        <v>0.98913510000000004</v>
      </c>
      <c r="Q5732">
        <v>0.1439182</v>
      </c>
      <c r="R5732">
        <v>2.9989129999999999E-2</v>
      </c>
      <c r="S5732">
        <v>3.069061</v>
      </c>
      <c r="T5732">
        <v>-0.14989769999999999</v>
      </c>
      <c r="U5732">
        <v>-0.45922849999999998</v>
      </c>
      <c r="V5732">
        <v>-1.5290750000000001E-2</v>
      </c>
      <c r="W5732">
        <v>0.15519929999999901</v>
      </c>
      <c r="X5732">
        <v>0.9877648</v>
      </c>
      <c r="Y5732">
        <v>0.16241459999999999</v>
      </c>
      <c r="Z5732">
        <v>-5.4272569999999996E-3</v>
      </c>
      <c r="AA5732">
        <v>0.98670769999999997</v>
      </c>
      <c r="AB5732">
        <v>35</v>
      </c>
      <c r="AC5732">
        <v>23.570599999999999</v>
      </c>
      <c r="AD5732">
        <v>-1.1597309999999901</v>
      </c>
      <c r="AE5732">
        <v>-3.55552</v>
      </c>
      <c r="AF5732">
        <v>3.8960503584756698</v>
      </c>
      <c r="AG5732">
        <v>-1.1597309999999901</v>
      </c>
      <c r="AH5732">
        <v>23.459651897485902</v>
      </c>
      <c r="AI5732">
        <v>92.791942212219396</v>
      </c>
      <c r="AJ5732">
        <v>80.570691669502693</v>
      </c>
      <c r="AK5732">
        <v>23.809230385280301</v>
      </c>
      <c r="AL5732">
        <v>81.071644506002698</v>
      </c>
      <c r="AM5732">
        <v>90.886876581923502</v>
      </c>
      <c r="AN5732">
        <v>0.99999996493754495</v>
      </c>
    </row>
    <row r="5733" spans="1:40" x14ac:dyDescent="0.25">
      <c r="A5733" t="str">
        <f>"20190304155748117"</f>
        <v>20190304155748117</v>
      </c>
      <c r="B5733" t="str">
        <f>"1551686268110550"</f>
        <v>1551686268110550</v>
      </c>
      <c r="C5733" t="s">
        <v>40</v>
      </c>
      <c r="D5733">
        <v>4.7410740000000002</v>
      </c>
      <c r="E5733">
        <v>0.56753769999999903</v>
      </c>
      <c r="F5733" t="s">
        <v>44</v>
      </c>
      <c r="G5733">
        <v>-316.37529999999998</v>
      </c>
      <c r="H5733">
        <v>-0.05</v>
      </c>
      <c r="I5733">
        <v>13.48682</v>
      </c>
      <c r="J5733">
        <v>-339.8623</v>
      </c>
      <c r="K5733">
        <v>1.109742</v>
      </c>
      <c r="L5733">
        <v>17.032319999999999</v>
      </c>
      <c r="M5733">
        <v>0.99982389999999999</v>
      </c>
      <c r="N5733">
        <v>-1.148042E-2</v>
      </c>
      <c r="O5733">
        <v>1.485057E-2</v>
      </c>
      <c r="P5733">
        <v>0.98916320000000002</v>
      </c>
      <c r="Q5733">
        <v>0.143865299999999</v>
      </c>
      <c r="R5733">
        <v>2.9307900000000001E-2</v>
      </c>
      <c r="S5733">
        <v>3.068756</v>
      </c>
      <c r="T5733">
        <v>-0.15021279999999901</v>
      </c>
      <c r="U5733">
        <v>-0.45883180000000001</v>
      </c>
      <c r="V5733">
        <v>-1.461105E-2</v>
      </c>
      <c r="W5733">
        <v>0.15521579999999999</v>
      </c>
      <c r="X5733">
        <v>0.98777250000000005</v>
      </c>
      <c r="Y5733">
        <v>0.16229959999999999</v>
      </c>
      <c r="Z5733">
        <v>-5.4386410000000001E-3</v>
      </c>
      <c r="AA5733">
        <v>0.98672649999999995</v>
      </c>
      <c r="AB5733">
        <v>35</v>
      </c>
      <c r="AC5733">
        <v>23.486999999999998</v>
      </c>
      <c r="AD5733">
        <v>-1.1597420000000001</v>
      </c>
      <c r="AE5733">
        <v>-3.5455000000000001</v>
      </c>
      <c r="AF5733">
        <v>3.88466672898182</v>
      </c>
      <c r="AG5733">
        <v>-1.1597420000000001</v>
      </c>
      <c r="AH5733">
        <v>23.376028085984</v>
      </c>
      <c r="AI5733">
        <v>92.801892114680797</v>
      </c>
      <c r="AJ5733">
        <v>80.564718709954704</v>
      </c>
      <c r="AK5733">
        <v>23.724972627561399</v>
      </c>
      <c r="AL5733">
        <v>81.070687570405099</v>
      </c>
      <c r="AM5733">
        <v>90.847452678409397</v>
      </c>
      <c r="AN5733">
        <v>0.99999996955399495</v>
      </c>
    </row>
    <row r="5734" spans="1:40" x14ac:dyDescent="0.25">
      <c r="A5734" t="str">
        <f>"20190304155748132"</f>
        <v>20190304155748132</v>
      </c>
      <c r="B5734" t="str">
        <f>"1551686268120310"</f>
        <v>1551686268120310</v>
      </c>
      <c r="C5734" t="s">
        <v>40</v>
      </c>
      <c r="D5734">
        <v>4.7349779999999999</v>
      </c>
      <c r="E5734">
        <v>0.56757780000000002</v>
      </c>
      <c r="F5734" t="s">
        <v>44</v>
      </c>
      <c r="G5734">
        <v>-316.2953</v>
      </c>
      <c r="H5734">
        <v>-0.05</v>
      </c>
      <c r="I5734">
        <v>13.495419999999999</v>
      </c>
      <c r="J5734">
        <v>-339.63709999999998</v>
      </c>
      <c r="K5734">
        <v>1.109748</v>
      </c>
      <c r="L5734">
        <v>17.035679999999999</v>
      </c>
      <c r="M5734">
        <v>0.99982320000000002</v>
      </c>
      <c r="N5734">
        <v>-1.155724E-2</v>
      </c>
      <c r="O5734">
        <v>1.484722E-2</v>
      </c>
      <c r="P5734">
        <v>0.98918209999999995</v>
      </c>
      <c r="Q5734">
        <v>0.14389150000000001</v>
      </c>
      <c r="R5734">
        <v>2.853613E-2</v>
      </c>
      <c r="S5734">
        <v>3.0684809999999998</v>
      </c>
      <c r="T5734">
        <v>-0.151001</v>
      </c>
      <c r="U5734">
        <v>-0.46051029999999998</v>
      </c>
      <c r="V5734">
        <v>-1.384166E-2</v>
      </c>
      <c r="W5734">
        <v>0.15531809999999999</v>
      </c>
      <c r="X5734">
        <v>0.98776750000000002</v>
      </c>
      <c r="Y5734">
        <v>0.1628337</v>
      </c>
      <c r="Z5734">
        <v>-5.4845800000000002E-3</v>
      </c>
      <c r="AA5734">
        <v>0.98663829999999997</v>
      </c>
      <c r="AB5734">
        <v>35</v>
      </c>
      <c r="AC5734">
        <v>23.3417999999999</v>
      </c>
      <c r="AD5734">
        <v>-1.159748</v>
      </c>
      <c r="AE5734">
        <v>-3.5402599999999902</v>
      </c>
      <c r="AF5734">
        <v>3.8770976769908501</v>
      </c>
      <c r="AG5734">
        <v>-1.159748</v>
      </c>
      <c r="AH5734">
        <v>23.230601729885102</v>
      </c>
      <c r="AI5734">
        <v>92.819092758737298</v>
      </c>
      <c r="AJ5734">
        <v>80.524885957897894</v>
      </c>
      <c r="AK5734">
        <v>23.580452891176002</v>
      </c>
      <c r="AL5734">
        <v>81.064754250086906</v>
      </c>
      <c r="AM5734">
        <v>90.802837504699198</v>
      </c>
      <c r="AN5734">
        <v>0.99999996889770704</v>
      </c>
    </row>
    <row r="5735" spans="1:40" x14ac:dyDescent="0.25">
      <c r="A5735" t="str">
        <f>"20190304155748148"</f>
        <v>20190304155748148</v>
      </c>
      <c r="B5735" t="str">
        <f>"1551686268139830"</f>
        <v>1551686268139830</v>
      </c>
      <c r="C5735" t="s">
        <v>40</v>
      </c>
      <c r="D5735">
        <v>4.6804009999999998</v>
      </c>
      <c r="E5735">
        <v>0.56809730000000003</v>
      </c>
      <c r="F5735" t="s">
        <v>44</v>
      </c>
      <c r="G5735">
        <v>-316.13330000000002</v>
      </c>
      <c r="H5735">
        <v>-0.05</v>
      </c>
      <c r="I5735">
        <v>13.48695</v>
      </c>
      <c r="J5735">
        <v>-339.3723</v>
      </c>
      <c r="K5735">
        <v>1.109758</v>
      </c>
      <c r="L5735">
        <v>17.03961</v>
      </c>
      <c r="M5735">
        <v>0.99982199999999999</v>
      </c>
      <c r="N5735">
        <v>-1.165032E-2</v>
      </c>
      <c r="O5735">
        <v>1.4844980000000001E-2</v>
      </c>
      <c r="P5735">
        <v>0.98923890000000003</v>
      </c>
      <c r="Q5735">
        <v>0.14378579999999999</v>
      </c>
      <c r="R5735">
        <v>2.706689E-2</v>
      </c>
      <c r="S5735">
        <v>3.0682369999999999</v>
      </c>
      <c r="T5735">
        <v>-0.1513958</v>
      </c>
      <c r="U5735">
        <v>-0.46325680000000002</v>
      </c>
      <c r="V5735">
        <v>-1.237356E-2</v>
      </c>
      <c r="W5735">
        <v>0.1553049</v>
      </c>
      <c r="X5735">
        <v>0.98778909999999998</v>
      </c>
      <c r="Y5735">
        <v>0.16370379999999901</v>
      </c>
      <c r="Z5735">
        <v>-5.5296190000000004E-3</v>
      </c>
      <c r="AA5735">
        <v>0.98649410000000004</v>
      </c>
      <c r="AB5735">
        <v>35</v>
      </c>
      <c r="AC5735">
        <v>23.238999999999901</v>
      </c>
      <c r="AD5735">
        <v>-1.1597580000000001</v>
      </c>
      <c r="AE5735">
        <v>-3.5526599999999902</v>
      </c>
      <c r="AF5735">
        <v>3.88781258481231</v>
      </c>
      <c r="AG5735">
        <v>-1.1597580000000001</v>
      </c>
      <c r="AH5735">
        <v>23.127410979882601</v>
      </c>
      <c r="AI5735">
        <v>92.831118696545204</v>
      </c>
      <c r="AJ5735">
        <v>80.457563626615098</v>
      </c>
      <c r="AK5735">
        <v>23.480572053201399</v>
      </c>
      <c r="AL5735">
        <v>81.065520228349499</v>
      </c>
      <c r="AM5735">
        <v>90.717679196474407</v>
      </c>
      <c r="AN5735">
        <v>1.0000000115149399</v>
      </c>
    </row>
    <row r="5736" spans="1:40" x14ac:dyDescent="0.25">
      <c r="A5736" t="str">
        <f>"20190304155748160"</f>
        <v>20190304155748160</v>
      </c>
      <c r="B5736" t="str">
        <f>"1551686268150567"</f>
        <v>1551686268150567</v>
      </c>
      <c r="C5736" t="s">
        <v>40</v>
      </c>
      <c r="D5736">
        <v>4.5709400000000002</v>
      </c>
      <c r="E5736">
        <v>0.56851039999999997</v>
      </c>
      <c r="F5736" t="s">
        <v>44</v>
      </c>
      <c r="G5736">
        <v>-315.3775</v>
      </c>
      <c r="H5736">
        <v>-0.05</v>
      </c>
      <c r="I5736">
        <v>13.34595</v>
      </c>
      <c r="J5736">
        <v>-339.20069999999998</v>
      </c>
      <c r="K5736">
        <v>1.1097629999999901</v>
      </c>
      <c r="L5736">
        <v>17.04214</v>
      </c>
      <c r="M5736">
        <v>0.99982119999999997</v>
      </c>
      <c r="N5736">
        <v>-1.17127E-2</v>
      </c>
      <c r="O5736">
        <v>1.4844130000000001E-2</v>
      </c>
      <c r="P5736">
        <v>0.98926820000000004</v>
      </c>
      <c r="Q5736">
        <v>0.14373720000000001</v>
      </c>
      <c r="R5736">
        <v>2.6230679999999999E-2</v>
      </c>
      <c r="S5736">
        <v>3.0671080000000002</v>
      </c>
      <c r="T5736">
        <v>-0.1482444</v>
      </c>
      <c r="U5736">
        <v>-0.47213749999999999</v>
      </c>
      <c r="V5736">
        <v>-1.1537E-2</v>
      </c>
      <c r="W5736">
        <v>0.15531809999999999</v>
      </c>
      <c r="X5736">
        <v>0.98779709999999998</v>
      </c>
      <c r="Y5736">
        <v>0.16655249999999999</v>
      </c>
      <c r="Z5736">
        <v>-5.5213190000000002E-3</v>
      </c>
      <c r="AA5736">
        <v>0.98601709999999998</v>
      </c>
      <c r="AB5736">
        <v>35</v>
      </c>
      <c r="AC5736">
        <v>23.8231999999999</v>
      </c>
      <c r="AD5736">
        <v>-1.1597630000000001</v>
      </c>
      <c r="AE5736">
        <v>-3.6961900000000001</v>
      </c>
      <c r="AF5736">
        <v>4.0400919087557998</v>
      </c>
      <c r="AG5736">
        <v>-1.1597630000000001</v>
      </c>
      <c r="AH5736">
        <v>23.710831812853002</v>
      </c>
      <c r="AI5736">
        <v>92.760541300133397</v>
      </c>
      <c r="AJ5736">
        <v>80.330230678870095</v>
      </c>
      <c r="AK5736">
        <v>24.080509506751898</v>
      </c>
      <c r="AL5736">
        <v>81.064754193917807</v>
      </c>
      <c r="AM5736">
        <v>90.669157009851702</v>
      </c>
      <c r="AN5736">
        <v>0.99999996266250901</v>
      </c>
    </row>
    <row r="5737" spans="1:40" x14ac:dyDescent="0.25">
      <c r="A5737" t="str">
        <f>"20190304155748171"</f>
        <v>20190304155748171</v>
      </c>
      <c r="B5737" t="str">
        <f>"1551686268160327"</f>
        <v>1551686268160327</v>
      </c>
      <c r="C5737" t="s">
        <v>40</v>
      </c>
      <c r="D5737">
        <v>4.7387389999999998</v>
      </c>
      <c r="E5737">
        <v>0.56925400000000004</v>
      </c>
      <c r="F5737" t="s">
        <v>44</v>
      </c>
      <c r="G5737">
        <v>-314.6189</v>
      </c>
      <c r="H5737">
        <v>-0.05</v>
      </c>
      <c r="I5737">
        <v>13.21246</v>
      </c>
      <c r="J5737">
        <v>-339.02249999999998</v>
      </c>
      <c r="K5737">
        <v>1.1097709999999901</v>
      </c>
      <c r="L5737">
        <v>17.044799999999999</v>
      </c>
      <c r="M5737">
        <v>0.9998205</v>
      </c>
      <c r="N5737">
        <v>-1.1777869999999999E-2</v>
      </c>
      <c r="O5737">
        <v>1.484272E-2</v>
      </c>
      <c r="P5737">
        <v>0.98933360000000004</v>
      </c>
      <c r="Q5737">
        <v>0.1434386</v>
      </c>
      <c r="R5737">
        <v>2.5386590000000001E-2</v>
      </c>
      <c r="S5737">
        <v>3.0661930000000002</v>
      </c>
      <c r="T5737">
        <v>-0.14466200000000001</v>
      </c>
      <c r="U5737">
        <v>-0.4776917</v>
      </c>
      <c r="V5737">
        <v>-1.0693329999999999E-2</v>
      </c>
      <c r="W5737">
        <v>0.15508440000000001</v>
      </c>
      <c r="X5737">
        <v>0.98784329999999998</v>
      </c>
      <c r="Y5737">
        <v>0.16834739999999901</v>
      </c>
      <c r="Z5737">
        <v>-5.4655869999999896E-3</v>
      </c>
      <c r="AA5737">
        <v>0.98571260000000005</v>
      </c>
      <c r="AB5737">
        <v>35</v>
      </c>
      <c r="AC5737">
        <v>24.403599999999901</v>
      </c>
      <c r="AD5737">
        <v>-1.1597710000000001</v>
      </c>
      <c r="AE5737">
        <v>-3.8323399999999999</v>
      </c>
      <c r="AF5737">
        <v>4.1849341473416999</v>
      </c>
      <c r="AG5737">
        <v>-1.1597710000000001</v>
      </c>
      <c r="AH5737">
        <v>24.290483319887802</v>
      </c>
      <c r="AI5737">
        <v>92.693933030465502</v>
      </c>
      <c r="AJ5737">
        <v>80.224648914629597</v>
      </c>
      <c r="AK5737">
        <v>24.675622028710301</v>
      </c>
      <c r="AL5737">
        <v>81.078308359980696</v>
      </c>
      <c r="AM5737">
        <v>90.620198313274898</v>
      </c>
      <c r="AN5737">
        <v>0.99999995189236801</v>
      </c>
    </row>
    <row r="5738" spans="1:40" x14ac:dyDescent="0.25">
      <c r="A5738" t="str">
        <f>"20190304155748181"</f>
        <v>20190304155748181</v>
      </c>
      <c r="B5738" t="str">
        <f>"1551686268170086"</f>
        <v>1551686268170086</v>
      </c>
      <c r="C5738" t="s">
        <v>40</v>
      </c>
      <c r="D5738">
        <v>4.6210760000000004</v>
      </c>
      <c r="E5738">
        <v>0.56965339999999998</v>
      </c>
      <c r="F5738" t="s">
        <v>44</v>
      </c>
      <c r="G5738">
        <v>-314.06240000000003</v>
      </c>
      <c r="H5738">
        <v>-0.05</v>
      </c>
      <c r="I5738">
        <v>13.085430000000001</v>
      </c>
      <c r="J5738">
        <v>-338.86009999999999</v>
      </c>
      <c r="K5738">
        <v>1.109775</v>
      </c>
      <c r="L5738">
        <v>17.04721</v>
      </c>
      <c r="M5738">
        <v>0.99981980000000004</v>
      </c>
      <c r="N5738">
        <v>-1.1837769999999999E-2</v>
      </c>
      <c r="O5738">
        <v>1.4840310000000001E-2</v>
      </c>
      <c r="P5738">
        <v>0.98936869999999999</v>
      </c>
      <c r="Q5738">
        <v>0.14334849999999999</v>
      </c>
      <c r="R5738">
        <v>2.450952E-2</v>
      </c>
      <c r="S5738">
        <v>3.0654599999999999</v>
      </c>
      <c r="T5738">
        <v>-0.14243690000000001</v>
      </c>
      <c r="U5738">
        <v>-0.48626710000000001</v>
      </c>
      <c r="V5738">
        <v>-9.8181840000000006E-3</v>
      </c>
      <c r="W5738">
        <v>0.15505379999999999</v>
      </c>
      <c r="X5738">
        <v>0.98785719999999999</v>
      </c>
      <c r="Y5738">
        <v>0.17107410000000001</v>
      </c>
      <c r="Z5738">
        <v>-5.4778839999999997E-3</v>
      </c>
      <c r="AA5738">
        <v>0.98524299999999998</v>
      </c>
      <c r="AB5738">
        <v>35</v>
      </c>
      <c r="AC5738">
        <v>24.797699999999899</v>
      </c>
      <c r="AD5738">
        <v>-1.159775</v>
      </c>
      <c r="AE5738">
        <v>-3.9617799999999899</v>
      </c>
      <c r="AF5738">
        <v>4.3201603541725602</v>
      </c>
      <c r="AG5738">
        <v>-1.159775</v>
      </c>
      <c r="AH5738">
        <v>24.6835221751512</v>
      </c>
      <c r="AI5738">
        <v>92.649887747151197</v>
      </c>
      <c r="AJ5738">
        <v>80.072529338554602</v>
      </c>
      <c r="AK5738">
        <v>25.085556212840299</v>
      </c>
      <c r="AL5738">
        <v>81.080083174975499</v>
      </c>
      <c r="AM5738">
        <v>90.569436537978106</v>
      </c>
      <c r="AN5738">
        <v>0.99999996261166801</v>
      </c>
    </row>
    <row r="5739" spans="1:40" x14ac:dyDescent="0.25">
      <c r="A5739" t="str">
        <f>"20190304155748193"</f>
        <v>20190304155748193</v>
      </c>
      <c r="B5739" t="str">
        <f>"1551686268190582"</f>
        <v>1551686268190582</v>
      </c>
      <c r="C5739" t="s">
        <v>40</v>
      </c>
      <c r="D5739">
        <v>4.6330650000000002</v>
      </c>
      <c r="E5739">
        <v>0.57041919999999902</v>
      </c>
      <c r="F5739" t="s">
        <v>44</v>
      </c>
      <c r="G5739">
        <v>-313.34120000000001</v>
      </c>
      <c r="H5739">
        <v>-0.05</v>
      </c>
      <c r="I5739">
        <v>12.94928</v>
      </c>
      <c r="J5739">
        <v>-338.67959999999999</v>
      </c>
      <c r="K5739">
        <v>1.1097809999999999</v>
      </c>
      <c r="L5739">
        <v>17.049869999999999</v>
      </c>
      <c r="M5739">
        <v>0.99981920000000002</v>
      </c>
      <c r="N5739">
        <v>-1.1903789999999999E-2</v>
      </c>
      <c r="O5739">
        <v>1.4836190000000001E-2</v>
      </c>
      <c r="P5739">
        <v>0.98937419999999998</v>
      </c>
      <c r="Q5739">
        <v>0.1434841</v>
      </c>
      <c r="R5739">
        <v>2.3477080000000001E-2</v>
      </c>
      <c r="S5739">
        <v>3.0646059999999999</v>
      </c>
      <c r="T5739">
        <v>-0.13927890000000001</v>
      </c>
      <c r="U5739">
        <v>-0.49212650000000002</v>
      </c>
      <c r="V5739">
        <v>-8.7886609999999997E-3</v>
      </c>
      <c r="W5739">
        <v>0.15525449999999999</v>
      </c>
      <c r="X5739">
        <v>0.98783540000000003</v>
      </c>
      <c r="Y5739">
        <v>0.1729559</v>
      </c>
      <c r="Z5739">
        <v>-5.4343229999999996E-3</v>
      </c>
      <c r="AA5739">
        <v>0.98491459999999997</v>
      </c>
      <c r="AB5739">
        <v>35</v>
      </c>
      <c r="AC5739">
        <v>25.338399999999901</v>
      </c>
      <c r="AD5739">
        <v>-1.159781</v>
      </c>
      <c r="AE5739">
        <v>-4.1005900000000004</v>
      </c>
      <c r="AF5739">
        <v>4.4669708565387696</v>
      </c>
      <c r="AG5739">
        <v>-1.159781</v>
      </c>
      <c r="AH5739">
        <v>25.223274099504302</v>
      </c>
      <c r="AI5739">
        <v>92.592356998572896</v>
      </c>
      <c r="AJ5739">
        <v>79.957206817472297</v>
      </c>
      <c r="AK5739">
        <v>25.6420061013145</v>
      </c>
      <c r="AL5739">
        <v>81.068443188459696</v>
      </c>
      <c r="AM5739">
        <v>90.509740688899797</v>
      </c>
      <c r="AN5739">
        <v>0.99999998891279096</v>
      </c>
    </row>
    <row r="5740" spans="1:40" x14ac:dyDescent="0.25">
      <c r="A5740" t="str">
        <f>"20190304155748205"</f>
        <v>20190304155748205</v>
      </c>
      <c r="B5740" t="str">
        <f>"1551686268200342"</f>
        <v>1551686268200342</v>
      </c>
      <c r="C5740" t="s">
        <v>40</v>
      </c>
      <c r="D5740">
        <v>4.6411579999999999</v>
      </c>
      <c r="E5740">
        <v>0.57080379999999997</v>
      </c>
      <c r="F5740" t="s">
        <v>44</v>
      </c>
      <c r="G5740">
        <v>-311.9187</v>
      </c>
      <c r="H5740">
        <v>-0.05</v>
      </c>
      <c r="I5740">
        <v>12.670489999999999</v>
      </c>
      <c r="J5740">
        <v>-338.48309999999998</v>
      </c>
      <c r="K5740">
        <v>1.1097809999999999</v>
      </c>
      <c r="L5740">
        <v>17.052800000000001</v>
      </c>
      <c r="M5740">
        <v>0.9998184</v>
      </c>
      <c r="N5740">
        <v>-1.1973960000000001E-2</v>
      </c>
      <c r="O5740">
        <v>1.482874E-2</v>
      </c>
      <c r="P5740">
        <v>0.98942039999999998</v>
      </c>
      <c r="Q5740">
        <v>0.14327000000000001</v>
      </c>
      <c r="R5740">
        <v>2.2821999999999999E-2</v>
      </c>
      <c r="S5740">
        <v>3.0633539999999999</v>
      </c>
      <c r="T5740">
        <v>-0.13276160000000001</v>
      </c>
      <c r="U5740">
        <v>-0.50131229999999904</v>
      </c>
      <c r="V5740">
        <v>-8.1397569999999992E-3</v>
      </c>
      <c r="W5740">
        <v>0.15511029999999901</v>
      </c>
      <c r="X5740">
        <v>0.98786359999999995</v>
      </c>
      <c r="Y5740">
        <v>0.175903799999999</v>
      </c>
      <c r="Z5740">
        <v>-5.3075429999999996E-3</v>
      </c>
      <c r="AA5740">
        <v>0.98439310000000002</v>
      </c>
      <c r="AB5740">
        <v>35</v>
      </c>
      <c r="AC5740">
        <v>26.5643999999999</v>
      </c>
      <c r="AD5740">
        <v>-1.159781</v>
      </c>
      <c r="AE5740">
        <v>-4.3823100000000004</v>
      </c>
      <c r="AF5740">
        <v>4.7669272527301398</v>
      </c>
      <c r="AG5740">
        <v>-1.159781</v>
      </c>
      <c r="AH5740">
        <v>26.4474134540656</v>
      </c>
      <c r="AI5740">
        <v>92.471176100585694</v>
      </c>
      <c r="AJ5740">
        <v>79.782612029842198</v>
      </c>
      <c r="AK5740">
        <v>26.898594123319398</v>
      </c>
      <c r="AL5740">
        <v>81.076806443574398</v>
      </c>
      <c r="AM5740">
        <v>90.472092673718393</v>
      </c>
      <c r="AN5740">
        <v>0.99999997650753403</v>
      </c>
    </row>
    <row r="5741" spans="1:40" x14ac:dyDescent="0.25">
      <c r="A5741" t="str">
        <f>"20190304155748216"</f>
        <v>20190304155748216</v>
      </c>
      <c r="B5741" t="str">
        <f>"1551686268210102"</f>
        <v>1551686268210102</v>
      </c>
      <c r="C5741" t="s">
        <v>40</v>
      </c>
      <c r="D5741">
        <v>4.7556070000000004</v>
      </c>
      <c r="E5741">
        <v>0.57142469999999901</v>
      </c>
      <c r="F5741" t="s">
        <v>44</v>
      </c>
      <c r="G5741">
        <v>-311.32670000000002</v>
      </c>
      <c r="H5741">
        <v>-0.05</v>
      </c>
      <c r="I5741">
        <v>12.564159999999999</v>
      </c>
      <c r="J5741">
        <v>-338.3125</v>
      </c>
      <c r="K5741">
        <v>1.109785</v>
      </c>
      <c r="L5741">
        <v>17.055329999999898</v>
      </c>
      <c r="M5741">
        <v>0.99981790000000004</v>
      </c>
      <c r="N5741">
        <v>-1.203358E-2</v>
      </c>
      <c r="O5741">
        <v>1.4816920000000001E-2</v>
      </c>
      <c r="P5741">
        <v>0.98942629999999998</v>
      </c>
      <c r="Q5741">
        <v>0.14340039999999901</v>
      </c>
      <c r="R5741">
        <v>2.1729490000000001E-2</v>
      </c>
      <c r="S5741">
        <v>3.0626829999999998</v>
      </c>
      <c r="T5741">
        <v>-0.13079930000000001</v>
      </c>
      <c r="U5741">
        <v>-0.50622559999999905</v>
      </c>
      <c r="V5741">
        <v>-7.056596E-3</v>
      </c>
      <c r="W5741">
        <v>0.1552992</v>
      </c>
      <c r="X5741">
        <v>0.98784229999999995</v>
      </c>
      <c r="Y5741">
        <v>0.1774676</v>
      </c>
      <c r="Z5741">
        <v>-5.2894300000000003E-3</v>
      </c>
      <c r="AA5741">
        <v>0.9841124</v>
      </c>
      <c r="AB5741">
        <v>35</v>
      </c>
      <c r="AC5741">
        <v>26.985799999999902</v>
      </c>
      <c r="AD5741">
        <v>-1.1597850000000001</v>
      </c>
      <c r="AE5741">
        <v>-4.4911699999999897</v>
      </c>
      <c r="AF5741">
        <v>4.8817782746403298</v>
      </c>
      <c r="AG5741">
        <v>-1.1597850000000001</v>
      </c>
      <c r="AH5741">
        <v>26.867997381187202</v>
      </c>
      <c r="AI5741">
        <v>92.431929629059695</v>
      </c>
      <c r="AJ5741">
        <v>79.701990808606496</v>
      </c>
      <c r="AK5741">
        <v>27.332510745345999</v>
      </c>
      <c r="AL5741">
        <v>81.065850932180695</v>
      </c>
      <c r="AM5741">
        <v>90.409282222005999</v>
      </c>
      <c r="AN5741">
        <v>1.00000002336851</v>
      </c>
    </row>
    <row r="5742" spans="1:40" x14ac:dyDescent="0.25">
      <c r="A5742" t="str">
        <f>"20190304155748227"</f>
        <v>20190304155748227</v>
      </c>
      <c r="B5742" t="str">
        <f>"1551686268219862"</f>
        <v>1551686268219862</v>
      </c>
      <c r="C5742" t="s">
        <v>40</v>
      </c>
      <c r="D5742">
        <v>4.6963400000000002</v>
      </c>
      <c r="E5742">
        <v>0.57183729999999999</v>
      </c>
      <c r="F5742" t="s">
        <v>44</v>
      </c>
      <c r="G5742">
        <v>-310.5335</v>
      </c>
      <c r="H5742">
        <v>-0.05</v>
      </c>
      <c r="I5742">
        <v>12.38702</v>
      </c>
      <c r="J5742">
        <v>-338.13569999999999</v>
      </c>
      <c r="K5742">
        <v>1.1097870000000001</v>
      </c>
      <c r="L5742">
        <v>17.057919999999999</v>
      </c>
      <c r="M5742">
        <v>0.99981739999999997</v>
      </c>
      <c r="N5742">
        <v>-1.2094529999999999E-2</v>
      </c>
      <c r="O5742">
        <v>1.4801730000000001E-2</v>
      </c>
      <c r="P5742">
        <v>0.98945039999999995</v>
      </c>
      <c r="Q5742">
        <v>0.14334729999999901</v>
      </c>
      <c r="R5742">
        <v>2.09733E-2</v>
      </c>
      <c r="S5742">
        <v>3.06189</v>
      </c>
      <c r="T5742">
        <v>-0.12783549999999999</v>
      </c>
      <c r="U5742">
        <v>-0.51455689999999998</v>
      </c>
      <c r="V5742">
        <v>-6.3128150000000003E-3</v>
      </c>
      <c r="W5742">
        <v>0.15530629999999901</v>
      </c>
      <c r="X5742">
        <v>0.98784620000000001</v>
      </c>
      <c r="Y5742">
        <v>0.18010390000000001</v>
      </c>
      <c r="Z5742">
        <v>-5.2652180000000003E-3</v>
      </c>
      <c r="AA5742">
        <v>0.98363350000000005</v>
      </c>
      <c r="AB5742">
        <v>35</v>
      </c>
      <c r="AC5742">
        <v>27.6021999999999</v>
      </c>
      <c r="AD5742">
        <v>-1.1597869999999999</v>
      </c>
      <c r="AE5742">
        <v>-4.6708999999999996</v>
      </c>
      <c r="AF5742">
        <v>5.0702759785276799</v>
      </c>
      <c r="AG5742">
        <v>-1.1597869999999999</v>
      </c>
      <c r="AH5742">
        <v>27.482862871351202</v>
      </c>
      <c r="AI5742">
        <v>92.376413005717396</v>
      </c>
      <c r="AJ5742">
        <v>79.547113680028005</v>
      </c>
      <c r="AK5742">
        <v>27.970708893220699</v>
      </c>
      <c r="AL5742">
        <v>81.065438985236199</v>
      </c>
      <c r="AM5742">
        <v>90.366142758623695</v>
      </c>
      <c r="AN5742">
        <v>1.0000000066536701</v>
      </c>
    </row>
    <row r="5743" spans="1:40" x14ac:dyDescent="0.25">
      <c r="A5743" t="str">
        <f>"20190304155748239"</f>
        <v>20190304155748239</v>
      </c>
      <c r="B5743" t="str">
        <f>"1551686268230599"</f>
        <v>1551686268230599</v>
      </c>
      <c r="C5743" t="s">
        <v>40</v>
      </c>
      <c r="D5743">
        <v>4.6553690000000003</v>
      </c>
      <c r="E5743">
        <v>0.57214940000000003</v>
      </c>
      <c r="F5743" t="s">
        <v>44</v>
      </c>
      <c r="G5743">
        <v>-309.91199999999998</v>
      </c>
      <c r="H5743">
        <v>-0.05</v>
      </c>
      <c r="I5743">
        <v>12.26239</v>
      </c>
      <c r="J5743">
        <v>-337.9631</v>
      </c>
      <c r="K5743">
        <v>1.1097840000000001</v>
      </c>
      <c r="L5743">
        <v>17.060489999999898</v>
      </c>
      <c r="M5743">
        <v>0.99981699999999996</v>
      </c>
      <c r="N5743">
        <v>-1.2153479999999999E-2</v>
      </c>
      <c r="O5743">
        <v>1.477524E-2</v>
      </c>
      <c r="P5743">
        <v>0.98944089999999996</v>
      </c>
      <c r="Q5743">
        <v>0.143534299999999</v>
      </c>
      <c r="R5743">
        <v>2.0118299999999999E-2</v>
      </c>
      <c r="S5743">
        <v>3.0612490000000001</v>
      </c>
      <c r="T5743">
        <v>-0.12579489999999999</v>
      </c>
      <c r="U5743">
        <v>-0.52014159999999998</v>
      </c>
      <c r="V5743">
        <v>-5.4802679999999999E-3</v>
      </c>
      <c r="W5743">
        <v>0.15555169999999999</v>
      </c>
      <c r="X5743">
        <v>0.98781260000000004</v>
      </c>
      <c r="Y5743">
        <v>0.18185960000000001</v>
      </c>
      <c r="Z5743">
        <v>-5.2465970000000004E-3</v>
      </c>
      <c r="AA5743">
        <v>0.98331049999999998</v>
      </c>
      <c r="AB5743">
        <v>35</v>
      </c>
      <c r="AC5743">
        <v>28.051099999999899</v>
      </c>
      <c r="AD5743">
        <v>-1.1597839999999999</v>
      </c>
      <c r="AE5743">
        <v>-4.79809999999999</v>
      </c>
      <c r="AF5743">
        <v>5.2034263910731502</v>
      </c>
      <c r="AG5743">
        <v>-1.1597839999999999</v>
      </c>
      <c r="AH5743">
        <v>27.930750401133199</v>
      </c>
      <c r="AI5743">
        <v>92.337585195184502</v>
      </c>
      <c r="AJ5743">
        <v>79.4469225495275</v>
      </c>
      <c r="AK5743">
        <v>28.434970777273101</v>
      </c>
      <c r="AL5743">
        <v>81.051206003385303</v>
      </c>
      <c r="AM5743">
        <v>90.317866977566098</v>
      </c>
      <c r="AN5743">
        <v>1.00000004871449</v>
      </c>
    </row>
    <row r="5744" spans="1:40" x14ac:dyDescent="0.25">
      <c r="A5744" t="str">
        <f>"20190304155748249"</f>
        <v>20190304155748249</v>
      </c>
      <c r="B5744" t="str">
        <f>"1551686268240359"</f>
        <v>1551686268240359</v>
      </c>
      <c r="C5744" t="s">
        <v>40</v>
      </c>
      <c r="D5744">
        <v>4.627885</v>
      </c>
      <c r="E5744">
        <v>0.57243230000000001</v>
      </c>
      <c r="F5744" t="s">
        <v>44</v>
      </c>
      <c r="G5744">
        <v>-309.1123</v>
      </c>
      <c r="H5744">
        <v>-0.05</v>
      </c>
      <c r="I5744">
        <v>12.109819999999999</v>
      </c>
      <c r="J5744">
        <v>-337.80329999999998</v>
      </c>
      <c r="K5744">
        <v>1.10978</v>
      </c>
      <c r="L5744">
        <v>17.062809999999999</v>
      </c>
      <c r="M5744">
        <v>0.99981679999999995</v>
      </c>
      <c r="N5744">
        <v>-1.2207930000000001E-2</v>
      </c>
      <c r="O5744">
        <v>1.4748529999999999E-2</v>
      </c>
      <c r="P5744">
        <v>0.98945720000000004</v>
      </c>
      <c r="Q5744">
        <v>0.14351630000000001</v>
      </c>
      <c r="R5744">
        <v>1.9433120000000002E-2</v>
      </c>
      <c r="S5744">
        <v>3.0605470000000001</v>
      </c>
      <c r="T5744">
        <v>-0.1230325</v>
      </c>
      <c r="U5744">
        <v>-0.525177</v>
      </c>
      <c r="V5744">
        <v>-4.8179770000000002E-3</v>
      </c>
      <c r="W5744">
        <v>0.15558749999999999</v>
      </c>
      <c r="X5744">
        <v>0.98781039999999998</v>
      </c>
      <c r="Y5744">
        <v>0.18344820000000001</v>
      </c>
      <c r="Z5744">
        <v>-5.1974409999999997E-3</v>
      </c>
      <c r="AA5744">
        <v>0.98301570000000005</v>
      </c>
      <c r="AB5744">
        <v>35</v>
      </c>
      <c r="AC5744">
        <v>28.690999999999899</v>
      </c>
      <c r="AD5744">
        <v>-1.15978</v>
      </c>
      <c r="AE5744">
        <v>-4.9529899999999998</v>
      </c>
      <c r="AF5744">
        <v>5.3671165489535397</v>
      </c>
      <c r="AG5744">
        <v>-1.15978</v>
      </c>
      <c r="AH5744">
        <v>28.5694917876116</v>
      </c>
      <c r="AI5744">
        <v>92.284725430504693</v>
      </c>
      <c r="AJ5744">
        <v>79.360319680133003</v>
      </c>
      <c r="AK5744">
        <v>29.0923854419134</v>
      </c>
      <c r="AL5744">
        <v>81.049129406979503</v>
      </c>
      <c r="AM5744">
        <v>90.2794539912814</v>
      </c>
      <c r="AN5744">
        <v>1.0000000347033899</v>
      </c>
    </row>
    <row r="5745" spans="1:40" x14ac:dyDescent="0.25">
      <c r="A5745" t="str">
        <f>"20190304155748259"</f>
        <v>20190304155748259</v>
      </c>
      <c r="B5745" t="str">
        <f>"1551686268250118"</f>
        <v>1551686268250118</v>
      </c>
      <c r="C5745" t="s">
        <v>40</v>
      </c>
      <c r="D5745">
        <v>4.6663189999999997</v>
      </c>
      <c r="E5745">
        <v>0.57276280000000002</v>
      </c>
      <c r="F5745" t="s">
        <v>44</v>
      </c>
      <c r="G5745">
        <v>-308.43830000000003</v>
      </c>
      <c r="H5745">
        <v>-0.05</v>
      </c>
      <c r="I5745">
        <v>11.97949</v>
      </c>
      <c r="J5745">
        <v>-337.64479999999998</v>
      </c>
      <c r="K5745">
        <v>1.1097699999999999</v>
      </c>
      <c r="L5745">
        <v>17.065089999999898</v>
      </c>
      <c r="M5745">
        <v>0.99981679999999995</v>
      </c>
      <c r="N5745">
        <v>-1.2261869999999999E-2</v>
      </c>
      <c r="O5745">
        <v>1.470513E-2</v>
      </c>
      <c r="P5745">
        <v>0.98944810000000005</v>
      </c>
      <c r="Q5745">
        <v>0.14368499999999901</v>
      </c>
      <c r="R5745">
        <v>1.863662E-2</v>
      </c>
      <c r="S5745">
        <v>3.0599059999999998</v>
      </c>
      <c r="T5745">
        <v>-0.120852</v>
      </c>
      <c r="U5745">
        <v>-0.52969359999999999</v>
      </c>
      <c r="V5745">
        <v>-4.0594819999999997E-3</v>
      </c>
      <c r="W5745">
        <v>0.15580939999999999</v>
      </c>
      <c r="X5745">
        <v>0.98777879999999996</v>
      </c>
      <c r="Y5745">
        <v>0.1848534</v>
      </c>
      <c r="Z5745">
        <v>-5.1619489999999999E-3</v>
      </c>
      <c r="AA5745">
        <v>0.98275259999999998</v>
      </c>
      <c r="AB5745">
        <v>35</v>
      </c>
      <c r="AC5745">
        <v>29.206499999999899</v>
      </c>
      <c r="AD5745">
        <v>-1.15977</v>
      </c>
      <c r="AE5745">
        <v>-5.0855999999999897</v>
      </c>
      <c r="AF5745">
        <v>5.5061409036984799</v>
      </c>
      <c r="AG5745">
        <v>-1.15977</v>
      </c>
      <c r="AH5745">
        <v>29.084040504274199</v>
      </c>
      <c r="AI5745">
        <v>92.243732318190297</v>
      </c>
      <c r="AJ5745">
        <v>79.279735650758795</v>
      </c>
      <c r="AK5745">
        <v>29.623370270084799</v>
      </c>
      <c r="AL5745">
        <v>81.036258223213494</v>
      </c>
      <c r="AM5745">
        <v>90.235467572454198</v>
      </c>
      <c r="AN5745">
        <v>1.0000000031259499</v>
      </c>
    </row>
    <row r="5746" spans="1:40" x14ac:dyDescent="0.25">
      <c r="A5746" t="str">
        <f>"20190304155748271"</f>
        <v>20190304155748271</v>
      </c>
      <c r="B5746" t="str">
        <f>"1551686268259878"</f>
        <v>1551686268259878</v>
      </c>
      <c r="C5746" t="s">
        <v>40</v>
      </c>
      <c r="D5746">
        <v>4.7598159999999998</v>
      </c>
      <c r="E5746">
        <v>0.57320769999999999</v>
      </c>
      <c r="F5746" t="s">
        <v>44</v>
      </c>
      <c r="G5746">
        <v>-307.56549999999999</v>
      </c>
      <c r="H5746">
        <v>-0.05</v>
      </c>
      <c r="I5746">
        <v>11.806559999999999</v>
      </c>
      <c r="J5746">
        <v>-337.47480000000002</v>
      </c>
      <c r="K5746">
        <v>1.1097649999999999</v>
      </c>
      <c r="L5746">
        <v>17.067540000000001</v>
      </c>
      <c r="M5746">
        <v>0.9998167</v>
      </c>
      <c r="N5746">
        <v>-1.2319800000000001E-2</v>
      </c>
      <c r="O5746">
        <v>1.4656189999999999E-2</v>
      </c>
      <c r="P5746">
        <v>0.98944980000000005</v>
      </c>
      <c r="Q5746">
        <v>0.14373229999999901</v>
      </c>
      <c r="R5746">
        <v>1.8174309999999999E-2</v>
      </c>
      <c r="S5746">
        <v>3.0592350000000001</v>
      </c>
      <c r="T5746">
        <v>-0.117955</v>
      </c>
      <c r="U5746">
        <v>-0.53482059999999998</v>
      </c>
      <c r="V5746">
        <v>-3.6397510000000001E-3</v>
      </c>
      <c r="W5746">
        <v>0.15591440000000001</v>
      </c>
      <c r="X5746">
        <v>0.98776390000000003</v>
      </c>
      <c r="Y5746">
        <v>0.18644620000000001</v>
      </c>
      <c r="Z5746">
        <v>-5.1054809999999898E-3</v>
      </c>
      <c r="AA5746">
        <v>0.98245190000000004</v>
      </c>
      <c r="AB5746">
        <v>35</v>
      </c>
      <c r="AC5746">
        <v>29.909300000000002</v>
      </c>
      <c r="AD5746">
        <v>-1.1597649999999999</v>
      </c>
      <c r="AE5746">
        <v>-5.26098</v>
      </c>
      <c r="AF5746">
        <v>5.6905051288270601</v>
      </c>
      <c r="AG5746">
        <v>-1.1597649999999999</v>
      </c>
      <c r="AH5746">
        <v>29.785534281184098</v>
      </c>
      <c r="AI5746">
        <v>92.190236451379405</v>
      </c>
      <c r="AJ5746">
        <v>79.184019003746201</v>
      </c>
      <c r="AK5746">
        <v>30.346415865667399</v>
      </c>
      <c r="AL5746">
        <v>81.030168022155493</v>
      </c>
      <c r="AM5746">
        <v>90.211124770727807</v>
      </c>
      <c r="AN5746">
        <v>1.00000003502895</v>
      </c>
    </row>
    <row r="5747" spans="1:40" x14ac:dyDescent="0.25">
      <c r="A5747" t="str">
        <f>"20190304155748281"</f>
        <v>20190304155748281</v>
      </c>
      <c r="B5747" t="str">
        <f>"1551686268270614"</f>
        <v>1551686268270614</v>
      </c>
      <c r="C5747" t="s">
        <v>40</v>
      </c>
      <c r="D5747">
        <v>4.6341769999999904</v>
      </c>
      <c r="E5747">
        <v>0.57350540000000005</v>
      </c>
      <c r="F5747" t="s">
        <v>44</v>
      </c>
      <c r="G5747">
        <v>-306.92590000000001</v>
      </c>
      <c r="H5747">
        <v>-0.05</v>
      </c>
      <c r="I5747">
        <v>11.67798</v>
      </c>
      <c r="J5747">
        <v>-337.30689999999998</v>
      </c>
      <c r="K5747">
        <v>1.1097520000000001</v>
      </c>
      <c r="L5747">
        <v>17.069979999999902</v>
      </c>
      <c r="M5747">
        <v>0.99981699999999996</v>
      </c>
      <c r="N5747">
        <v>-1.2376969999999999E-2</v>
      </c>
      <c r="O5747">
        <v>1.4586740000000001E-2</v>
      </c>
      <c r="P5747">
        <v>0.9894366</v>
      </c>
      <c r="Q5747">
        <v>0.14392449999999901</v>
      </c>
      <c r="R5747">
        <v>1.7353830000000001E-2</v>
      </c>
      <c r="S5747">
        <v>3.0587770000000001</v>
      </c>
      <c r="T5747">
        <v>-0.1161242</v>
      </c>
      <c r="U5747">
        <v>-0.53964230000000002</v>
      </c>
      <c r="V5747">
        <v>-2.8808509999999998E-3</v>
      </c>
      <c r="W5747">
        <v>0.1561622</v>
      </c>
      <c r="X5747">
        <v>0.98772720000000003</v>
      </c>
      <c r="Y5747">
        <v>0.18790860000000001</v>
      </c>
      <c r="Z5747">
        <v>-5.081126E-3</v>
      </c>
      <c r="AA5747">
        <v>0.98217339999999997</v>
      </c>
      <c r="AB5747">
        <v>35</v>
      </c>
      <c r="AC5747">
        <v>30.380999999999901</v>
      </c>
      <c r="AD5747">
        <v>-1.1597519999999999</v>
      </c>
      <c r="AE5747">
        <v>-5.3919999999999897</v>
      </c>
      <c r="AF5747">
        <v>5.8263888620982103</v>
      </c>
      <c r="AG5747">
        <v>-1.1597519999999999</v>
      </c>
      <c r="AH5747">
        <v>30.256365580691</v>
      </c>
      <c r="AI5747">
        <v>92.1555566924077</v>
      </c>
      <c r="AJ5747">
        <v>79.100125602777098</v>
      </c>
      <c r="AK5747">
        <v>30.834063793575901</v>
      </c>
      <c r="AL5747">
        <v>81.015793534572296</v>
      </c>
      <c r="AM5747">
        <v>90.167111056232002</v>
      </c>
      <c r="AN5747">
        <v>0.99999997681558195</v>
      </c>
    </row>
    <row r="5748" spans="1:40" x14ac:dyDescent="0.25">
      <c r="A5748" t="str">
        <f>"20190304155748293"</f>
        <v>20190304155748293</v>
      </c>
      <c r="B5748" t="str">
        <f>"1551686268290135"</f>
        <v>1551686268290135</v>
      </c>
      <c r="C5748" t="s">
        <v>40</v>
      </c>
      <c r="D5748">
        <v>4.8307969999999996</v>
      </c>
      <c r="E5748">
        <v>0.57428269999999904</v>
      </c>
      <c r="F5748" t="s">
        <v>44</v>
      </c>
      <c r="G5748">
        <v>-306.12009999999998</v>
      </c>
      <c r="H5748">
        <v>-0.05</v>
      </c>
      <c r="I5748">
        <v>11.51688</v>
      </c>
      <c r="J5748">
        <v>-337.13350000000003</v>
      </c>
      <c r="K5748">
        <v>1.109739</v>
      </c>
      <c r="L5748">
        <v>17.072420000000001</v>
      </c>
      <c r="M5748">
        <v>0.99981750000000003</v>
      </c>
      <c r="N5748">
        <v>-1.2435430000000001E-2</v>
      </c>
      <c r="O5748">
        <v>1.450856E-2</v>
      </c>
      <c r="P5748">
        <v>0.98945439999999996</v>
      </c>
      <c r="Q5748">
        <v>0.14386650000000001</v>
      </c>
      <c r="R5748">
        <v>1.68125999999999E-2</v>
      </c>
      <c r="S5748">
        <v>3.0581049999999999</v>
      </c>
      <c r="T5748">
        <v>-0.113722699999999</v>
      </c>
      <c r="U5748">
        <v>-0.54452509999999998</v>
      </c>
      <c r="V5748">
        <v>-2.4089239999999998E-3</v>
      </c>
      <c r="W5748">
        <v>0.1561621</v>
      </c>
      <c r="X5748">
        <v>0.98772850000000001</v>
      </c>
      <c r="Y5748">
        <v>0.18939400000000001</v>
      </c>
      <c r="Z5748">
        <v>-5.0366059999999999E-3</v>
      </c>
      <c r="AA5748">
        <v>0.98188819999999999</v>
      </c>
      <c r="AB5748">
        <v>35</v>
      </c>
      <c r="AC5748">
        <v>31.013400000000001</v>
      </c>
      <c r="AD5748">
        <v>-1.1597389999999901</v>
      </c>
      <c r="AE5748">
        <v>-5.5555399999999997</v>
      </c>
      <c r="AF5748">
        <v>5.99682464408518</v>
      </c>
      <c r="AG5748">
        <v>-1.1597389999999901</v>
      </c>
      <c r="AH5748">
        <v>30.887676611411301</v>
      </c>
      <c r="AI5748">
        <v>92.110894086337694</v>
      </c>
      <c r="AJ5748">
        <v>79.012747623898903</v>
      </c>
      <c r="AK5748">
        <v>31.485797858894301</v>
      </c>
      <c r="AL5748">
        <v>81.015799518627901</v>
      </c>
      <c r="AM5748">
        <v>90.139735671005397</v>
      </c>
      <c r="AN5748">
        <v>0.99999999705174802</v>
      </c>
    </row>
    <row r="5749" spans="1:40" x14ac:dyDescent="0.25">
      <c r="A5749" t="str">
        <f>"20190304155748304"</f>
        <v>20190304155748304</v>
      </c>
      <c r="B5749" t="str">
        <f>"1551686268299894"</f>
        <v>1551686268299894</v>
      </c>
      <c r="C5749" t="s">
        <v>40</v>
      </c>
      <c r="D5749">
        <v>4.6570839999999896</v>
      </c>
      <c r="E5749">
        <v>0.57454680000000002</v>
      </c>
      <c r="F5749" t="s">
        <v>44</v>
      </c>
      <c r="G5749">
        <v>-304.9966</v>
      </c>
      <c r="H5749">
        <v>-0.05</v>
      </c>
      <c r="I5749">
        <v>11.265470000000001</v>
      </c>
      <c r="J5749">
        <v>-336.94540000000001</v>
      </c>
      <c r="K5749">
        <v>1.1097250000000001</v>
      </c>
      <c r="L5749">
        <v>17.07507</v>
      </c>
      <c r="M5749">
        <v>0.99981819999999999</v>
      </c>
      <c r="N5749">
        <v>-1.2497050000000001E-2</v>
      </c>
      <c r="O5749">
        <v>1.4403829999999999E-2</v>
      </c>
      <c r="P5749">
        <v>0.98944980000000005</v>
      </c>
      <c r="Q5749">
        <v>0.14397939999999901</v>
      </c>
      <c r="R5749">
        <v>1.6104859999999999E-2</v>
      </c>
      <c r="S5749">
        <v>3.0574340000000002</v>
      </c>
      <c r="T5749">
        <v>-0.11033510000000001</v>
      </c>
      <c r="U5749">
        <v>-0.5524597</v>
      </c>
      <c r="V5749">
        <v>-1.79565E-3</v>
      </c>
      <c r="W5749">
        <v>0.15633549999999999</v>
      </c>
      <c r="X5749">
        <v>0.98770239999999998</v>
      </c>
      <c r="Y5749">
        <v>0.19180340000000001</v>
      </c>
      <c r="Z5749">
        <v>-4.9777759999999997E-3</v>
      </c>
      <c r="AA5749">
        <v>0.98142079999999998</v>
      </c>
      <c r="AB5749">
        <v>35</v>
      </c>
      <c r="AC5749">
        <v>31.948799999999999</v>
      </c>
      <c r="AD5749">
        <v>-1.1597249999999999</v>
      </c>
      <c r="AE5749">
        <v>-5.8095999999999997</v>
      </c>
      <c r="AF5749">
        <v>6.2612321586672204</v>
      </c>
      <c r="AG5749">
        <v>-1.1597249999999999</v>
      </c>
      <c r="AH5749">
        <v>31.821210834481601</v>
      </c>
      <c r="AI5749">
        <v>92.047988937469</v>
      </c>
      <c r="AJ5749">
        <v>78.868519375971005</v>
      </c>
      <c r="AK5749">
        <v>32.452079273798198</v>
      </c>
      <c r="AL5749">
        <v>81.005741113316603</v>
      </c>
      <c r="AM5749">
        <v>90.104164020594396</v>
      </c>
      <c r="AN5749">
        <v>1.0000000219424601</v>
      </c>
    </row>
    <row r="5750" spans="1:40" x14ac:dyDescent="0.25">
      <c r="A5750" t="str">
        <f>"20190304155748317"</f>
        <v>20190304155748317</v>
      </c>
      <c r="B5750" t="str">
        <f>"1551686268310630"</f>
        <v>1551686268310630</v>
      </c>
      <c r="C5750" t="s">
        <v>40</v>
      </c>
      <c r="D5750">
        <v>4.7552469999999998</v>
      </c>
      <c r="E5750">
        <v>0.57487840000000001</v>
      </c>
      <c r="F5750" t="s">
        <v>44</v>
      </c>
      <c r="G5750">
        <v>-304.1961</v>
      </c>
      <c r="H5750">
        <v>-0.05</v>
      </c>
      <c r="I5750">
        <v>11.11111</v>
      </c>
      <c r="J5750">
        <v>-336.76069999999999</v>
      </c>
      <c r="K5750">
        <v>1.1097060000000001</v>
      </c>
      <c r="L5750">
        <v>17.07761</v>
      </c>
      <c r="M5750">
        <v>0.99981920000000002</v>
      </c>
      <c r="N5750">
        <v>-1.2556299999999999E-2</v>
      </c>
      <c r="O5750">
        <v>1.4283179999999999E-2</v>
      </c>
      <c r="P5750">
        <v>0.98943840000000005</v>
      </c>
      <c r="Q5750">
        <v>0.1441125</v>
      </c>
      <c r="R5750">
        <v>1.560281E-2</v>
      </c>
      <c r="S5750">
        <v>3.0567929999999999</v>
      </c>
      <c r="T5750">
        <v>-0.10824789999999999</v>
      </c>
      <c r="U5750">
        <v>-0.55667109999999997</v>
      </c>
      <c r="V5750">
        <v>-1.4032859999999999E-3</v>
      </c>
      <c r="W5750">
        <v>0.1565271</v>
      </c>
      <c r="X5750">
        <v>0.98767269999999896</v>
      </c>
      <c r="Y5750">
        <v>0.19303429999999999</v>
      </c>
      <c r="Z5750">
        <v>-4.9351780000000001E-3</v>
      </c>
      <c r="AA5750">
        <v>0.98117960000000004</v>
      </c>
      <c r="AB5750">
        <v>35</v>
      </c>
      <c r="AC5750">
        <v>32.564599999999899</v>
      </c>
      <c r="AD5750">
        <v>-1.1597059999999999</v>
      </c>
      <c r="AE5750">
        <v>-5.9664999999999999</v>
      </c>
      <c r="AF5750">
        <v>6.4231723575613699</v>
      </c>
      <c r="AG5750">
        <v>-1.1597059999999999</v>
      </c>
      <c r="AH5750">
        <v>32.436249151919803</v>
      </c>
      <c r="AI5750">
        <v>92.008674192212894</v>
      </c>
      <c r="AJ5750">
        <v>78.798942618834701</v>
      </c>
      <c r="AK5750">
        <v>33.086437103242098</v>
      </c>
      <c r="AL5750">
        <v>80.9946265012059</v>
      </c>
      <c r="AM5750">
        <v>90.081405825176404</v>
      </c>
      <c r="AN5750">
        <v>1.0000000322856399</v>
      </c>
    </row>
    <row r="5751" spans="1:40" x14ac:dyDescent="0.25">
      <c r="A5751" t="str">
        <f>"20190304155748331"</f>
        <v>20190304155748331</v>
      </c>
      <c r="B5751" t="str">
        <f>"1551686268320391"</f>
        <v>1551686268320391</v>
      </c>
      <c r="C5751" t="s">
        <v>40</v>
      </c>
      <c r="D5751">
        <v>4.6503399999999999</v>
      </c>
      <c r="E5751">
        <v>0.57510989999999995</v>
      </c>
      <c r="F5751" t="s">
        <v>44</v>
      </c>
      <c r="G5751">
        <v>-303.47230000000002</v>
      </c>
      <c r="H5751">
        <v>-0.05</v>
      </c>
      <c r="I5751">
        <v>10.96881</v>
      </c>
      <c r="J5751">
        <v>-336.54300000000001</v>
      </c>
      <c r="K5751">
        <v>1.1096820000000001</v>
      </c>
      <c r="L5751">
        <v>17.080570000000002</v>
      </c>
      <c r="M5751">
        <v>0.9998205</v>
      </c>
      <c r="N5751">
        <v>-1.262511E-2</v>
      </c>
      <c r="O5751">
        <v>1.4122900000000001E-2</v>
      </c>
      <c r="P5751">
        <v>0.98944969999999999</v>
      </c>
      <c r="Q5751">
        <v>0.1441046</v>
      </c>
      <c r="R5751">
        <v>1.4927879999999999E-2</v>
      </c>
      <c r="S5751">
        <v>3.0563959999999999</v>
      </c>
      <c r="T5751">
        <v>-0.106479</v>
      </c>
      <c r="U5751">
        <v>-0.56088260000000001</v>
      </c>
      <c r="V5751">
        <v>-8.7439050000000002E-4</v>
      </c>
      <c r="W5751">
        <v>0.1565869</v>
      </c>
      <c r="X5751">
        <v>0.98766379999999998</v>
      </c>
      <c r="Y5751">
        <v>0.1942111</v>
      </c>
      <c r="Z5751">
        <v>-4.9018259999999998E-3</v>
      </c>
      <c r="AA5751">
        <v>0.98094749999999997</v>
      </c>
      <c r="AB5751">
        <v>35</v>
      </c>
      <c r="AC5751">
        <v>33.070699999999903</v>
      </c>
      <c r="AD5751">
        <v>-1.1596819999999901</v>
      </c>
      <c r="AE5751">
        <v>-6.1117599999999896</v>
      </c>
      <c r="AF5751">
        <v>6.5704291323460504</v>
      </c>
      <c r="AG5751">
        <v>-1.1596819999999901</v>
      </c>
      <c r="AH5751">
        <v>32.941908489262801</v>
      </c>
      <c r="AI5751">
        <v>91.977284334010804</v>
      </c>
      <c r="AJ5751">
        <v>78.720094566832998</v>
      </c>
      <c r="AK5751">
        <v>33.610783035199702</v>
      </c>
      <c r="AL5751">
        <v>80.991157159665207</v>
      </c>
      <c r="AM5751">
        <v>90.050724621280594</v>
      </c>
      <c r="AN5751">
        <v>1.0000000018203901</v>
      </c>
    </row>
    <row r="5752" spans="1:40" x14ac:dyDescent="0.25">
      <c r="A5752" t="str">
        <f>"20190304155748348"</f>
        <v>20190304155748348</v>
      </c>
      <c r="B5752" t="str">
        <f>"1551686268339910"</f>
        <v>1551686268339910</v>
      </c>
      <c r="C5752" t="s">
        <v>40</v>
      </c>
      <c r="D5752">
        <v>4.5990799999999998</v>
      </c>
      <c r="E5752">
        <v>0.5754975</v>
      </c>
      <c r="F5752" t="s">
        <v>44</v>
      </c>
      <c r="G5752">
        <v>-302.83859999999999</v>
      </c>
      <c r="H5752">
        <v>-0.05</v>
      </c>
      <c r="I5752">
        <v>10.85355</v>
      </c>
      <c r="J5752">
        <v>-336.2595</v>
      </c>
      <c r="K5752">
        <v>1.109645</v>
      </c>
      <c r="L5752">
        <v>17.084350000000001</v>
      </c>
      <c r="M5752">
        <v>0.99982320000000002</v>
      </c>
      <c r="N5752">
        <v>-1.2714100000000001E-2</v>
      </c>
      <c r="O5752">
        <v>1.386426E-2</v>
      </c>
      <c r="P5752">
        <v>0.9894579</v>
      </c>
      <c r="Q5752">
        <v>0.14415829999999999</v>
      </c>
      <c r="R5752">
        <v>1.384646E-2</v>
      </c>
      <c r="S5752">
        <v>3.0558169999999998</v>
      </c>
      <c r="T5752">
        <v>-0.105143</v>
      </c>
      <c r="U5752">
        <v>-0.56457519999999894</v>
      </c>
      <c r="V5752" s="1">
        <v>-3.1382540000000003E-5</v>
      </c>
      <c r="W5752">
        <v>0.15672820000000001</v>
      </c>
      <c r="X5752">
        <v>0.98764180000000001</v>
      </c>
      <c r="Y5752">
        <v>0.19513939999999999</v>
      </c>
      <c r="Z5752">
        <v>-4.8777769999999998E-3</v>
      </c>
      <c r="AA5752">
        <v>0.98076339999999995</v>
      </c>
      <c r="AB5752">
        <v>35</v>
      </c>
      <c r="AC5752">
        <v>33.420900000000003</v>
      </c>
      <c r="AD5752">
        <v>-1.159645</v>
      </c>
      <c r="AE5752">
        <v>-6.2308000000000003</v>
      </c>
      <c r="AF5752">
        <v>6.6858153692610696</v>
      </c>
      <c r="AG5752">
        <v>-1.159645</v>
      </c>
      <c r="AH5752">
        <v>33.2925582076805</v>
      </c>
      <c r="AI5752">
        <v>91.955899278695995</v>
      </c>
      <c r="AJ5752">
        <v>78.644892803759802</v>
      </c>
      <c r="AK5752">
        <v>33.977041302763098</v>
      </c>
      <c r="AL5752">
        <v>80.982960288667797</v>
      </c>
      <c r="AM5752">
        <v>90.001820586260905</v>
      </c>
      <c r="AN5752">
        <v>1.00000002738367</v>
      </c>
    </row>
    <row r="5753" spans="1:40" x14ac:dyDescent="0.25">
      <c r="A5753" t="str">
        <f>"20190304155748360"</f>
        <v>20190304155748360</v>
      </c>
      <c r="B5753" t="str">
        <f>"1551686268350646"</f>
        <v>1551686268350646</v>
      </c>
      <c r="C5753" t="s">
        <v>40</v>
      </c>
      <c r="D5753">
        <v>4.7465409999999997</v>
      </c>
      <c r="E5753">
        <v>0.57580710000000002</v>
      </c>
      <c r="F5753" t="s">
        <v>44</v>
      </c>
      <c r="G5753">
        <v>-301.7106</v>
      </c>
      <c r="H5753">
        <v>-0.05</v>
      </c>
      <c r="I5753">
        <v>10.62717</v>
      </c>
      <c r="J5753">
        <v>-336.09100000000001</v>
      </c>
      <c r="K5753">
        <v>1.1096200000000001</v>
      </c>
      <c r="L5753">
        <v>17.08652</v>
      </c>
      <c r="M5753">
        <v>0.99982490000000002</v>
      </c>
      <c r="N5753">
        <v>-1.2765E-2</v>
      </c>
      <c r="O5753">
        <v>1.368101E-2</v>
      </c>
      <c r="P5753">
        <v>0.98948720000000001</v>
      </c>
      <c r="Q5753">
        <v>0.1439848</v>
      </c>
      <c r="R5753">
        <v>1.355205E-2</v>
      </c>
      <c r="S5753">
        <v>3.0548709999999999</v>
      </c>
      <c r="T5753">
        <v>-0.10253760000000001</v>
      </c>
      <c r="U5753">
        <v>-0.57095340000000006</v>
      </c>
      <c r="V5753" s="1">
        <v>9.2767879999999995E-5</v>
      </c>
      <c r="W5753">
        <v>0.15660479999999999</v>
      </c>
      <c r="X5753">
        <v>0.98766140000000002</v>
      </c>
      <c r="Y5753">
        <v>0.19699810000000001</v>
      </c>
      <c r="Z5753">
        <v>-4.827741E-3</v>
      </c>
      <c r="AA5753">
        <v>0.98039200000000004</v>
      </c>
      <c r="AB5753">
        <v>35</v>
      </c>
      <c r="AC5753">
        <v>34.380400000000002</v>
      </c>
      <c r="AD5753">
        <v>-1.1596200000000001</v>
      </c>
      <c r="AE5753">
        <v>-6.4593499999999997</v>
      </c>
      <c r="AF5753">
        <v>6.9215364819497696</v>
      </c>
      <c r="AG5753">
        <v>-1.1596200000000001</v>
      </c>
      <c r="AH5753">
        <v>34.251166822830101</v>
      </c>
      <c r="AI5753">
        <v>91.900694148784396</v>
      </c>
      <c r="AJ5753">
        <v>78.575424397436393</v>
      </c>
      <c r="AK5753">
        <v>34.962763256652003</v>
      </c>
      <c r="AL5753">
        <v>80.990119251097099</v>
      </c>
      <c r="AM5753">
        <v>89.994618390490103</v>
      </c>
      <c r="AN5753">
        <v>1.00000005651943</v>
      </c>
    </row>
    <row r="5754" spans="1:40" x14ac:dyDescent="0.25">
      <c r="A5754" t="str">
        <f>"20190304155748372"</f>
        <v>20190304155748372</v>
      </c>
      <c r="B5754" t="str">
        <f>"1551686268360407"</f>
        <v>1551686268360407</v>
      </c>
      <c r="C5754" t="s">
        <v>40</v>
      </c>
      <c r="D5754">
        <v>4.6986160000000003</v>
      </c>
      <c r="E5754">
        <v>0.57585379999999997</v>
      </c>
      <c r="F5754" t="s">
        <v>44</v>
      </c>
      <c r="G5754">
        <v>-301.47239999999999</v>
      </c>
      <c r="H5754">
        <v>-0.05</v>
      </c>
      <c r="I5754">
        <v>10.57813</v>
      </c>
      <c r="J5754">
        <v>-335.9042</v>
      </c>
      <c r="K5754">
        <v>1.1095900000000001</v>
      </c>
      <c r="L5754">
        <v>17.08887</v>
      </c>
      <c r="M5754">
        <v>0.99982709999999997</v>
      </c>
      <c r="N5754">
        <v>-1.282145E-2</v>
      </c>
      <c r="O5754">
        <v>1.346779E-2</v>
      </c>
      <c r="P5754">
        <v>0.98952329999999999</v>
      </c>
      <c r="Q5754">
        <v>0.14379029999999901</v>
      </c>
      <c r="R5754">
        <v>1.2973220000000001E-2</v>
      </c>
      <c r="S5754">
        <v>3.0546259999999998</v>
      </c>
      <c r="T5754">
        <v>-0.102321</v>
      </c>
      <c r="U5754">
        <v>-0.57427980000000001</v>
      </c>
      <c r="V5754">
        <v>4.7330640000000003E-4</v>
      </c>
      <c r="W5754">
        <v>0.15646640000000001</v>
      </c>
      <c r="X5754">
        <v>0.98768319999999998</v>
      </c>
      <c r="Y5754">
        <v>0.19783429999999999</v>
      </c>
      <c r="Z5754">
        <v>-4.8396890000000003E-3</v>
      </c>
      <c r="AA5754">
        <v>0.98022350000000003</v>
      </c>
      <c r="AB5754">
        <v>35</v>
      </c>
      <c r="AC5754">
        <v>34.431800000000003</v>
      </c>
      <c r="AD5754">
        <v>-1.1595899999999999</v>
      </c>
      <c r="AE5754">
        <v>-6.5107400000000002</v>
      </c>
      <c r="AF5754">
        <v>6.9662793894336597</v>
      </c>
      <c r="AG5754">
        <v>-1.1595899999999999</v>
      </c>
      <c r="AH5754">
        <v>34.303420398489301</v>
      </c>
      <c r="AI5754">
        <v>91.897384229924796</v>
      </c>
      <c r="AJ5754">
        <v>78.520579815411693</v>
      </c>
      <c r="AK5754">
        <v>35.022826107200999</v>
      </c>
      <c r="AL5754">
        <v>80.998147729891599</v>
      </c>
      <c r="AM5754">
        <v>89.972543365058002</v>
      </c>
      <c r="AN5754">
        <v>1.0000000309550701</v>
      </c>
    </row>
    <row r="5755" spans="1:40" x14ac:dyDescent="0.25">
      <c r="A5755" t="str">
        <f>"20190304155748384"</f>
        <v>20190304155748384</v>
      </c>
      <c r="B5755" t="str">
        <f>"1551686268380151"</f>
        <v>1551686268380151</v>
      </c>
      <c r="C5755" t="s">
        <v>40</v>
      </c>
      <c r="D5755">
        <v>4.6458959999999996</v>
      </c>
      <c r="E5755">
        <v>0.55341459999999998</v>
      </c>
      <c r="F5755" t="s">
        <v>44</v>
      </c>
      <c r="G5755">
        <v>-300.9633</v>
      </c>
      <c r="H5755">
        <v>-0.05</v>
      </c>
      <c r="I5755">
        <v>10.49278</v>
      </c>
      <c r="J5755">
        <v>-335.70979999999997</v>
      </c>
      <c r="K5755">
        <v>1.1095600000000001</v>
      </c>
      <c r="L5755">
        <v>17.091249999999999</v>
      </c>
      <c r="M5755">
        <v>0.99982969999999904</v>
      </c>
      <c r="N5755">
        <v>-1.288108E-2</v>
      </c>
      <c r="O5755">
        <v>1.321191E-2</v>
      </c>
      <c r="P5755">
        <v>0.98956060000000001</v>
      </c>
      <c r="Q5755">
        <v>0.1435795</v>
      </c>
      <c r="R5755">
        <v>1.2444480000000001E-2</v>
      </c>
      <c r="S5755">
        <v>3.0540470000000002</v>
      </c>
      <c r="T5755">
        <v>-0.1013553</v>
      </c>
      <c r="U5755">
        <v>-0.57653809999999905</v>
      </c>
      <c r="V5755">
        <v>7.6307689999999999E-4</v>
      </c>
      <c r="W5755">
        <v>0.1563147</v>
      </c>
      <c r="X5755">
        <v>0.987707</v>
      </c>
      <c r="Y5755">
        <v>0.1983192</v>
      </c>
      <c r="Z5755">
        <v>-4.8161539999999996E-3</v>
      </c>
      <c r="AA5755">
        <v>0.98012569999999999</v>
      </c>
      <c r="AB5755">
        <v>35</v>
      </c>
      <c r="AC5755">
        <v>34.746499999999898</v>
      </c>
      <c r="AD5755">
        <v>-1.1595599999999999</v>
      </c>
      <c r="AE5755">
        <v>-6.5984699999999901</v>
      </c>
      <c r="AF5755">
        <v>7.0494221262056396</v>
      </c>
      <c r="AG5755">
        <v>-1.1595599999999999</v>
      </c>
      <c r="AH5755">
        <v>34.619068260847598</v>
      </c>
      <c r="AI5755">
        <v>91.879846452451602</v>
      </c>
      <c r="AJ5755">
        <v>78.490316888250902</v>
      </c>
      <c r="AK5755">
        <v>35.348533476740798</v>
      </c>
      <c r="AL5755">
        <v>81.006947435308703</v>
      </c>
      <c r="AM5755">
        <v>89.955734770417394</v>
      </c>
      <c r="AN5755">
        <v>0.99999999278572205</v>
      </c>
    </row>
    <row r="5756" spans="1:40" x14ac:dyDescent="0.25">
      <c r="A5756" t="str">
        <f>"20190304155748396"</f>
        <v>20190304155748396</v>
      </c>
      <c r="B5756" t="str">
        <f>"1551686268389911"</f>
        <v>1551686268389911</v>
      </c>
      <c r="C5756" t="s">
        <v>40</v>
      </c>
      <c r="D5756">
        <v>4.6924989999999998</v>
      </c>
      <c r="E5756">
        <v>0.55341459999999998</v>
      </c>
      <c r="F5756" t="s">
        <v>44</v>
      </c>
      <c r="G5756">
        <v>-301.94189999999998</v>
      </c>
      <c r="H5756">
        <v>-0.05</v>
      </c>
      <c r="I5756">
        <v>12.67395</v>
      </c>
      <c r="J5756">
        <v>-335.52390000000003</v>
      </c>
      <c r="K5756">
        <v>1.109534</v>
      </c>
      <c r="L5756">
        <v>17.09348</v>
      </c>
      <c r="M5756">
        <v>0.99983250000000001</v>
      </c>
      <c r="N5756">
        <v>-1.293771E-2</v>
      </c>
      <c r="O5756">
        <v>1.294497E-2</v>
      </c>
      <c r="P5756">
        <v>0.98960320000000002</v>
      </c>
      <c r="Q5756">
        <v>0.14333479999999901</v>
      </c>
      <c r="R5756">
        <v>1.186331E-2</v>
      </c>
      <c r="S5756">
        <v>3.0519099999999999</v>
      </c>
      <c r="T5756">
        <v>-0.1047999</v>
      </c>
      <c r="U5756">
        <v>-0.399231</v>
      </c>
      <c r="V5756">
        <v>1.0939680000000001E-3</v>
      </c>
      <c r="W5756">
        <v>0.1561264</v>
      </c>
      <c r="X5756">
        <v>0.98773650000000002</v>
      </c>
      <c r="Y5756">
        <v>0.14241719999999999</v>
      </c>
      <c r="Z5756">
        <v>-3.6356259999999999E-3</v>
      </c>
      <c r="AA5756">
        <v>0.98980000000000001</v>
      </c>
      <c r="AB5756">
        <v>35</v>
      </c>
      <c r="AC5756">
        <v>33.582000000000001</v>
      </c>
      <c r="AD5756">
        <v>-1.1595340000000001</v>
      </c>
      <c r="AE5756">
        <v>-4.41953</v>
      </c>
      <c r="AF5756">
        <v>4.8482322798746598</v>
      </c>
      <c r="AG5756">
        <v>-1.1595340000000001</v>
      </c>
      <c r="AH5756">
        <v>33.482731289447102</v>
      </c>
      <c r="AI5756">
        <v>91.962951374750205</v>
      </c>
      <c r="AJ5756">
        <v>81.760948927647803</v>
      </c>
      <c r="AK5756">
        <v>33.851782374612</v>
      </c>
      <c r="AL5756">
        <v>81.017870599889406</v>
      </c>
      <c r="AM5756">
        <v>89.9365420598577</v>
      </c>
      <c r="AN5756">
        <v>1.0000000214875899</v>
      </c>
    </row>
    <row r="5757" spans="1:40" x14ac:dyDescent="0.25">
      <c r="A5757" t="str">
        <f>"20190304155748407"</f>
        <v>20190304155748407</v>
      </c>
      <c r="B5757" t="str">
        <f>"1551686268400647"</f>
        <v>1551686268400647</v>
      </c>
      <c r="C5757" t="s">
        <v>40</v>
      </c>
      <c r="D5757">
        <v>4.7538450000000001</v>
      </c>
      <c r="E5757">
        <v>0.53522269999999905</v>
      </c>
      <c r="F5757" t="s">
        <v>44</v>
      </c>
      <c r="G5757">
        <v>-301.96480000000003</v>
      </c>
      <c r="H5757">
        <v>-0.05</v>
      </c>
      <c r="I5757">
        <v>12.68159</v>
      </c>
      <c r="J5757">
        <v>-335.34629999999999</v>
      </c>
      <c r="K5757">
        <v>1.10951</v>
      </c>
      <c r="L5757">
        <v>17.095549999999999</v>
      </c>
      <c r="M5757">
        <v>0.99983529999999998</v>
      </c>
      <c r="N5757">
        <v>-1.2991519999999999E-2</v>
      </c>
      <c r="O5757">
        <v>1.267418E-2</v>
      </c>
      <c r="P5757">
        <v>0.98963369999999995</v>
      </c>
      <c r="Q5757">
        <v>0.1431451</v>
      </c>
      <c r="R5757">
        <v>1.160981E-2</v>
      </c>
      <c r="S5757">
        <v>3.0516049999999999</v>
      </c>
      <c r="T5757">
        <v>-0.10543909999999999</v>
      </c>
      <c r="U5757">
        <v>-0.40118409999999999</v>
      </c>
      <c r="V5757">
        <v>1.092679E-3</v>
      </c>
      <c r="W5757">
        <v>0.15598979999999901</v>
      </c>
      <c r="X5757">
        <v>0.98775809999999997</v>
      </c>
      <c r="Y5757">
        <v>0.14278299999999999</v>
      </c>
      <c r="Z5757">
        <v>-3.6594000000000002E-3</v>
      </c>
      <c r="AA5757">
        <v>0.98974720000000005</v>
      </c>
      <c r="AB5757">
        <v>35</v>
      </c>
      <c r="AC5757">
        <v>33.381499999999903</v>
      </c>
      <c r="AD5757">
        <v>-1.15951</v>
      </c>
      <c r="AE5757">
        <v>-4.4139599999999897</v>
      </c>
      <c r="AF5757">
        <v>4.8309956765104403</v>
      </c>
      <c r="AG5757">
        <v>-1.15951</v>
      </c>
      <c r="AH5757">
        <v>33.283402984800297</v>
      </c>
      <c r="AI5757">
        <v>91.974559162720297</v>
      </c>
      <c r="AJ5757">
        <v>81.741347742805502</v>
      </c>
      <c r="AK5757">
        <v>33.652160360297401</v>
      </c>
      <c r="AL5757">
        <v>81.025794433523799</v>
      </c>
      <c r="AM5757">
        <v>89.936618217025895</v>
      </c>
      <c r="AN5757">
        <v>1.0000000378835201</v>
      </c>
    </row>
    <row r="5758" spans="1:40" x14ac:dyDescent="0.25">
      <c r="A5758" t="str">
        <f>"20190304155748418"</f>
        <v>20190304155748418</v>
      </c>
      <c r="B5758" t="str">
        <f>"1551686268410408"</f>
        <v>1551686268410408</v>
      </c>
      <c r="C5758" t="s">
        <v>40</v>
      </c>
      <c r="D5758">
        <v>4.7136969999999998</v>
      </c>
      <c r="E5758">
        <v>0.5361783</v>
      </c>
      <c r="F5758" t="s">
        <v>44</v>
      </c>
      <c r="G5758">
        <v>-312.24970000000002</v>
      </c>
      <c r="H5758">
        <v>-0.05</v>
      </c>
      <c r="I5758">
        <v>15.14819</v>
      </c>
      <c r="J5758">
        <v>-335.19409999999999</v>
      </c>
      <c r="K5758">
        <v>1.1094839999999999</v>
      </c>
      <c r="L5758">
        <v>17.09723</v>
      </c>
      <c r="M5758">
        <v>0.99983809999999995</v>
      </c>
      <c r="N5758">
        <v>-1.303707E-2</v>
      </c>
      <c r="O5758">
        <v>1.241334E-2</v>
      </c>
      <c r="P5758">
        <v>0.98962490000000003</v>
      </c>
      <c r="Q5758">
        <v>0.14325299999999999</v>
      </c>
      <c r="R5758">
        <v>1.101413E-2</v>
      </c>
      <c r="S5758">
        <v>3.0566710000000001</v>
      </c>
      <c r="T5758">
        <v>-0.15345339999999999</v>
      </c>
      <c r="U5758">
        <v>-0.25772089999999998</v>
      </c>
      <c r="V5758">
        <v>1.442125E-3</v>
      </c>
      <c r="W5758">
        <v>0.1561419</v>
      </c>
      <c r="X5758">
        <v>0.98773359999999999</v>
      </c>
      <c r="Y5758">
        <v>9.6219840000000001E-2</v>
      </c>
      <c r="Z5758">
        <v>-3.4986079999999998E-3</v>
      </c>
      <c r="AA5758">
        <v>0.99535390000000001</v>
      </c>
      <c r="AB5758">
        <v>35</v>
      </c>
      <c r="AC5758">
        <v>22.944399999999899</v>
      </c>
      <c r="AD5758">
        <v>-1.159484</v>
      </c>
      <c r="AE5758">
        <v>-1.9490400000000001</v>
      </c>
      <c r="AF5758">
        <v>2.22808143994911</v>
      </c>
      <c r="AG5758">
        <v>-1.159484</v>
      </c>
      <c r="AH5758">
        <v>22.8604743299679</v>
      </c>
      <c r="AI5758">
        <v>92.889885556010796</v>
      </c>
      <c r="AJ5758">
        <v>84.433285870156794</v>
      </c>
      <c r="AK5758">
        <v>22.998044191635501</v>
      </c>
      <c r="AL5758">
        <v>81.016971462475396</v>
      </c>
      <c r="AM5758">
        <v>89.9163462523519</v>
      </c>
      <c r="AN5758">
        <v>1.0000000186145399</v>
      </c>
    </row>
    <row r="5759" spans="1:40" x14ac:dyDescent="0.25">
      <c r="A5759" t="str">
        <f>"20190304155748428"</f>
        <v>20190304155748428</v>
      </c>
      <c r="B5759" t="str">
        <f>"1551686268420167"</f>
        <v>1551686268420167</v>
      </c>
      <c r="C5759" t="s">
        <v>40</v>
      </c>
      <c r="D5759">
        <v>4.7149979999999996</v>
      </c>
      <c r="E5759">
        <v>0.53625269999999903</v>
      </c>
      <c r="F5759" t="s">
        <v>44</v>
      </c>
      <c r="G5759">
        <v>-312.84609999999998</v>
      </c>
      <c r="H5759">
        <v>-0.05</v>
      </c>
      <c r="I5759">
        <v>15.143829999999999</v>
      </c>
      <c r="J5759">
        <v>-335.0147</v>
      </c>
      <c r="K5759">
        <v>1.1094539999999999</v>
      </c>
      <c r="L5759">
        <v>17.099209999999999</v>
      </c>
      <c r="M5759">
        <v>0.99984119999999999</v>
      </c>
      <c r="N5759">
        <v>-1.3090589999999999E-2</v>
      </c>
      <c r="O5759">
        <v>1.2099530000000001E-2</v>
      </c>
      <c r="P5759">
        <v>0.98963129999999999</v>
      </c>
      <c r="Q5759">
        <v>0.1432659</v>
      </c>
      <c r="R5759">
        <v>1.024276E-2</v>
      </c>
      <c r="S5759">
        <v>3.057404</v>
      </c>
      <c r="T5759">
        <v>-0.15862789999999999</v>
      </c>
      <c r="U5759">
        <v>-0.26724239999999999</v>
      </c>
      <c r="V5759">
        <v>1.9171430000000001E-3</v>
      </c>
      <c r="W5759">
        <v>0.1562074</v>
      </c>
      <c r="X5759">
        <v>0.9877224</v>
      </c>
      <c r="Y5759">
        <v>9.8949780000000001E-2</v>
      </c>
      <c r="Z5759">
        <v>-3.6779989999999999E-3</v>
      </c>
      <c r="AA5759">
        <v>0.99508569999999996</v>
      </c>
      <c r="AB5759">
        <v>35</v>
      </c>
      <c r="AC5759">
        <v>22.168600000000001</v>
      </c>
      <c r="AD5759">
        <v>-1.159454</v>
      </c>
      <c r="AE5759">
        <v>-1.9553799999999999</v>
      </c>
      <c r="AF5759">
        <v>2.21747046328972</v>
      </c>
      <c r="AG5759">
        <v>-1.159454</v>
      </c>
      <c r="AH5759">
        <v>22.083373880718302</v>
      </c>
      <c r="AI5759">
        <v>92.990457350639304</v>
      </c>
      <c r="AJ5759">
        <v>84.265946481521993</v>
      </c>
      <c r="AK5759">
        <v>22.224691466683399</v>
      </c>
      <c r="AL5759">
        <v>81.013171647635403</v>
      </c>
      <c r="AM5759">
        <v>89.888790550177006</v>
      </c>
      <c r="AN5759">
        <v>0.99999998335690099</v>
      </c>
    </row>
    <row r="5760" spans="1:40" x14ac:dyDescent="0.25">
      <c r="A5760" t="str">
        <f>"20190304155748440"</f>
        <v>20190304155748440</v>
      </c>
      <c r="B5760" t="str">
        <f>"1551686268429928"</f>
        <v>1551686268429928</v>
      </c>
      <c r="C5760" t="s">
        <v>40</v>
      </c>
      <c r="D5760">
        <v>4.7327079999999997</v>
      </c>
      <c r="E5760">
        <v>0.53648589999999996</v>
      </c>
      <c r="F5760" t="s">
        <v>44</v>
      </c>
      <c r="G5760">
        <v>-312.8954</v>
      </c>
      <c r="H5760">
        <v>-0.05</v>
      </c>
      <c r="I5760">
        <v>15.1433</v>
      </c>
      <c r="J5760">
        <v>-334.85550000000001</v>
      </c>
      <c r="K5760">
        <v>1.1094280000000001</v>
      </c>
      <c r="L5760">
        <v>17.100829999999998</v>
      </c>
      <c r="M5760">
        <v>0.99984419999999996</v>
      </c>
      <c r="N5760">
        <v>-1.3137960000000001E-2</v>
      </c>
      <c r="O5760">
        <v>1.178454E-2</v>
      </c>
      <c r="P5760">
        <v>0.98961889999999997</v>
      </c>
      <c r="Q5760">
        <v>0.14337169999999999</v>
      </c>
      <c r="R5760">
        <v>9.9602349999999996E-3</v>
      </c>
      <c r="S5760">
        <v>3.0574340000000002</v>
      </c>
      <c r="T5760">
        <v>-0.16026460000000001</v>
      </c>
      <c r="U5760">
        <v>-0.27035520000000002</v>
      </c>
      <c r="V5760">
        <v>1.9007900000000001E-3</v>
      </c>
      <c r="W5760">
        <v>0.15635950000000001</v>
      </c>
      <c r="X5760">
        <v>0.98769839999999998</v>
      </c>
      <c r="Y5760">
        <v>9.9636409999999995E-2</v>
      </c>
      <c r="Z5760">
        <v>-3.7226149999999999E-3</v>
      </c>
      <c r="AA5760">
        <v>0.99501689999999998</v>
      </c>
      <c r="AB5760">
        <v>35</v>
      </c>
      <c r="AC5760">
        <v>21.960100000000001</v>
      </c>
      <c r="AD5760">
        <v>-1.1594279999999999</v>
      </c>
      <c r="AE5760">
        <v>-1.95752999999999</v>
      </c>
      <c r="AF5760">
        <v>2.2100939441037601</v>
      </c>
      <c r="AG5760">
        <v>-1.1594279999999999</v>
      </c>
      <c r="AH5760">
        <v>21.875007791545301</v>
      </c>
      <c r="AI5760">
        <v>93.018636297220198</v>
      </c>
      <c r="AJ5760">
        <v>84.230821981098103</v>
      </c>
      <c r="AK5760">
        <v>22.016919730269201</v>
      </c>
      <c r="AL5760">
        <v>81.004348855722299</v>
      </c>
      <c r="AM5760">
        <v>89.889736471889805</v>
      </c>
      <c r="AN5760">
        <v>1.00000001780271</v>
      </c>
    </row>
    <row r="5761" spans="1:40" x14ac:dyDescent="0.25">
      <c r="A5761" t="str">
        <f>"20190304155748451"</f>
        <v>20190304155748451</v>
      </c>
      <c r="B5761" t="str">
        <f>"1551686268440664"</f>
        <v>1551686268440664</v>
      </c>
      <c r="C5761" t="s">
        <v>40</v>
      </c>
      <c r="D5761">
        <v>4.710934</v>
      </c>
      <c r="E5761">
        <v>0.53680459999999997</v>
      </c>
      <c r="F5761" t="s">
        <v>44</v>
      </c>
      <c r="G5761">
        <v>-312.58620000000002</v>
      </c>
      <c r="H5761">
        <v>-0.05</v>
      </c>
      <c r="I5761">
        <v>15.112410000000001</v>
      </c>
      <c r="J5761">
        <v>-334.67720000000003</v>
      </c>
      <c r="K5761">
        <v>1.1093949999999999</v>
      </c>
      <c r="L5761">
        <v>17.102629999999898</v>
      </c>
      <c r="M5761">
        <v>0.99984779999999995</v>
      </c>
      <c r="N5761">
        <v>-1.3190729999999999E-2</v>
      </c>
      <c r="O5761">
        <v>1.142497E-2</v>
      </c>
      <c r="P5761">
        <v>0.98963000000000001</v>
      </c>
      <c r="Q5761">
        <v>0.14332790000000001</v>
      </c>
      <c r="R5761">
        <v>9.4829130000000008E-3</v>
      </c>
      <c r="S5761">
        <v>3.0572509999999999</v>
      </c>
      <c r="T5761">
        <v>-0.15917249999999999</v>
      </c>
      <c r="U5761">
        <v>-0.27297969999999999</v>
      </c>
      <c r="V5761">
        <v>2.0370969999999999E-3</v>
      </c>
      <c r="W5761">
        <v>0.15636700000000001</v>
      </c>
      <c r="X5761">
        <v>0.98769689999999999</v>
      </c>
      <c r="Y5761">
        <v>0.10013279999999999</v>
      </c>
      <c r="Z5761">
        <v>-3.7050360000000001E-3</v>
      </c>
      <c r="AA5761">
        <v>0.99496719999999905</v>
      </c>
      <c r="AB5761">
        <v>35</v>
      </c>
      <c r="AC5761">
        <v>22.091000000000001</v>
      </c>
      <c r="AD5761">
        <v>-1.159395</v>
      </c>
      <c r="AE5761">
        <v>-1.9902199999999901</v>
      </c>
      <c r="AF5761">
        <v>2.2363906439536301</v>
      </c>
      <c r="AG5761">
        <v>-1.159395</v>
      </c>
      <c r="AH5761">
        <v>22.0066898480849</v>
      </c>
      <c r="AI5761">
        <v>93.000344111097107</v>
      </c>
      <c r="AJ5761">
        <v>84.197339014440402</v>
      </c>
      <c r="AK5761">
        <v>22.150395886940501</v>
      </c>
      <c r="AL5761">
        <v>81.003913419024897</v>
      </c>
      <c r="AM5761">
        <v>89.881829238238396</v>
      </c>
      <c r="AN5761">
        <v>0.99999997736139801</v>
      </c>
    </row>
    <row r="5762" spans="1:40" x14ac:dyDescent="0.25">
      <c r="A5762" t="str">
        <f>"20190304155748462"</f>
        <v>20190304155748462</v>
      </c>
      <c r="B5762" t="str">
        <f>"1551686268450423"</f>
        <v>1551686268450423</v>
      </c>
      <c r="C5762" t="s">
        <v>40</v>
      </c>
      <c r="D5762">
        <v>4.915006</v>
      </c>
      <c r="E5762">
        <v>0.53696630000000001</v>
      </c>
      <c r="F5762" t="s">
        <v>44</v>
      </c>
      <c r="G5762">
        <v>-312.32679999999999</v>
      </c>
      <c r="H5762">
        <v>-0.05</v>
      </c>
      <c r="I5762">
        <v>15.076320000000001</v>
      </c>
      <c r="J5762">
        <v>-334.51080000000002</v>
      </c>
      <c r="K5762">
        <v>1.109367</v>
      </c>
      <c r="L5762">
        <v>17.104189999999999</v>
      </c>
      <c r="M5762">
        <v>0.99985119999999905</v>
      </c>
      <c r="N5762">
        <v>-1.3238659999999999E-2</v>
      </c>
      <c r="O5762">
        <v>1.1056389999999999E-2</v>
      </c>
      <c r="P5762">
        <v>0.98965599999999998</v>
      </c>
      <c r="Q5762">
        <v>0.14319279999999901</v>
      </c>
      <c r="R5762">
        <v>8.7595409999999992E-3</v>
      </c>
      <c r="S5762">
        <v>3.0570979999999999</v>
      </c>
      <c r="T5762">
        <v>-0.15858259999999999</v>
      </c>
      <c r="U5762">
        <v>-0.27716059999999998</v>
      </c>
      <c r="V5762">
        <v>2.4099949999999998E-3</v>
      </c>
      <c r="W5762">
        <v>0.15627939999999901</v>
      </c>
      <c r="X5762">
        <v>0.98770990000000003</v>
      </c>
      <c r="Y5762">
        <v>0.10112</v>
      </c>
      <c r="Z5762">
        <v>-3.712969E-3</v>
      </c>
      <c r="AA5762">
        <v>0.99486730000000001</v>
      </c>
      <c r="AB5762">
        <v>34</v>
      </c>
      <c r="AC5762">
        <v>22.184000000000001</v>
      </c>
      <c r="AD5762">
        <v>-1.159367</v>
      </c>
      <c r="AE5762">
        <v>-2.0278699999999898</v>
      </c>
      <c r="AF5762">
        <v>2.2669023090174298</v>
      </c>
      <c r="AG5762">
        <v>-1.159367</v>
      </c>
      <c r="AH5762">
        <v>22.100359406486898</v>
      </c>
      <c r="AI5762">
        <v>92.987292383953701</v>
      </c>
      <c r="AJ5762">
        <v>84.143476436791801</v>
      </c>
      <c r="AK5762">
        <v>22.2465472335643</v>
      </c>
      <c r="AL5762">
        <v>81.008994779513401</v>
      </c>
      <c r="AM5762">
        <v>89.860199570619699</v>
      </c>
      <c r="AN5762">
        <v>0.999999952749133</v>
      </c>
    </row>
    <row r="5763" spans="1:40" x14ac:dyDescent="0.25">
      <c r="A5763" t="str">
        <f>"20190304155748473"</f>
        <v>20190304155748473</v>
      </c>
      <c r="B5763" t="str">
        <f>"1551686268469943"</f>
        <v>1551686268469943</v>
      </c>
      <c r="C5763" t="s">
        <v>40</v>
      </c>
      <c r="D5763">
        <v>4.7339099999999998</v>
      </c>
      <c r="E5763">
        <v>0.53708900000000004</v>
      </c>
      <c r="F5763" t="s">
        <v>44</v>
      </c>
      <c r="G5763">
        <v>-312.91019999999997</v>
      </c>
      <c r="H5763">
        <v>-0.05</v>
      </c>
      <c r="I5763">
        <v>15.121370000000001</v>
      </c>
      <c r="J5763">
        <v>-334.34269999999998</v>
      </c>
      <c r="K5763">
        <v>1.109334</v>
      </c>
      <c r="L5763">
        <v>17.105709999999998</v>
      </c>
      <c r="M5763">
        <v>0.99985480000000004</v>
      </c>
      <c r="N5763">
        <v>-1.3285999999999999E-2</v>
      </c>
      <c r="O5763">
        <v>1.0672249999999999E-2</v>
      </c>
      <c r="P5763">
        <v>0.98964169999999996</v>
      </c>
      <c r="Q5763">
        <v>0.14331440000000001</v>
      </c>
      <c r="R5763">
        <v>8.3920569999999996E-3</v>
      </c>
      <c r="S5763">
        <v>3.0575869999999998</v>
      </c>
      <c r="T5763">
        <v>-0.16410959999999999</v>
      </c>
      <c r="U5763">
        <v>-0.28067019999999998</v>
      </c>
      <c r="V5763">
        <v>2.411355E-3</v>
      </c>
      <c r="W5763">
        <v>0.15644710000000001</v>
      </c>
      <c r="X5763">
        <v>0.98768339999999999</v>
      </c>
      <c r="Y5763">
        <v>0.1018434</v>
      </c>
      <c r="Z5763">
        <v>-3.8338840000000001E-3</v>
      </c>
      <c r="AA5763">
        <v>0.99479309999999999</v>
      </c>
      <c r="AB5763">
        <v>34</v>
      </c>
      <c r="AC5763">
        <v>21.432500000000001</v>
      </c>
      <c r="AD5763">
        <v>-1.1593340000000001</v>
      </c>
      <c r="AE5763">
        <v>-1.98434</v>
      </c>
      <c r="AF5763">
        <v>2.2065786238218599</v>
      </c>
      <c r="AG5763">
        <v>-1.1593340000000001</v>
      </c>
      <c r="AH5763">
        <v>21.348166532430302</v>
      </c>
      <c r="AI5763">
        <v>93.0920116918942</v>
      </c>
      <c r="AJ5763">
        <v>84.098777888155496</v>
      </c>
      <c r="AK5763">
        <v>21.493190987916201</v>
      </c>
      <c r="AL5763">
        <v>80.999267083478401</v>
      </c>
      <c r="AM5763">
        <v>89.860116926229196</v>
      </c>
      <c r="AN5763">
        <v>1.00000000418345</v>
      </c>
    </row>
    <row r="5764" spans="1:40" x14ac:dyDescent="0.25">
      <c r="A5764" t="str">
        <f>"20190304155748484"</f>
        <v>20190304155748484</v>
      </c>
      <c r="B5764" t="str">
        <f>"1551686268480679"</f>
        <v>1551686268480679</v>
      </c>
      <c r="C5764" t="s">
        <v>40</v>
      </c>
      <c r="D5764">
        <v>5.0722189999999996</v>
      </c>
      <c r="E5764">
        <v>0.53708900000000004</v>
      </c>
      <c r="F5764" t="s">
        <v>44</v>
      </c>
      <c r="G5764">
        <v>-312.60050000000001</v>
      </c>
      <c r="H5764">
        <v>-0.05</v>
      </c>
      <c r="I5764">
        <v>15.093920000000001</v>
      </c>
      <c r="J5764">
        <v>-334.16629999999998</v>
      </c>
      <c r="K5764">
        <v>1.109302</v>
      </c>
      <c r="L5764">
        <v>17.107209999999998</v>
      </c>
      <c r="M5764">
        <v>0.99985869999999999</v>
      </c>
      <c r="N5764">
        <v>-1.333313E-2</v>
      </c>
      <c r="O5764">
        <v>1.0243439999999999E-2</v>
      </c>
      <c r="P5764">
        <v>0.98963460000000003</v>
      </c>
      <c r="Q5764">
        <v>0.143402799999999</v>
      </c>
      <c r="R5764">
        <v>7.7172949999999999E-3</v>
      </c>
      <c r="S5764">
        <v>3.0573730000000001</v>
      </c>
      <c r="T5764">
        <v>-0.163024799999999</v>
      </c>
      <c r="U5764">
        <v>-0.28289789999999998</v>
      </c>
      <c r="V5764">
        <v>2.6763289999999999E-3</v>
      </c>
      <c r="W5764">
        <v>0.15658129999999901</v>
      </c>
      <c r="X5764">
        <v>0.98766140000000002</v>
      </c>
      <c r="Y5764">
        <v>0.10214380000000001</v>
      </c>
      <c r="Z5764">
        <v>-3.8070589999999998E-3</v>
      </c>
      <c r="AA5764">
        <v>0.99476240000000005</v>
      </c>
      <c r="AB5764">
        <v>34</v>
      </c>
      <c r="AC5764">
        <v>21.5657999999999</v>
      </c>
      <c r="AD5764">
        <v>-1.1593020000000001</v>
      </c>
      <c r="AE5764">
        <v>-2.01329</v>
      </c>
      <c r="AF5764">
        <v>2.2277299686838599</v>
      </c>
      <c r="AG5764">
        <v>-1.1593020000000001</v>
      </c>
      <c r="AH5764">
        <v>21.4825005509406</v>
      </c>
      <c r="AI5764">
        <v>93.0725230387972</v>
      </c>
      <c r="AJ5764">
        <v>84.079603321383402</v>
      </c>
      <c r="AK5764">
        <v>21.628790809052099</v>
      </c>
      <c r="AL5764">
        <v>80.991481585772803</v>
      </c>
      <c r="AM5764">
        <v>89.844742357078601</v>
      </c>
      <c r="AN5764">
        <v>0.99999995364828198</v>
      </c>
    </row>
    <row r="5765" spans="1:40" x14ac:dyDescent="0.25">
      <c r="A5765" t="str">
        <f>"20190304155748495"</f>
        <v>20190304155748495</v>
      </c>
      <c r="B5765" t="str">
        <f>"1551686268490439"</f>
        <v>1551686268490439</v>
      </c>
      <c r="C5765" t="s">
        <v>40</v>
      </c>
      <c r="D5765">
        <v>4.7325390000000001</v>
      </c>
      <c r="E5765">
        <v>0.53710869999999999</v>
      </c>
      <c r="F5765" t="s">
        <v>44</v>
      </c>
      <c r="G5765">
        <v>-312.3897</v>
      </c>
      <c r="H5765">
        <v>-0.05</v>
      </c>
      <c r="I5765">
        <v>15.07755</v>
      </c>
      <c r="J5765">
        <v>-334.00630000000001</v>
      </c>
      <c r="K5765">
        <v>1.109275</v>
      </c>
      <c r="L5765">
        <v>17.10849</v>
      </c>
      <c r="M5765">
        <v>0.99986220000000003</v>
      </c>
      <c r="N5765">
        <v>-1.337616E-2</v>
      </c>
      <c r="O5765">
        <v>9.8376039999999998E-3</v>
      </c>
      <c r="P5765">
        <v>0.98964830000000004</v>
      </c>
      <c r="Q5765">
        <v>0.1433461</v>
      </c>
      <c r="R5765">
        <v>6.9719079999999998E-3</v>
      </c>
      <c r="S5765">
        <v>3.0571899999999999</v>
      </c>
      <c r="T5765">
        <v>-0.16275290000000001</v>
      </c>
      <c r="U5765">
        <v>-0.28494259999999999</v>
      </c>
      <c r="V5765">
        <v>3.0332620000000001E-3</v>
      </c>
      <c r="W5765">
        <v>0.1565667</v>
      </c>
      <c r="X5765">
        <v>0.9876627</v>
      </c>
      <c r="Y5765">
        <v>0.1024055</v>
      </c>
      <c r="Z5765">
        <v>-3.7960789999999999E-3</v>
      </c>
      <c r="AA5765">
        <v>0.99473549999999999</v>
      </c>
      <c r="AB5765">
        <v>34</v>
      </c>
      <c r="AC5765">
        <v>21.616599999999998</v>
      </c>
      <c r="AD5765">
        <v>-1.1592750000000001</v>
      </c>
      <c r="AE5765">
        <v>-2.0309400000000002</v>
      </c>
      <c r="AF5765">
        <v>2.2371384197073199</v>
      </c>
      <c r="AG5765">
        <v>-1.1592750000000001</v>
      </c>
      <c r="AH5765">
        <v>21.534180691731599</v>
      </c>
      <c r="AI5765">
        <v>93.065033009422507</v>
      </c>
      <c r="AJ5765">
        <v>84.068944397056498</v>
      </c>
      <c r="AK5765">
        <v>21.681089568993102</v>
      </c>
      <c r="AL5765">
        <v>80.992328704420302</v>
      </c>
      <c r="AM5765">
        <v>89.824036521419103</v>
      </c>
      <c r="AN5765">
        <v>0.99999997059926904</v>
      </c>
    </row>
    <row r="5766" spans="1:40" x14ac:dyDescent="0.25">
      <c r="A5766" t="str">
        <f>"20190304155748505"</f>
        <v>20190304155748505</v>
      </c>
      <c r="B5766" t="str">
        <f>"1551686268500199"</f>
        <v>1551686268500199</v>
      </c>
      <c r="C5766" t="s">
        <v>40</v>
      </c>
      <c r="D5766">
        <v>4.735055</v>
      </c>
      <c r="E5766">
        <v>0.53705219999999998</v>
      </c>
      <c r="F5766" t="s">
        <v>44</v>
      </c>
      <c r="G5766">
        <v>-312.19979999999998</v>
      </c>
      <c r="H5766">
        <v>-0.05</v>
      </c>
      <c r="I5766">
        <v>15.05803</v>
      </c>
      <c r="J5766">
        <v>-333.8451</v>
      </c>
      <c r="K5766">
        <v>1.1092420000000001</v>
      </c>
      <c r="L5766">
        <v>17.109679999999901</v>
      </c>
      <c r="M5766">
        <v>0.99986580000000003</v>
      </c>
      <c r="N5766">
        <v>-1.3419810000000001E-2</v>
      </c>
      <c r="O5766">
        <v>9.4114960000000001E-3</v>
      </c>
      <c r="P5766">
        <v>0.98959969999999997</v>
      </c>
      <c r="Q5766">
        <v>0.1437138</v>
      </c>
      <c r="R5766">
        <v>6.255699E-3</v>
      </c>
      <c r="S5766">
        <v>3.0569459999999999</v>
      </c>
      <c r="T5766">
        <v>-0.16251309999999999</v>
      </c>
      <c r="U5766">
        <v>-0.28744509999999901</v>
      </c>
      <c r="V5766">
        <v>3.3412229999999999E-3</v>
      </c>
      <c r="W5766">
        <v>0.156976</v>
      </c>
      <c r="X5766">
        <v>0.98759680000000005</v>
      </c>
      <c r="Y5766">
        <v>0.1027961</v>
      </c>
      <c r="Z5766">
        <v>-3.7893850000000001E-3</v>
      </c>
      <c r="AA5766">
        <v>0.9946952</v>
      </c>
      <c r="AB5766">
        <v>34</v>
      </c>
      <c r="AC5766">
        <v>21.645299999999999</v>
      </c>
      <c r="AD5766">
        <v>-1.1592420000000001</v>
      </c>
      <c r="AE5766">
        <v>-2.0516499999999902</v>
      </c>
      <c r="AF5766">
        <v>2.2488990614554698</v>
      </c>
      <c r="AG5766">
        <v>-1.1592420000000001</v>
      </c>
      <c r="AH5766">
        <v>21.563730337683499</v>
      </c>
      <c r="AI5766">
        <v>93.060627118080404</v>
      </c>
      <c r="AJ5766">
        <v>84.046100083266296</v>
      </c>
      <c r="AK5766">
        <v>21.711652518394601</v>
      </c>
      <c r="AL5766">
        <v>80.968584511211105</v>
      </c>
      <c r="AM5766">
        <v>89.806158499175993</v>
      </c>
      <c r="AN5766">
        <v>1.0000000338586801</v>
      </c>
    </row>
    <row r="5767" spans="1:40" x14ac:dyDescent="0.25">
      <c r="A5767" t="str">
        <f>"20190304155748516"</f>
        <v>20190304155748516</v>
      </c>
      <c r="B5767" t="str">
        <f>"1551686268509959"</f>
        <v>1551686268509959</v>
      </c>
      <c r="C5767" t="s">
        <v>40</v>
      </c>
      <c r="D5767">
        <v>4.7090959999999997</v>
      </c>
      <c r="E5767">
        <v>0.53726779999999996</v>
      </c>
      <c r="F5767" t="s">
        <v>44</v>
      </c>
      <c r="G5767">
        <v>-311.8467</v>
      </c>
      <c r="H5767">
        <v>-0.05</v>
      </c>
      <c r="I5767">
        <v>15.02875</v>
      </c>
      <c r="J5767">
        <v>-333.68079999999998</v>
      </c>
      <c r="K5767">
        <v>1.109213</v>
      </c>
      <c r="L5767">
        <v>17.110810000000001</v>
      </c>
      <c r="M5767">
        <v>0.99986920000000001</v>
      </c>
      <c r="N5767">
        <v>-1.346547E-2</v>
      </c>
      <c r="O5767">
        <v>8.9566309999999996E-3</v>
      </c>
      <c r="P5767">
        <v>0.9896315</v>
      </c>
      <c r="Q5767">
        <v>0.14352509999999999</v>
      </c>
      <c r="R5767">
        <v>5.4796469999999998E-3</v>
      </c>
      <c r="S5767">
        <v>3.0567630000000001</v>
      </c>
      <c r="T5767">
        <v>-0.1610818</v>
      </c>
      <c r="U5767">
        <v>-0.28915410000000002</v>
      </c>
      <c r="V5767">
        <v>3.6803019999999999E-3</v>
      </c>
      <c r="W5767">
        <v>0.1568319</v>
      </c>
      <c r="X5767">
        <v>0.98761840000000001</v>
      </c>
      <c r="Y5767">
        <v>0.10290340000000001</v>
      </c>
      <c r="Z5767">
        <v>-3.748824E-3</v>
      </c>
      <c r="AA5767">
        <v>0.99468429999999997</v>
      </c>
      <c r="AB5767">
        <v>34</v>
      </c>
      <c r="AC5767">
        <v>21.8340999999999</v>
      </c>
      <c r="AD5767">
        <v>-1.1592129999999901</v>
      </c>
      <c r="AE5767">
        <v>-2.0820599999999998</v>
      </c>
      <c r="AF5767">
        <v>2.2712099098118501</v>
      </c>
      <c r="AG5767">
        <v>-1.1592129999999901</v>
      </c>
      <c r="AH5767">
        <v>21.753808212047801</v>
      </c>
      <c r="AI5767">
        <v>93.033823012184996</v>
      </c>
      <c r="AJ5767">
        <v>84.039619080750796</v>
      </c>
      <c r="AK5767">
        <v>21.9027473381846</v>
      </c>
      <c r="AL5767">
        <v>80.976943586642193</v>
      </c>
      <c r="AM5767">
        <v>89.786491628863203</v>
      </c>
      <c r="AN5767">
        <v>0.999999946749489</v>
      </c>
    </row>
    <row r="5768" spans="1:40" x14ac:dyDescent="0.25">
      <c r="A5768" t="str">
        <f>"20190304155748529"</f>
        <v>20190304155748529</v>
      </c>
      <c r="B5768" t="str">
        <f>"1551686268520695"</f>
        <v>1551686268520695</v>
      </c>
      <c r="C5768" t="s">
        <v>40</v>
      </c>
      <c r="D5768">
        <v>4.7515910000000003</v>
      </c>
      <c r="E5768">
        <v>0.53744910000000001</v>
      </c>
      <c r="F5768" t="s">
        <v>44</v>
      </c>
      <c r="G5768">
        <v>-311.6164</v>
      </c>
      <c r="H5768">
        <v>-0.05</v>
      </c>
      <c r="I5768">
        <v>14.993379999999901</v>
      </c>
      <c r="J5768">
        <v>-333.47910000000002</v>
      </c>
      <c r="K5768">
        <v>1.109181</v>
      </c>
      <c r="L5768">
        <v>17.112120000000001</v>
      </c>
      <c r="M5768">
        <v>0.99987340000000002</v>
      </c>
      <c r="N5768">
        <v>-1.352251E-2</v>
      </c>
      <c r="O5768">
        <v>8.3799959999999903E-3</v>
      </c>
      <c r="P5768">
        <v>0.98969890000000005</v>
      </c>
      <c r="Q5768">
        <v>0.14309340000000001</v>
      </c>
      <c r="R5768">
        <v>4.5100160000000004E-3</v>
      </c>
      <c r="S5768">
        <v>3.0563349999999998</v>
      </c>
      <c r="T5768">
        <v>-0.1605723</v>
      </c>
      <c r="U5768">
        <v>-0.29330440000000002</v>
      </c>
      <c r="V5768">
        <v>4.0950919999999998E-3</v>
      </c>
      <c r="W5768">
        <v>0.1564556</v>
      </c>
      <c r="X5768">
        <v>0.98767649999999996</v>
      </c>
      <c r="Y5768">
        <v>0.10368139999999899</v>
      </c>
      <c r="Z5768">
        <v>-3.744739E-3</v>
      </c>
      <c r="AA5768">
        <v>0.99460349999999997</v>
      </c>
      <c r="AB5768">
        <v>34</v>
      </c>
      <c r="AC5768">
        <v>21.8627</v>
      </c>
      <c r="AD5768">
        <v>-1.159181</v>
      </c>
      <c r="AE5768">
        <v>-2.1187399999999998</v>
      </c>
      <c r="AF5768">
        <v>2.2954985822320801</v>
      </c>
      <c r="AG5768">
        <v>-1.159181</v>
      </c>
      <c r="AH5768">
        <v>21.783507084154401</v>
      </c>
      <c r="AI5768">
        <v>93.029305892478504</v>
      </c>
      <c r="AJ5768">
        <v>83.984496217737103</v>
      </c>
      <c r="AK5768">
        <v>21.934771373716099</v>
      </c>
      <c r="AL5768">
        <v>80.998773928509095</v>
      </c>
      <c r="AM5768">
        <v>89.762442314031802</v>
      </c>
      <c r="AN5768">
        <v>0.99999999660104899</v>
      </c>
    </row>
    <row r="5769" spans="1:40" x14ac:dyDescent="0.25">
      <c r="A5769" t="str">
        <f>"20190304155748544"</f>
        <v>20190304155748544</v>
      </c>
      <c r="B5769" t="str">
        <f>"1551686268540215"</f>
        <v>1551686268540215</v>
      </c>
      <c r="C5769" t="s">
        <v>40</v>
      </c>
      <c r="D5769">
        <v>4.7497069999999999</v>
      </c>
      <c r="E5769">
        <v>0.53748759999999995</v>
      </c>
      <c r="F5769" t="s">
        <v>44</v>
      </c>
      <c r="G5769">
        <v>-311.55509999999998</v>
      </c>
      <c r="H5769">
        <v>-0.05</v>
      </c>
      <c r="I5769">
        <v>14.973750000000001</v>
      </c>
      <c r="J5769">
        <v>-333.2697</v>
      </c>
      <c r="K5769">
        <v>1.1091470000000001</v>
      </c>
      <c r="L5769">
        <v>17.113250000000001</v>
      </c>
      <c r="M5769">
        <v>0.99987789999999999</v>
      </c>
      <c r="N5769">
        <v>-1.358087E-2</v>
      </c>
      <c r="O5769">
        <v>7.7375730000000002E-3</v>
      </c>
      <c r="P5769">
        <v>0.9897051</v>
      </c>
      <c r="Q5769">
        <v>0.143074799999999</v>
      </c>
      <c r="R5769">
        <v>3.6912580000000002E-3</v>
      </c>
      <c r="S5769">
        <v>3.055939</v>
      </c>
      <c r="T5769">
        <v>-0.161576</v>
      </c>
      <c r="U5769">
        <v>-0.29806519999999997</v>
      </c>
      <c r="V5769">
        <v>4.294707E-3</v>
      </c>
      <c r="W5769">
        <v>0.1564942</v>
      </c>
      <c r="X5769">
        <v>0.98766949999999998</v>
      </c>
      <c r="Y5769">
        <v>0.1045864</v>
      </c>
      <c r="Z5769">
        <v>-3.7720660000000001E-3</v>
      </c>
      <c r="AA5769">
        <v>0.99450859999999996</v>
      </c>
      <c r="AB5769">
        <v>34</v>
      </c>
      <c r="AC5769">
        <v>21.714600000000001</v>
      </c>
      <c r="AD5769">
        <v>-1.1591469999999999</v>
      </c>
      <c r="AE5769">
        <v>-2.1395</v>
      </c>
      <c r="AF5769">
        <v>2.3009760671217201</v>
      </c>
      <c r="AG5769">
        <v>-1.1591469999999999</v>
      </c>
      <c r="AH5769">
        <v>21.6363331459279</v>
      </c>
      <c r="AI5769">
        <v>93.049474588532604</v>
      </c>
      <c r="AJ5769">
        <v>83.929537587237306</v>
      </c>
      <c r="AK5769">
        <v>21.789195134989601</v>
      </c>
      <c r="AL5769">
        <v>80.996534398218898</v>
      </c>
      <c r="AM5769">
        <v>89.750860956543605</v>
      </c>
      <c r="AN5769">
        <v>0.99999996018605197</v>
      </c>
    </row>
    <row r="5770" spans="1:40" x14ac:dyDescent="0.25">
      <c r="A5770" t="str">
        <f>"20190304155748556"</f>
        <v>20190304155748556</v>
      </c>
      <c r="B5770" t="str">
        <f>"1551686268549974"</f>
        <v>1551686268549974</v>
      </c>
      <c r="C5770" t="s">
        <v>40</v>
      </c>
      <c r="D5770">
        <v>4.7753240000000003</v>
      </c>
      <c r="E5770">
        <v>0.53761110000000001</v>
      </c>
      <c r="F5770" t="s">
        <v>44</v>
      </c>
      <c r="G5770">
        <v>-311.01130000000001</v>
      </c>
      <c r="H5770">
        <v>-0.05</v>
      </c>
      <c r="I5770">
        <v>14.919600000000001</v>
      </c>
      <c r="J5770">
        <v>-333.06229999999999</v>
      </c>
      <c r="K5770">
        <v>1.1091120000000001</v>
      </c>
      <c r="L5770">
        <v>17.114260000000002</v>
      </c>
      <c r="M5770">
        <v>0.99988189999999999</v>
      </c>
      <c r="N5770">
        <v>-1.3638050000000001E-2</v>
      </c>
      <c r="O5770">
        <v>7.0779240000000002E-3</v>
      </c>
      <c r="P5770">
        <v>0.98970689999999995</v>
      </c>
      <c r="Q5770">
        <v>0.1430765</v>
      </c>
      <c r="R5770">
        <v>3.0813009999999998E-3</v>
      </c>
      <c r="S5770">
        <v>3.0553279999999998</v>
      </c>
      <c r="T5770">
        <v>-0.15911220000000001</v>
      </c>
      <c r="U5770">
        <v>-0.30111690000000002</v>
      </c>
      <c r="V5770">
        <v>4.268366E-3</v>
      </c>
      <c r="W5770">
        <v>0.15655169999999999</v>
      </c>
      <c r="X5770">
        <v>0.98766050000000005</v>
      </c>
      <c r="Y5770">
        <v>0.1049383</v>
      </c>
      <c r="Z5770">
        <v>-3.7131880000000001E-3</v>
      </c>
      <c r="AA5770">
        <v>0.99447180000000002</v>
      </c>
      <c r="AB5770">
        <v>34</v>
      </c>
      <c r="AC5770">
        <v>22.050999999999899</v>
      </c>
      <c r="AD5770">
        <v>-1.1591119999999999</v>
      </c>
      <c r="AE5770">
        <v>-2.1946599999999998</v>
      </c>
      <c r="AF5770">
        <v>2.3442809283038599</v>
      </c>
      <c r="AG5770">
        <v>-1.1591119999999999</v>
      </c>
      <c r="AH5770">
        <v>21.974789801291099</v>
      </c>
      <c r="AI5770">
        <v>93.002397560492099</v>
      </c>
      <c r="AJ5770">
        <v>83.910689809083493</v>
      </c>
      <c r="AK5770">
        <v>22.129857218479302</v>
      </c>
      <c r="AL5770">
        <v>80.993198761571605</v>
      </c>
      <c r="AM5770">
        <v>89.752386741510506</v>
      </c>
      <c r="AN5770">
        <v>0.99999995849072398</v>
      </c>
    </row>
    <row r="5771" spans="1:40" x14ac:dyDescent="0.25">
      <c r="A5771" t="str">
        <f>"20190304155748572"</f>
        <v>20190304155748572</v>
      </c>
      <c r="B5771" t="str">
        <f>"1551686268560711"</f>
        <v>1551686268560711</v>
      </c>
      <c r="C5771" t="s">
        <v>40</v>
      </c>
      <c r="D5771">
        <v>4.7688269999999999</v>
      </c>
      <c r="E5771">
        <v>0.53767509999999996</v>
      </c>
      <c r="F5771" t="s">
        <v>44</v>
      </c>
      <c r="G5771">
        <v>-310.68770000000001</v>
      </c>
      <c r="H5771">
        <v>-0.05</v>
      </c>
      <c r="I5771">
        <v>14.88547</v>
      </c>
      <c r="J5771">
        <v>-332.8272</v>
      </c>
      <c r="K5771">
        <v>1.10907</v>
      </c>
      <c r="L5771">
        <v>17.11523</v>
      </c>
      <c r="M5771">
        <v>0.99988630000000001</v>
      </c>
      <c r="N5771">
        <v>-1.370186E-2</v>
      </c>
      <c r="O5771">
        <v>6.2978740000000002E-3</v>
      </c>
      <c r="P5771">
        <v>0.9897146</v>
      </c>
      <c r="Q5771">
        <v>0.14304500000000001</v>
      </c>
      <c r="R5771">
        <v>1.7744169999999999E-3</v>
      </c>
      <c r="S5771">
        <v>3.0550229999999998</v>
      </c>
      <c r="T5771">
        <v>-0.1582654</v>
      </c>
      <c r="U5771">
        <v>-0.30432130000000002</v>
      </c>
      <c r="V5771">
        <v>4.8221189999999997E-3</v>
      </c>
      <c r="W5771">
        <v>0.15658179999999999</v>
      </c>
      <c r="X5771">
        <v>0.98765320000000001</v>
      </c>
      <c r="Y5771">
        <v>0.1052068</v>
      </c>
      <c r="Z5771">
        <v>-3.6789940000000001E-3</v>
      </c>
      <c r="AA5771">
        <v>0.99444350000000004</v>
      </c>
      <c r="AB5771">
        <v>34</v>
      </c>
      <c r="AC5771">
        <v>22.139500000000002</v>
      </c>
      <c r="AD5771">
        <v>-1.15907</v>
      </c>
      <c r="AE5771">
        <v>-2.2297600000000002</v>
      </c>
      <c r="AF5771">
        <v>2.3627497504657802</v>
      </c>
      <c r="AG5771">
        <v>-1.15907</v>
      </c>
      <c r="AH5771">
        <v>22.065147022686599</v>
      </c>
      <c r="AI5771">
        <v>92.989890686957395</v>
      </c>
      <c r="AJ5771">
        <v>83.888021586040693</v>
      </c>
      <c r="AK5771">
        <v>22.221537813144302</v>
      </c>
      <c r="AL5771">
        <v>80.991452803082495</v>
      </c>
      <c r="AM5771">
        <v>89.720261249921506</v>
      </c>
      <c r="AN5771">
        <v>0.99999997819656405</v>
      </c>
    </row>
    <row r="5772" spans="1:40" x14ac:dyDescent="0.25">
      <c r="A5772" t="str">
        <f>"20190304155748583"</f>
        <v>20190304155748583</v>
      </c>
      <c r="B5772" t="str">
        <f>"1551686268570472"</f>
        <v>1551686268570472</v>
      </c>
      <c r="C5772" t="s">
        <v>40</v>
      </c>
      <c r="D5772">
        <v>4.7292899999999998</v>
      </c>
      <c r="E5772">
        <v>0.53776429999999997</v>
      </c>
      <c r="F5772" t="s">
        <v>44</v>
      </c>
      <c r="G5772">
        <v>-310.3947</v>
      </c>
      <c r="H5772">
        <v>-0.05</v>
      </c>
      <c r="I5772">
        <v>14.847110000000001</v>
      </c>
      <c r="J5772">
        <v>-332.65629999999999</v>
      </c>
      <c r="K5772">
        <v>1.1090390000000001</v>
      </c>
      <c r="L5772">
        <v>17.115749999999998</v>
      </c>
      <c r="M5772">
        <v>0.99988940000000004</v>
      </c>
      <c r="N5772">
        <v>-1.374656E-2</v>
      </c>
      <c r="O5772">
        <v>5.7011539999999999E-3</v>
      </c>
      <c r="P5772">
        <v>0.98972420000000005</v>
      </c>
      <c r="Q5772">
        <v>0.14298739999999999</v>
      </c>
      <c r="R5772">
        <v>1.007396E-3</v>
      </c>
      <c r="S5772">
        <v>3.0545040000000001</v>
      </c>
      <c r="T5772">
        <v>-0.1578234</v>
      </c>
      <c r="U5772">
        <v>-0.3088379</v>
      </c>
      <c r="V5772">
        <v>5.0121250000000001E-3</v>
      </c>
      <c r="W5772">
        <v>0.1565676</v>
      </c>
      <c r="X5772">
        <v>0.98765449999999999</v>
      </c>
      <c r="Y5772">
        <v>0.1060855</v>
      </c>
      <c r="Z5772">
        <v>-3.6790640000000001E-3</v>
      </c>
      <c r="AA5772">
        <v>0.99435019999999996</v>
      </c>
      <c r="AB5772">
        <v>34</v>
      </c>
      <c r="AC5772">
        <v>22.261599999999898</v>
      </c>
      <c r="AD5772">
        <v>-1.1590389999999999</v>
      </c>
      <c r="AE5772">
        <v>-2.2686399999999902</v>
      </c>
      <c r="AF5772">
        <v>2.3891222531436598</v>
      </c>
      <c r="AG5772">
        <v>-1.1590389999999999</v>
      </c>
      <c r="AH5772">
        <v>22.188773911716499</v>
      </c>
      <c r="AI5772">
        <v>92.972996335747197</v>
      </c>
      <c r="AJ5772">
        <v>83.854492414735802</v>
      </c>
      <c r="AK5772">
        <v>22.3471019205905</v>
      </c>
      <c r="AL5772">
        <v>80.992276516753904</v>
      </c>
      <c r="AM5772">
        <v>89.7092392697012</v>
      </c>
      <c r="AN5772">
        <v>0.99999997306851196</v>
      </c>
    </row>
    <row r="5773" spans="1:40" x14ac:dyDescent="0.25">
      <c r="A5773" t="str">
        <f>"20190304155748594"</f>
        <v>20190304155748594</v>
      </c>
      <c r="B5773" t="str">
        <f>"1551686268589992"</f>
        <v>1551686268589992</v>
      </c>
      <c r="C5773" t="s">
        <v>40</v>
      </c>
      <c r="D5773">
        <v>4.8533850000000003</v>
      </c>
      <c r="E5773">
        <v>0.53821430000000003</v>
      </c>
      <c r="F5773" t="s">
        <v>44</v>
      </c>
      <c r="G5773">
        <v>-310.16289999999998</v>
      </c>
      <c r="H5773">
        <v>-0.05</v>
      </c>
      <c r="I5773">
        <v>14.818099999999999</v>
      </c>
      <c r="J5773">
        <v>-332.48230000000001</v>
      </c>
      <c r="K5773">
        <v>1.109008</v>
      </c>
      <c r="L5773">
        <v>17.11618</v>
      </c>
      <c r="M5773">
        <v>0.99989209999999995</v>
      </c>
      <c r="N5773">
        <v>-1.3790699999999999E-2</v>
      </c>
      <c r="O5773">
        <v>5.0812419999999997E-3</v>
      </c>
      <c r="P5773">
        <v>0.98973169999999999</v>
      </c>
      <c r="Q5773">
        <v>0.1429386</v>
      </c>
      <c r="R5773">
        <v>1.6102609999999999E-4</v>
      </c>
      <c r="S5773">
        <v>3.0541990000000001</v>
      </c>
      <c r="T5773">
        <v>-0.15737679999999901</v>
      </c>
      <c r="U5773">
        <v>-0.31198120000000001</v>
      </c>
      <c r="V5773">
        <v>5.2586710000000004E-3</v>
      </c>
      <c r="W5773">
        <v>0.15656149999999999</v>
      </c>
      <c r="X5773">
        <v>0.98765420000000004</v>
      </c>
      <c r="Y5773">
        <v>0.1064924</v>
      </c>
      <c r="Z5773">
        <v>-3.662738E-3</v>
      </c>
      <c r="AA5773">
        <v>0.99430669999999999</v>
      </c>
      <c r="AB5773">
        <v>34</v>
      </c>
      <c r="AC5773">
        <v>22.319400000000002</v>
      </c>
      <c r="AD5773">
        <v>-1.159008</v>
      </c>
      <c r="AE5773">
        <v>-2.2980800000000001</v>
      </c>
      <c r="AF5773">
        <v>2.4050540673299299</v>
      </c>
      <c r="AG5773">
        <v>-1.159008</v>
      </c>
      <c r="AH5773">
        <v>22.248069996639099</v>
      </c>
      <c r="AI5773">
        <v>92.964872182765703</v>
      </c>
      <c r="AJ5773">
        <v>83.830188129315999</v>
      </c>
      <c r="AK5773">
        <v>22.4076817896497</v>
      </c>
      <c r="AL5773">
        <v>80.992630519180096</v>
      </c>
      <c r="AM5773">
        <v>89.694936945556506</v>
      </c>
      <c r="AN5773">
        <v>0.99999998784028798</v>
      </c>
    </row>
    <row r="5774" spans="1:40" x14ac:dyDescent="0.25">
      <c r="A5774" t="str">
        <f>"20190304155748605"</f>
        <v>20190304155748605</v>
      </c>
      <c r="B5774" t="str">
        <f>"1551686268600728"</f>
        <v>1551686268600728</v>
      </c>
      <c r="C5774" t="s">
        <v>40</v>
      </c>
      <c r="D5774">
        <v>4.7865140000000004</v>
      </c>
      <c r="E5774">
        <v>0.53825959999999995</v>
      </c>
      <c r="F5774" t="s">
        <v>44</v>
      </c>
      <c r="G5774">
        <v>-310.07839999999999</v>
      </c>
      <c r="H5774">
        <v>-0.05</v>
      </c>
      <c r="I5774">
        <v>14.78026</v>
      </c>
      <c r="J5774">
        <v>-332.31349999999998</v>
      </c>
      <c r="K5774">
        <v>1.108978</v>
      </c>
      <c r="L5774">
        <v>17.11646</v>
      </c>
      <c r="M5774">
        <v>0.99989459999999997</v>
      </c>
      <c r="N5774">
        <v>-1.383157E-2</v>
      </c>
      <c r="O5774">
        <v>4.4607309999999999E-3</v>
      </c>
      <c r="P5774">
        <v>0.98977680000000001</v>
      </c>
      <c r="Q5774">
        <v>0.14262559999999999</v>
      </c>
      <c r="R5774">
        <v>-5.5234550000000005E-4</v>
      </c>
      <c r="S5774">
        <v>3.0539860000000001</v>
      </c>
      <c r="T5774">
        <v>-0.15798960000000001</v>
      </c>
      <c r="U5774">
        <v>-0.31842039999999999</v>
      </c>
      <c r="V5774">
        <v>5.3701819999999898E-3</v>
      </c>
      <c r="W5774">
        <v>0.15628880000000001</v>
      </c>
      <c r="X5774">
        <v>0.98769680000000004</v>
      </c>
      <c r="Y5774">
        <v>0.1079533</v>
      </c>
      <c r="Z5774">
        <v>-3.7007009999999998E-3</v>
      </c>
      <c r="AA5774">
        <v>0.99414910000000001</v>
      </c>
      <c r="AB5774">
        <v>34</v>
      </c>
      <c r="AC5774">
        <v>22.2350999999999</v>
      </c>
      <c r="AD5774">
        <v>-1.1589780000000001</v>
      </c>
      <c r="AE5774">
        <v>-2.3361999999999998</v>
      </c>
      <c r="AF5774">
        <v>2.42884416755123</v>
      </c>
      <c r="AG5774">
        <v>-1.1589780000000001</v>
      </c>
      <c r="AH5774">
        <v>22.164894506156401</v>
      </c>
      <c r="AI5774">
        <v>92.975428694884002</v>
      </c>
      <c r="AJ5774">
        <v>83.746440740778397</v>
      </c>
      <c r="AK5774">
        <v>22.3276748109555</v>
      </c>
      <c r="AL5774">
        <v>81.008449911754596</v>
      </c>
      <c r="AM5774">
        <v>89.688481594829994</v>
      </c>
      <c r="AN5774">
        <v>0.99999999829519604</v>
      </c>
    </row>
    <row r="5775" spans="1:40" x14ac:dyDescent="0.25">
      <c r="A5775" t="str">
        <f>"20190304155748617"</f>
        <v>20190304155748617</v>
      </c>
      <c r="B5775" t="str">
        <f>"1551686268610487"</f>
        <v>1551686268610487</v>
      </c>
      <c r="C5775" t="s">
        <v>40</v>
      </c>
      <c r="D5775">
        <v>4.7806100000000002</v>
      </c>
      <c r="E5775">
        <v>0.53831340000000005</v>
      </c>
      <c r="F5775" t="s">
        <v>44</v>
      </c>
      <c r="G5775">
        <v>-309.97039999999998</v>
      </c>
      <c r="H5775">
        <v>-0.05</v>
      </c>
      <c r="I5775">
        <v>14.76784</v>
      </c>
      <c r="J5775">
        <v>-332.14319999999998</v>
      </c>
      <c r="K5775">
        <v>1.108946</v>
      </c>
      <c r="L5775">
        <v>17.116669999999999</v>
      </c>
      <c r="M5775">
        <v>0.99989669999999997</v>
      </c>
      <c r="N5775">
        <v>-1.3870560000000001E-2</v>
      </c>
      <c r="O5775">
        <v>3.814413E-3</v>
      </c>
      <c r="P5775">
        <v>0.98981200000000003</v>
      </c>
      <c r="Q5775">
        <v>0.14237529999999901</v>
      </c>
      <c r="R5775">
        <v>-1.345361E-3</v>
      </c>
      <c r="S5775">
        <v>3.0536189999999999</v>
      </c>
      <c r="T5775">
        <v>-0.1583967</v>
      </c>
      <c r="U5775">
        <v>-0.32098389999999999</v>
      </c>
      <c r="V5775">
        <v>5.5360610000000001E-3</v>
      </c>
      <c r="W5775">
        <v>0.15607689999999999</v>
      </c>
      <c r="X5775">
        <v>0.98772939999999998</v>
      </c>
      <c r="Y5775">
        <v>0.1081476</v>
      </c>
      <c r="Z5775">
        <v>-3.6925590000000002E-3</v>
      </c>
      <c r="AA5775">
        <v>0.99412800000000001</v>
      </c>
      <c r="AB5775">
        <v>34</v>
      </c>
      <c r="AC5775">
        <v>22.172799999999899</v>
      </c>
      <c r="AD5775">
        <v>-1.15894599999999</v>
      </c>
      <c r="AE5775">
        <v>-2.34883</v>
      </c>
      <c r="AF5775">
        <v>2.4268406257369302</v>
      </c>
      <c r="AG5775">
        <v>-1.15894599999999</v>
      </c>
      <c r="AH5775">
        <v>22.1039598827277</v>
      </c>
      <c r="AI5775">
        <v>92.983465866245893</v>
      </c>
      <c r="AJ5775">
        <v>83.734470001793895</v>
      </c>
      <c r="AK5775">
        <v>22.266965526332399</v>
      </c>
      <c r="AL5775">
        <v>81.020741810928996</v>
      </c>
      <c r="AM5775">
        <v>89.678869932354601</v>
      </c>
      <c r="AN5775">
        <v>1.00000000715468</v>
      </c>
    </row>
    <row r="5776" spans="1:40" x14ac:dyDescent="0.25">
      <c r="A5776" t="str">
        <f>"20190304155748628"</f>
        <v>20190304155748628</v>
      </c>
      <c r="B5776" t="str">
        <f>"1551686268620247"</f>
        <v>1551686268620247</v>
      </c>
      <c r="C5776" t="s">
        <v>40</v>
      </c>
      <c r="D5776">
        <v>4.7450780000000004</v>
      </c>
      <c r="E5776">
        <v>0.5384101</v>
      </c>
      <c r="F5776" t="s">
        <v>44</v>
      </c>
      <c r="G5776">
        <v>-309.82979999999998</v>
      </c>
      <c r="H5776">
        <v>-0.05</v>
      </c>
      <c r="I5776">
        <v>14.74835</v>
      </c>
      <c r="J5776">
        <v>-331.96960000000001</v>
      </c>
      <c r="K5776">
        <v>1.1089150000000001</v>
      </c>
      <c r="L5776">
        <v>17.116700000000002</v>
      </c>
      <c r="M5776">
        <v>0.99989839999999997</v>
      </c>
      <c r="N5776">
        <v>-1.3908800000000001E-2</v>
      </c>
      <c r="O5776">
        <v>3.141797E-3</v>
      </c>
      <c r="P5776">
        <v>0.98984309999999998</v>
      </c>
      <c r="Q5776">
        <v>0.14214560000000001</v>
      </c>
      <c r="R5776">
        <v>-2.3305930000000002E-3</v>
      </c>
      <c r="S5776">
        <v>3.0532530000000002</v>
      </c>
      <c r="T5776">
        <v>-0.15858410000000001</v>
      </c>
      <c r="U5776">
        <v>-0.32406620000000003</v>
      </c>
      <c r="V5776">
        <v>5.8681760000000001E-3</v>
      </c>
      <c r="W5776">
        <v>0.15588379999999999</v>
      </c>
      <c r="X5776">
        <v>0.98775800000000002</v>
      </c>
      <c r="Y5776">
        <v>0.1084832</v>
      </c>
      <c r="Z5776">
        <v>-3.6838019999999999E-3</v>
      </c>
      <c r="AA5776">
        <v>0.99409150000000002</v>
      </c>
      <c r="AB5776">
        <v>34</v>
      </c>
      <c r="AC5776">
        <v>22.139800000000001</v>
      </c>
      <c r="AD5776">
        <v>-1.1589149999999999</v>
      </c>
      <c r="AE5776">
        <v>-2.36835</v>
      </c>
      <c r="AF5776">
        <v>2.4313172714968401</v>
      </c>
      <c r="AG5776">
        <v>-1.1589149999999999</v>
      </c>
      <c r="AH5776">
        <v>22.0724541049841</v>
      </c>
      <c r="AI5776">
        <v>92.987520422609094</v>
      </c>
      <c r="AJ5776">
        <v>83.714116543019301</v>
      </c>
      <c r="AK5776">
        <v>22.236178130886898</v>
      </c>
      <c r="AL5776">
        <v>81.031942935078504</v>
      </c>
      <c r="AM5776">
        <v>89.659615247106601</v>
      </c>
      <c r="AN5776">
        <v>1.0000000305779999</v>
      </c>
    </row>
    <row r="5777" spans="1:40" x14ac:dyDescent="0.25">
      <c r="A5777" t="str">
        <f>"20190304155748638"</f>
        <v>20190304155748638</v>
      </c>
      <c r="B5777" t="str">
        <f>"1551686268630007"</f>
        <v>1551686268630007</v>
      </c>
      <c r="C5777" t="s">
        <v>40</v>
      </c>
      <c r="D5777">
        <v>4.8134540000000001</v>
      </c>
      <c r="E5777">
        <v>0.53836600000000001</v>
      </c>
      <c r="F5777" t="s">
        <v>44</v>
      </c>
      <c r="G5777">
        <v>-309.72559999999999</v>
      </c>
      <c r="H5777">
        <v>-0.05</v>
      </c>
      <c r="I5777">
        <v>14.727679999999999</v>
      </c>
      <c r="J5777">
        <v>-331.80189999999999</v>
      </c>
      <c r="K5777">
        <v>1.108886</v>
      </c>
      <c r="L5777">
        <v>17.116610000000001</v>
      </c>
      <c r="M5777">
        <v>0.99989980000000001</v>
      </c>
      <c r="N5777">
        <v>-1.3944649999999999E-2</v>
      </c>
      <c r="O5777">
        <v>2.4632460000000001E-3</v>
      </c>
      <c r="P5777">
        <v>0.9898922</v>
      </c>
      <c r="Q5777">
        <v>0.1417928</v>
      </c>
      <c r="R5777">
        <v>-2.8149270000000001E-3</v>
      </c>
      <c r="S5777">
        <v>3.0528559999999998</v>
      </c>
      <c r="T5777">
        <v>-0.15905429999999901</v>
      </c>
      <c r="U5777">
        <v>-0.32788089999999998</v>
      </c>
      <c r="V5777">
        <v>5.6932049999999998E-3</v>
      </c>
      <c r="W5777">
        <v>0.15556679999999901</v>
      </c>
      <c r="X5777">
        <v>0.98780889999999999</v>
      </c>
      <c r="Y5777">
        <v>0.1090487</v>
      </c>
      <c r="Z5777">
        <v>-3.6875190000000002E-3</v>
      </c>
      <c r="AA5777">
        <v>0.99402959999999996</v>
      </c>
      <c r="AB5777">
        <v>34</v>
      </c>
      <c r="AC5777">
        <v>22.0763</v>
      </c>
      <c r="AD5777">
        <v>-1.1588860000000001</v>
      </c>
      <c r="AE5777">
        <v>-2.3889300000000002</v>
      </c>
      <c r="AF5777">
        <v>2.4366704263740502</v>
      </c>
      <c r="AG5777">
        <v>-1.1588860000000001</v>
      </c>
      <c r="AH5777">
        <v>22.010396327492298</v>
      </c>
      <c r="AI5777">
        <v>92.995672845030199</v>
      </c>
      <c r="AJ5777">
        <v>83.682769535785894</v>
      </c>
      <c r="AK5777">
        <v>22.175164622185999</v>
      </c>
      <c r="AL5777">
        <v>81.050329125634804</v>
      </c>
      <c r="AM5777">
        <v>89.669781263708202</v>
      </c>
      <c r="AN5777">
        <v>0.999999932382308</v>
      </c>
    </row>
    <row r="5778" spans="1:40" x14ac:dyDescent="0.25">
      <c r="A5778" t="str">
        <f>"20190304155748649"</f>
        <v>20190304155748649</v>
      </c>
      <c r="B5778" t="str">
        <f>"1551686268640744"</f>
        <v>1551686268640744</v>
      </c>
      <c r="C5778" t="s">
        <v>40</v>
      </c>
      <c r="D5778">
        <v>4.8139430000000001</v>
      </c>
      <c r="E5778">
        <v>0.53836479999999998</v>
      </c>
      <c r="F5778" t="s">
        <v>44</v>
      </c>
      <c r="G5778">
        <v>-309.65440000000001</v>
      </c>
      <c r="H5778">
        <v>-0.05</v>
      </c>
      <c r="I5778">
        <v>14.728389999999999</v>
      </c>
      <c r="J5778">
        <v>-331.63799999999998</v>
      </c>
      <c r="K5778">
        <v>1.108857</v>
      </c>
      <c r="L5778">
        <v>17.116420000000002</v>
      </c>
      <c r="M5778">
        <v>0.99990060000000003</v>
      </c>
      <c r="N5778">
        <v>-1.3979419999999999E-2</v>
      </c>
      <c r="O5778">
        <v>1.79389E-3</v>
      </c>
      <c r="P5778">
        <v>0.98992860000000005</v>
      </c>
      <c r="Q5778">
        <v>0.14151649999999999</v>
      </c>
      <c r="R5778">
        <v>-3.8046E-3</v>
      </c>
      <c r="S5778">
        <v>3.0525509999999998</v>
      </c>
      <c r="T5778">
        <v>-0.15972709999999901</v>
      </c>
      <c r="U5778">
        <v>-0.32916260000000003</v>
      </c>
      <c r="V5778">
        <v>6.032183E-3</v>
      </c>
      <c r="W5778">
        <v>0.1553242</v>
      </c>
      <c r="X5778">
        <v>0.98784510000000003</v>
      </c>
      <c r="Y5778">
        <v>0.10880579999999999</v>
      </c>
      <c r="Z5778">
        <v>-3.6684729999999998E-3</v>
      </c>
      <c r="AA5778">
        <v>0.99405619999999995</v>
      </c>
      <c r="AB5778">
        <v>34</v>
      </c>
      <c r="AC5778">
        <v>21.983599999999999</v>
      </c>
      <c r="AD5778">
        <v>-1.158857</v>
      </c>
      <c r="AE5778">
        <v>-2.3880300000000001</v>
      </c>
      <c r="AF5778">
        <v>2.4208175853159299</v>
      </c>
      <c r="AG5778">
        <v>-1.158857</v>
      </c>
      <c r="AH5778">
        <v>21.9190812742787</v>
      </c>
      <c r="AI5778">
        <v>93.008140779102206</v>
      </c>
      <c r="AJ5778">
        <v>83.697602209220904</v>
      </c>
      <c r="AK5778">
        <v>22.082785857682399</v>
      </c>
      <c r="AL5778">
        <v>81.064400443742997</v>
      </c>
      <c r="AM5778">
        <v>89.650133071049694</v>
      </c>
      <c r="AN5778">
        <v>0.99999996796569701</v>
      </c>
    </row>
    <row r="5779" spans="1:40" x14ac:dyDescent="0.25">
      <c r="A5779" t="str">
        <f>"20190304155748661"</f>
        <v>20190304155748661</v>
      </c>
      <c r="B5779" t="str">
        <f>"1551686268650503"</f>
        <v>1551686268650503</v>
      </c>
      <c r="C5779" t="s">
        <v>40</v>
      </c>
      <c r="D5779">
        <v>4.8354900000000001</v>
      </c>
      <c r="E5779">
        <v>0.53836479999999998</v>
      </c>
      <c r="F5779" t="s">
        <v>44</v>
      </c>
      <c r="G5779">
        <v>-309.63549999999998</v>
      </c>
      <c r="H5779">
        <v>-0.05</v>
      </c>
      <c r="I5779">
        <v>14.720470000000001</v>
      </c>
      <c r="J5779">
        <v>-331.47089999999997</v>
      </c>
      <c r="K5779">
        <v>1.1088260000000001</v>
      </c>
      <c r="L5779">
        <v>17.116060000000001</v>
      </c>
      <c r="M5779">
        <v>0.99990109999999999</v>
      </c>
      <c r="N5779">
        <v>-1.4013680000000001E-2</v>
      </c>
      <c r="O5779">
        <v>1.0757399999999999E-3</v>
      </c>
      <c r="P5779">
        <v>0.9899173</v>
      </c>
      <c r="Q5779">
        <v>0.14157410000000001</v>
      </c>
      <c r="R5779">
        <v>-4.5260659999999996E-3</v>
      </c>
      <c r="S5779">
        <v>3.0521850000000001</v>
      </c>
      <c r="T5779">
        <v>-0.16075680000000001</v>
      </c>
      <c r="U5779">
        <v>-0.33236690000000002</v>
      </c>
      <c r="V5779">
        <v>6.0563179999999998E-3</v>
      </c>
      <c r="W5779">
        <v>0.1554151</v>
      </c>
      <c r="X5779">
        <v>0.98783069999999895</v>
      </c>
      <c r="Y5779">
        <v>0.1091338</v>
      </c>
      <c r="Z5779">
        <v>-3.6726380000000002E-3</v>
      </c>
      <c r="AA5779">
        <v>0.99402029999999997</v>
      </c>
      <c r="AB5779">
        <v>34</v>
      </c>
      <c r="AC5779">
        <v>21.8354</v>
      </c>
      <c r="AD5779">
        <v>-1.1588259999999999</v>
      </c>
      <c r="AE5779">
        <v>-2.3955899999999999</v>
      </c>
      <c r="AF5779">
        <v>2.4123664473491901</v>
      </c>
      <c r="AG5779">
        <v>-1.1588259999999999</v>
      </c>
      <c r="AH5779">
        <v>21.772217335038999</v>
      </c>
      <c r="AI5779">
        <v>93.028195740985794</v>
      </c>
      <c r="AJ5779">
        <v>83.677404434340104</v>
      </c>
      <c r="AK5779">
        <v>21.936085276519702</v>
      </c>
      <c r="AL5779">
        <v>81.059128631259597</v>
      </c>
      <c r="AM5779">
        <v>89.648728154369607</v>
      </c>
      <c r="AN5779">
        <v>1.0000000120790999</v>
      </c>
    </row>
    <row r="5780" spans="1:40" x14ac:dyDescent="0.25">
      <c r="A5780" t="str">
        <f>"20190304155748672"</f>
        <v>20190304155748672</v>
      </c>
      <c r="B5780" t="str">
        <f>"1551686268660263"</f>
        <v>1551686268660263</v>
      </c>
      <c r="C5780" t="s">
        <v>40</v>
      </c>
      <c r="D5780">
        <v>4.8050430000000004</v>
      </c>
      <c r="E5780">
        <v>0.54478249999999995</v>
      </c>
      <c r="F5780" t="s">
        <v>44</v>
      </c>
      <c r="G5780">
        <v>-309.44369999999998</v>
      </c>
      <c r="H5780">
        <v>-0.05</v>
      </c>
      <c r="I5780">
        <v>14.700760000000001</v>
      </c>
      <c r="J5780">
        <v>-331.2919</v>
      </c>
      <c r="K5780">
        <v>1.1087929999999999</v>
      </c>
      <c r="L5780">
        <v>17.115539999999999</v>
      </c>
      <c r="M5780">
        <v>0.99990140000000005</v>
      </c>
      <c r="N5780">
        <v>-1.404973E-2</v>
      </c>
      <c r="O5780">
        <v>2.9748989999999999E-4</v>
      </c>
      <c r="P5780">
        <v>0.98993719999999996</v>
      </c>
      <c r="Q5780">
        <v>0.1414067</v>
      </c>
      <c r="R5780">
        <v>-5.3758119999999998E-3</v>
      </c>
      <c r="S5780">
        <v>3.0520019999999999</v>
      </c>
      <c r="T5780">
        <v>-0.16056289999999901</v>
      </c>
      <c r="U5780">
        <v>-0.3346558</v>
      </c>
      <c r="V5780">
        <v>6.149491E-3</v>
      </c>
      <c r="W5780">
        <v>0.1552828</v>
      </c>
      <c r="X5780">
        <v>0.98785089999999998</v>
      </c>
      <c r="Y5780">
        <v>0.1091041</v>
      </c>
      <c r="Z5780">
        <v>-3.6402589999999999E-3</v>
      </c>
      <c r="AA5780">
        <v>0.99402369999999995</v>
      </c>
      <c r="AB5780">
        <v>34</v>
      </c>
      <c r="AC5780">
        <v>21.848199999999999</v>
      </c>
      <c r="AD5780">
        <v>-1.158793</v>
      </c>
      <c r="AE5780">
        <v>-2.4147799999999902</v>
      </c>
      <c r="AF5780">
        <v>2.4145697739699998</v>
      </c>
      <c r="AG5780">
        <v>-1.158793</v>
      </c>
      <c r="AH5780">
        <v>21.786932095563799</v>
      </c>
      <c r="AI5780">
        <v>93.026059607967198</v>
      </c>
      <c r="AJ5780">
        <v>83.675916012398503</v>
      </c>
      <c r="AK5780">
        <v>21.950930698877499</v>
      </c>
      <c r="AL5780">
        <v>81.066801753279407</v>
      </c>
      <c r="AM5780">
        <v>89.6433314690982</v>
      </c>
      <c r="AN5780">
        <v>0.99999998242310395</v>
      </c>
    </row>
    <row r="5781" spans="1:40" x14ac:dyDescent="0.25">
      <c r="A5781" t="str">
        <f>"20190304155748683"</f>
        <v>20190304155748683</v>
      </c>
      <c r="B5781" t="str">
        <f>"1551686268679783"</f>
        <v>1551686268679783</v>
      </c>
      <c r="C5781" t="s">
        <v>40</v>
      </c>
      <c r="D5781">
        <v>4.7424220000000004</v>
      </c>
      <c r="E5781">
        <v>0.54045799999999999</v>
      </c>
      <c r="F5781" t="s">
        <v>44</v>
      </c>
      <c r="G5781">
        <v>-305.50229999999999</v>
      </c>
      <c r="H5781">
        <v>-0.05</v>
      </c>
      <c r="I5781">
        <v>13.83305</v>
      </c>
      <c r="J5781">
        <v>-331.11540000000002</v>
      </c>
      <c r="K5781">
        <v>1.1087579999999999</v>
      </c>
      <c r="L5781">
        <v>17.114840000000001</v>
      </c>
      <c r="M5781">
        <v>0.99990080000000003</v>
      </c>
      <c r="N5781">
        <v>-1.4083190000000001E-2</v>
      </c>
      <c r="O5781">
        <v>-5.0173790000000002E-4</v>
      </c>
      <c r="P5781">
        <v>0.98989689999999997</v>
      </c>
      <c r="Q5781">
        <v>0.14165410000000001</v>
      </c>
      <c r="R5781">
        <v>-6.1989970000000004E-3</v>
      </c>
      <c r="S5781">
        <v>3.0479430000000001</v>
      </c>
      <c r="T5781">
        <v>-0.13695179999999901</v>
      </c>
      <c r="U5781">
        <v>-0.38793949999999999</v>
      </c>
      <c r="V5781">
        <v>6.197218E-3</v>
      </c>
      <c r="W5781">
        <v>0.15556210000000001</v>
      </c>
      <c r="X5781">
        <v>0.98780670000000004</v>
      </c>
      <c r="Y5781">
        <v>0.1255986</v>
      </c>
      <c r="Z5781">
        <v>-3.6821789999999998E-3</v>
      </c>
      <c r="AA5781">
        <v>0.99207429999999996</v>
      </c>
      <c r="AB5781">
        <v>34</v>
      </c>
      <c r="AC5781">
        <v>25.613099999999999</v>
      </c>
      <c r="AD5781">
        <v>-1.158758</v>
      </c>
      <c r="AE5781">
        <v>-3.28179</v>
      </c>
      <c r="AF5781">
        <v>3.2623679041370601</v>
      </c>
      <c r="AG5781">
        <v>-1.158758</v>
      </c>
      <c r="AH5781">
        <v>25.563267442685198</v>
      </c>
      <c r="AI5781">
        <v>92.574533009776204</v>
      </c>
      <c r="AJ5781">
        <v>82.727262062540802</v>
      </c>
      <c r="AK5781">
        <v>25.796635571150698</v>
      </c>
      <c r="AL5781">
        <v>81.050602565942498</v>
      </c>
      <c r="AM5781">
        <v>89.640547307773105</v>
      </c>
      <c r="AN5781">
        <v>1.00000002451611</v>
      </c>
    </row>
    <row r="5782" spans="1:40" x14ac:dyDescent="0.25">
      <c r="A5782" t="str">
        <f>"20190304155748695"</f>
        <v>20190304155748695</v>
      </c>
      <c r="B5782" t="str">
        <f>"1551686268690519"</f>
        <v>1551686268690519</v>
      </c>
      <c r="C5782" t="s">
        <v>40</v>
      </c>
      <c r="D5782">
        <v>4.7591530000000004</v>
      </c>
      <c r="E5782">
        <v>0.54067310000000002</v>
      </c>
      <c r="F5782" t="s">
        <v>44</v>
      </c>
      <c r="G5782">
        <v>-308.59219999999999</v>
      </c>
      <c r="H5782">
        <v>-0.05</v>
      </c>
      <c r="I5782">
        <v>14.48109</v>
      </c>
      <c r="J5782">
        <v>-330.94119999999998</v>
      </c>
      <c r="K5782">
        <v>1.108722</v>
      </c>
      <c r="L5782">
        <v>17.11401</v>
      </c>
      <c r="M5782">
        <v>0.9998996</v>
      </c>
      <c r="N5782">
        <v>-1.4114659999999999E-2</v>
      </c>
      <c r="O5782">
        <v>-1.308273E-3</v>
      </c>
      <c r="P5782">
        <v>0.98985979999999996</v>
      </c>
      <c r="Q5782">
        <v>0.14186699999999999</v>
      </c>
      <c r="R5782">
        <v>-7.1697419999999998E-3</v>
      </c>
      <c r="S5782">
        <v>3.0508419999999998</v>
      </c>
      <c r="T5782">
        <v>-0.15695709999999999</v>
      </c>
      <c r="U5782">
        <v>-0.35675050000000003</v>
      </c>
      <c r="V5782">
        <v>6.3847499999999998E-3</v>
      </c>
      <c r="W5782">
        <v>0.15580459999999999</v>
      </c>
      <c r="X5782">
        <v>0.98776730000000001</v>
      </c>
      <c r="Y5782">
        <v>0.1146538</v>
      </c>
      <c r="Z5782">
        <v>-3.7013440000000001E-3</v>
      </c>
      <c r="AA5782">
        <v>0.99339860000000002</v>
      </c>
      <c r="AB5782">
        <v>34</v>
      </c>
      <c r="AC5782">
        <v>22.348999999999901</v>
      </c>
      <c r="AD5782">
        <v>-1.158722</v>
      </c>
      <c r="AE5782">
        <v>-2.6329199999999999</v>
      </c>
      <c r="AF5782">
        <v>2.5967914119347801</v>
      </c>
      <c r="AG5782">
        <v>-1.158722</v>
      </c>
      <c r="AH5782">
        <v>22.293319879455499</v>
      </c>
      <c r="AI5782">
        <v>92.955392914033595</v>
      </c>
      <c r="AJ5782">
        <v>83.355960655208804</v>
      </c>
      <c r="AK5782">
        <v>22.473942100977901</v>
      </c>
      <c r="AL5782">
        <v>81.036536964479595</v>
      </c>
      <c r="AM5782">
        <v>89.629655553880596</v>
      </c>
      <c r="AN5782">
        <v>1.0000000386815</v>
      </c>
    </row>
    <row r="5783" spans="1:40" x14ac:dyDescent="0.25">
      <c r="A5783" t="str">
        <f>"20190304155748709"</f>
        <v>20190304155748709</v>
      </c>
      <c r="B5783" t="str">
        <f>"1551686268700280"</f>
        <v>1551686268700280</v>
      </c>
      <c r="C5783" t="s">
        <v>40</v>
      </c>
      <c r="D5783">
        <v>4.7927689999999998</v>
      </c>
      <c r="E5783">
        <v>0.53990309999999997</v>
      </c>
      <c r="F5783" t="s">
        <v>44</v>
      </c>
      <c r="G5783">
        <v>-308.03429999999997</v>
      </c>
      <c r="H5783">
        <v>-0.05</v>
      </c>
      <c r="I5783">
        <v>14.40005</v>
      </c>
      <c r="J5783">
        <v>-330.726</v>
      </c>
      <c r="K5783">
        <v>1.1086750000000001</v>
      </c>
      <c r="L5783">
        <v>17.112819999999999</v>
      </c>
      <c r="M5783">
        <v>0.99989720000000004</v>
      </c>
      <c r="N5783">
        <v>-1.41514E-2</v>
      </c>
      <c r="O5783">
        <v>-2.328302E-3</v>
      </c>
      <c r="P5783">
        <v>0.98984950000000005</v>
      </c>
      <c r="Q5783">
        <v>0.14186799999999999</v>
      </c>
      <c r="R5783">
        <v>-8.4487739999999992E-3</v>
      </c>
      <c r="S5783">
        <v>3.050262</v>
      </c>
      <c r="T5783">
        <v>-0.1542944</v>
      </c>
      <c r="U5783">
        <v>-0.36138920000000002</v>
      </c>
      <c r="V5783">
        <v>6.6718230000000003E-3</v>
      </c>
      <c r="W5783">
        <v>0.15584000000000001</v>
      </c>
      <c r="X5783">
        <v>0.98775979999999997</v>
      </c>
      <c r="Y5783">
        <v>0.1151577</v>
      </c>
      <c r="Z5783">
        <v>-3.634478E-3</v>
      </c>
      <c r="AA5783">
        <v>0.99334060000000002</v>
      </c>
      <c r="AB5783">
        <v>34</v>
      </c>
      <c r="AC5783">
        <v>22.691700000000001</v>
      </c>
      <c r="AD5783">
        <v>-1.1586749999999999</v>
      </c>
      <c r="AE5783">
        <v>-2.7127699999999999</v>
      </c>
      <c r="AF5783">
        <v>2.65310428667767</v>
      </c>
      <c r="AG5783">
        <v>-1.1586749999999999</v>
      </c>
      <c r="AH5783">
        <v>22.639758608103801</v>
      </c>
      <c r="AI5783">
        <v>92.909893299456797</v>
      </c>
      <c r="AJ5783">
        <v>83.316116981688296</v>
      </c>
      <c r="AK5783">
        <v>22.824113563177502</v>
      </c>
      <c r="AL5783">
        <v>81.034483449571098</v>
      </c>
      <c r="AM5783">
        <v>89.613001575595206</v>
      </c>
      <c r="AN5783">
        <v>1.00000002065909</v>
      </c>
    </row>
    <row r="5784" spans="1:40" x14ac:dyDescent="0.25">
      <c r="A5784" t="str">
        <f>"20190304155748721"</f>
        <v>20190304155748721</v>
      </c>
      <c r="B5784" t="str">
        <f>"1551686268710040"</f>
        <v>1551686268710040</v>
      </c>
      <c r="C5784" t="s">
        <v>40</v>
      </c>
      <c r="D5784">
        <v>4.7323259999999996</v>
      </c>
      <c r="E5784">
        <v>0.53992609999999996</v>
      </c>
      <c r="F5784" t="s">
        <v>44</v>
      </c>
      <c r="G5784">
        <v>-307.66579999999999</v>
      </c>
      <c r="H5784">
        <v>-0.05</v>
      </c>
      <c r="I5784">
        <v>14.39536</v>
      </c>
      <c r="J5784">
        <v>-330.54360000000003</v>
      </c>
      <c r="K5784">
        <v>1.108641</v>
      </c>
      <c r="L5784">
        <v>17.111509999999999</v>
      </c>
      <c r="M5784">
        <v>0.99989439999999996</v>
      </c>
      <c r="N5784">
        <v>-1.418025E-2</v>
      </c>
      <c r="O5784">
        <v>-3.2293740000000001E-3</v>
      </c>
      <c r="P5784">
        <v>0.98982969999999904</v>
      </c>
      <c r="Q5784">
        <v>0.1419443</v>
      </c>
      <c r="R5784">
        <v>-9.4495269999999992E-3</v>
      </c>
      <c r="S5784">
        <v>3.0496219999999998</v>
      </c>
      <c r="T5784">
        <v>-0.15323010000000001</v>
      </c>
      <c r="U5784">
        <v>-0.359375</v>
      </c>
      <c r="V5784">
        <v>6.7956739999999998E-3</v>
      </c>
      <c r="W5784">
        <v>0.15594359999999999</v>
      </c>
      <c r="X5784">
        <v>0.98774260000000003</v>
      </c>
      <c r="Y5784">
        <v>0.1136448</v>
      </c>
      <c r="Z5784">
        <v>-3.536703E-3</v>
      </c>
      <c r="AA5784">
        <v>0.99351509999999998</v>
      </c>
      <c r="AB5784">
        <v>34</v>
      </c>
      <c r="AC5784">
        <v>22.877800000000001</v>
      </c>
      <c r="AD5784">
        <v>-1.158641</v>
      </c>
      <c r="AE5784">
        <v>-2.7161499999999901</v>
      </c>
      <c r="AF5784">
        <v>2.6355814202157801</v>
      </c>
      <c r="AG5784">
        <v>-1.158641</v>
      </c>
      <c r="AH5784">
        <v>22.828713678162501</v>
      </c>
      <c r="AI5784">
        <v>92.886338768212795</v>
      </c>
      <c r="AJ5784">
        <v>83.414342414721801</v>
      </c>
      <c r="AK5784">
        <v>23.009539469293799</v>
      </c>
      <c r="AL5784">
        <v>81.0284740931546</v>
      </c>
      <c r="AM5784">
        <v>89.605810971518096</v>
      </c>
      <c r="AN5784">
        <v>1.0000000157104101</v>
      </c>
    </row>
    <row r="5785" spans="1:40" x14ac:dyDescent="0.25">
      <c r="A5785" t="str">
        <f>"20190304155748735"</f>
        <v>20190304155748735</v>
      </c>
      <c r="B5785" t="str">
        <f>"1551686268730535"</f>
        <v>1551686268730535</v>
      </c>
      <c r="C5785" t="s">
        <v>40</v>
      </c>
      <c r="D5785">
        <v>4.7425810000000004</v>
      </c>
      <c r="E5785">
        <v>0.53985289999999997</v>
      </c>
      <c r="F5785" t="s">
        <v>44</v>
      </c>
      <c r="G5785">
        <v>-307.5222</v>
      </c>
      <c r="H5785">
        <v>-0.05</v>
      </c>
      <c r="I5785">
        <v>14.372120000000001</v>
      </c>
      <c r="J5785">
        <v>-330.33789999999999</v>
      </c>
      <c r="K5785">
        <v>1.1086</v>
      </c>
      <c r="L5785">
        <v>17.109919999999999</v>
      </c>
      <c r="M5785">
        <v>0.9998899</v>
      </c>
      <c r="N5785">
        <v>-1.4211700000000001E-2</v>
      </c>
      <c r="O5785">
        <v>-4.2640880000000001E-3</v>
      </c>
      <c r="P5785">
        <v>0.98978739999999998</v>
      </c>
      <c r="Q5785">
        <v>0.1421404</v>
      </c>
      <c r="R5785">
        <v>-1.0819560000000001E-2</v>
      </c>
      <c r="S5785">
        <v>3.049347</v>
      </c>
      <c r="T5785">
        <v>-0.15347</v>
      </c>
      <c r="U5785">
        <v>-0.36285400000000001</v>
      </c>
      <c r="V5785">
        <v>7.1588349999999997E-3</v>
      </c>
      <c r="W5785">
        <v>0.15616830000000001</v>
      </c>
      <c r="X5785">
        <v>0.98770449999999999</v>
      </c>
      <c r="Y5785">
        <v>0.113744899999999</v>
      </c>
      <c r="Z5785">
        <v>-3.5089240000000001E-3</v>
      </c>
      <c r="AA5785">
        <v>0.99350380000000005</v>
      </c>
      <c r="AB5785">
        <v>34</v>
      </c>
      <c r="AC5785">
        <v>22.8157</v>
      </c>
      <c r="AD5785">
        <v>-1.1586000000000001</v>
      </c>
      <c r="AE5785">
        <v>-2.7378</v>
      </c>
      <c r="AF5785">
        <v>2.63378181915659</v>
      </c>
      <c r="AG5785">
        <v>-1.1586000000000001</v>
      </c>
      <c r="AH5785">
        <v>22.769286402885299</v>
      </c>
      <c r="AI5785">
        <v>92.8936837951222</v>
      </c>
      <c r="AJ5785">
        <v>83.401774204054405</v>
      </c>
      <c r="AK5785">
        <v>22.950371760116099</v>
      </c>
      <c r="AL5785">
        <v>81.015439745722503</v>
      </c>
      <c r="AM5785">
        <v>89.584730200704897</v>
      </c>
      <c r="AN5785">
        <v>0.99999998308184801</v>
      </c>
    </row>
    <row r="5786" spans="1:40" x14ac:dyDescent="0.25">
      <c r="A5786" t="str">
        <f>"20190304155748752"</f>
        <v>20190304155748752</v>
      </c>
      <c r="B5786" t="str">
        <f>"1551686268740295"</f>
        <v>1551686268740295</v>
      </c>
      <c r="C5786" t="s">
        <v>40</v>
      </c>
      <c r="D5786">
        <v>4.7802989999999896</v>
      </c>
      <c r="E5786">
        <v>0.53984949999999998</v>
      </c>
      <c r="F5786" t="s">
        <v>44</v>
      </c>
      <c r="G5786">
        <v>-307.08260000000001</v>
      </c>
      <c r="H5786">
        <v>-0.05</v>
      </c>
      <c r="I5786">
        <v>14.313980000000001</v>
      </c>
      <c r="J5786">
        <v>-330.0822</v>
      </c>
      <c r="K5786">
        <v>1.1085529999999999</v>
      </c>
      <c r="L5786">
        <v>17.107569999999999</v>
      </c>
      <c r="M5786">
        <v>0.99988279999999996</v>
      </c>
      <c r="N5786">
        <v>-1.4248439999999999E-2</v>
      </c>
      <c r="O5786">
        <v>-5.5917240000000002E-3</v>
      </c>
      <c r="P5786">
        <v>0.98973880000000003</v>
      </c>
      <c r="Q5786">
        <v>0.1423275</v>
      </c>
      <c r="R5786">
        <v>-1.2649270000000001E-2</v>
      </c>
      <c r="S5786">
        <v>3.0487669999999998</v>
      </c>
      <c r="T5786">
        <v>-0.15189240000000001</v>
      </c>
      <c r="U5786">
        <v>-0.3665466</v>
      </c>
      <c r="V5786">
        <v>7.6958540000000002E-3</v>
      </c>
      <c r="W5786">
        <v>0.15638869999999999</v>
      </c>
      <c r="X5786">
        <v>0.98766560000000003</v>
      </c>
      <c r="Y5786">
        <v>0.1136384</v>
      </c>
      <c r="Z5786">
        <v>-3.4340410000000001E-3</v>
      </c>
      <c r="AA5786">
        <v>0.99351630000000002</v>
      </c>
      <c r="AB5786">
        <v>34</v>
      </c>
      <c r="AC5786">
        <v>22.999599999999901</v>
      </c>
      <c r="AD5786">
        <v>-1.1585529999999999</v>
      </c>
      <c r="AE5786">
        <v>-2.79359</v>
      </c>
      <c r="AF5786">
        <v>2.6582787511526602</v>
      </c>
      <c r="AG5786">
        <v>-1.1585529999999999</v>
      </c>
      <c r="AH5786">
        <v>22.957457278619099</v>
      </c>
      <c r="AI5786">
        <v>92.869850374057904</v>
      </c>
      <c r="AJ5786">
        <v>83.395049110767502</v>
      </c>
      <c r="AK5786">
        <v>23.1398689640253</v>
      </c>
      <c r="AL5786">
        <v>81.002654769730199</v>
      </c>
      <c r="AM5786">
        <v>89.553562430006906</v>
      </c>
      <c r="AN5786">
        <v>0.99999999453991895</v>
      </c>
    </row>
    <row r="5787" spans="1:40" x14ac:dyDescent="0.25">
      <c r="A5787" t="str">
        <f>"20190304155748765"</f>
        <v>20190304155748765</v>
      </c>
      <c r="B5787" t="str">
        <f>"1551686268759815"</f>
        <v>1551686268759815</v>
      </c>
      <c r="C5787" t="s">
        <v>40</v>
      </c>
      <c r="D5787">
        <v>4.7609820000000003</v>
      </c>
      <c r="E5787">
        <v>0.53966059999999905</v>
      </c>
      <c r="F5787" t="s">
        <v>44</v>
      </c>
      <c r="G5787">
        <v>-306.77510000000001</v>
      </c>
      <c r="H5787">
        <v>-0.05</v>
      </c>
      <c r="I5787">
        <v>14.261659999999999</v>
      </c>
      <c r="J5787">
        <v>-329.86649999999997</v>
      </c>
      <c r="K5787">
        <v>1.1085160000000001</v>
      </c>
      <c r="L5787">
        <v>17.105260000000001</v>
      </c>
      <c r="M5787">
        <v>0.99987539999999997</v>
      </c>
      <c r="N5787">
        <v>-1.427694E-2</v>
      </c>
      <c r="O5787">
        <v>-6.7511159999999997E-3</v>
      </c>
      <c r="P5787">
        <v>0.98971589999999998</v>
      </c>
      <c r="Q5787">
        <v>0.14234469999999999</v>
      </c>
      <c r="R5787">
        <v>-1.4165860000000001E-2</v>
      </c>
      <c r="S5787">
        <v>3.0481259999999999</v>
      </c>
      <c r="T5787">
        <v>-0.1515167</v>
      </c>
      <c r="U5787">
        <v>-0.37219239999999998</v>
      </c>
      <c r="V5787">
        <v>8.0814149999999998E-3</v>
      </c>
      <c r="W5787">
        <v>0.15643199999999999</v>
      </c>
      <c r="X5787">
        <v>0.98765559999999997</v>
      </c>
      <c r="Y5787">
        <v>0.11432489999999999</v>
      </c>
      <c r="Z5787">
        <v>-3.4109050000000001E-3</v>
      </c>
      <c r="AA5787">
        <v>0.99343749999999997</v>
      </c>
      <c r="AB5787">
        <v>34</v>
      </c>
      <c r="AC5787">
        <v>23.091399999999901</v>
      </c>
      <c r="AD5787">
        <v>-1.1585159999999901</v>
      </c>
      <c r="AE5787">
        <v>-2.8435999999999999</v>
      </c>
      <c r="AF5787">
        <v>2.6809790593248199</v>
      </c>
      <c r="AG5787">
        <v>-1.1585159999999901</v>
      </c>
      <c r="AH5787">
        <v>23.0529130127399</v>
      </c>
      <c r="AI5787">
        <v>92.857730682958604</v>
      </c>
      <c r="AJ5787">
        <v>83.366485412769407</v>
      </c>
      <c r="AK5787">
        <v>23.237181550518201</v>
      </c>
      <c r="AL5787">
        <v>81.000142380299806</v>
      </c>
      <c r="AM5787">
        <v>89.531192210333799</v>
      </c>
      <c r="AN5787">
        <v>0.99999993205187798</v>
      </c>
    </row>
    <row r="5788" spans="1:40" x14ac:dyDescent="0.25">
      <c r="A5788" t="str">
        <f>"20190304155748786"</f>
        <v>20190304155748786</v>
      </c>
      <c r="B5788" t="str">
        <f>"1551686268780628"</f>
        <v>1551686268780628</v>
      </c>
      <c r="C5788" t="s">
        <v>40</v>
      </c>
      <c r="D5788">
        <v>4.8056760000000001</v>
      </c>
      <c r="E5788">
        <v>0.53961709999999996</v>
      </c>
      <c r="F5788" t="s">
        <v>44</v>
      </c>
      <c r="G5788">
        <v>-306.67610000000002</v>
      </c>
      <c r="H5788">
        <v>-0.05</v>
      </c>
      <c r="I5788">
        <v>14.24788</v>
      </c>
      <c r="J5788">
        <v>-329.5607</v>
      </c>
      <c r="K5788">
        <v>1.10846</v>
      </c>
      <c r="L5788">
        <v>17.101500000000001</v>
      </c>
      <c r="M5788">
        <v>0.99986209999999998</v>
      </c>
      <c r="N5788">
        <v>-1.4313680000000001E-2</v>
      </c>
      <c r="O5788">
        <v>-8.4399490000000004E-3</v>
      </c>
      <c r="P5788">
        <v>0.98966960000000004</v>
      </c>
      <c r="Q5788">
        <v>0.14239309999999999</v>
      </c>
      <c r="R5788">
        <v>-1.669663E-2</v>
      </c>
      <c r="S5788">
        <v>3.0476990000000002</v>
      </c>
      <c r="T5788">
        <v>-0.15225320000000001</v>
      </c>
      <c r="U5788">
        <v>-0.37551879999999999</v>
      </c>
      <c r="V5788">
        <v>8.9629389999999996E-3</v>
      </c>
      <c r="W5788">
        <v>0.15651109999999999</v>
      </c>
      <c r="X5788">
        <v>0.98763559999999995</v>
      </c>
      <c r="Y5788">
        <v>0.11373229999999999</v>
      </c>
      <c r="Z5788">
        <v>-3.3467150000000001E-3</v>
      </c>
      <c r="AA5788">
        <v>0.99350579999999999</v>
      </c>
      <c r="AB5788">
        <v>34</v>
      </c>
      <c r="AC5788">
        <v>22.884599999999899</v>
      </c>
      <c r="AD5788">
        <v>-1.15846</v>
      </c>
      <c r="AE5788">
        <v>-2.8536199999999998</v>
      </c>
      <c r="AF5788">
        <v>2.6536576672093002</v>
      </c>
      <c r="AG5788">
        <v>-1.15846</v>
      </c>
      <c r="AH5788">
        <v>22.850212935441501</v>
      </c>
      <c r="AI5788">
        <v>92.882953516772105</v>
      </c>
      <c r="AJ5788">
        <v>83.375758176410002</v>
      </c>
      <c r="AK5788">
        <v>23.0329364124803</v>
      </c>
      <c r="AL5788">
        <v>80.995555002625906</v>
      </c>
      <c r="AM5788">
        <v>89.480046608917306</v>
      </c>
      <c r="AN5788">
        <v>1.0000000685430399</v>
      </c>
    </row>
    <row r="5789" spans="1:40" x14ac:dyDescent="0.25">
      <c r="A5789" t="str">
        <f>"20190304155748797"</f>
        <v>20190304155748797</v>
      </c>
      <c r="B5789" t="str">
        <f>"1551686268790393"</f>
        <v>1551686268790393</v>
      </c>
      <c r="C5789" t="s">
        <v>40</v>
      </c>
      <c r="D5789">
        <v>4.768332</v>
      </c>
      <c r="E5789">
        <v>0.53952999999999995</v>
      </c>
      <c r="F5789" t="s">
        <v>44</v>
      </c>
      <c r="G5789">
        <v>-306.42899999999997</v>
      </c>
      <c r="H5789">
        <v>-0.05</v>
      </c>
      <c r="I5789">
        <v>14.19354</v>
      </c>
      <c r="J5789">
        <v>-329.39</v>
      </c>
      <c r="K5789">
        <v>1.108433</v>
      </c>
      <c r="L5789">
        <v>17.099150000000002</v>
      </c>
      <c r="M5789">
        <v>0.99985310000000005</v>
      </c>
      <c r="N5789">
        <v>-1.433216E-2</v>
      </c>
      <c r="O5789">
        <v>-9.4097030000000002E-3</v>
      </c>
      <c r="P5789">
        <v>0.98963730000000005</v>
      </c>
      <c r="Q5789">
        <v>0.14242739999999901</v>
      </c>
      <c r="R5789">
        <v>-1.824566E-2</v>
      </c>
      <c r="S5789">
        <v>3.0468139999999999</v>
      </c>
      <c r="T5789">
        <v>-0.15258749999999999</v>
      </c>
      <c r="U5789">
        <v>-0.38302609999999998</v>
      </c>
      <c r="V5789">
        <v>9.5645539999999994E-3</v>
      </c>
      <c r="W5789">
        <v>0.15656059999999999</v>
      </c>
      <c r="X5789">
        <v>0.987622</v>
      </c>
      <c r="Y5789">
        <v>0.1152117</v>
      </c>
      <c r="Z5789">
        <v>-3.3666910000000002E-3</v>
      </c>
      <c r="AA5789">
        <v>0.99333519999999997</v>
      </c>
      <c r="AB5789">
        <v>34</v>
      </c>
      <c r="AC5789">
        <v>22.960999999999899</v>
      </c>
      <c r="AD5789">
        <v>-1.158433</v>
      </c>
      <c r="AE5789">
        <v>-2.9056099999999998</v>
      </c>
      <c r="AF5789">
        <v>2.6826820329626901</v>
      </c>
      <c r="AG5789">
        <v>-1.158433</v>
      </c>
      <c r="AH5789">
        <v>22.9298806380644</v>
      </c>
      <c r="AI5789">
        <v>92.872602531444002</v>
      </c>
      <c r="AJ5789">
        <v>83.327014560519302</v>
      </c>
      <c r="AK5789">
        <v>23.1153234020498</v>
      </c>
      <c r="AL5789">
        <v>80.992682462970706</v>
      </c>
      <c r="AM5789">
        <v>89.445140503296301</v>
      </c>
      <c r="AN5789">
        <v>0.99999995852478796</v>
      </c>
    </row>
    <row r="5790" spans="1:40" x14ac:dyDescent="0.25">
      <c r="A5790" t="str">
        <f>"20190304155748807"</f>
        <v>20190304155748807</v>
      </c>
      <c r="B5790" t="str">
        <f>"1551686268800153"</f>
        <v>1551686268800153</v>
      </c>
      <c r="C5790" t="s">
        <v>40</v>
      </c>
      <c r="D5790">
        <v>4.7700040000000001</v>
      </c>
      <c r="E5790">
        <v>0.53944879999999995</v>
      </c>
      <c r="F5790" t="s">
        <v>44</v>
      </c>
      <c r="G5790">
        <v>-306.23689999999999</v>
      </c>
      <c r="H5790">
        <v>-0.05</v>
      </c>
      <c r="I5790">
        <v>14.154999999999999</v>
      </c>
      <c r="J5790">
        <v>-329.22370000000001</v>
      </c>
      <c r="K5790">
        <v>1.1084080000000001</v>
      </c>
      <c r="L5790">
        <v>17.096769999999999</v>
      </c>
      <c r="M5790">
        <v>0.99984340000000005</v>
      </c>
      <c r="N5790">
        <v>-1.434941E-2</v>
      </c>
      <c r="O5790">
        <v>-1.036548E-2</v>
      </c>
      <c r="P5790">
        <v>0.98959949999999997</v>
      </c>
      <c r="Q5790">
        <v>0.14250099999999999</v>
      </c>
      <c r="R5790">
        <v>-1.966244E-2</v>
      </c>
      <c r="S5790">
        <v>3.0462340000000001</v>
      </c>
      <c r="T5790">
        <v>-0.15241379999999999</v>
      </c>
      <c r="U5790">
        <v>-0.38735960000000003</v>
      </c>
      <c r="V5790">
        <v>1.004734E-2</v>
      </c>
      <c r="W5790">
        <v>0.1566487</v>
      </c>
      <c r="X5790">
        <v>0.98760329999999996</v>
      </c>
      <c r="Y5790">
        <v>0.1156766</v>
      </c>
      <c r="Z5790">
        <v>-3.3464250000000001E-3</v>
      </c>
      <c r="AA5790">
        <v>0.99328130000000003</v>
      </c>
      <c r="AB5790">
        <v>34</v>
      </c>
      <c r="AC5790">
        <v>22.986799999999999</v>
      </c>
      <c r="AD5790">
        <v>-1.1584079999999899</v>
      </c>
      <c r="AE5790">
        <v>-2.94177</v>
      </c>
      <c r="AF5790">
        <v>2.6965803034401201</v>
      </c>
      <c r="AG5790">
        <v>-1.1584079999999899</v>
      </c>
      <c r="AH5790">
        <v>22.958694367305402</v>
      </c>
      <c r="AI5790">
        <v>92.868789700182404</v>
      </c>
      <c r="AJ5790">
        <v>83.301098953980699</v>
      </c>
      <c r="AK5790">
        <v>23.145520116832699</v>
      </c>
      <c r="AL5790">
        <v>80.987572213749004</v>
      </c>
      <c r="AM5790">
        <v>89.417123942283098</v>
      </c>
      <c r="AN5790">
        <v>1.0000000212118201</v>
      </c>
    </row>
    <row r="5791" spans="1:40" x14ac:dyDescent="0.25">
      <c r="A5791" t="str">
        <f>"20190304155748820"</f>
        <v>20190304155748820</v>
      </c>
      <c r="B5791" t="str">
        <f>"1551686268809913"</f>
        <v>1551686268809913</v>
      </c>
      <c r="C5791" t="s">
        <v>40</v>
      </c>
      <c r="D5791">
        <v>4.748119</v>
      </c>
      <c r="E5791">
        <v>0.53948890000000005</v>
      </c>
      <c r="F5791" t="s">
        <v>44</v>
      </c>
      <c r="G5791">
        <v>-306.09949999999998</v>
      </c>
      <c r="H5791">
        <v>-0.05</v>
      </c>
      <c r="I5791">
        <v>14.127039999999999</v>
      </c>
      <c r="J5791">
        <v>-329.04610000000002</v>
      </c>
      <c r="K5791">
        <v>1.108379</v>
      </c>
      <c r="L5791">
        <v>17.093900000000001</v>
      </c>
      <c r="M5791">
        <v>0.99983169999999999</v>
      </c>
      <c r="N5791">
        <v>-1.436604E-2</v>
      </c>
      <c r="O5791">
        <v>-1.1413420000000001E-2</v>
      </c>
      <c r="P5791">
        <v>0.98956619999999995</v>
      </c>
      <c r="Q5791">
        <v>0.14250460000000001</v>
      </c>
      <c r="R5791">
        <v>-2.1247950000000002E-2</v>
      </c>
      <c r="S5791">
        <v>3.0456850000000002</v>
      </c>
      <c r="T5791">
        <v>-0.15257419999999999</v>
      </c>
      <c r="U5791">
        <v>-0.39114379999999999</v>
      </c>
      <c r="V5791">
        <v>1.0607750000000001E-2</v>
      </c>
      <c r="W5791">
        <v>0.15666559999999999</v>
      </c>
      <c r="X5791">
        <v>0.98759470000000005</v>
      </c>
      <c r="Y5791">
        <v>0.11587219999999999</v>
      </c>
      <c r="Z5791">
        <v>-3.3193950000000002E-3</v>
      </c>
      <c r="AA5791">
        <v>0.99325859999999999</v>
      </c>
      <c r="AB5791">
        <v>34</v>
      </c>
      <c r="AC5791">
        <v>22.9466</v>
      </c>
      <c r="AD5791">
        <v>-1.158379</v>
      </c>
      <c r="AE5791">
        <v>-2.9668600000000001</v>
      </c>
      <c r="AF5791">
        <v>2.6979780764298602</v>
      </c>
      <c r="AG5791">
        <v>-1.158379</v>
      </c>
      <c r="AH5791">
        <v>22.921518200073699</v>
      </c>
      <c r="AI5791">
        <v>92.873279293347693</v>
      </c>
      <c r="AJ5791">
        <v>83.286886835762303</v>
      </c>
      <c r="AK5791">
        <v>23.108806204666799</v>
      </c>
      <c r="AL5791">
        <v>80.986591281272098</v>
      </c>
      <c r="AM5791">
        <v>89.3846099682508</v>
      </c>
      <c r="AN5791">
        <v>0.999999963025755</v>
      </c>
    </row>
    <row r="5792" spans="1:40" x14ac:dyDescent="0.25">
      <c r="A5792" t="str">
        <f>"20190304155748832"</f>
        <v>20190304155748832</v>
      </c>
      <c r="B5792" t="str">
        <f>"1551686268820649"</f>
        <v>1551686268820649</v>
      </c>
      <c r="C5792" t="s">
        <v>40</v>
      </c>
      <c r="D5792">
        <v>5.0135759999999996</v>
      </c>
      <c r="E5792">
        <v>0.53948890000000005</v>
      </c>
      <c r="F5792" t="s">
        <v>44</v>
      </c>
      <c r="G5792">
        <v>-305.95780000000002</v>
      </c>
      <c r="H5792">
        <v>-0.05</v>
      </c>
      <c r="I5792">
        <v>14.088649999999999</v>
      </c>
      <c r="J5792">
        <v>-328.86880000000002</v>
      </c>
      <c r="K5792">
        <v>1.108347</v>
      </c>
      <c r="L5792">
        <v>17.090910000000001</v>
      </c>
      <c r="M5792">
        <v>0.99981889999999995</v>
      </c>
      <c r="N5792">
        <v>-1.4382020000000001E-2</v>
      </c>
      <c r="O5792">
        <v>-1.2469589999999999E-2</v>
      </c>
      <c r="P5792">
        <v>0.98953159999999896</v>
      </c>
      <c r="Q5792">
        <v>0.14249310000000001</v>
      </c>
      <c r="R5792">
        <v>-2.286494E-2</v>
      </c>
      <c r="S5792">
        <v>3.0451350000000001</v>
      </c>
      <c r="T5792">
        <v>-0.1527791</v>
      </c>
      <c r="U5792">
        <v>-0.3963623</v>
      </c>
      <c r="V5792">
        <v>1.119157E-2</v>
      </c>
      <c r="W5792">
        <v>0.15666649999999999</v>
      </c>
      <c r="X5792">
        <v>0.98758820000000003</v>
      </c>
      <c r="Y5792">
        <v>0.116518899999999</v>
      </c>
      <c r="Z5792">
        <v>-3.3070920000000002E-3</v>
      </c>
      <c r="AA5792">
        <v>0.99318300000000004</v>
      </c>
      <c r="AB5792">
        <v>34</v>
      </c>
      <c r="AC5792">
        <v>22.910999999999898</v>
      </c>
      <c r="AD5792">
        <v>-1.158347</v>
      </c>
      <c r="AE5792">
        <v>-3.0022600000000002</v>
      </c>
      <c r="AF5792">
        <v>2.7094972199888101</v>
      </c>
      <c r="AG5792">
        <v>-1.158347</v>
      </c>
      <c r="AH5792">
        <v>22.889138411853502</v>
      </c>
      <c r="AI5792">
        <v>92.877033795897802</v>
      </c>
      <c r="AJ5792">
        <v>83.249039315015295</v>
      </c>
      <c r="AK5792">
        <v>23.078037182449499</v>
      </c>
      <c r="AL5792">
        <v>80.9865398437355</v>
      </c>
      <c r="AM5792">
        <v>89.350739224622401</v>
      </c>
      <c r="AN5792">
        <v>1.00000004812027</v>
      </c>
    </row>
    <row r="5793" spans="1:40" x14ac:dyDescent="0.25">
      <c r="A5793" t="str">
        <f>"20190304155748842"</f>
        <v>20190304155748842</v>
      </c>
      <c r="B5793" t="str">
        <f>"1551686268840169"</f>
        <v>1551686268840169</v>
      </c>
      <c r="C5793" t="s">
        <v>40</v>
      </c>
      <c r="D5793">
        <v>5.125095</v>
      </c>
      <c r="E5793">
        <v>0.57575180000000004</v>
      </c>
      <c r="F5793" t="s">
        <v>44</v>
      </c>
      <c r="G5793">
        <v>-305.78789999999998</v>
      </c>
      <c r="H5793">
        <v>-0.05</v>
      </c>
      <c r="I5793">
        <v>14.04782</v>
      </c>
      <c r="J5793">
        <v>-328.69900000000001</v>
      </c>
      <c r="K5793">
        <v>1.1083209999999999</v>
      </c>
      <c r="L5793">
        <v>17.087800000000001</v>
      </c>
      <c r="M5793">
        <v>0.99980519999999995</v>
      </c>
      <c r="N5793">
        <v>-1.439578E-2</v>
      </c>
      <c r="O5793">
        <v>-1.350519E-2</v>
      </c>
      <c r="P5793">
        <v>0.98950740000000004</v>
      </c>
      <c r="Q5793">
        <v>0.142352799999999</v>
      </c>
      <c r="R5793">
        <v>-2.4713579999999999E-2</v>
      </c>
      <c r="S5793">
        <v>3.0444640000000001</v>
      </c>
      <c r="T5793">
        <v>-0.1527907</v>
      </c>
      <c r="U5793">
        <v>-0.40139770000000002</v>
      </c>
      <c r="V5793">
        <v>1.2025849999999999E-2</v>
      </c>
      <c r="W5793">
        <v>0.1565356</v>
      </c>
      <c r="X5793">
        <v>0.98759909999999995</v>
      </c>
      <c r="Y5793">
        <v>0.11713270000000001</v>
      </c>
      <c r="Z5793">
        <v>-3.291492E-3</v>
      </c>
      <c r="AA5793">
        <v>0.99311079999999996</v>
      </c>
      <c r="AB5793">
        <v>34</v>
      </c>
      <c r="AC5793">
        <v>22.911100000000001</v>
      </c>
      <c r="AD5793">
        <v>-1.1583209999999999</v>
      </c>
      <c r="AE5793">
        <v>-3.0399799999999999</v>
      </c>
      <c r="AF5793">
        <v>2.7234111964936001</v>
      </c>
      <c r="AG5793">
        <v>-1.1583209999999999</v>
      </c>
      <c r="AH5793">
        <v>22.892568107787699</v>
      </c>
      <c r="AI5793">
        <v>92.876340747814496</v>
      </c>
      <c r="AJ5793">
        <v>83.215700862518801</v>
      </c>
      <c r="AK5793">
        <v>23.0830749826345</v>
      </c>
      <c r="AL5793">
        <v>80.994133104013002</v>
      </c>
      <c r="AM5793">
        <v>89.3023521410868</v>
      </c>
      <c r="AN5793">
        <v>0.999999998728196</v>
      </c>
    </row>
    <row r="5794" spans="1:40" x14ac:dyDescent="0.25">
      <c r="A5794" t="str">
        <f>"20190304155749142"</f>
        <v>20190304155749142</v>
      </c>
      <c r="B5794" t="str">
        <f>"1551686269130637"</f>
        <v>1551686269130637</v>
      </c>
      <c r="C5794" t="s">
        <v>40</v>
      </c>
      <c r="D5794">
        <v>4.951492</v>
      </c>
      <c r="E5794">
        <v>0.65033540000000001</v>
      </c>
      <c r="F5794" t="s">
        <v>89</v>
      </c>
      <c r="G5794">
        <v>-274.26139999999998</v>
      </c>
      <c r="H5794">
        <v>0.79932309999999995</v>
      </c>
      <c r="I5794">
        <v>4.600212</v>
      </c>
      <c r="J5794">
        <v>-324.22669999999999</v>
      </c>
      <c r="K5794">
        <v>1.1070279999999999</v>
      </c>
      <c r="L5794">
        <v>16.925380000000001</v>
      </c>
      <c r="M5794">
        <v>0.99867110000000003</v>
      </c>
      <c r="N5794">
        <v>-1.457808E-2</v>
      </c>
      <c r="O5794">
        <v>-4.943144E-2</v>
      </c>
      <c r="P5794">
        <v>0.98437169999999896</v>
      </c>
      <c r="Q5794">
        <v>0.14255019999999999</v>
      </c>
      <c r="R5794">
        <v>-0.1034016</v>
      </c>
      <c r="S5794">
        <v>3.0169980000000001</v>
      </c>
      <c r="T5794">
        <v>-1.7125129999999999E-2</v>
      </c>
      <c r="U5794">
        <v>-0.69207759999999996</v>
      </c>
      <c r="V5794">
        <v>5.5800740000000001E-2</v>
      </c>
      <c r="W5794">
        <v>0.15652339999999901</v>
      </c>
      <c r="X5794">
        <v>0.98609669999999905</v>
      </c>
      <c r="Y5794">
        <v>0.17511879999999999</v>
      </c>
      <c r="Z5794">
        <v>-2.2197010000000001E-3</v>
      </c>
      <c r="AA5794">
        <v>0.9845448</v>
      </c>
      <c r="AB5794">
        <v>33</v>
      </c>
      <c r="AC5794">
        <v>49.965299999999999</v>
      </c>
      <c r="AD5794">
        <v>-0.3077049</v>
      </c>
      <c r="AE5794">
        <v>-12.325168</v>
      </c>
      <c r="AF5794">
        <v>9.83962646830763</v>
      </c>
      <c r="AG5794">
        <v>-0.3077049</v>
      </c>
      <c r="AH5794">
        <v>50.511715144367102</v>
      </c>
      <c r="AI5794">
        <v>90.342588078321</v>
      </c>
      <c r="AJ5794">
        <v>78.976891602181198</v>
      </c>
      <c r="AK5794">
        <v>51.4620860261901</v>
      </c>
      <c r="AL5794">
        <v>80.994840843926895</v>
      </c>
      <c r="AM5794">
        <v>86.7612295406811</v>
      </c>
      <c r="AN5794">
        <v>0.99999999954149799</v>
      </c>
    </row>
    <row r="5795" spans="1:40" x14ac:dyDescent="0.25">
      <c r="A5795" t="str">
        <f>"20190304155749156"</f>
        <v>20190304155749156</v>
      </c>
      <c r="B5795" t="str">
        <f>"1551686269150159"</f>
        <v>1551686269150159</v>
      </c>
      <c r="C5795" t="s">
        <v>40</v>
      </c>
      <c r="D5795">
        <v>4.8665510000000003</v>
      </c>
      <c r="E5795">
        <v>0.66377489999999995</v>
      </c>
      <c r="F5795" t="s">
        <v>89</v>
      </c>
      <c r="G5795">
        <v>-279.02</v>
      </c>
      <c r="H5795">
        <v>0.3181985</v>
      </c>
      <c r="I5795">
        <v>-6.8531119999999897</v>
      </c>
      <c r="J5795">
        <v>-324.0197</v>
      </c>
      <c r="K5795">
        <v>1.106916</v>
      </c>
      <c r="L5795">
        <v>16.9129</v>
      </c>
      <c r="M5795">
        <v>0.9985484</v>
      </c>
      <c r="N5795">
        <v>-1.458458E-2</v>
      </c>
      <c r="O5795">
        <v>-5.184921E-2</v>
      </c>
      <c r="P5795">
        <v>0.98385210000000001</v>
      </c>
      <c r="Q5795">
        <v>0.14220669999999999</v>
      </c>
      <c r="R5795">
        <v>-0.10868559999999999</v>
      </c>
      <c r="S5795">
        <v>2.8950200000000001</v>
      </c>
      <c r="T5795">
        <v>-5.0516369999999998E-2</v>
      </c>
      <c r="U5795">
        <v>-1.5227660000000001</v>
      </c>
      <c r="V5795">
        <v>5.8751440000000002E-2</v>
      </c>
      <c r="W5795">
        <v>0.1561466</v>
      </c>
      <c r="X5795">
        <v>0.985985</v>
      </c>
      <c r="Y5795">
        <v>0.4189022</v>
      </c>
      <c r="Z5795">
        <v>-6.5397199999999997E-3</v>
      </c>
      <c r="AA5795">
        <v>0.90800780000000003</v>
      </c>
      <c r="AB5795">
        <v>33</v>
      </c>
      <c r="AC5795">
        <v>44.999699999999997</v>
      </c>
      <c r="AD5795">
        <v>-0.78871749999999996</v>
      </c>
      <c r="AE5795">
        <v>-23.766012</v>
      </c>
      <c r="AF5795">
        <v>21.395451756227001</v>
      </c>
      <c r="AG5795">
        <v>-0.78871749999999996</v>
      </c>
      <c r="AH5795">
        <v>46.1604513426797</v>
      </c>
      <c r="AI5795">
        <v>90.888138760833002</v>
      </c>
      <c r="AJ5795">
        <v>65.132192789093807</v>
      </c>
      <c r="AK5795">
        <v>50.883933606863998</v>
      </c>
      <c r="AL5795">
        <v>81.016698263918499</v>
      </c>
      <c r="AM5795">
        <v>86.589974446106595</v>
      </c>
      <c r="AN5795">
        <v>0.99999995630931504</v>
      </c>
    </row>
    <row r="5796" spans="1:40" x14ac:dyDescent="0.25">
      <c r="A5796" t="str">
        <f>"20190304155749167"</f>
        <v>20190304155749167</v>
      </c>
      <c r="B5796" t="str">
        <f>"1551686269160896"</f>
        <v>1551686269160896</v>
      </c>
      <c r="C5796" t="s">
        <v>40</v>
      </c>
      <c r="D5796">
        <v>4.8929140000000002</v>
      </c>
      <c r="E5796">
        <v>0.66533189999999998</v>
      </c>
      <c r="F5796" t="s">
        <v>89</v>
      </c>
      <c r="G5796">
        <v>-279.02</v>
      </c>
      <c r="H5796">
        <v>0.76285630000000004</v>
      </c>
      <c r="I5796">
        <v>-8.8452409999999997</v>
      </c>
      <c r="J5796">
        <v>-323.83179999999999</v>
      </c>
      <c r="K5796">
        <v>1.1068100000000001</v>
      </c>
      <c r="L5796">
        <v>16.90109</v>
      </c>
      <c r="M5796">
        <v>0.99842819999999999</v>
      </c>
      <c r="N5796">
        <v>-1.4590590000000001E-2</v>
      </c>
      <c r="O5796">
        <v>-5.4116150000000002E-2</v>
      </c>
      <c r="P5796">
        <v>0.98331029999999997</v>
      </c>
      <c r="Q5796">
        <v>0.1420015</v>
      </c>
      <c r="R5796">
        <v>-0.11374090000000001</v>
      </c>
      <c r="S5796">
        <v>2.8708800000000001</v>
      </c>
      <c r="T5796">
        <v>-2.1950239999999999E-2</v>
      </c>
      <c r="U5796">
        <v>-1.643311</v>
      </c>
      <c r="V5796">
        <v>6.1623320000000002E-2</v>
      </c>
      <c r="W5796">
        <v>0.1559073</v>
      </c>
      <c r="X5796">
        <v>0.98584760000000005</v>
      </c>
      <c r="Y5796">
        <v>0.44904369999999999</v>
      </c>
      <c r="Z5796">
        <v>-5.4573030000000002E-3</v>
      </c>
      <c r="AA5796">
        <v>0.89349319999999899</v>
      </c>
      <c r="AB5796">
        <v>33</v>
      </c>
      <c r="AC5796">
        <v>44.811799999999998</v>
      </c>
      <c r="AD5796">
        <v>-0.34395369999999997</v>
      </c>
      <c r="AE5796">
        <v>-25.746331000000001</v>
      </c>
      <c r="AF5796">
        <v>23.282264412246001</v>
      </c>
      <c r="AG5796">
        <v>-0.34395369999999997</v>
      </c>
      <c r="AH5796">
        <v>46.137517818619003</v>
      </c>
      <c r="AI5796">
        <v>90.381329897335803</v>
      </c>
      <c r="AJ5796">
        <v>63.223228602096597</v>
      </c>
      <c r="AK5796">
        <v>51.680293060052101</v>
      </c>
      <c r="AL5796">
        <v>81.030579587748505</v>
      </c>
      <c r="AM5796">
        <v>86.423211461298095</v>
      </c>
      <c r="AN5796">
        <v>1.0000000050934299</v>
      </c>
    </row>
    <row r="5797" spans="1:40" x14ac:dyDescent="0.25">
      <c r="A5797" t="str">
        <f>"20190304155749200"</f>
        <v>20190304155749200</v>
      </c>
      <c r="B5797" t="str">
        <f>"1551686269190173"</f>
        <v>1551686269190173</v>
      </c>
      <c r="C5797" t="s">
        <v>40</v>
      </c>
      <c r="D5797">
        <v>4.8173969999999997</v>
      </c>
      <c r="E5797">
        <v>0.66687489999999905</v>
      </c>
      <c r="F5797" t="s">
        <v>89</v>
      </c>
      <c r="G5797">
        <v>-279.2346</v>
      </c>
      <c r="H5797">
        <v>0.82153299999999996</v>
      </c>
      <c r="I5797">
        <v>-9.1330449999999992</v>
      </c>
      <c r="J5797">
        <v>-323.34449999999998</v>
      </c>
      <c r="K5797">
        <v>1.1065259999999999</v>
      </c>
      <c r="L5797">
        <v>16.86786</v>
      </c>
      <c r="M5797">
        <v>0.99806890000000004</v>
      </c>
      <c r="N5797">
        <v>-1.4607739999999999E-2</v>
      </c>
      <c r="O5797">
        <v>-6.0374490000000003E-2</v>
      </c>
      <c r="P5797">
        <v>0.98175760000000001</v>
      </c>
      <c r="Q5797">
        <v>0.14070289999999999</v>
      </c>
      <c r="R5797">
        <v>-0.12788579999999999</v>
      </c>
      <c r="S5797">
        <v>2.8604129999999999</v>
      </c>
      <c r="T5797">
        <v>-1.8297310000000001E-2</v>
      </c>
      <c r="U5797">
        <v>-1.6698</v>
      </c>
      <c r="V5797">
        <v>6.9733669999999998E-2</v>
      </c>
      <c r="W5797">
        <v>0.1545088</v>
      </c>
      <c r="X5797">
        <v>0.98552740000000005</v>
      </c>
      <c r="Y5797">
        <v>0.45105260000000003</v>
      </c>
      <c r="Z5797">
        <v>-5.3382680000000002E-3</v>
      </c>
      <c r="AA5797">
        <v>0.89248139999999998</v>
      </c>
      <c r="AB5797">
        <v>33</v>
      </c>
      <c r="AC5797">
        <v>44.109899999999897</v>
      </c>
      <c r="AD5797">
        <v>-0.284993</v>
      </c>
      <c r="AE5797">
        <v>-26.000904999999999</v>
      </c>
      <c r="AF5797">
        <v>23.289345521079301</v>
      </c>
      <c r="AG5797">
        <v>-0.284993</v>
      </c>
      <c r="AH5797">
        <v>45.597963655815299</v>
      </c>
      <c r="AI5797">
        <v>90.318912678177199</v>
      </c>
      <c r="AJ5797">
        <v>62.944141889826597</v>
      </c>
      <c r="AK5797">
        <v>51.202042199186998</v>
      </c>
      <c r="AL5797">
        <v>81.111690661835496</v>
      </c>
      <c r="AM5797">
        <v>85.952626987060697</v>
      </c>
      <c r="AN5797">
        <v>1.00000000507993</v>
      </c>
    </row>
    <row r="5798" spans="1:40" x14ac:dyDescent="0.25">
      <c r="A5798" t="str">
        <f>"20190304155749222"</f>
        <v>20190304155749222</v>
      </c>
      <c r="B5798" t="str">
        <f>"1551686269210670"</f>
        <v>1551686269210670</v>
      </c>
      <c r="C5798" t="s">
        <v>40</v>
      </c>
      <c r="D5798">
        <v>4.9394039999999997</v>
      </c>
      <c r="E5798">
        <v>0.66769460000000003</v>
      </c>
      <c r="F5798" t="s">
        <v>89</v>
      </c>
      <c r="G5798">
        <v>-279.33690000000001</v>
      </c>
      <c r="H5798">
        <v>0.79925299999999999</v>
      </c>
      <c r="I5798">
        <v>-9.8722250000000003</v>
      </c>
      <c r="J5798">
        <v>-323.03199999999998</v>
      </c>
      <c r="K5798">
        <v>1.1063480000000001</v>
      </c>
      <c r="L5798">
        <v>16.8447</v>
      </c>
      <c r="M5798">
        <v>0.99780190000000002</v>
      </c>
      <c r="N5798">
        <v>-1.4618620000000001E-2</v>
      </c>
      <c r="O5798">
        <v>-6.4634960000000005E-2</v>
      </c>
      <c r="P5798">
        <v>0.98050280000000001</v>
      </c>
      <c r="Q5798">
        <v>0.1406772</v>
      </c>
      <c r="R5798">
        <v>-0.13720199999999999</v>
      </c>
      <c r="S5798">
        <v>2.8342589999999999</v>
      </c>
      <c r="T5798">
        <v>-1.9789580000000001E-2</v>
      </c>
      <c r="U5798">
        <v>-1.7221679999999999</v>
      </c>
      <c r="V5798">
        <v>7.4960540000000006E-2</v>
      </c>
      <c r="W5798">
        <v>0.15441070000000001</v>
      </c>
      <c r="X5798">
        <v>0.98515900000000001</v>
      </c>
      <c r="Y5798">
        <v>0.46291749999999998</v>
      </c>
      <c r="Z5798">
        <v>-5.6007260000000003E-3</v>
      </c>
      <c r="AA5798">
        <v>0.8863837</v>
      </c>
      <c r="AB5798">
        <v>33</v>
      </c>
      <c r="AC5798">
        <v>43.695099999999897</v>
      </c>
      <c r="AD5798">
        <v>-0.30709499999999901</v>
      </c>
      <c r="AE5798">
        <v>-26.716925</v>
      </c>
      <c r="AF5798">
        <v>23.835657469564001</v>
      </c>
      <c r="AG5798">
        <v>-0.30709499999999901</v>
      </c>
      <c r="AH5798">
        <v>45.329115080184998</v>
      </c>
      <c r="AI5798">
        <v>90.343559544595706</v>
      </c>
      <c r="AJ5798">
        <v>62.263013324439299</v>
      </c>
      <c r="AK5798">
        <v>51.214856714610299</v>
      </c>
      <c r="AL5798">
        <v>81.117379614841397</v>
      </c>
      <c r="AM5798">
        <v>85.648760719057293</v>
      </c>
      <c r="AN5798">
        <v>1.0000000010562899</v>
      </c>
    </row>
    <row r="5799" spans="1:40" x14ac:dyDescent="0.25">
      <c r="A5799" t="str">
        <f>"20190304155749253"</f>
        <v>20190304155749253</v>
      </c>
      <c r="B5799" t="str">
        <f>"1551686269250686"</f>
        <v>1551686269250686</v>
      </c>
      <c r="C5799" t="s">
        <v>40</v>
      </c>
      <c r="D5799">
        <v>4.9328979999999998</v>
      </c>
      <c r="E5799">
        <v>0.6662188</v>
      </c>
      <c r="F5799" t="s">
        <v>89</v>
      </c>
      <c r="G5799">
        <v>-279.33690000000001</v>
      </c>
      <c r="H5799">
        <v>0.83715329999999999</v>
      </c>
      <c r="I5799">
        <v>-10.380050000000001</v>
      </c>
      <c r="J5799">
        <v>-322.57470000000001</v>
      </c>
      <c r="K5799">
        <v>1.1060950000000001</v>
      </c>
      <c r="L5799">
        <v>16.808139999999899</v>
      </c>
      <c r="M5799">
        <v>0.99735269999999998</v>
      </c>
      <c r="N5799">
        <v>-1.463476E-2</v>
      </c>
      <c r="O5799">
        <v>-7.1228780000000005E-2</v>
      </c>
      <c r="P5799">
        <v>0.97868449999999996</v>
      </c>
      <c r="Q5799">
        <v>0.13882529999999901</v>
      </c>
      <c r="R5799">
        <v>-0.15134120000000001</v>
      </c>
      <c r="S5799">
        <v>2.816589</v>
      </c>
      <c r="T5799">
        <v>-1.7352340000000001E-2</v>
      </c>
      <c r="U5799">
        <v>-1.7549129999999999</v>
      </c>
      <c r="V5799">
        <v>8.2744369999999998E-2</v>
      </c>
      <c r="W5799">
        <v>0.15244730000000001</v>
      </c>
      <c r="X5799">
        <v>0.98484170000000004</v>
      </c>
      <c r="Y5799">
        <v>0.4669838</v>
      </c>
      <c r="Z5799">
        <v>-5.5807510000000001E-3</v>
      </c>
      <c r="AA5799">
        <v>0.88424829999999999</v>
      </c>
      <c r="AB5799">
        <v>33</v>
      </c>
      <c r="AC5799">
        <v>43.237799999999901</v>
      </c>
      <c r="AD5799">
        <v>-0.26894169999999901</v>
      </c>
      <c r="AE5799">
        <v>-27.188189999999999</v>
      </c>
      <c r="AF5799">
        <v>24.0383454127</v>
      </c>
      <c r="AG5799">
        <v>-0.26894169999999901</v>
      </c>
      <c r="AH5799">
        <v>45.063492106980497</v>
      </c>
      <c r="AI5799">
        <v>90.301700700183403</v>
      </c>
      <c r="AJ5799">
        <v>61.923075660191202</v>
      </c>
      <c r="AK5799">
        <v>51.074775581437102</v>
      </c>
      <c r="AL5799">
        <v>81.231222020576993</v>
      </c>
      <c r="AM5799">
        <v>85.197406017005605</v>
      </c>
      <c r="AN5799">
        <v>0.99999999205143797</v>
      </c>
    </row>
    <row r="5800" spans="1:40" x14ac:dyDescent="0.25">
      <c r="A5800" t="str">
        <f>"20190304155750297"</f>
        <v>20190304155750297</v>
      </c>
      <c r="B5800" t="str">
        <f>"1551686270290706"</f>
        <v>1551686270290706</v>
      </c>
      <c r="C5800" t="s">
        <v>40</v>
      </c>
      <c r="D5800">
        <v>5.0903749999999999</v>
      </c>
      <c r="E5800">
        <v>0.71028829999999998</v>
      </c>
      <c r="F5800" t="s">
        <v>89</v>
      </c>
      <c r="G5800">
        <v>-279.02</v>
      </c>
      <c r="H5800">
        <v>0.68948299999999996</v>
      </c>
      <c r="I5800">
        <v>-10.99563</v>
      </c>
      <c r="J5800">
        <v>-308.54939999999999</v>
      </c>
      <c r="K5800">
        <v>1.045733</v>
      </c>
      <c r="L5800">
        <v>11.97476</v>
      </c>
      <c r="M5800">
        <v>0.79714469999999904</v>
      </c>
      <c r="N5800">
        <v>-1.7519710000000001E-2</v>
      </c>
      <c r="O5800">
        <v>-0.60353419999999902</v>
      </c>
      <c r="P5800">
        <v>0.63703609999999999</v>
      </c>
      <c r="Q5800">
        <v>0.14679029999999901</v>
      </c>
      <c r="R5800">
        <v>-0.75672839999999997</v>
      </c>
      <c r="S5800">
        <v>2.793396</v>
      </c>
      <c r="T5800">
        <v>-2.6719570000000002E-2</v>
      </c>
      <c r="U5800">
        <v>-1.7832030000000001</v>
      </c>
      <c r="V5800">
        <v>0.2244546</v>
      </c>
      <c r="W5800">
        <v>0.15579899999999999</v>
      </c>
      <c r="X5800">
        <v>0.96194950000000001</v>
      </c>
      <c r="Y5800">
        <v>-7.977186E-2</v>
      </c>
      <c r="Z5800">
        <v>-4.8940249999999998E-3</v>
      </c>
      <c r="AA5800">
        <v>0.9968011</v>
      </c>
      <c r="AB5800">
        <v>30</v>
      </c>
      <c r="AC5800">
        <v>29.529399999999999</v>
      </c>
      <c r="AD5800">
        <v>-0.35625000000000001</v>
      </c>
      <c r="AE5800">
        <v>-22.970389999999998</v>
      </c>
      <c r="AF5800">
        <v>0.48875250760266897</v>
      </c>
      <c r="AG5800">
        <v>-0.35625000000000001</v>
      </c>
      <c r="AH5800">
        <v>37.404967698073001</v>
      </c>
      <c r="AI5800">
        <v>90.545629724391205</v>
      </c>
      <c r="AJ5800">
        <v>89.251386538026907</v>
      </c>
      <c r="AK5800">
        <v>37.409857010821</v>
      </c>
      <c r="AL5800">
        <v>81.0368616024261</v>
      </c>
      <c r="AM5800">
        <v>76.865993698186401</v>
      </c>
      <c r="AN5800">
        <v>1.0000000182062001</v>
      </c>
    </row>
    <row r="5801" spans="1:40" x14ac:dyDescent="0.25">
      <c r="A5801" t="str">
        <f>"20190304155750726"</f>
        <v>20190304155750726</v>
      </c>
      <c r="B5801" t="str">
        <f>"1551686270720152"</f>
        <v>1551686270720152</v>
      </c>
      <c r="C5801" t="s">
        <v>40</v>
      </c>
      <c r="D5801">
        <v>5.4848889999999999</v>
      </c>
      <c r="E5801">
        <v>0.71028829999999998</v>
      </c>
      <c r="F5801" t="s">
        <v>90</v>
      </c>
      <c r="G5801">
        <v>-288.87520000000001</v>
      </c>
      <c r="H5801">
        <v>1.1052569999999999</v>
      </c>
      <c r="I5801">
        <v>-91.564989999999995</v>
      </c>
      <c r="J5801">
        <v>-304.79750000000001</v>
      </c>
      <c r="K5801">
        <v>1.045031</v>
      </c>
      <c r="L5801">
        <v>7.5041500000000001</v>
      </c>
      <c r="M5801">
        <v>0.53451479999999996</v>
      </c>
      <c r="N5801">
        <v>-1.7350649999999999E-2</v>
      </c>
      <c r="O5801">
        <v>-0.84498090000000003</v>
      </c>
      <c r="P5801">
        <v>0.34986850000000003</v>
      </c>
      <c r="Q5801">
        <v>0.15245529999999999</v>
      </c>
      <c r="R5801">
        <v>-0.92431030000000003</v>
      </c>
      <c r="S5801">
        <v>0.64935299999999996</v>
      </c>
      <c r="T5801">
        <v>1.9650459999999998E-3</v>
      </c>
      <c r="U5801">
        <v>-3.4173580000000001</v>
      </c>
      <c r="V5801">
        <v>0.2044868</v>
      </c>
      <c r="W5801">
        <v>0.16189139999999999</v>
      </c>
      <c r="X5801">
        <v>0.96538919999999995</v>
      </c>
      <c r="Y5801">
        <v>0.36741360000000001</v>
      </c>
      <c r="Z5801">
        <v>-1.684894E-2</v>
      </c>
      <c r="AA5801">
        <v>0.92990510000000004</v>
      </c>
      <c r="AB5801">
        <v>29</v>
      </c>
      <c r="AC5801">
        <v>15.9223</v>
      </c>
      <c r="AD5801">
        <v>6.0225999999999801E-2</v>
      </c>
      <c r="AE5801">
        <v>-99.069140000000004</v>
      </c>
      <c r="AF5801">
        <v>39.505818105833001</v>
      </c>
      <c r="AG5801">
        <v>6.0225999999999801E-2</v>
      </c>
      <c r="AH5801">
        <v>92.236094990411402</v>
      </c>
      <c r="AI5801">
        <v>89.965610129961206</v>
      </c>
      <c r="AJ5801">
        <v>66.813972630380903</v>
      </c>
      <c r="AK5801">
        <v>100.340472943187</v>
      </c>
      <c r="AL5801">
        <v>80.683303006458402</v>
      </c>
      <c r="AM5801">
        <v>78.040493859922094</v>
      </c>
      <c r="AN5801">
        <v>0.99999999212241997</v>
      </c>
    </row>
    <row r="5802" spans="1:40" x14ac:dyDescent="0.25">
      <c r="A5802" t="str">
        <f>"20190304155750750"</f>
        <v>20190304155750750</v>
      </c>
      <c r="B5802" t="str">
        <f>"1551686270740648"</f>
        <v>1551686270740648</v>
      </c>
      <c r="C5802" t="s">
        <v>40</v>
      </c>
      <c r="D5802">
        <v>5.4594870000000002</v>
      </c>
      <c r="E5802">
        <v>0.64354489999999998</v>
      </c>
      <c r="F5802" t="s">
        <v>91</v>
      </c>
      <c r="G5802">
        <v>-320.61660000000001</v>
      </c>
      <c r="H5802">
        <v>2.451254</v>
      </c>
      <c r="I5802">
        <v>-95.462459999999993</v>
      </c>
      <c r="J5802">
        <v>-304.65159999999997</v>
      </c>
      <c r="K5802">
        <v>1.0450950000000001</v>
      </c>
      <c r="L5802">
        <v>7.240875</v>
      </c>
      <c r="M5802">
        <v>0.51859079999999902</v>
      </c>
      <c r="N5802">
        <v>-1.7334749999999999E-2</v>
      </c>
      <c r="O5802">
        <v>-0.85484689999999997</v>
      </c>
      <c r="P5802">
        <v>0.33635290000000001</v>
      </c>
      <c r="Q5802">
        <v>0.15385509999999999</v>
      </c>
      <c r="R5802">
        <v>-0.9290832</v>
      </c>
      <c r="S5802">
        <v>-0.52816770000000002</v>
      </c>
      <c r="T5802">
        <v>4.6949980000000002E-2</v>
      </c>
      <c r="U5802">
        <v>-3.4378359999999999</v>
      </c>
      <c r="V5802">
        <v>0.20037550000000001</v>
      </c>
      <c r="W5802">
        <v>0.16346379999999999</v>
      </c>
      <c r="X5802">
        <v>0.96598609999999896</v>
      </c>
      <c r="Y5802">
        <v>0.64239950000000001</v>
      </c>
      <c r="Z5802">
        <v>-2.7081589999999999E-2</v>
      </c>
      <c r="AA5802">
        <v>0.76589130000000005</v>
      </c>
      <c r="AB5802">
        <v>29</v>
      </c>
      <c r="AC5802">
        <v>-15.965</v>
      </c>
      <c r="AD5802">
        <v>1.4061589999999999</v>
      </c>
      <c r="AE5802">
        <v>-102.703335</v>
      </c>
      <c r="AF5802">
        <v>66.906439901472794</v>
      </c>
      <c r="AG5802">
        <v>1.4061589999999999</v>
      </c>
      <c r="AH5802">
        <v>79.513716200588405</v>
      </c>
      <c r="AI5802">
        <v>89.224751841088704</v>
      </c>
      <c r="AJ5802">
        <v>49.921224900798997</v>
      </c>
      <c r="AK5802">
        <v>103.92728249815001</v>
      </c>
      <c r="AL5802">
        <v>80.591994422346801</v>
      </c>
      <c r="AM5802">
        <v>78.2812671776054</v>
      </c>
      <c r="AN5802">
        <v>0.99999995015194798</v>
      </c>
    </row>
    <row r="5803" spans="1:40" x14ac:dyDescent="0.25">
      <c r="A5803" t="str">
        <f>"20190304155750772"</f>
        <v>20190304155750772</v>
      </c>
      <c r="B5803" t="str">
        <f>"1551686270760167"</f>
        <v>1551686270760167</v>
      </c>
      <c r="C5803" t="s">
        <v>40</v>
      </c>
      <c r="D5803">
        <v>5.2324590000000004</v>
      </c>
      <c r="E5803">
        <v>0.65192430000000001</v>
      </c>
      <c r="F5803" t="s">
        <v>41</v>
      </c>
      <c r="G5803">
        <v>-305.14510000000001</v>
      </c>
      <c r="H5803" s="1">
        <v>-4.3274310000000001E-6</v>
      </c>
      <c r="I5803">
        <v>-12.978719999999999</v>
      </c>
      <c r="J5803">
        <v>-304.5093</v>
      </c>
      <c r="K5803">
        <v>1.0451680000000001</v>
      </c>
      <c r="L5803">
        <v>6.9714660000000004</v>
      </c>
      <c r="M5803">
        <v>0.50234559999999995</v>
      </c>
      <c r="N5803">
        <v>-1.7314400000000001E-2</v>
      </c>
      <c r="O5803">
        <v>-0.86449379999999998</v>
      </c>
      <c r="P5803">
        <v>0.32182149999999998</v>
      </c>
      <c r="Q5803">
        <v>0.15447569999999999</v>
      </c>
      <c r="R5803">
        <v>-0.93411409999999995</v>
      </c>
      <c r="S5803">
        <v>-8.0200199999999999E-2</v>
      </c>
      <c r="T5803">
        <v>-0.16985339999999999</v>
      </c>
      <c r="U5803">
        <v>-3.2861630000000002</v>
      </c>
      <c r="V5803">
        <v>0.19711989999999999</v>
      </c>
      <c r="W5803">
        <v>0.1642286</v>
      </c>
      <c r="X5803">
        <v>0.96652610000000005</v>
      </c>
      <c r="Y5803">
        <v>0.52297959999999999</v>
      </c>
      <c r="Z5803">
        <v>1.9889629999999998E-2</v>
      </c>
      <c r="AA5803">
        <v>0.85211309999999996</v>
      </c>
      <c r="AB5803">
        <v>29</v>
      </c>
      <c r="AC5803">
        <v>-0.63580000000001702</v>
      </c>
      <c r="AD5803">
        <v>-1.0451723274310001</v>
      </c>
      <c r="AE5803">
        <v>-19.950185999999999</v>
      </c>
      <c r="AF5803">
        <v>10.5442056053027</v>
      </c>
      <c r="AG5803">
        <v>-1.0451723274310001</v>
      </c>
      <c r="AH5803">
        <v>16.883662917663099</v>
      </c>
      <c r="AI5803">
        <v>93.005617146825301</v>
      </c>
      <c r="AJ5803">
        <v>58.014347857559898</v>
      </c>
      <c r="AK5803">
        <v>19.933156562827602</v>
      </c>
      <c r="AL5803">
        <v>80.547574736584593</v>
      </c>
      <c r="AM5803">
        <v>78.472796290675504</v>
      </c>
      <c r="AN5803">
        <v>0.99999999500758996</v>
      </c>
    </row>
    <row r="5804" spans="1:40" x14ac:dyDescent="0.25">
      <c r="A5804" t="str">
        <f>"20190304155750816"</f>
        <v>20190304155750816</v>
      </c>
      <c r="B5804" t="str">
        <f>"1551686270809943"</f>
        <v>1551686270809943</v>
      </c>
      <c r="C5804" t="s">
        <v>40</v>
      </c>
      <c r="D5804">
        <v>5.3308549999999997</v>
      </c>
      <c r="E5804">
        <v>0.65333750000000002</v>
      </c>
      <c r="F5804" t="s">
        <v>41</v>
      </c>
      <c r="G5804">
        <v>-306.66840000000002</v>
      </c>
      <c r="H5804" s="1">
        <v>-1.972855E-6</v>
      </c>
      <c r="I5804">
        <v>-29.948</v>
      </c>
      <c r="J5804">
        <v>-304.25189999999998</v>
      </c>
      <c r="K5804">
        <v>1.045374</v>
      </c>
      <c r="L5804">
        <v>6.450043</v>
      </c>
      <c r="M5804">
        <v>0.47108749999999999</v>
      </c>
      <c r="N5804">
        <v>-1.725529E-2</v>
      </c>
      <c r="O5804">
        <v>-0.88191779999999997</v>
      </c>
      <c r="P5804">
        <v>0.29521709999999901</v>
      </c>
      <c r="Q5804">
        <v>0.1530928</v>
      </c>
      <c r="R5804">
        <v>-0.94308530000000002</v>
      </c>
      <c r="S5804">
        <v>-0.1925964</v>
      </c>
      <c r="T5804">
        <v>-9.3233350000000006E-2</v>
      </c>
      <c r="U5804">
        <v>-3.2933650000000001</v>
      </c>
      <c r="V5804">
        <v>0.18987309999999999</v>
      </c>
      <c r="W5804">
        <v>0.1631697</v>
      </c>
      <c r="X5804">
        <v>0.96815479999999998</v>
      </c>
      <c r="Y5804">
        <v>0.52162189999999997</v>
      </c>
      <c r="Z5804">
        <v>3.6659459999999998E-3</v>
      </c>
      <c r="AA5804">
        <v>0.85316879999999995</v>
      </c>
      <c r="AB5804">
        <v>29</v>
      </c>
      <c r="AC5804">
        <v>-2.4165000000000401</v>
      </c>
      <c r="AD5804">
        <v>-1.0453759728550001</v>
      </c>
      <c r="AE5804">
        <v>-36.398043000000001</v>
      </c>
      <c r="AF5804">
        <v>19.264864854255102</v>
      </c>
      <c r="AG5804">
        <v>-1.0453759728550001</v>
      </c>
      <c r="AH5804">
        <v>30.940896177509298</v>
      </c>
      <c r="AI5804">
        <v>91.6428562438753</v>
      </c>
      <c r="AJ5804">
        <v>58.0921885706993</v>
      </c>
      <c r="AK5804">
        <v>36.4632264760642</v>
      </c>
      <c r="AL5804">
        <v>80.609074251492203</v>
      </c>
      <c r="AM5804">
        <v>78.904064366288594</v>
      </c>
      <c r="AN5804">
        <v>0.99999993093236705</v>
      </c>
    </row>
    <row r="5805" spans="1:40" x14ac:dyDescent="0.25">
      <c r="A5805" t="str">
        <f>"20190304155750838"</f>
        <v>20190304155750838</v>
      </c>
      <c r="B5805" t="str">
        <f>"1551686270830440"</f>
        <v>1551686270830440</v>
      </c>
      <c r="C5805" t="s">
        <v>40</v>
      </c>
      <c r="D5805">
        <v>5.2629669999999997</v>
      </c>
      <c r="E5805">
        <v>0.65196140000000002</v>
      </c>
      <c r="F5805" t="s">
        <v>84</v>
      </c>
      <c r="G5805">
        <v>-309.77690000000001</v>
      </c>
      <c r="H5805" s="1">
        <v>-8.2792269999999907E-6</v>
      </c>
      <c r="I5805">
        <v>-54.937429999999999</v>
      </c>
      <c r="J5805">
        <v>-304.12729999999999</v>
      </c>
      <c r="K5805">
        <v>1.045507</v>
      </c>
      <c r="L5805">
        <v>6.1798400000000004</v>
      </c>
      <c r="M5805">
        <v>0.45500639999999998</v>
      </c>
      <c r="N5805">
        <v>-1.72169E-2</v>
      </c>
      <c r="O5805">
        <v>-0.89032169999999899</v>
      </c>
      <c r="P5805">
        <v>0.28160639999999998</v>
      </c>
      <c r="Q5805">
        <v>0.1524894</v>
      </c>
      <c r="R5805">
        <v>-0.9473357</v>
      </c>
      <c r="S5805">
        <v>-0.2954407</v>
      </c>
      <c r="T5805">
        <v>-5.5900100000000001E-2</v>
      </c>
      <c r="U5805">
        <v>-3.2825929999999999</v>
      </c>
      <c r="V5805">
        <v>0.18620690000000001</v>
      </c>
      <c r="W5805">
        <v>0.16272890000000001</v>
      </c>
      <c r="X5805">
        <v>0.96894080000000005</v>
      </c>
      <c r="Y5805">
        <v>0.53289619999999904</v>
      </c>
      <c r="Z5805">
        <v>-4.7196149999999999E-3</v>
      </c>
      <c r="AA5805">
        <v>0.84616749999999996</v>
      </c>
      <c r="AB5805">
        <v>29</v>
      </c>
      <c r="AC5805">
        <v>-5.6496000000000199</v>
      </c>
      <c r="AD5805">
        <v>-1.0455152792269999</v>
      </c>
      <c r="AE5805">
        <v>-61.117269999999998</v>
      </c>
      <c r="AF5805">
        <v>32.834051888726101</v>
      </c>
      <c r="AG5805">
        <v>-1.0455152792269999</v>
      </c>
      <c r="AH5805">
        <v>51.836072919724103</v>
      </c>
      <c r="AI5805">
        <v>90.976169920224606</v>
      </c>
      <c r="AJ5805">
        <v>57.648975826898202</v>
      </c>
      <c r="AK5805">
        <v>61.368937756568698</v>
      </c>
      <c r="AL5805">
        <v>80.634672916805002</v>
      </c>
      <c r="AM5805">
        <v>79.121764678141602</v>
      </c>
      <c r="AN5805">
        <v>0.99999998920373001</v>
      </c>
    </row>
    <row r="5806" spans="1:40" x14ac:dyDescent="0.25">
      <c r="A5806" t="str">
        <f>"20190304155750860"</f>
        <v>20190304155750860</v>
      </c>
      <c r="B5806" t="str">
        <f>"1551686270850936"</f>
        <v>1551686270850936</v>
      </c>
      <c r="C5806" t="s">
        <v>40</v>
      </c>
      <c r="D5806">
        <v>5.2921019999999999</v>
      </c>
      <c r="E5806">
        <v>0.65034209999999903</v>
      </c>
      <c r="F5806" t="s">
        <v>84</v>
      </c>
      <c r="G5806">
        <v>-310.53859999999997</v>
      </c>
      <c r="H5806">
        <v>7.998719E-2</v>
      </c>
      <c r="I5806">
        <v>-56.8949199999999</v>
      </c>
      <c r="J5806">
        <v>-304.00940000000003</v>
      </c>
      <c r="K5806">
        <v>1.0456510000000001</v>
      </c>
      <c r="L5806">
        <v>5.9115599999999997</v>
      </c>
      <c r="M5806">
        <v>0.4391447</v>
      </c>
      <c r="N5806">
        <v>-1.717509E-2</v>
      </c>
      <c r="O5806">
        <v>-0.89825219999999995</v>
      </c>
      <c r="P5806">
        <v>0.26737070000000002</v>
      </c>
      <c r="Q5806">
        <v>0.15304029999999999</v>
      </c>
      <c r="R5806">
        <v>-0.95136299999999996</v>
      </c>
      <c r="S5806">
        <v>-0.3327637</v>
      </c>
      <c r="T5806">
        <v>-5.0113440000000002E-2</v>
      </c>
      <c r="U5806">
        <v>-3.2737729999999998</v>
      </c>
      <c r="V5806">
        <v>0.18346580000000001</v>
      </c>
      <c r="W5806">
        <v>0.16340539999999901</v>
      </c>
      <c r="X5806">
        <v>0.96934969999999998</v>
      </c>
      <c r="Y5806">
        <v>0.52765200000000001</v>
      </c>
      <c r="Z5806">
        <v>-5.8104990000000002E-3</v>
      </c>
      <c r="AA5806">
        <v>0.8494408</v>
      </c>
      <c r="AB5806">
        <v>29</v>
      </c>
      <c r="AC5806">
        <v>-6.5291999999999399</v>
      </c>
      <c r="AD5806">
        <v>-0.96566381000000001</v>
      </c>
      <c r="AE5806">
        <v>-62.806479999999901</v>
      </c>
      <c r="AF5806">
        <v>33.4431127370909</v>
      </c>
      <c r="AG5806">
        <v>-0.96566381000000001</v>
      </c>
      <c r="AH5806">
        <v>53.544170868069401</v>
      </c>
      <c r="AI5806">
        <v>90.876350160132006</v>
      </c>
      <c r="AJ5806">
        <v>58.011544021667099</v>
      </c>
      <c r="AK5806">
        <v>63.137568294072899</v>
      </c>
      <c r="AL5806">
        <v>80.595385934384097</v>
      </c>
      <c r="AM5806">
        <v>79.282579122806595</v>
      </c>
      <c r="AN5806">
        <v>0.99999993270444199</v>
      </c>
    </row>
    <row r="5807" spans="1:40" x14ac:dyDescent="0.25">
      <c r="A5807" t="str">
        <f>"20190304155750883"</f>
        <v>20190304155750883</v>
      </c>
      <c r="B5807" t="str">
        <f>"1551686270880216"</f>
        <v>1551686270880216</v>
      </c>
      <c r="C5807" t="s">
        <v>40</v>
      </c>
      <c r="D5807">
        <v>5.2769329999999997</v>
      </c>
      <c r="E5807">
        <v>0.63094680000000003</v>
      </c>
      <c r="F5807" t="s">
        <v>84</v>
      </c>
      <c r="G5807">
        <v>-311.94619999999998</v>
      </c>
      <c r="H5807">
        <v>7.9987559999999999E-2</v>
      </c>
      <c r="I5807">
        <v>-64.07911</v>
      </c>
      <c r="J5807">
        <v>-303.8929</v>
      </c>
      <c r="K5807">
        <v>1.045833</v>
      </c>
      <c r="L5807">
        <v>5.6334839999999904</v>
      </c>
      <c r="M5807">
        <v>0.42288759999999997</v>
      </c>
      <c r="N5807">
        <v>-1.712468E-2</v>
      </c>
      <c r="O5807">
        <v>-0.9060203</v>
      </c>
      <c r="P5807">
        <v>0.25233369999999999</v>
      </c>
      <c r="Q5807">
        <v>0.15325329999999901</v>
      </c>
      <c r="R5807">
        <v>-0.95542729999999998</v>
      </c>
      <c r="S5807">
        <v>-0.3702087</v>
      </c>
      <c r="T5807">
        <v>-4.5042869999999999E-2</v>
      </c>
      <c r="U5807">
        <v>-3.2646790000000001</v>
      </c>
      <c r="V5807">
        <v>0.18119859999999999</v>
      </c>
      <c r="W5807">
        <v>0.1637333</v>
      </c>
      <c r="X5807">
        <v>0.96972080000000005</v>
      </c>
      <c r="Y5807">
        <v>0.52221320000000004</v>
      </c>
      <c r="Z5807">
        <v>-6.7721889999999996E-3</v>
      </c>
      <c r="AA5807">
        <v>0.85278809999999905</v>
      </c>
      <c r="AB5807">
        <v>29</v>
      </c>
      <c r="AC5807">
        <v>-8.0532999999999699</v>
      </c>
      <c r="AD5807">
        <v>-0.96584544000000006</v>
      </c>
      <c r="AE5807">
        <v>-69.712593999999996</v>
      </c>
      <c r="AF5807">
        <v>36.775473110833097</v>
      </c>
      <c r="AG5807">
        <v>-0.96584544000000006</v>
      </c>
      <c r="AH5807">
        <v>59.752830859538498</v>
      </c>
      <c r="AI5807">
        <v>90.788669675593397</v>
      </c>
      <c r="AJ5807">
        <v>58.389367934148602</v>
      </c>
      <c r="AK5807">
        <v>70.169573717304203</v>
      </c>
      <c r="AL5807">
        <v>80.576342593612907</v>
      </c>
      <c r="AM5807">
        <v>79.415968501436595</v>
      </c>
      <c r="AN5807">
        <v>0.99999997806174401</v>
      </c>
    </row>
    <row r="5808" spans="1:40" x14ac:dyDescent="0.25">
      <c r="A5808" t="str">
        <f>"20190304155750904"</f>
        <v>20190304155750904</v>
      </c>
      <c r="B5808" t="str">
        <f>"1551686270900712"</f>
        <v>1551686270900712</v>
      </c>
      <c r="C5808" t="s">
        <v>40</v>
      </c>
      <c r="D5808">
        <v>5.3444640000000003</v>
      </c>
      <c r="E5808">
        <v>0.62945530000000005</v>
      </c>
      <c r="F5808" t="s">
        <v>84</v>
      </c>
      <c r="G5808">
        <v>-308.33609999999999</v>
      </c>
      <c r="H5808" s="1">
        <v>-4.9361769999999999E-6</v>
      </c>
      <c r="I5808">
        <v>-47.092010000000002</v>
      </c>
      <c r="J5808">
        <v>-303.7885</v>
      </c>
      <c r="K5808">
        <v>1.0460449999999999</v>
      </c>
      <c r="L5808">
        <v>5.3721009999999998</v>
      </c>
      <c r="M5808">
        <v>0.40781820000000002</v>
      </c>
      <c r="N5808">
        <v>-1.7065919999999998E-2</v>
      </c>
      <c r="O5808">
        <v>-0.91290400000000005</v>
      </c>
      <c r="P5808">
        <v>0.2390611</v>
      </c>
      <c r="Q5808">
        <v>0.15265999999999999</v>
      </c>
      <c r="R5808">
        <v>-0.95892920000000004</v>
      </c>
      <c r="S5808">
        <v>-0.2715149</v>
      </c>
      <c r="T5808">
        <v>-6.3908580000000006E-2</v>
      </c>
      <c r="U5808">
        <v>-3.221924</v>
      </c>
      <c r="V5808">
        <v>0.178504</v>
      </c>
      <c r="W5808">
        <v>0.16327369999999999</v>
      </c>
      <c r="X5808">
        <v>0.97029790000000005</v>
      </c>
      <c r="Y5808">
        <v>0.4829483</v>
      </c>
      <c r="Z5808">
        <v>-1.405927E-3</v>
      </c>
      <c r="AA5808">
        <v>0.87564769999999903</v>
      </c>
      <c r="AB5808">
        <v>29</v>
      </c>
      <c r="AC5808">
        <v>-4.5475999999999797</v>
      </c>
      <c r="AD5808">
        <v>-1.0460499361769999</v>
      </c>
      <c r="AE5808">
        <v>-52.464111000000003</v>
      </c>
      <c r="AF5808">
        <v>25.540976587684298</v>
      </c>
      <c r="AG5808">
        <v>-1.0460499361769999</v>
      </c>
      <c r="AH5808">
        <v>46.0286321474372</v>
      </c>
      <c r="AI5808">
        <v>91.138417270078705</v>
      </c>
      <c r="AJ5808">
        <v>60.974402192966402</v>
      </c>
      <c r="AK5808">
        <v>52.650457575273798</v>
      </c>
      <c r="AL5808">
        <v>80.603035119171295</v>
      </c>
      <c r="AM5808">
        <v>79.575951432437805</v>
      </c>
      <c r="AN5808">
        <v>0.99999999693605002</v>
      </c>
    </row>
    <row r="5809" spans="1:40" x14ac:dyDescent="0.25">
      <c r="A5809" t="str">
        <f>"20190304155750927"</f>
        <v>20190304155750927</v>
      </c>
      <c r="B5809" t="str">
        <f>"1551686270920232"</f>
        <v>1551686270920232</v>
      </c>
      <c r="C5809" t="s">
        <v>40</v>
      </c>
      <c r="D5809">
        <v>5.3136229999999998</v>
      </c>
      <c r="E5809">
        <v>0.62869379999999997</v>
      </c>
      <c r="F5809" t="s">
        <v>84</v>
      </c>
      <c r="G5809">
        <v>-308.71980000000002</v>
      </c>
      <c r="H5809" s="1">
        <v>-4.861808E-6</v>
      </c>
      <c r="I5809">
        <v>-46.7239</v>
      </c>
      <c r="J5809">
        <v>-303.68079999999998</v>
      </c>
      <c r="K5809">
        <v>1.046316</v>
      </c>
      <c r="L5809">
        <v>5.0893249999999997</v>
      </c>
      <c r="M5809">
        <v>0.39178580000000002</v>
      </c>
      <c r="N5809">
        <v>-1.6990080000000001E-2</v>
      </c>
      <c r="O5809">
        <v>-0.91989960000000004</v>
      </c>
      <c r="P5809">
        <v>0.2261193</v>
      </c>
      <c r="Q5809">
        <v>0.1525125</v>
      </c>
      <c r="R5809">
        <v>-0.96208629999999995</v>
      </c>
      <c r="S5809">
        <v>-0.30429079999999997</v>
      </c>
      <c r="T5809">
        <v>-6.4547419999999994E-2</v>
      </c>
      <c r="U5809">
        <v>-3.2146300000000001</v>
      </c>
      <c r="V5809">
        <v>0.17448739999999999</v>
      </c>
      <c r="W5809">
        <v>0.16331180000000001</v>
      </c>
      <c r="X5809">
        <v>0.97102180000000005</v>
      </c>
      <c r="Y5809">
        <v>0.47664289999999998</v>
      </c>
      <c r="Z5809">
        <v>-9.1828920000000004E-4</v>
      </c>
      <c r="AA5809">
        <v>0.87909649999999995</v>
      </c>
      <c r="AB5809">
        <v>29</v>
      </c>
      <c r="AC5809">
        <v>-5.0390000000000397</v>
      </c>
      <c r="AD5809">
        <v>-1.046320861808</v>
      </c>
      <c r="AE5809">
        <v>-51.813225000000003</v>
      </c>
      <c r="AF5809">
        <v>24.9285883012688</v>
      </c>
      <c r="AG5809">
        <v>-1.046320861808</v>
      </c>
      <c r="AH5809">
        <v>45.676898347173299</v>
      </c>
      <c r="AI5809">
        <v>91.151912838253594</v>
      </c>
      <c r="AJ5809">
        <v>61.376088379935602</v>
      </c>
      <c r="AK5809">
        <v>52.0471742235639</v>
      </c>
      <c r="AL5809">
        <v>80.600822161411799</v>
      </c>
      <c r="AM5809">
        <v>79.812974674825298</v>
      </c>
      <c r="AN5809">
        <v>0.99999996642661904</v>
      </c>
    </row>
    <row r="5810" spans="1:40" x14ac:dyDescent="0.25">
      <c r="A5810" t="str">
        <f>"20190304155750949"</f>
        <v>20190304155750949</v>
      </c>
      <c r="B5810" t="str">
        <f>"1551686270940728"</f>
        <v>1551686270940728</v>
      </c>
      <c r="C5810" t="s">
        <v>40</v>
      </c>
      <c r="D5810">
        <v>5.3915259999999998</v>
      </c>
      <c r="E5810">
        <v>0.60763619999999996</v>
      </c>
      <c r="F5810" t="s">
        <v>84</v>
      </c>
      <c r="G5810">
        <v>-309.20960000000002</v>
      </c>
      <c r="H5810" s="1">
        <v>-4.9382119999999999E-6</v>
      </c>
      <c r="I5810">
        <v>-46.747529999999998</v>
      </c>
      <c r="J5810">
        <v>-303.58330000000001</v>
      </c>
      <c r="K5810">
        <v>1.046616</v>
      </c>
      <c r="L5810">
        <v>4.8202819999999997</v>
      </c>
      <c r="M5810">
        <v>0.37683909999999998</v>
      </c>
      <c r="N5810">
        <v>-1.690792E-2</v>
      </c>
      <c r="O5810">
        <v>-0.92612439999999996</v>
      </c>
      <c r="P5810">
        <v>0.21394589999999999</v>
      </c>
      <c r="Q5810">
        <v>0.15352729999999901</v>
      </c>
      <c r="R5810">
        <v>-0.96470540000000005</v>
      </c>
      <c r="S5810">
        <v>-0.34225460000000002</v>
      </c>
      <c r="T5810">
        <v>-6.4771770000000006E-2</v>
      </c>
      <c r="U5810">
        <v>-3.208923</v>
      </c>
      <c r="V5810">
        <v>0.1708769</v>
      </c>
      <c r="W5810">
        <v>0.16449250000000001</v>
      </c>
      <c r="X5810">
        <v>0.97146449999999995</v>
      </c>
      <c r="Y5810">
        <v>0.47284809999999999</v>
      </c>
      <c r="Z5810">
        <v>-5.7609429999999997E-4</v>
      </c>
      <c r="AA5810">
        <v>0.88114380000000003</v>
      </c>
      <c r="AB5810">
        <v>29</v>
      </c>
      <c r="AC5810">
        <v>-5.6263000000000103</v>
      </c>
      <c r="AD5810">
        <v>-1.046620938212</v>
      </c>
      <c r="AE5810">
        <v>-51.567812000000004</v>
      </c>
      <c r="AF5810">
        <v>24.6369157137432</v>
      </c>
      <c r="AG5810">
        <v>-1.046620938212</v>
      </c>
      <c r="AH5810">
        <v>45.625950691918703</v>
      </c>
      <c r="AI5810">
        <v>91.156329234354601</v>
      </c>
      <c r="AJ5810">
        <v>61.632020928878802</v>
      </c>
      <c r="AK5810">
        <v>51.863285740644898</v>
      </c>
      <c r="AL5810">
        <v>80.532245828519393</v>
      </c>
      <c r="AM5810">
        <v>80.023940227873595</v>
      </c>
      <c r="AN5810">
        <v>0.99999998613505403</v>
      </c>
    </row>
    <row r="5811" spans="1:40" x14ac:dyDescent="0.25">
      <c r="A5811" t="str">
        <f>"20190304155750973"</f>
        <v>20190304155750973</v>
      </c>
      <c r="B5811" t="str">
        <f>"1551686270970007"</f>
        <v>1551686270970007</v>
      </c>
      <c r="C5811" t="s">
        <v>40</v>
      </c>
      <c r="D5811">
        <v>5.4402200000000001</v>
      </c>
      <c r="E5811">
        <v>0.59983739999999997</v>
      </c>
      <c r="F5811" t="s">
        <v>41</v>
      </c>
      <c r="G5811">
        <v>-304.92930000000001</v>
      </c>
      <c r="H5811" s="1">
        <v>-3.7721619999999999E-6</v>
      </c>
      <c r="I5811">
        <v>-14.497909999999999</v>
      </c>
      <c r="J5811">
        <v>-303.47910000000002</v>
      </c>
      <c r="K5811">
        <v>1.0469949999999999</v>
      </c>
      <c r="L5811">
        <v>4.516724</v>
      </c>
      <c r="M5811">
        <v>0.36041469999999998</v>
      </c>
      <c r="N5811">
        <v>-1.6805069999999998E-2</v>
      </c>
      <c r="O5811">
        <v>-0.93264069999999999</v>
      </c>
      <c r="P5811">
        <v>0.19919899999999999</v>
      </c>
      <c r="Q5811">
        <v>0.15532989999999999</v>
      </c>
      <c r="R5811">
        <v>-0.96757059999999995</v>
      </c>
      <c r="S5811">
        <v>-0.2220154</v>
      </c>
      <c r="T5811">
        <v>-0.17263589999999901</v>
      </c>
      <c r="U5811">
        <v>-3.1864620000000001</v>
      </c>
      <c r="V5811">
        <v>0.16833100000000001</v>
      </c>
      <c r="W5811">
        <v>0.1664272</v>
      </c>
      <c r="X5811">
        <v>0.97157950000000004</v>
      </c>
      <c r="Y5811">
        <v>0.4241125</v>
      </c>
      <c r="Z5811">
        <v>2.9006589999999999E-2</v>
      </c>
      <c r="AA5811">
        <v>0.90514490000000003</v>
      </c>
      <c r="AB5811">
        <v>29</v>
      </c>
      <c r="AC5811">
        <v>-1.4501999999999899</v>
      </c>
      <c r="AD5811">
        <v>-1.046998772162</v>
      </c>
      <c r="AE5811">
        <v>-19.014634000000001</v>
      </c>
      <c r="AF5811">
        <v>8.1821646029316994</v>
      </c>
      <c r="AG5811">
        <v>-1.046998772162</v>
      </c>
      <c r="AH5811">
        <v>17.161848070399301</v>
      </c>
      <c r="AI5811">
        <v>93.152028441018501</v>
      </c>
      <c r="AJ5811">
        <v>64.509838340623702</v>
      </c>
      <c r="AK5811">
        <v>19.041351139292701</v>
      </c>
      <c r="AL5811">
        <v>80.419846848723694</v>
      </c>
      <c r="AM5811">
        <v>80.1707937103414</v>
      </c>
      <c r="AN5811">
        <v>1.00000003164054</v>
      </c>
    </row>
    <row r="5812" spans="1:40" x14ac:dyDescent="0.25">
      <c r="A5812" t="str">
        <f>"20190304155751000"</f>
        <v>20190304155751000</v>
      </c>
      <c r="B5812" t="str">
        <f>"1551686270990504"</f>
        <v>1551686270990504</v>
      </c>
      <c r="C5812" t="s">
        <v>40</v>
      </c>
      <c r="D5812">
        <v>5.5084169999999997</v>
      </c>
      <c r="E5812">
        <v>0.60154629999999998</v>
      </c>
      <c r="F5812" t="s">
        <v>41</v>
      </c>
      <c r="G5812">
        <v>-304.51870000000002</v>
      </c>
      <c r="H5812" s="1">
        <v>-4.754178E-6</v>
      </c>
      <c r="I5812">
        <v>-11.39819</v>
      </c>
      <c r="J5812">
        <v>-303.37099999999998</v>
      </c>
      <c r="K5812">
        <v>1.0474380000000001</v>
      </c>
      <c r="L5812">
        <v>4.1835630000000004</v>
      </c>
      <c r="M5812">
        <v>0.34293059999999997</v>
      </c>
      <c r="N5812">
        <v>-1.668323E-2</v>
      </c>
      <c r="O5812">
        <v>-0.93921250000000001</v>
      </c>
      <c r="P5812">
        <v>0.18360460000000001</v>
      </c>
      <c r="Q5812">
        <v>0.1557558</v>
      </c>
      <c r="R5812">
        <v>-0.9705821</v>
      </c>
      <c r="S5812">
        <v>-0.2075195</v>
      </c>
      <c r="T5812">
        <v>-0.2089945</v>
      </c>
      <c r="U5812">
        <v>-3.1768190000000001</v>
      </c>
      <c r="V5812">
        <v>0.16561899999999999</v>
      </c>
      <c r="W5812">
        <v>0.16699559999999999</v>
      </c>
      <c r="X5812">
        <v>0.97194800000000003</v>
      </c>
      <c r="Y5812">
        <v>0.4031092</v>
      </c>
      <c r="Z5812">
        <v>3.9959509999999997E-2</v>
      </c>
      <c r="AA5812">
        <v>0.91427899999999995</v>
      </c>
      <c r="AB5812">
        <v>29</v>
      </c>
      <c r="AC5812">
        <v>-1.1477000000000399</v>
      </c>
      <c r="AD5812">
        <v>-1.04744275417799</v>
      </c>
      <c r="AE5812">
        <v>-15.581753000000001</v>
      </c>
      <c r="AF5812">
        <v>6.39355279524003</v>
      </c>
      <c r="AG5812">
        <v>-1.04744275417799</v>
      </c>
      <c r="AH5812">
        <v>14.1792509260586</v>
      </c>
      <c r="AI5812">
        <v>93.852601068035497</v>
      </c>
      <c r="AJ5812">
        <v>65.728954942631603</v>
      </c>
      <c r="AK5812">
        <v>15.5892851180846</v>
      </c>
      <c r="AL5812">
        <v>80.386817879531705</v>
      </c>
      <c r="AM5812">
        <v>80.329735383587803</v>
      </c>
      <c r="AN5812">
        <v>1.0000000491421699</v>
      </c>
    </row>
    <row r="5813" spans="1:40" x14ac:dyDescent="0.25">
      <c r="A5813" t="str">
        <f>"20190304155751026"</f>
        <v>20190304155751026</v>
      </c>
      <c r="B5813" t="str">
        <f>"1551686271020759"</f>
        <v>1551686271020759</v>
      </c>
      <c r="C5813" t="s">
        <v>40</v>
      </c>
      <c r="D5813">
        <v>5.4319540000000002</v>
      </c>
      <c r="E5813">
        <v>0.59724469999999996</v>
      </c>
      <c r="F5813" t="s">
        <v>41</v>
      </c>
      <c r="G5813">
        <v>-305.04689999999999</v>
      </c>
      <c r="H5813" s="1">
        <v>-3.3654789999999999E-6</v>
      </c>
      <c r="I5813">
        <v>-15.69609</v>
      </c>
      <c r="J5813">
        <v>-303.26819999999998</v>
      </c>
      <c r="K5813">
        <v>1.0478730000000001</v>
      </c>
      <c r="L5813">
        <v>3.8480829999999999</v>
      </c>
      <c r="M5813">
        <v>0.32582499999999998</v>
      </c>
      <c r="N5813">
        <v>-1.6560390000000001E-2</v>
      </c>
      <c r="O5813">
        <v>-0.94528500000000004</v>
      </c>
      <c r="P5813">
        <v>0.16937759999999999</v>
      </c>
      <c r="Q5813">
        <v>0.15625320000000001</v>
      </c>
      <c r="R5813">
        <v>-0.9730858</v>
      </c>
      <c r="S5813">
        <v>-0.26708979999999999</v>
      </c>
      <c r="T5813">
        <v>-0.16693189999999999</v>
      </c>
      <c r="U5813">
        <v>-3.1682429999999999</v>
      </c>
      <c r="V5813">
        <v>0.16200580000000001</v>
      </c>
      <c r="W5813">
        <v>0.1676542</v>
      </c>
      <c r="X5813">
        <v>0.97244339999999996</v>
      </c>
      <c r="Y5813">
        <v>0.4038448</v>
      </c>
      <c r="Z5813">
        <v>2.918861E-2</v>
      </c>
      <c r="AA5813">
        <v>0.9143618</v>
      </c>
      <c r="AB5813">
        <v>29</v>
      </c>
      <c r="AC5813">
        <v>-1.7787000000000099</v>
      </c>
      <c r="AD5813">
        <v>-1.047876365479</v>
      </c>
      <c r="AE5813">
        <v>-19.544173000000001</v>
      </c>
      <c r="AF5813">
        <v>8.0275760137066001</v>
      </c>
      <c r="AG5813">
        <v>-1.047876365479</v>
      </c>
      <c r="AH5813">
        <v>17.846841784071099</v>
      </c>
      <c r="AI5813">
        <v>93.065110125287404</v>
      </c>
      <c r="AJ5813">
        <v>65.781607060268101</v>
      </c>
      <c r="AK5813">
        <v>19.597188145211899</v>
      </c>
      <c r="AL5813">
        <v>80.348542682948803</v>
      </c>
      <c r="AM5813">
        <v>80.541581803752194</v>
      </c>
      <c r="AN5813">
        <v>0.99999998810741897</v>
      </c>
    </row>
    <row r="5814" spans="1:40" x14ac:dyDescent="0.25">
      <c r="A5814" t="str">
        <f>"20190304155751046"</f>
        <v>20190304155751046</v>
      </c>
      <c r="B5814" t="str">
        <f>"1551686271040280"</f>
        <v>1551686271040280</v>
      </c>
      <c r="C5814" t="s">
        <v>40</v>
      </c>
      <c r="D5814">
        <v>5.1349390000000001</v>
      </c>
      <c r="E5814">
        <v>0.59719730000000004</v>
      </c>
      <c r="F5814" t="s">
        <v>41</v>
      </c>
      <c r="G5814">
        <v>-304.85210000000001</v>
      </c>
      <c r="H5814" s="1">
        <v>-3.8788430000000002E-6</v>
      </c>
      <c r="I5814">
        <v>-14.144159999999999</v>
      </c>
      <c r="J5814">
        <v>-303.1995</v>
      </c>
      <c r="K5814">
        <v>1.048187</v>
      </c>
      <c r="L5814">
        <v>3.611237</v>
      </c>
      <c r="M5814">
        <v>0.31414209999999998</v>
      </c>
      <c r="N5814">
        <v>-1.6473450000000001E-2</v>
      </c>
      <c r="O5814">
        <v>-0.9492332</v>
      </c>
      <c r="P5814">
        <v>0.16105920000000001</v>
      </c>
      <c r="Q5814">
        <v>0.15725829999999999</v>
      </c>
      <c r="R5814">
        <v>-0.97433599999999998</v>
      </c>
      <c r="S5814">
        <v>-0.27825929999999999</v>
      </c>
      <c r="T5814">
        <v>-0.18409710000000001</v>
      </c>
      <c r="U5814">
        <v>-3.1609799999999999</v>
      </c>
      <c r="V5814">
        <v>0.15815979999999999</v>
      </c>
      <c r="W5814">
        <v>0.1688105</v>
      </c>
      <c r="X5814">
        <v>0.97287639999999997</v>
      </c>
      <c r="Y5814">
        <v>0.3959008</v>
      </c>
      <c r="Z5814">
        <v>3.4545510000000001E-2</v>
      </c>
      <c r="AA5814">
        <v>0.91764330000000005</v>
      </c>
      <c r="AB5814">
        <v>29</v>
      </c>
      <c r="AC5814">
        <v>-1.6526000000000001</v>
      </c>
      <c r="AD5814">
        <v>-1.0481908788430001</v>
      </c>
      <c r="AE5814">
        <v>-17.755396999999999</v>
      </c>
      <c r="AF5814">
        <v>7.1227786230567602</v>
      </c>
      <c r="AG5814">
        <v>-1.0481908788430001</v>
      </c>
      <c r="AH5814">
        <v>16.280821918447302</v>
      </c>
      <c r="AI5814">
        <v>93.375628475719196</v>
      </c>
      <c r="AJ5814">
        <v>66.370861430874498</v>
      </c>
      <c r="AK5814">
        <v>17.801624694722701</v>
      </c>
      <c r="AL5814">
        <v>80.281333764429903</v>
      </c>
      <c r="AM5814">
        <v>80.766247379742694</v>
      </c>
      <c r="AN5814">
        <v>0.99999999846162402</v>
      </c>
    </row>
    <row r="5815" spans="1:40" x14ac:dyDescent="0.25">
      <c r="A5815" t="str">
        <f>"20190304155751066"</f>
        <v>20190304155751066</v>
      </c>
      <c r="B5815" t="str">
        <f>"1551686271060776"</f>
        <v>1551686271060776</v>
      </c>
      <c r="C5815" t="s">
        <v>40</v>
      </c>
      <c r="D5815">
        <v>4.9443289999999998</v>
      </c>
      <c r="E5815">
        <v>0.59668559999999904</v>
      </c>
      <c r="F5815" t="s">
        <v>41</v>
      </c>
      <c r="G5815">
        <v>-305.02330000000001</v>
      </c>
      <c r="H5815" s="1">
        <v>-3.4811879999999999E-6</v>
      </c>
      <c r="I5815">
        <v>-15.401979999999901</v>
      </c>
      <c r="J5815">
        <v>-303.1268</v>
      </c>
      <c r="K5815">
        <v>1.0485629999999999</v>
      </c>
      <c r="L5815">
        <v>3.3497620000000001</v>
      </c>
      <c r="M5815">
        <v>0.30164079999999999</v>
      </c>
      <c r="N5815">
        <v>-1.637313E-2</v>
      </c>
      <c r="O5815">
        <v>-0.95328100000000004</v>
      </c>
      <c r="P5815">
        <v>0.1527742</v>
      </c>
      <c r="Q5815">
        <v>0.15829660000000001</v>
      </c>
      <c r="R5815">
        <v>-0.97550110000000001</v>
      </c>
      <c r="S5815">
        <v>-0.30285640000000003</v>
      </c>
      <c r="T5815">
        <v>-0.17405309999999999</v>
      </c>
      <c r="U5815">
        <v>-3.1571660000000001</v>
      </c>
      <c r="V5815">
        <v>0.15345449999999999</v>
      </c>
      <c r="W5815">
        <v>0.17002809999999999</v>
      </c>
      <c r="X5815">
        <v>0.9734178</v>
      </c>
      <c r="Y5815">
        <v>0.39104080000000002</v>
      </c>
      <c r="Z5815">
        <v>3.2279620000000002E-2</v>
      </c>
      <c r="AA5815">
        <v>0.91980709999999999</v>
      </c>
      <c r="AB5815">
        <v>29</v>
      </c>
      <c r="AC5815">
        <v>-1.8965000000000001</v>
      </c>
      <c r="AD5815">
        <v>-1.048566481188</v>
      </c>
      <c r="AE5815">
        <v>-18.751742</v>
      </c>
      <c r="AF5815">
        <v>7.4421539161129404</v>
      </c>
      <c r="AG5815">
        <v>-1.048566481188</v>
      </c>
      <c r="AH5815">
        <v>17.252538060158098</v>
      </c>
      <c r="AI5815">
        <v>93.194177371520098</v>
      </c>
      <c r="AJ5815">
        <v>66.666287452749401</v>
      </c>
      <c r="AK5815">
        <v>18.818480706310801</v>
      </c>
      <c r="AL5815">
        <v>80.210547402108404</v>
      </c>
      <c r="AM5815">
        <v>81.041331811045097</v>
      </c>
      <c r="AN5815">
        <v>1.0000000258583399</v>
      </c>
    </row>
    <row r="5816" spans="1:40" x14ac:dyDescent="0.25">
      <c r="A5816" t="str">
        <f>"20190304155751087"</f>
        <v>20190304155751087</v>
      </c>
      <c r="B5816" t="str">
        <f>"1551686271080296"</f>
        <v>1551686271080296</v>
      </c>
      <c r="C5816" t="s">
        <v>40</v>
      </c>
      <c r="D5816">
        <v>5.0448909999999998</v>
      </c>
      <c r="E5816">
        <v>0.55303469999999999</v>
      </c>
      <c r="F5816" t="s">
        <v>41</v>
      </c>
      <c r="G5816">
        <v>-305.30650000000003</v>
      </c>
      <c r="H5816" s="1">
        <v>-2.537021E-6</v>
      </c>
      <c r="I5816">
        <v>-17.788260000000001</v>
      </c>
      <c r="J5816">
        <v>-303.05799999999999</v>
      </c>
      <c r="K5816">
        <v>1.0489599999999999</v>
      </c>
      <c r="L5816">
        <v>3.0902400000000001</v>
      </c>
      <c r="M5816">
        <v>0.28966930000000002</v>
      </c>
      <c r="N5816">
        <v>-1.626648E-2</v>
      </c>
      <c r="O5816">
        <v>-0.95698870000000003</v>
      </c>
      <c r="P5816">
        <v>0.14468739999999999</v>
      </c>
      <c r="Q5816">
        <v>0.1592219</v>
      </c>
      <c r="R5816">
        <v>-0.97658290000000003</v>
      </c>
      <c r="S5816">
        <v>-0.32498169999999998</v>
      </c>
      <c r="T5816">
        <v>-0.1563377</v>
      </c>
      <c r="U5816">
        <v>-3.1516109999999999</v>
      </c>
      <c r="V5816">
        <v>0.14912349999999999</v>
      </c>
      <c r="W5816">
        <v>0.171116299999999</v>
      </c>
      <c r="X5816">
        <v>0.97390010000000005</v>
      </c>
      <c r="Y5816">
        <v>0.38608959999999998</v>
      </c>
      <c r="Z5816">
        <v>2.780272E-2</v>
      </c>
      <c r="AA5816">
        <v>0.92204219999999903</v>
      </c>
      <c r="AB5816">
        <v>29</v>
      </c>
      <c r="AC5816">
        <v>-2.2485000000000301</v>
      </c>
      <c r="AD5816">
        <v>-1.0489625370209901</v>
      </c>
      <c r="AE5816">
        <v>-20.878499999999999</v>
      </c>
      <c r="AF5816">
        <v>8.1803215576518191</v>
      </c>
      <c r="AG5816">
        <v>-1.0489625370209901</v>
      </c>
      <c r="AH5816">
        <v>19.283604909663801</v>
      </c>
      <c r="AI5816">
        <v>92.866810581945003</v>
      </c>
      <c r="AJ5816">
        <v>67.012798401563401</v>
      </c>
      <c r="AK5816">
        <v>20.973206752966199</v>
      </c>
      <c r="AL5816">
        <v>80.147270624446605</v>
      </c>
      <c r="AM5816">
        <v>81.294490528341697</v>
      </c>
      <c r="AN5816">
        <v>1.00000000557897</v>
      </c>
    </row>
    <row r="5817" spans="1:40" x14ac:dyDescent="0.25">
      <c r="A5817" t="str">
        <f>"20190304155751107"</f>
        <v>20190304155751107</v>
      </c>
      <c r="B5817" t="str">
        <f>"1551686271100792"</f>
        <v>1551686271100792</v>
      </c>
      <c r="C5817" t="s">
        <v>40</v>
      </c>
      <c r="D5817">
        <v>5.0655289999999997</v>
      </c>
      <c r="E5817">
        <v>0.54959579999999997</v>
      </c>
      <c r="F5817" t="s">
        <v>41</v>
      </c>
      <c r="G5817">
        <v>-303.09519999999998</v>
      </c>
      <c r="H5817" s="1">
        <v>-4.1664450000000002E-6</v>
      </c>
      <c r="I5817">
        <v>-32.38326</v>
      </c>
      <c r="J5817">
        <v>-302.99430000000001</v>
      </c>
      <c r="K5817">
        <v>1.049372</v>
      </c>
      <c r="L5817">
        <v>2.8385310000000001</v>
      </c>
      <c r="M5817">
        <v>0.27847949999999999</v>
      </c>
      <c r="N5817">
        <v>-1.6158160000000001E-2</v>
      </c>
      <c r="O5817">
        <v>-0.96030629999999995</v>
      </c>
      <c r="P5817">
        <v>0.13833190000000001</v>
      </c>
      <c r="Q5817">
        <v>0.15983240000000001</v>
      </c>
      <c r="R5817">
        <v>-0.97740369999999999</v>
      </c>
      <c r="S5817">
        <v>-3.2348630000000001E-3</v>
      </c>
      <c r="T5817">
        <v>-9.1292860000000003E-2</v>
      </c>
      <c r="U5817">
        <v>-3.0873110000000001</v>
      </c>
      <c r="V5817">
        <v>0.14389540000000001</v>
      </c>
      <c r="W5817">
        <v>0.1719088</v>
      </c>
      <c r="X5817">
        <v>0.97454680000000005</v>
      </c>
      <c r="Y5817">
        <v>0.27941490000000002</v>
      </c>
      <c r="Z5817">
        <v>1.105751E-2</v>
      </c>
      <c r="AA5817">
        <v>0.96010680000000004</v>
      </c>
      <c r="AB5817">
        <v>29</v>
      </c>
      <c r="AC5817">
        <v>-0.100899999999967</v>
      </c>
      <c r="AD5817">
        <v>-1.0493761664450001</v>
      </c>
      <c r="AE5817">
        <v>-35.221790999999897</v>
      </c>
      <c r="AF5817">
        <v>9.8979486611840493</v>
      </c>
      <c r="AG5817">
        <v>-1.0493761664450001</v>
      </c>
      <c r="AH5817">
        <v>33.7700444564382</v>
      </c>
      <c r="AI5817">
        <v>91.708036939262399</v>
      </c>
      <c r="AJ5817">
        <v>73.664219311651195</v>
      </c>
      <c r="AK5817">
        <v>35.2063414831469</v>
      </c>
      <c r="AL5817">
        <v>80.101180634908999</v>
      </c>
      <c r="AM5817">
        <v>81.6007566805594</v>
      </c>
      <c r="AN5817">
        <v>0.99999999352442004</v>
      </c>
    </row>
    <row r="5818" spans="1:40" x14ac:dyDescent="0.25">
      <c r="A5818" t="str">
        <f>"20190304155751128"</f>
        <v>20190304155751128</v>
      </c>
      <c r="B5818" t="str">
        <f>"1551686271120312"</f>
        <v>1551686271120312</v>
      </c>
      <c r="C5818" t="s">
        <v>40</v>
      </c>
      <c r="D5818">
        <v>5.0410750000000002</v>
      </c>
      <c r="E5818">
        <v>0.54783470000000001</v>
      </c>
      <c r="F5818" t="s">
        <v>41</v>
      </c>
      <c r="G5818">
        <v>-302.93650000000002</v>
      </c>
      <c r="H5818" s="1">
        <v>-3.8650040000000004E-6</v>
      </c>
      <c r="I5818">
        <v>-33.186360000000001</v>
      </c>
      <c r="J5818">
        <v>-302.92910000000001</v>
      </c>
      <c r="K5818">
        <v>1.049817</v>
      </c>
      <c r="L5818">
        <v>2.5699160000000001</v>
      </c>
      <c r="M5818">
        <v>0.26698159999999999</v>
      </c>
      <c r="N5818">
        <v>-1.6037780000000001E-2</v>
      </c>
      <c r="O5818">
        <v>-0.96356830000000004</v>
      </c>
      <c r="P5818">
        <v>0.13160539999999901</v>
      </c>
      <c r="Q5818">
        <v>0.15886600000000001</v>
      </c>
      <c r="R5818">
        <v>-0.97848979999999997</v>
      </c>
      <c r="S5818">
        <v>4.9438479999999998E-3</v>
      </c>
      <c r="T5818">
        <v>-8.9815259999999994E-2</v>
      </c>
      <c r="U5818">
        <v>-3.0833439999999999</v>
      </c>
      <c r="V5818">
        <v>0.13876729999999901</v>
      </c>
      <c r="W5818">
        <v>0.17111579999999901</v>
      </c>
      <c r="X5818">
        <v>0.97542969999999896</v>
      </c>
      <c r="Y5818">
        <v>0.26537110000000003</v>
      </c>
      <c r="Z5818">
        <v>1.0978389999999999E-2</v>
      </c>
      <c r="AA5818">
        <v>0.96408389999999999</v>
      </c>
      <c r="AB5818">
        <v>29</v>
      </c>
      <c r="AC5818">
        <v>-7.40000000001828E-3</v>
      </c>
      <c r="AD5818">
        <v>-1.049820865004</v>
      </c>
      <c r="AE5818">
        <v>-35.756276</v>
      </c>
      <c r="AF5818">
        <v>9.5463964770694592</v>
      </c>
      <c r="AG5818">
        <v>-1.049820865004</v>
      </c>
      <c r="AH5818">
        <v>34.4263887402549</v>
      </c>
      <c r="AI5818">
        <v>91.683196415883799</v>
      </c>
      <c r="AJ5818">
        <v>74.501369398804897</v>
      </c>
      <c r="AK5818">
        <v>35.740901656801398</v>
      </c>
      <c r="AL5818">
        <v>80.147300044715706</v>
      </c>
      <c r="AM5818">
        <v>81.903276162840598</v>
      </c>
      <c r="AN5818">
        <v>1.0000000401005</v>
      </c>
    </row>
    <row r="5819" spans="1:40" x14ac:dyDescent="0.25">
      <c r="A5819" t="str">
        <f>"20190304155751154"</f>
        <v>20190304155751154</v>
      </c>
      <c r="B5819" t="str">
        <f>"1551686271150568"</f>
        <v>1551686271150568</v>
      </c>
      <c r="C5819" t="s">
        <v>40</v>
      </c>
      <c r="D5819">
        <v>5.0831280000000003</v>
      </c>
      <c r="E5819">
        <v>0.54599399999999998</v>
      </c>
      <c r="F5819" t="s">
        <v>41</v>
      </c>
      <c r="G5819">
        <v>-302.9556</v>
      </c>
      <c r="H5819" s="1">
        <v>-4.0719769999999997E-6</v>
      </c>
      <c r="I5819">
        <v>-32.588120000000004</v>
      </c>
      <c r="J5819">
        <v>-302.85430000000002</v>
      </c>
      <c r="K5819">
        <v>1.050365</v>
      </c>
      <c r="L5819">
        <v>2.2443240000000002</v>
      </c>
      <c r="M5819">
        <v>0.25371860000000002</v>
      </c>
      <c r="N5819">
        <v>-1.5888200000000002E-2</v>
      </c>
      <c r="O5819">
        <v>-0.9671478</v>
      </c>
      <c r="P5819">
        <v>0.1241874</v>
      </c>
      <c r="Q5819">
        <v>0.15770780000000001</v>
      </c>
      <c r="R5819">
        <v>-0.97964600000000002</v>
      </c>
      <c r="S5819">
        <v>-2.319336E-3</v>
      </c>
      <c r="T5819">
        <v>-9.2005009999999998E-2</v>
      </c>
      <c r="U5819">
        <v>-3.081207</v>
      </c>
      <c r="V5819">
        <v>0.1325326</v>
      </c>
      <c r="W5819">
        <v>0.1701512</v>
      </c>
      <c r="X5819">
        <v>0.97646489999999997</v>
      </c>
      <c r="Y5819">
        <v>0.25438329999999998</v>
      </c>
      <c r="Z5819">
        <v>1.20044E-2</v>
      </c>
      <c r="AA5819">
        <v>0.96702900000000003</v>
      </c>
      <c r="AB5819">
        <v>28</v>
      </c>
      <c r="AC5819">
        <v>-0.10129999999998</v>
      </c>
      <c r="AD5819">
        <v>-1.050369071977</v>
      </c>
      <c r="AE5819">
        <v>-34.832444000000002</v>
      </c>
      <c r="AF5819">
        <v>8.9286182326868104</v>
      </c>
      <c r="AG5819">
        <v>-1.050369071977</v>
      </c>
      <c r="AH5819">
        <v>33.636076596389699</v>
      </c>
      <c r="AI5819">
        <v>91.728787760977596</v>
      </c>
      <c r="AJ5819">
        <v>75.133808934298997</v>
      </c>
      <c r="AK5819">
        <v>34.816794044406599</v>
      </c>
      <c r="AL5819">
        <v>80.203389850679102</v>
      </c>
      <c r="AM5819">
        <v>82.270650671183503</v>
      </c>
      <c r="AN5819">
        <v>1.0000000109281</v>
      </c>
    </row>
    <row r="5820" spans="1:40" x14ac:dyDescent="0.25">
      <c r="A5820" t="str">
        <f>"20190304155751178"</f>
        <v>20190304155751178</v>
      </c>
      <c r="B5820" t="str">
        <f>"1551686271170088"</f>
        <v>1551686271170088</v>
      </c>
      <c r="C5820" t="s">
        <v>40</v>
      </c>
      <c r="D5820">
        <v>5.0987749999999998</v>
      </c>
      <c r="E5820">
        <v>0.54413959999999995</v>
      </c>
      <c r="F5820" t="s">
        <v>41</v>
      </c>
      <c r="G5820">
        <v>-302.9796</v>
      </c>
      <c r="H5820" s="1">
        <v>-4.6055780000000002E-6</v>
      </c>
      <c r="I5820">
        <v>-31.032640000000001</v>
      </c>
      <c r="J5820">
        <v>-302.78620000000001</v>
      </c>
      <c r="K5820">
        <v>1.0508649999999999</v>
      </c>
      <c r="L5820">
        <v>1.9314579999999999</v>
      </c>
      <c r="M5820">
        <v>0.2415979</v>
      </c>
      <c r="N5820">
        <v>-1.5748020000000001E-2</v>
      </c>
      <c r="O5820">
        <v>-0.97024880000000002</v>
      </c>
      <c r="P5820">
        <v>0.1169121</v>
      </c>
      <c r="Q5820">
        <v>0.15718940000000001</v>
      </c>
      <c r="R5820">
        <v>-0.9806243</v>
      </c>
      <c r="S5820">
        <v>-1.159668E-2</v>
      </c>
      <c r="T5820">
        <v>-9.7200750000000002E-2</v>
      </c>
      <c r="U5820">
        <v>-3.079437</v>
      </c>
      <c r="V5820">
        <v>0.1273504</v>
      </c>
      <c r="W5820">
        <v>0.1697777</v>
      </c>
      <c r="X5820">
        <v>0.97721919999999995</v>
      </c>
      <c r="Y5820">
        <v>0.24518590000000001</v>
      </c>
      <c r="Z5820">
        <v>1.3913729999999999E-2</v>
      </c>
      <c r="AA5820">
        <v>0.96937620000000002</v>
      </c>
      <c r="AB5820">
        <v>28</v>
      </c>
      <c r="AC5820">
        <v>-0.19339999999999599</v>
      </c>
      <c r="AD5820">
        <v>-1.050869605578</v>
      </c>
      <c r="AE5820">
        <v>-32.964098</v>
      </c>
      <c r="AF5820">
        <v>8.1444360523959407</v>
      </c>
      <c r="AG5820">
        <v>-1.050869605578</v>
      </c>
      <c r="AH5820">
        <v>31.908181244076101</v>
      </c>
      <c r="AI5820">
        <v>91.827749057156097</v>
      </c>
      <c r="AJ5820">
        <v>75.681214013264906</v>
      </c>
      <c r="AK5820">
        <v>32.9479619376419</v>
      </c>
      <c r="AL5820">
        <v>80.225105465035398</v>
      </c>
      <c r="AM5820">
        <v>82.575105142329406</v>
      </c>
      <c r="AN5820">
        <v>0.99999997832304399</v>
      </c>
    </row>
    <row r="5821" spans="1:40" x14ac:dyDescent="0.25">
      <c r="A5821" t="str">
        <f>"20190304155751218"</f>
        <v>20190304155751218</v>
      </c>
      <c r="B5821" t="str">
        <f>"1551686271210104"</f>
        <v>1551686271210104</v>
      </c>
      <c r="C5821" t="s">
        <v>40</v>
      </c>
      <c r="D5821">
        <v>5.0240689999999999</v>
      </c>
      <c r="E5821">
        <v>0.54223350000000003</v>
      </c>
      <c r="F5821" t="s">
        <v>41</v>
      </c>
      <c r="G5821">
        <v>-302.98340000000002</v>
      </c>
      <c r="H5821" s="1">
        <v>-1.355195E-6</v>
      </c>
      <c r="I5821">
        <v>-29.1023</v>
      </c>
      <c r="J5821">
        <v>-302.68650000000002</v>
      </c>
      <c r="K5821">
        <v>1.051569</v>
      </c>
      <c r="L5821">
        <v>1.441406</v>
      </c>
      <c r="M5821">
        <v>0.2236571</v>
      </c>
      <c r="N5821">
        <v>-1.553677E-2</v>
      </c>
      <c r="O5821">
        <v>-0.97454419999999997</v>
      </c>
      <c r="P5821">
        <v>0.1082916</v>
      </c>
      <c r="Q5821">
        <v>0.15775839999999999</v>
      </c>
      <c r="R5821">
        <v>-0.98152189999999995</v>
      </c>
      <c r="S5821">
        <v>-1.9561769999999999E-2</v>
      </c>
      <c r="T5821">
        <v>-0.10423780000000001</v>
      </c>
      <c r="U5821">
        <v>-3.0783079999999998</v>
      </c>
      <c r="V5821">
        <v>0.11758399999999999</v>
      </c>
      <c r="W5821">
        <v>0.1705652</v>
      </c>
      <c r="X5821">
        <v>0.97830550000000005</v>
      </c>
      <c r="Y5821">
        <v>0.2297816</v>
      </c>
      <c r="Z5821">
        <v>1.656022E-2</v>
      </c>
      <c r="AA5821">
        <v>0.97310129999999995</v>
      </c>
      <c r="AB5821">
        <v>28</v>
      </c>
      <c r="AC5821">
        <v>-0.296899999999993</v>
      </c>
      <c r="AD5821">
        <v>-1.051570355195</v>
      </c>
      <c r="AE5821">
        <v>-30.543706</v>
      </c>
      <c r="AF5821">
        <v>7.11308700361913</v>
      </c>
      <c r="AG5821">
        <v>-1.051570355195</v>
      </c>
      <c r="AH5821">
        <v>29.668205949525799</v>
      </c>
      <c r="AI5821">
        <v>91.974064083462906</v>
      </c>
      <c r="AJ5821">
        <v>76.517565446064097</v>
      </c>
      <c r="AK5821">
        <v>30.527106826498599</v>
      </c>
      <c r="AL5821">
        <v>80.179318078703005</v>
      </c>
      <c r="AM5821">
        <v>83.146410764418604</v>
      </c>
      <c r="AN5821">
        <v>1.00000006791864</v>
      </c>
    </row>
    <row r="5822" spans="1:40" x14ac:dyDescent="0.25">
      <c r="A5822" t="str">
        <f>"20190304155751242"</f>
        <v>20190304155751242</v>
      </c>
      <c r="B5822" t="str">
        <f>"1551686271230600"</f>
        <v>1551686271230600</v>
      </c>
      <c r="C5822" t="s">
        <v>40</v>
      </c>
      <c r="D5822">
        <v>5.1415410000000001</v>
      </c>
      <c r="E5822">
        <v>0.54087989999999997</v>
      </c>
      <c r="F5822" t="s">
        <v>41</v>
      </c>
      <c r="G5822">
        <v>-302.98379999999997</v>
      </c>
      <c r="H5822" s="1">
        <v>-1.5469270000000001E-6</v>
      </c>
      <c r="I5822">
        <v>-28.655560000000001</v>
      </c>
      <c r="J5822">
        <v>-302.62939999999998</v>
      </c>
      <c r="K5822">
        <v>1.051973</v>
      </c>
      <c r="L5822">
        <v>1.1408689999999999</v>
      </c>
      <c r="M5822">
        <v>0.2132995</v>
      </c>
      <c r="N5822">
        <v>-1.5402559999999999E-2</v>
      </c>
      <c r="O5822">
        <v>-0.9768656</v>
      </c>
      <c r="P5822">
        <v>0.10126110000000001</v>
      </c>
      <c r="Q5822">
        <v>0.1585461</v>
      </c>
      <c r="R5822">
        <v>-0.9821455</v>
      </c>
      <c r="S5822">
        <v>-3.0395510000000001E-2</v>
      </c>
      <c r="T5822">
        <v>-0.1075127</v>
      </c>
      <c r="U5822">
        <v>-3.077118</v>
      </c>
      <c r="V5822">
        <v>0.11401840000000001</v>
      </c>
      <c r="W5822">
        <v>0.171404799999999</v>
      </c>
      <c r="X5822">
        <v>0.97858069999999997</v>
      </c>
      <c r="Y5822">
        <v>0.22287409999999999</v>
      </c>
      <c r="Z5822">
        <v>1.7858740000000001E-2</v>
      </c>
      <c r="AA5822">
        <v>0.97468359999999998</v>
      </c>
      <c r="AB5822">
        <v>28</v>
      </c>
      <c r="AC5822">
        <v>-0.35439999999999799</v>
      </c>
      <c r="AD5822">
        <v>-1.0519745469269901</v>
      </c>
      <c r="AE5822">
        <v>-29.796429</v>
      </c>
      <c r="AF5822">
        <v>6.6942156552591197</v>
      </c>
      <c r="AG5822">
        <v>-1.0519745469269901</v>
      </c>
      <c r="AH5822">
        <v>28.998811823064699</v>
      </c>
      <c r="AI5822">
        <v>92.024384850553801</v>
      </c>
      <c r="AJ5822">
        <v>77.001289771291795</v>
      </c>
      <c r="AK5822">
        <v>29.780031243032798</v>
      </c>
      <c r="AL5822">
        <v>80.130492796049893</v>
      </c>
      <c r="AM5822">
        <v>83.354202010244407</v>
      </c>
      <c r="AN5822">
        <v>0.99999999370704495</v>
      </c>
    </row>
    <row r="5823" spans="1:40" x14ac:dyDescent="0.25">
      <c r="A5823" t="str">
        <f>"20190304155751264"</f>
        <v>20190304155751264</v>
      </c>
      <c r="B5823" t="str">
        <f>"1551686271260856"</f>
        <v>1551686271260856</v>
      </c>
      <c r="C5823" t="s">
        <v>40</v>
      </c>
      <c r="D5823">
        <v>5.0675030000000003</v>
      </c>
      <c r="E5823">
        <v>0.53892929999999994</v>
      </c>
      <c r="F5823" t="s">
        <v>41</v>
      </c>
      <c r="G5823">
        <v>-303.0163</v>
      </c>
      <c r="H5823" s="1">
        <v>-1.547056E-6</v>
      </c>
      <c r="I5823">
        <v>-28.675439999999998</v>
      </c>
      <c r="J5823">
        <v>-302.57639999999998</v>
      </c>
      <c r="K5823">
        <v>1.0525690000000001</v>
      </c>
      <c r="L5823">
        <v>0.84902949999999999</v>
      </c>
      <c r="M5823">
        <v>0.2031116</v>
      </c>
      <c r="N5823">
        <v>-1.556738E-2</v>
      </c>
      <c r="O5823">
        <v>-0.97903189999999995</v>
      </c>
      <c r="P5823">
        <v>9.5087660000000004E-2</v>
      </c>
      <c r="Q5823">
        <v>0.1569844</v>
      </c>
      <c r="R5823">
        <v>-0.98301309999999997</v>
      </c>
      <c r="S5823">
        <v>-3.9916989999999999E-2</v>
      </c>
      <c r="T5823">
        <v>-0.108533</v>
      </c>
      <c r="U5823">
        <v>-3.0761720000000001</v>
      </c>
      <c r="V5823">
        <v>0.1097771</v>
      </c>
      <c r="W5823">
        <v>0.1702302</v>
      </c>
      <c r="X5823">
        <v>0.97927050000000004</v>
      </c>
      <c r="Y5823">
        <v>0.21573410000000001</v>
      </c>
      <c r="Z5823">
        <v>1.8157779999999998E-2</v>
      </c>
      <c r="AA5823">
        <v>0.97628329999999997</v>
      </c>
      <c r="AB5823">
        <v>28</v>
      </c>
      <c r="AC5823">
        <v>-0.439900000000022</v>
      </c>
      <c r="AD5823">
        <v>-1.0525705470559901</v>
      </c>
      <c r="AE5823">
        <v>-29.524469499999999</v>
      </c>
      <c r="AF5823">
        <v>6.4200589838564301</v>
      </c>
      <c r="AG5823">
        <v>-1.0525705470559901</v>
      </c>
      <c r="AH5823">
        <v>28.7829647653761</v>
      </c>
      <c r="AI5823">
        <v>92.044140442183803</v>
      </c>
      <c r="AJ5823">
        <v>77.425968515554999</v>
      </c>
      <c r="AK5823">
        <v>29.509051540122499</v>
      </c>
      <c r="AL5823">
        <v>80.198796585793303</v>
      </c>
      <c r="AM5823">
        <v>83.603795479073298</v>
      </c>
      <c r="AN5823">
        <v>1.0000000224233401</v>
      </c>
    </row>
    <row r="5824" spans="1:40" x14ac:dyDescent="0.25">
      <c r="A5824" t="str">
        <f>"20190304155751287"</f>
        <v>20190304155751287</v>
      </c>
      <c r="B5824" t="str">
        <f>"1551686271280375"</f>
        <v>1551686271280375</v>
      </c>
      <c r="C5824" t="s">
        <v>40</v>
      </c>
      <c r="D5824">
        <v>5.121696</v>
      </c>
      <c r="E5824">
        <v>0.52674670000000001</v>
      </c>
      <c r="F5824" t="s">
        <v>41</v>
      </c>
      <c r="G5824">
        <v>-302.95429999999999</v>
      </c>
      <c r="H5824" s="1">
        <v>-2.529917E-6</v>
      </c>
      <c r="I5824">
        <v>-26.3459</v>
      </c>
      <c r="J5824">
        <v>-302.52800000000002</v>
      </c>
      <c r="K5824">
        <v>1.0534520000000001</v>
      </c>
      <c r="L5824">
        <v>0.57232669999999997</v>
      </c>
      <c r="M5824">
        <v>0.194129</v>
      </c>
      <c r="N5824">
        <v>-1.6404999999999999E-2</v>
      </c>
      <c r="O5824">
        <v>-0.98083900000000002</v>
      </c>
      <c r="P5824">
        <v>9.0909760000000006E-2</v>
      </c>
      <c r="Q5824">
        <v>0.15503149999999999</v>
      </c>
      <c r="R5824">
        <v>-0.98371830000000005</v>
      </c>
      <c r="S5824">
        <v>-4.2724610000000003E-2</v>
      </c>
      <c r="T5824">
        <v>-0.11901630000000001</v>
      </c>
      <c r="U5824">
        <v>-3.0749819999999999</v>
      </c>
      <c r="V5824">
        <v>0.1047897</v>
      </c>
      <c r="W5824">
        <v>0.16932559999999999</v>
      </c>
      <c r="X5824">
        <v>0.97997339999999999</v>
      </c>
      <c r="Y5824">
        <v>0.20766580000000001</v>
      </c>
      <c r="Z5824">
        <v>2.0728099999999999E-2</v>
      </c>
      <c r="AA5824">
        <v>0.97798019999999997</v>
      </c>
      <c r="AB5824">
        <v>28</v>
      </c>
      <c r="AC5824">
        <v>-0.42629999999996898</v>
      </c>
      <c r="AD5824">
        <v>-1.0534545299169999</v>
      </c>
      <c r="AE5824">
        <v>-26.918226699999899</v>
      </c>
      <c r="AF5824">
        <v>5.6358691324734398</v>
      </c>
      <c r="AG5824">
        <v>-1.0534545299169999</v>
      </c>
      <c r="AH5824">
        <v>26.282982973806401</v>
      </c>
      <c r="AI5824">
        <v>92.244294326516098</v>
      </c>
      <c r="AJ5824">
        <v>77.897320182211402</v>
      </c>
      <c r="AK5824">
        <v>26.901077698232999</v>
      </c>
      <c r="AL5824">
        <v>80.251389190146199</v>
      </c>
      <c r="AM5824">
        <v>83.896487958007896</v>
      </c>
      <c r="AN5824">
        <v>0.99999995237450301</v>
      </c>
    </row>
    <row r="5825" spans="1:40" x14ac:dyDescent="0.25">
      <c r="A5825" t="str">
        <f>"20190304155751310"</f>
        <v>20190304155751310</v>
      </c>
      <c r="B5825" t="str">
        <f>"1551686271300403"</f>
        <v>1551686271300403</v>
      </c>
      <c r="C5825" t="s">
        <v>40</v>
      </c>
      <c r="D5825">
        <v>5.1031370000000003</v>
      </c>
      <c r="E5825">
        <v>0.52582249999999997</v>
      </c>
      <c r="F5825" t="s">
        <v>41</v>
      </c>
      <c r="G5825">
        <v>-302.23660000000001</v>
      </c>
      <c r="H5825" s="1">
        <v>-4.2193189999999999E-6</v>
      </c>
      <c r="I5825">
        <v>-21.780380000000001</v>
      </c>
      <c r="J5825">
        <v>-302.48140000000001</v>
      </c>
      <c r="K5825">
        <v>1.054281</v>
      </c>
      <c r="L5825">
        <v>0.29519649999999997</v>
      </c>
      <c r="M5825">
        <v>0.18676480000000001</v>
      </c>
      <c r="N5825">
        <v>-1.7055899999999999E-2</v>
      </c>
      <c r="O5825">
        <v>-0.98225680000000004</v>
      </c>
      <c r="P5825">
        <v>8.7921979999999997E-2</v>
      </c>
      <c r="Q5825">
        <v>0.15541930000000001</v>
      </c>
      <c r="R5825">
        <v>-0.98392860000000004</v>
      </c>
      <c r="S5825">
        <v>4.0008540000000002E-2</v>
      </c>
      <c r="T5825">
        <v>-0.1446267</v>
      </c>
      <c r="U5825">
        <v>-3.068756</v>
      </c>
      <c r="V5825">
        <v>0.1003541</v>
      </c>
      <c r="W5825">
        <v>0.17046700000000001</v>
      </c>
      <c r="X5825">
        <v>0.98023979999999999</v>
      </c>
      <c r="Y5825">
        <v>0.17387720000000001</v>
      </c>
      <c r="Z5825">
        <v>2.845141E-2</v>
      </c>
      <c r="AA5825">
        <v>0.98435629999999996</v>
      </c>
      <c r="AB5825">
        <v>28</v>
      </c>
      <c r="AC5825">
        <v>0.24479999999999699</v>
      </c>
      <c r="AD5825">
        <v>-1.054285219319</v>
      </c>
      <c r="AE5825">
        <v>-22.0755765</v>
      </c>
      <c r="AF5825">
        <v>3.8742128778999998</v>
      </c>
      <c r="AG5825">
        <v>-1.054285219319</v>
      </c>
      <c r="AH5825">
        <v>21.683312162033101</v>
      </c>
      <c r="AI5825">
        <v>92.740311760836093</v>
      </c>
      <c r="AJ5825">
        <v>79.869713138909205</v>
      </c>
      <c r="AK5825">
        <v>22.0519175824492</v>
      </c>
      <c r="AL5825">
        <v>80.185027519745702</v>
      </c>
      <c r="AM5825">
        <v>84.154590001469302</v>
      </c>
      <c r="AN5825">
        <v>1.00000000448992</v>
      </c>
    </row>
    <row r="5826" spans="1:40" x14ac:dyDescent="0.25">
      <c r="A5826" t="str">
        <f>"20190304155751333"</f>
        <v>20190304155751333</v>
      </c>
      <c r="B5826" t="str">
        <f>"1551686271320899"</f>
        <v>1551686271320899</v>
      </c>
      <c r="C5826" t="s">
        <v>40</v>
      </c>
      <c r="D5826">
        <v>5.1499509999999997</v>
      </c>
      <c r="E5826">
        <v>0.52475660000000002</v>
      </c>
      <c r="F5826" t="s">
        <v>41</v>
      </c>
      <c r="G5826">
        <v>-302.20030000000003</v>
      </c>
      <c r="H5826" s="1">
        <v>-4.0903480000000001E-6</v>
      </c>
      <c r="I5826">
        <v>-22.140419999999999</v>
      </c>
      <c r="J5826">
        <v>-302.43700000000001</v>
      </c>
      <c r="K5826">
        <v>1.0548740000000001</v>
      </c>
      <c r="L5826">
        <v>1.5472410000000001E-2</v>
      </c>
      <c r="M5826">
        <v>0.18041989999999999</v>
      </c>
      <c r="N5826">
        <v>-1.5706609999999999E-2</v>
      </c>
      <c r="O5826">
        <v>-0.98346440000000002</v>
      </c>
      <c r="P5826">
        <v>8.4923520000000002E-2</v>
      </c>
      <c r="Q5826">
        <v>0.1583562</v>
      </c>
      <c r="R5826">
        <v>-0.98372340000000003</v>
      </c>
      <c r="S5826">
        <v>3.8452149999999997E-2</v>
      </c>
      <c r="T5826">
        <v>-0.14418710000000001</v>
      </c>
      <c r="U5826">
        <v>-3.0683590000000001</v>
      </c>
      <c r="V5826">
        <v>9.6967819999999996E-2</v>
      </c>
      <c r="W5826">
        <v>0.172123</v>
      </c>
      <c r="X5826">
        <v>0.98029120000000003</v>
      </c>
      <c r="Y5826">
        <v>0.168023799999999</v>
      </c>
      <c r="Z5826">
        <v>2.9772400000000001E-2</v>
      </c>
      <c r="AA5826">
        <v>0.98533329999999997</v>
      </c>
      <c r="AB5826">
        <v>28</v>
      </c>
      <c r="AC5826">
        <v>0.23669999999998401</v>
      </c>
      <c r="AD5826">
        <v>-1.054878090348</v>
      </c>
      <c r="AE5826">
        <v>-22.15589241</v>
      </c>
      <c r="AF5826">
        <v>3.7565272385628101</v>
      </c>
      <c r="AG5826">
        <v>-1.054878090348</v>
      </c>
      <c r="AH5826">
        <v>21.7855481163975</v>
      </c>
      <c r="AI5826">
        <v>92.731900304009201</v>
      </c>
      <c r="AJ5826">
        <v>80.216575806615197</v>
      </c>
      <c r="AK5826">
        <v>22.132202136512099</v>
      </c>
      <c r="AL5826">
        <v>80.088721849783894</v>
      </c>
      <c r="AM5826">
        <v>84.350829817736397</v>
      </c>
      <c r="AN5826">
        <v>0.99999996102099498</v>
      </c>
    </row>
    <row r="5827" spans="1:40" x14ac:dyDescent="0.25">
      <c r="A5827" t="str">
        <f>"20190304155751355"</f>
        <v>20190304155751355</v>
      </c>
      <c r="B5827" t="str">
        <f>"1551686271351155"</f>
        <v>1551686271351155</v>
      </c>
      <c r="C5827" t="s">
        <v>40</v>
      </c>
      <c r="D5827">
        <v>5.1477209999999998</v>
      </c>
      <c r="E5827">
        <v>0.52354849999999997</v>
      </c>
      <c r="F5827" t="s">
        <v>41</v>
      </c>
      <c r="G5827">
        <v>-302.13810000000001</v>
      </c>
      <c r="H5827" s="1">
        <v>-3.4777350000000001E-6</v>
      </c>
      <c r="I5827">
        <v>-23.630299999999998</v>
      </c>
      <c r="J5827">
        <v>-302.3947</v>
      </c>
      <c r="K5827">
        <v>1.055912</v>
      </c>
      <c r="L5827">
        <v>-0.2649841</v>
      </c>
      <c r="M5827">
        <v>0.17414579999999999</v>
      </c>
      <c r="N5827">
        <v>-1.3412739999999999E-2</v>
      </c>
      <c r="O5827">
        <v>-0.98462859999999996</v>
      </c>
      <c r="P5827">
        <v>8.2000509999999999E-2</v>
      </c>
      <c r="Q5827">
        <v>0.1603831</v>
      </c>
      <c r="R5827">
        <v>-0.98364280000000004</v>
      </c>
      <c r="S5827">
        <v>3.8787839999999997E-2</v>
      </c>
      <c r="T5827">
        <v>-0.13688330000000001</v>
      </c>
      <c r="U5827">
        <v>-3.0683289999999999</v>
      </c>
      <c r="V5827">
        <v>9.3479699999999999E-2</v>
      </c>
      <c r="W5827">
        <v>0.17199990000000001</v>
      </c>
      <c r="X5827">
        <v>0.98065159999999996</v>
      </c>
      <c r="Y5827">
        <v>0.1616417</v>
      </c>
      <c r="Z5827">
        <v>2.986314E-2</v>
      </c>
      <c r="AA5827">
        <v>0.98639759999999999</v>
      </c>
      <c r="AB5827">
        <v>28</v>
      </c>
      <c r="AC5827">
        <v>0.256599999999991</v>
      </c>
      <c r="AD5827">
        <v>-1.0559154777349999</v>
      </c>
      <c r="AE5827">
        <v>-23.365315899999999</v>
      </c>
      <c r="AF5827">
        <v>3.8088811298386598</v>
      </c>
      <c r="AG5827">
        <v>-1.0559154777349999</v>
      </c>
      <c r="AH5827">
        <v>23.005937320646801</v>
      </c>
      <c r="AI5827">
        <v>92.592646601465802</v>
      </c>
      <c r="AJ5827">
        <v>80.599338470299998</v>
      </c>
      <c r="AK5827">
        <v>23.3430007702285</v>
      </c>
      <c r="AL5827">
        <v>80.095882033972998</v>
      </c>
      <c r="AM5827">
        <v>84.554786398323998</v>
      </c>
      <c r="AN5827">
        <v>0.999999990247329</v>
      </c>
    </row>
    <row r="5828" spans="1:40" x14ac:dyDescent="0.25">
      <c r="A5828" t="str">
        <f>"20190304155751379"</f>
        <v>20190304155751379</v>
      </c>
      <c r="B5828" t="str">
        <f>"1551686271370674"</f>
        <v>1551686271370674</v>
      </c>
      <c r="C5828" t="s">
        <v>40</v>
      </c>
      <c r="D5828">
        <v>5.12486</v>
      </c>
      <c r="E5828">
        <v>0.51804499999999998</v>
      </c>
      <c r="F5828" t="s">
        <v>41</v>
      </c>
      <c r="G5828">
        <v>-302.0718</v>
      </c>
      <c r="H5828" s="1">
        <v>-3.092022E-6</v>
      </c>
      <c r="I5828">
        <v>-24.488309999999998</v>
      </c>
      <c r="J5828">
        <v>-302.35129999999998</v>
      </c>
      <c r="K5828">
        <v>1.0578719999999999</v>
      </c>
      <c r="L5828">
        <v>-0.56433109999999997</v>
      </c>
      <c r="M5828">
        <v>0.16702</v>
      </c>
      <c r="N5828">
        <v>-1.117515E-2</v>
      </c>
      <c r="O5828">
        <v>-0.98589020000000005</v>
      </c>
      <c r="P5828">
        <v>7.8312789999999993E-2</v>
      </c>
      <c r="Q5828">
        <v>0.16181389999999901</v>
      </c>
      <c r="R5828">
        <v>-0.98370919999999895</v>
      </c>
      <c r="S5828">
        <v>4.0893550000000001E-2</v>
      </c>
      <c r="T5828">
        <v>-0.1337497</v>
      </c>
      <c r="U5828">
        <v>-3.068298</v>
      </c>
      <c r="V5828">
        <v>8.9749140000000005E-2</v>
      </c>
      <c r="W5828">
        <v>0.17142589999999999</v>
      </c>
      <c r="X5828">
        <v>0.98110059999999999</v>
      </c>
      <c r="Y5828">
        <v>0.15383459999999999</v>
      </c>
      <c r="Z5828">
        <v>3.1216669999999998E-2</v>
      </c>
      <c r="AA5828">
        <v>0.98760340000000002</v>
      </c>
      <c r="AB5828">
        <v>28</v>
      </c>
      <c r="AC5828">
        <v>0.27949999999998398</v>
      </c>
      <c r="AD5828">
        <v>-1.0578750920219999</v>
      </c>
      <c r="AE5828">
        <v>-23.923978899999899</v>
      </c>
      <c r="AF5828">
        <v>3.7131996332966999</v>
      </c>
      <c r="AG5828">
        <v>-1.0578750920219999</v>
      </c>
      <c r="AH5828">
        <v>23.588458663330901</v>
      </c>
      <c r="AI5828">
        <v>92.536636908656405</v>
      </c>
      <c r="AJ5828">
        <v>81.054140537689705</v>
      </c>
      <c r="AK5828">
        <v>23.902349954318399</v>
      </c>
      <c r="AL5828">
        <v>80.129266426451906</v>
      </c>
      <c r="AM5828">
        <v>84.773242726631906</v>
      </c>
      <c r="AN5828">
        <v>1.0000000673209499</v>
      </c>
    </row>
    <row r="5829" spans="1:40" x14ac:dyDescent="0.25">
      <c r="A5829" t="str">
        <f>"20190304155751402"</f>
        <v>20190304155751402</v>
      </c>
      <c r="B5829" t="str">
        <f>"1551686271391173"</f>
        <v>1551686271391173</v>
      </c>
      <c r="C5829" t="s">
        <v>40</v>
      </c>
      <c r="D5829">
        <v>5.1408319999999996</v>
      </c>
      <c r="E5829">
        <v>0.51812510000000001</v>
      </c>
      <c r="F5829" t="s">
        <v>41</v>
      </c>
      <c r="G5829">
        <v>-301.75330000000002</v>
      </c>
      <c r="H5829" s="1">
        <v>-2.7524800000000002E-6</v>
      </c>
      <c r="I5829">
        <v>-25.082239999999999</v>
      </c>
      <c r="J5829">
        <v>-302.31040000000002</v>
      </c>
      <c r="K5829">
        <v>1.0602149999999999</v>
      </c>
      <c r="L5829">
        <v>-0.85559079999999998</v>
      </c>
      <c r="M5829">
        <v>0.1597848</v>
      </c>
      <c r="N5829">
        <v>-9.2662950000000008E-3</v>
      </c>
      <c r="O5829">
        <v>-0.98710850000000006</v>
      </c>
      <c r="P5829">
        <v>7.4718320000000005E-2</v>
      </c>
      <c r="Q5829">
        <v>0.1628906</v>
      </c>
      <c r="R5829">
        <v>-0.98381110000000005</v>
      </c>
      <c r="S5829">
        <v>7.4768070000000006E-2</v>
      </c>
      <c r="T5829">
        <v>-0.13226679999999999</v>
      </c>
      <c r="U5829">
        <v>-3.0654910000000002</v>
      </c>
      <c r="V5829">
        <v>8.5781159999999995E-2</v>
      </c>
      <c r="W5829">
        <v>0.17084150000000001</v>
      </c>
      <c r="X5829">
        <v>0.98155729999999997</v>
      </c>
      <c r="Y5829">
        <v>0.135654</v>
      </c>
      <c r="Z5829">
        <v>3.2830039999999998E-2</v>
      </c>
      <c r="AA5829">
        <v>0.99021219999999999</v>
      </c>
      <c r="AB5829">
        <v>28</v>
      </c>
      <c r="AC5829">
        <v>0.55709999999999105</v>
      </c>
      <c r="AD5829">
        <v>-1.0602177524799901</v>
      </c>
      <c r="AE5829">
        <v>-24.226649200000001</v>
      </c>
      <c r="AF5829">
        <v>3.3149291093531699</v>
      </c>
      <c r="AG5829">
        <v>-1.0602177524799901</v>
      </c>
      <c r="AH5829">
        <v>23.958515227501898</v>
      </c>
      <c r="AI5829">
        <v>92.509933036226698</v>
      </c>
      <c r="AJ5829">
        <v>82.122501135716305</v>
      </c>
      <c r="AK5829">
        <v>24.2099828291792</v>
      </c>
      <c r="AL5829">
        <v>80.1632505574254</v>
      </c>
      <c r="AM5829">
        <v>85.0054439937051</v>
      </c>
      <c r="AN5829">
        <v>0.99999997935824203</v>
      </c>
    </row>
    <row r="5830" spans="1:40" x14ac:dyDescent="0.25">
      <c r="A5830" t="str">
        <f>"20190304155751427"</f>
        <v>20190304155751427</v>
      </c>
      <c r="B5830" t="str">
        <f>"1551686271420451"</f>
        <v>1551686271420451</v>
      </c>
      <c r="C5830" t="s">
        <v>40</v>
      </c>
      <c r="D5830">
        <v>5.1112859999999998</v>
      </c>
      <c r="E5830">
        <v>0.51786730000000003</v>
      </c>
      <c r="F5830" t="s">
        <v>41</v>
      </c>
      <c r="G5830">
        <v>-301.80529999999999</v>
      </c>
      <c r="H5830" s="1">
        <v>-2.6398059999999999E-6</v>
      </c>
      <c r="I5830">
        <v>-25.377099999999999</v>
      </c>
      <c r="J5830">
        <v>-302.26710000000003</v>
      </c>
      <c r="K5830">
        <v>1.06277</v>
      </c>
      <c r="L5830">
        <v>-1.1741330000000001</v>
      </c>
      <c r="M5830">
        <v>0.1521354</v>
      </c>
      <c r="N5830">
        <v>-7.2371469999999898E-3</v>
      </c>
      <c r="O5830">
        <v>-0.98833309999999996</v>
      </c>
      <c r="P5830">
        <v>6.9655690000000006E-2</v>
      </c>
      <c r="Q5830">
        <v>0.16494320000000001</v>
      </c>
      <c r="R5830">
        <v>-0.98384020000000005</v>
      </c>
      <c r="S5830">
        <v>6.3171389999999994E-2</v>
      </c>
      <c r="T5830">
        <v>-0.13258499999999901</v>
      </c>
      <c r="U5830">
        <v>-3.0665279999999999</v>
      </c>
      <c r="V5830">
        <v>8.2882750000000005E-2</v>
      </c>
      <c r="W5830">
        <v>0.17107639999999999</v>
      </c>
      <c r="X5830">
        <v>0.98176540000000001</v>
      </c>
      <c r="Y5830">
        <v>0.13173889999999999</v>
      </c>
      <c r="Z5830">
        <v>3.5029409999999997E-2</v>
      </c>
      <c r="AA5830">
        <v>0.99066529999999997</v>
      </c>
      <c r="AB5830">
        <v>28</v>
      </c>
      <c r="AC5830">
        <v>0.46180000000003901</v>
      </c>
      <c r="AD5830">
        <v>-1.062772639806</v>
      </c>
      <c r="AE5830">
        <v>-24.202967000000001</v>
      </c>
      <c r="AF5830">
        <v>3.2195948829842398</v>
      </c>
      <c r="AG5830">
        <v>-1.062772639806</v>
      </c>
      <c r="AH5830">
        <v>23.945325694940099</v>
      </c>
      <c r="AI5830">
        <v>92.518672836505502</v>
      </c>
      <c r="AJ5830">
        <v>82.342160350144297</v>
      </c>
      <c r="AK5830">
        <v>24.184166298039202</v>
      </c>
      <c r="AL5830">
        <v>80.149590813197193</v>
      </c>
      <c r="AM5830">
        <v>85.174409314817495</v>
      </c>
      <c r="AN5830">
        <v>0.99999999276084095</v>
      </c>
    </row>
    <row r="5831" spans="1:40" x14ac:dyDescent="0.25">
      <c r="A5831" t="str">
        <f>"20190304155751448"</f>
        <v>20190304155751448</v>
      </c>
      <c r="B5831" t="str">
        <f>"1551686271440947"</f>
        <v>1551686271440947</v>
      </c>
      <c r="C5831" t="s">
        <v>40</v>
      </c>
      <c r="D5831">
        <v>5.1245570000000003</v>
      </c>
      <c r="E5831">
        <v>0.51746159999999997</v>
      </c>
      <c r="F5831" t="s">
        <v>41</v>
      </c>
      <c r="G5831">
        <v>-301.84370000000001</v>
      </c>
      <c r="H5831" s="1">
        <v>-2.160265E-6</v>
      </c>
      <c r="I5831">
        <v>-26.51876</v>
      </c>
      <c r="J5831">
        <v>-302.23180000000002</v>
      </c>
      <c r="K5831">
        <v>1.0647439999999999</v>
      </c>
      <c r="L5831">
        <v>-1.4425049999999999</v>
      </c>
      <c r="M5831">
        <v>0.14634739999999999</v>
      </c>
      <c r="N5831">
        <v>-5.5748289999999999E-3</v>
      </c>
      <c r="O5831">
        <v>-0.98921769999999998</v>
      </c>
      <c r="P5831">
        <v>6.5732170000000006E-2</v>
      </c>
      <c r="Q5831">
        <v>0.16651179999999999</v>
      </c>
      <c r="R5831">
        <v>-0.98384649999999996</v>
      </c>
      <c r="S5831">
        <v>5.1239010000000001E-2</v>
      </c>
      <c r="T5831">
        <v>-0.12861649999999999</v>
      </c>
      <c r="U5831">
        <v>-3.0672000000000001</v>
      </c>
      <c r="V5831">
        <v>8.0834240000000002E-2</v>
      </c>
      <c r="W5831">
        <v>0.171116299999999</v>
      </c>
      <c r="X5831">
        <v>0.98192919999999995</v>
      </c>
      <c r="Y5831">
        <v>0.12979879999999999</v>
      </c>
      <c r="Z5831">
        <v>3.5476090000000002E-2</v>
      </c>
      <c r="AA5831">
        <v>0.99090549999999999</v>
      </c>
      <c r="AB5831">
        <v>28</v>
      </c>
      <c r="AC5831">
        <v>0.38810000000000799</v>
      </c>
      <c r="AD5831">
        <v>-1.0647461602649999</v>
      </c>
      <c r="AE5831">
        <v>-25.076255</v>
      </c>
      <c r="AF5831">
        <v>3.2800677518350199</v>
      </c>
      <c r="AG5831">
        <v>-1.0647461602649999</v>
      </c>
      <c r="AH5831">
        <v>24.818321634017799</v>
      </c>
      <c r="AI5831">
        <v>92.435423270030199</v>
      </c>
      <c r="AJ5831">
        <v>82.471241725529694</v>
      </c>
      <c r="AK5831">
        <v>25.0567678995513</v>
      </c>
      <c r="AL5831">
        <v>80.147270152453999</v>
      </c>
      <c r="AM5831">
        <v>85.293916475934907</v>
      </c>
      <c r="AN5831">
        <v>0.99999995814735199</v>
      </c>
    </row>
    <row r="5832" spans="1:40" x14ac:dyDescent="0.25">
      <c r="A5832" t="str">
        <f>"20190304155751486"</f>
        <v>20190304155751486</v>
      </c>
      <c r="B5832" t="str">
        <f>"1551686271480966"</f>
        <v>1551686271480966</v>
      </c>
      <c r="C5832" t="s">
        <v>40</v>
      </c>
      <c r="D5832">
        <v>5.1524470000000004</v>
      </c>
      <c r="E5832">
        <v>0.51635140000000002</v>
      </c>
      <c r="F5832" t="s">
        <v>41</v>
      </c>
      <c r="G5832">
        <v>-301.85559999999998</v>
      </c>
      <c r="H5832" s="1">
        <v>-1.819241E-6</v>
      </c>
      <c r="I5832">
        <v>-27.321090000000002</v>
      </c>
      <c r="J5832">
        <v>-302.17290000000003</v>
      </c>
      <c r="K5832">
        <v>1.068427</v>
      </c>
      <c r="L5832">
        <v>-1.901672</v>
      </c>
      <c r="M5832">
        <v>0.13607259999999999</v>
      </c>
      <c r="N5832">
        <v>-4.158531E-3</v>
      </c>
      <c r="O5832">
        <v>-0.99069019999999997</v>
      </c>
      <c r="P5832">
        <v>6.1265100000000003E-2</v>
      </c>
      <c r="Q5832">
        <v>0.16404489999999999</v>
      </c>
      <c r="R5832">
        <v>-0.9845488</v>
      </c>
      <c r="S5832">
        <v>4.4586180000000003E-2</v>
      </c>
      <c r="T5832">
        <v>-0.1262153</v>
      </c>
      <c r="U5832">
        <v>-3.0676570000000001</v>
      </c>
      <c r="V5832">
        <v>7.4827989999999997E-2</v>
      </c>
      <c r="W5832">
        <v>0.16744970000000001</v>
      </c>
      <c r="X5832">
        <v>0.98303680000000004</v>
      </c>
      <c r="Y5832">
        <v>0.1216595</v>
      </c>
      <c r="Z5832">
        <v>3.6229860000000003E-2</v>
      </c>
      <c r="AA5832">
        <v>0.99191050000000003</v>
      </c>
      <c r="AB5832">
        <v>28</v>
      </c>
      <c r="AC5832">
        <v>0.31730000000004499</v>
      </c>
      <c r="AD5832">
        <v>-1.0684288192409901</v>
      </c>
      <c r="AE5832">
        <v>-25.419418</v>
      </c>
      <c r="AF5832">
        <v>3.1390224906406501</v>
      </c>
      <c r="AG5832">
        <v>-1.0684288192409901</v>
      </c>
      <c r="AH5832">
        <v>25.181679518001701</v>
      </c>
      <c r="AI5832">
        <v>92.4108979985633</v>
      </c>
      <c r="AJ5832">
        <v>82.894446896337499</v>
      </c>
      <c r="AK5832">
        <v>25.399054818750201</v>
      </c>
      <c r="AL5832">
        <v>80.360427705095304</v>
      </c>
      <c r="AM5832">
        <v>85.647084389628901</v>
      </c>
      <c r="AN5832">
        <v>0.99999999013588503</v>
      </c>
    </row>
    <row r="5833" spans="1:40" x14ac:dyDescent="0.25">
      <c r="A5833" t="str">
        <f>"20190304155751509"</f>
        <v>20190304155751509</v>
      </c>
      <c r="B5833" t="str">
        <f>"1551686271500483"</f>
        <v>1551686271500483</v>
      </c>
      <c r="C5833" t="s">
        <v>40</v>
      </c>
      <c r="D5833">
        <v>4.9743919999999999</v>
      </c>
      <c r="E5833">
        <v>0.5170129</v>
      </c>
      <c r="F5833" t="s">
        <v>41</v>
      </c>
      <c r="G5833">
        <v>-301.85430000000002</v>
      </c>
      <c r="H5833" s="1">
        <v>-2.4127140000000002E-6</v>
      </c>
      <c r="I5833">
        <v>-25.936879999999999</v>
      </c>
      <c r="J5833">
        <v>-302.13659999999999</v>
      </c>
      <c r="K5833">
        <v>1.0707799999999901</v>
      </c>
      <c r="L5833">
        <v>-2.1914669999999998</v>
      </c>
      <c r="M5833">
        <v>0.1308173</v>
      </c>
      <c r="N5833">
        <v>-4.2718039999999997E-3</v>
      </c>
      <c r="O5833">
        <v>-0.99139739999999998</v>
      </c>
      <c r="P5833">
        <v>5.996576E-2</v>
      </c>
      <c r="Q5833">
        <v>0.16225049999999999</v>
      </c>
      <c r="R5833">
        <v>-0.98492610000000003</v>
      </c>
      <c r="S5833">
        <v>4.0649409999999997E-2</v>
      </c>
      <c r="T5833">
        <v>-0.13634789999999999</v>
      </c>
      <c r="U5833">
        <v>-3.0672609999999998</v>
      </c>
      <c r="V5833">
        <v>7.0960990000000002E-2</v>
      </c>
      <c r="W5833">
        <v>0.165792299999999</v>
      </c>
      <c r="X5833">
        <v>0.98360429999999999</v>
      </c>
      <c r="Y5833">
        <v>0.11766699999999999</v>
      </c>
      <c r="Z5833">
        <v>3.9416279999999998E-2</v>
      </c>
      <c r="AA5833">
        <v>0.99227050000000006</v>
      </c>
      <c r="AB5833">
        <v>28</v>
      </c>
      <c r="AC5833">
        <v>0.28229999999996302</v>
      </c>
      <c r="AD5833">
        <v>-1.07078241271399</v>
      </c>
      <c r="AE5833">
        <v>-23.745412999999999</v>
      </c>
      <c r="AF5833">
        <v>2.82072968200537</v>
      </c>
      <c r="AG5833">
        <v>-1.07078241271399</v>
      </c>
      <c r="AH5833">
        <v>23.530440724787699</v>
      </c>
      <c r="AI5833">
        <v>92.587022973008501</v>
      </c>
      <c r="AJ5833">
        <v>83.164243547013598</v>
      </c>
      <c r="AK5833">
        <v>23.723084361378302</v>
      </c>
      <c r="AL5833">
        <v>80.456735975882495</v>
      </c>
      <c r="AM5833">
        <v>85.873611530828001</v>
      </c>
      <c r="AN5833">
        <v>0.99999998390977995</v>
      </c>
    </row>
    <row r="5834" spans="1:40" x14ac:dyDescent="0.25">
      <c r="A5834" t="str">
        <f>"20190304155751532"</f>
        <v>20190304155751532</v>
      </c>
      <c r="B5834" t="str">
        <f>"1551686271520979"</f>
        <v>1551686271520979</v>
      </c>
      <c r="C5834" t="s">
        <v>40</v>
      </c>
      <c r="D5834">
        <v>5.002224</v>
      </c>
      <c r="E5834">
        <v>0.51841590000000004</v>
      </c>
      <c r="F5834" t="s">
        <v>41</v>
      </c>
      <c r="G5834">
        <v>-301.89659999999998</v>
      </c>
      <c r="H5834" s="1">
        <v>-2.4366550000000001E-6</v>
      </c>
      <c r="I5834">
        <v>-25.90729</v>
      </c>
      <c r="J5834">
        <v>-302.10419999999999</v>
      </c>
      <c r="K5834">
        <v>1.0730930000000001</v>
      </c>
      <c r="L5834">
        <v>-2.4642029999999999</v>
      </c>
      <c r="M5834">
        <v>0.1274508</v>
      </c>
      <c r="N5834">
        <v>-4.2606700000000003E-3</v>
      </c>
      <c r="O5834">
        <v>-0.99183569999999999</v>
      </c>
      <c r="P5834">
        <v>6.0095509999999998E-2</v>
      </c>
      <c r="Q5834">
        <v>0.1606389</v>
      </c>
      <c r="R5834">
        <v>-0.985182</v>
      </c>
      <c r="S5834">
        <v>3.1036379999999999E-2</v>
      </c>
      <c r="T5834">
        <v>-0.13846919999999999</v>
      </c>
      <c r="U5834">
        <v>-3.0668329999999999</v>
      </c>
      <c r="V5834">
        <v>6.7590239999999996E-2</v>
      </c>
      <c r="W5834">
        <v>0.16417079999999901</v>
      </c>
      <c r="X5834">
        <v>0.98411360000000003</v>
      </c>
      <c r="Y5834">
        <v>0.11740390000000001</v>
      </c>
      <c r="Z5834">
        <v>4.0142070000000002E-2</v>
      </c>
      <c r="AA5834">
        <v>0.99227259999999995</v>
      </c>
      <c r="AB5834">
        <v>28</v>
      </c>
      <c r="AC5834">
        <v>0.207600000000013</v>
      </c>
      <c r="AD5834">
        <v>-1.0730954366550001</v>
      </c>
      <c r="AE5834">
        <v>-23.443086999999998</v>
      </c>
      <c r="AF5834">
        <v>2.7761440594396798</v>
      </c>
      <c r="AG5834">
        <v>-1.0730954366550001</v>
      </c>
      <c r="AH5834">
        <v>23.229692208156902</v>
      </c>
      <c r="AI5834">
        <v>92.626236370702003</v>
      </c>
      <c r="AJ5834">
        <v>83.184993234517293</v>
      </c>
      <c r="AK5834">
        <v>23.419588163343899</v>
      </c>
      <c r="AL5834">
        <v>80.550932380905195</v>
      </c>
      <c r="AM5834">
        <v>86.071019211947501</v>
      </c>
      <c r="AN5834">
        <v>1.0000000349104201</v>
      </c>
    </row>
    <row r="5835" spans="1:40" x14ac:dyDescent="0.25">
      <c r="A5835" t="str">
        <f>"20190304155751554"</f>
        <v>20190304155751554</v>
      </c>
      <c r="B5835" t="str">
        <f>"1551686271550259"</f>
        <v>1551686271550259</v>
      </c>
      <c r="C5835" t="s">
        <v>40</v>
      </c>
      <c r="D5835">
        <v>4.981973</v>
      </c>
      <c r="E5835">
        <v>0.51905519999999905</v>
      </c>
      <c r="F5835" t="s">
        <v>41</v>
      </c>
      <c r="G5835">
        <v>-301.9443</v>
      </c>
      <c r="H5835" s="1">
        <v>-2.2239929999999998E-6</v>
      </c>
      <c r="I5835">
        <v>-26.43262</v>
      </c>
      <c r="J5835">
        <v>-302.0729</v>
      </c>
      <c r="K5835">
        <v>1.07577099999999</v>
      </c>
      <c r="L5835">
        <v>-2.7377009999999999</v>
      </c>
      <c r="M5835">
        <v>0.1242775</v>
      </c>
      <c r="N5835">
        <v>-4.0626330000000004E-3</v>
      </c>
      <c r="O5835">
        <v>-0.99223919999999999</v>
      </c>
      <c r="P5835">
        <v>6.0709730000000003E-2</v>
      </c>
      <c r="Q5835">
        <v>0.159194</v>
      </c>
      <c r="R5835">
        <v>-0.98537920000000001</v>
      </c>
      <c r="S5835">
        <v>2.0446780000000001E-2</v>
      </c>
      <c r="T5835">
        <v>-0.13727990000000001</v>
      </c>
      <c r="U5835">
        <v>-3.0662539999999998</v>
      </c>
      <c r="V5835">
        <v>6.3825380000000001E-2</v>
      </c>
      <c r="W5835">
        <v>0.16257559999999999</v>
      </c>
      <c r="X5835">
        <v>0.98462959999999999</v>
      </c>
      <c r="Y5835">
        <v>0.11765249999999999</v>
      </c>
      <c r="Z5835">
        <v>3.9993479999999998E-2</v>
      </c>
      <c r="AA5835">
        <v>0.99224920000000005</v>
      </c>
      <c r="AB5835">
        <v>28</v>
      </c>
      <c r="AC5835">
        <v>0.12860000000000499</v>
      </c>
      <c r="AD5835">
        <v>-1.07577322399299</v>
      </c>
      <c r="AE5835">
        <v>-23.694918999999999</v>
      </c>
      <c r="AF5835">
        <v>2.8113717647215601</v>
      </c>
      <c r="AG5835">
        <v>-1.07577322399299</v>
      </c>
      <c r="AH5835">
        <v>23.478809034453</v>
      </c>
      <c r="AI5835">
        <v>92.604813475483994</v>
      </c>
      <c r="AJ5835">
        <v>83.171866349277593</v>
      </c>
      <c r="AK5835">
        <v>23.6709858879018</v>
      </c>
      <c r="AL5835">
        <v>80.643574788592403</v>
      </c>
      <c r="AM5835">
        <v>86.291178105582702</v>
      </c>
      <c r="AN5835">
        <v>0.99999997702183197</v>
      </c>
    </row>
    <row r="5836" spans="1:40" x14ac:dyDescent="0.25">
      <c r="A5836" t="str">
        <f>"20190304155751579"</f>
        <v>20190304155751579</v>
      </c>
      <c r="B5836" t="str">
        <f>"1551686271570755"</f>
        <v>1551686271570755</v>
      </c>
      <c r="C5836" t="s">
        <v>40</v>
      </c>
      <c r="D5836">
        <v>4.9942159999999998</v>
      </c>
      <c r="E5836">
        <v>0.51996929999999997</v>
      </c>
      <c r="F5836" t="s">
        <v>41</v>
      </c>
      <c r="G5836">
        <v>-301.93119999999999</v>
      </c>
      <c r="H5836" s="1">
        <v>-2.0764839999999999E-6</v>
      </c>
      <c r="I5836">
        <v>-26.768360000000001</v>
      </c>
      <c r="J5836">
        <v>-302.03890000000001</v>
      </c>
      <c r="K5836">
        <v>1.0791710000000001</v>
      </c>
      <c r="L5836">
        <v>-3.0464479999999998</v>
      </c>
      <c r="M5836">
        <v>0.1204368</v>
      </c>
      <c r="N5836">
        <v>-4.0239469999999999E-3</v>
      </c>
      <c r="O5836">
        <v>-0.99271299999999996</v>
      </c>
      <c r="P5836">
        <v>6.1317240000000002E-2</v>
      </c>
      <c r="Q5836">
        <v>0.1569422</v>
      </c>
      <c r="R5836">
        <v>-0.985703</v>
      </c>
      <c r="S5836">
        <v>1.8066410000000001E-2</v>
      </c>
      <c r="T5836">
        <v>-0.137236</v>
      </c>
      <c r="U5836">
        <v>-3.065582</v>
      </c>
      <c r="V5836">
        <v>5.9318330000000002E-2</v>
      </c>
      <c r="W5836">
        <v>0.16037089999999901</v>
      </c>
      <c r="X5836">
        <v>0.98527279999999995</v>
      </c>
      <c r="Y5836">
        <v>0.1145785</v>
      </c>
      <c r="Z5836">
        <v>4.006734E-2</v>
      </c>
      <c r="AA5836">
        <v>0.99260590000000004</v>
      </c>
      <c r="AB5836">
        <v>28</v>
      </c>
      <c r="AC5836">
        <v>0.107700000000022</v>
      </c>
      <c r="AD5836">
        <v>-1.079173076484</v>
      </c>
      <c r="AE5836">
        <v>-23.721912</v>
      </c>
      <c r="AF5836">
        <v>2.74441812887751</v>
      </c>
      <c r="AG5836">
        <v>-1.079173076484</v>
      </c>
      <c r="AH5836">
        <v>23.513546288273201</v>
      </c>
      <c r="AI5836">
        <v>92.610098287013003</v>
      </c>
      <c r="AJ5836">
        <v>83.342759745901105</v>
      </c>
      <c r="AK5836">
        <v>23.697748932037499</v>
      </c>
      <c r="AL5836">
        <v>80.771574676559496</v>
      </c>
      <c r="AM5836">
        <v>86.554667375452695</v>
      </c>
      <c r="AN5836">
        <v>0.99999999013031904</v>
      </c>
    </row>
    <row r="5837" spans="1:40" x14ac:dyDescent="0.25">
      <c r="A5837" t="str">
        <f>"20190304155751619"</f>
        <v>20190304155751619</v>
      </c>
      <c r="B5837" t="str">
        <f>"1551686271610771"</f>
        <v>1551686271610771</v>
      </c>
      <c r="C5837" t="s">
        <v>40</v>
      </c>
      <c r="D5837">
        <v>5.1441860000000004</v>
      </c>
      <c r="E5837">
        <v>0.51982989999999996</v>
      </c>
      <c r="F5837" t="s">
        <v>41</v>
      </c>
      <c r="G5837">
        <v>-301.9393</v>
      </c>
      <c r="H5837" s="1">
        <v>-2.135726E-6</v>
      </c>
      <c r="I5837">
        <v>-26.635249999999999</v>
      </c>
      <c r="J5837">
        <v>-301.98540000000003</v>
      </c>
      <c r="K5837">
        <v>1.0849</v>
      </c>
      <c r="L5837">
        <v>-3.5525820000000001</v>
      </c>
      <c r="M5837">
        <v>0.113848</v>
      </c>
      <c r="N5837">
        <v>-4.5755930000000002E-3</v>
      </c>
      <c r="O5837">
        <v>-0.99348780000000003</v>
      </c>
      <c r="P5837">
        <v>6.2250029999999998E-2</v>
      </c>
      <c r="Q5837">
        <v>0.15606339999999999</v>
      </c>
      <c r="R5837">
        <v>-0.98578379999999999</v>
      </c>
      <c r="S5837">
        <v>1.293945E-2</v>
      </c>
      <c r="T5837">
        <v>-0.1402234</v>
      </c>
      <c r="U5837">
        <v>-3.0650330000000001</v>
      </c>
      <c r="V5837">
        <v>5.1634050000000001E-2</v>
      </c>
      <c r="W5837">
        <v>0.1601783</v>
      </c>
      <c r="X5837">
        <v>0.98573670000000002</v>
      </c>
      <c r="Y5837">
        <v>0.10964450000000001</v>
      </c>
      <c r="Z5837">
        <v>4.054791E-2</v>
      </c>
      <c r="AA5837">
        <v>0.99314349999999996</v>
      </c>
      <c r="AB5837">
        <v>28</v>
      </c>
      <c r="AC5837">
        <v>4.6100000000023997E-2</v>
      </c>
      <c r="AD5837">
        <v>-1.084902135726</v>
      </c>
      <c r="AE5837">
        <v>-23.082668000000002</v>
      </c>
      <c r="AF5837">
        <v>2.57645089330562</v>
      </c>
      <c r="AG5837">
        <v>-1.084902135726</v>
      </c>
      <c r="AH5837">
        <v>22.887274631878899</v>
      </c>
      <c r="AI5837">
        <v>92.696893206934504</v>
      </c>
      <c r="AJ5837">
        <v>83.577177601008799</v>
      </c>
      <c r="AK5837">
        <v>23.057373049087001</v>
      </c>
      <c r="AL5837">
        <v>80.782754483012098</v>
      </c>
      <c r="AM5837">
        <v>87.001519942216007</v>
      </c>
      <c r="AN5837">
        <v>1.00000000231859</v>
      </c>
    </row>
    <row r="5838" spans="1:40" x14ac:dyDescent="0.25">
      <c r="A5838" t="str">
        <f>"20190304155751642"</f>
        <v>20190304155751642</v>
      </c>
      <c r="B5838" t="str">
        <f>"1551686271630291"</f>
        <v>1551686271630291</v>
      </c>
      <c r="C5838" t="s">
        <v>40</v>
      </c>
      <c r="D5838">
        <v>5.1132780000000002</v>
      </c>
      <c r="E5838">
        <v>0.51924159999999997</v>
      </c>
      <c r="F5838" t="s">
        <v>41</v>
      </c>
      <c r="G5838">
        <v>-301.84679999999997</v>
      </c>
      <c r="H5838" s="1">
        <v>-1.8312449999999999E-6</v>
      </c>
      <c r="I5838">
        <v>-27.287659999999999</v>
      </c>
      <c r="J5838">
        <v>-301.95569999999998</v>
      </c>
      <c r="K5838">
        <v>1.0879570000000001</v>
      </c>
      <c r="L5838">
        <v>-3.845367</v>
      </c>
      <c r="M5838">
        <v>0.11025600000000001</v>
      </c>
      <c r="N5838">
        <v>-5.0731999999999999E-3</v>
      </c>
      <c r="O5838">
        <v>-0.99389050000000001</v>
      </c>
      <c r="P5838">
        <v>6.1654750000000001E-2</v>
      </c>
      <c r="Q5838">
        <v>0.15745599999999901</v>
      </c>
      <c r="R5838">
        <v>-0.98559960000000002</v>
      </c>
      <c r="S5838">
        <v>1.7883300000000001E-2</v>
      </c>
      <c r="T5838">
        <v>-0.14006559999999901</v>
      </c>
      <c r="U5838">
        <v>-3.0643009999999999</v>
      </c>
      <c r="V5838">
        <v>4.8557349999999999E-2</v>
      </c>
      <c r="W5838">
        <v>0.16211349999999999</v>
      </c>
      <c r="X5838">
        <v>0.98557669999999997</v>
      </c>
      <c r="Y5838">
        <v>0.1044461</v>
      </c>
      <c r="Z5838">
        <v>4.0051639999999999E-2</v>
      </c>
      <c r="AA5838">
        <v>0.99372380000000005</v>
      </c>
      <c r="AB5838">
        <v>28</v>
      </c>
      <c r="AC5838">
        <v>0.10890000000000501</v>
      </c>
      <c r="AD5838">
        <v>-1.0879588312449999</v>
      </c>
      <c r="AE5838">
        <v>-23.442292999999999</v>
      </c>
      <c r="AF5838">
        <v>2.4711276572849901</v>
      </c>
      <c r="AG5838">
        <v>-1.0879588312449999</v>
      </c>
      <c r="AH5838">
        <v>23.261272663115498</v>
      </c>
      <c r="AI5838">
        <v>92.662881646433704</v>
      </c>
      <c r="AJ5838">
        <v>83.936009343938196</v>
      </c>
      <c r="AK5838">
        <v>23.417449310821301</v>
      </c>
      <c r="AL5838">
        <v>80.670407503031797</v>
      </c>
      <c r="AM5838">
        <v>87.179434700032104</v>
      </c>
      <c r="AN5838">
        <v>1.00000001735208</v>
      </c>
    </row>
    <row r="5839" spans="1:40" x14ac:dyDescent="0.25">
      <c r="A5839" t="str">
        <f>"20190304155751667"</f>
        <v>20190304155751667</v>
      </c>
      <c r="B5839" t="str">
        <f>"1551686271660547"</f>
        <v>1551686271660547</v>
      </c>
      <c r="C5839" t="s">
        <v>40</v>
      </c>
      <c r="D5839">
        <v>5.1420839999999997</v>
      </c>
      <c r="E5839">
        <v>0.51861099999999904</v>
      </c>
      <c r="F5839" t="s">
        <v>41</v>
      </c>
      <c r="G5839">
        <v>-301.78829999999999</v>
      </c>
      <c r="H5839" s="1">
        <v>-1.2685509999999999E-6</v>
      </c>
      <c r="I5839">
        <v>-28.562999999999999</v>
      </c>
      <c r="J5839">
        <v>-301.92540000000002</v>
      </c>
      <c r="K5839">
        <v>1.090865</v>
      </c>
      <c r="L5839">
        <v>-4.1546019999999997</v>
      </c>
      <c r="M5839">
        <v>0.1066925</v>
      </c>
      <c r="N5839">
        <v>-5.632448E-3</v>
      </c>
      <c r="O5839">
        <v>-0.99427619999999906</v>
      </c>
      <c r="P5839">
        <v>6.1251819999999998E-2</v>
      </c>
      <c r="Q5839">
        <v>0.15815070000000001</v>
      </c>
      <c r="R5839">
        <v>-0.98551359999999999</v>
      </c>
      <c r="S5839">
        <v>2.0751950000000002E-2</v>
      </c>
      <c r="T5839">
        <v>-0.13486719999999999</v>
      </c>
      <c r="U5839">
        <v>-3.0640869999999998</v>
      </c>
      <c r="V5839">
        <v>4.5352459999999997E-2</v>
      </c>
      <c r="W5839">
        <v>0.1634012</v>
      </c>
      <c r="X5839">
        <v>0.98551670000000002</v>
      </c>
      <c r="Y5839">
        <v>9.9948499999999996E-2</v>
      </c>
      <c r="Z5839">
        <v>3.78603E-2</v>
      </c>
      <c r="AA5839">
        <v>0.99427209999999999</v>
      </c>
      <c r="AB5839">
        <v>28</v>
      </c>
      <c r="AC5839">
        <v>0.137100000000032</v>
      </c>
      <c r="AD5839">
        <v>-1.090866268551</v>
      </c>
      <c r="AE5839">
        <v>-24.408397999999998</v>
      </c>
      <c r="AF5839">
        <v>2.4629972375153502</v>
      </c>
      <c r="AG5839">
        <v>-1.090866268551</v>
      </c>
      <c r="AH5839">
        <v>24.235293829245698</v>
      </c>
      <c r="AI5839">
        <v>92.564038466594994</v>
      </c>
      <c r="AJ5839">
        <v>84.197037894340099</v>
      </c>
      <c r="AK5839">
        <v>24.3845404221147</v>
      </c>
      <c r="AL5839">
        <v>80.595630321830001</v>
      </c>
      <c r="AM5839">
        <v>87.365166361751804</v>
      </c>
      <c r="AN5839">
        <v>0.99999998188419004</v>
      </c>
    </row>
    <row r="5840" spans="1:40" x14ac:dyDescent="0.25">
      <c r="A5840" t="str">
        <f>"20190304155751689"</f>
        <v>20190304155751689</v>
      </c>
      <c r="B5840" t="str">
        <f>"1551686271681043"</f>
        <v>1551686271681043</v>
      </c>
      <c r="C5840" t="s">
        <v>40</v>
      </c>
      <c r="D5840">
        <v>5.1348279999999997</v>
      </c>
      <c r="E5840">
        <v>0.51813520000000002</v>
      </c>
      <c r="F5840" t="s">
        <v>41</v>
      </c>
      <c r="G5840">
        <v>-301.71769999999998</v>
      </c>
      <c r="H5840" s="1">
        <v>-7.3086479999999996E-7</v>
      </c>
      <c r="I5840">
        <v>-29.772549999999999</v>
      </c>
      <c r="J5840">
        <v>-301.89929999999998</v>
      </c>
      <c r="K5840">
        <v>1.093172</v>
      </c>
      <c r="L5840">
        <v>-4.4302979999999996</v>
      </c>
      <c r="M5840">
        <v>0.1036324</v>
      </c>
      <c r="N5840">
        <v>-6.1204160000000001E-3</v>
      </c>
      <c r="O5840">
        <v>-0.99459699999999995</v>
      </c>
      <c r="P5840">
        <v>6.1342220000000003E-2</v>
      </c>
      <c r="Q5840">
        <v>0.15912379999999901</v>
      </c>
      <c r="R5840">
        <v>-0.98535130000000004</v>
      </c>
      <c r="S5840">
        <v>2.4841309999999998E-2</v>
      </c>
      <c r="T5840">
        <v>-0.13044929999999999</v>
      </c>
      <c r="U5840">
        <v>-3.0634769999999998</v>
      </c>
      <c r="V5840">
        <v>4.217796E-2</v>
      </c>
      <c r="W5840">
        <v>0.16488710000000001</v>
      </c>
      <c r="X5840">
        <v>0.98541020000000001</v>
      </c>
      <c r="Y5840">
        <v>9.5556760000000004E-2</v>
      </c>
      <c r="Z5840">
        <v>3.5988979999999997E-2</v>
      </c>
      <c r="AA5840">
        <v>0.99477320000000002</v>
      </c>
      <c r="AB5840">
        <v>28</v>
      </c>
      <c r="AC5840">
        <v>0.18160000000000301</v>
      </c>
      <c r="AD5840">
        <v>-1.0931727308648</v>
      </c>
      <c r="AE5840">
        <v>-25.342251999999998</v>
      </c>
      <c r="AF5840">
        <v>2.4411628383562101</v>
      </c>
      <c r="AG5840">
        <v>-1.0931727308648</v>
      </c>
      <c r="AH5840">
        <v>25.1777687617532</v>
      </c>
      <c r="AI5840">
        <v>92.474527272686402</v>
      </c>
      <c r="AJ5840">
        <v>84.462078862280094</v>
      </c>
      <c r="AK5840">
        <v>25.319445934759099</v>
      </c>
      <c r="AL5840">
        <v>80.509324049015504</v>
      </c>
      <c r="AM5840">
        <v>87.549096885181896</v>
      </c>
      <c r="AN5840">
        <v>0.99999999916010496</v>
      </c>
    </row>
    <row r="5841" spans="1:40" x14ac:dyDescent="0.25">
      <c r="A5841" t="str">
        <f>"20190304155751715"</f>
        <v>20190304155751715</v>
      </c>
      <c r="B5841" t="str">
        <f>"1551686271710324"</f>
        <v>1551686271710324</v>
      </c>
      <c r="C5841" t="s">
        <v>40</v>
      </c>
      <c r="D5841">
        <v>5.1126180000000003</v>
      </c>
      <c r="E5841">
        <v>0.51757749999999902</v>
      </c>
      <c r="F5841" t="s">
        <v>41</v>
      </c>
      <c r="G5841">
        <v>-301.65129999999999</v>
      </c>
      <c r="H5841" s="1">
        <v>-4.4305469999999996E-6</v>
      </c>
      <c r="I5841">
        <v>-30.854579999999999</v>
      </c>
      <c r="J5841">
        <v>-301.87040000000002</v>
      </c>
      <c r="K5841">
        <v>1.095475</v>
      </c>
      <c r="L5841">
        <v>-4.7469789999999996</v>
      </c>
      <c r="M5841">
        <v>0.10014339999999999</v>
      </c>
      <c r="N5841">
        <v>-6.6339869999999896E-3</v>
      </c>
      <c r="O5841">
        <v>-0.99495080000000002</v>
      </c>
      <c r="P5841">
        <v>5.9932199999999998E-2</v>
      </c>
      <c r="Q5841">
        <v>0.15953709999999999</v>
      </c>
      <c r="R5841">
        <v>-0.98537140000000001</v>
      </c>
      <c r="S5841">
        <v>2.8747559999999998E-2</v>
      </c>
      <c r="T5841">
        <v>-0.1267276</v>
      </c>
      <c r="U5841">
        <v>-3.0632630000000001</v>
      </c>
      <c r="V5841">
        <v>4.0092290000000003E-2</v>
      </c>
      <c r="W5841">
        <v>0.16582859999999999</v>
      </c>
      <c r="X5841">
        <v>0.98533930000000003</v>
      </c>
      <c r="Y5841">
        <v>9.0795100000000004E-2</v>
      </c>
      <c r="Z5841">
        <v>3.4310849999999997E-2</v>
      </c>
      <c r="AA5841">
        <v>0.99527840000000001</v>
      </c>
      <c r="AB5841">
        <v>28</v>
      </c>
      <c r="AC5841">
        <v>0.219100000000025</v>
      </c>
      <c r="AD5841">
        <v>-1.0954794305469999</v>
      </c>
      <c r="AE5841">
        <v>-26.107600999999999</v>
      </c>
      <c r="AF5841">
        <v>2.3923513690884999</v>
      </c>
      <c r="AG5841">
        <v>-1.0954794305469999</v>
      </c>
      <c r="AH5841">
        <v>25.9526041624583</v>
      </c>
      <c r="AI5841">
        <v>92.406871760785904</v>
      </c>
      <c r="AJ5841">
        <v>84.733270285834706</v>
      </c>
      <c r="AK5841">
        <v>26.0856489869272</v>
      </c>
      <c r="AL5841">
        <v>80.4546273526406</v>
      </c>
      <c r="AM5841">
        <v>87.669987812475497</v>
      </c>
      <c r="AN5841">
        <v>1.00000002620994</v>
      </c>
    </row>
    <row r="5842" spans="1:40" x14ac:dyDescent="0.25">
      <c r="A5842" t="str">
        <f>"20190304155751737"</f>
        <v>20190304155751737</v>
      </c>
      <c r="B5842" t="str">
        <f>"1551686271730819"</f>
        <v>1551686271730819</v>
      </c>
      <c r="C5842" t="s">
        <v>40</v>
      </c>
      <c r="D5842">
        <v>5.0964879999999999</v>
      </c>
      <c r="E5842">
        <v>0.51727769999999995</v>
      </c>
      <c r="F5842" t="s">
        <v>41</v>
      </c>
      <c r="G5842">
        <v>-301.61250000000001</v>
      </c>
      <c r="H5842" s="1">
        <v>-4.1808510000000002E-6</v>
      </c>
      <c r="I5842">
        <v>-31.56812</v>
      </c>
      <c r="J5842">
        <v>-301.8451</v>
      </c>
      <c r="K5842">
        <v>1.097299</v>
      </c>
      <c r="L5842">
        <v>-5.034637</v>
      </c>
      <c r="M5842">
        <v>9.6955520000000003E-2</v>
      </c>
      <c r="N5842">
        <v>-7.0556409999999996E-3</v>
      </c>
      <c r="O5842">
        <v>-0.99526389999999998</v>
      </c>
      <c r="P5842">
        <v>5.8992790000000003E-2</v>
      </c>
      <c r="Q5842">
        <v>0.15896179999999999</v>
      </c>
      <c r="R5842">
        <v>-0.98552079999999997</v>
      </c>
      <c r="S5842">
        <v>2.944946E-2</v>
      </c>
      <c r="T5842">
        <v>-0.12510550000000001</v>
      </c>
      <c r="U5842">
        <v>-3.0630190000000002</v>
      </c>
      <c r="V5842">
        <v>3.7852480000000001E-2</v>
      </c>
      <c r="W5842">
        <v>0.1656908</v>
      </c>
      <c r="X5842">
        <v>0.98545099999999997</v>
      </c>
      <c r="Y5842">
        <v>8.7375099999999997E-2</v>
      </c>
      <c r="Z5842">
        <v>3.3395099999999997E-2</v>
      </c>
      <c r="AA5842">
        <v>0.99561549999999999</v>
      </c>
      <c r="AB5842">
        <v>28</v>
      </c>
      <c r="AC5842">
        <v>0.23259999999999001</v>
      </c>
      <c r="AD5842">
        <v>-1.0973031808509901</v>
      </c>
      <c r="AE5842">
        <v>-26.533483</v>
      </c>
      <c r="AF5842">
        <v>2.33713026368854</v>
      </c>
      <c r="AG5842">
        <v>-1.0973031808509901</v>
      </c>
      <c r="AH5842">
        <v>26.385898881930899</v>
      </c>
      <c r="AI5842">
        <v>92.372095446288</v>
      </c>
      <c r="AJ5842">
        <v>84.938237728431503</v>
      </c>
      <c r="AK5842">
        <v>26.511920185977399</v>
      </c>
      <c r="AL5842">
        <v>80.462632852002102</v>
      </c>
      <c r="AM5842">
        <v>87.800274534145899</v>
      </c>
      <c r="AN5842">
        <v>0.999999962423894</v>
      </c>
    </row>
    <row r="5843" spans="1:40" x14ac:dyDescent="0.25">
      <c r="A5843" t="str">
        <f>"20190304155751759"</f>
        <v>20190304155751759</v>
      </c>
      <c r="B5843" t="str">
        <f>"1551686271750340"</f>
        <v>1551686271750340</v>
      </c>
      <c r="C5843" t="s">
        <v>40</v>
      </c>
      <c r="D5843">
        <v>5.1121869999999996</v>
      </c>
      <c r="E5843">
        <v>0.51698630000000001</v>
      </c>
      <c r="F5843" t="s">
        <v>41</v>
      </c>
      <c r="G5843">
        <v>-301.58920000000001</v>
      </c>
      <c r="H5843" s="1">
        <v>-4.1484489999999998E-6</v>
      </c>
      <c r="I5843">
        <v>-31.651160000000001</v>
      </c>
      <c r="J5843">
        <v>-301.82190000000003</v>
      </c>
      <c r="K5843">
        <v>1.0988059999999999</v>
      </c>
      <c r="L5843">
        <v>-5.3077699999999997</v>
      </c>
      <c r="M5843">
        <v>9.3909359999999997E-2</v>
      </c>
      <c r="N5843">
        <v>-7.4168849999999998E-3</v>
      </c>
      <c r="O5843">
        <v>-0.99555309999999997</v>
      </c>
      <c r="P5843">
        <v>5.7857020000000002E-2</v>
      </c>
      <c r="Q5843">
        <v>0.15787470000000001</v>
      </c>
      <c r="R5843">
        <v>-0.98576280000000005</v>
      </c>
      <c r="S5843">
        <v>2.944946E-2</v>
      </c>
      <c r="T5843">
        <v>-0.1262634</v>
      </c>
      <c r="U5843">
        <v>-3.0626829999999998</v>
      </c>
      <c r="V5843">
        <v>3.5961220000000002E-2</v>
      </c>
      <c r="W5843">
        <v>0.1649774</v>
      </c>
      <c r="X5843">
        <v>0.98564149999999995</v>
      </c>
      <c r="Y5843">
        <v>8.4324979999999994E-2</v>
      </c>
      <c r="Z5843">
        <v>3.3435800000000002E-2</v>
      </c>
      <c r="AA5843">
        <v>0.99587709999999996</v>
      </c>
      <c r="AB5843">
        <v>28</v>
      </c>
      <c r="AC5843">
        <v>0.232700000000022</v>
      </c>
      <c r="AD5843">
        <v>-1.098810148449</v>
      </c>
      <c r="AE5843">
        <v>-26.343389999999999</v>
      </c>
      <c r="AF5843">
        <v>2.2383933397589901</v>
      </c>
      <c r="AG5843">
        <v>-1.098810148449</v>
      </c>
      <c r="AH5843">
        <v>26.203233780109301</v>
      </c>
      <c r="AI5843">
        <v>92.392539050664993</v>
      </c>
      <c r="AJ5843">
        <v>85.117400784287398</v>
      </c>
      <c r="AK5843">
        <v>26.321611824143201</v>
      </c>
      <c r="AL5843">
        <v>80.504078017347794</v>
      </c>
      <c r="AM5843">
        <v>87.910485092108999</v>
      </c>
      <c r="AN5843">
        <v>0.99999995918844797</v>
      </c>
    </row>
    <row r="5844" spans="1:40" x14ac:dyDescent="0.25">
      <c r="A5844" t="str">
        <f>"20190304155751786"</f>
        <v>20190304155751786</v>
      </c>
      <c r="B5844" t="str">
        <f>"1551686271780595"</f>
        <v>1551686271780595</v>
      </c>
      <c r="C5844" t="s">
        <v>40</v>
      </c>
      <c r="D5844">
        <v>4.9227610000000004</v>
      </c>
      <c r="E5844">
        <v>0.51739079999999904</v>
      </c>
      <c r="F5844" t="s">
        <v>41</v>
      </c>
      <c r="G5844">
        <v>-301.58319999999998</v>
      </c>
      <c r="H5844" s="1">
        <v>-4.2323390000000001E-6</v>
      </c>
      <c r="I5844">
        <v>-31.401509999999998</v>
      </c>
      <c r="J5844">
        <v>-301.7946</v>
      </c>
      <c r="K5844">
        <v>1.1003940000000001</v>
      </c>
      <c r="L5844">
        <v>-5.6427610000000001</v>
      </c>
      <c r="M5844">
        <v>9.0158749999999996E-2</v>
      </c>
      <c r="N5844">
        <v>-7.8052699999999996E-3</v>
      </c>
      <c r="O5844">
        <v>-0.99589680000000003</v>
      </c>
      <c r="P5844">
        <v>5.5173640000000003E-2</v>
      </c>
      <c r="Q5844">
        <v>0.156855299999999</v>
      </c>
      <c r="R5844">
        <v>-0.9860795</v>
      </c>
      <c r="S5844">
        <v>2.8015140000000001E-2</v>
      </c>
      <c r="T5844">
        <v>-0.12895570000000001</v>
      </c>
      <c r="U5844">
        <v>-3.0623469999999999</v>
      </c>
      <c r="V5844">
        <v>3.4923299999999997E-2</v>
      </c>
      <c r="W5844">
        <v>0.16435279999999899</v>
      </c>
      <c r="X5844">
        <v>0.98578319999999997</v>
      </c>
      <c r="Y5844">
        <v>8.1036469999999999E-2</v>
      </c>
      <c r="Z5844">
        <v>3.3949409999999999E-2</v>
      </c>
      <c r="AA5844">
        <v>0.99613280000000004</v>
      </c>
      <c r="AB5844">
        <v>28</v>
      </c>
      <c r="AC5844">
        <v>0.21140000000002601</v>
      </c>
      <c r="AD5844">
        <v>-1.100398232339</v>
      </c>
      <c r="AE5844">
        <v>-25.758749000000002</v>
      </c>
      <c r="AF5844">
        <v>2.1080615622541301</v>
      </c>
      <c r="AG5844">
        <v>-1.100398232339</v>
      </c>
      <c r="AH5844">
        <v>25.626134642809902</v>
      </c>
      <c r="AI5844">
        <v>92.450529797415399</v>
      </c>
      <c r="AJ5844">
        <v>85.297313303322795</v>
      </c>
      <c r="AK5844">
        <v>25.736230814775698</v>
      </c>
      <c r="AL5844">
        <v>80.540360608514803</v>
      </c>
      <c r="AM5844">
        <v>87.97103337435</v>
      </c>
      <c r="AN5844">
        <v>0.99999999857648403</v>
      </c>
    </row>
    <row r="5845" spans="1:40" x14ac:dyDescent="0.25">
      <c r="A5845" t="str">
        <f>"20190304155751811"</f>
        <v>20190304155751811</v>
      </c>
      <c r="B5845" t="str">
        <f>"1551686271802068"</f>
        <v>1551686271802068</v>
      </c>
      <c r="C5845" t="s">
        <v>40</v>
      </c>
      <c r="D5845">
        <v>5.2494379999999996</v>
      </c>
      <c r="E5845">
        <v>0.51758990000000005</v>
      </c>
      <c r="F5845" t="s">
        <v>41</v>
      </c>
      <c r="G5845">
        <v>-301.65010000000001</v>
      </c>
      <c r="H5845" s="1">
        <v>-4.2452359999999998E-6</v>
      </c>
      <c r="I5845">
        <v>-31.39846</v>
      </c>
      <c r="J5845">
        <v>-301.77</v>
      </c>
      <c r="K5845">
        <v>1.101629</v>
      </c>
      <c r="L5845">
        <v>-5.9558720000000003</v>
      </c>
      <c r="M5845">
        <v>8.6649019999999993E-2</v>
      </c>
      <c r="N5845">
        <v>-8.1175229999999998E-3</v>
      </c>
      <c r="O5845">
        <v>-0.99620609999999998</v>
      </c>
      <c r="P5845">
        <v>5.262348E-2</v>
      </c>
      <c r="Q5845">
        <v>0.15559790000000001</v>
      </c>
      <c r="R5845">
        <v>-0.98641800000000002</v>
      </c>
      <c r="S5845">
        <v>1.7181399999999999E-2</v>
      </c>
      <c r="T5845">
        <v>-0.13083049999999999</v>
      </c>
      <c r="U5845">
        <v>-3.062195</v>
      </c>
      <c r="V5845">
        <v>3.4000699999999898E-2</v>
      </c>
      <c r="W5845">
        <v>0.163412</v>
      </c>
      <c r="X5845">
        <v>0.98597179999999995</v>
      </c>
      <c r="Y5845">
        <v>8.1047300000000003E-2</v>
      </c>
      <c r="Z5845">
        <v>3.4264660000000002E-2</v>
      </c>
      <c r="AA5845">
        <v>0.99612109999999998</v>
      </c>
      <c r="AB5845">
        <v>28</v>
      </c>
      <c r="AC5845">
        <v>0.119899999999972</v>
      </c>
      <c r="AD5845">
        <v>-1.101633245236</v>
      </c>
      <c r="AE5845">
        <v>-25.442588000000001</v>
      </c>
      <c r="AF5845">
        <v>2.0812964469113702</v>
      </c>
      <c r="AG5845">
        <v>-1.101633245236</v>
      </c>
      <c r="AH5845">
        <v>25.309829753569002</v>
      </c>
      <c r="AI5845">
        <v>92.483903922080003</v>
      </c>
      <c r="AJ5845">
        <v>85.298988905470793</v>
      </c>
      <c r="AK5845">
        <v>25.4191438262893</v>
      </c>
      <c r="AL5845">
        <v>80.595002887822901</v>
      </c>
      <c r="AM5845">
        <v>88.024968918955096</v>
      </c>
      <c r="AN5845">
        <v>0.99999995986986401</v>
      </c>
    </row>
    <row r="5846" spans="1:40" x14ac:dyDescent="0.25">
      <c r="A5846" t="str">
        <f>"20190304155751837"</f>
        <v>20190304155751837</v>
      </c>
      <c r="B5846" t="str">
        <f>"1551686271830371"</f>
        <v>1551686271830371</v>
      </c>
      <c r="C5846" t="s">
        <v>40</v>
      </c>
      <c r="D5846">
        <v>4.9799490000000004</v>
      </c>
      <c r="E5846">
        <v>0.51812559999999996</v>
      </c>
      <c r="F5846" t="s">
        <v>41</v>
      </c>
      <c r="G5846">
        <v>-301.70229999999998</v>
      </c>
      <c r="H5846" s="1">
        <v>-4.2847790000000001E-6</v>
      </c>
      <c r="I5846">
        <v>-31.30951</v>
      </c>
      <c r="J5846">
        <v>-301.74489999999997</v>
      </c>
      <c r="K5846">
        <v>1.1027119999999999</v>
      </c>
      <c r="L5846">
        <v>-6.2932129999999997</v>
      </c>
      <c r="M5846">
        <v>8.2867640000000006E-2</v>
      </c>
      <c r="N5846">
        <v>-8.4025669999999997E-3</v>
      </c>
      <c r="O5846">
        <v>-0.9965252</v>
      </c>
      <c r="P5846">
        <v>4.984384E-2</v>
      </c>
      <c r="Q5846">
        <v>0.15467639999999999</v>
      </c>
      <c r="R5846">
        <v>-0.98670729999999995</v>
      </c>
      <c r="S5846">
        <v>8.178711E-3</v>
      </c>
      <c r="T5846">
        <v>-0.13303999999999999</v>
      </c>
      <c r="U5846">
        <v>-3.0618590000000001</v>
      </c>
      <c r="V5846">
        <v>3.3041139999999997E-2</v>
      </c>
      <c r="W5846">
        <v>0.16277929999999999</v>
      </c>
      <c r="X5846">
        <v>0.98610909999999996</v>
      </c>
      <c r="Y5846">
        <v>8.0192310000000003E-2</v>
      </c>
      <c r="Z5846">
        <v>3.4720639999999997E-2</v>
      </c>
      <c r="AA5846">
        <v>0.99617449999999996</v>
      </c>
      <c r="AB5846">
        <v>28</v>
      </c>
      <c r="AC5846">
        <v>4.2599999999992998E-2</v>
      </c>
      <c r="AD5846">
        <v>-1.102716284779</v>
      </c>
      <c r="AE5846">
        <v>-25.016296999999899</v>
      </c>
      <c r="AF5846">
        <v>2.02672309149124</v>
      </c>
      <c r="AG5846">
        <v>-1.102716284779</v>
      </c>
      <c r="AH5846">
        <v>24.885426000422001</v>
      </c>
      <c r="AI5846">
        <v>92.528853425032395</v>
      </c>
      <c r="AJ5846">
        <v>85.343983431640595</v>
      </c>
      <c r="AK5846">
        <v>24.992159108744001</v>
      </c>
      <c r="AL5846">
        <v>80.631746168140097</v>
      </c>
      <c r="AM5846">
        <v>88.080932538574899</v>
      </c>
      <c r="AN5846">
        <v>0.99999998727189898</v>
      </c>
    </row>
    <row r="5847" spans="1:40" x14ac:dyDescent="0.25">
      <c r="A5847" t="str">
        <f>"20190304155751865"</f>
        <v>20190304155751865</v>
      </c>
      <c r="B5847" t="str">
        <f>"1551686271860627"</f>
        <v>1551686271860627</v>
      </c>
      <c r="C5847" t="s">
        <v>40</v>
      </c>
      <c r="D5847">
        <v>4.9880769999999997</v>
      </c>
      <c r="E5847">
        <v>0.51848819999999995</v>
      </c>
      <c r="F5847" t="s">
        <v>41</v>
      </c>
      <c r="G5847">
        <v>-301.78019999999998</v>
      </c>
      <c r="H5847" s="1">
        <v>-4.1925379999999999E-6</v>
      </c>
      <c r="I5847">
        <v>-31.621189999999999</v>
      </c>
      <c r="J5847">
        <v>-301.71929999999998</v>
      </c>
      <c r="K5847">
        <v>1.103664</v>
      </c>
      <c r="L5847">
        <v>-6.6550599999999998</v>
      </c>
      <c r="M5847">
        <v>7.8810920000000007E-2</v>
      </c>
      <c r="N5847">
        <v>-8.6694849999999993E-3</v>
      </c>
      <c r="O5847">
        <v>-0.99685210000000002</v>
      </c>
      <c r="P5847">
        <v>4.7078599999999998E-2</v>
      </c>
      <c r="Q5847">
        <v>0.15479660000000001</v>
      </c>
      <c r="R5847">
        <v>-0.98682420000000004</v>
      </c>
      <c r="S5847">
        <v>-4.272461E-3</v>
      </c>
      <c r="T5847">
        <v>-0.13329099999999999</v>
      </c>
      <c r="U5847">
        <v>-3.0615230000000002</v>
      </c>
      <c r="V5847">
        <v>3.1791590000000002E-2</v>
      </c>
      <c r="W5847">
        <v>0.1631697</v>
      </c>
      <c r="X5847">
        <v>0.98608569999999995</v>
      </c>
      <c r="Y5847">
        <v>8.0185880000000001E-2</v>
      </c>
      <c r="Z5847">
        <v>3.4559949999999999E-2</v>
      </c>
      <c r="AA5847">
        <v>0.99618070000000003</v>
      </c>
      <c r="AB5847">
        <v>28</v>
      </c>
      <c r="AC5847">
        <v>-6.0900000000003701E-2</v>
      </c>
      <c r="AD5847">
        <v>-1.1036681925380001</v>
      </c>
      <c r="AE5847">
        <v>-24.96613</v>
      </c>
      <c r="AF5847">
        <v>2.0244315871844898</v>
      </c>
      <c r="AG5847">
        <v>-1.1036681925380001</v>
      </c>
      <c r="AH5847">
        <v>24.8351361663475</v>
      </c>
      <c r="AI5847">
        <v>92.536137222533696</v>
      </c>
      <c r="AJ5847">
        <v>85.339848491127199</v>
      </c>
      <c r="AK5847">
        <v>24.941940484481801</v>
      </c>
      <c r="AL5847">
        <v>80.609075208905097</v>
      </c>
      <c r="AM5847">
        <v>88.153412823163507</v>
      </c>
      <c r="AN5847">
        <v>1.0000000319686499</v>
      </c>
    </row>
    <row r="5848" spans="1:40" x14ac:dyDescent="0.25">
      <c r="A5848" t="str">
        <f>"20190304155751888"</f>
        <v>20190304155751888</v>
      </c>
      <c r="B5848" t="str">
        <f>"1551686271881124"</f>
        <v>1551686271881124</v>
      </c>
      <c r="C5848" t="s">
        <v>40</v>
      </c>
      <c r="D5848">
        <v>4.9686149999999998</v>
      </c>
      <c r="E5848">
        <v>0.51861769999999996</v>
      </c>
      <c r="F5848" t="s">
        <v>41</v>
      </c>
      <c r="G5848">
        <v>-301.84620000000001</v>
      </c>
      <c r="H5848" s="1">
        <v>-3.895262E-6</v>
      </c>
      <c r="I5848">
        <v>-32.475990000000003</v>
      </c>
      <c r="J5848">
        <v>-301.69940000000003</v>
      </c>
      <c r="K5848">
        <v>1.1043099999999999</v>
      </c>
      <c r="L5848">
        <v>-6.9519650000000004</v>
      </c>
      <c r="M5848">
        <v>7.5480220000000001E-2</v>
      </c>
      <c r="N5848">
        <v>-8.861486E-3</v>
      </c>
      <c r="O5848">
        <v>-0.99710799999999999</v>
      </c>
      <c r="P5848">
        <v>4.4631299999999999E-2</v>
      </c>
      <c r="Q5848">
        <v>0.15514410000000001</v>
      </c>
      <c r="R5848">
        <v>-0.98688330000000002</v>
      </c>
      <c r="S5848">
        <v>-1.504517E-2</v>
      </c>
      <c r="T5848">
        <v>-0.13084999999999999</v>
      </c>
      <c r="U5848">
        <v>-3.0613100000000002</v>
      </c>
      <c r="V5848">
        <v>3.0943910000000002E-2</v>
      </c>
      <c r="W5848">
        <v>0.16371069999999999</v>
      </c>
      <c r="X5848">
        <v>0.98602290000000004</v>
      </c>
      <c r="Y5848">
        <v>8.0361520000000006E-2</v>
      </c>
      <c r="Z5848">
        <v>3.3595409999999999E-2</v>
      </c>
      <c r="AA5848">
        <v>0.99619950000000002</v>
      </c>
      <c r="AB5848">
        <v>28</v>
      </c>
      <c r="AC5848">
        <v>-0.146799999999984</v>
      </c>
      <c r="AD5848">
        <v>-1.104313895262</v>
      </c>
      <c r="AE5848">
        <v>-25.524025000000002</v>
      </c>
      <c r="AF5848">
        <v>2.06914257572934</v>
      </c>
      <c r="AG5848">
        <v>-1.104313895262</v>
      </c>
      <c r="AH5848">
        <v>25.392594673788899</v>
      </c>
      <c r="AI5848">
        <v>92.481985434972202</v>
      </c>
      <c r="AJ5848">
        <v>85.341485105698496</v>
      </c>
      <c r="AK5848">
        <v>25.500680862386801</v>
      </c>
      <c r="AL5848">
        <v>80.577654819225799</v>
      </c>
      <c r="AM5848">
        <v>88.202502448796196</v>
      </c>
      <c r="AN5848">
        <v>0.99999993909249196</v>
      </c>
    </row>
    <row r="5849" spans="1:40" x14ac:dyDescent="0.25">
      <c r="A5849" t="str">
        <f>"20190304155751912"</f>
        <v>20190304155751912</v>
      </c>
      <c r="B5849" t="str">
        <f>"1551686271900283"</f>
        <v>1551686271900283</v>
      </c>
      <c r="C5849" t="s">
        <v>40</v>
      </c>
      <c r="D5849">
        <v>4.9763869999999999</v>
      </c>
      <c r="E5849">
        <v>0.51879790000000003</v>
      </c>
      <c r="F5849" t="s">
        <v>41</v>
      </c>
      <c r="G5849">
        <v>-301.8997</v>
      </c>
      <c r="H5849" s="1">
        <v>-3.5607649999999999E-6</v>
      </c>
      <c r="I5849">
        <v>-33.288899999999998</v>
      </c>
      <c r="J5849">
        <v>-301.6807</v>
      </c>
      <c r="K5849">
        <v>1.1048420000000001</v>
      </c>
      <c r="L5849">
        <v>-7.2463990000000003</v>
      </c>
      <c r="M5849">
        <v>7.2176899999999905E-2</v>
      </c>
      <c r="N5849">
        <v>-9.0285560000000001E-3</v>
      </c>
      <c r="O5849">
        <v>-0.99735110000000005</v>
      </c>
      <c r="P5849">
        <v>4.1970260000000002E-2</v>
      </c>
      <c r="Q5849">
        <v>0.1553696</v>
      </c>
      <c r="R5849">
        <v>-0.98696459999999997</v>
      </c>
      <c r="S5849">
        <v>-2.3284909999999999E-2</v>
      </c>
      <c r="T5849">
        <v>-0.12835239999999901</v>
      </c>
      <c r="U5849">
        <v>-3.061096</v>
      </c>
      <c r="V5849">
        <v>3.0339599999999901E-2</v>
      </c>
      <c r="W5849">
        <v>0.16410350000000001</v>
      </c>
      <c r="X5849">
        <v>0.98597650000000003</v>
      </c>
      <c r="Y5849">
        <v>7.9741900000000004E-2</v>
      </c>
      <c r="Z5849">
        <v>3.2637409999999999E-2</v>
      </c>
      <c r="AA5849">
        <v>0.99628110000000003</v>
      </c>
      <c r="AB5849">
        <v>28</v>
      </c>
      <c r="AC5849">
        <v>-0.21899999999999401</v>
      </c>
      <c r="AD5849">
        <v>-1.1048455607650001</v>
      </c>
      <c r="AE5849">
        <v>-26.042501000000001</v>
      </c>
      <c r="AF5849">
        <v>2.0944027941610499</v>
      </c>
      <c r="AG5849">
        <v>-1.1048455607650001</v>
      </c>
      <c r="AH5849">
        <v>25.912130436603299</v>
      </c>
      <c r="AI5849">
        <v>92.433580970040197</v>
      </c>
      <c r="AJ5849">
        <v>85.378992912077095</v>
      </c>
      <c r="AK5849">
        <v>26.020102047087999</v>
      </c>
      <c r="AL5849">
        <v>80.554841587508903</v>
      </c>
      <c r="AM5849">
        <v>88.237500903369906</v>
      </c>
      <c r="AN5849">
        <v>1.0000000542963201</v>
      </c>
    </row>
    <row r="5850" spans="1:40" x14ac:dyDescent="0.25">
      <c r="A5850" t="str">
        <f>"20190304155751935"</f>
        <v>20190304155751935</v>
      </c>
      <c r="B5850" t="str">
        <f>"1551686271930538"</f>
        <v>1551686271930538</v>
      </c>
      <c r="C5850" t="s">
        <v>40</v>
      </c>
      <c r="D5850">
        <v>4.9915250000000002</v>
      </c>
      <c r="E5850">
        <v>0.51895049999999998</v>
      </c>
      <c r="F5850" t="s">
        <v>41</v>
      </c>
      <c r="G5850">
        <v>-301.96199999999999</v>
      </c>
      <c r="H5850" s="1">
        <v>-3.27652E-6</v>
      </c>
      <c r="I5850">
        <v>-33.990099999999998</v>
      </c>
      <c r="J5850">
        <v>-301.66300000000001</v>
      </c>
      <c r="K5850">
        <v>1.1052770000000001</v>
      </c>
      <c r="L5850">
        <v>-7.5402829999999996</v>
      </c>
      <c r="M5850">
        <v>6.8877259999999996E-2</v>
      </c>
      <c r="N5850">
        <v>-9.1706940000000001E-3</v>
      </c>
      <c r="O5850">
        <v>-0.997583</v>
      </c>
      <c r="P5850">
        <v>3.9347310000000003E-2</v>
      </c>
      <c r="Q5850">
        <v>0.1552026</v>
      </c>
      <c r="R5850">
        <v>-0.9870989</v>
      </c>
      <c r="S5850">
        <v>-3.2196040000000002E-2</v>
      </c>
      <c r="T5850">
        <v>-0.1264535</v>
      </c>
      <c r="U5850">
        <v>-3.0609130000000002</v>
      </c>
      <c r="V5850">
        <v>2.970339E-2</v>
      </c>
      <c r="W5850">
        <v>0.16408</v>
      </c>
      <c r="X5850">
        <v>0.98599970000000003</v>
      </c>
      <c r="Y5850">
        <v>7.9345399999999996E-2</v>
      </c>
      <c r="Z5850">
        <v>3.1895979999999997E-2</v>
      </c>
      <c r="AA5850">
        <v>0.99633680000000002</v>
      </c>
      <c r="AB5850">
        <v>28</v>
      </c>
      <c r="AC5850">
        <v>-0.29899999999997801</v>
      </c>
      <c r="AD5850">
        <v>-1.10528027652</v>
      </c>
      <c r="AE5850">
        <v>-26.449816999999999</v>
      </c>
      <c r="AF5850">
        <v>2.11646203329459</v>
      </c>
      <c r="AG5850">
        <v>-1.10528027652</v>
      </c>
      <c r="AH5850">
        <v>26.3204464992859</v>
      </c>
      <c r="AI5850">
        <v>92.396893842841394</v>
      </c>
      <c r="AJ5850">
        <v>85.402662070898003</v>
      </c>
      <c r="AK5850">
        <v>26.428525497080098</v>
      </c>
      <c r="AL5850">
        <v>80.556205766145496</v>
      </c>
      <c r="AM5850">
        <v>88.274477840114301</v>
      </c>
      <c r="AN5850">
        <v>0.99999997308878996</v>
      </c>
    </row>
    <row r="5851" spans="1:40" x14ac:dyDescent="0.25">
      <c r="A5851" t="str">
        <f>"20190304155751957"</f>
        <v>20190304155751957</v>
      </c>
      <c r="B5851" t="str">
        <f>"1551686271951035"</f>
        <v>1551686271951035</v>
      </c>
      <c r="C5851" t="s">
        <v>40</v>
      </c>
      <c r="D5851">
        <v>4.9656969999999996</v>
      </c>
      <c r="E5851">
        <v>0.51903180000000004</v>
      </c>
      <c r="F5851" t="s">
        <v>41</v>
      </c>
      <c r="G5851">
        <v>-302.02760000000001</v>
      </c>
      <c r="H5851" s="1">
        <v>-3.0870729999999999E-6</v>
      </c>
      <c r="I5851">
        <v>-34.472430000000003</v>
      </c>
      <c r="J5851">
        <v>-301.64690000000002</v>
      </c>
      <c r="K5851">
        <v>1.1056250000000001</v>
      </c>
      <c r="L5851">
        <v>-7.8222050000000003</v>
      </c>
      <c r="M5851">
        <v>6.5710969999999994E-2</v>
      </c>
      <c r="N5851">
        <v>-9.2886640000000003E-3</v>
      </c>
      <c r="O5851">
        <v>-0.99779549999999995</v>
      </c>
      <c r="P5851">
        <v>3.6871620000000001E-2</v>
      </c>
      <c r="Q5851">
        <v>0.15504490000000001</v>
      </c>
      <c r="R5851">
        <v>-0.98721930000000002</v>
      </c>
      <c r="S5851">
        <v>-4.144287E-2</v>
      </c>
      <c r="T5851">
        <v>-0.12560560000000001</v>
      </c>
      <c r="U5851">
        <v>-3.0606080000000002</v>
      </c>
      <c r="V5851">
        <v>2.905168E-2</v>
      </c>
      <c r="W5851">
        <v>0.16404189999999999</v>
      </c>
      <c r="X5851">
        <v>0.9860255</v>
      </c>
      <c r="Y5851">
        <v>7.9192659999999998E-2</v>
      </c>
      <c r="Z5851">
        <v>3.1518959999999999E-2</v>
      </c>
      <c r="AA5851">
        <v>0.99636089999999999</v>
      </c>
      <c r="AB5851">
        <v>28</v>
      </c>
      <c r="AC5851">
        <v>-0.38069999999998999</v>
      </c>
      <c r="AD5851">
        <v>-1.105628087073</v>
      </c>
      <c r="AE5851">
        <v>-26.650224999999899</v>
      </c>
      <c r="AF5851">
        <v>2.1275037604981302</v>
      </c>
      <c r="AG5851">
        <v>-1.105628087073</v>
      </c>
      <c r="AH5851">
        <v>26.5219648962312</v>
      </c>
      <c r="AI5851">
        <v>92.379487426154796</v>
      </c>
      <c r="AJ5851">
        <v>85.413743504969901</v>
      </c>
      <c r="AK5851">
        <v>26.630120309055599</v>
      </c>
      <c r="AL5851">
        <v>80.558419127993105</v>
      </c>
      <c r="AM5851">
        <v>88.312358813829107</v>
      </c>
      <c r="AN5851">
        <v>1.00000001585834</v>
      </c>
    </row>
    <row r="5852" spans="1:40" x14ac:dyDescent="0.25">
      <c r="A5852" t="str">
        <f>"20190304155751978"</f>
        <v>20190304155751978</v>
      </c>
      <c r="B5852" t="str">
        <f>"1551686271970554"</f>
        <v>1551686271970554</v>
      </c>
      <c r="C5852" t="s">
        <v>40</v>
      </c>
      <c r="D5852">
        <v>5.0045289999999998</v>
      </c>
      <c r="E5852">
        <v>0.51907740000000002</v>
      </c>
      <c r="F5852" t="s">
        <v>41</v>
      </c>
      <c r="G5852">
        <v>-302.0856</v>
      </c>
      <c r="H5852" s="1">
        <v>-2.9560939999999998E-6</v>
      </c>
      <c r="I5852">
        <v>-34.81371</v>
      </c>
      <c r="J5852">
        <v>-301.63220000000001</v>
      </c>
      <c r="K5852">
        <v>1.1059000000000001</v>
      </c>
      <c r="L5852">
        <v>-8.0945429999999998</v>
      </c>
      <c r="M5852">
        <v>6.2652289999999999E-2</v>
      </c>
      <c r="N5852">
        <v>-9.3898339999999997E-3</v>
      </c>
      <c r="O5852">
        <v>-0.99799139999999997</v>
      </c>
      <c r="P5852">
        <v>3.448619E-2</v>
      </c>
      <c r="Q5852">
        <v>0.1551247</v>
      </c>
      <c r="R5852">
        <v>-0.98729290000000003</v>
      </c>
      <c r="S5852">
        <v>-4.974365E-2</v>
      </c>
      <c r="T5852">
        <v>-0.12536</v>
      </c>
      <c r="U5852">
        <v>-3.0603940000000001</v>
      </c>
      <c r="V5852">
        <v>2.8415119999999999E-2</v>
      </c>
      <c r="W5852">
        <v>0.164224799999999</v>
      </c>
      <c r="X5852">
        <v>0.98601360000000005</v>
      </c>
      <c r="Y5852">
        <v>7.8839969999999995E-2</v>
      </c>
      <c r="Z5852">
        <v>3.135218E-2</v>
      </c>
      <c r="AA5852">
        <v>0.99639420000000001</v>
      </c>
      <c r="AB5852">
        <v>28</v>
      </c>
      <c r="AC5852">
        <v>-0.45339999999998698</v>
      </c>
      <c r="AD5852">
        <v>-1.1059029560939999</v>
      </c>
      <c r="AE5852">
        <v>-26.719166999999999</v>
      </c>
      <c r="AF5852">
        <v>2.1229638711432299</v>
      </c>
      <c r="AG5852">
        <v>-1.1059029560939999</v>
      </c>
      <c r="AH5852">
        <v>26.592719076178199</v>
      </c>
      <c r="AI5852">
        <v>92.373825408575897</v>
      </c>
      <c r="AJ5852">
        <v>85.435613540436293</v>
      </c>
      <c r="AK5852">
        <v>26.700237916749199</v>
      </c>
      <c r="AL5852">
        <v>80.547795616415499</v>
      </c>
      <c r="AM5852">
        <v>88.349296623856702</v>
      </c>
      <c r="AN5852">
        <v>1.0000000116823</v>
      </c>
    </row>
    <row r="5853" spans="1:40" x14ac:dyDescent="0.25">
      <c r="A5853" t="str">
        <f>"20190304155752023"</f>
        <v>20190304155752023</v>
      </c>
      <c r="B5853" t="str">
        <f>"1551686272010572"</f>
        <v>1551686272010572</v>
      </c>
      <c r="C5853" t="s">
        <v>40</v>
      </c>
      <c r="D5853">
        <v>5.0121419999999999</v>
      </c>
      <c r="E5853">
        <v>0.51904759999999905</v>
      </c>
      <c r="F5853" t="s">
        <v>41</v>
      </c>
      <c r="G5853">
        <v>-302.14299999999997</v>
      </c>
      <c r="H5853" s="1">
        <v>-2.7465630000000001E-6</v>
      </c>
      <c r="I5853">
        <v>-35.337699999999998</v>
      </c>
      <c r="J5853">
        <v>-301.60430000000002</v>
      </c>
      <c r="K5853">
        <v>1.1063400000000001</v>
      </c>
      <c r="L5853">
        <v>-8.6608889999999992</v>
      </c>
      <c r="M5853">
        <v>5.629087E-2</v>
      </c>
      <c r="N5853">
        <v>-9.5678199999999995E-3</v>
      </c>
      <c r="O5853">
        <v>-0.99836860000000005</v>
      </c>
      <c r="P5853">
        <v>3.0096410000000001E-2</v>
      </c>
      <c r="Q5853">
        <v>0.15530479999999899</v>
      </c>
      <c r="R5853">
        <v>-0.98740830000000002</v>
      </c>
      <c r="S5853">
        <v>-5.7373050000000002E-2</v>
      </c>
      <c r="T5853">
        <v>-0.12422179999999999</v>
      </c>
      <c r="U5853">
        <v>-3.06012</v>
      </c>
      <c r="V5853">
        <v>2.6520459999999999E-2</v>
      </c>
      <c r="W5853">
        <v>0.16459079999999901</v>
      </c>
      <c r="X5853">
        <v>0.98600540000000003</v>
      </c>
      <c r="Y5853">
        <v>7.4972179999999999E-2</v>
      </c>
      <c r="Z5853">
        <v>3.0836430000000001E-2</v>
      </c>
      <c r="AA5853">
        <v>0.99670879999999995</v>
      </c>
      <c r="AB5853">
        <v>28</v>
      </c>
      <c r="AC5853">
        <v>-0.538699999999948</v>
      </c>
      <c r="AD5853">
        <v>-1.10634274656299</v>
      </c>
      <c r="AE5853">
        <v>-26.676810999999901</v>
      </c>
      <c r="AF5853">
        <v>2.0360748683737402</v>
      </c>
      <c r="AG5853">
        <v>-1.10634274656299</v>
      </c>
      <c r="AH5853">
        <v>26.558523150857699</v>
      </c>
      <c r="AI5853">
        <v>92.378407910366505</v>
      </c>
      <c r="AJ5853">
        <v>85.616068256263006</v>
      </c>
      <c r="AK5853">
        <v>26.6594213571327</v>
      </c>
      <c r="AL5853">
        <v>80.526536509412097</v>
      </c>
      <c r="AM5853">
        <v>88.4592942777019</v>
      </c>
      <c r="AN5853">
        <v>1.0000000575362</v>
      </c>
    </row>
    <row r="5854" spans="1:40" x14ac:dyDescent="0.25">
      <c r="A5854" t="str">
        <f>"20190304155752050"</f>
        <v>20190304155752050</v>
      </c>
      <c r="B5854" t="str">
        <f>"1551686272040827"</f>
        <v>1551686272040827</v>
      </c>
      <c r="C5854" t="s">
        <v>40</v>
      </c>
      <c r="D5854">
        <v>5.0014250000000002</v>
      </c>
      <c r="E5854">
        <v>0.51903619999999995</v>
      </c>
      <c r="F5854" t="s">
        <v>41</v>
      </c>
      <c r="G5854">
        <v>-302.24470000000002</v>
      </c>
      <c r="H5854" s="1">
        <v>-2.3667219999999999E-6</v>
      </c>
      <c r="I5854">
        <v>-36.286209999999997</v>
      </c>
      <c r="J5854">
        <v>-301.58909999999997</v>
      </c>
      <c r="K5854">
        <v>1.106538</v>
      </c>
      <c r="L5854">
        <v>-9.0035100000000003</v>
      </c>
      <c r="M5854">
        <v>5.2442639999999999E-2</v>
      </c>
      <c r="N5854">
        <v>-9.6578410000000003E-3</v>
      </c>
      <c r="O5854">
        <v>-0.99857739999999995</v>
      </c>
      <c r="P5854">
        <v>2.7903279999999999E-2</v>
      </c>
      <c r="Q5854">
        <v>0.155145799999999</v>
      </c>
      <c r="R5854">
        <v>-0.98749759999999998</v>
      </c>
      <c r="S5854">
        <v>-7.0922849999999996E-2</v>
      </c>
      <c r="T5854">
        <v>-0.12253500000000001</v>
      </c>
      <c r="U5854">
        <v>-3.0596920000000001</v>
      </c>
      <c r="V5854">
        <v>2.491318E-2</v>
      </c>
      <c r="W5854">
        <v>0.16453010000000001</v>
      </c>
      <c r="X5854">
        <v>0.98605739999999997</v>
      </c>
      <c r="Y5854">
        <v>7.5543840000000001E-2</v>
      </c>
      <c r="Z5854">
        <v>3.02131E-2</v>
      </c>
      <c r="AA5854">
        <v>0.99668469999999998</v>
      </c>
      <c r="AB5854">
        <v>29</v>
      </c>
      <c r="AC5854">
        <v>-0.65560000000004903</v>
      </c>
      <c r="AD5854">
        <v>-1.106540366722</v>
      </c>
      <c r="AE5854">
        <v>-27.282699999999998</v>
      </c>
      <c r="AF5854">
        <v>2.0821180214305399</v>
      </c>
      <c r="AG5854">
        <v>-1.106540366722</v>
      </c>
      <c r="AH5854">
        <v>27.166108992936898</v>
      </c>
      <c r="AI5854">
        <v>92.325690881304794</v>
      </c>
      <c r="AJ5854">
        <v>85.617193447362993</v>
      </c>
      <c r="AK5854">
        <v>27.2682438901826</v>
      </c>
      <c r="AL5854">
        <v>80.530061960597493</v>
      </c>
      <c r="AM5854">
        <v>88.552704480722994</v>
      </c>
      <c r="AN5854">
        <v>1.00000000821924</v>
      </c>
    </row>
    <row r="5855" spans="1:40" x14ac:dyDescent="0.25">
      <c r="A5855" t="str">
        <f>"20190304155752071"</f>
        <v>20190304155752071</v>
      </c>
      <c r="B5855" t="str">
        <f>"1551686272060346"</f>
        <v>1551686272060346</v>
      </c>
      <c r="C5855" t="s">
        <v>40</v>
      </c>
      <c r="D5855">
        <v>4.9610909999999997</v>
      </c>
      <c r="E5855">
        <v>0.51892380000000005</v>
      </c>
      <c r="F5855" t="s">
        <v>41</v>
      </c>
      <c r="G5855">
        <v>-302.29910000000001</v>
      </c>
      <c r="H5855" s="1">
        <v>-2.1855909999999998E-6</v>
      </c>
      <c r="I5855">
        <v>-36.742190000000001</v>
      </c>
      <c r="J5855">
        <v>-301.57810000000001</v>
      </c>
      <c r="K5855">
        <v>1.1066590000000001</v>
      </c>
      <c r="L5855">
        <v>-9.2749939999999995</v>
      </c>
      <c r="M5855">
        <v>4.9394069999999998E-2</v>
      </c>
      <c r="N5855">
        <v>-9.7199820000000003E-3</v>
      </c>
      <c r="O5855">
        <v>-0.99873210000000001</v>
      </c>
      <c r="P5855">
        <v>2.6549099999999999E-2</v>
      </c>
      <c r="Q5855">
        <v>0.15443860000000001</v>
      </c>
      <c r="R5855">
        <v>-0.98764589999999997</v>
      </c>
      <c r="S5855">
        <v>-7.830811E-2</v>
      </c>
      <c r="T5855">
        <v>-0.1220427</v>
      </c>
      <c r="U5855">
        <v>-3.0593569999999999</v>
      </c>
      <c r="V5855">
        <v>2.3257679999999999E-2</v>
      </c>
      <c r="W5855">
        <v>0.16389509999999999</v>
      </c>
      <c r="X5855">
        <v>0.98620359999999996</v>
      </c>
      <c r="Y5855">
        <v>7.490724E-2</v>
      </c>
      <c r="Z5855">
        <v>3.000415E-2</v>
      </c>
      <c r="AA5855">
        <v>0.99673900000000004</v>
      </c>
      <c r="AB5855">
        <v>29</v>
      </c>
      <c r="AC5855">
        <v>-0.72100000000000297</v>
      </c>
      <c r="AD5855">
        <v>-1.106661185591</v>
      </c>
      <c r="AE5855">
        <v>-27.467196000000001</v>
      </c>
      <c r="AF5855">
        <v>2.0735368275474602</v>
      </c>
      <c r="AG5855">
        <v>-1.106661185591</v>
      </c>
      <c r="AH5855">
        <v>27.3536778401714</v>
      </c>
      <c r="AI5855">
        <v>92.310159244081404</v>
      </c>
      <c r="AJ5855">
        <v>85.665002486314407</v>
      </c>
      <c r="AK5855">
        <v>27.454470407180999</v>
      </c>
      <c r="AL5855">
        <v>80.566945702797298</v>
      </c>
      <c r="AM5855">
        <v>88.649041691178198</v>
      </c>
      <c r="AN5855">
        <v>1.0000000320679701</v>
      </c>
    </row>
    <row r="5856" spans="1:40" x14ac:dyDescent="0.25">
      <c r="A5856" t="str">
        <f>"20190304155752091"</f>
        <v>20190304155752091</v>
      </c>
      <c r="B5856" t="str">
        <f>"1551686272080842"</f>
        <v>1551686272080842</v>
      </c>
      <c r="C5856" t="s">
        <v>40</v>
      </c>
      <c r="D5856">
        <v>5.1381170000000003</v>
      </c>
      <c r="E5856">
        <v>0.51887659999999902</v>
      </c>
      <c r="F5856" t="s">
        <v>41</v>
      </c>
      <c r="G5856">
        <v>-302.31209999999999</v>
      </c>
      <c r="H5856" s="1">
        <v>-2.2592389999999999E-6</v>
      </c>
      <c r="I5856">
        <v>-36.578580000000002</v>
      </c>
      <c r="J5856">
        <v>-301.56819999999999</v>
      </c>
      <c r="K5856">
        <v>1.1067480000000001</v>
      </c>
      <c r="L5856">
        <v>-9.5365300000000008</v>
      </c>
      <c r="M5856">
        <v>4.6456740000000003E-2</v>
      </c>
      <c r="N5856">
        <v>-9.7693050000000007E-3</v>
      </c>
      <c r="O5856">
        <v>-0.99887250000000005</v>
      </c>
      <c r="P5856">
        <v>2.5496540000000002E-2</v>
      </c>
      <c r="Q5856">
        <v>0.154277</v>
      </c>
      <c r="R5856">
        <v>-0.98769859999999998</v>
      </c>
      <c r="S5856">
        <v>-8.2244869999999998E-2</v>
      </c>
      <c r="T5856">
        <v>-0.12399110000000001</v>
      </c>
      <c r="U5856">
        <v>-3.059113</v>
      </c>
      <c r="V5856">
        <v>2.1409060000000001E-2</v>
      </c>
      <c r="W5856">
        <v>0.16379349999999901</v>
      </c>
      <c r="X5856">
        <v>0.98626230000000004</v>
      </c>
      <c r="Y5856">
        <v>7.3258009999999998E-2</v>
      </c>
      <c r="Z5856">
        <v>3.060187E-2</v>
      </c>
      <c r="AA5856">
        <v>0.99684340000000005</v>
      </c>
      <c r="AB5856">
        <v>29</v>
      </c>
      <c r="AC5856">
        <v>-0.74389999999999601</v>
      </c>
      <c r="AD5856">
        <v>-1.1067502592389999</v>
      </c>
      <c r="AE5856">
        <v>-27.04205</v>
      </c>
      <c r="AF5856">
        <v>1.9961012328049601</v>
      </c>
      <c r="AG5856">
        <v>-1.1067502592389999</v>
      </c>
      <c r="AH5856">
        <v>26.933209608841398</v>
      </c>
      <c r="AI5856">
        <v>92.346668527801398</v>
      </c>
      <c r="AJ5856">
        <v>85.761386517528507</v>
      </c>
      <c r="AK5856">
        <v>27.029744654763601</v>
      </c>
      <c r="AL5856">
        <v>80.572846312181198</v>
      </c>
      <c r="AM5856">
        <v>88.756460458927293</v>
      </c>
      <c r="AN5856">
        <v>0.99999999144681095</v>
      </c>
    </row>
    <row r="5857" spans="1:40" x14ac:dyDescent="0.25">
      <c r="A5857" t="str">
        <f>"20190304155752114"</f>
        <v>20190304155752114</v>
      </c>
      <c r="B5857" t="str">
        <f>"1551686272111099"</f>
        <v>1551686272111099</v>
      </c>
      <c r="C5857" t="s">
        <v>40</v>
      </c>
      <c r="D5857">
        <v>5.0403650000000004</v>
      </c>
      <c r="E5857">
        <v>0.51871690000000004</v>
      </c>
      <c r="F5857" t="s">
        <v>41</v>
      </c>
      <c r="G5857">
        <v>-302.3263</v>
      </c>
      <c r="H5857" s="1">
        <v>-2.1795850000000001E-6</v>
      </c>
      <c r="I5857">
        <v>-36.773049999999998</v>
      </c>
      <c r="J5857">
        <v>-301.55810000000002</v>
      </c>
      <c r="K5857">
        <v>1.1068450000000001</v>
      </c>
      <c r="L5857">
        <v>-9.8287659999999999</v>
      </c>
      <c r="M5857">
        <v>4.3174419999999998E-2</v>
      </c>
      <c r="N5857">
        <v>-9.8142579999999993E-3</v>
      </c>
      <c r="O5857">
        <v>-0.9990194</v>
      </c>
      <c r="P5857">
        <v>2.4261810000000002E-2</v>
      </c>
      <c r="Q5857">
        <v>0.1540096</v>
      </c>
      <c r="R5857">
        <v>-0.98777179999999998</v>
      </c>
      <c r="S5857">
        <v>-8.5144040000000004E-2</v>
      </c>
      <c r="T5857">
        <v>-0.12430140000000001</v>
      </c>
      <c r="U5857">
        <v>-3.0589900000000001</v>
      </c>
      <c r="V5857">
        <v>1.9401890000000001E-2</v>
      </c>
      <c r="W5857">
        <v>0.1635828</v>
      </c>
      <c r="X5857">
        <v>0.98633879999999996</v>
      </c>
      <c r="Y5857">
        <v>7.0926399999999903E-2</v>
      </c>
      <c r="Z5857">
        <v>3.0671529999999999E-2</v>
      </c>
      <c r="AA5857">
        <v>0.9970099</v>
      </c>
      <c r="AB5857">
        <v>29</v>
      </c>
      <c r="AC5857">
        <v>-0.76819999999997801</v>
      </c>
      <c r="AD5857">
        <v>-1.1068471795849999</v>
      </c>
      <c r="AE5857">
        <v>-26.944284</v>
      </c>
      <c r="AF5857">
        <v>1.92759326191198</v>
      </c>
      <c r="AG5857">
        <v>-1.1068471795849999</v>
      </c>
      <c r="AH5857">
        <v>26.840732432799701</v>
      </c>
      <c r="AI5857">
        <v>92.355342836749699</v>
      </c>
      <c r="AJ5857">
        <v>85.892300140752596</v>
      </c>
      <c r="AK5857">
        <v>26.932613018262199</v>
      </c>
      <c r="AL5857">
        <v>80.585083641393894</v>
      </c>
      <c r="AM5857">
        <v>88.873102155901293</v>
      </c>
      <c r="AN5857">
        <v>0.99999999708842602</v>
      </c>
    </row>
    <row r="5858" spans="1:40" x14ac:dyDescent="0.25">
      <c r="A5858" t="str">
        <f>"20190304155752138"</f>
        <v>20190304155752138</v>
      </c>
      <c r="B5858" t="str">
        <f>"1551686272130619"</f>
        <v>1551686272130619</v>
      </c>
      <c r="C5858" t="s">
        <v>40</v>
      </c>
      <c r="D5858">
        <v>5.0366609999999996</v>
      </c>
      <c r="E5858">
        <v>0.49856010000000001</v>
      </c>
      <c r="F5858" t="s">
        <v>41</v>
      </c>
      <c r="G5858">
        <v>-302.33319999999998</v>
      </c>
      <c r="H5858" s="1">
        <v>-2.1450199999999999E-6</v>
      </c>
      <c r="I5858">
        <v>-36.857869999999998</v>
      </c>
      <c r="J5858">
        <v>-301.54849999999999</v>
      </c>
      <c r="K5858">
        <v>1.1069199999999999</v>
      </c>
      <c r="L5858">
        <v>-10.139469999999999</v>
      </c>
      <c r="M5858">
        <v>3.9685129999999999E-2</v>
      </c>
      <c r="N5858">
        <v>-9.8553890000000009E-3</v>
      </c>
      <c r="O5858">
        <v>-0.99916369999999999</v>
      </c>
      <c r="P5858">
        <v>2.3046609999999999E-2</v>
      </c>
      <c r="Q5858">
        <v>0.15462909999999999</v>
      </c>
      <c r="R5858">
        <v>-0.98770369999999996</v>
      </c>
      <c r="S5858">
        <v>-8.7707519999999997E-2</v>
      </c>
      <c r="T5858">
        <v>-0.12525999999999901</v>
      </c>
      <c r="U5858">
        <v>-3.0588380000000002</v>
      </c>
      <c r="V5858">
        <v>1.7170350000000001E-2</v>
      </c>
      <c r="W5858">
        <v>0.16425590000000001</v>
      </c>
      <c r="X5858">
        <v>0.98626829999999999</v>
      </c>
      <c r="Y5858">
        <v>6.8278989999999998E-2</v>
      </c>
      <c r="Z5858">
        <v>3.0956709999999998E-2</v>
      </c>
      <c r="AA5858">
        <v>0.99718589999999996</v>
      </c>
      <c r="AB5858">
        <v>29</v>
      </c>
      <c r="AC5858">
        <v>-0.78469999999998596</v>
      </c>
      <c r="AD5858">
        <v>-1.10692214502</v>
      </c>
      <c r="AE5858">
        <v>-26.718399999999999</v>
      </c>
      <c r="AF5858">
        <v>1.8412987395164899</v>
      </c>
      <c r="AG5858">
        <v>-1.10692214502</v>
      </c>
      <c r="AH5858">
        <v>26.620556110452899</v>
      </c>
      <c r="AI5858">
        <v>92.375402725338205</v>
      </c>
      <c r="AJ5858">
        <v>86.043250060282901</v>
      </c>
      <c r="AK5858">
        <v>26.7071088909499</v>
      </c>
      <c r="AL5858">
        <v>80.545988985820998</v>
      </c>
      <c r="AM5858">
        <v>89.002614993846805</v>
      </c>
      <c r="AN5858">
        <v>0.99999999059441103</v>
      </c>
    </row>
    <row r="5859" spans="1:40" x14ac:dyDescent="0.25">
      <c r="A5859" t="str">
        <f>"20190304155752158"</f>
        <v>20190304155752158</v>
      </c>
      <c r="B5859" t="str">
        <f>"1551686272151115"</f>
        <v>1551686272151115</v>
      </c>
      <c r="C5859" t="s">
        <v>40</v>
      </c>
      <c r="D5859">
        <v>5.0576150000000002</v>
      </c>
      <c r="E5859">
        <v>0.49816300000000002</v>
      </c>
      <c r="F5859" t="s">
        <v>41</v>
      </c>
      <c r="G5859">
        <v>-301.14299999999997</v>
      </c>
      <c r="H5859" s="1">
        <v>-1.1385359999999999E-6</v>
      </c>
      <c r="I5859">
        <v>-28.46583</v>
      </c>
      <c r="J5859">
        <v>-301.541</v>
      </c>
      <c r="K5859">
        <v>1.106976</v>
      </c>
      <c r="L5859">
        <v>-10.4071</v>
      </c>
      <c r="M5859">
        <v>3.6679410000000003E-2</v>
      </c>
      <c r="N5859">
        <v>-9.8848470000000004E-3</v>
      </c>
      <c r="O5859">
        <v>-0.99927840000000001</v>
      </c>
      <c r="P5859">
        <v>2.18608E-2</v>
      </c>
      <c r="Q5859">
        <v>0.15463060000000001</v>
      </c>
      <c r="R5859">
        <v>-0.98773060000000001</v>
      </c>
      <c r="S5859">
        <v>6.7810060000000005E-2</v>
      </c>
      <c r="T5859">
        <v>-0.18511279999999999</v>
      </c>
      <c r="U5859">
        <v>-3.0647579999999999</v>
      </c>
      <c r="V5859">
        <v>1.538757E-2</v>
      </c>
      <c r="W5859">
        <v>0.16429730000000001</v>
      </c>
      <c r="X5859">
        <v>0.98629080000000002</v>
      </c>
      <c r="Y5859">
        <v>1.458979E-2</v>
      </c>
      <c r="Z5859">
        <v>5.0353429999999998E-2</v>
      </c>
      <c r="AA5859">
        <v>0.99862490000000004</v>
      </c>
      <c r="AB5859">
        <v>29</v>
      </c>
      <c r="AC5859">
        <v>0.398000000000024</v>
      </c>
      <c r="AD5859">
        <v>-1.1069771385360001</v>
      </c>
      <c r="AE5859">
        <v>-18.058729999999901</v>
      </c>
      <c r="AF5859">
        <v>0.26369328037664003</v>
      </c>
      <c r="AG5859">
        <v>-1.1069771385360001</v>
      </c>
      <c r="AH5859">
        <v>17.993597200168701</v>
      </c>
      <c r="AI5859">
        <v>93.520057595057906</v>
      </c>
      <c r="AJ5859">
        <v>89.160399644771203</v>
      </c>
      <c r="AK5859">
        <v>18.029544440536402</v>
      </c>
      <c r="AL5859">
        <v>80.543583989648994</v>
      </c>
      <c r="AM5859">
        <v>89.106175079181199</v>
      </c>
      <c r="AN5859">
        <v>0.99999996113121603</v>
      </c>
    </row>
    <row r="5860" spans="1:40" x14ac:dyDescent="0.25">
      <c r="A5860" t="str">
        <f>"20190304155752184"</f>
        <v>20190304155752184</v>
      </c>
      <c r="B5860" t="str">
        <f>"1551686272180395"</f>
        <v>1551686272180395</v>
      </c>
      <c r="C5860" t="s">
        <v>40</v>
      </c>
      <c r="D5860">
        <v>4.9856049999999996</v>
      </c>
      <c r="E5860">
        <v>0.49769249999999998</v>
      </c>
      <c r="F5860" t="s">
        <v>41</v>
      </c>
      <c r="G5860">
        <v>-301.13740000000001</v>
      </c>
      <c r="H5860" s="1">
        <v>-9.8023469999999898E-7</v>
      </c>
      <c r="I5860">
        <v>-28.831340000000001</v>
      </c>
      <c r="J5860">
        <v>-301.53309999999999</v>
      </c>
      <c r="K5860">
        <v>1.107022</v>
      </c>
      <c r="L5860">
        <v>-10.72461</v>
      </c>
      <c r="M5860">
        <v>3.3112820000000001E-2</v>
      </c>
      <c r="N5860">
        <v>-9.909714E-3</v>
      </c>
      <c r="O5860">
        <v>-0.99940269999999998</v>
      </c>
      <c r="P5860">
        <v>2.036789E-2</v>
      </c>
      <c r="Q5860">
        <v>0.154609</v>
      </c>
      <c r="R5860">
        <v>-0.98776600000000003</v>
      </c>
      <c r="S5860">
        <v>6.7138669999999998E-2</v>
      </c>
      <c r="T5860">
        <v>-0.1841296</v>
      </c>
      <c r="U5860">
        <v>-3.0646059999999999</v>
      </c>
      <c r="V5860">
        <v>1.3358200000000001E-2</v>
      </c>
      <c r="W5860">
        <v>0.16431279999999901</v>
      </c>
      <c r="X5860">
        <v>0.98631780000000002</v>
      </c>
      <c r="Y5860">
        <v>1.1239549999999999E-2</v>
      </c>
      <c r="Z5860">
        <v>5.0024899999999997E-2</v>
      </c>
      <c r="AA5860">
        <v>0.99868469999999998</v>
      </c>
      <c r="AB5860">
        <v>29</v>
      </c>
      <c r="AC5860">
        <v>0.39569999999997602</v>
      </c>
      <c r="AD5860">
        <v>-1.1070229802347</v>
      </c>
      <c r="AE5860">
        <v>-18.106729999999999</v>
      </c>
      <c r="AF5860">
        <v>0.20335146827162401</v>
      </c>
      <c r="AG5860">
        <v>-1.1070229802347</v>
      </c>
      <c r="AH5860">
        <v>18.042493344893</v>
      </c>
      <c r="AI5860">
        <v>93.510840547252897</v>
      </c>
      <c r="AJ5860">
        <v>89.354263994435996</v>
      </c>
      <c r="AK5860">
        <v>18.0775667001652</v>
      </c>
      <c r="AL5860">
        <v>80.542683755600507</v>
      </c>
      <c r="AM5860">
        <v>89.224061767163406</v>
      </c>
      <c r="AN5860">
        <v>0.99999997017395903</v>
      </c>
    </row>
    <row r="5861" spans="1:40" x14ac:dyDescent="0.25">
      <c r="A5861" t="str">
        <f>"20190304155752207"</f>
        <v>20190304155752207</v>
      </c>
      <c r="B5861" t="str">
        <f>"1551686272200422"</f>
        <v>1551686272200422</v>
      </c>
      <c r="C5861" t="s">
        <v>40</v>
      </c>
      <c r="D5861">
        <v>5.0101969999999998</v>
      </c>
      <c r="E5861">
        <v>0.49704720000000002</v>
      </c>
      <c r="F5861" t="s">
        <v>41</v>
      </c>
      <c r="G5861">
        <v>-301.12310000000002</v>
      </c>
      <c r="H5861" s="1">
        <v>-6.8357450000000004E-7</v>
      </c>
      <c r="I5861">
        <v>-29.514040000000001</v>
      </c>
      <c r="J5861">
        <v>-301.52670000000001</v>
      </c>
      <c r="K5861">
        <v>1.1070599999999999</v>
      </c>
      <c r="L5861">
        <v>-11.02548</v>
      </c>
      <c r="M5861">
        <v>2.9734279999999998E-2</v>
      </c>
      <c r="N5861">
        <v>-9.9270529999999999E-3</v>
      </c>
      <c r="O5861">
        <v>-0.99950859999999997</v>
      </c>
      <c r="P5861">
        <v>1.8429259999999999E-2</v>
      </c>
      <c r="Q5861">
        <v>0.15517739999999999</v>
      </c>
      <c r="R5861">
        <v>-0.98771469999999995</v>
      </c>
      <c r="S5861">
        <v>6.6864010000000001E-2</v>
      </c>
      <c r="T5861">
        <v>-0.1805242</v>
      </c>
      <c r="U5861">
        <v>-3.0640260000000001</v>
      </c>
      <c r="V5861">
        <v>1.196143E-2</v>
      </c>
      <c r="W5861">
        <v>0.16490589999999999</v>
      </c>
      <c r="X5861">
        <v>0.98623680000000002</v>
      </c>
      <c r="Y5861">
        <v>7.9445959999999999E-3</v>
      </c>
      <c r="Z5861">
        <v>4.885892E-2</v>
      </c>
      <c r="AA5861">
        <v>0.9987741</v>
      </c>
      <c r="AB5861">
        <v>29</v>
      </c>
      <c r="AC5861">
        <v>0.40359999999998297</v>
      </c>
      <c r="AD5861">
        <v>-1.1070606835744901</v>
      </c>
      <c r="AE5861">
        <v>-18.48856</v>
      </c>
      <c r="AF5861">
        <v>0.14582695392911901</v>
      </c>
      <c r="AG5861">
        <v>-1.1070606835744901</v>
      </c>
      <c r="AH5861">
        <v>18.426351381985999</v>
      </c>
      <c r="AI5861">
        <v>93.438107170364503</v>
      </c>
      <c r="AJ5861">
        <v>89.5465681514073</v>
      </c>
      <c r="AK5861">
        <v>18.4601536859807</v>
      </c>
      <c r="AL5861">
        <v>80.508232220997201</v>
      </c>
      <c r="AM5861">
        <v>89.305130517219297</v>
      </c>
      <c r="AN5861">
        <v>1.0000000286683399</v>
      </c>
    </row>
    <row r="5862" spans="1:40" x14ac:dyDescent="0.25">
      <c r="A5862" t="str">
        <f>"20190304155752234"</f>
        <v>20190304155752234</v>
      </c>
      <c r="B5862" t="str">
        <f>"1551686272220918"</f>
        <v>1551686272220918</v>
      </c>
      <c r="C5862" t="s">
        <v>40</v>
      </c>
      <c r="D5862">
        <v>5.1089419999999999</v>
      </c>
      <c r="E5862">
        <v>0.49696509999999999</v>
      </c>
      <c r="F5862" t="s">
        <v>41</v>
      </c>
      <c r="G5862">
        <v>-301.1019</v>
      </c>
      <c r="H5862" s="1">
        <v>-4.4156550000000002E-6</v>
      </c>
      <c r="I5862">
        <v>-30.611969999999999</v>
      </c>
      <c r="J5862">
        <v>-301.5206</v>
      </c>
      <c r="K5862">
        <v>1.1070930000000001</v>
      </c>
      <c r="L5862">
        <v>-11.37106</v>
      </c>
      <c r="M5862">
        <v>2.5855349999999999E-2</v>
      </c>
      <c r="N5862">
        <v>-9.9435840000000001E-3</v>
      </c>
      <c r="O5862">
        <v>-0.99961630000000001</v>
      </c>
      <c r="P5862">
        <v>1.6541099999999899E-2</v>
      </c>
      <c r="Q5862">
        <v>0.1556265</v>
      </c>
      <c r="R5862">
        <v>-0.9876779</v>
      </c>
      <c r="S5862">
        <v>6.6436770000000006E-2</v>
      </c>
      <c r="T5862">
        <v>-0.1731412</v>
      </c>
      <c r="U5862">
        <v>-3.0632630000000001</v>
      </c>
      <c r="V5862">
        <v>1.0020889999999999E-2</v>
      </c>
      <c r="W5862">
        <v>0.16538229999999901</v>
      </c>
      <c r="X5862">
        <v>0.98617860000000002</v>
      </c>
      <c r="Y5862">
        <v>4.196717E-3</v>
      </c>
      <c r="Z5862">
        <v>4.6468889999999999E-2</v>
      </c>
      <c r="AA5862">
        <v>0.99891090000000005</v>
      </c>
      <c r="AB5862">
        <v>29</v>
      </c>
      <c r="AC5862">
        <v>0.41870000000000102</v>
      </c>
      <c r="AD5862">
        <v>-1.107097415655</v>
      </c>
      <c r="AE5862">
        <v>-19.24091</v>
      </c>
      <c r="AF5862">
        <v>7.8684637401767399E-2</v>
      </c>
      <c r="AG5862">
        <v>-1.107097415655</v>
      </c>
      <c r="AH5862">
        <v>19.1818278817635</v>
      </c>
      <c r="AI5862">
        <v>93.303188044295794</v>
      </c>
      <c r="AJ5862">
        <v>89.764971702538602</v>
      </c>
      <c r="AK5862">
        <v>19.213911024190601</v>
      </c>
      <c r="AL5862">
        <v>80.480556015299499</v>
      </c>
      <c r="AM5862">
        <v>89.417818492329801</v>
      </c>
      <c r="AN5862">
        <v>0.99999997724381995</v>
      </c>
    </row>
    <row r="5863" spans="1:40" x14ac:dyDescent="0.25">
      <c r="A5863" t="str">
        <f>"20190304155752267"</f>
        <v>20190304155752267</v>
      </c>
      <c r="B5863" t="str">
        <f>"1551686272260937"</f>
        <v>1551686272260937</v>
      </c>
      <c r="C5863" t="s">
        <v>40</v>
      </c>
      <c r="D5863">
        <v>4.9961729999999998</v>
      </c>
      <c r="E5863">
        <v>0.49564170000000002</v>
      </c>
      <c r="F5863" t="s">
        <v>41</v>
      </c>
      <c r="G5863">
        <v>-301.12729999999999</v>
      </c>
      <c r="H5863" s="1">
        <v>-4.2574320000000001E-6</v>
      </c>
      <c r="I5863">
        <v>-31.090170000000001</v>
      </c>
      <c r="J5863">
        <v>-301.5147</v>
      </c>
      <c r="K5863">
        <v>1.1071260000000001</v>
      </c>
      <c r="L5863">
        <v>-11.818149999999999</v>
      </c>
      <c r="M5863">
        <v>2.0837100000000001E-2</v>
      </c>
      <c r="N5863">
        <v>-9.9610589999999995E-3</v>
      </c>
      <c r="O5863">
        <v>-0.99973319999999999</v>
      </c>
      <c r="P5863">
        <v>1.4781259999999999E-2</v>
      </c>
      <c r="Q5863">
        <v>0.15705999999999901</v>
      </c>
      <c r="R5863">
        <v>-0.98747850000000004</v>
      </c>
      <c r="S5863">
        <v>6.1096190000000002E-2</v>
      </c>
      <c r="T5863">
        <v>-0.1719956</v>
      </c>
      <c r="U5863">
        <v>-3.063507</v>
      </c>
      <c r="V5863">
        <v>6.830834E-3</v>
      </c>
      <c r="W5863">
        <v>0.16685029999999901</v>
      </c>
      <c r="X5863">
        <v>0.98595860000000002</v>
      </c>
      <c r="Y5863">
        <v>9.1996229999999997E-4</v>
      </c>
      <c r="Z5863">
        <v>4.6085189999999998E-2</v>
      </c>
      <c r="AA5863">
        <v>0.99893710000000002</v>
      </c>
      <c r="AB5863">
        <v>29</v>
      </c>
      <c r="AC5863">
        <v>0.38740000000001301</v>
      </c>
      <c r="AD5863">
        <v>-1.1071302574320001</v>
      </c>
      <c r="AE5863">
        <v>-19.272020000000001</v>
      </c>
      <c r="AF5863">
        <v>1.4230131846337601E-2</v>
      </c>
      <c r="AG5863">
        <v>-1.1071302574320001</v>
      </c>
      <c r="AH5863">
        <v>19.212528045562699</v>
      </c>
      <c r="AI5863">
        <v>93.298045859487104</v>
      </c>
      <c r="AJ5863">
        <v>89.9575627764507</v>
      </c>
      <c r="AK5863">
        <v>19.244406299106899</v>
      </c>
      <c r="AL5863">
        <v>80.395261155174893</v>
      </c>
      <c r="AM5863">
        <v>89.603054634293997</v>
      </c>
      <c r="AN5863">
        <v>1.0000000219085901</v>
      </c>
    </row>
    <row r="5864" spans="1:40" x14ac:dyDescent="0.25">
      <c r="A5864" t="str">
        <f>"20190304155752292"</f>
        <v>20190304155752292</v>
      </c>
      <c r="B5864" t="str">
        <f>"1551686272280455"</f>
        <v>1551686272280455</v>
      </c>
      <c r="C5864" t="s">
        <v>40</v>
      </c>
      <c r="D5864">
        <v>5.0591439999999999</v>
      </c>
      <c r="E5864">
        <v>0.49620649999999999</v>
      </c>
      <c r="F5864" t="s">
        <v>41</v>
      </c>
      <c r="G5864">
        <v>-301.08519999999999</v>
      </c>
      <c r="H5864" s="1">
        <v>-3.8823320000000001E-6</v>
      </c>
      <c r="I5864">
        <v>-32.034129999999998</v>
      </c>
      <c r="J5864">
        <v>-301.51190000000003</v>
      </c>
      <c r="K5864">
        <v>1.107138</v>
      </c>
      <c r="L5864">
        <v>-12.12744</v>
      </c>
      <c r="M5864">
        <v>1.7366220000000002E-2</v>
      </c>
      <c r="N5864">
        <v>-9.9708190000000006E-3</v>
      </c>
      <c r="O5864">
        <v>-0.99979969999999996</v>
      </c>
      <c r="P5864">
        <v>1.2772260000000001E-2</v>
      </c>
      <c r="Q5864">
        <v>0.15679779999999999</v>
      </c>
      <c r="R5864">
        <v>-0.98754839999999999</v>
      </c>
      <c r="S5864">
        <v>6.5093990000000004E-2</v>
      </c>
      <c r="T5864">
        <v>-0.16778650000000001</v>
      </c>
      <c r="U5864">
        <v>-3.0637509999999999</v>
      </c>
      <c r="V5864">
        <v>5.4136369999999998E-3</v>
      </c>
      <c r="W5864">
        <v>0.16660720000000001</v>
      </c>
      <c r="X5864">
        <v>0.98600849999999995</v>
      </c>
      <c r="Y5864">
        <v>-3.8528569999999999E-3</v>
      </c>
      <c r="Z5864">
        <v>4.4707610000000002E-2</v>
      </c>
      <c r="AA5864">
        <v>0.99899269999999996</v>
      </c>
      <c r="AB5864">
        <v>29</v>
      </c>
      <c r="AC5864">
        <v>0.42670000000003899</v>
      </c>
      <c r="AD5864">
        <v>-1.1071418823320001</v>
      </c>
      <c r="AE5864">
        <v>-19.906690000000001</v>
      </c>
      <c r="AF5864">
        <v>-8.0665179105660997E-2</v>
      </c>
      <c r="AG5864">
        <v>-1.1071418823320001</v>
      </c>
      <c r="AH5864">
        <v>19.849727181276801</v>
      </c>
      <c r="AI5864">
        <v>93.1924054019659</v>
      </c>
      <c r="AJ5864">
        <v>90.232836896573005</v>
      </c>
      <c r="AK5864">
        <v>19.880742923488899</v>
      </c>
      <c r="AL5864">
        <v>80.409387414471198</v>
      </c>
      <c r="AM5864">
        <v>89.685423163002298</v>
      </c>
      <c r="AN5864">
        <v>1.00000001431482</v>
      </c>
    </row>
    <row r="5865" spans="1:40" x14ac:dyDescent="0.25">
      <c r="A5865" t="str">
        <f>"20190304155752313"</f>
        <v>20190304155752313</v>
      </c>
      <c r="B5865" t="str">
        <f>"1551686272310712"</f>
        <v>1551686272310712</v>
      </c>
      <c r="C5865" t="s">
        <v>40</v>
      </c>
      <c r="D5865">
        <v>5.0492540000000004</v>
      </c>
      <c r="E5865">
        <v>0.49579089999999998</v>
      </c>
      <c r="F5865" t="s">
        <v>41</v>
      </c>
      <c r="G5865">
        <v>-301.15499999999997</v>
      </c>
      <c r="H5865" s="1">
        <v>-3.7527690000000001E-6</v>
      </c>
      <c r="I5865">
        <v>-32.379469999999998</v>
      </c>
      <c r="J5865">
        <v>-301.51029999999997</v>
      </c>
      <c r="K5865">
        <v>1.1071390000000001</v>
      </c>
      <c r="L5865">
        <v>-12.419589999999999</v>
      </c>
      <c r="M5865">
        <v>1.4087799999999999E-2</v>
      </c>
      <c r="N5865">
        <v>-9.9734939999999994E-3</v>
      </c>
      <c r="O5865">
        <v>-0.99985100000000005</v>
      </c>
      <c r="P5865">
        <v>1.0928780000000001E-2</v>
      </c>
      <c r="Q5865">
        <v>0.15685250000000001</v>
      </c>
      <c r="R5865">
        <v>-0.98756160000000004</v>
      </c>
      <c r="S5865">
        <v>5.3985600000000002E-2</v>
      </c>
      <c r="T5865">
        <v>-0.1674881</v>
      </c>
      <c r="U5865">
        <v>-3.0637210000000001</v>
      </c>
      <c r="V5865">
        <v>4.0219309999999899E-3</v>
      </c>
      <c r="W5865">
        <v>0.1666726</v>
      </c>
      <c r="X5865">
        <v>0.98600410000000005</v>
      </c>
      <c r="Y5865">
        <v>-3.5114460000000001E-3</v>
      </c>
      <c r="Z5865">
        <v>4.4614090000000002E-2</v>
      </c>
      <c r="AA5865">
        <v>0.9989981</v>
      </c>
      <c r="AB5865">
        <v>29</v>
      </c>
      <c r="AC5865">
        <v>0.35529999999999901</v>
      </c>
      <c r="AD5865">
        <v>-1.1071427527690001</v>
      </c>
      <c r="AE5865">
        <v>-19.959879999999998</v>
      </c>
      <c r="AF5865">
        <v>-7.3832854992106595E-2</v>
      </c>
      <c r="AG5865">
        <v>-1.1071427527690001</v>
      </c>
      <c r="AH5865">
        <v>19.901691650956199</v>
      </c>
      <c r="AI5865">
        <v>93.184093889489304</v>
      </c>
      <c r="AJ5865">
        <v>90.2125593968224</v>
      </c>
      <c r="AK5865">
        <v>19.932600104733499</v>
      </c>
      <c r="AL5865">
        <v>80.405587076756305</v>
      </c>
      <c r="AM5865">
        <v>89.766290633319102</v>
      </c>
      <c r="AN5865">
        <v>1.0000000083682601</v>
      </c>
    </row>
    <row r="5866" spans="1:40" x14ac:dyDescent="0.25">
      <c r="A5866" t="str">
        <f>"20190304155752338"</f>
        <v>20190304155752338</v>
      </c>
      <c r="B5866" t="str">
        <f>"1551686272330230"</f>
        <v>1551686272330230</v>
      </c>
      <c r="C5866" t="s">
        <v>40</v>
      </c>
      <c r="D5866">
        <v>5.1095439999999996</v>
      </c>
      <c r="E5866">
        <v>0.4957588</v>
      </c>
      <c r="F5866" t="s">
        <v>41</v>
      </c>
      <c r="G5866">
        <v>-301.16809999999998</v>
      </c>
      <c r="H5866" s="1">
        <v>-3.5979680000000001E-6</v>
      </c>
      <c r="I5866">
        <v>-32.748429999999999</v>
      </c>
      <c r="J5866">
        <v>-301.50970000000001</v>
      </c>
      <c r="K5866">
        <v>1.107143</v>
      </c>
      <c r="L5866">
        <v>-12.7355</v>
      </c>
      <c r="M5866">
        <v>1.0543439999999999E-2</v>
      </c>
      <c r="N5866">
        <v>-9.9718419999999999E-3</v>
      </c>
      <c r="O5866">
        <v>-0.99989490000000003</v>
      </c>
      <c r="P5866">
        <v>8.8570969999999995E-3</v>
      </c>
      <c r="Q5866">
        <v>0.156694899999999</v>
      </c>
      <c r="R5866">
        <v>-0.98760780000000004</v>
      </c>
      <c r="S5866">
        <v>5.1574710000000003E-2</v>
      </c>
      <c r="T5866">
        <v>-0.16685529999999901</v>
      </c>
      <c r="U5866">
        <v>-3.0637210000000001</v>
      </c>
      <c r="V5866">
        <v>2.5951419999999999E-3</v>
      </c>
      <c r="W5866">
        <v>0.16652259999999999</v>
      </c>
      <c r="X5866">
        <v>0.98603419999999997</v>
      </c>
      <c r="Y5866">
        <v>-6.2695909999999997E-3</v>
      </c>
      <c r="Z5866">
        <v>4.4413279999999999E-2</v>
      </c>
      <c r="AA5866">
        <v>0.99899360000000004</v>
      </c>
      <c r="AB5866">
        <v>29</v>
      </c>
      <c r="AC5866">
        <v>0.34160000000002799</v>
      </c>
      <c r="AD5866">
        <v>-1.107146597968</v>
      </c>
      <c r="AE5866">
        <v>-20.012930000000001</v>
      </c>
      <c r="AF5866">
        <v>-0.13016717850220799</v>
      </c>
      <c r="AG5866">
        <v>-1.107146597968</v>
      </c>
      <c r="AH5866">
        <v>19.9543672518232</v>
      </c>
      <c r="AI5866">
        <v>93.175671123861505</v>
      </c>
      <c r="AJ5866">
        <v>90.3737489684069</v>
      </c>
      <c r="AK5866">
        <v>19.985481968278499</v>
      </c>
      <c r="AL5866">
        <v>80.414302952027001</v>
      </c>
      <c r="AM5866">
        <v>89.849203668070302</v>
      </c>
      <c r="AN5866">
        <v>0.99999997732119905</v>
      </c>
    </row>
    <row r="5867" spans="1:40" x14ac:dyDescent="0.25">
      <c r="A5867" t="str">
        <f>"20190304155752361"</f>
        <v>20190304155752361</v>
      </c>
      <c r="B5867" t="str">
        <f>"1551686272350727"</f>
        <v>1551686272350727</v>
      </c>
      <c r="C5867" t="s">
        <v>40</v>
      </c>
      <c r="D5867">
        <v>5.0708710000000004</v>
      </c>
      <c r="E5867">
        <v>0.49570959999999997</v>
      </c>
      <c r="F5867" t="s">
        <v>41</v>
      </c>
      <c r="G5867">
        <v>-301.21629999999999</v>
      </c>
      <c r="H5867" s="1">
        <v>-3.5988269999999999E-6</v>
      </c>
      <c r="I5867">
        <v>-32.776299999999999</v>
      </c>
      <c r="J5867">
        <v>-301.51010000000002</v>
      </c>
      <c r="K5867">
        <v>1.107145</v>
      </c>
      <c r="L5867">
        <v>-13.03363</v>
      </c>
      <c r="M5867">
        <v>7.1981930000000003E-3</v>
      </c>
      <c r="N5867">
        <v>-9.9694280000000007E-3</v>
      </c>
      <c r="O5867">
        <v>-0.99992440000000005</v>
      </c>
      <c r="P5867">
        <v>6.4274179999999998E-3</v>
      </c>
      <c r="Q5867">
        <v>0.15691869999999999</v>
      </c>
      <c r="R5867">
        <v>-0.98759070000000004</v>
      </c>
      <c r="S5867">
        <v>4.4860839999999999E-2</v>
      </c>
      <c r="T5867">
        <v>-0.16927429999999999</v>
      </c>
      <c r="U5867">
        <v>-3.0640869999999998</v>
      </c>
      <c r="V5867">
        <v>1.724684E-3</v>
      </c>
      <c r="W5867">
        <v>0.1667497</v>
      </c>
      <c r="X5867">
        <v>0.98599769999999998</v>
      </c>
      <c r="Y5867">
        <v>-7.4237460000000002E-3</v>
      </c>
      <c r="Z5867">
        <v>4.5198210000000003E-2</v>
      </c>
      <c r="AA5867">
        <v>0.99895049999999996</v>
      </c>
      <c r="AB5867">
        <v>29</v>
      </c>
      <c r="AC5867">
        <v>0.29380000000003198</v>
      </c>
      <c r="AD5867">
        <v>-1.107148598827</v>
      </c>
      <c r="AE5867">
        <v>-19.74267</v>
      </c>
      <c r="AF5867">
        <v>-0.15119838550881501</v>
      </c>
      <c r="AG5867">
        <v>-1.107148598827</v>
      </c>
      <c r="AH5867">
        <v>19.6823889302878</v>
      </c>
      <c r="AI5867">
        <v>93.219441374056302</v>
      </c>
      <c r="AJ5867">
        <v>90.440132495534201</v>
      </c>
      <c r="AK5867">
        <v>19.7140831127086</v>
      </c>
      <c r="AL5867">
        <v>80.401106316417795</v>
      </c>
      <c r="AM5867">
        <v>89.8997796714809</v>
      </c>
      <c r="AN5867">
        <v>0.99999995069513803</v>
      </c>
    </row>
    <row r="5868" spans="1:40" x14ac:dyDescent="0.25">
      <c r="A5868" t="str">
        <f>"20190304155752384"</f>
        <v>20190304155752384</v>
      </c>
      <c r="B5868" t="str">
        <f>"1551686272380982"</f>
        <v>1551686272380982</v>
      </c>
      <c r="C5868" t="s">
        <v>40</v>
      </c>
      <c r="D5868">
        <v>5.0784039999999999</v>
      </c>
      <c r="E5868">
        <v>0.49625619999999998</v>
      </c>
      <c r="F5868" t="s">
        <v>41</v>
      </c>
      <c r="G5868">
        <v>-301.26400000000001</v>
      </c>
      <c r="H5868" s="1">
        <v>-3.4627010000000001E-6</v>
      </c>
      <c r="I5868">
        <v>-33.123190000000001</v>
      </c>
      <c r="J5868">
        <v>-301.51150000000001</v>
      </c>
      <c r="K5868">
        <v>1.107145</v>
      </c>
      <c r="L5868">
        <v>-13.341519999999999</v>
      </c>
      <c r="M5868">
        <v>3.7431090000000001E-3</v>
      </c>
      <c r="N5868">
        <v>-9.9670369999999998E-3</v>
      </c>
      <c r="O5868">
        <v>-0.99994349999999999</v>
      </c>
      <c r="P5868">
        <v>4.1609230000000004E-3</v>
      </c>
      <c r="Q5868">
        <v>0.15757860000000001</v>
      </c>
      <c r="R5868">
        <v>-0.98749770000000003</v>
      </c>
      <c r="S5868">
        <v>3.753662E-2</v>
      </c>
      <c r="T5868">
        <v>-0.16887379999999999</v>
      </c>
      <c r="U5868">
        <v>-3.06427</v>
      </c>
      <c r="V5868">
        <v>5.8559040000000001E-4</v>
      </c>
      <c r="W5868">
        <v>0.16741300000000001</v>
      </c>
      <c r="X5868">
        <v>0.9858867</v>
      </c>
      <c r="Y5868">
        <v>-8.4905550000000003E-3</v>
      </c>
      <c r="Z5868">
        <v>4.5069049999999999E-2</v>
      </c>
      <c r="AA5868">
        <v>0.99894780000000005</v>
      </c>
      <c r="AB5868">
        <v>29</v>
      </c>
      <c r="AC5868">
        <v>0.247500000000002</v>
      </c>
      <c r="AD5868">
        <v>-1.107148462701</v>
      </c>
      <c r="AE5868">
        <v>-19.781669999999998</v>
      </c>
      <c r="AF5868">
        <v>-0.17290811066834599</v>
      </c>
      <c r="AG5868">
        <v>-1.107148462701</v>
      </c>
      <c r="AH5868">
        <v>19.7206932175982</v>
      </c>
      <c r="AI5868">
        <v>93.213172209235694</v>
      </c>
      <c r="AJ5868">
        <v>90.5023480169843</v>
      </c>
      <c r="AK5868">
        <v>19.7525040416606</v>
      </c>
      <c r="AL5868">
        <v>80.362560862353803</v>
      </c>
      <c r="AM5868">
        <v>89.965967839410297</v>
      </c>
      <c r="AN5868">
        <v>1.000000020361</v>
      </c>
    </row>
    <row r="5869" spans="1:40" x14ac:dyDescent="0.25">
      <c r="A5869" t="str">
        <f>"20190304155752407"</f>
        <v>20190304155752407</v>
      </c>
      <c r="B5869" t="str">
        <f>"1551686272400503"</f>
        <v>1551686272400503</v>
      </c>
      <c r="C5869" t="s">
        <v>40</v>
      </c>
      <c r="D5869">
        <v>5.0567399999999996</v>
      </c>
      <c r="E5869">
        <v>0.49585689999999999</v>
      </c>
      <c r="F5869" t="s">
        <v>41</v>
      </c>
      <c r="G5869">
        <v>-301.34059999999999</v>
      </c>
      <c r="H5869" s="1">
        <v>-3.1649E-6</v>
      </c>
      <c r="I5869">
        <v>-33.864909999999902</v>
      </c>
      <c r="J5869">
        <v>-301.51389999999998</v>
      </c>
      <c r="K5869">
        <v>1.1071420000000001</v>
      </c>
      <c r="L5869">
        <v>-13.63739</v>
      </c>
      <c r="M5869">
        <v>4.2185029999999997E-4</v>
      </c>
      <c r="N5869">
        <v>-9.9648540000000004E-3</v>
      </c>
      <c r="O5869">
        <v>-0.99995040000000002</v>
      </c>
      <c r="P5869">
        <v>1.930991E-3</v>
      </c>
      <c r="Q5869">
        <v>0.1579171</v>
      </c>
      <c r="R5869">
        <v>-0.98745079999999996</v>
      </c>
      <c r="S5869">
        <v>2.5512699999999999E-2</v>
      </c>
      <c r="T5869">
        <v>-0.16530239999999999</v>
      </c>
      <c r="U5869">
        <v>-3.0642399999999999</v>
      </c>
      <c r="V5869">
        <v>-4.5909560000000001E-4</v>
      </c>
      <c r="W5869">
        <v>0.1677553</v>
      </c>
      <c r="X5869">
        <v>0.98582860000000005</v>
      </c>
      <c r="Y5869">
        <v>-7.8932550000000001E-3</v>
      </c>
      <c r="Z5869">
        <v>4.39125E-2</v>
      </c>
      <c r="AA5869">
        <v>0.99900420000000001</v>
      </c>
      <c r="AB5869">
        <v>29</v>
      </c>
      <c r="AC5869">
        <v>0.173299999999983</v>
      </c>
      <c r="AD5869">
        <v>-1.1071451648999999</v>
      </c>
      <c r="AE5869">
        <v>-20.227519999999899</v>
      </c>
      <c r="AF5869">
        <v>-0.16427446686373801</v>
      </c>
      <c r="AG5869">
        <v>-1.1071451648999999</v>
      </c>
      <c r="AH5869">
        <v>20.167177378905599</v>
      </c>
      <c r="AI5869">
        <v>93.142186622961006</v>
      </c>
      <c r="AJ5869">
        <v>90.4667001877839</v>
      </c>
      <c r="AK5869">
        <v>20.1982127909592</v>
      </c>
      <c r="AL5869">
        <v>80.342667367946106</v>
      </c>
      <c r="AM5869">
        <v>90.026682364836503</v>
      </c>
      <c r="AN5869">
        <v>1.0000000400124001</v>
      </c>
    </row>
    <row r="5870" spans="1:40" x14ac:dyDescent="0.25">
      <c r="A5870" t="str">
        <f>"20190304155752432"</f>
        <v>20190304155752432</v>
      </c>
      <c r="B5870" t="str">
        <f>"1551686272420998"</f>
        <v>1551686272420998</v>
      </c>
      <c r="C5870" t="s">
        <v>40</v>
      </c>
      <c r="D5870">
        <v>5.0951579999999996</v>
      </c>
      <c r="E5870">
        <v>0.51748000000000005</v>
      </c>
      <c r="F5870" t="s">
        <v>41</v>
      </c>
      <c r="G5870">
        <v>-301.36880000000002</v>
      </c>
      <c r="H5870" s="1">
        <v>-2.962337E-6</v>
      </c>
      <c r="I5870">
        <v>-34.354570000000002</v>
      </c>
      <c r="J5870">
        <v>-301.51749999999998</v>
      </c>
      <c r="K5870">
        <v>1.1071409999999999</v>
      </c>
      <c r="L5870">
        <v>-13.96274</v>
      </c>
      <c r="M5870">
        <v>-3.230578E-3</v>
      </c>
      <c r="N5870">
        <v>-9.9627599999999993E-3</v>
      </c>
      <c r="O5870">
        <v>-0.99994519999999998</v>
      </c>
      <c r="P5870">
        <v>-8.1948589999999999E-4</v>
      </c>
      <c r="Q5870">
        <v>0.1590664</v>
      </c>
      <c r="R5870">
        <v>-0.98726760000000002</v>
      </c>
      <c r="S5870">
        <v>2.1453860000000002E-2</v>
      </c>
      <c r="T5870">
        <v>-0.1637574</v>
      </c>
      <c r="U5870">
        <v>-3.06427</v>
      </c>
      <c r="V5870">
        <v>-1.3040389999999999E-3</v>
      </c>
      <c r="W5870">
        <v>0.1689059</v>
      </c>
      <c r="X5870">
        <v>0.98563129999999999</v>
      </c>
      <c r="Y5870">
        <v>-1.0221920000000001E-2</v>
      </c>
      <c r="Z5870">
        <v>4.3410999999999998E-2</v>
      </c>
      <c r="AA5870">
        <v>0.99900500000000003</v>
      </c>
      <c r="AB5870">
        <v>29</v>
      </c>
      <c r="AC5870">
        <v>0.148699999999962</v>
      </c>
      <c r="AD5870">
        <v>-1.1071439623370001</v>
      </c>
      <c r="AE5870">
        <v>-20.391829999999999</v>
      </c>
      <c r="AF5870">
        <v>-0.213949244974453</v>
      </c>
      <c r="AG5870">
        <v>-1.1071439623370001</v>
      </c>
      <c r="AH5870">
        <v>20.331314013890299</v>
      </c>
      <c r="AI5870">
        <v>93.116797263928007</v>
      </c>
      <c r="AJ5870">
        <v>90.602909202288799</v>
      </c>
      <c r="AK5870">
        <v>20.3625605355559</v>
      </c>
      <c r="AL5870">
        <v>80.275787947481504</v>
      </c>
      <c r="AM5870">
        <v>90.075805108284101</v>
      </c>
      <c r="AN5870">
        <v>0.99999998155610603</v>
      </c>
    </row>
    <row r="5871" spans="1:40" x14ac:dyDescent="0.25">
      <c r="A5871" t="str">
        <f>"20190304155752455"</f>
        <v>20190304155752455</v>
      </c>
      <c r="B5871" t="str">
        <f>"1551686272450278"</f>
        <v>1551686272450278</v>
      </c>
      <c r="C5871" t="s">
        <v>40</v>
      </c>
      <c r="D5871">
        <v>5.0978949999999896</v>
      </c>
      <c r="E5871">
        <v>0.51904119999999998</v>
      </c>
      <c r="F5871" t="s">
        <v>84</v>
      </c>
      <c r="G5871">
        <v>-303.0523</v>
      </c>
      <c r="H5871" s="1">
        <v>-2.4281620000000001E-6</v>
      </c>
      <c r="I5871">
        <v>-43.528370000000002</v>
      </c>
      <c r="J5871">
        <v>-301.52229999999997</v>
      </c>
      <c r="K5871">
        <v>1.1071329999999999</v>
      </c>
      <c r="L5871">
        <v>-14.27441</v>
      </c>
      <c r="M5871">
        <v>-6.7290319999999898E-3</v>
      </c>
      <c r="N5871">
        <v>-9.9613340000000005E-3</v>
      </c>
      <c r="O5871">
        <v>-0.99992780000000003</v>
      </c>
      <c r="P5871">
        <v>-3.2329630000000002E-3</v>
      </c>
      <c r="Q5871">
        <v>0.15964429999999999</v>
      </c>
      <c r="R5871">
        <v>-0.98716939999999997</v>
      </c>
      <c r="S5871">
        <v>-0.15869140000000001</v>
      </c>
      <c r="T5871">
        <v>-0.1144756</v>
      </c>
      <c r="U5871">
        <v>-3.057007</v>
      </c>
      <c r="V5871">
        <v>-2.3368299999999998E-3</v>
      </c>
      <c r="W5871">
        <v>0.16948820000000001</v>
      </c>
      <c r="X5871">
        <v>0.9855294</v>
      </c>
      <c r="Y5871">
        <v>4.5089310000000001E-2</v>
      </c>
      <c r="Z5871">
        <v>2.742083E-2</v>
      </c>
      <c r="AA5871">
        <v>0.99860660000000001</v>
      </c>
      <c r="AB5871">
        <v>29</v>
      </c>
      <c r="AC5871">
        <v>-1.53000000000002</v>
      </c>
      <c r="AD5871">
        <v>-1.1071354281619901</v>
      </c>
      <c r="AE5871">
        <v>-29.253959999999999</v>
      </c>
      <c r="AF5871">
        <v>1.3312032946749</v>
      </c>
      <c r="AG5871">
        <v>-1.1071354281619901</v>
      </c>
      <c r="AH5871">
        <v>29.221853437148699</v>
      </c>
      <c r="AI5871">
        <v>92.1674955226528</v>
      </c>
      <c r="AJ5871">
        <v>87.391690623117299</v>
      </c>
      <c r="AK5871">
        <v>29.273103172882902</v>
      </c>
      <c r="AL5871">
        <v>80.2419362860294</v>
      </c>
      <c r="AM5871">
        <v>90.135856165747697</v>
      </c>
      <c r="AN5871">
        <v>0.99999995448902301</v>
      </c>
    </row>
    <row r="5872" spans="1:40" x14ac:dyDescent="0.25">
      <c r="A5872" t="str">
        <f>"20190304155752476"</f>
        <v>20190304155752476</v>
      </c>
      <c r="B5872" t="str">
        <f>"1551686272470774"</f>
        <v>1551686272470774</v>
      </c>
      <c r="C5872" t="s">
        <v>40</v>
      </c>
      <c r="D5872">
        <v>5.0545390000000001</v>
      </c>
      <c r="E5872">
        <v>0.51923399999999997</v>
      </c>
      <c r="F5872" t="s">
        <v>84</v>
      </c>
      <c r="G5872">
        <v>-303.2953</v>
      </c>
      <c r="H5872" s="1">
        <v>-3.098629E-6</v>
      </c>
      <c r="I5872">
        <v>-44.529960000000003</v>
      </c>
      <c r="J5872">
        <v>-301.5274</v>
      </c>
      <c r="K5872">
        <v>1.1071279999999999</v>
      </c>
      <c r="L5872">
        <v>-14.54959</v>
      </c>
      <c r="M5872">
        <v>-9.8183430000000002E-3</v>
      </c>
      <c r="N5872">
        <v>-9.9605490000000008E-3</v>
      </c>
      <c r="O5872">
        <v>-0.99990230000000002</v>
      </c>
      <c r="P5872">
        <v>-5.6841499999999998E-3</v>
      </c>
      <c r="Q5872">
        <v>0.15944320000000001</v>
      </c>
      <c r="R5872">
        <v>-0.98719109999999999</v>
      </c>
      <c r="S5872">
        <v>-0.17910770000000001</v>
      </c>
      <c r="T5872">
        <v>-0.1118455</v>
      </c>
      <c r="U5872">
        <v>-3.0564879999999999</v>
      </c>
      <c r="V5872">
        <v>-2.9346900000000002E-3</v>
      </c>
      <c r="W5872">
        <v>0.16929029999999901</v>
      </c>
      <c r="X5872">
        <v>0.98556180000000004</v>
      </c>
      <c r="Y5872">
        <v>4.8662089999999998E-2</v>
      </c>
      <c r="Z5872">
        <v>2.6559920000000001E-2</v>
      </c>
      <c r="AA5872">
        <v>0.99846210000000002</v>
      </c>
      <c r="AB5872">
        <v>29</v>
      </c>
      <c r="AC5872">
        <v>-1.76789999999999</v>
      </c>
      <c r="AD5872">
        <v>-1.1071310986289999</v>
      </c>
      <c r="AE5872">
        <v>-29.980369999999901</v>
      </c>
      <c r="AF5872">
        <v>1.4714429728073199</v>
      </c>
      <c r="AG5872">
        <v>-1.1071310986289999</v>
      </c>
      <c r="AH5872">
        <v>29.955574123219399</v>
      </c>
      <c r="AI5872">
        <v>92.114090466968193</v>
      </c>
      <c r="AJ5872">
        <v>87.187843487955107</v>
      </c>
      <c r="AK5872">
        <v>30.012119297768098</v>
      </c>
      <c r="AL5872">
        <v>80.253441234734098</v>
      </c>
      <c r="AM5872">
        <v>90.170608128504099</v>
      </c>
      <c r="AN5872">
        <v>0.99999993984936097</v>
      </c>
    </row>
    <row r="5873" spans="1:40" x14ac:dyDescent="0.25">
      <c r="A5873" t="str">
        <f>"20190304155752513"</f>
        <v>20190304155752513</v>
      </c>
      <c r="B5873" t="str">
        <f>"1551686272510791"</f>
        <v>1551686272510791</v>
      </c>
      <c r="C5873" t="s">
        <v>40</v>
      </c>
      <c r="D5873">
        <v>5.0642440000000004</v>
      </c>
      <c r="E5873">
        <v>0.51879439999999999</v>
      </c>
      <c r="F5873" t="s">
        <v>84</v>
      </c>
      <c r="G5873">
        <v>-303.39760000000001</v>
      </c>
      <c r="H5873" s="1">
        <v>-3.3397949999999998E-6</v>
      </c>
      <c r="I5873">
        <v>-44.886960000000002</v>
      </c>
      <c r="J5873">
        <v>-301.5385</v>
      </c>
      <c r="K5873">
        <v>1.1071120000000001</v>
      </c>
      <c r="L5873">
        <v>-15.03922</v>
      </c>
      <c r="M5873">
        <v>-1.531415E-2</v>
      </c>
      <c r="N5873">
        <v>-9.9602839999999998E-3</v>
      </c>
      <c r="O5873">
        <v>-0.99983319999999998</v>
      </c>
      <c r="P5873">
        <v>-8.6392269999999993E-3</v>
      </c>
      <c r="Q5873">
        <v>0.15863279999999999</v>
      </c>
      <c r="R5873">
        <v>-0.98729999999999996</v>
      </c>
      <c r="S5873">
        <v>-0.188385</v>
      </c>
      <c r="T5873">
        <v>-0.1115201</v>
      </c>
      <c r="U5873">
        <v>-3.055847</v>
      </c>
      <c r="V5873">
        <v>-5.4078440000000002E-3</v>
      </c>
      <c r="W5873">
        <v>0.16849700000000001</v>
      </c>
      <c r="X5873">
        <v>0.98568730000000004</v>
      </c>
      <c r="Y5873">
        <v>4.6205280000000001E-2</v>
      </c>
      <c r="Z5873">
        <v>2.6458539999999999E-2</v>
      </c>
      <c r="AA5873">
        <v>0.99858150000000001</v>
      </c>
      <c r="AB5873">
        <v>29</v>
      </c>
      <c r="AC5873">
        <v>-1.85910000000001</v>
      </c>
      <c r="AD5873">
        <v>-1.107115339795</v>
      </c>
      <c r="AE5873">
        <v>-29.847739999999899</v>
      </c>
      <c r="AF5873">
        <v>1.3998480567118301</v>
      </c>
      <c r="AG5873">
        <v>-1.107115339795</v>
      </c>
      <c r="AH5873">
        <v>29.831826677227799</v>
      </c>
      <c r="AI5873">
        <v>92.123045054443295</v>
      </c>
      <c r="AJ5873">
        <v>87.313386289156099</v>
      </c>
      <c r="AK5873">
        <v>29.885166251129501</v>
      </c>
      <c r="AL5873">
        <v>80.299556740575497</v>
      </c>
      <c r="AM5873">
        <v>90.3143426203236</v>
      </c>
      <c r="AN5873">
        <v>0.99999996858350804</v>
      </c>
    </row>
    <row r="5874" spans="1:40" x14ac:dyDescent="0.25">
      <c r="A5874" t="str">
        <f>"20190304155752536"</f>
        <v>20190304155752536</v>
      </c>
      <c r="B5874" t="str">
        <f>"1551686272530310"</f>
        <v>1551686272530310</v>
      </c>
      <c r="C5874" t="s">
        <v>40</v>
      </c>
      <c r="D5874">
        <v>5.0512439999999996</v>
      </c>
      <c r="E5874">
        <v>0.51847579999999904</v>
      </c>
      <c r="F5874" t="s">
        <v>84</v>
      </c>
      <c r="G5874">
        <v>-303.40809999999999</v>
      </c>
      <c r="H5874" s="1">
        <v>-3.052953E-6</v>
      </c>
      <c r="I5874">
        <v>-44.433399999999999</v>
      </c>
      <c r="J5874">
        <v>-301.54689999999999</v>
      </c>
      <c r="K5874">
        <v>1.1071070000000001</v>
      </c>
      <c r="L5874">
        <v>-15.34976</v>
      </c>
      <c r="M5874">
        <v>-1.8799010000000001E-2</v>
      </c>
      <c r="N5874">
        <v>-9.9609030000000001E-3</v>
      </c>
      <c r="O5874">
        <v>-0.99977380000000005</v>
      </c>
      <c r="P5874">
        <v>-9.8891310000000007E-3</v>
      </c>
      <c r="Q5874">
        <v>0.15833459999999999</v>
      </c>
      <c r="R5874">
        <v>-0.98733629999999994</v>
      </c>
      <c r="S5874">
        <v>-0.19433590000000001</v>
      </c>
      <c r="T5874">
        <v>-0.1150795</v>
      </c>
      <c r="U5874">
        <v>-3.0553889999999999</v>
      </c>
      <c r="V5874">
        <v>-7.5989300000000003E-3</v>
      </c>
      <c r="W5874">
        <v>0.16821359999999999</v>
      </c>
      <c r="X5874">
        <v>0.98572130000000002</v>
      </c>
      <c r="Y5874">
        <v>4.4667999999999999E-2</v>
      </c>
      <c r="Z5874">
        <v>2.762131E-2</v>
      </c>
      <c r="AA5874">
        <v>0.99861999999999995</v>
      </c>
      <c r="AB5874">
        <v>29</v>
      </c>
      <c r="AC5874">
        <v>-1.86119999999999</v>
      </c>
      <c r="AD5874">
        <v>-1.107110052953</v>
      </c>
      <c r="AE5874">
        <v>-29.083639999999999</v>
      </c>
      <c r="AF5874">
        <v>1.312206670693</v>
      </c>
      <c r="AG5874">
        <v>-1.107110052953</v>
      </c>
      <c r="AH5874">
        <v>29.071536006174</v>
      </c>
      <c r="AI5874">
        <v>92.178683287944494</v>
      </c>
      <c r="AJ5874">
        <v>87.415585216850005</v>
      </c>
      <c r="AK5874">
        <v>29.1221871564316</v>
      </c>
      <c r="AL5874">
        <v>80.316029994745506</v>
      </c>
      <c r="AM5874">
        <v>90.441684676282406</v>
      </c>
      <c r="AN5874">
        <v>1.00000002011789</v>
      </c>
    </row>
    <row r="5875" spans="1:40" x14ac:dyDescent="0.25">
      <c r="A5875" t="str">
        <f>"20190304155752560"</f>
        <v>20190304155752560</v>
      </c>
      <c r="B5875" t="str">
        <f>"1551686272550806"</f>
        <v>1551686272550806</v>
      </c>
      <c r="C5875" t="s">
        <v>40</v>
      </c>
      <c r="D5875">
        <v>5.0360329999999998</v>
      </c>
      <c r="E5875">
        <v>0.5178739</v>
      </c>
      <c r="F5875" t="s">
        <v>84</v>
      </c>
      <c r="G5875">
        <v>-303.39319999999998</v>
      </c>
      <c r="H5875" s="1">
        <v>-2.926207E-6</v>
      </c>
      <c r="I5875">
        <v>-44.23724</v>
      </c>
      <c r="J5875">
        <v>-301.55650000000003</v>
      </c>
      <c r="K5875">
        <v>1.1071029999999999</v>
      </c>
      <c r="L5875">
        <v>-15.66287</v>
      </c>
      <c r="M5875">
        <v>-2.2312599999999998E-2</v>
      </c>
      <c r="N5875">
        <v>-9.9619979999999997E-3</v>
      </c>
      <c r="O5875">
        <v>-0.99970159999999997</v>
      </c>
      <c r="P5875">
        <v>-1.119851E-2</v>
      </c>
      <c r="Q5875">
        <v>0.1585047</v>
      </c>
      <c r="R5875">
        <v>-0.98729489999999998</v>
      </c>
      <c r="S5875">
        <v>-0.19528200000000001</v>
      </c>
      <c r="T5875">
        <v>-0.117094</v>
      </c>
      <c r="U5875">
        <v>-3.0552980000000001</v>
      </c>
      <c r="V5875">
        <v>-9.7550880000000003E-3</v>
      </c>
      <c r="W5875">
        <v>0.1683983</v>
      </c>
      <c r="X5875">
        <v>0.98567070000000001</v>
      </c>
      <c r="Y5875">
        <v>4.1466089999999997E-2</v>
      </c>
      <c r="Z5875">
        <v>2.8277589999999998E-2</v>
      </c>
      <c r="AA5875">
        <v>0.99873970000000001</v>
      </c>
      <c r="AB5875">
        <v>29</v>
      </c>
      <c r="AC5875">
        <v>-1.83669999999995</v>
      </c>
      <c r="AD5875">
        <v>-1.107105926207</v>
      </c>
      <c r="AE5875">
        <v>-28.574369999999998</v>
      </c>
      <c r="AF5875">
        <v>1.19685342258284</v>
      </c>
      <c r="AG5875">
        <v>-1.107105926207</v>
      </c>
      <c r="AH5875">
        <v>28.565534281286901</v>
      </c>
      <c r="AI5875">
        <v>92.217541035787207</v>
      </c>
      <c r="AJ5875">
        <v>87.600795277221593</v>
      </c>
      <c r="AK5875">
        <v>28.6120235289706</v>
      </c>
      <c r="AL5875">
        <v>80.305293524064098</v>
      </c>
      <c r="AM5875">
        <v>90.567032299508696</v>
      </c>
      <c r="AN5875">
        <v>0.99999993901163198</v>
      </c>
    </row>
    <row r="5876" spans="1:40" x14ac:dyDescent="0.25">
      <c r="A5876" t="str">
        <f>"20190304155752584"</f>
        <v>20190304155752584</v>
      </c>
      <c r="B5876" t="str">
        <f>"1551686272580086"</f>
        <v>1551686272580086</v>
      </c>
      <c r="C5876" t="s">
        <v>40</v>
      </c>
      <c r="D5876">
        <v>5.071809</v>
      </c>
      <c r="E5876">
        <v>0.51203609999999999</v>
      </c>
      <c r="F5876" t="s">
        <v>84</v>
      </c>
      <c r="G5876">
        <v>-303.36489999999998</v>
      </c>
      <c r="H5876" s="1">
        <v>-2.872199E-6</v>
      </c>
      <c r="I5876">
        <v>-44.15849</v>
      </c>
      <c r="J5876">
        <v>-301.56740000000002</v>
      </c>
      <c r="K5876">
        <v>1.1071</v>
      </c>
      <c r="L5876">
        <v>-15.98175</v>
      </c>
      <c r="M5876">
        <v>-2.5889499999999999E-2</v>
      </c>
      <c r="N5876">
        <v>-9.9602240000000002E-3</v>
      </c>
      <c r="O5876">
        <v>-0.99961529999999998</v>
      </c>
      <c r="P5876">
        <v>-1.233533E-2</v>
      </c>
      <c r="Q5876">
        <v>0.15852140000000001</v>
      </c>
      <c r="R5876">
        <v>-0.98727869999999995</v>
      </c>
      <c r="S5876">
        <v>-0.19390869999999999</v>
      </c>
      <c r="T5876">
        <v>-0.1187097</v>
      </c>
      <c r="U5876">
        <v>-3.05545</v>
      </c>
      <c r="V5876">
        <v>-1.214779E-2</v>
      </c>
      <c r="W5876">
        <v>0.16842889999999999</v>
      </c>
      <c r="X5876">
        <v>0.98563900000000004</v>
      </c>
      <c r="Y5876">
        <v>3.7440389999999997E-2</v>
      </c>
      <c r="Z5876">
        <v>2.8803970000000002E-2</v>
      </c>
      <c r="AA5876">
        <v>0.99888370000000004</v>
      </c>
      <c r="AB5876">
        <v>29</v>
      </c>
      <c r="AC5876">
        <v>-1.7974999999999499</v>
      </c>
      <c r="AD5876">
        <v>-1.1071028721989999</v>
      </c>
      <c r="AE5876">
        <v>-28.176739999999999</v>
      </c>
      <c r="AF5876">
        <v>1.06574098527377</v>
      </c>
      <c r="AG5876">
        <v>-1.1071028721989999</v>
      </c>
      <c r="AH5876">
        <v>28.170519483290398</v>
      </c>
      <c r="AI5876">
        <v>92.248961733534998</v>
      </c>
      <c r="AJ5876">
        <v>87.833431727045195</v>
      </c>
      <c r="AK5876">
        <v>28.2124023892998</v>
      </c>
      <c r="AL5876">
        <v>80.303515961342399</v>
      </c>
      <c r="AM5876">
        <v>90.706122483865201</v>
      </c>
      <c r="AN5876">
        <v>1.0000000507390401</v>
      </c>
    </row>
    <row r="5877" spans="1:40" x14ac:dyDescent="0.25">
      <c r="A5877" t="str">
        <f>"20190304155752605"</f>
        <v>20190304155752605</v>
      </c>
      <c r="B5877" t="str">
        <f>"1551686272600582"</f>
        <v>1551686272600582</v>
      </c>
      <c r="C5877" t="s">
        <v>40</v>
      </c>
      <c r="D5877">
        <v>5.0202030000000004</v>
      </c>
      <c r="E5877">
        <v>0.51230010000000004</v>
      </c>
      <c r="F5877" t="s">
        <v>84</v>
      </c>
      <c r="G5877">
        <v>-302.83730000000003</v>
      </c>
      <c r="H5877" s="1">
        <v>-1.2413559999999999E-6</v>
      </c>
      <c r="I5877">
        <v>-41.631880000000002</v>
      </c>
      <c r="J5877">
        <v>-301.57780000000002</v>
      </c>
      <c r="K5877">
        <v>1.107094</v>
      </c>
      <c r="L5877">
        <v>-16.258970000000001</v>
      </c>
      <c r="M5877">
        <v>-2.899761E-2</v>
      </c>
      <c r="N5877">
        <v>-9.9509739999999996E-3</v>
      </c>
      <c r="O5877">
        <v>-0.99953009999999998</v>
      </c>
      <c r="P5877">
        <v>-1.330982E-2</v>
      </c>
      <c r="Q5877">
        <v>0.1587732</v>
      </c>
      <c r="R5877">
        <v>-0.98722589999999999</v>
      </c>
      <c r="S5877">
        <v>-0.1513977</v>
      </c>
      <c r="T5877">
        <v>-0.131986299999999</v>
      </c>
      <c r="U5877">
        <v>-3.0579529999999999</v>
      </c>
      <c r="V5877">
        <v>-1.423811E-2</v>
      </c>
      <c r="W5877">
        <v>0.1686841</v>
      </c>
      <c r="X5877">
        <v>0.98556730000000003</v>
      </c>
      <c r="Y5877">
        <v>2.043203E-2</v>
      </c>
      <c r="Z5877">
        <v>3.3126759999999998E-2</v>
      </c>
      <c r="AA5877">
        <v>0.99924230000000003</v>
      </c>
      <c r="AB5877">
        <v>29</v>
      </c>
      <c r="AC5877">
        <v>-1.2595000000000001</v>
      </c>
      <c r="AD5877">
        <v>-1.107095241356</v>
      </c>
      <c r="AE5877">
        <v>-25.372909999999901</v>
      </c>
      <c r="AF5877">
        <v>0.52218851910558095</v>
      </c>
      <c r="AG5877">
        <v>-1.107095241356</v>
      </c>
      <c r="AH5877">
        <v>25.3506186716989</v>
      </c>
      <c r="AI5877">
        <v>92.500064356374295</v>
      </c>
      <c r="AJ5877">
        <v>88.819951177377007</v>
      </c>
      <c r="AK5877">
        <v>25.380153816728701</v>
      </c>
      <c r="AL5877">
        <v>80.288681100444293</v>
      </c>
      <c r="AM5877">
        <v>90.827672413379403</v>
      </c>
      <c r="AN5877">
        <v>0.99999997609923497</v>
      </c>
    </row>
    <row r="5878" spans="1:40" x14ac:dyDescent="0.25">
      <c r="A5878" t="str">
        <f>"20190304155752647"</f>
        <v>20190304155752647</v>
      </c>
      <c r="B5878" t="str">
        <f>"1551686272640598"</f>
        <v>1551686272640598</v>
      </c>
      <c r="C5878" t="s">
        <v>40</v>
      </c>
      <c r="D5878">
        <v>4.9991329999999996</v>
      </c>
      <c r="E5878">
        <v>0.51279819999999998</v>
      </c>
      <c r="F5878" t="s">
        <v>84</v>
      </c>
      <c r="G5878">
        <v>-302.9067</v>
      </c>
      <c r="H5878" s="1">
        <v>-1.630597E-6</v>
      </c>
      <c r="I5878">
        <v>-42.305500000000002</v>
      </c>
      <c r="J5878">
        <v>-301.601</v>
      </c>
      <c r="K5878">
        <v>1.107084</v>
      </c>
      <c r="L5878">
        <v>-16.813960000000002</v>
      </c>
      <c r="M5878">
        <v>-3.5188919999999999E-2</v>
      </c>
      <c r="N5878">
        <v>-9.894033E-3</v>
      </c>
      <c r="O5878">
        <v>-0.99933179999999999</v>
      </c>
      <c r="P5878">
        <v>-1.497564E-2</v>
      </c>
      <c r="Q5878">
        <v>0.15917339999999999</v>
      </c>
      <c r="R5878">
        <v>-0.9871375</v>
      </c>
      <c r="S5878">
        <v>-0.1560059</v>
      </c>
      <c r="T5878">
        <v>-0.12996269999999999</v>
      </c>
      <c r="U5878">
        <v>-3.057617</v>
      </c>
      <c r="V5878">
        <v>-1.8683459999999999E-2</v>
      </c>
      <c r="W5878">
        <v>0.16905539999999999</v>
      </c>
      <c r="X5878">
        <v>0.98542949999999996</v>
      </c>
      <c r="Y5878">
        <v>1.5748229999999998E-2</v>
      </c>
      <c r="Z5878">
        <v>3.2518320000000003E-2</v>
      </c>
      <c r="AA5878">
        <v>0.99934710000000004</v>
      </c>
      <c r="AB5878">
        <v>30</v>
      </c>
      <c r="AC5878">
        <v>-1.3057000000000001</v>
      </c>
      <c r="AD5878">
        <v>-1.107085630597</v>
      </c>
      <c r="AE5878">
        <v>-25.491540000000001</v>
      </c>
      <c r="AF5878">
        <v>0.40706193073657498</v>
      </c>
      <c r="AG5878">
        <v>-1.107085630597</v>
      </c>
      <c r="AH5878">
        <v>25.473778422583699</v>
      </c>
      <c r="AI5878">
        <v>92.488180636667195</v>
      </c>
      <c r="AJ5878">
        <v>89.084511712940099</v>
      </c>
      <c r="AK5878">
        <v>25.501073019224599</v>
      </c>
      <c r="AL5878">
        <v>80.267097920339793</v>
      </c>
      <c r="AM5878">
        <v>91.086181368855904</v>
      </c>
      <c r="AN5878">
        <v>1.00000004970848</v>
      </c>
    </row>
    <row r="5879" spans="1:40" x14ac:dyDescent="0.25">
      <c r="A5879" t="str">
        <f>"20190304155752672"</f>
        <v>20190304155752672</v>
      </c>
      <c r="B5879" t="str">
        <f>"1551686272660118"</f>
        <v>1551686272660118</v>
      </c>
      <c r="C5879" t="s">
        <v>40</v>
      </c>
      <c r="D5879">
        <v>4.9929370000000004</v>
      </c>
      <c r="E5879">
        <v>0.51292020000000005</v>
      </c>
      <c r="F5879" t="s">
        <v>84</v>
      </c>
      <c r="G5879">
        <v>-303.10239999999999</v>
      </c>
      <c r="H5879" s="1">
        <v>-3.1591069999999999E-6</v>
      </c>
      <c r="I5879">
        <v>-44.667360000000002</v>
      </c>
      <c r="J5879">
        <v>-301.6164</v>
      </c>
      <c r="K5879">
        <v>1.107092</v>
      </c>
      <c r="L5879">
        <v>-17.14133</v>
      </c>
      <c r="M5879">
        <v>-3.8807389999999997E-2</v>
      </c>
      <c r="N5879">
        <v>-9.8450120000000002E-3</v>
      </c>
      <c r="O5879">
        <v>-0.99919829999999998</v>
      </c>
      <c r="P5879">
        <v>-1.68247999999999E-2</v>
      </c>
      <c r="Q5879">
        <v>0.16007839999999901</v>
      </c>
      <c r="R5879">
        <v>-0.98696090000000003</v>
      </c>
      <c r="S5879">
        <v>-0.16473389999999999</v>
      </c>
      <c r="T5879">
        <v>-0.1214739</v>
      </c>
      <c r="U5879">
        <v>-3.0561829999999999</v>
      </c>
      <c r="V5879">
        <v>-2.040202E-2</v>
      </c>
      <c r="W5879">
        <v>0.1699205</v>
      </c>
      <c r="X5879">
        <v>0.98524650000000003</v>
      </c>
      <c r="Y5879">
        <v>1.500255E-2</v>
      </c>
      <c r="Z5879">
        <v>2.9810880000000001E-2</v>
      </c>
      <c r="AA5879">
        <v>0.99944290000000002</v>
      </c>
      <c r="AB5879">
        <v>30</v>
      </c>
      <c r="AC5879">
        <v>-1.48599999999998</v>
      </c>
      <c r="AD5879">
        <v>-1.107095159107</v>
      </c>
      <c r="AE5879">
        <v>-27.526029999999899</v>
      </c>
      <c r="AF5879">
        <v>0.41594455077029402</v>
      </c>
      <c r="AG5879">
        <v>-1.107095159107</v>
      </c>
      <c r="AH5879">
        <v>27.518577585617798</v>
      </c>
      <c r="AI5879">
        <v>92.303551417192097</v>
      </c>
      <c r="AJ5879">
        <v>89.134037632121704</v>
      </c>
      <c r="AK5879">
        <v>27.543979049808701</v>
      </c>
      <c r="AL5879">
        <v>80.216802636932798</v>
      </c>
      <c r="AM5879">
        <v>91.186284447567203</v>
      </c>
      <c r="AN5879">
        <v>0.99999994225128797</v>
      </c>
    </row>
    <row r="5880" spans="1:40" x14ac:dyDescent="0.25">
      <c r="A5880" t="str">
        <f>"20190304155752695"</f>
        <v>20190304155752695</v>
      </c>
      <c r="B5880" t="str">
        <f>"1551686272690374"</f>
        <v>1551686272690374</v>
      </c>
      <c r="C5880" t="s">
        <v>40</v>
      </c>
      <c r="D5880">
        <v>4.9320180000000002</v>
      </c>
      <c r="E5880">
        <v>0.51289779999999996</v>
      </c>
      <c r="F5880" t="s">
        <v>84</v>
      </c>
      <c r="G5880">
        <v>-303.2577</v>
      </c>
      <c r="H5880" s="1">
        <v>-3.9696890000000002E-6</v>
      </c>
      <c r="I5880">
        <v>-46.344830000000002</v>
      </c>
      <c r="J5880">
        <v>-301.63189999999997</v>
      </c>
      <c r="K5880">
        <v>1.1071040000000001</v>
      </c>
      <c r="L5880">
        <v>-17.449490000000001</v>
      </c>
      <c r="M5880">
        <v>-4.2163600000000002E-2</v>
      </c>
      <c r="N5880">
        <v>-9.7825949999999998E-3</v>
      </c>
      <c r="O5880">
        <v>-0.99906300000000003</v>
      </c>
      <c r="P5880">
        <v>-1.8551669999999999E-2</v>
      </c>
      <c r="Q5880">
        <v>0.16065760000000001</v>
      </c>
      <c r="R5880">
        <v>-0.98683600000000005</v>
      </c>
      <c r="S5880">
        <v>-0.1717224</v>
      </c>
      <c r="T5880">
        <v>-0.1158323</v>
      </c>
      <c r="U5880">
        <v>-3.0554809999999999</v>
      </c>
      <c r="V5880">
        <v>-2.199307E-2</v>
      </c>
      <c r="W5880">
        <v>0.17044579999999901</v>
      </c>
      <c r="X5880">
        <v>0.98512149999999998</v>
      </c>
      <c r="Y5880">
        <v>1.393848E-2</v>
      </c>
      <c r="Z5880">
        <v>2.8034549999999998E-2</v>
      </c>
      <c r="AA5880">
        <v>0.9995098</v>
      </c>
      <c r="AB5880">
        <v>30</v>
      </c>
      <c r="AC5880">
        <v>-1.6258000000000199</v>
      </c>
      <c r="AD5880">
        <v>-1.107107969689</v>
      </c>
      <c r="AE5880">
        <v>-28.895340000000001</v>
      </c>
      <c r="AF5880">
        <v>0.40537121852646302</v>
      </c>
      <c r="AG5880">
        <v>-1.107107969689</v>
      </c>
      <c r="AH5880">
        <v>28.895909188191801</v>
      </c>
      <c r="AI5880">
        <v>92.193922013719103</v>
      </c>
      <c r="AJ5880">
        <v>89.196269052180298</v>
      </c>
      <c r="AK5880">
        <v>28.9199512740527</v>
      </c>
      <c r="AL5880">
        <v>80.186259371687697</v>
      </c>
      <c r="AM5880">
        <v>91.278929349366194</v>
      </c>
      <c r="AN5880">
        <v>0.99999991781395403</v>
      </c>
    </row>
    <row r="5881" spans="1:40" x14ac:dyDescent="0.25">
      <c r="A5881" t="str">
        <f>"20190304155752720"</f>
        <v>20190304155752720</v>
      </c>
      <c r="B5881" t="str">
        <f>"1551686272710872"</f>
        <v>1551686272710872</v>
      </c>
      <c r="C5881" t="s">
        <v>40</v>
      </c>
      <c r="D5881">
        <v>4.9351320000000003</v>
      </c>
      <c r="E5881">
        <v>0.51299139999999999</v>
      </c>
      <c r="F5881" t="s">
        <v>84</v>
      </c>
      <c r="G5881">
        <v>-303.37380000000002</v>
      </c>
      <c r="H5881" s="1">
        <v>-4.4445039999999997E-6</v>
      </c>
      <c r="I5881">
        <v>-47.482979999999998</v>
      </c>
      <c r="J5881">
        <v>-301.64999999999998</v>
      </c>
      <c r="K5881">
        <v>1.107124</v>
      </c>
      <c r="L5881">
        <v>-17.786709999999999</v>
      </c>
      <c r="M5881">
        <v>-4.5774960000000003E-2</v>
      </c>
      <c r="N5881">
        <v>-9.7014979999999994E-3</v>
      </c>
      <c r="O5881">
        <v>-0.99890469999999998</v>
      </c>
      <c r="P5881">
        <v>-2.0570479999999999E-2</v>
      </c>
      <c r="Q5881">
        <v>0.1604005</v>
      </c>
      <c r="R5881">
        <v>-0.98683790000000005</v>
      </c>
      <c r="S5881">
        <v>-0.17718510000000001</v>
      </c>
      <c r="T5881">
        <v>-0.1126157</v>
      </c>
      <c r="U5881">
        <v>-3.0550229999999998</v>
      </c>
      <c r="V5881">
        <v>-2.3560049999999999E-2</v>
      </c>
      <c r="W5881">
        <v>0.17011689999999999</v>
      </c>
      <c r="X5881">
        <v>0.98514219999999997</v>
      </c>
      <c r="Y5881">
        <v>1.211567E-2</v>
      </c>
      <c r="Z5881">
        <v>2.7063589999999998E-2</v>
      </c>
      <c r="AA5881">
        <v>0.99956029999999996</v>
      </c>
      <c r="AB5881">
        <v>30</v>
      </c>
      <c r="AC5881">
        <v>-1.72380000000003</v>
      </c>
      <c r="AD5881">
        <v>-1.1071284445039999</v>
      </c>
      <c r="AE5881">
        <v>-29.696269999999998</v>
      </c>
      <c r="AF5881">
        <v>0.36208182447827097</v>
      </c>
      <c r="AG5881">
        <v>-1.1071284445039999</v>
      </c>
      <c r="AH5881">
        <v>29.7029031040103</v>
      </c>
      <c r="AI5881">
        <v>92.134462383099802</v>
      </c>
      <c r="AJ5881">
        <v>89.301592413348402</v>
      </c>
      <c r="AK5881">
        <v>29.725734464374</v>
      </c>
      <c r="AL5881">
        <v>80.205384012911196</v>
      </c>
      <c r="AM5881">
        <v>91.3699891890396</v>
      </c>
      <c r="AN5881">
        <v>0.99999999492122604</v>
      </c>
    </row>
    <row r="5882" spans="1:40" x14ac:dyDescent="0.25">
      <c r="A5882" t="str">
        <f>"20190304155752746"</f>
        <v>20190304155752746</v>
      </c>
      <c r="B5882" t="str">
        <f>"1551686272740151"</f>
        <v>1551686272740151</v>
      </c>
      <c r="C5882" t="s">
        <v>40</v>
      </c>
      <c r="D5882">
        <v>4.9237950000000001</v>
      </c>
      <c r="E5882">
        <v>0.51311459999999998</v>
      </c>
      <c r="F5882" t="s">
        <v>84</v>
      </c>
      <c r="G5882">
        <v>-303.48689999999999</v>
      </c>
      <c r="H5882" s="1">
        <v>-4.8314159999999996E-6</v>
      </c>
      <c r="I5882">
        <v>-48.229439999999997</v>
      </c>
      <c r="J5882">
        <v>-301.6696</v>
      </c>
      <c r="K5882">
        <v>1.1071489999999999</v>
      </c>
      <c r="L5882">
        <v>-18.131499999999999</v>
      </c>
      <c r="M5882">
        <v>-4.9376469999999999E-2</v>
      </c>
      <c r="N5882">
        <v>-9.6056170000000003E-3</v>
      </c>
      <c r="O5882">
        <v>-0.99873429999999996</v>
      </c>
      <c r="P5882">
        <v>-2.2620350000000001E-2</v>
      </c>
      <c r="Q5882">
        <v>0.16014439999999999</v>
      </c>
      <c r="R5882">
        <v>-0.9868344</v>
      </c>
      <c r="S5882">
        <v>-0.18429570000000001</v>
      </c>
      <c r="T5882">
        <v>-0.11107499999999999</v>
      </c>
      <c r="U5882">
        <v>-3.05423</v>
      </c>
      <c r="V5882">
        <v>-2.5092929999999999E-2</v>
      </c>
      <c r="W5882">
        <v>0.16977249999999999</v>
      </c>
      <c r="X5882">
        <v>0.98516369999999998</v>
      </c>
      <c r="Y5882">
        <v>1.0845179999999999E-2</v>
      </c>
      <c r="Z5882">
        <v>2.6656490000000001E-2</v>
      </c>
      <c r="AA5882">
        <v>0.99958579999999997</v>
      </c>
      <c r="AB5882">
        <v>30</v>
      </c>
      <c r="AC5882">
        <v>-1.8172999999999799</v>
      </c>
      <c r="AD5882">
        <v>-1.1071538314160001</v>
      </c>
      <c r="AE5882">
        <v>-30.097940000000001</v>
      </c>
      <c r="AF5882">
        <v>0.328442088450414</v>
      </c>
      <c r="AG5882">
        <v>-1.1071538314160001</v>
      </c>
      <c r="AH5882">
        <v>30.1103647791535</v>
      </c>
      <c r="AI5882">
        <v>92.105683819856594</v>
      </c>
      <c r="AJ5882">
        <v>89.375045791758694</v>
      </c>
      <c r="AK5882">
        <v>30.132502898789699</v>
      </c>
      <c r="AL5882">
        <v>80.225407377680497</v>
      </c>
      <c r="AM5882">
        <v>91.459055172978495</v>
      </c>
      <c r="AN5882">
        <v>0.99999993634495998</v>
      </c>
    </row>
    <row r="5883" spans="1:40" x14ac:dyDescent="0.25">
      <c r="A5883" t="str">
        <f>"20190304155752768"</f>
        <v>20190304155752768</v>
      </c>
      <c r="B5883" t="str">
        <f>"1551686272760646"</f>
        <v>1551686272760646</v>
      </c>
      <c r="C5883" t="s">
        <v>40</v>
      </c>
      <c r="D5883">
        <v>4.9224690000000004</v>
      </c>
      <c r="E5883">
        <v>0.51317069999999998</v>
      </c>
      <c r="F5883" t="s">
        <v>84</v>
      </c>
      <c r="G5883">
        <v>-303.5856</v>
      </c>
      <c r="H5883" s="1">
        <v>-5.0315580000000004E-6</v>
      </c>
      <c r="I5883">
        <v>-48.610990000000001</v>
      </c>
      <c r="J5883">
        <v>-301.68740000000003</v>
      </c>
      <c r="K5883">
        <v>1.107189</v>
      </c>
      <c r="L5883">
        <v>-18.430540000000001</v>
      </c>
      <c r="M5883">
        <v>-5.2394919999999998E-2</v>
      </c>
      <c r="N5883">
        <v>-9.5140079999999991E-3</v>
      </c>
      <c r="O5883">
        <v>-0.99858119999999995</v>
      </c>
      <c r="P5883">
        <v>-2.4431250000000002E-2</v>
      </c>
      <c r="Q5883">
        <v>0.16070570000000001</v>
      </c>
      <c r="R5883">
        <v>-0.98670029999999997</v>
      </c>
      <c r="S5883">
        <v>-0.1919556</v>
      </c>
      <c r="T5883">
        <v>-0.1109214</v>
      </c>
      <c r="U5883">
        <v>-3.0536189999999999</v>
      </c>
      <c r="V5883">
        <v>-2.628111E-2</v>
      </c>
      <c r="W5883">
        <v>0.17024619999999999</v>
      </c>
      <c r="X5883">
        <v>0.98505100000000001</v>
      </c>
      <c r="Y5883">
        <v>1.0332940000000001E-2</v>
      </c>
      <c r="Z5883">
        <v>2.6695509999999999E-2</v>
      </c>
      <c r="AA5883">
        <v>0.99959019999999998</v>
      </c>
      <c r="AB5883">
        <v>30</v>
      </c>
      <c r="AC5883">
        <v>-1.8981999999999699</v>
      </c>
      <c r="AD5883">
        <v>-1.107194031558</v>
      </c>
      <c r="AE5883">
        <v>-30.18045</v>
      </c>
      <c r="AF5883">
        <v>0.31379810660302399</v>
      </c>
      <c r="AG5883">
        <v>-1.107194031558</v>
      </c>
      <c r="AH5883">
        <v>30.197970464647401</v>
      </c>
      <c r="AI5883">
        <v>92.099668316160802</v>
      </c>
      <c r="AJ5883">
        <v>89.404640121340606</v>
      </c>
      <c r="AK5883">
        <v>30.2198902721195</v>
      </c>
      <c r="AL5883">
        <v>80.197865744479898</v>
      </c>
      <c r="AM5883">
        <v>91.528285897085397</v>
      </c>
      <c r="AN5883">
        <v>0.99999996897913501</v>
      </c>
    </row>
    <row r="5884" spans="1:40" x14ac:dyDescent="0.25">
      <c r="A5884" t="str">
        <f>"20190304155752789"</f>
        <v>20190304155752789</v>
      </c>
      <c r="B5884" t="str">
        <f>"1551686272780167"</f>
        <v>1551686272780167</v>
      </c>
      <c r="C5884" t="s">
        <v>40</v>
      </c>
      <c r="D5884">
        <v>4.9017860000000004</v>
      </c>
      <c r="E5884">
        <v>0.51320270000000001</v>
      </c>
      <c r="F5884" t="s">
        <v>84</v>
      </c>
      <c r="G5884">
        <v>-303.72059999999999</v>
      </c>
      <c r="H5884" s="1">
        <v>-5.5849319999999997E-6</v>
      </c>
      <c r="I5884">
        <v>-49.681640000000002</v>
      </c>
      <c r="J5884">
        <v>-301.70580000000001</v>
      </c>
      <c r="K5884">
        <v>1.1072550000000001</v>
      </c>
      <c r="L5884">
        <v>-18.724460000000001</v>
      </c>
      <c r="M5884">
        <v>-5.5241640000000002E-2</v>
      </c>
      <c r="N5884">
        <v>-9.414258E-3</v>
      </c>
      <c r="O5884">
        <v>-0.99842889999999995</v>
      </c>
      <c r="P5884">
        <v>-2.5957029999999999E-2</v>
      </c>
      <c r="Q5884">
        <v>0.1610608</v>
      </c>
      <c r="R5884">
        <v>-0.98660309999999996</v>
      </c>
      <c r="S5884">
        <v>-0.19863890000000001</v>
      </c>
      <c r="T5884">
        <v>-0.1081693</v>
      </c>
      <c r="U5884">
        <v>-3.053131</v>
      </c>
      <c r="V5884">
        <v>-2.759549E-2</v>
      </c>
      <c r="W5884">
        <v>0.17050499999999999</v>
      </c>
      <c r="X5884">
        <v>0.98497029999999997</v>
      </c>
      <c r="Y5884">
        <v>9.6729409999999991E-3</v>
      </c>
      <c r="Z5884">
        <v>2.5894609999999998E-2</v>
      </c>
      <c r="AA5884">
        <v>0.99961789999999995</v>
      </c>
      <c r="AB5884">
        <v>30</v>
      </c>
      <c r="AC5884">
        <v>-2.0147999999999802</v>
      </c>
      <c r="AD5884">
        <v>-1.1072605849320001</v>
      </c>
      <c r="AE5884">
        <v>-30.957179999999902</v>
      </c>
      <c r="AF5884">
        <v>0.30113881013842198</v>
      </c>
      <c r="AG5884">
        <v>-1.1072605849320001</v>
      </c>
      <c r="AH5884">
        <v>30.981742262565401</v>
      </c>
      <c r="AI5884">
        <v>92.046733678216299</v>
      </c>
      <c r="AJ5884">
        <v>89.443109448451494</v>
      </c>
      <c r="AK5884">
        <v>31.0029847629215</v>
      </c>
      <c r="AL5884">
        <v>80.182817679148101</v>
      </c>
      <c r="AM5884">
        <v>91.604811455365393</v>
      </c>
      <c r="AN5884">
        <v>0.99999997898771498</v>
      </c>
    </row>
    <row r="5885" spans="1:40" x14ac:dyDescent="0.25">
      <c r="A5885" t="str">
        <f>"20190304155752815"</f>
        <v>20190304155752815</v>
      </c>
      <c r="B5885" t="str">
        <f>"1551686272810422"</f>
        <v>1551686272810422</v>
      </c>
      <c r="C5885" t="s">
        <v>40</v>
      </c>
      <c r="D5885">
        <v>4.8928289999999999</v>
      </c>
      <c r="E5885">
        <v>0.51310809999999996</v>
      </c>
      <c r="F5885" t="s">
        <v>84</v>
      </c>
      <c r="G5885">
        <v>-303.83159999999998</v>
      </c>
      <c r="H5885" s="1">
        <v>-6.027619E-6</v>
      </c>
      <c r="I5885">
        <v>-50.576509999999999</v>
      </c>
      <c r="J5885">
        <v>-301.72699999999998</v>
      </c>
      <c r="K5885">
        <v>1.1073360000000001</v>
      </c>
      <c r="L5885">
        <v>-19.05011</v>
      </c>
      <c r="M5885">
        <v>-5.8221120000000001E-2</v>
      </c>
      <c r="N5885">
        <v>-9.2940009999999997E-3</v>
      </c>
      <c r="O5885">
        <v>-0.99826060000000005</v>
      </c>
      <c r="P5885">
        <v>-2.7968099999999999E-2</v>
      </c>
      <c r="Q5885">
        <v>0.16234019999999999</v>
      </c>
      <c r="R5885">
        <v>-0.98633859999999995</v>
      </c>
      <c r="S5885">
        <v>-0.20373540000000001</v>
      </c>
      <c r="T5885">
        <v>-0.10612000000000001</v>
      </c>
      <c r="U5885">
        <v>-3.0527039999999999</v>
      </c>
      <c r="V5885">
        <v>-2.8553419999999999E-2</v>
      </c>
      <c r="W5885">
        <v>0.17166129999999999</v>
      </c>
      <c r="X5885">
        <v>0.98474220000000001</v>
      </c>
      <c r="Y5885">
        <v>8.360681E-3</v>
      </c>
      <c r="Z5885">
        <v>2.5342380000000001E-2</v>
      </c>
      <c r="AA5885">
        <v>0.99964390000000003</v>
      </c>
      <c r="AB5885">
        <v>30</v>
      </c>
      <c r="AC5885">
        <v>-2.1045999999999401</v>
      </c>
      <c r="AD5885">
        <v>-1.107342027619</v>
      </c>
      <c r="AE5885">
        <v>-31.526399999999999</v>
      </c>
      <c r="AF5885">
        <v>0.26512273108145801</v>
      </c>
      <c r="AG5885">
        <v>-1.107342027619</v>
      </c>
      <c r="AH5885">
        <v>31.556695742251399</v>
      </c>
      <c r="AI5885">
        <v>92.009645330125295</v>
      </c>
      <c r="AJ5885">
        <v>89.518642373735702</v>
      </c>
      <c r="AK5885">
        <v>31.577231395385098</v>
      </c>
      <c r="AL5885">
        <v>80.115575890069806</v>
      </c>
      <c r="AM5885">
        <v>91.660873472221397</v>
      </c>
      <c r="AN5885">
        <v>1.0000000500861099</v>
      </c>
    </row>
    <row r="5886" spans="1:40" x14ac:dyDescent="0.25">
      <c r="A5886" t="str">
        <f>"20190304155752848"</f>
        <v>20190304155752848</v>
      </c>
      <c r="B5886" t="str">
        <f>"1551686272840678"</f>
        <v>1551686272840678</v>
      </c>
      <c r="C5886" t="s">
        <v>40</v>
      </c>
      <c r="D5886">
        <v>4.8331720000000002</v>
      </c>
      <c r="E5886">
        <v>0.50626519999999997</v>
      </c>
      <c r="F5886" t="s">
        <v>84</v>
      </c>
      <c r="G5886">
        <v>-304.00990000000002</v>
      </c>
      <c r="H5886" s="1">
        <v>-6.7290369999999998E-6</v>
      </c>
      <c r="I5886">
        <v>-52.273200000000003</v>
      </c>
      <c r="J5886">
        <v>-301.75869999999998</v>
      </c>
      <c r="K5886">
        <v>1.107478</v>
      </c>
      <c r="L5886">
        <v>-19.517849999999999</v>
      </c>
      <c r="M5886">
        <v>-6.2220520000000001E-2</v>
      </c>
      <c r="N5886">
        <v>-9.1191599999999994E-3</v>
      </c>
      <c r="O5886">
        <v>-0.99802089999999999</v>
      </c>
      <c r="P5886">
        <v>-2.9721890000000001E-2</v>
      </c>
      <c r="Q5886">
        <v>0.16172839999999999</v>
      </c>
      <c r="R5886">
        <v>-0.98638780000000004</v>
      </c>
      <c r="S5886">
        <v>-0.2097473</v>
      </c>
      <c r="T5886">
        <v>-0.10173699999999999</v>
      </c>
      <c r="U5886">
        <v>-3.052368</v>
      </c>
      <c r="V5886">
        <v>-3.0828870000000001E-2</v>
      </c>
      <c r="W5886">
        <v>0.1708781</v>
      </c>
      <c r="X5886">
        <v>0.98480979999999996</v>
      </c>
      <c r="Y5886">
        <v>6.3239069999999897E-3</v>
      </c>
      <c r="Z5886">
        <v>2.4079860000000002E-2</v>
      </c>
      <c r="AA5886">
        <v>0.99969010000000003</v>
      </c>
      <c r="AB5886">
        <v>30</v>
      </c>
      <c r="AC5886">
        <v>-2.2512000000000398</v>
      </c>
      <c r="AD5886">
        <v>-1.107484729037</v>
      </c>
      <c r="AE5886">
        <v>-32.75535</v>
      </c>
      <c r="AF5886">
        <v>0.20846120364082599</v>
      </c>
      <c r="AG5886">
        <v>-1.107484729037</v>
      </c>
      <c r="AH5886">
        <v>32.7946418549434</v>
      </c>
      <c r="AI5886">
        <v>91.934121293589897</v>
      </c>
      <c r="AJ5886">
        <v>89.635800678996404</v>
      </c>
      <c r="AK5886">
        <v>32.813998733657598</v>
      </c>
      <c r="AL5886">
        <v>80.161122870308205</v>
      </c>
      <c r="AM5886">
        <v>91.793023876896498</v>
      </c>
      <c r="AN5886">
        <v>1.00000004323056</v>
      </c>
    </row>
    <row r="5887" spans="1:40" x14ac:dyDescent="0.25">
      <c r="A5887" t="str">
        <f>"20190304155752874"</f>
        <v>20190304155752874</v>
      </c>
      <c r="B5887" t="str">
        <f>"1551686272870934"</f>
        <v>1551686272870934</v>
      </c>
      <c r="C5887" t="s">
        <v>40</v>
      </c>
      <c r="D5887">
        <v>4.8498590000000004</v>
      </c>
      <c r="E5887">
        <v>0.50450839999999997</v>
      </c>
      <c r="F5887" t="s">
        <v>84</v>
      </c>
      <c r="G5887">
        <v>-303.10250000000002</v>
      </c>
      <c r="H5887" s="1">
        <v>-3.279986E-6</v>
      </c>
      <c r="I5887">
        <v>-44.857509999999998</v>
      </c>
      <c r="J5887">
        <v>-301.7833</v>
      </c>
      <c r="K5887">
        <v>1.107572</v>
      </c>
      <c r="L5887">
        <v>-19.865110000000001</v>
      </c>
      <c r="M5887">
        <v>-6.4955059999999995E-2</v>
      </c>
      <c r="N5887">
        <v>-9.0001089999999992E-3</v>
      </c>
      <c r="O5887">
        <v>-0.9978477</v>
      </c>
      <c r="P5887">
        <v>-3.0495910000000001E-2</v>
      </c>
      <c r="Q5887">
        <v>0.161681399999999</v>
      </c>
      <c r="R5887">
        <v>-0.98637180000000002</v>
      </c>
      <c r="S5887">
        <v>-0.16220090000000001</v>
      </c>
      <c r="T5887">
        <v>-0.1336706</v>
      </c>
      <c r="U5887">
        <v>-3.0584410000000002</v>
      </c>
      <c r="V5887">
        <v>-3.2806269999999998E-2</v>
      </c>
      <c r="W5887">
        <v>0.17071410000000001</v>
      </c>
      <c r="X5887">
        <v>0.98477429999999999</v>
      </c>
      <c r="Y5887">
        <v>-1.204771E-2</v>
      </c>
      <c r="Z5887">
        <v>3.4515690000000002E-2</v>
      </c>
      <c r="AA5887">
        <v>0.99933150000000004</v>
      </c>
      <c r="AB5887">
        <v>30</v>
      </c>
      <c r="AC5887">
        <v>-1.3192000000000199</v>
      </c>
      <c r="AD5887">
        <v>-1.1075752799859999</v>
      </c>
      <c r="AE5887">
        <v>-24.9924</v>
      </c>
      <c r="AF5887">
        <v>-0.30643441137987898</v>
      </c>
      <c r="AG5887">
        <v>-1.1075752799859999</v>
      </c>
      <c r="AH5887">
        <v>24.976392597080299</v>
      </c>
      <c r="AI5887">
        <v>92.538920484632996</v>
      </c>
      <c r="AJ5887">
        <v>90.702924472550606</v>
      </c>
      <c r="AK5887">
        <v>25.0028160856493</v>
      </c>
      <c r="AL5887">
        <v>80.170658963127096</v>
      </c>
      <c r="AM5887">
        <v>91.908016824871694</v>
      </c>
      <c r="AN5887">
        <v>0.99999998861530603</v>
      </c>
    </row>
    <row r="5888" spans="1:40" x14ac:dyDescent="0.25">
      <c r="A5888" t="str">
        <f>"20190304155752896"</f>
        <v>20190304155752896</v>
      </c>
      <c r="B5888" t="str">
        <f>"1551686272890455"</f>
        <v>1551686272890455</v>
      </c>
      <c r="C5888" t="s">
        <v>40</v>
      </c>
      <c r="D5888">
        <v>4.857342</v>
      </c>
      <c r="E5888">
        <v>0.50417529999999999</v>
      </c>
      <c r="F5888" t="s">
        <v>84</v>
      </c>
      <c r="G5888">
        <v>-303.07929999999999</v>
      </c>
      <c r="H5888" s="1">
        <v>-3.906455E-6</v>
      </c>
      <c r="I5888">
        <v>-46.234189999999998</v>
      </c>
      <c r="J5888">
        <v>-301.80549999999999</v>
      </c>
      <c r="K5888">
        <v>1.1076760000000001</v>
      </c>
      <c r="L5888">
        <v>-20.171510000000001</v>
      </c>
      <c r="M5888">
        <v>-6.717571E-2</v>
      </c>
      <c r="N5888">
        <v>-8.8998410000000003E-3</v>
      </c>
      <c r="O5888">
        <v>-0.99770139999999996</v>
      </c>
      <c r="P5888">
        <v>-3.070726E-2</v>
      </c>
      <c r="Q5888">
        <v>0.1614845</v>
      </c>
      <c r="R5888">
        <v>-0.98639730000000003</v>
      </c>
      <c r="S5888">
        <v>-0.15029909999999999</v>
      </c>
      <c r="T5888">
        <v>-0.12843879999999999</v>
      </c>
      <c r="U5888">
        <v>-3.0578609999999999</v>
      </c>
      <c r="V5888">
        <v>-3.4839410000000001E-2</v>
      </c>
      <c r="W5888">
        <v>0.17041809999999999</v>
      </c>
      <c r="X5888">
        <v>0.98475579999999996</v>
      </c>
      <c r="Y5888">
        <v>-1.8138410000000001E-2</v>
      </c>
      <c r="Z5888">
        <v>3.2916140000000003E-2</v>
      </c>
      <c r="AA5888">
        <v>0.99929349999999995</v>
      </c>
      <c r="AB5888">
        <v>30</v>
      </c>
      <c r="AC5888">
        <v>-1.2737999999999901</v>
      </c>
      <c r="AD5888">
        <v>-1.107679906455</v>
      </c>
      <c r="AE5888">
        <v>-26.06268</v>
      </c>
      <c r="AF5888">
        <v>-0.47906275931617798</v>
      </c>
      <c r="AG5888">
        <v>-1.107679906455</v>
      </c>
      <c r="AH5888">
        <v>26.042447303452199</v>
      </c>
      <c r="AI5888">
        <v>92.435118192967707</v>
      </c>
      <c r="AJ5888">
        <v>91.053863273257605</v>
      </c>
      <c r="AK5888">
        <v>26.070395421926701</v>
      </c>
      <c r="AL5888">
        <v>80.187871334287195</v>
      </c>
      <c r="AM5888">
        <v>92.026206850517795</v>
      </c>
      <c r="AN5888">
        <v>1.0000000494651899</v>
      </c>
    </row>
    <row r="5889" spans="1:40" x14ac:dyDescent="0.25">
      <c r="A5889" t="str">
        <f>"20190304155752918"</f>
        <v>20190304155752918</v>
      </c>
      <c r="B5889" t="str">
        <f>"1551686272910950"</f>
        <v>1551686272910950</v>
      </c>
      <c r="C5889" t="s">
        <v>40</v>
      </c>
      <c r="D5889">
        <v>4.8636900000000001</v>
      </c>
      <c r="E5889">
        <v>0.50380789999999998</v>
      </c>
      <c r="F5889" t="s">
        <v>84</v>
      </c>
      <c r="G5889">
        <v>-303.08049999999997</v>
      </c>
      <c r="H5889" s="1">
        <v>-4.0090960000000002E-6</v>
      </c>
      <c r="I5889">
        <v>-46.529400000000003</v>
      </c>
      <c r="J5889">
        <v>-301.82810000000001</v>
      </c>
      <c r="K5889">
        <v>1.107783</v>
      </c>
      <c r="L5889">
        <v>-20.4754</v>
      </c>
      <c r="M5889">
        <v>-6.9221249999999998E-2</v>
      </c>
      <c r="N5889">
        <v>-8.8046500000000007E-3</v>
      </c>
      <c r="O5889">
        <v>-0.99756270000000002</v>
      </c>
      <c r="P5889">
        <v>-3.0399240000000001E-2</v>
      </c>
      <c r="Q5889">
        <v>0.16192960000000001</v>
      </c>
      <c r="R5889">
        <v>-0.98633419999999905</v>
      </c>
      <c r="S5889">
        <v>-0.14791869999999999</v>
      </c>
      <c r="T5889">
        <v>-0.1285028</v>
      </c>
      <c r="U5889">
        <v>-3.0577999999999999</v>
      </c>
      <c r="V5889">
        <v>-3.7210199999999999E-2</v>
      </c>
      <c r="W5889">
        <v>0.17076859999999999</v>
      </c>
      <c r="X5889">
        <v>0.98460829999999999</v>
      </c>
      <c r="Y5889">
        <v>-2.0962979999999999E-2</v>
      </c>
      <c r="Z5889">
        <v>3.3023810000000001E-2</v>
      </c>
      <c r="AA5889">
        <v>0.99923470000000003</v>
      </c>
      <c r="AB5889">
        <v>30</v>
      </c>
      <c r="AC5889">
        <v>-1.25239999999996</v>
      </c>
      <c r="AD5889">
        <v>-1.107787009096</v>
      </c>
      <c r="AE5889">
        <v>-26.053999999999998</v>
      </c>
      <c r="AF5889">
        <v>-0.55316653966621299</v>
      </c>
      <c r="AG5889">
        <v>-1.107787009096</v>
      </c>
      <c r="AH5889">
        <v>26.031244090604499</v>
      </c>
      <c r="AI5889">
        <v>92.436262573365596</v>
      </c>
      <c r="AJ5889">
        <v>91.217357826007998</v>
      </c>
      <c r="AK5889">
        <v>26.060676395342401</v>
      </c>
      <c r="AL5889">
        <v>80.167490010061002</v>
      </c>
      <c r="AM5889">
        <v>92.164285327376405</v>
      </c>
      <c r="AN5889">
        <v>1.0000000090794401</v>
      </c>
    </row>
    <row r="5890" spans="1:40" x14ac:dyDescent="0.25">
      <c r="A5890" t="str">
        <f>"20190304155752941"</f>
        <v>20190304155752941</v>
      </c>
      <c r="B5890" t="str">
        <f>"1551686272930471"</f>
        <v>1551686272930471</v>
      </c>
      <c r="C5890" t="s">
        <v>40</v>
      </c>
      <c r="D5890">
        <v>5.0274470000000004</v>
      </c>
      <c r="E5890">
        <v>0.50353689999999995</v>
      </c>
      <c r="F5890" t="s">
        <v>84</v>
      </c>
      <c r="G5890">
        <v>-303.06580000000002</v>
      </c>
      <c r="H5890" s="1">
        <v>-4.1448340000000002E-6</v>
      </c>
      <c r="I5890">
        <v>-46.92633</v>
      </c>
      <c r="J5890">
        <v>-301.85059999999999</v>
      </c>
      <c r="K5890">
        <v>1.1078920000000001</v>
      </c>
      <c r="L5890">
        <v>-20.77243</v>
      </c>
      <c r="M5890">
        <v>-7.1062310000000004E-2</v>
      </c>
      <c r="N5890">
        <v>-8.7157539999999992E-3</v>
      </c>
      <c r="O5890">
        <v>-0.99743389999999998</v>
      </c>
      <c r="P5890">
        <v>-2.9292329999999998E-2</v>
      </c>
      <c r="Q5890">
        <v>0.1615743</v>
      </c>
      <c r="R5890">
        <v>-0.98642580000000002</v>
      </c>
      <c r="S5890">
        <v>-0.1430969</v>
      </c>
      <c r="T5890">
        <v>-0.12807859999999999</v>
      </c>
      <c r="U5890">
        <v>-3.0581670000000001</v>
      </c>
      <c r="V5890">
        <v>-4.0191190000000002E-2</v>
      </c>
      <c r="W5890">
        <v>0.17032649999999999</v>
      </c>
      <c r="X5890">
        <v>0.98456770000000005</v>
      </c>
      <c r="Y5890">
        <v>-2.4385E-2</v>
      </c>
      <c r="Z5890">
        <v>3.2961419999999998E-2</v>
      </c>
      <c r="AA5890">
        <v>0.99915909999999997</v>
      </c>
      <c r="AB5890">
        <v>30</v>
      </c>
      <c r="AC5890">
        <v>-1.21520000000003</v>
      </c>
      <c r="AD5890">
        <v>-1.1078961448339999</v>
      </c>
      <c r="AE5890">
        <v>-26.1539</v>
      </c>
      <c r="AF5890">
        <v>-0.64534383896030301</v>
      </c>
      <c r="AG5890">
        <v>-1.1078961448339999</v>
      </c>
      <c r="AH5890">
        <v>26.127350373049602</v>
      </c>
      <c r="AI5890">
        <v>92.427358593214905</v>
      </c>
      <c r="AJ5890">
        <v>91.414914299158198</v>
      </c>
      <c r="AK5890">
        <v>26.158790875235699</v>
      </c>
      <c r="AL5890">
        <v>80.193197028286406</v>
      </c>
      <c r="AM5890">
        <v>92.337582009791404</v>
      </c>
      <c r="AN5890">
        <v>1.0000000021195701</v>
      </c>
    </row>
    <row r="5891" spans="1:40" x14ac:dyDescent="0.25">
      <c r="A5891" t="str">
        <f>"20190304155752961"</f>
        <v>20190304155752961</v>
      </c>
      <c r="B5891" t="str">
        <f>"1551686272950966"</f>
        <v>1551686272950966</v>
      </c>
      <c r="C5891" t="s">
        <v>40</v>
      </c>
      <c r="D5891">
        <v>4.9178660000000001</v>
      </c>
      <c r="E5891">
        <v>0.50532299999999997</v>
      </c>
      <c r="F5891" t="s">
        <v>84</v>
      </c>
      <c r="G5891">
        <v>-303.02710000000002</v>
      </c>
      <c r="H5891" s="1">
        <v>-4.149968E-6</v>
      </c>
      <c r="I5891">
        <v>-46.944420000000001</v>
      </c>
      <c r="J5891">
        <v>-301.87259999999998</v>
      </c>
      <c r="K5891">
        <v>1.1080030000000001</v>
      </c>
      <c r="L5891">
        <v>-21.056920000000002</v>
      </c>
      <c r="M5891">
        <v>-7.2668319999999995E-2</v>
      </c>
      <c r="N5891">
        <v>-8.6369099999999994E-3</v>
      </c>
      <c r="O5891">
        <v>-0.99731899999999996</v>
      </c>
      <c r="P5891">
        <v>-2.7695190000000001E-2</v>
      </c>
      <c r="Q5891">
        <v>0.16088160000000001</v>
      </c>
      <c r="R5891">
        <v>-0.98658520000000005</v>
      </c>
      <c r="S5891">
        <v>-0.13748170000000001</v>
      </c>
      <c r="T5891">
        <v>-0.12946669999999999</v>
      </c>
      <c r="U5891">
        <v>-3.058411</v>
      </c>
      <c r="V5891">
        <v>-4.3436210000000003E-2</v>
      </c>
      <c r="W5891">
        <v>0.16955629999999999</v>
      </c>
      <c r="X5891">
        <v>0.98456279999999996</v>
      </c>
      <c r="Y5891">
        <v>-2.7828889999999998E-2</v>
      </c>
      <c r="Z5891">
        <v>3.347982E-2</v>
      </c>
      <c r="AA5891">
        <v>0.99905189999999999</v>
      </c>
      <c r="AB5891">
        <v>30</v>
      </c>
      <c r="AC5891">
        <v>-1.15450000000004</v>
      </c>
      <c r="AD5891">
        <v>-1.108007149968</v>
      </c>
      <c r="AE5891">
        <v>-25.887499999999999</v>
      </c>
      <c r="AF5891">
        <v>-0.728491514695769</v>
      </c>
      <c r="AG5891">
        <v>-1.108007149968</v>
      </c>
      <c r="AH5891">
        <v>25.855679920738801</v>
      </c>
      <c r="AI5891">
        <v>92.452852828288002</v>
      </c>
      <c r="AJ5891">
        <v>91.613898751047202</v>
      </c>
      <c r="AK5891">
        <v>25.8896613321816</v>
      </c>
      <c r="AL5891">
        <v>80.237977343934901</v>
      </c>
      <c r="AM5891">
        <v>92.526094601648694</v>
      </c>
      <c r="AN5891">
        <v>0.99999997517634598</v>
      </c>
    </row>
    <row r="5892" spans="1:40" x14ac:dyDescent="0.25">
      <c r="A5892" t="str">
        <f>"20190304155752984"</f>
        <v>20190304155752984</v>
      </c>
      <c r="B5892" t="str">
        <f>"1551686272980246"</f>
        <v>1551686272980246</v>
      </c>
      <c r="C5892" t="s">
        <v>40</v>
      </c>
      <c r="D5892">
        <v>4.907349</v>
      </c>
      <c r="E5892">
        <v>0.50349189999999999</v>
      </c>
      <c r="F5892" t="s">
        <v>84</v>
      </c>
      <c r="G5892">
        <v>-302.86239999999998</v>
      </c>
      <c r="H5892" s="1">
        <v>-1.1958559999999999E-6</v>
      </c>
      <c r="I5892">
        <v>-41.495280000000001</v>
      </c>
      <c r="J5892">
        <v>-301.89659999999998</v>
      </c>
      <c r="K5892">
        <v>1.1081289999999999</v>
      </c>
      <c r="L5892">
        <v>-21.364260000000002</v>
      </c>
      <c r="M5892">
        <v>-7.422753E-2</v>
      </c>
      <c r="N5892">
        <v>-8.5601569999999901E-3</v>
      </c>
      <c r="O5892">
        <v>-0.9972046</v>
      </c>
      <c r="P5892">
        <v>-2.5508280000000001E-2</v>
      </c>
      <c r="Q5892">
        <v>0.160180399999999</v>
      </c>
      <c r="R5892">
        <v>-0.98675820000000003</v>
      </c>
      <c r="S5892">
        <v>-0.14837649999999999</v>
      </c>
      <c r="T5892">
        <v>-0.1660904</v>
      </c>
      <c r="U5892">
        <v>-3.0637210000000001</v>
      </c>
      <c r="V5892">
        <v>-4.7230500000000002E-2</v>
      </c>
      <c r="W5892">
        <v>0.16877719999999999</v>
      </c>
      <c r="X5892">
        <v>0.98452200000000001</v>
      </c>
      <c r="Y5892">
        <v>-2.5946250000000001E-2</v>
      </c>
      <c r="Z5892">
        <v>4.5333949999999998E-2</v>
      </c>
      <c r="AA5892">
        <v>0.99863489999999999</v>
      </c>
      <c r="AB5892">
        <v>31</v>
      </c>
      <c r="AC5892">
        <v>-0.96580000000000099</v>
      </c>
      <c r="AD5892">
        <v>-1.1081301958559999</v>
      </c>
      <c r="AE5892">
        <v>-20.131019999999999</v>
      </c>
      <c r="AF5892">
        <v>-0.52959413368221797</v>
      </c>
      <c r="AG5892">
        <v>-1.1081301958559999</v>
      </c>
      <c r="AH5892">
        <v>20.086449482104001</v>
      </c>
      <c r="AI5892">
        <v>93.156600627092104</v>
      </c>
      <c r="AJ5892">
        <v>91.510295811755498</v>
      </c>
      <c r="AK5892">
        <v>20.123962713007501</v>
      </c>
      <c r="AL5892">
        <v>80.283269660224505</v>
      </c>
      <c r="AM5892">
        <v>92.746546263168</v>
      </c>
      <c r="AN5892">
        <v>1.0000000159270399</v>
      </c>
    </row>
    <row r="5893" spans="1:40" x14ac:dyDescent="0.25">
      <c r="A5893" t="str">
        <f>"20190304155753007"</f>
        <v>20190304155753007</v>
      </c>
      <c r="B5893" t="str">
        <f>"1551686273000742"</f>
        <v>1551686273000742</v>
      </c>
      <c r="C5893" t="s">
        <v>40</v>
      </c>
      <c r="D5893">
        <v>4.9481919999999997</v>
      </c>
      <c r="E5893">
        <v>0.50298469999999995</v>
      </c>
      <c r="F5893" t="s">
        <v>84</v>
      </c>
      <c r="G5893">
        <v>-302.79669999999999</v>
      </c>
      <c r="H5893" s="1">
        <v>-2.1280740000000001E-6</v>
      </c>
      <c r="I5893">
        <v>-43.112259999999999</v>
      </c>
      <c r="J5893">
        <v>-301.9221</v>
      </c>
      <c r="K5893">
        <v>1.1082590000000001</v>
      </c>
      <c r="L5893">
        <v>-21.686399999999999</v>
      </c>
      <c r="M5893">
        <v>-7.5671639999999998E-2</v>
      </c>
      <c r="N5893">
        <v>-8.4852380000000008E-3</v>
      </c>
      <c r="O5893">
        <v>-0.9970966</v>
      </c>
      <c r="P5893">
        <v>-2.3489679999999999E-2</v>
      </c>
      <c r="Q5893">
        <v>0.159516299999999</v>
      </c>
      <c r="R5893">
        <v>-0.98691549999999995</v>
      </c>
      <c r="S5893">
        <v>-0.1267395</v>
      </c>
      <c r="T5893">
        <v>-0.15603510000000001</v>
      </c>
      <c r="U5893">
        <v>-3.0623170000000002</v>
      </c>
      <c r="V5893">
        <v>-5.0745909999999998E-2</v>
      </c>
      <c r="W5893">
        <v>0.16803309999999999</v>
      </c>
      <c r="X5893">
        <v>0.98447439999999997</v>
      </c>
      <c r="Y5893">
        <v>-3.440501E-2</v>
      </c>
      <c r="Z5893">
        <v>4.2169140000000001E-2</v>
      </c>
      <c r="AA5893">
        <v>0.99851789999999996</v>
      </c>
      <c r="AB5893">
        <v>31</v>
      </c>
      <c r="AC5893">
        <v>-0.87459999999998606</v>
      </c>
      <c r="AD5893">
        <v>-1.108261128074</v>
      </c>
      <c r="AE5893">
        <v>-21.42586</v>
      </c>
      <c r="AF5893">
        <v>-0.74730022999219003</v>
      </c>
      <c r="AG5893">
        <v>-1.108261128074</v>
      </c>
      <c r="AH5893">
        <v>21.373517867372701</v>
      </c>
      <c r="AI5893">
        <v>92.966437055235602</v>
      </c>
      <c r="AJ5893">
        <v>92.002464671435106</v>
      </c>
      <c r="AK5893">
        <v>21.415274137602001</v>
      </c>
      <c r="AL5893">
        <v>80.3265215769718</v>
      </c>
      <c r="AM5893">
        <v>92.950767900910193</v>
      </c>
      <c r="AN5893">
        <v>1.0000000571663401</v>
      </c>
    </row>
    <row r="5894" spans="1:40" x14ac:dyDescent="0.25">
      <c r="A5894" t="str">
        <f>"20190304155753034"</f>
        <v>20190304155753034</v>
      </c>
      <c r="B5894" t="str">
        <f>"1551686273030999"</f>
        <v>1551686273030999</v>
      </c>
      <c r="C5894" t="s">
        <v>40</v>
      </c>
      <c r="D5894">
        <v>4.9227030000000003</v>
      </c>
      <c r="E5894">
        <v>0.50313609999999998</v>
      </c>
      <c r="F5894" t="s">
        <v>84</v>
      </c>
      <c r="G5894">
        <v>-302.74959999999999</v>
      </c>
      <c r="H5894" s="1">
        <v>-2.3328389999999999E-6</v>
      </c>
      <c r="I5894">
        <v>-43.444719999999997</v>
      </c>
      <c r="J5894">
        <v>-301.95179999999999</v>
      </c>
      <c r="K5894">
        <v>1.108412</v>
      </c>
      <c r="L5894">
        <v>-22.057040000000001</v>
      </c>
      <c r="M5894">
        <v>-7.707725E-2</v>
      </c>
      <c r="N5894">
        <v>-8.4051779999999993E-3</v>
      </c>
      <c r="O5894">
        <v>-0.99698980000000004</v>
      </c>
      <c r="P5894">
        <v>-2.1777169999999998E-2</v>
      </c>
      <c r="Q5894">
        <v>0.15868099999999999</v>
      </c>
      <c r="R5894">
        <v>-0.98708960000000001</v>
      </c>
      <c r="S5894">
        <v>-0.11645510000000001</v>
      </c>
      <c r="T5894">
        <v>-0.1559731</v>
      </c>
      <c r="U5894">
        <v>-3.062195</v>
      </c>
      <c r="V5894">
        <v>-5.3927170000000003E-2</v>
      </c>
      <c r="W5894">
        <v>0.16710610000000001</v>
      </c>
      <c r="X5894">
        <v>0.98446299999999998</v>
      </c>
      <c r="Y5894">
        <v>-3.9159069999999997E-2</v>
      </c>
      <c r="Z5894">
        <v>4.2220809999999998E-2</v>
      </c>
      <c r="AA5894">
        <v>0.99834060000000002</v>
      </c>
      <c r="AB5894">
        <v>31</v>
      </c>
      <c r="AC5894">
        <v>-0.79779999999999496</v>
      </c>
      <c r="AD5894">
        <v>-1.1084143328389999</v>
      </c>
      <c r="AE5894">
        <v>-21.38768</v>
      </c>
      <c r="AF5894">
        <v>-0.85085307925051501</v>
      </c>
      <c r="AG5894">
        <v>-1.1084143328389999</v>
      </c>
      <c r="AH5894">
        <v>21.328339721086898</v>
      </c>
      <c r="AI5894">
        <v>92.972572855458196</v>
      </c>
      <c r="AJ5894">
        <v>92.284493513863595</v>
      </c>
      <c r="AK5894">
        <v>21.3740639222822</v>
      </c>
      <c r="AL5894">
        <v>80.380395922446198</v>
      </c>
      <c r="AM5894">
        <v>93.135429485500794</v>
      </c>
      <c r="AN5894">
        <v>0.99999999334520895</v>
      </c>
    </row>
    <row r="5895" spans="1:40" x14ac:dyDescent="0.25">
      <c r="A5895" t="str">
        <f>"20190304155753060"</f>
        <v>20190304155753060</v>
      </c>
      <c r="B5895" t="str">
        <f>"1551686273050518"</f>
        <v>1551686273050518</v>
      </c>
      <c r="C5895" t="s">
        <v>40</v>
      </c>
      <c r="D5895">
        <v>4.9405609999999998</v>
      </c>
      <c r="E5895">
        <v>0.5035077</v>
      </c>
      <c r="F5895" t="s">
        <v>84</v>
      </c>
      <c r="G5895">
        <v>-302.73610000000002</v>
      </c>
      <c r="H5895" s="1">
        <v>-2.2746039999999999E-6</v>
      </c>
      <c r="I5895">
        <v>-43.356059999999999</v>
      </c>
      <c r="J5895">
        <v>-301.98050000000001</v>
      </c>
      <c r="K5895">
        <v>1.108557</v>
      </c>
      <c r="L5895">
        <v>-22.411899999999999</v>
      </c>
      <c r="M5895">
        <v>-7.8197520000000006E-2</v>
      </c>
      <c r="N5895">
        <v>-8.3380850000000003E-3</v>
      </c>
      <c r="O5895">
        <v>-0.99690319999999999</v>
      </c>
      <c r="P5895">
        <v>-1.9824310000000001E-2</v>
      </c>
      <c r="Q5895">
        <v>0.1573917</v>
      </c>
      <c r="R5895">
        <v>-0.98733740000000003</v>
      </c>
      <c r="S5895">
        <v>-0.1127625</v>
      </c>
      <c r="T5895">
        <v>-0.15936800000000001</v>
      </c>
      <c r="U5895">
        <v>-3.0623779999999998</v>
      </c>
      <c r="V5895">
        <v>-5.7065240000000003E-2</v>
      </c>
      <c r="W5895">
        <v>0.16573829999999901</v>
      </c>
      <c r="X5895">
        <v>0.98451730000000004</v>
      </c>
      <c r="Y5895">
        <v>-4.1487280000000001E-2</v>
      </c>
      <c r="Z5895">
        <v>4.337535E-2</v>
      </c>
      <c r="AA5895">
        <v>0.99819709999999995</v>
      </c>
      <c r="AB5895">
        <v>31</v>
      </c>
      <c r="AC5895">
        <v>-0.75560000000001504</v>
      </c>
      <c r="AD5895">
        <v>-1.1085592746040001</v>
      </c>
      <c r="AE5895">
        <v>-20.94416</v>
      </c>
      <c r="AF5895">
        <v>-0.88208394634142595</v>
      </c>
      <c r="AG5895">
        <v>-1.1085592746040001</v>
      </c>
      <c r="AH5895">
        <v>20.8806888446694</v>
      </c>
      <c r="AI5895">
        <v>93.036286563835603</v>
      </c>
      <c r="AJ5895">
        <v>92.418965015551905</v>
      </c>
      <c r="AK5895">
        <v>20.928691845923002</v>
      </c>
      <c r="AL5895">
        <v>80.459873217536497</v>
      </c>
      <c r="AM5895">
        <v>93.317304005806704</v>
      </c>
      <c r="AN5895">
        <v>0.99999996985121797</v>
      </c>
    </row>
    <row r="5896" spans="1:40" x14ac:dyDescent="0.25">
      <c r="A5896" t="str">
        <f>"20190304155753084"</f>
        <v>20190304155753084</v>
      </c>
      <c r="B5896" t="str">
        <f>"1551686273080775"</f>
        <v>1551686273080775</v>
      </c>
      <c r="C5896" t="s">
        <v>40</v>
      </c>
      <c r="D5896">
        <v>4.8793340000000001</v>
      </c>
      <c r="E5896">
        <v>0.50366690000000003</v>
      </c>
      <c r="F5896" t="s">
        <v>84</v>
      </c>
      <c r="G5896">
        <v>-302.72140000000002</v>
      </c>
      <c r="H5896" s="1">
        <v>-2.0555340000000001E-6</v>
      </c>
      <c r="I5896">
        <v>-43.014620000000001</v>
      </c>
      <c r="J5896">
        <v>-302.00740000000002</v>
      </c>
      <c r="K5896">
        <v>1.1086670000000001</v>
      </c>
      <c r="L5896">
        <v>-22.74222</v>
      </c>
      <c r="M5896">
        <v>-7.9081090000000007E-2</v>
      </c>
      <c r="N5896">
        <v>-8.2840409999999903E-3</v>
      </c>
      <c r="O5896">
        <v>-0.99683390000000005</v>
      </c>
      <c r="P5896">
        <v>-1.7736780000000001E-2</v>
      </c>
      <c r="Q5896">
        <v>0.15705279999999999</v>
      </c>
      <c r="R5896">
        <v>-0.98743110000000001</v>
      </c>
      <c r="S5896">
        <v>-0.1101379</v>
      </c>
      <c r="T5896">
        <v>-0.16478380000000001</v>
      </c>
      <c r="U5896">
        <v>-3.0625309999999999</v>
      </c>
      <c r="V5896">
        <v>-6.0077829999999999E-2</v>
      </c>
      <c r="W5896">
        <v>0.16533390000000001</v>
      </c>
      <c r="X5896">
        <v>0.98440609999999995</v>
      </c>
      <c r="Y5896">
        <v>-4.323109E-2</v>
      </c>
      <c r="Z5896">
        <v>4.5172089999999998E-2</v>
      </c>
      <c r="AA5896">
        <v>0.99804340000000002</v>
      </c>
      <c r="AB5896">
        <v>31</v>
      </c>
      <c r="AC5896">
        <v>-0.71399999999999797</v>
      </c>
      <c r="AD5896">
        <v>-1.108669055534</v>
      </c>
      <c r="AE5896">
        <v>-20.272400000000001</v>
      </c>
      <c r="AF5896">
        <v>-0.88879958740078502</v>
      </c>
      <c r="AG5896">
        <v>-1.108669055534</v>
      </c>
      <c r="AH5896">
        <v>20.205016953426799</v>
      </c>
      <c r="AI5896">
        <v>93.137697726318606</v>
      </c>
      <c r="AJ5896">
        <v>92.5187633588897</v>
      </c>
      <c r="AK5896">
        <v>20.254920929727898</v>
      </c>
      <c r="AL5896">
        <v>80.483368124973794</v>
      </c>
      <c r="AM5896">
        <v>93.492402180832897</v>
      </c>
      <c r="AN5896">
        <v>1.0000000069319599</v>
      </c>
    </row>
    <row r="5897" spans="1:40" x14ac:dyDescent="0.25">
      <c r="A5897" t="str">
        <f>"20190304155753105"</f>
        <v>20190304155753105</v>
      </c>
      <c r="B5897" t="str">
        <f>"1551686273100294"</f>
        <v>1551686273100294</v>
      </c>
      <c r="C5897" t="s">
        <v>40</v>
      </c>
      <c r="D5897">
        <v>5.093718</v>
      </c>
      <c r="E5897">
        <v>0.50366690000000003</v>
      </c>
      <c r="F5897" t="s">
        <v>84</v>
      </c>
      <c r="G5897">
        <v>-302.71960000000001</v>
      </c>
      <c r="H5897" s="1">
        <v>-2.307272E-6</v>
      </c>
      <c r="I5897">
        <v>-43.411059999999999</v>
      </c>
      <c r="J5897">
        <v>-302.03109999999998</v>
      </c>
      <c r="K5897">
        <v>1.1087629999999999</v>
      </c>
      <c r="L5897">
        <v>-23.03265</v>
      </c>
      <c r="M5897">
        <v>-7.9722080000000001E-2</v>
      </c>
      <c r="N5897">
        <v>-8.2427630000000002E-3</v>
      </c>
      <c r="O5897">
        <v>-0.99678339999999999</v>
      </c>
      <c r="P5897">
        <v>-1.5740259999999999E-2</v>
      </c>
      <c r="Q5897">
        <v>0.15689539999999999</v>
      </c>
      <c r="R5897">
        <v>-0.98749039999999999</v>
      </c>
      <c r="S5897">
        <v>-0.10552980000000001</v>
      </c>
      <c r="T5897">
        <v>-0.16426650000000001</v>
      </c>
      <c r="U5897">
        <v>-3.062408</v>
      </c>
      <c r="V5897">
        <v>-6.2748399999999996E-2</v>
      </c>
      <c r="W5897">
        <v>0.16512460000000001</v>
      </c>
      <c r="X5897">
        <v>0.9842746</v>
      </c>
      <c r="Y5897">
        <v>-4.537124E-2</v>
      </c>
      <c r="Z5897">
        <v>4.5042400000000003E-2</v>
      </c>
      <c r="AA5897">
        <v>0.99795420000000001</v>
      </c>
      <c r="AB5897">
        <v>31</v>
      </c>
      <c r="AC5897">
        <v>-0.68850000000003297</v>
      </c>
      <c r="AD5897">
        <v>-1.1087653072719901</v>
      </c>
      <c r="AE5897">
        <v>-20.378409999999999</v>
      </c>
      <c r="AF5897">
        <v>-0.93558892627609203</v>
      </c>
      <c r="AG5897">
        <v>-1.1087653072719901</v>
      </c>
      <c r="AH5897">
        <v>20.3083835236048</v>
      </c>
      <c r="AI5897">
        <v>93.121738245178193</v>
      </c>
      <c r="AJ5897">
        <v>92.637699928820794</v>
      </c>
      <c r="AK5897">
        <v>20.360135767902001</v>
      </c>
      <c r="AL5897">
        <v>80.495527110591198</v>
      </c>
      <c r="AM5897">
        <v>93.647721679797201</v>
      </c>
      <c r="AN5897">
        <v>0.99999999171643905</v>
      </c>
    </row>
    <row r="5898" spans="1:40" x14ac:dyDescent="0.25">
      <c r="A5898" t="str">
        <f>"20190304155753125"</f>
        <v>20190304155753125</v>
      </c>
      <c r="B5898" t="str">
        <f>"1551686273120791"</f>
        <v>1551686273120791</v>
      </c>
      <c r="C5898" t="s">
        <v>40</v>
      </c>
      <c r="D5898">
        <v>4.965973</v>
      </c>
      <c r="E5898">
        <v>0.50375809999999999</v>
      </c>
      <c r="F5898" t="s">
        <v>84</v>
      </c>
      <c r="G5898">
        <v>-302.71280000000002</v>
      </c>
      <c r="H5898" s="1">
        <v>-2.5818870000000001E-6</v>
      </c>
      <c r="I5898">
        <v>-43.844589999999997</v>
      </c>
      <c r="J5898">
        <v>-302.05399999999997</v>
      </c>
      <c r="K5898">
        <v>1.108857</v>
      </c>
      <c r="L5898">
        <v>-23.31213</v>
      </c>
      <c r="M5898">
        <v>-8.0220029999999998E-2</v>
      </c>
      <c r="N5898">
        <v>-8.2081340000000006E-3</v>
      </c>
      <c r="O5898">
        <v>-0.99674359999999995</v>
      </c>
      <c r="P5898">
        <v>-1.4051299999999999E-2</v>
      </c>
      <c r="Q5898">
        <v>0.15638389999999999</v>
      </c>
      <c r="R5898">
        <v>-0.98759649999999999</v>
      </c>
      <c r="S5898">
        <v>-0.10031130000000001</v>
      </c>
      <c r="T5898">
        <v>-0.1631464</v>
      </c>
      <c r="U5898">
        <v>-3.0623170000000002</v>
      </c>
      <c r="V5898">
        <v>-6.4973879999999998E-2</v>
      </c>
      <c r="W5898">
        <v>0.164566299999999</v>
      </c>
      <c r="X5898">
        <v>0.98422370000000003</v>
      </c>
      <c r="Y5898">
        <v>-4.7566919999999999E-2</v>
      </c>
      <c r="Z5898">
        <v>4.4711319999999999E-2</v>
      </c>
      <c r="AA5898">
        <v>0.9978669</v>
      </c>
      <c r="AB5898">
        <v>31</v>
      </c>
      <c r="AC5898">
        <v>-0.65879999999998495</v>
      </c>
      <c r="AD5898">
        <v>-1.108859581887</v>
      </c>
      <c r="AE5898">
        <v>-20.53246</v>
      </c>
      <c r="AF5898">
        <v>-0.98761554804767504</v>
      </c>
      <c r="AG5898">
        <v>-1.108859581887</v>
      </c>
      <c r="AH5898">
        <v>20.459523776438999</v>
      </c>
      <c r="AI5898">
        <v>93.098664540967604</v>
      </c>
      <c r="AJ5898">
        <v>92.763618210728694</v>
      </c>
      <c r="AK5898">
        <v>20.5133387629065</v>
      </c>
      <c r="AL5898">
        <v>80.527958939131196</v>
      </c>
      <c r="AM5898">
        <v>93.776921121517304</v>
      </c>
      <c r="AN5898">
        <v>0.99999998190981698</v>
      </c>
    </row>
    <row r="5899" spans="1:40" x14ac:dyDescent="0.25">
      <c r="A5899" t="str">
        <f>"20190304155753147"</f>
        <v>20190304155753147</v>
      </c>
      <c r="B5899" t="str">
        <f>"1551686273140312"</f>
        <v>1551686273140312</v>
      </c>
      <c r="C5899" t="s">
        <v>40</v>
      </c>
      <c r="D5899">
        <v>5.0138339999999904</v>
      </c>
      <c r="E5899">
        <v>0.5041293</v>
      </c>
      <c r="F5899" t="s">
        <v>84</v>
      </c>
      <c r="G5899">
        <v>-302.7029</v>
      </c>
      <c r="H5899" s="1">
        <v>-2.736656E-6</v>
      </c>
      <c r="I5899">
        <v>-44.090240000000001</v>
      </c>
      <c r="J5899">
        <v>-302.07900000000001</v>
      </c>
      <c r="K5899">
        <v>1.108959</v>
      </c>
      <c r="L5899">
        <v>-23.617339999999999</v>
      </c>
      <c r="M5899">
        <v>-8.0641130000000005E-2</v>
      </c>
      <c r="N5899">
        <v>-8.1755419999999992E-3</v>
      </c>
      <c r="O5899">
        <v>-0.99670990000000004</v>
      </c>
      <c r="P5899">
        <v>-1.191358E-2</v>
      </c>
      <c r="Q5899">
        <v>0.15622230000000001</v>
      </c>
      <c r="R5899">
        <v>-0.98765020000000003</v>
      </c>
      <c r="S5899">
        <v>-9.5642089999999999E-2</v>
      </c>
      <c r="T5899">
        <v>-0.16341939999999999</v>
      </c>
      <c r="U5899">
        <v>-3.062195</v>
      </c>
      <c r="V5899">
        <v>-6.7569939999999995E-2</v>
      </c>
      <c r="W5899">
        <v>0.164357</v>
      </c>
      <c r="X5899">
        <v>0.98408390000000001</v>
      </c>
      <c r="Y5899">
        <v>-4.950719E-2</v>
      </c>
      <c r="Z5899">
        <v>4.4829859999999999E-2</v>
      </c>
      <c r="AA5899">
        <v>0.99776719999999997</v>
      </c>
      <c r="AB5899">
        <v>31</v>
      </c>
      <c r="AC5899">
        <v>-0.62389999999999102</v>
      </c>
      <c r="AD5899">
        <v>-1.1089617366560001</v>
      </c>
      <c r="AE5899">
        <v>-20.472899999999999</v>
      </c>
      <c r="AF5899">
        <v>-1.0261366529254501</v>
      </c>
      <c r="AG5899">
        <v>-1.1089617366560001</v>
      </c>
      <c r="AH5899">
        <v>20.396742626817002</v>
      </c>
      <c r="AI5899">
        <v>93.108158590397693</v>
      </c>
      <c r="AJ5899">
        <v>92.880056591296807</v>
      </c>
      <c r="AK5899">
        <v>20.452624827842001</v>
      </c>
      <c r="AL5899">
        <v>80.5401168650599</v>
      </c>
      <c r="AM5899">
        <v>93.927922626615199</v>
      </c>
      <c r="AN5899">
        <v>1.0000000212399001</v>
      </c>
    </row>
    <row r="5900" spans="1:40" x14ac:dyDescent="0.25">
      <c r="A5900" t="str">
        <f>"20190304155753169"</f>
        <v>20190304155753169</v>
      </c>
      <c r="B5900" t="str">
        <f>"1551686273160807"</f>
        <v>1551686273160807</v>
      </c>
      <c r="C5900" t="s">
        <v>40</v>
      </c>
      <c r="D5900">
        <v>4.9326759999999998</v>
      </c>
      <c r="E5900">
        <v>0.5043647</v>
      </c>
      <c r="F5900" t="s">
        <v>84</v>
      </c>
      <c r="G5900">
        <v>-302.7</v>
      </c>
      <c r="H5900" s="1">
        <v>-2.8378880000000001E-6</v>
      </c>
      <c r="I5900">
        <v>-44.250149999999998</v>
      </c>
      <c r="J5900">
        <v>-302.10469999999998</v>
      </c>
      <c r="K5900">
        <v>1.10907</v>
      </c>
      <c r="L5900">
        <v>-23.930240000000001</v>
      </c>
      <c r="M5900">
        <v>-8.0949149999999997E-2</v>
      </c>
      <c r="N5900">
        <v>-8.1473420000000001E-3</v>
      </c>
      <c r="O5900">
        <v>-0.99668500000000004</v>
      </c>
      <c r="P5900">
        <v>-9.990367E-3</v>
      </c>
      <c r="Q5900">
        <v>0.15672639999999999</v>
      </c>
      <c r="R5900">
        <v>-0.98759160000000001</v>
      </c>
      <c r="S5900">
        <v>-9.2163090000000003E-2</v>
      </c>
      <c r="T5900">
        <v>-0.16459849999999901</v>
      </c>
      <c r="U5900">
        <v>-3.0624389999999999</v>
      </c>
      <c r="V5900">
        <v>-6.9831740000000003E-2</v>
      </c>
      <c r="W5900">
        <v>0.16481509999999999</v>
      </c>
      <c r="X5900">
        <v>0.98384930000000004</v>
      </c>
      <c r="Y5900">
        <v>-5.0950849999999999E-2</v>
      </c>
      <c r="Z5900">
        <v>4.5231729999999998E-2</v>
      </c>
      <c r="AA5900">
        <v>0.99767640000000002</v>
      </c>
      <c r="AB5900">
        <v>31</v>
      </c>
      <c r="AC5900">
        <v>-0.59530000000000804</v>
      </c>
      <c r="AD5900">
        <v>-1.1090728378879999</v>
      </c>
      <c r="AE5900">
        <v>-20.31991</v>
      </c>
      <c r="AF5900">
        <v>-1.04846694608174</v>
      </c>
      <c r="AG5900">
        <v>-1.1090728378879999</v>
      </c>
      <c r="AH5900">
        <v>20.241163420865799</v>
      </c>
      <c r="AI5900">
        <v>93.132077375506796</v>
      </c>
      <c r="AJ5900">
        <v>92.965199617885006</v>
      </c>
      <c r="AK5900">
        <v>20.298621187828601</v>
      </c>
      <c r="AL5900">
        <v>80.5135062615294</v>
      </c>
      <c r="AM5900">
        <v>94.0599360525039</v>
      </c>
      <c r="AN5900">
        <v>0.99999996710496297</v>
      </c>
    </row>
    <row r="5901" spans="1:40" x14ac:dyDescent="0.25">
      <c r="A5901" t="str">
        <f>"20190304155753191"</f>
        <v>20190304155753191</v>
      </c>
      <c r="B5901" t="str">
        <f>"1551686273180326"</f>
        <v>1551686273180326</v>
      </c>
      <c r="C5901" t="s">
        <v>40</v>
      </c>
      <c r="D5901">
        <v>5.1151730000000004</v>
      </c>
      <c r="E5901">
        <v>0.50423229999999997</v>
      </c>
      <c r="F5901" t="s">
        <v>84</v>
      </c>
      <c r="G5901">
        <v>-302.7081</v>
      </c>
      <c r="H5901" s="1">
        <v>-3.236658E-6</v>
      </c>
      <c r="I5901">
        <v>-44.875729999999997</v>
      </c>
      <c r="J5901">
        <v>-302.12880000000001</v>
      </c>
      <c r="K5901">
        <v>1.109175</v>
      </c>
      <c r="L5901">
        <v>-24.22372</v>
      </c>
      <c r="M5901">
        <v>-8.1129019999999996E-2</v>
      </c>
      <c r="N5901">
        <v>-8.1254239999999991E-3</v>
      </c>
      <c r="O5901">
        <v>-0.99667079999999997</v>
      </c>
      <c r="P5901">
        <v>-8.0496309999999998E-3</v>
      </c>
      <c r="Q5901">
        <v>0.15712499999999999</v>
      </c>
      <c r="R5901">
        <v>-0.98754649999999999</v>
      </c>
      <c r="S5901">
        <v>-8.8226319999999997E-2</v>
      </c>
      <c r="T5901">
        <v>-0.16216240000000001</v>
      </c>
      <c r="U5901">
        <v>-3.0625309999999999</v>
      </c>
      <c r="V5901">
        <v>-7.1980050000000004E-2</v>
      </c>
      <c r="W5901">
        <v>0.16517490000000001</v>
      </c>
      <c r="X5901">
        <v>0.98363409999999996</v>
      </c>
      <c r="Y5901">
        <v>-5.2412090000000001E-2</v>
      </c>
      <c r="Z5901">
        <v>4.446166E-2</v>
      </c>
      <c r="AA5901">
        <v>0.99763520000000006</v>
      </c>
      <c r="AB5901">
        <v>31</v>
      </c>
      <c r="AC5901">
        <v>-0.57929999999998905</v>
      </c>
      <c r="AD5901">
        <v>-1.1091782366580001</v>
      </c>
      <c r="AE5901">
        <v>-20.652010000000001</v>
      </c>
      <c r="AF5901">
        <v>-1.0949857892755499</v>
      </c>
      <c r="AG5901">
        <v>-1.1091782366580001</v>
      </c>
      <c r="AH5901">
        <v>20.571634747974599</v>
      </c>
      <c r="AI5901">
        <v>93.081922241645799</v>
      </c>
      <c r="AJ5901">
        <v>93.046861152266402</v>
      </c>
      <c r="AK5901">
        <v>20.630594427778099</v>
      </c>
      <c r="AL5901">
        <v>80.492604693459597</v>
      </c>
      <c r="AM5901">
        <v>94.185311451761095</v>
      </c>
      <c r="AN5901">
        <v>0.99999995893541005</v>
      </c>
    </row>
    <row r="5902" spans="1:40" x14ac:dyDescent="0.25">
      <c r="A5902" t="str">
        <f>"20190304155753211"</f>
        <v>20190304155753211</v>
      </c>
      <c r="B5902" t="str">
        <f>"1551686273200823"</f>
        <v>1551686273200823</v>
      </c>
      <c r="C5902" t="s">
        <v>40</v>
      </c>
      <c r="D5902">
        <v>4.9545469999999998</v>
      </c>
      <c r="E5902">
        <v>0.47329070000000001</v>
      </c>
      <c r="F5902" t="s">
        <v>84</v>
      </c>
      <c r="G5902">
        <v>-302.68329999999997</v>
      </c>
      <c r="H5902" s="1">
        <v>-3.3938189999999999E-6</v>
      </c>
      <c r="I5902">
        <v>-45.128430000000002</v>
      </c>
      <c r="J5902">
        <v>-302.15280000000001</v>
      </c>
      <c r="K5902">
        <v>1.1092599999999999</v>
      </c>
      <c r="L5902">
        <v>-24.516819999999999</v>
      </c>
      <c r="M5902">
        <v>-8.1229990000000002E-2</v>
      </c>
      <c r="N5902">
        <v>-8.1072709999999992E-3</v>
      </c>
      <c r="O5902">
        <v>-0.99666239999999995</v>
      </c>
      <c r="P5902">
        <v>-6.1086519999999896E-3</v>
      </c>
      <c r="Q5902">
        <v>0.1567896</v>
      </c>
      <c r="R5902">
        <v>-0.98761330000000003</v>
      </c>
      <c r="S5902">
        <v>-8.1237790000000004E-2</v>
      </c>
      <c r="T5902">
        <v>-0.1625201</v>
      </c>
      <c r="U5902">
        <v>-3.0630190000000002</v>
      </c>
      <c r="V5902">
        <v>-7.4052960000000001E-2</v>
      </c>
      <c r="W5902">
        <v>0.16480710000000001</v>
      </c>
      <c r="X5902">
        <v>0.98354200000000003</v>
      </c>
      <c r="Y5902">
        <v>-5.4791699999999902E-2</v>
      </c>
      <c r="Z5902">
        <v>4.4583909999999997E-2</v>
      </c>
      <c r="AA5902">
        <v>0.997502</v>
      </c>
      <c r="AB5902">
        <v>31</v>
      </c>
      <c r="AC5902">
        <v>-0.53049999999996</v>
      </c>
      <c r="AD5902">
        <v>-1.109263393819</v>
      </c>
      <c r="AE5902">
        <v>-20.611609999999999</v>
      </c>
      <c r="AF5902">
        <v>-1.14228291340537</v>
      </c>
      <c r="AG5902">
        <v>-1.109263393819</v>
      </c>
      <c r="AH5902">
        <v>20.527172223923401</v>
      </c>
      <c r="AI5902">
        <v>93.088416735994997</v>
      </c>
      <c r="AJ5902">
        <v>93.185073834723994</v>
      </c>
      <c r="AK5902">
        <v>20.588833746517501</v>
      </c>
      <c r="AL5902">
        <v>80.513971713480601</v>
      </c>
      <c r="AM5902">
        <v>94.305796455891496</v>
      </c>
      <c r="AN5902">
        <v>1.0000000434295799</v>
      </c>
    </row>
    <row r="5903" spans="1:40" x14ac:dyDescent="0.25">
      <c r="A5903" t="str">
        <f>"20190304155753235"</f>
        <v>20190304155753235</v>
      </c>
      <c r="B5903" t="str">
        <f>"1551686273230102"</f>
        <v>1551686273230102</v>
      </c>
      <c r="C5903" t="s">
        <v>40</v>
      </c>
      <c r="D5903">
        <v>4.9224540000000001</v>
      </c>
      <c r="E5903">
        <v>0.46843849999999998</v>
      </c>
      <c r="F5903" t="s">
        <v>84</v>
      </c>
      <c r="G5903">
        <v>-300.97320000000002</v>
      </c>
      <c r="H5903" s="1">
        <v>-3.3966810000000001E-6</v>
      </c>
      <c r="I5903">
        <v>-45.610460000000003</v>
      </c>
      <c r="J5903">
        <v>-302.18009999999998</v>
      </c>
      <c r="K5903">
        <v>1.1093219999999999</v>
      </c>
      <c r="L5903">
        <v>-24.850069999999999</v>
      </c>
      <c r="M5903">
        <v>-8.1277790000000003E-2</v>
      </c>
      <c r="N5903">
        <v>-8.0905179999999997E-3</v>
      </c>
      <c r="O5903">
        <v>-0.99665879999999996</v>
      </c>
      <c r="P5903">
        <v>-3.963126E-3</v>
      </c>
      <c r="Q5903">
        <v>0.15733559999999999</v>
      </c>
      <c r="R5903">
        <v>-0.98753740000000001</v>
      </c>
      <c r="S5903">
        <v>0.17135619999999999</v>
      </c>
      <c r="T5903">
        <v>-0.16114249999999999</v>
      </c>
      <c r="U5903">
        <v>-3.06427</v>
      </c>
      <c r="V5903">
        <v>-7.6259250000000001E-2</v>
      </c>
      <c r="W5903">
        <v>0.16532349999999901</v>
      </c>
      <c r="X5903">
        <v>0.98328669999999996</v>
      </c>
      <c r="Y5903">
        <v>-0.13671449999999999</v>
      </c>
      <c r="Z5903">
        <v>4.3867740000000002E-2</v>
      </c>
      <c r="AA5903">
        <v>0.98963869999999998</v>
      </c>
      <c r="AB5903">
        <v>31</v>
      </c>
      <c r="AC5903">
        <v>1.2068999999999599</v>
      </c>
      <c r="AD5903">
        <v>-1.1093253966809999</v>
      </c>
      <c r="AE5903">
        <v>-20.760389999999902</v>
      </c>
      <c r="AF5903">
        <v>-2.8821187849560501</v>
      </c>
      <c r="AG5903">
        <v>-1.1093253966809999</v>
      </c>
      <c r="AH5903">
        <v>20.535166229639</v>
      </c>
      <c r="AI5903">
        <v>93.062201370720402</v>
      </c>
      <c r="AJ5903">
        <v>97.989299927592199</v>
      </c>
      <c r="AK5903">
        <v>20.766084455313798</v>
      </c>
      <c r="AL5903">
        <v>80.483972572053204</v>
      </c>
      <c r="AM5903">
        <v>94.434723220235199</v>
      </c>
      <c r="AN5903">
        <v>1.00000003362985</v>
      </c>
    </row>
    <row r="5904" spans="1:40" x14ac:dyDescent="0.25">
      <c r="A5904" t="str">
        <f>"20190304155753274"</f>
        <v>20190304155753274</v>
      </c>
      <c r="B5904" t="str">
        <f>"1551686273270119"</f>
        <v>1551686273270119</v>
      </c>
      <c r="C5904" t="s">
        <v>40</v>
      </c>
      <c r="D5904">
        <v>4.8637389999999998</v>
      </c>
      <c r="E5904">
        <v>0.4670571</v>
      </c>
      <c r="F5904" t="s">
        <v>84</v>
      </c>
      <c r="G5904">
        <v>-300.72719999999998</v>
      </c>
      <c r="H5904" s="1">
        <v>-3.3119220000000002E-6</v>
      </c>
      <c r="I5904">
        <v>-45.464970000000001</v>
      </c>
      <c r="J5904">
        <v>-302.2235</v>
      </c>
      <c r="K5904">
        <v>1.109389</v>
      </c>
      <c r="L5904">
        <v>-25.38251</v>
      </c>
      <c r="M5904">
        <v>-8.1251260000000006E-2</v>
      </c>
      <c r="N5904">
        <v>-8.0707739999999993E-3</v>
      </c>
      <c r="O5904">
        <v>-0.99666120000000002</v>
      </c>
      <c r="P5904">
        <v>2.6468979999999997E-4</v>
      </c>
      <c r="Q5904">
        <v>0.15695400000000001</v>
      </c>
      <c r="R5904">
        <v>-0.98760619999999999</v>
      </c>
      <c r="S5904">
        <v>0.21600340000000001</v>
      </c>
      <c r="T5904">
        <v>-0.16493329999999901</v>
      </c>
      <c r="U5904">
        <v>-3.0650019999999998</v>
      </c>
      <c r="V5904">
        <v>-8.0480720000000006E-2</v>
      </c>
      <c r="W5904">
        <v>0.16490779999999999</v>
      </c>
      <c r="X5904">
        <v>0.98302</v>
      </c>
      <c r="Y5904">
        <v>-0.15101039999999999</v>
      </c>
      <c r="Z5904">
        <v>4.5009630000000002E-2</v>
      </c>
      <c r="AA5904">
        <v>0.98750689999999997</v>
      </c>
      <c r="AB5904">
        <v>32</v>
      </c>
      <c r="AC5904">
        <v>1.49630000000001</v>
      </c>
      <c r="AD5904">
        <v>-1.1093923119219999</v>
      </c>
      <c r="AE5904">
        <v>-20.082460000000001</v>
      </c>
      <c r="AF5904">
        <v>-3.1136808991273002</v>
      </c>
      <c r="AG5904">
        <v>-1.1093923119219999</v>
      </c>
      <c r="AH5904">
        <v>19.8342824960604</v>
      </c>
      <c r="AI5904">
        <v>93.1627387489889</v>
      </c>
      <c r="AJ5904">
        <v>98.921752197725894</v>
      </c>
      <c r="AK5904">
        <v>20.107822412605199</v>
      </c>
      <c r="AL5904">
        <v>80.508121808908399</v>
      </c>
      <c r="AM5904">
        <v>94.6804175881296</v>
      </c>
      <c r="AN5904">
        <v>1.0000000245962699</v>
      </c>
    </row>
    <row r="5905" spans="1:40" x14ac:dyDescent="0.25">
      <c r="A5905" t="str">
        <f>"20190304155753296"</f>
        <v>20190304155753296</v>
      </c>
      <c r="B5905" t="str">
        <f>"1551686273290616"</f>
        <v>1551686273290616</v>
      </c>
      <c r="C5905" t="s">
        <v>40</v>
      </c>
      <c r="D5905">
        <v>4.9132179999999996</v>
      </c>
      <c r="E5905">
        <v>0.46735480000000001</v>
      </c>
      <c r="F5905" t="s">
        <v>84</v>
      </c>
      <c r="G5905">
        <v>-300.66320000000002</v>
      </c>
      <c r="H5905" s="1">
        <v>-3.2331169999999998E-6</v>
      </c>
      <c r="I5905">
        <v>-45.31812</v>
      </c>
      <c r="J5905">
        <v>-302.25069999999999</v>
      </c>
      <c r="K5905">
        <v>1.109423</v>
      </c>
      <c r="L5905">
        <v>-25.715699999999998</v>
      </c>
      <c r="M5905">
        <v>-8.1182920000000006E-2</v>
      </c>
      <c r="N5905">
        <v>-8.0625390000000005E-3</v>
      </c>
      <c r="O5905">
        <v>-0.99666690000000002</v>
      </c>
      <c r="P5905">
        <v>2.5075800000000001E-3</v>
      </c>
      <c r="Q5905">
        <v>0.15682309999999999</v>
      </c>
      <c r="R5905">
        <v>-0.98762380000000005</v>
      </c>
      <c r="S5905">
        <v>0.2398682</v>
      </c>
      <c r="T5905">
        <v>-0.1705467</v>
      </c>
      <c r="U5905">
        <v>-3.0646969999999998</v>
      </c>
      <c r="V5905">
        <v>-8.2664559999999998E-2</v>
      </c>
      <c r="W5905">
        <v>0.16476109999999999</v>
      </c>
      <c r="X5905">
        <v>0.98286340000000005</v>
      </c>
      <c r="Y5905">
        <v>-0.1585829</v>
      </c>
      <c r="Z5905">
        <v>4.677477E-2</v>
      </c>
      <c r="AA5905">
        <v>0.98623709999999998</v>
      </c>
      <c r="AB5905">
        <v>32</v>
      </c>
      <c r="AC5905">
        <v>1.5874999999999699</v>
      </c>
      <c r="AD5905">
        <v>-1.1094262331169999</v>
      </c>
      <c r="AE5905">
        <v>-19.602419999999999</v>
      </c>
      <c r="AF5905">
        <v>-3.1636250889962301</v>
      </c>
      <c r="AG5905">
        <v>-1.1094262331169999</v>
      </c>
      <c r="AH5905">
        <v>19.347262083161102</v>
      </c>
      <c r="AI5905">
        <v>93.238983434004496</v>
      </c>
      <c r="AJ5905">
        <v>99.286702118246396</v>
      </c>
      <c r="AK5905">
        <v>19.635577414096499</v>
      </c>
      <c r="AL5905">
        <v>80.516643971450804</v>
      </c>
      <c r="AM5905">
        <v>94.807595463961704</v>
      </c>
      <c r="AN5905">
        <v>1.00000005630638</v>
      </c>
    </row>
    <row r="5906" spans="1:40" x14ac:dyDescent="0.25">
      <c r="A5906" t="str">
        <f>"20190304155753318"</f>
        <v>20190304155753318</v>
      </c>
      <c r="B5906" t="str">
        <f>"1551686273310135"</f>
        <v>1551686273310135</v>
      </c>
      <c r="C5906" t="s">
        <v>40</v>
      </c>
      <c r="D5906">
        <v>4.8657820000000003</v>
      </c>
      <c r="E5906">
        <v>0.46724300000000002</v>
      </c>
      <c r="F5906" t="s">
        <v>84</v>
      </c>
      <c r="G5906">
        <v>-300.67349999999999</v>
      </c>
      <c r="H5906" s="1">
        <v>-3.327419E-6</v>
      </c>
      <c r="I5906">
        <v>-45.531170000000003</v>
      </c>
      <c r="J5906">
        <v>-302.27690000000001</v>
      </c>
      <c r="K5906">
        <v>1.1094569999999999</v>
      </c>
      <c r="L5906">
        <v>-26.0383</v>
      </c>
      <c r="M5906">
        <v>-8.1093949999999998E-2</v>
      </c>
      <c r="N5906">
        <v>-8.0569539999999999E-3</v>
      </c>
      <c r="O5906">
        <v>-0.99667410000000001</v>
      </c>
      <c r="P5906">
        <v>4.8863070000000003E-3</v>
      </c>
      <c r="Q5906">
        <v>0.1567016</v>
      </c>
      <c r="R5906">
        <v>-0.98763389999999995</v>
      </c>
      <c r="S5906">
        <v>0.24389649999999999</v>
      </c>
      <c r="T5906">
        <v>-0.1715585</v>
      </c>
      <c r="U5906">
        <v>-3.064209</v>
      </c>
      <c r="V5906">
        <v>-8.4961819999999993E-2</v>
      </c>
      <c r="W5906">
        <v>0.16462560000000001</v>
      </c>
      <c r="X5906">
        <v>0.98269019999999996</v>
      </c>
      <c r="Y5906">
        <v>-0.15979360000000001</v>
      </c>
      <c r="Z5906">
        <v>4.7105590000000003E-2</v>
      </c>
      <c r="AA5906">
        <v>0.98602590000000001</v>
      </c>
      <c r="AB5906">
        <v>32</v>
      </c>
      <c r="AC5906">
        <v>1.6034000000000199</v>
      </c>
      <c r="AD5906">
        <v>-1.109460327419</v>
      </c>
      <c r="AE5906">
        <v>-19.49287</v>
      </c>
      <c r="AF5906">
        <v>-3.16872764897311</v>
      </c>
      <c r="AG5906">
        <v>-1.109460327419</v>
      </c>
      <c r="AH5906">
        <v>19.236737359527702</v>
      </c>
      <c r="AI5906">
        <v>93.257027144398705</v>
      </c>
      <c r="AJ5906">
        <v>99.353918340624801</v>
      </c>
      <c r="AK5906">
        <v>19.527513957770701</v>
      </c>
      <c r="AL5906">
        <v>80.524515104437995</v>
      </c>
      <c r="AM5906">
        <v>94.941413287030699</v>
      </c>
      <c r="AN5906">
        <v>1.0000000641045499</v>
      </c>
    </row>
    <row r="5907" spans="1:40" x14ac:dyDescent="0.25">
      <c r="A5907" t="str">
        <f>"20190304155753343"</f>
        <v>20190304155753343</v>
      </c>
      <c r="B5907" t="str">
        <f>"1551686273330631"</f>
        <v>1551686273330631</v>
      </c>
      <c r="C5907" t="s">
        <v>40</v>
      </c>
      <c r="D5907">
        <v>4.8876980000000003</v>
      </c>
      <c r="E5907">
        <v>0.46790219999999999</v>
      </c>
      <c r="F5907" t="s">
        <v>84</v>
      </c>
      <c r="G5907">
        <v>-300.64260000000002</v>
      </c>
      <c r="H5907" s="1">
        <v>-3.4816350000000002E-6</v>
      </c>
      <c r="I5907">
        <v>-45.904380000000003</v>
      </c>
      <c r="J5907">
        <v>-302.30399999999997</v>
      </c>
      <c r="K5907">
        <v>1.109488</v>
      </c>
      <c r="L5907">
        <v>-26.37238</v>
      </c>
      <c r="M5907">
        <v>-8.0975340000000007E-2</v>
      </c>
      <c r="N5907">
        <v>-8.0533280000000002E-3</v>
      </c>
      <c r="O5907">
        <v>-0.99668389999999996</v>
      </c>
      <c r="P5907">
        <v>7.1776180000000002E-3</v>
      </c>
      <c r="Q5907">
        <v>0.15640379999999901</v>
      </c>
      <c r="R5907">
        <v>-0.98766759999999998</v>
      </c>
      <c r="S5907">
        <v>0.25201420000000002</v>
      </c>
      <c r="T5907">
        <v>-0.17108419999999999</v>
      </c>
      <c r="U5907">
        <v>-3.0634459999999999</v>
      </c>
      <c r="V5907">
        <v>-8.7145089999999995E-2</v>
      </c>
      <c r="W5907">
        <v>0.16431560000000001</v>
      </c>
      <c r="X5907">
        <v>0.98255079999999995</v>
      </c>
      <c r="Y5907">
        <v>-0.16229089999999999</v>
      </c>
      <c r="Z5907">
        <v>4.6953460000000002E-2</v>
      </c>
      <c r="AA5907">
        <v>0.98562519999999998</v>
      </c>
      <c r="AB5907">
        <v>32</v>
      </c>
      <c r="AC5907">
        <v>1.66140000000001</v>
      </c>
      <c r="AD5907">
        <v>-1.1094914816349899</v>
      </c>
      <c r="AE5907">
        <v>-19.532</v>
      </c>
      <c r="AF5907">
        <v>-3.22726637689428</v>
      </c>
      <c r="AG5907">
        <v>-1.1094914816349899</v>
      </c>
      <c r="AH5907">
        <v>19.271581743252199</v>
      </c>
      <c r="AI5907">
        <v>93.249805598821894</v>
      </c>
      <c r="AJ5907">
        <v>99.506679442905806</v>
      </c>
      <c r="AK5907">
        <v>19.571409824080298</v>
      </c>
      <c r="AL5907">
        <v>80.542521199618804</v>
      </c>
      <c r="AM5907">
        <v>95.068455377152901</v>
      </c>
      <c r="AN5907">
        <v>0.99999997884755298</v>
      </c>
    </row>
    <row r="5908" spans="1:40" x14ac:dyDescent="0.25">
      <c r="A5908" t="str">
        <f>"20190304155753365"</f>
        <v>20190304155753365</v>
      </c>
      <c r="B5908" t="str">
        <f>"1551686273360887"</f>
        <v>1551686273360887</v>
      </c>
      <c r="C5908" t="s">
        <v>40</v>
      </c>
      <c r="D5908">
        <v>4.8720569999999999</v>
      </c>
      <c r="E5908">
        <v>0.46793059999999997</v>
      </c>
      <c r="F5908" t="s">
        <v>84</v>
      </c>
      <c r="G5908">
        <v>-300.65269999999998</v>
      </c>
      <c r="H5908" s="1">
        <v>-3.689937E-6</v>
      </c>
      <c r="I5908">
        <v>-46.312049999999999</v>
      </c>
      <c r="J5908">
        <v>-302.3306</v>
      </c>
      <c r="K5908">
        <v>1.1095219999999999</v>
      </c>
      <c r="L5908">
        <v>-26.701080000000001</v>
      </c>
      <c r="M5908">
        <v>-8.0830550000000001E-2</v>
      </c>
      <c r="N5908">
        <v>-8.0515710000000004E-3</v>
      </c>
      <c r="O5908">
        <v>-0.99669549999999996</v>
      </c>
      <c r="P5908">
        <v>9.5230039999999998E-3</v>
      </c>
      <c r="Q5908">
        <v>0.15595690000000001</v>
      </c>
      <c r="R5908">
        <v>-0.98771819999999999</v>
      </c>
      <c r="S5908">
        <v>0.25363160000000001</v>
      </c>
      <c r="T5908">
        <v>-0.1704117</v>
      </c>
      <c r="U5908">
        <v>-3.0626220000000002</v>
      </c>
      <c r="V5908">
        <v>-8.9357530000000004E-2</v>
      </c>
      <c r="W5908">
        <v>0.1638589</v>
      </c>
      <c r="X5908">
        <v>0.98242839999999998</v>
      </c>
      <c r="Y5908">
        <v>-0.162687</v>
      </c>
      <c r="Z5908">
        <v>4.675203E-2</v>
      </c>
      <c r="AA5908">
        <v>0.98556949999999999</v>
      </c>
      <c r="AB5908">
        <v>32</v>
      </c>
      <c r="AC5908">
        <v>1.6779000000000199</v>
      </c>
      <c r="AD5908">
        <v>-1.1095256899369901</v>
      </c>
      <c r="AE5908">
        <v>-19.610969999999998</v>
      </c>
      <c r="AF5908">
        <v>-3.2473070607780001</v>
      </c>
      <c r="AG5908">
        <v>-1.1095256899369901</v>
      </c>
      <c r="AH5908">
        <v>19.349679096951299</v>
      </c>
      <c r="AI5908">
        <v>93.236627067972805</v>
      </c>
      <c r="AJ5908">
        <v>99.526731786862698</v>
      </c>
      <c r="AK5908">
        <v>19.6516190569277</v>
      </c>
      <c r="AL5908">
        <v>80.569048254844205</v>
      </c>
      <c r="AM5908">
        <v>95.1970813971392</v>
      </c>
      <c r="AN5908">
        <v>1.0000000342017299</v>
      </c>
    </row>
    <row r="5909" spans="1:40" x14ac:dyDescent="0.25">
      <c r="A5909" t="str">
        <f>"20190304155753387"</f>
        <v>20190304155753387</v>
      </c>
      <c r="B5909" t="str">
        <f>"1551686273380406"</f>
        <v>1551686273380406</v>
      </c>
      <c r="C5909" t="s">
        <v>40</v>
      </c>
      <c r="D5909">
        <v>4.8503569999999998</v>
      </c>
      <c r="E5909">
        <v>0.46775990000000001</v>
      </c>
      <c r="F5909" t="s">
        <v>84</v>
      </c>
      <c r="G5909">
        <v>-300.6669</v>
      </c>
      <c r="H5909" s="1">
        <v>-3.6656699999999999E-6</v>
      </c>
      <c r="I5909">
        <v>-46.262799999999999</v>
      </c>
      <c r="J5909">
        <v>-302.3553</v>
      </c>
      <c r="K5909">
        <v>1.1095469999999901</v>
      </c>
      <c r="L5909">
        <v>-27.00714</v>
      </c>
      <c r="M5909">
        <v>-8.0667929999999999E-2</v>
      </c>
      <c r="N5909">
        <v>-8.0513419999999995E-3</v>
      </c>
      <c r="O5909">
        <v>-0.9967087</v>
      </c>
      <c r="P5909">
        <v>1.1211169999999999E-2</v>
      </c>
      <c r="Q5909">
        <v>0.15618650000000001</v>
      </c>
      <c r="R5909">
        <v>-0.98766430000000005</v>
      </c>
      <c r="S5909">
        <v>0.26043699999999997</v>
      </c>
      <c r="T5909">
        <v>-0.17368710000000001</v>
      </c>
      <c r="U5909">
        <v>-3.0622250000000002</v>
      </c>
      <c r="V5909">
        <v>-9.0887770000000007E-2</v>
      </c>
      <c r="W5909">
        <v>0.16407949999999999</v>
      </c>
      <c r="X5909">
        <v>0.98225119999999999</v>
      </c>
      <c r="Y5909">
        <v>-0.16470570000000001</v>
      </c>
      <c r="Z5909">
        <v>4.7796030000000003E-2</v>
      </c>
      <c r="AA5909">
        <v>0.98518399999999995</v>
      </c>
      <c r="AB5909">
        <v>32</v>
      </c>
      <c r="AC5909">
        <v>1.6883999999999999</v>
      </c>
      <c r="AD5909">
        <v>-1.1095506656699901</v>
      </c>
      <c r="AE5909">
        <v>-19.255659999999899</v>
      </c>
      <c r="AF5909">
        <v>-3.2256331378556902</v>
      </c>
      <c r="AG5909">
        <v>-1.1095506656699901</v>
      </c>
      <c r="AH5909">
        <v>18.994113250802499</v>
      </c>
      <c r="AI5909">
        <v>93.296077532829599</v>
      </c>
      <c r="AJ5909">
        <v>99.638176340494795</v>
      </c>
      <c r="AK5909">
        <v>19.297983055335902</v>
      </c>
      <c r="AL5909">
        <v>80.5562354879943</v>
      </c>
      <c r="AM5909">
        <v>95.286529222870001</v>
      </c>
      <c r="AN5909">
        <v>1.0000000444786299</v>
      </c>
    </row>
    <row r="5910" spans="1:40" x14ac:dyDescent="0.25">
      <c r="A5910" t="str">
        <f>"20190304155753408"</f>
        <v>20190304155753408</v>
      </c>
      <c r="B5910" t="str">
        <f>"1551686273400903"</f>
        <v>1551686273400903</v>
      </c>
      <c r="C5910" t="s">
        <v>40</v>
      </c>
      <c r="D5910">
        <v>4.7993779999999999</v>
      </c>
      <c r="E5910">
        <v>0.46836939999999999</v>
      </c>
      <c r="F5910" t="s">
        <v>84</v>
      </c>
      <c r="G5910">
        <v>-300.67450000000002</v>
      </c>
      <c r="H5910" s="1">
        <v>-3.6717919999999999E-6</v>
      </c>
      <c r="I5910">
        <v>-46.273960000000002</v>
      </c>
      <c r="J5910">
        <v>-302.38029999999998</v>
      </c>
      <c r="K5910">
        <v>1.109569</v>
      </c>
      <c r="L5910">
        <v>-27.318940000000001</v>
      </c>
      <c r="M5910">
        <v>-8.0470410000000006E-2</v>
      </c>
      <c r="N5910">
        <v>-8.0522690000000008E-3</v>
      </c>
      <c r="O5910">
        <v>-0.99672439999999995</v>
      </c>
      <c r="P5910">
        <v>1.3574900000000001E-2</v>
      </c>
      <c r="Q5910">
        <v>0.15647610000000001</v>
      </c>
      <c r="R5910">
        <v>-0.98758849999999998</v>
      </c>
      <c r="S5910">
        <v>0.26715090000000002</v>
      </c>
      <c r="T5910">
        <v>-0.17635490000000001</v>
      </c>
      <c r="U5910">
        <v>-3.0623170000000002</v>
      </c>
      <c r="V5910">
        <v>-9.3054990000000004E-2</v>
      </c>
      <c r="W5910">
        <v>0.16436029999999999</v>
      </c>
      <c r="X5910">
        <v>0.98200120000000002</v>
      </c>
      <c r="Y5910">
        <v>-0.16664679999999901</v>
      </c>
      <c r="Z5910">
        <v>4.8635100000000001E-2</v>
      </c>
      <c r="AA5910">
        <v>0.98481649999999998</v>
      </c>
      <c r="AB5910">
        <v>32</v>
      </c>
      <c r="AC5910">
        <v>1.70579999999995</v>
      </c>
      <c r="AD5910">
        <v>-1.109572671792</v>
      </c>
      <c r="AE5910">
        <v>-18.955019999999902</v>
      </c>
      <c r="AF5910">
        <v>-3.21470850391812</v>
      </c>
      <c r="AG5910">
        <v>-1.109572671792</v>
      </c>
      <c r="AH5910">
        <v>18.692736041002401</v>
      </c>
      <c r="AI5910">
        <v>93.347970716983795</v>
      </c>
      <c r="AJ5910">
        <v>99.758065117557905</v>
      </c>
      <c r="AK5910">
        <v>18.999575863101299</v>
      </c>
      <c r="AL5910">
        <v>80.539924483874501</v>
      </c>
      <c r="AM5910">
        <v>95.4132163647391</v>
      </c>
      <c r="AN5910">
        <v>0.99999994809071302</v>
      </c>
    </row>
    <row r="5911" spans="1:40" x14ac:dyDescent="0.25">
      <c r="A5911" t="str">
        <f>"20190304155753436"</f>
        <v>20190304155753436</v>
      </c>
      <c r="B5911" t="str">
        <f>"1551686273430183"</f>
        <v>1551686273430183</v>
      </c>
      <c r="C5911" t="s">
        <v>40</v>
      </c>
      <c r="D5911">
        <v>4.8076230000000004</v>
      </c>
      <c r="E5911">
        <v>0.46888039999999997</v>
      </c>
      <c r="F5911" t="s">
        <v>84</v>
      </c>
      <c r="G5911">
        <v>-300.64999999999998</v>
      </c>
      <c r="H5911" s="1">
        <v>-4.0364110000000001E-6</v>
      </c>
      <c r="I5911">
        <v>-46.992339999999999</v>
      </c>
      <c r="J5911">
        <v>-302.40969999999999</v>
      </c>
      <c r="K5911">
        <v>1.109605</v>
      </c>
      <c r="L5911">
        <v>-27.68646</v>
      </c>
      <c r="M5911">
        <v>-8.0181420000000003E-2</v>
      </c>
      <c r="N5911">
        <v>-8.0548470000000004E-3</v>
      </c>
      <c r="O5911">
        <v>-0.99674790000000002</v>
      </c>
      <c r="P5911">
        <v>1.5525000000000001E-2</v>
      </c>
      <c r="Q5911">
        <v>0.15668299999999999</v>
      </c>
      <c r="R5911">
        <v>-0.98752700000000004</v>
      </c>
      <c r="S5911">
        <v>0.26925660000000001</v>
      </c>
      <c r="T5911">
        <v>-0.17266020000000001</v>
      </c>
      <c r="U5911">
        <v>-3.0613709999999998</v>
      </c>
      <c r="V5911">
        <v>-9.4724740000000002E-2</v>
      </c>
      <c r="W5911">
        <v>0.16455929999999999</v>
      </c>
      <c r="X5911">
        <v>0.98180820000000002</v>
      </c>
      <c r="Y5911">
        <v>-0.16706509999999999</v>
      </c>
      <c r="Z5911">
        <v>4.7463060000000001E-2</v>
      </c>
      <c r="AA5911">
        <v>0.98480279999999998</v>
      </c>
      <c r="AB5911">
        <v>32</v>
      </c>
      <c r="AC5911">
        <v>1.7597</v>
      </c>
      <c r="AD5911">
        <v>-1.1096090364110001</v>
      </c>
      <c r="AE5911">
        <v>-19.305879999999998</v>
      </c>
      <c r="AF5911">
        <v>-3.29127395012094</v>
      </c>
      <c r="AG5911">
        <v>-1.1096090364110001</v>
      </c>
      <c r="AH5911">
        <v>19.040237566427699</v>
      </c>
      <c r="AI5911">
        <v>93.286625308382199</v>
      </c>
      <c r="AJ5911">
        <v>99.807170039330103</v>
      </c>
      <c r="AK5911">
        <v>19.354440395279699</v>
      </c>
      <c r="AL5911">
        <v>80.528365158113402</v>
      </c>
      <c r="AM5911">
        <v>95.510833371656005</v>
      </c>
      <c r="AN5911">
        <v>0.99999994058589703</v>
      </c>
    </row>
    <row r="5912" spans="1:40" x14ac:dyDescent="0.25">
      <c r="A5912" t="str">
        <f>"20190304155753473"</f>
        <v>20190304155753473</v>
      </c>
      <c r="B5912" t="str">
        <f>"1551686273470199"</f>
        <v>1551686273470199</v>
      </c>
      <c r="C5912" t="s">
        <v>40</v>
      </c>
      <c r="D5912">
        <v>4.8191360000000003</v>
      </c>
      <c r="E5912">
        <v>0.46923530000000002</v>
      </c>
      <c r="F5912" t="s">
        <v>84</v>
      </c>
      <c r="G5912">
        <v>-300.63889999999998</v>
      </c>
      <c r="H5912" s="1">
        <v>-4.3882510000000001E-6</v>
      </c>
      <c r="I5912">
        <v>-47.68412</v>
      </c>
      <c r="J5912">
        <v>-302.4538</v>
      </c>
      <c r="K5912">
        <v>1.1096790000000001</v>
      </c>
      <c r="L5912">
        <v>-28.241820000000001</v>
      </c>
      <c r="M5912">
        <v>-7.9622600000000002E-2</v>
      </c>
      <c r="N5912">
        <v>-8.0612749999999997E-3</v>
      </c>
      <c r="O5912">
        <v>-0.99679260000000003</v>
      </c>
      <c r="P5912">
        <v>1.9213750000000002E-2</v>
      </c>
      <c r="Q5912">
        <v>0.15645629999999999</v>
      </c>
      <c r="R5912">
        <v>-0.98749830000000005</v>
      </c>
      <c r="S5912">
        <v>0.27102659999999901</v>
      </c>
      <c r="T5912">
        <v>-0.16982220000000001</v>
      </c>
      <c r="U5912">
        <v>-3.0605769999999999</v>
      </c>
      <c r="V5912">
        <v>-9.7877099999999995E-2</v>
      </c>
      <c r="W5912">
        <v>0.16431799999999999</v>
      </c>
      <c r="X5912">
        <v>0.98153939999999995</v>
      </c>
      <c r="Y5912">
        <v>-0.16710420000000001</v>
      </c>
      <c r="Z5912">
        <v>4.6562439999999997E-2</v>
      </c>
      <c r="AA5912">
        <v>0.98483909999999997</v>
      </c>
      <c r="AB5912">
        <v>32</v>
      </c>
      <c r="AC5912">
        <v>1.8149000000000199</v>
      </c>
      <c r="AD5912">
        <v>-1.109683388251</v>
      </c>
      <c r="AE5912">
        <v>-19.442299999999999</v>
      </c>
      <c r="AF5912">
        <v>-3.3464267891421602</v>
      </c>
      <c r="AG5912">
        <v>-1.109683388251</v>
      </c>
      <c r="AH5912">
        <v>19.174133717496499</v>
      </c>
      <c r="AI5912">
        <v>93.263025720570496</v>
      </c>
      <c r="AJ5912">
        <v>99.900013778186604</v>
      </c>
      <c r="AK5912">
        <v>19.495573171714799</v>
      </c>
      <c r="AL5912">
        <v>80.542381641645804</v>
      </c>
      <c r="AM5912">
        <v>95.694592603439702</v>
      </c>
      <c r="AN5912">
        <v>0.99999996279038394</v>
      </c>
    </row>
    <row r="5913" spans="1:40" x14ac:dyDescent="0.25">
      <c r="A5913" t="str">
        <f>"20190304155753499"</f>
        <v>20190304155753499</v>
      </c>
      <c r="B5913" t="str">
        <f>"1551686273490695"</f>
        <v>1551686273490695</v>
      </c>
      <c r="C5913" t="s">
        <v>40</v>
      </c>
      <c r="D5913">
        <v>4.8295159999999999</v>
      </c>
      <c r="E5913">
        <v>0.46969280000000002</v>
      </c>
      <c r="F5913" t="s">
        <v>84</v>
      </c>
      <c r="G5913">
        <v>-300.63240000000002</v>
      </c>
      <c r="H5913" s="1">
        <v>-4.6466090000000002E-6</v>
      </c>
      <c r="I5913">
        <v>-48.191899999999997</v>
      </c>
      <c r="J5913">
        <v>-302.483</v>
      </c>
      <c r="K5913">
        <v>1.109734</v>
      </c>
      <c r="L5913">
        <v>-28.613309999999998</v>
      </c>
      <c r="M5913">
        <v>-7.9149010000000006E-2</v>
      </c>
      <c r="N5913">
        <v>-8.0669179999999993E-3</v>
      </c>
      <c r="O5913">
        <v>-0.99683040000000001</v>
      </c>
      <c r="P5913">
        <v>2.0926210000000001E-2</v>
      </c>
      <c r="Q5913">
        <v>0.15688849999999999</v>
      </c>
      <c r="R5913">
        <v>-0.98739480000000002</v>
      </c>
      <c r="S5913">
        <v>0.2793274</v>
      </c>
      <c r="T5913">
        <v>-0.1701792</v>
      </c>
      <c r="U5913">
        <v>-3.0595089999999998</v>
      </c>
      <c r="V5913">
        <v>-9.9132239999999996E-2</v>
      </c>
      <c r="W5913">
        <v>0.16473940000000001</v>
      </c>
      <c r="X5913">
        <v>0.98134279999999996</v>
      </c>
      <c r="Y5913">
        <v>-0.16931489999999999</v>
      </c>
      <c r="Z5913">
        <v>4.6675689999999999E-2</v>
      </c>
      <c r="AA5913">
        <v>0.98445609999999995</v>
      </c>
      <c r="AB5913">
        <v>32</v>
      </c>
      <c r="AC5913">
        <v>1.85059999999998</v>
      </c>
      <c r="AD5913">
        <v>-1.109738646609</v>
      </c>
      <c r="AE5913">
        <v>-19.578589999999998</v>
      </c>
      <c r="AF5913">
        <v>-3.3836952331033299</v>
      </c>
      <c r="AG5913">
        <v>-1.109738646609</v>
      </c>
      <c r="AH5913">
        <v>19.3091995813148</v>
      </c>
      <c r="AI5913">
        <v>93.240021844778497</v>
      </c>
      <c r="AJ5913">
        <v>99.939446558231296</v>
      </c>
      <c r="AK5913">
        <v>19.634818607905402</v>
      </c>
      <c r="AL5913">
        <v>80.517903794217801</v>
      </c>
      <c r="AM5913">
        <v>95.768276395326197</v>
      </c>
      <c r="AN5913">
        <v>0.999999981015808</v>
      </c>
    </row>
    <row r="5914" spans="1:40" x14ac:dyDescent="0.25">
      <c r="A5914" t="str">
        <f>"20190304155753519"</f>
        <v>20190304155753519</v>
      </c>
      <c r="B5914" t="str">
        <f>"1551686273510687"</f>
        <v>1551686273510687</v>
      </c>
      <c r="C5914" t="s">
        <v>40</v>
      </c>
      <c r="D5914">
        <v>4.793196</v>
      </c>
      <c r="E5914">
        <v>0.47007520000000003</v>
      </c>
      <c r="F5914" t="s">
        <v>84</v>
      </c>
      <c r="G5914">
        <v>-300.62139999999999</v>
      </c>
      <c r="H5914" s="1">
        <v>-4.9926780000000003E-6</v>
      </c>
      <c r="I5914">
        <v>-48.872340000000001</v>
      </c>
      <c r="J5914">
        <v>-302.50670000000002</v>
      </c>
      <c r="K5914">
        <v>1.1097919999999999</v>
      </c>
      <c r="L5914">
        <v>-28.917079999999999</v>
      </c>
      <c r="M5914">
        <v>-7.8688060000000004E-2</v>
      </c>
      <c r="N5914">
        <v>-8.0722329999999998E-3</v>
      </c>
      <c r="O5914">
        <v>-0.99686660000000005</v>
      </c>
      <c r="P5914">
        <v>2.217351E-2</v>
      </c>
      <c r="Q5914">
        <v>0.15701619999999999</v>
      </c>
      <c r="R5914">
        <v>-0.98734719999999998</v>
      </c>
      <c r="S5914">
        <v>0.2810974</v>
      </c>
      <c r="T5914">
        <v>-0.16756209999999999</v>
      </c>
      <c r="U5914">
        <v>-3.0589599999999999</v>
      </c>
      <c r="V5914">
        <v>-9.9940669999999995E-2</v>
      </c>
      <c r="W5914">
        <v>0.16485739999999999</v>
      </c>
      <c r="X5914">
        <v>0.98124100000000003</v>
      </c>
      <c r="Y5914">
        <v>-0.16944419999999999</v>
      </c>
      <c r="Z5914">
        <v>4.584096E-2</v>
      </c>
      <c r="AA5914">
        <v>0.98447309999999999</v>
      </c>
      <c r="AB5914">
        <v>32</v>
      </c>
      <c r="AC5914">
        <v>1.88530000000002</v>
      </c>
      <c r="AD5914">
        <v>-1.109796992678</v>
      </c>
      <c r="AE5914">
        <v>-19.955259999999999</v>
      </c>
      <c r="AF5914">
        <v>-3.4392025496652199</v>
      </c>
      <c r="AG5914">
        <v>-1.109796992678</v>
      </c>
      <c r="AH5914">
        <v>19.6846799795659</v>
      </c>
      <c r="AI5914">
        <v>93.178795482150207</v>
      </c>
      <c r="AJ5914">
        <v>99.910382837110006</v>
      </c>
      <c r="AK5914">
        <v>20.013655074486099</v>
      </c>
      <c r="AL5914">
        <v>80.511049352193496</v>
      </c>
      <c r="AM5914">
        <v>95.815595150780098</v>
      </c>
      <c r="AN5914">
        <v>0.99999999996790401</v>
      </c>
    </row>
    <row r="5915" spans="1:40" x14ac:dyDescent="0.25">
      <c r="A5915" t="str">
        <f>"20190304155753540"</f>
        <v>20190304155753540</v>
      </c>
      <c r="B5915" t="str">
        <f>"1551686273530208"</f>
        <v>1551686273530208</v>
      </c>
      <c r="C5915" t="s">
        <v>40</v>
      </c>
      <c r="D5915">
        <v>4.8277060000000001</v>
      </c>
      <c r="E5915">
        <v>0.47033239999999998</v>
      </c>
      <c r="F5915" t="s">
        <v>84</v>
      </c>
      <c r="G5915">
        <v>-300.6157</v>
      </c>
      <c r="H5915" s="1">
        <v>-5.2395939999999899E-6</v>
      </c>
      <c r="I5915">
        <v>-49.357590000000002</v>
      </c>
      <c r="J5915">
        <v>-302.53059999999999</v>
      </c>
      <c r="K5915">
        <v>1.1098699999999999</v>
      </c>
      <c r="L5915">
        <v>-29.22598</v>
      </c>
      <c r="M5915">
        <v>-7.8104880000000002E-2</v>
      </c>
      <c r="N5915">
        <v>-8.0784440000000006E-3</v>
      </c>
      <c r="O5915">
        <v>-0.99691269999999998</v>
      </c>
      <c r="P5915">
        <v>2.4025479999999998E-2</v>
      </c>
      <c r="Q5915">
        <v>0.1565645</v>
      </c>
      <c r="R5915">
        <v>-0.98737589999999997</v>
      </c>
      <c r="S5915">
        <v>0.28295900000000002</v>
      </c>
      <c r="T5915">
        <v>-0.16605839999999999</v>
      </c>
      <c r="U5915">
        <v>-3.0585019999999998</v>
      </c>
      <c r="V5915">
        <v>-0.10124610000000001</v>
      </c>
      <c r="W5915">
        <v>0.16438989999999901</v>
      </c>
      <c r="X5915">
        <v>0.98118559999999999</v>
      </c>
      <c r="Y5915">
        <v>-0.16947760000000001</v>
      </c>
      <c r="Z5915">
        <v>4.5362020000000003E-2</v>
      </c>
      <c r="AA5915">
        <v>0.98448959999999996</v>
      </c>
      <c r="AB5915">
        <v>32</v>
      </c>
      <c r="AC5915">
        <v>1.9148999999999801</v>
      </c>
      <c r="AD5915">
        <v>-1.1098752395939999</v>
      </c>
      <c r="AE5915">
        <v>-20.131609999999998</v>
      </c>
      <c r="AF5915">
        <v>-3.4710224202148101</v>
      </c>
      <c r="AG5915">
        <v>-1.1098752395939999</v>
      </c>
      <c r="AH5915">
        <v>19.860715176258498</v>
      </c>
      <c r="AI5915">
        <v>93.150870415489905</v>
      </c>
      <c r="AJ5915">
        <v>99.913361225589995</v>
      </c>
      <c r="AK5915">
        <v>20.192271467112398</v>
      </c>
      <c r="AL5915">
        <v>80.538205607337403</v>
      </c>
      <c r="AM5915">
        <v>95.891358195602393</v>
      </c>
      <c r="AN5915">
        <v>0.99999999681728902</v>
      </c>
    </row>
    <row r="5916" spans="1:40" x14ac:dyDescent="0.25">
      <c r="A5916" t="str">
        <f>"20190304155753567"</f>
        <v>20190304155753567</v>
      </c>
      <c r="B5916" t="str">
        <f>"1551686273560463"</f>
        <v>1551686273560463</v>
      </c>
      <c r="C5916" t="s">
        <v>40</v>
      </c>
      <c r="D5916">
        <v>4.8409769999999996</v>
      </c>
      <c r="E5916">
        <v>0.4707615</v>
      </c>
      <c r="F5916" t="s">
        <v>84</v>
      </c>
      <c r="G5916">
        <v>-300.61130000000003</v>
      </c>
      <c r="H5916" s="1">
        <v>-5.4024010000000004E-6</v>
      </c>
      <c r="I5916">
        <v>-49.677610000000001</v>
      </c>
      <c r="J5916">
        <v>-302.5591</v>
      </c>
      <c r="K5916">
        <v>1.1100019999999999</v>
      </c>
      <c r="L5916">
        <v>-29.599519999999998</v>
      </c>
      <c r="M5916">
        <v>-7.7212439999999993E-2</v>
      </c>
      <c r="N5916">
        <v>-8.0872500000000007E-3</v>
      </c>
      <c r="O5916">
        <v>-0.99698189999999998</v>
      </c>
      <c r="P5916">
        <v>2.5973400000000001E-2</v>
      </c>
      <c r="Q5916">
        <v>0.15669089999999999</v>
      </c>
      <c r="R5916">
        <v>-0.98730620000000002</v>
      </c>
      <c r="S5916">
        <v>0.28695680000000001</v>
      </c>
      <c r="T5916">
        <v>-0.165935</v>
      </c>
      <c r="U5916">
        <v>-3.0576780000000001</v>
      </c>
      <c r="V5916">
        <v>-0.1023583</v>
      </c>
      <c r="W5916">
        <v>0.1644892</v>
      </c>
      <c r="X5916">
        <v>0.98105350000000002</v>
      </c>
      <c r="Y5916">
        <v>-0.16989580000000001</v>
      </c>
      <c r="Z5916">
        <v>4.532825E-2</v>
      </c>
      <c r="AA5916">
        <v>0.98441900000000004</v>
      </c>
      <c r="AB5916">
        <v>33</v>
      </c>
      <c r="AC5916">
        <v>1.94779999999997</v>
      </c>
      <c r="AD5916">
        <v>-1.110007402401</v>
      </c>
      <c r="AE5916">
        <v>-20.0780899999999</v>
      </c>
      <c r="AF5916">
        <v>-3.48177135245564</v>
      </c>
      <c r="AG5916">
        <v>-1.110007402401</v>
      </c>
      <c r="AH5916">
        <v>19.807771337619499</v>
      </c>
      <c r="AI5916">
        <v>93.159109310075095</v>
      </c>
      <c r="AJ5916">
        <v>99.969493911383097</v>
      </c>
      <c r="AK5916">
        <v>20.142061799815501</v>
      </c>
      <c r="AL5916">
        <v>80.532437114761805</v>
      </c>
      <c r="AM5916">
        <v>95.956408948301203</v>
      </c>
      <c r="AN5916">
        <v>0.99999994417888804</v>
      </c>
    </row>
    <row r="5917" spans="1:40" x14ac:dyDescent="0.25">
      <c r="A5917" t="str">
        <f>"20190304155753591"</f>
        <v>20190304155753591</v>
      </c>
      <c r="B5917" t="str">
        <f>"1551686273580959"</f>
        <v>1551686273580959</v>
      </c>
      <c r="C5917" t="s">
        <v>40</v>
      </c>
      <c r="D5917">
        <v>4.7455800000000004</v>
      </c>
      <c r="E5917">
        <v>0.47102179999999999</v>
      </c>
      <c r="F5917" t="s">
        <v>84</v>
      </c>
      <c r="G5917">
        <v>-300.6114</v>
      </c>
      <c r="H5917" s="1">
        <v>-5.6270880000000004E-6</v>
      </c>
      <c r="I5917">
        <v>-50.118560000000002</v>
      </c>
      <c r="J5917">
        <v>-302.58569999999997</v>
      </c>
      <c r="K5917">
        <v>1.1101639999999999</v>
      </c>
      <c r="L5917">
        <v>-29.956050000000001</v>
      </c>
      <c r="M5917">
        <v>-7.6131370000000004E-2</v>
      </c>
      <c r="N5917">
        <v>-8.0974540000000005E-3</v>
      </c>
      <c r="O5917">
        <v>-0.99706519999999998</v>
      </c>
      <c r="P5917">
        <v>2.831558E-2</v>
      </c>
      <c r="Q5917">
        <v>0.156879399999999</v>
      </c>
      <c r="R5917">
        <v>-0.98721199999999998</v>
      </c>
      <c r="S5917">
        <v>0.2901917</v>
      </c>
      <c r="T5917">
        <v>-0.16538310000000001</v>
      </c>
      <c r="U5917">
        <v>-3.0571899999999999</v>
      </c>
      <c r="V5917">
        <v>-0.103686899999999</v>
      </c>
      <c r="W5917">
        <v>0.16464300000000001</v>
      </c>
      <c r="X5917">
        <v>0.98088819999999999</v>
      </c>
      <c r="Y5917">
        <v>-0.1698752</v>
      </c>
      <c r="Z5917">
        <v>4.5153449999999998E-2</v>
      </c>
      <c r="AA5917">
        <v>0.98443060000000004</v>
      </c>
      <c r="AB5917">
        <v>33</v>
      </c>
      <c r="AC5917">
        <v>1.97429999999997</v>
      </c>
      <c r="AD5917">
        <v>-1.1101696270879999</v>
      </c>
      <c r="AE5917">
        <v>-20.162509999999902</v>
      </c>
      <c r="AF5917">
        <v>-3.4931295813043302</v>
      </c>
      <c r="AG5917">
        <v>-1.1101696270879999</v>
      </c>
      <c r="AH5917">
        <v>19.893939312016499</v>
      </c>
      <c r="AI5917">
        <v>93.146014244753701</v>
      </c>
      <c r="AJ5917">
        <v>99.958910291113796</v>
      </c>
      <c r="AK5917">
        <v>20.228772879808801</v>
      </c>
      <c r="AL5917">
        <v>80.523503521458906</v>
      </c>
      <c r="AM5917">
        <v>96.034165110356994</v>
      </c>
      <c r="AN5917">
        <v>0.99999997578992394</v>
      </c>
    </row>
    <row r="5918" spans="1:40" x14ac:dyDescent="0.25">
      <c r="A5918" t="str">
        <f>"20190304155753615"</f>
        <v>20190304155753615</v>
      </c>
      <c r="B5918" t="str">
        <f>"1551686273610749"</f>
        <v>1551686273610749</v>
      </c>
      <c r="C5918" t="s">
        <v>40</v>
      </c>
      <c r="D5918">
        <v>4.8792249999999999</v>
      </c>
      <c r="E5918">
        <v>0.47121639999999998</v>
      </c>
      <c r="F5918" t="s">
        <v>84</v>
      </c>
      <c r="G5918">
        <v>-300.58859999999999</v>
      </c>
      <c r="H5918" s="1">
        <v>-5.8221809999999996E-6</v>
      </c>
      <c r="I5918">
        <v>-50.534260000000003</v>
      </c>
      <c r="J5918">
        <v>-302.61110000000002</v>
      </c>
      <c r="K5918">
        <v>1.110347</v>
      </c>
      <c r="L5918">
        <v>-30.304600000000001</v>
      </c>
      <c r="M5918">
        <v>-7.4817229999999998E-2</v>
      </c>
      <c r="N5918">
        <v>-8.1089630000000003E-3</v>
      </c>
      <c r="O5918">
        <v>-0.9971643</v>
      </c>
      <c r="P5918">
        <v>3.0805539999999999E-2</v>
      </c>
      <c r="Q5918">
        <v>0.15764139999999999</v>
      </c>
      <c r="R5918">
        <v>-0.987016</v>
      </c>
      <c r="S5918">
        <v>0.29663089999999998</v>
      </c>
      <c r="T5918">
        <v>-0.1648973</v>
      </c>
      <c r="U5918">
        <v>-3.056549</v>
      </c>
      <c r="V5918">
        <v>-0.1049353</v>
      </c>
      <c r="W5918">
        <v>0.16536579999999901</v>
      </c>
      <c r="X5918">
        <v>0.98063389999999995</v>
      </c>
      <c r="Y5918">
        <v>-0.17065130000000001</v>
      </c>
      <c r="Z5918">
        <v>4.4995849999999997E-2</v>
      </c>
      <c r="AA5918">
        <v>0.98430359999999995</v>
      </c>
      <c r="AB5918">
        <v>33</v>
      </c>
      <c r="AC5918">
        <v>2.0225000000000302</v>
      </c>
      <c r="AD5918">
        <v>-1.110352822181</v>
      </c>
      <c r="AE5918">
        <v>-20.229659999999999</v>
      </c>
      <c r="AF5918">
        <v>-3.5199087543737</v>
      </c>
      <c r="AG5918">
        <v>-1.110352822181</v>
      </c>
      <c r="AH5918">
        <v>19.962091929463998</v>
      </c>
      <c r="AI5918">
        <v>93.135414918949294</v>
      </c>
      <c r="AJ5918">
        <v>100.00014852554401</v>
      </c>
      <c r="AK5918">
        <v>20.3004373162061</v>
      </c>
      <c r="AL5918">
        <v>80.481515345406805</v>
      </c>
      <c r="AM5918">
        <v>96.107842894948803</v>
      </c>
      <c r="AN5918">
        <v>1.00000005541246</v>
      </c>
    </row>
    <row r="5919" spans="1:40" x14ac:dyDescent="0.25">
      <c r="A5919" t="str">
        <f>"20190304155753638"</f>
        <v>20190304155753638</v>
      </c>
      <c r="B5919" t="str">
        <f>"1551686273631245"</f>
        <v>1551686273631245</v>
      </c>
      <c r="C5919" t="s">
        <v>40</v>
      </c>
      <c r="D5919">
        <v>4.8445769999999904</v>
      </c>
      <c r="E5919">
        <v>0.47138649999999999</v>
      </c>
      <c r="F5919" t="s">
        <v>84</v>
      </c>
      <c r="G5919">
        <v>-300.54450000000003</v>
      </c>
      <c r="H5919" s="1">
        <v>-6.0623719999999998E-6</v>
      </c>
      <c r="I5919">
        <v>-51.130249999999997</v>
      </c>
      <c r="J5919">
        <v>-302.63409999999999</v>
      </c>
      <c r="K5919">
        <v>1.1105119999999999</v>
      </c>
      <c r="L5919">
        <v>-30.628810000000001</v>
      </c>
      <c r="M5919">
        <v>-7.3409169999999996E-2</v>
      </c>
      <c r="N5919">
        <v>-8.1200919999999902E-3</v>
      </c>
      <c r="O5919">
        <v>-0.99726890000000001</v>
      </c>
      <c r="P5919">
        <v>3.4051669999999999E-2</v>
      </c>
      <c r="Q5919">
        <v>0.15848970000000001</v>
      </c>
      <c r="R5919">
        <v>-0.98677320000000002</v>
      </c>
      <c r="S5919">
        <v>0.3032532</v>
      </c>
      <c r="T5919">
        <v>-0.162937</v>
      </c>
      <c r="U5919">
        <v>-3.0560299999999998</v>
      </c>
      <c r="V5919">
        <v>-0.10683570000000001</v>
      </c>
      <c r="W5919">
        <v>0.16617609999999999</v>
      </c>
      <c r="X5919">
        <v>0.98029160000000004</v>
      </c>
      <c r="Y5919">
        <v>-0.17139179999999901</v>
      </c>
      <c r="Z5919">
        <v>4.4362859999999997E-2</v>
      </c>
      <c r="AA5919">
        <v>0.98420359999999996</v>
      </c>
      <c r="AB5919">
        <v>33</v>
      </c>
      <c r="AC5919">
        <v>2.0895999999999599</v>
      </c>
      <c r="AD5919">
        <v>-1.1105180623719999</v>
      </c>
      <c r="AE5919">
        <v>-20.501439999999999</v>
      </c>
      <c r="AF5919">
        <v>-3.5786126997759</v>
      </c>
      <c r="AG5919">
        <v>-1.1105180623719999</v>
      </c>
      <c r="AH5919">
        <v>20.2339616291342</v>
      </c>
      <c r="AI5919">
        <v>93.093547020418299</v>
      </c>
      <c r="AJ5919">
        <v>100.029710199284</v>
      </c>
      <c r="AK5919">
        <v>20.577971776419801</v>
      </c>
      <c r="AL5919">
        <v>80.434436604709504</v>
      </c>
      <c r="AM5919">
        <v>96.219752506121495</v>
      </c>
      <c r="AN5919">
        <v>0.99999999201812995</v>
      </c>
    </row>
    <row r="5920" spans="1:40" x14ac:dyDescent="0.25">
      <c r="A5920" t="str">
        <f>"20190304155753661"</f>
        <v>20190304155753661</v>
      </c>
      <c r="B5920" t="str">
        <f>"1551686273650765"</f>
        <v>1551686273650765</v>
      </c>
      <c r="C5920" t="s">
        <v>40</v>
      </c>
      <c r="D5920">
        <v>4.8941549999999996</v>
      </c>
      <c r="E5920">
        <v>0.47137800000000002</v>
      </c>
      <c r="F5920" t="s">
        <v>84</v>
      </c>
      <c r="G5920">
        <v>-300.46300000000002</v>
      </c>
      <c r="H5920" s="1">
        <v>-6.3512579999999998E-6</v>
      </c>
      <c r="I5920">
        <v>-51.851129999999998</v>
      </c>
      <c r="J5920">
        <v>-302.65789999999998</v>
      </c>
      <c r="K5920">
        <v>1.1106860000000001</v>
      </c>
      <c r="L5920">
        <v>-30.975680000000001</v>
      </c>
      <c r="M5920">
        <v>-7.1687529999999999E-2</v>
      </c>
      <c r="N5920">
        <v>-8.1320939999999994E-3</v>
      </c>
      <c r="O5920">
        <v>-0.99739420000000001</v>
      </c>
      <c r="P5920">
        <v>3.7837339999999997E-2</v>
      </c>
      <c r="Q5920">
        <v>0.15938910000000001</v>
      </c>
      <c r="R5920">
        <v>-0.9864908</v>
      </c>
      <c r="S5920">
        <v>0.31253049999999999</v>
      </c>
      <c r="T5920">
        <v>-0.15986600000000001</v>
      </c>
      <c r="U5920">
        <v>-3.0550839999999999</v>
      </c>
      <c r="V5920">
        <v>-0.1089682</v>
      </c>
      <c r="W5920">
        <v>0.16703409999999999</v>
      </c>
      <c r="X5920">
        <v>0.97991099999999998</v>
      </c>
      <c r="Y5920">
        <v>-0.17268430000000001</v>
      </c>
      <c r="Z5920">
        <v>4.337531E-2</v>
      </c>
      <c r="AA5920">
        <v>0.9840217</v>
      </c>
      <c r="AB5920">
        <v>33</v>
      </c>
      <c r="AC5920">
        <v>2.1949000000000098</v>
      </c>
      <c r="AD5920">
        <v>-1.110692351258</v>
      </c>
      <c r="AE5920">
        <v>-20.875450000000001</v>
      </c>
      <c r="AF5920">
        <v>-3.6755200182443999</v>
      </c>
      <c r="AG5920">
        <v>-1.110692351258</v>
      </c>
      <c r="AH5920">
        <v>20.606688232507601</v>
      </c>
      <c r="AI5920">
        <v>93.037388595100495</v>
      </c>
      <c r="AJ5920">
        <v>100.113231008067</v>
      </c>
      <c r="AK5920">
        <v>20.961361711859901</v>
      </c>
      <c r="AL5920">
        <v>80.384580222193307</v>
      </c>
      <c r="AM5920">
        <v>96.345343648942006</v>
      </c>
      <c r="AN5920">
        <v>1.00000001354752</v>
      </c>
    </row>
    <row r="5921" spans="1:40" x14ac:dyDescent="0.25">
      <c r="A5921" t="str">
        <f>"20190304155753683"</f>
        <v>20190304155753683</v>
      </c>
      <c r="B5921" t="str">
        <f>"1551686273681021"</f>
        <v>1551686273681021</v>
      </c>
      <c r="C5921" t="s">
        <v>40</v>
      </c>
      <c r="D5921">
        <v>4.9237419999999998</v>
      </c>
      <c r="E5921">
        <v>0.47167959999999898</v>
      </c>
      <c r="F5921" t="s">
        <v>84</v>
      </c>
      <c r="G5921">
        <v>-300.36239999999998</v>
      </c>
      <c r="H5921" s="1">
        <v>-6.6317899999999999E-6</v>
      </c>
      <c r="I5921">
        <v>-52.554229999999997</v>
      </c>
      <c r="J5921">
        <v>-302.68049999999999</v>
      </c>
      <c r="K5921">
        <v>1.110857</v>
      </c>
      <c r="L5921">
        <v>-31.313510000000001</v>
      </c>
      <c r="M5921">
        <v>-6.9790329999999998E-2</v>
      </c>
      <c r="N5921">
        <v>-8.1443490000000004E-3</v>
      </c>
      <c r="O5921">
        <v>-0.99752859999999999</v>
      </c>
      <c r="P5921">
        <v>4.1704150000000002E-2</v>
      </c>
      <c r="Q5921">
        <v>0.16013089999999999</v>
      </c>
      <c r="R5921">
        <v>-0.98621440000000005</v>
      </c>
      <c r="S5921">
        <v>0.32489010000000001</v>
      </c>
      <c r="T5921">
        <v>-0.15719649999999999</v>
      </c>
      <c r="U5921">
        <v>-3.0540159999999998</v>
      </c>
      <c r="V5921">
        <v>-0.1110101</v>
      </c>
      <c r="W5921">
        <v>0.1677341</v>
      </c>
      <c r="X5921">
        <v>0.97956220000000005</v>
      </c>
      <c r="Y5921">
        <v>-0.17478879999999999</v>
      </c>
      <c r="Z5921">
        <v>4.2512019999999998E-2</v>
      </c>
      <c r="AA5921">
        <v>0.9836878</v>
      </c>
      <c r="AB5921">
        <v>33</v>
      </c>
      <c r="AC5921">
        <v>2.31810000000001</v>
      </c>
      <c r="AD5921">
        <v>-1.11086363178999</v>
      </c>
      <c r="AE5921">
        <v>-21.24072</v>
      </c>
      <c r="AF5921">
        <v>-3.7846633177470501</v>
      </c>
      <c r="AG5921">
        <v>-1.11086363178999</v>
      </c>
      <c r="AH5921">
        <v>20.9704561675793</v>
      </c>
      <c r="AI5921">
        <v>92.9841625134125</v>
      </c>
      <c r="AJ5921">
        <v>100.23038648126401</v>
      </c>
      <c r="AK5921">
        <v>21.338175327649299</v>
      </c>
      <c r="AL5921">
        <v>80.343899469080199</v>
      </c>
      <c r="AM5921">
        <v>96.465530778432196</v>
      </c>
      <c r="AN5921">
        <v>1.0000000371368201</v>
      </c>
    </row>
    <row r="5922" spans="1:40" x14ac:dyDescent="0.25">
      <c r="A5922" t="str">
        <f>"20190304155753720"</f>
        <v>20190304155753720</v>
      </c>
      <c r="B5922" t="str">
        <f>"1551686273710301"</f>
        <v>1551686273710301</v>
      </c>
      <c r="C5922" t="s">
        <v>40</v>
      </c>
      <c r="D5922">
        <v>4.9074739999999997</v>
      </c>
      <c r="E5922">
        <v>0.47188950000000002</v>
      </c>
      <c r="F5922" t="s">
        <v>84</v>
      </c>
      <c r="G5922">
        <v>-300.26580000000001</v>
      </c>
      <c r="H5922" s="1">
        <v>-6.9203740000000004E-6</v>
      </c>
      <c r="I5922">
        <v>-53.276519999999998</v>
      </c>
      <c r="J5922">
        <v>-302.71350000000001</v>
      </c>
      <c r="K5922">
        <v>1.1111310000000001</v>
      </c>
      <c r="L5922">
        <v>-31.834140000000001</v>
      </c>
      <c r="M5922">
        <v>-6.6445829999999997E-2</v>
      </c>
      <c r="N5922">
        <v>-8.1649119999999999E-3</v>
      </c>
      <c r="O5922">
        <v>-0.9977568</v>
      </c>
      <c r="P5922">
        <v>5.2335140000000002E-2</v>
      </c>
      <c r="Q5922">
        <v>0.16150100000000001</v>
      </c>
      <c r="R5922">
        <v>-0.98548409999999997</v>
      </c>
      <c r="S5922">
        <v>0.33563229999999999</v>
      </c>
      <c r="T5922">
        <v>-0.1544083</v>
      </c>
      <c r="U5922">
        <v>-3.052826</v>
      </c>
      <c r="V5922">
        <v>-0.1183942</v>
      </c>
      <c r="W5922">
        <v>0.16901350000000001</v>
      </c>
      <c r="X5922">
        <v>0.97847700000000004</v>
      </c>
      <c r="Y5922">
        <v>-0.17495439999999901</v>
      </c>
      <c r="Z5922">
        <v>4.1621379999999999E-2</v>
      </c>
      <c r="AA5922">
        <v>0.98369640000000003</v>
      </c>
      <c r="AB5922">
        <v>33</v>
      </c>
      <c r="AC5922">
        <v>2.44769999999999</v>
      </c>
      <c r="AD5922">
        <v>-1.1111379203739999</v>
      </c>
      <c r="AE5922">
        <v>-21.44238</v>
      </c>
      <c r="AF5922">
        <v>-3.85687072412746</v>
      </c>
      <c r="AG5922">
        <v>-1.1111379203739999</v>
      </c>
      <c r="AH5922">
        <v>21.176212410714701</v>
      </c>
      <c r="AI5922">
        <v>92.955089546718497</v>
      </c>
      <c r="AJ5922">
        <v>100.322263173886</v>
      </c>
      <c r="AK5922">
        <v>21.553237606550699</v>
      </c>
      <c r="AL5922">
        <v>80.269533122440293</v>
      </c>
      <c r="AM5922">
        <v>96.899161598134995</v>
      </c>
      <c r="AN5922">
        <v>0.99999999465244505</v>
      </c>
    </row>
    <row r="5923" spans="1:40" x14ac:dyDescent="0.25">
      <c r="A5923" t="str">
        <f>"20190304155753748"</f>
        <v>20190304155753748</v>
      </c>
      <c r="B5923" t="str">
        <f>"1551686273740557"</f>
        <v>1551686273740557</v>
      </c>
      <c r="C5923" t="s">
        <v>40</v>
      </c>
      <c r="D5923">
        <v>4.9381089999999999</v>
      </c>
      <c r="E5923">
        <v>0.47221160000000001</v>
      </c>
      <c r="F5923" t="s">
        <v>84</v>
      </c>
      <c r="G5923">
        <v>-299.9939</v>
      </c>
      <c r="H5923" s="1">
        <v>-7.3522779999999997E-6</v>
      </c>
      <c r="I5923">
        <v>-54.375680000000003</v>
      </c>
      <c r="J5923">
        <v>-302.73910000000001</v>
      </c>
      <c r="K5923">
        <v>1.1113390000000001</v>
      </c>
      <c r="L5923">
        <v>-32.263640000000002</v>
      </c>
      <c r="M5923">
        <v>-6.3379740000000004E-2</v>
      </c>
      <c r="N5923">
        <v>-8.1821619999999998E-3</v>
      </c>
      <c r="O5923">
        <v>-0.99795590000000001</v>
      </c>
      <c r="P5923">
        <v>6.0881560000000001E-2</v>
      </c>
      <c r="Q5923">
        <v>0.16194739999999999</v>
      </c>
      <c r="R5923">
        <v>-0.98491980000000001</v>
      </c>
      <c r="S5923">
        <v>0.36788939999999998</v>
      </c>
      <c r="T5923">
        <v>-0.1503081</v>
      </c>
      <c r="U5923">
        <v>-3.0492859999999999</v>
      </c>
      <c r="V5923">
        <v>-0.12396500000000001</v>
      </c>
      <c r="W5923">
        <v>0.16938529999999999</v>
      </c>
      <c r="X5923">
        <v>0.97772250000000005</v>
      </c>
      <c r="Y5923">
        <v>-0.18232329999999999</v>
      </c>
      <c r="Z5923">
        <v>4.0291279999999999E-2</v>
      </c>
      <c r="AA5923">
        <v>0.98241279999999997</v>
      </c>
      <c r="AB5923">
        <v>33</v>
      </c>
      <c r="AC5923">
        <v>2.7452000000000099</v>
      </c>
      <c r="AD5923">
        <v>-1.1113463522779901</v>
      </c>
      <c r="AE5923">
        <v>-22.11204</v>
      </c>
      <c r="AF5923">
        <v>-4.1309062109769199</v>
      </c>
      <c r="AG5923">
        <v>-1.1113463522779901</v>
      </c>
      <c r="AH5923">
        <v>21.8392549228241</v>
      </c>
      <c r="AI5923">
        <v>92.862459727689398</v>
      </c>
      <c r="AJ5923">
        <v>100.71098344507401</v>
      </c>
      <c r="AK5923">
        <v>22.254269981796899</v>
      </c>
      <c r="AL5923">
        <v>80.247918908252501</v>
      </c>
      <c r="AM5923">
        <v>97.225950477055605</v>
      </c>
      <c r="AN5923">
        <v>0.99999999404367002</v>
      </c>
    </row>
    <row r="5924" spans="1:40" x14ac:dyDescent="0.25">
      <c r="A5924" t="str">
        <f>"20190304155753773"</f>
        <v>20190304155753773</v>
      </c>
      <c r="B5924" t="str">
        <f>"1551686273770813"</f>
        <v>1551686273770813</v>
      </c>
      <c r="C5924" t="s">
        <v>40</v>
      </c>
      <c r="D5924">
        <v>4.9519469999999997</v>
      </c>
      <c r="E5924">
        <v>0.47259499999999999</v>
      </c>
      <c r="F5924" t="s">
        <v>84</v>
      </c>
      <c r="G5924">
        <v>-299.81360000000001</v>
      </c>
      <c r="H5924" s="1">
        <v>-6.822548E-6</v>
      </c>
      <c r="I5924">
        <v>-54.962380000000003</v>
      </c>
      <c r="J5924">
        <v>-302.75990000000002</v>
      </c>
      <c r="K5924">
        <v>1.1114980000000001</v>
      </c>
      <c r="L5924">
        <v>-32.633540000000004</v>
      </c>
      <c r="M5924">
        <v>-6.0529909999999999E-2</v>
      </c>
      <c r="N5924">
        <v>-8.1963999999999995E-3</v>
      </c>
      <c r="O5924">
        <v>-0.99813280000000004</v>
      </c>
      <c r="P5924">
        <v>6.9967109999999999E-2</v>
      </c>
      <c r="Q5924">
        <v>0.16356389999999901</v>
      </c>
      <c r="R5924">
        <v>-0.9840487</v>
      </c>
      <c r="S5924">
        <v>0.39260859999999997</v>
      </c>
      <c r="T5924">
        <v>-0.14914269999999999</v>
      </c>
      <c r="U5924">
        <v>-3.046173</v>
      </c>
      <c r="V5924">
        <v>-0.13025970000000001</v>
      </c>
      <c r="W5924">
        <v>0.170927</v>
      </c>
      <c r="X5924">
        <v>0.97663520000000004</v>
      </c>
      <c r="Y5924">
        <v>-0.18748329999999999</v>
      </c>
      <c r="Z5924">
        <v>3.9915079999999999E-2</v>
      </c>
      <c r="AA5924">
        <v>0.98145649999999995</v>
      </c>
      <c r="AB5924">
        <v>33</v>
      </c>
      <c r="AC5924">
        <v>2.9462999999999999</v>
      </c>
      <c r="AD5924">
        <v>-1.111504822548</v>
      </c>
      <c r="AE5924">
        <v>-22.32884</v>
      </c>
      <c r="AF5924">
        <v>-4.2820761021824696</v>
      </c>
      <c r="AG5924">
        <v>-1.111504822548</v>
      </c>
      <c r="AH5924">
        <v>22.055831777800002</v>
      </c>
      <c r="AI5924">
        <v>92.832188495240302</v>
      </c>
      <c r="AJ5924">
        <v>100.98712483164</v>
      </c>
      <c r="AK5924">
        <v>22.4951402335269</v>
      </c>
      <c r="AL5924">
        <v>80.158278556903696</v>
      </c>
      <c r="AM5924">
        <v>97.597045479784697</v>
      </c>
      <c r="AN5924">
        <v>0.999999971326064</v>
      </c>
    </row>
    <row r="5925" spans="1:40" x14ac:dyDescent="0.25">
      <c r="A5925" t="str">
        <f>"20190304155753797"</f>
        <v>20190304155753797</v>
      </c>
      <c r="B5925" t="str">
        <f>"1551686273791309"</f>
        <v>1551686273791309</v>
      </c>
      <c r="C5925" t="s">
        <v>40</v>
      </c>
      <c r="D5925">
        <v>4.9489869999999998</v>
      </c>
      <c r="E5925">
        <v>0.47294009999999997</v>
      </c>
      <c r="F5925" t="s">
        <v>84</v>
      </c>
      <c r="G5925">
        <v>-299.53539999999998</v>
      </c>
      <c r="H5925" s="1">
        <v>-6.7961650000000003E-6</v>
      </c>
      <c r="I5925">
        <v>-56.064920000000001</v>
      </c>
      <c r="J5925">
        <v>-302.77859999999998</v>
      </c>
      <c r="K5925">
        <v>1.1116490000000001</v>
      </c>
      <c r="L5925">
        <v>-32.988190000000003</v>
      </c>
      <c r="M5925">
        <v>-5.764039E-2</v>
      </c>
      <c r="N5925">
        <v>-8.209895E-3</v>
      </c>
      <c r="O5925">
        <v>-0.99830379999999996</v>
      </c>
      <c r="P5925">
        <v>8.0448710000000007E-2</v>
      </c>
      <c r="Q5925">
        <v>0.16477220000000001</v>
      </c>
      <c r="R5925">
        <v>-0.98304570000000002</v>
      </c>
      <c r="S5925">
        <v>0.41873169999999998</v>
      </c>
      <c r="T5925">
        <v>-0.14434229999999901</v>
      </c>
      <c r="U5925">
        <v>-3.0428470000000001</v>
      </c>
      <c r="V5925">
        <v>-0.1378991</v>
      </c>
      <c r="W5925">
        <v>0.1720535</v>
      </c>
      <c r="X5925">
        <v>0.97538780000000003</v>
      </c>
      <c r="Y5925">
        <v>-0.19305990000000001</v>
      </c>
      <c r="Z5925">
        <v>3.8365400000000001E-2</v>
      </c>
      <c r="AA5925">
        <v>0.98043659999999999</v>
      </c>
      <c r="AB5925">
        <v>33</v>
      </c>
      <c r="AC5925">
        <v>3.2431999999999999</v>
      </c>
      <c r="AD5925">
        <v>-1.111655796165</v>
      </c>
      <c r="AE5925">
        <v>-23.076729999999898</v>
      </c>
      <c r="AF5925">
        <v>-4.5576324860583597</v>
      </c>
      <c r="AG5925">
        <v>-1.111655796165</v>
      </c>
      <c r="AH5925">
        <v>22.799531871548499</v>
      </c>
      <c r="AI5925">
        <v>92.737335913047801</v>
      </c>
      <c r="AJ5925">
        <v>101.304437814209</v>
      </c>
      <c r="AK5925">
        <v>23.277165764948201</v>
      </c>
      <c r="AL5925">
        <v>80.092764247434204</v>
      </c>
      <c r="AM5925">
        <v>98.047073212999095</v>
      </c>
      <c r="AN5925">
        <v>0.99999996451594897</v>
      </c>
    </row>
    <row r="5926" spans="1:40" x14ac:dyDescent="0.25">
      <c r="A5926" t="str">
        <f>"20190304155753818"</f>
        <v>20190304155753818</v>
      </c>
      <c r="B5926" t="str">
        <f>"1551686273810829"</f>
        <v>1551686273810829</v>
      </c>
      <c r="C5926" t="s">
        <v>40</v>
      </c>
      <c r="D5926">
        <v>4.9982660000000001</v>
      </c>
      <c r="E5926">
        <v>0.47312460000000001</v>
      </c>
      <c r="F5926" t="s">
        <v>84</v>
      </c>
      <c r="G5926">
        <v>-299.22719999999998</v>
      </c>
      <c r="H5926" s="1">
        <v>-6.7982390000000004E-6</v>
      </c>
      <c r="I5926">
        <v>-57.008279999999999</v>
      </c>
      <c r="J5926">
        <v>-302.79469999999998</v>
      </c>
      <c r="K5926">
        <v>1.1117669999999999</v>
      </c>
      <c r="L5926">
        <v>-33.310789999999997</v>
      </c>
      <c r="M5926">
        <v>-5.4915220000000001E-2</v>
      </c>
      <c r="N5926">
        <v>-8.2218919999999997E-3</v>
      </c>
      <c r="O5926">
        <v>-0.99845709999999999</v>
      </c>
      <c r="P5926">
        <v>9.2277620000000005E-2</v>
      </c>
      <c r="Q5926">
        <v>0.16674169999999999</v>
      </c>
      <c r="R5926">
        <v>-0.98167289999999996</v>
      </c>
      <c r="S5926">
        <v>0.44924930000000002</v>
      </c>
      <c r="T5926">
        <v>-0.14062450000000001</v>
      </c>
      <c r="U5926">
        <v>-3.0385439999999999</v>
      </c>
      <c r="V5926">
        <v>-0.14702470000000001</v>
      </c>
      <c r="W5926">
        <v>0.173933</v>
      </c>
      <c r="X5926">
        <v>0.97372020000000004</v>
      </c>
      <c r="Y5926">
        <v>-0.20022000000000001</v>
      </c>
      <c r="Z5926">
        <v>3.7163620000000001E-2</v>
      </c>
      <c r="AA5926">
        <v>0.97904590000000002</v>
      </c>
      <c r="AB5926">
        <v>33</v>
      </c>
      <c r="AC5926">
        <v>3.5674999999999901</v>
      </c>
      <c r="AD5926">
        <v>-1.1117737982389999</v>
      </c>
      <c r="AE5926">
        <v>-23.697489999999998</v>
      </c>
      <c r="AF5926">
        <v>-4.8530682233555797</v>
      </c>
      <c r="AG5926">
        <v>-1.1117737982389999</v>
      </c>
      <c r="AH5926">
        <v>23.4154157219185</v>
      </c>
      <c r="AI5926">
        <v>92.661898376908198</v>
      </c>
      <c r="AJ5926">
        <v>101.70931154963399</v>
      </c>
      <c r="AK5926">
        <v>23.9388806252352</v>
      </c>
      <c r="AL5926">
        <v>79.983428603592998</v>
      </c>
      <c r="AM5926">
        <v>98.586386764012502</v>
      </c>
      <c r="AN5926">
        <v>0.99999998939356405</v>
      </c>
    </row>
    <row r="5927" spans="1:40" x14ac:dyDescent="0.25">
      <c r="A5927" t="str">
        <f>"20190304155753854"</f>
        <v>20190304155753854</v>
      </c>
      <c r="B5927" t="str">
        <f>"1551686273850845"</f>
        <v>1551686273850845</v>
      </c>
      <c r="C5927" t="s">
        <v>40</v>
      </c>
      <c r="D5927">
        <v>4.5116670000000001</v>
      </c>
      <c r="E5927">
        <v>0.42785899999999999</v>
      </c>
      <c r="F5927" t="s">
        <v>84</v>
      </c>
      <c r="G5927">
        <v>-298.79480000000001</v>
      </c>
      <c r="H5927" s="1">
        <v>-6.8044490000000003E-6</v>
      </c>
      <c r="I5927">
        <v>-58.302520000000001</v>
      </c>
      <c r="J5927">
        <v>-302.81869999999998</v>
      </c>
      <c r="K5927">
        <v>1.1119220000000001</v>
      </c>
      <c r="L5927">
        <v>-33.832949999999997</v>
      </c>
      <c r="M5927">
        <v>-5.0363669999999999E-2</v>
      </c>
      <c r="N5927">
        <v>-8.2402569999999904E-3</v>
      </c>
      <c r="O5927">
        <v>-0.99869719999999995</v>
      </c>
      <c r="P5927">
        <v>0.1219573</v>
      </c>
      <c r="Q5927">
        <v>0.16960449999999999</v>
      </c>
      <c r="R5927">
        <v>-0.97793730000000001</v>
      </c>
      <c r="S5927">
        <v>0.48547360000000001</v>
      </c>
      <c r="T5927">
        <v>-0.13493810000000001</v>
      </c>
      <c r="U5927">
        <v>-3.0332949999999999</v>
      </c>
      <c r="V5927">
        <v>-0.1721095</v>
      </c>
      <c r="W5927">
        <v>0.17657600000000001</v>
      </c>
      <c r="X5927">
        <v>0.96912290000000001</v>
      </c>
      <c r="Y5927">
        <v>-0.2074252</v>
      </c>
      <c r="Z5927">
        <v>3.5330090000000001E-2</v>
      </c>
      <c r="AA5927">
        <v>0.9776127</v>
      </c>
      <c r="AB5927">
        <v>33</v>
      </c>
      <c r="AC5927">
        <v>4.0238999999999603</v>
      </c>
      <c r="AD5927">
        <v>-1.1119288044490001</v>
      </c>
      <c r="AE5927">
        <v>-24.469570000000001</v>
      </c>
      <c r="AF5927">
        <v>-5.2406753949924596</v>
      </c>
      <c r="AG5927">
        <v>-1.1119288044490001</v>
      </c>
      <c r="AH5927">
        <v>24.1872200705089</v>
      </c>
      <c r="AI5927">
        <v>92.572524112693401</v>
      </c>
      <c r="AJ5927">
        <v>102.22537393208199</v>
      </c>
      <c r="AK5927">
        <v>24.773426872378199</v>
      </c>
      <c r="AL5927">
        <v>79.829615161694804</v>
      </c>
      <c r="AM5927">
        <v>100.070338280615</v>
      </c>
      <c r="AN5927">
        <v>0.99999997953532904</v>
      </c>
    </row>
    <row r="5928" spans="1:40" x14ac:dyDescent="0.25">
      <c r="A5928" t="str">
        <f>"20190304155753881"</f>
        <v>20190304155753881</v>
      </c>
      <c r="B5928" t="str">
        <f>"1551686273870365"</f>
        <v>1551686273870365</v>
      </c>
      <c r="C5928" t="s">
        <v>40</v>
      </c>
      <c r="D5928">
        <v>4.5885809999999996</v>
      </c>
      <c r="E5928">
        <v>0.3970207</v>
      </c>
      <c r="F5928" t="s">
        <v>84</v>
      </c>
      <c r="G5928">
        <v>-295.15210000000002</v>
      </c>
      <c r="H5928" s="1">
        <v>-8.1265680000000002E-6</v>
      </c>
      <c r="I5928">
        <v>-58.210169999999998</v>
      </c>
      <c r="J5928">
        <v>-302.83539999999999</v>
      </c>
      <c r="K5928">
        <v>1.1120000000000001</v>
      </c>
      <c r="L5928">
        <v>-34.234009999999998</v>
      </c>
      <c r="M5928">
        <v>-4.6787700000000002E-2</v>
      </c>
      <c r="N5928">
        <v>-8.2535990000000004E-3</v>
      </c>
      <c r="O5928">
        <v>-0.99887079999999995</v>
      </c>
      <c r="P5928">
        <v>0.13952229999999999</v>
      </c>
      <c r="Q5928">
        <v>0.17046069999999999</v>
      </c>
      <c r="R5928">
        <v>-0.97543690000000005</v>
      </c>
      <c r="S5928">
        <v>0.93548580000000003</v>
      </c>
      <c r="T5928">
        <v>-0.13567950000000001</v>
      </c>
      <c r="U5928">
        <v>-2.974548</v>
      </c>
      <c r="V5928">
        <v>-0.1861025</v>
      </c>
      <c r="W5928">
        <v>0.17730299999999999</v>
      </c>
      <c r="X5928">
        <v>0.96640029999999999</v>
      </c>
      <c r="Y5928">
        <v>-0.344060799999999</v>
      </c>
      <c r="Z5928">
        <v>3.4756199999999897E-2</v>
      </c>
      <c r="AA5928">
        <v>0.93830389999999997</v>
      </c>
      <c r="AB5928">
        <v>34</v>
      </c>
      <c r="AC5928">
        <v>7.6832999999999698</v>
      </c>
      <c r="AD5928">
        <v>-1.112008126568</v>
      </c>
      <c r="AE5928">
        <v>-23.97616</v>
      </c>
      <c r="AF5928">
        <v>-8.7795858399658293</v>
      </c>
      <c r="AG5928">
        <v>-1.112008126568</v>
      </c>
      <c r="AH5928">
        <v>23.544475221905302</v>
      </c>
      <c r="AI5928">
        <v>92.533885463700898</v>
      </c>
      <c r="AJ5928">
        <v>110.450167169512</v>
      </c>
      <c r="AK5928">
        <v>25.152733510888901</v>
      </c>
      <c r="AL5928">
        <v>79.787293750819799</v>
      </c>
      <c r="AM5928">
        <v>100.900179224372</v>
      </c>
      <c r="AN5928">
        <v>1.00000001707766</v>
      </c>
    </row>
    <row r="5929" spans="1:40" x14ac:dyDescent="0.25">
      <c r="A5929" t="str">
        <f>"20190304155753902"</f>
        <v>20190304155753902</v>
      </c>
      <c r="B5929" t="str">
        <f>"1551686273890861"</f>
        <v>1551686273890861</v>
      </c>
      <c r="C5929" t="s">
        <v>40</v>
      </c>
      <c r="D5929">
        <v>4.7093389999999999</v>
      </c>
      <c r="E5929">
        <v>0.40050010000000003</v>
      </c>
      <c r="F5929" t="s">
        <v>67</v>
      </c>
      <c r="G5929">
        <v>-277.63290000000001</v>
      </c>
      <c r="H5929">
        <v>1.279563</v>
      </c>
      <c r="I5929">
        <v>-93.517009999999999</v>
      </c>
      <c r="J5929">
        <v>-302.84809999999999</v>
      </c>
      <c r="K5929">
        <v>1.1120509999999999</v>
      </c>
      <c r="L5929">
        <v>-34.565249999999999</v>
      </c>
      <c r="M5929">
        <v>-4.3807190000000003E-2</v>
      </c>
      <c r="N5929">
        <v>-8.2643079999999997E-3</v>
      </c>
      <c r="O5929">
        <v>-0.9990057</v>
      </c>
      <c r="P5929">
        <v>0.15505260000000001</v>
      </c>
      <c r="Q5929">
        <v>0.170873</v>
      </c>
      <c r="R5929">
        <v>-0.9730164</v>
      </c>
      <c r="S5929">
        <v>1.2319639999999901</v>
      </c>
      <c r="T5929">
        <v>8.1915859999999903E-3</v>
      </c>
      <c r="U5929">
        <v>-2.8979189999999999</v>
      </c>
      <c r="V5929">
        <v>-0.1986484</v>
      </c>
      <c r="W5929">
        <v>0.17760190000000001</v>
      </c>
      <c r="X5929">
        <v>0.96384460000000005</v>
      </c>
      <c r="Y5929">
        <v>-0.43114269999999999</v>
      </c>
      <c r="Z5929">
        <v>-1.091138E-2</v>
      </c>
      <c r="AA5929">
        <v>0.90221779999999996</v>
      </c>
      <c r="AB5929">
        <v>34</v>
      </c>
      <c r="AC5929">
        <v>25.2151999999999</v>
      </c>
      <c r="AD5929">
        <v>0.167511999999999</v>
      </c>
      <c r="AE5929">
        <v>-58.95176</v>
      </c>
      <c r="AF5929">
        <v>-27.773401749206499</v>
      </c>
      <c r="AG5929">
        <v>0.167511999999999</v>
      </c>
      <c r="AH5929">
        <v>57.790123320936402</v>
      </c>
      <c r="AI5929">
        <v>89.850310737006893</v>
      </c>
      <c r="AJ5929">
        <v>115.66851126384699</v>
      </c>
      <c r="AK5929">
        <v>64.117768663936005</v>
      </c>
      <c r="AL5929">
        <v>79.769891866324997</v>
      </c>
      <c r="AM5929">
        <v>101.64559824630901</v>
      </c>
      <c r="AN5929">
        <v>1.00000001732766</v>
      </c>
    </row>
    <row r="5930" spans="1:40" x14ac:dyDescent="0.25">
      <c r="A5930" t="str">
        <f>"20190304155753925"</f>
        <v>20190304155753925</v>
      </c>
      <c r="B5930" t="str">
        <f>"1551686273921117"</f>
        <v>1551686273921117</v>
      </c>
      <c r="C5930" t="s">
        <v>40</v>
      </c>
      <c r="D5930">
        <v>4.6797250000000004</v>
      </c>
      <c r="E5930">
        <v>0.40310590000000002</v>
      </c>
      <c r="F5930" t="s">
        <v>67</v>
      </c>
      <c r="G5930">
        <v>-277.63290000000001</v>
      </c>
      <c r="H5930">
        <v>0.89345370000000002</v>
      </c>
      <c r="I5930">
        <v>-92.771330000000006</v>
      </c>
      <c r="J5930">
        <v>-302.86059999999998</v>
      </c>
      <c r="K5930">
        <v>1.1121019999999999</v>
      </c>
      <c r="L5930">
        <v>-34.920470000000002</v>
      </c>
      <c r="M5930">
        <v>-4.0588159999999998E-2</v>
      </c>
      <c r="N5930">
        <v>-8.2758009999999993E-3</v>
      </c>
      <c r="O5930">
        <v>-0.99914190000000003</v>
      </c>
      <c r="P5930">
        <v>0.16979379999999999</v>
      </c>
      <c r="Q5930">
        <v>0.17019279999999901</v>
      </c>
      <c r="R5930">
        <v>-0.97067239999999999</v>
      </c>
      <c r="S5930">
        <v>1.250183</v>
      </c>
      <c r="T5930">
        <v>-1.083755E-2</v>
      </c>
      <c r="U5930">
        <v>-2.8858950000000001</v>
      </c>
      <c r="V5930">
        <v>-0.2101886</v>
      </c>
      <c r="W5930">
        <v>0.17681540000000001</v>
      </c>
      <c r="X5930">
        <v>0.96153889999999997</v>
      </c>
      <c r="Y5930">
        <v>-0.43440050000000002</v>
      </c>
      <c r="Z5930">
        <v>-4.9347159999999996E-3</v>
      </c>
      <c r="AA5930">
        <v>0.90070640000000002</v>
      </c>
      <c r="AB5930">
        <v>34</v>
      </c>
      <c r="AC5930">
        <v>25.227699999999899</v>
      </c>
      <c r="AD5930">
        <v>-0.21864829999999999</v>
      </c>
      <c r="AE5930">
        <v>-57.850859999999997</v>
      </c>
      <c r="AF5930">
        <v>-27.5547191346195</v>
      </c>
      <c r="AG5930">
        <v>-0.21864829999999999</v>
      </c>
      <c r="AH5930">
        <v>56.778523149206698</v>
      </c>
      <c r="AI5930">
        <v>90.198499034687103</v>
      </c>
      <c r="AJ5930">
        <v>115.88738224135599</v>
      </c>
      <c r="AK5930">
        <v>63.111893052513203</v>
      </c>
      <c r="AL5930">
        <v>79.815679434380201</v>
      </c>
      <c r="AM5930">
        <v>102.330668820548</v>
      </c>
      <c r="AN5930">
        <v>0.99999999473016499</v>
      </c>
    </row>
    <row r="5931" spans="1:40" x14ac:dyDescent="0.25">
      <c r="A5931" t="str">
        <f>"20190304155753946"</f>
        <v>20190304155753946</v>
      </c>
      <c r="B5931" t="str">
        <f>"1551686273940637"</f>
        <v>1551686273940637</v>
      </c>
      <c r="C5931" t="s">
        <v>40</v>
      </c>
      <c r="D5931">
        <v>4.7100730000000004</v>
      </c>
      <c r="E5931">
        <v>0.40499550000000001</v>
      </c>
      <c r="F5931" t="s">
        <v>67</v>
      </c>
      <c r="G5931">
        <v>-277.63290000000001</v>
      </c>
      <c r="H5931">
        <v>0.5208528</v>
      </c>
      <c r="I5931">
        <v>-91.856309999999993</v>
      </c>
      <c r="J5931">
        <v>-302.87079999999997</v>
      </c>
      <c r="K5931">
        <v>1.112142</v>
      </c>
      <c r="L5931">
        <v>-35.237400000000001</v>
      </c>
      <c r="M5931">
        <v>-3.7690130000000002E-2</v>
      </c>
      <c r="N5931">
        <v>-8.2863219999999901E-3</v>
      </c>
      <c r="O5931">
        <v>-0.99925529999999996</v>
      </c>
      <c r="P5931">
        <v>0.18299750000000001</v>
      </c>
      <c r="Q5931">
        <v>0.1694667</v>
      </c>
      <c r="R5931">
        <v>-0.96839719999999996</v>
      </c>
      <c r="S5931">
        <v>1.2730709999999901</v>
      </c>
      <c r="T5931">
        <v>-2.98357E-2</v>
      </c>
      <c r="U5931">
        <v>-2.8731689999999999</v>
      </c>
      <c r="V5931">
        <v>-0.2205173</v>
      </c>
      <c r="W5931">
        <v>0.17599119999999999</v>
      </c>
      <c r="X5931">
        <v>0.95937439999999996</v>
      </c>
      <c r="Y5931">
        <v>-0.439245</v>
      </c>
      <c r="Z5931">
        <v>1.0514610000000001E-3</v>
      </c>
      <c r="AA5931">
        <v>0.89836669999999996</v>
      </c>
      <c r="AB5931">
        <v>34</v>
      </c>
      <c r="AC5931">
        <v>25.2378999999999</v>
      </c>
      <c r="AD5931">
        <v>-0.59128919999999996</v>
      </c>
      <c r="AE5931">
        <v>-56.6189099999999</v>
      </c>
      <c r="AF5931">
        <v>-27.351524990587102</v>
      </c>
      <c r="AG5931">
        <v>-0.59128919999999996</v>
      </c>
      <c r="AH5931">
        <v>55.622365072611103</v>
      </c>
      <c r="AI5931">
        <v>90.546554354069897</v>
      </c>
      <c r="AJ5931">
        <v>116.185011310465</v>
      </c>
      <c r="AK5931">
        <v>61.9863133159214</v>
      </c>
      <c r="AL5931">
        <v>79.863655135048504</v>
      </c>
      <c r="AM5931">
        <v>102.944890645611</v>
      </c>
      <c r="AN5931">
        <v>1.0000000107260401</v>
      </c>
    </row>
    <row r="5932" spans="1:40" x14ac:dyDescent="0.25">
      <c r="A5932" t="str">
        <f>"20190304155753971"</f>
        <v>20190304155753971</v>
      </c>
      <c r="B5932" t="str">
        <f>"1551686273961133"</f>
        <v>1551686273961133</v>
      </c>
      <c r="C5932" t="s">
        <v>40</v>
      </c>
      <c r="D5932">
        <v>4.7254870000000002</v>
      </c>
      <c r="E5932">
        <v>0.4065781</v>
      </c>
      <c r="F5932" t="s">
        <v>67</v>
      </c>
      <c r="G5932">
        <v>-277.61559999999997</v>
      </c>
      <c r="H5932">
        <v>0.242643</v>
      </c>
      <c r="I5932">
        <v>-90.976820000000004</v>
      </c>
      <c r="J5932">
        <v>-302.88170000000002</v>
      </c>
      <c r="K5932">
        <v>1.1122000000000001</v>
      </c>
      <c r="L5932">
        <v>-35.611179999999997</v>
      </c>
      <c r="M5932">
        <v>-3.4221849999999998E-2</v>
      </c>
      <c r="N5932">
        <v>-8.2995050000000004E-3</v>
      </c>
      <c r="O5932">
        <v>-0.99938009999999999</v>
      </c>
      <c r="P5932">
        <v>0.1959641</v>
      </c>
      <c r="Q5932">
        <v>0.16961279999999901</v>
      </c>
      <c r="R5932">
        <v>-0.96583140000000001</v>
      </c>
      <c r="S5932">
        <v>1.2962039999999999</v>
      </c>
      <c r="T5932">
        <v>-4.4625640000000001E-2</v>
      </c>
      <c r="U5932">
        <v>-2.860779</v>
      </c>
      <c r="V5932">
        <v>-0.23008100000000001</v>
      </c>
      <c r="W5932">
        <v>0.17603389999999999</v>
      </c>
      <c r="X5932">
        <v>0.95711800000000002</v>
      </c>
      <c r="Y5932">
        <v>-0.44359189999999998</v>
      </c>
      <c r="Z5932">
        <v>5.7245500000000001E-3</v>
      </c>
      <c r="AA5932">
        <v>0.89621059999999997</v>
      </c>
      <c r="AB5932">
        <v>34</v>
      </c>
      <c r="AC5932">
        <v>25.266100000000002</v>
      </c>
      <c r="AD5932">
        <v>-0.86955700000000002</v>
      </c>
      <c r="AE5932">
        <v>-55.3656399999999</v>
      </c>
      <c r="AF5932">
        <v>-27.140538128879001</v>
      </c>
      <c r="AG5932">
        <v>-0.86955700000000002</v>
      </c>
      <c r="AH5932">
        <v>54.457408092152903</v>
      </c>
      <c r="AI5932">
        <v>90.818766611100997</v>
      </c>
      <c r="AJ5932">
        <v>116.490794163828</v>
      </c>
      <c r="AK5932">
        <v>60.852068456353003</v>
      </c>
      <c r="AL5932">
        <v>79.861170034554704</v>
      </c>
      <c r="AM5932">
        <v>103.516826040285</v>
      </c>
      <c r="AN5932">
        <v>1.0000000332171</v>
      </c>
    </row>
    <row r="5933" spans="1:40" x14ac:dyDescent="0.25">
      <c r="A5933" t="str">
        <f>"20190304155753992"</f>
        <v>20190304155753992</v>
      </c>
      <c r="B5933" t="str">
        <f>"1551686273980653"</f>
        <v>1551686273980653</v>
      </c>
      <c r="C5933" t="s">
        <v>40</v>
      </c>
      <c r="D5933">
        <v>4.7104239999999997</v>
      </c>
      <c r="E5933">
        <v>0.4076343</v>
      </c>
      <c r="F5933" t="s">
        <v>44</v>
      </c>
      <c r="G5933">
        <v>-274.97449999999998</v>
      </c>
      <c r="H5933">
        <v>-0.05</v>
      </c>
      <c r="I5933">
        <v>-95.762469999999993</v>
      </c>
      <c r="J5933">
        <v>-302.88940000000002</v>
      </c>
      <c r="K5933">
        <v>1.1122620000000001</v>
      </c>
      <c r="L5933">
        <v>-35.915100000000002</v>
      </c>
      <c r="M5933">
        <v>-3.1341050000000002E-2</v>
      </c>
      <c r="N5933">
        <v>-8.3110270000000003E-3</v>
      </c>
      <c r="O5933">
        <v>-0.99947430000000004</v>
      </c>
      <c r="P5933">
        <v>0.2063477</v>
      </c>
      <c r="Q5933">
        <v>0.1689678</v>
      </c>
      <c r="R5933">
        <v>-0.96377939999999995</v>
      </c>
      <c r="S5933">
        <v>1.3211980000000001</v>
      </c>
      <c r="T5933">
        <v>-5.5021519999999997E-2</v>
      </c>
      <c r="U5933">
        <v>-2.8477169999999998</v>
      </c>
      <c r="V5933">
        <v>-0.23765410000000001</v>
      </c>
      <c r="W5933">
        <v>0.17529790000000001</v>
      </c>
      <c r="X5933">
        <v>0.9554011</v>
      </c>
      <c r="Y5933">
        <v>-0.44902180000000003</v>
      </c>
      <c r="Z5933">
        <v>9.0173800000000002E-3</v>
      </c>
      <c r="AA5933">
        <v>0.89347529999999997</v>
      </c>
      <c r="AB5933">
        <v>34</v>
      </c>
      <c r="AC5933">
        <v>27.914899999999999</v>
      </c>
      <c r="AD5933">
        <v>-1.1622619999999999</v>
      </c>
      <c r="AE5933">
        <v>-59.847369999999898</v>
      </c>
      <c r="AF5933">
        <v>-29.767708941441999</v>
      </c>
      <c r="AG5933">
        <v>-1.1622619999999999</v>
      </c>
      <c r="AH5933">
        <v>58.924802852436301</v>
      </c>
      <c r="AI5933">
        <v>91.008615860130803</v>
      </c>
      <c r="AJ5933">
        <v>116.80205226802801</v>
      </c>
      <c r="AK5933">
        <v>66.027265124170697</v>
      </c>
      <c r="AL5933">
        <v>79.9040059355643</v>
      </c>
      <c r="AM5933">
        <v>103.96870822983399</v>
      </c>
      <c r="AN5933">
        <v>1.00000004343621</v>
      </c>
    </row>
    <row r="5934" spans="1:40" x14ac:dyDescent="0.25">
      <c r="A5934" t="str">
        <f>"20190304155754014"</f>
        <v>20190304155754014</v>
      </c>
      <c r="B5934" t="str">
        <f>"1551686274010909"</f>
        <v>1551686274010909</v>
      </c>
      <c r="C5934" t="s">
        <v>40</v>
      </c>
      <c r="D5934">
        <v>4.7646249999999997</v>
      </c>
      <c r="E5934">
        <v>0.42017860000000001</v>
      </c>
      <c r="F5934" t="s">
        <v>44</v>
      </c>
      <c r="G5934">
        <v>-278.92059999999998</v>
      </c>
      <c r="H5934">
        <v>-0.05</v>
      </c>
      <c r="I5934">
        <v>-86.562929999999994</v>
      </c>
      <c r="J5934">
        <v>-302.8972</v>
      </c>
      <c r="K5934">
        <v>1.1123400000000001</v>
      </c>
      <c r="L5934">
        <v>-36.26343</v>
      </c>
      <c r="M5934">
        <v>-2.7970680000000001E-2</v>
      </c>
      <c r="N5934">
        <v>-8.3249599999999993E-3</v>
      </c>
      <c r="O5934">
        <v>-0.99957410000000002</v>
      </c>
      <c r="P5934">
        <v>0.2158072</v>
      </c>
      <c r="Q5934">
        <v>0.1685266</v>
      </c>
      <c r="R5934">
        <v>-0.96178280000000005</v>
      </c>
      <c r="S5934">
        <v>1.342468</v>
      </c>
      <c r="T5934">
        <v>-6.5097089999999996E-2</v>
      </c>
      <c r="U5934">
        <v>-2.8367309999999999</v>
      </c>
      <c r="V5934">
        <v>-0.24385780000000001</v>
      </c>
      <c r="W5934">
        <v>0.17476739999999999</v>
      </c>
      <c r="X5934">
        <v>0.95393380000000005</v>
      </c>
      <c r="Y5934">
        <v>-0.45279380000000002</v>
      </c>
      <c r="Z5934">
        <v>1.2214829999999999E-2</v>
      </c>
      <c r="AA5934">
        <v>0.89153159999999898</v>
      </c>
      <c r="AB5934">
        <v>34</v>
      </c>
      <c r="AC5934">
        <v>23.976600000000001</v>
      </c>
      <c r="AD5934">
        <v>-1.1623399999999999</v>
      </c>
      <c r="AE5934">
        <v>-50.299500000000002</v>
      </c>
      <c r="AF5934">
        <v>-25.3631421071441</v>
      </c>
      <c r="AG5934">
        <v>-1.1623399999999999</v>
      </c>
      <c r="AH5934">
        <v>49.587576713374403</v>
      </c>
      <c r="AI5934">
        <v>91.195519634986397</v>
      </c>
      <c r="AJ5934">
        <v>117.08891667205501</v>
      </c>
      <c r="AK5934">
        <v>55.709673990498104</v>
      </c>
      <c r="AL5934">
        <v>79.934877310876601</v>
      </c>
      <c r="AM5934">
        <v>104.33964796624601</v>
      </c>
      <c r="AN5934">
        <v>0.99999998275301905</v>
      </c>
    </row>
    <row r="5935" spans="1:40" x14ac:dyDescent="0.25">
      <c r="A5935" t="str">
        <f>"20190304155754041"</f>
        <v>20190304155754041</v>
      </c>
      <c r="B5935" t="str">
        <f>"1551686274030429"</f>
        <v>1551686274030429</v>
      </c>
      <c r="C5935" t="s">
        <v>40</v>
      </c>
      <c r="D5935">
        <v>4.8557259999999998</v>
      </c>
      <c r="E5935">
        <v>0.42031960000000002</v>
      </c>
      <c r="F5935" t="s">
        <v>42</v>
      </c>
      <c r="G5935">
        <v>-302.46660000000003</v>
      </c>
      <c r="H5935">
        <v>1.064899</v>
      </c>
      <c r="I5935">
        <v>-37.231090000000002</v>
      </c>
      <c r="J5935">
        <v>-302.90440000000001</v>
      </c>
      <c r="K5935">
        <v>1.112447</v>
      </c>
      <c r="L5935">
        <v>-36.652830000000002</v>
      </c>
      <c r="M5935">
        <v>-2.4085869999999999E-2</v>
      </c>
      <c r="N5935">
        <v>-8.3411230000000006E-3</v>
      </c>
      <c r="O5935">
        <v>-0.99967499999999998</v>
      </c>
      <c r="P5935">
        <v>0.2238241</v>
      </c>
      <c r="Q5935">
        <v>0.1685622</v>
      </c>
      <c r="R5935">
        <v>-0.95994259999999998</v>
      </c>
      <c r="S5935">
        <v>1.2725519999999999</v>
      </c>
      <c r="T5935">
        <v>-0.140129799999999</v>
      </c>
      <c r="U5935">
        <v>-2.858215</v>
      </c>
      <c r="V5935">
        <v>-0.24815789999999999</v>
      </c>
      <c r="W5935">
        <v>0.17471619999999999</v>
      </c>
      <c r="X5935">
        <v>0.95283359999999995</v>
      </c>
      <c r="Y5935">
        <v>-0.42826409999999998</v>
      </c>
      <c r="Z5935">
        <v>3.6111600000000001E-2</v>
      </c>
      <c r="AA5935">
        <v>0.9029317</v>
      </c>
      <c r="AB5935">
        <v>34</v>
      </c>
      <c r="AC5935">
        <v>0.43779999999998098</v>
      </c>
      <c r="AD5935">
        <v>-4.7547999999999903E-2</v>
      </c>
      <c r="AE5935">
        <v>-0.57826</v>
      </c>
      <c r="AF5935">
        <v>-0.449668828344432</v>
      </c>
      <c r="AG5935">
        <v>-4.7547999999999903E-2</v>
      </c>
      <c r="AH5935">
        <v>0.56511836853031105</v>
      </c>
      <c r="AI5935">
        <v>93.766830403655902</v>
      </c>
      <c r="AJ5935">
        <v>128.50952326025899</v>
      </c>
      <c r="AK5935">
        <v>0.72375523344499204</v>
      </c>
      <c r="AL5935">
        <v>79.937856682865302</v>
      </c>
      <c r="AM5935">
        <v>104.597935476472</v>
      </c>
      <c r="AN5935">
        <v>0.99999998158190395</v>
      </c>
    </row>
    <row r="5936" spans="1:40" x14ac:dyDescent="0.25">
      <c r="A5936" t="str">
        <f>"20190304155754065"</f>
        <v>20190304155754065</v>
      </c>
      <c r="B5936" t="str">
        <f>"1551686274060685"</f>
        <v>1551686274060685</v>
      </c>
      <c r="C5936" t="s">
        <v>40</v>
      </c>
      <c r="D5936">
        <v>4.8593080000000004</v>
      </c>
      <c r="E5936">
        <v>0.4219213</v>
      </c>
      <c r="F5936" t="s">
        <v>42</v>
      </c>
      <c r="G5936">
        <v>-302.50029999999998</v>
      </c>
      <c r="H5936">
        <v>1.0682240000000001</v>
      </c>
      <c r="I5936">
        <v>-37.541260000000001</v>
      </c>
      <c r="J5936">
        <v>-302.91000000000003</v>
      </c>
      <c r="K5936">
        <v>1.1125689999999999</v>
      </c>
      <c r="L5936">
        <v>-37.040649999999999</v>
      </c>
      <c r="M5936">
        <v>-2.0056899999999999E-2</v>
      </c>
      <c r="N5936">
        <v>-8.3585969999999902E-3</v>
      </c>
      <c r="O5936">
        <v>-0.99976399999999999</v>
      </c>
      <c r="P5936">
        <v>0.23094419999999999</v>
      </c>
      <c r="Q5936">
        <v>0.16935739999999999</v>
      </c>
      <c r="R5936">
        <v>-0.95811449999999998</v>
      </c>
      <c r="S5936">
        <v>1.2951349999999999</v>
      </c>
      <c r="T5936">
        <v>-0.14176729999999901</v>
      </c>
      <c r="U5936">
        <v>-2.8480829999999999</v>
      </c>
      <c r="V5936">
        <v>-0.25145119999999999</v>
      </c>
      <c r="W5936">
        <v>0.17541989999999999</v>
      </c>
      <c r="X5936">
        <v>0.95184040000000003</v>
      </c>
      <c r="Y5936">
        <v>-0.43175279999999999</v>
      </c>
      <c r="Z5936">
        <v>3.666237E-2</v>
      </c>
      <c r="AA5936">
        <v>0.90124649999999995</v>
      </c>
      <c r="AB5936">
        <v>34</v>
      </c>
      <c r="AC5936">
        <v>0.40970000000004297</v>
      </c>
      <c r="AD5936">
        <v>-4.4345000000000002E-2</v>
      </c>
      <c r="AE5936">
        <v>-0.500610000000001</v>
      </c>
      <c r="AF5936">
        <v>-0.41769574691425099</v>
      </c>
      <c r="AG5936">
        <v>-4.4345000000000002E-2</v>
      </c>
      <c r="AH5936">
        <v>0.48998909930660101</v>
      </c>
      <c r="AI5936">
        <v>93.939932652613905</v>
      </c>
      <c r="AJ5936">
        <v>130.44624023374899</v>
      </c>
      <c r="AK5936">
        <v>0.645387893792987</v>
      </c>
      <c r="AL5936">
        <v>79.8969053594505</v>
      </c>
      <c r="AM5936">
        <v>104.797981036339</v>
      </c>
      <c r="AN5936">
        <v>0.99999999718480403</v>
      </c>
    </row>
    <row r="5937" spans="1:40" x14ac:dyDescent="0.25">
      <c r="A5937" t="str">
        <f>"20190304155754098"</f>
        <v>20190304155754098</v>
      </c>
      <c r="B5937" t="str">
        <f>"1551686274090945"</f>
        <v>1551686274090945</v>
      </c>
      <c r="C5937" t="s">
        <v>40</v>
      </c>
      <c r="D5937">
        <v>4.755878</v>
      </c>
      <c r="E5937">
        <v>0.42200690000000002</v>
      </c>
      <c r="F5937" t="s">
        <v>84</v>
      </c>
      <c r="G5937">
        <v>-293.15929999999997</v>
      </c>
      <c r="H5937" s="1">
        <v>-8.8420180000000003E-6</v>
      </c>
      <c r="I5937">
        <v>-58.301580000000001</v>
      </c>
      <c r="J5937">
        <v>-302.9144</v>
      </c>
      <c r="K5937">
        <v>1.112779</v>
      </c>
      <c r="L5937">
        <v>-37.538849999999996</v>
      </c>
      <c r="M5937">
        <v>-1.4544420000000001E-2</v>
      </c>
      <c r="N5937">
        <v>-8.3848469999999904E-3</v>
      </c>
      <c r="O5937">
        <v>-0.9998591</v>
      </c>
      <c r="P5937">
        <v>0.23898810000000001</v>
      </c>
      <c r="Q5937">
        <v>0.16996639999999999</v>
      </c>
      <c r="R5937">
        <v>-0.95603139999999998</v>
      </c>
      <c r="S5937">
        <v>1.303925</v>
      </c>
      <c r="T5937">
        <v>-0.14878060000000001</v>
      </c>
      <c r="U5937">
        <v>-2.84314</v>
      </c>
      <c r="V5937">
        <v>-0.25429790000000002</v>
      </c>
      <c r="W5937">
        <v>0.17589689999999999</v>
      </c>
      <c r="X5937">
        <v>0.9509957</v>
      </c>
      <c r="Y5937">
        <v>-0.42963469999999998</v>
      </c>
      <c r="Z5937">
        <v>3.8948040000000003E-2</v>
      </c>
      <c r="AA5937">
        <v>0.90216240000000003</v>
      </c>
      <c r="AB5937">
        <v>34</v>
      </c>
      <c r="AC5937">
        <v>9.7551000000000201</v>
      </c>
      <c r="AD5937">
        <v>-1.112787842018</v>
      </c>
      <c r="AE5937">
        <v>-20.762730000000001</v>
      </c>
      <c r="AF5937">
        <v>-10.0324537327838</v>
      </c>
      <c r="AG5937">
        <v>-1.112787842018</v>
      </c>
      <c r="AH5937">
        <v>20.570243692262899</v>
      </c>
      <c r="AI5937">
        <v>92.7836623837172</v>
      </c>
      <c r="AJ5937">
        <v>115.999269901056</v>
      </c>
      <c r="AK5937">
        <v>22.913388013143599</v>
      </c>
      <c r="AL5937">
        <v>79.869143448172807</v>
      </c>
      <c r="AM5937">
        <v>104.970730178024</v>
      </c>
      <c r="AN5937">
        <v>0.99999998139625401</v>
      </c>
    </row>
    <row r="5938" spans="1:40" x14ac:dyDescent="0.25">
      <c r="A5938" t="str">
        <f>"20190304155754126"</f>
        <v>20190304155754126</v>
      </c>
      <c r="B5938" t="str">
        <f>"1551686274121197"</f>
        <v>1551686274121197</v>
      </c>
      <c r="C5938" t="s">
        <v>40</v>
      </c>
      <c r="D5938">
        <v>4.785501</v>
      </c>
      <c r="E5938">
        <v>0.42157030000000001</v>
      </c>
      <c r="F5938" t="s">
        <v>42</v>
      </c>
      <c r="G5938">
        <v>-302.48770000000002</v>
      </c>
      <c r="H5938">
        <v>1.065064</v>
      </c>
      <c r="I5938">
        <v>-38.450310000000002</v>
      </c>
      <c r="J5938">
        <v>-302.91590000000002</v>
      </c>
      <c r="K5938">
        <v>1.1129819999999999</v>
      </c>
      <c r="L5938">
        <v>-37.960509999999999</v>
      </c>
      <c r="M5938">
        <v>-9.5835439999999994E-3</v>
      </c>
      <c r="N5938">
        <v>-8.4094219999999997E-3</v>
      </c>
      <c r="O5938">
        <v>-0.9999188</v>
      </c>
      <c r="P5938">
        <v>0.2446923</v>
      </c>
      <c r="Q5938">
        <v>0.16968629999999901</v>
      </c>
      <c r="R5938">
        <v>-0.95463730000000002</v>
      </c>
      <c r="S5938">
        <v>1.3262940000000001</v>
      </c>
      <c r="T5938">
        <v>-0.1482985</v>
      </c>
      <c r="U5938">
        <v>-2.8327939999999998</v>
      </c>
      <c r="V5938">
        <v>-0.25534430000000002</v>
      </c>
      <c r="W5938">
        <v>0.17550539999999901</v>
      </c>
      <c r="X5938">
        <v>0.95078770000000001</v>
      </c>
      <c r="Y5938">
        <v>-0.43226360000000003</v>
      </c>
      <c r="Z5938">
        <v>3.8833989999999999E-2</v>
      </c>
      <c r="AA5938">
        <v>0.90091069999999995</v>
      </c>
      <c r="AB5938">
        <v>34</v>
      </c>
      <c r="AC5938">
        <v>0.42820000000000302</v>
      </c>
      <c r="AD5938">
        <v>-4.7917999999999898E-2</v>
      </c>
      <c r="AE5938">
        <v>-0.48979999999999502</v>
      </c>
      <c r="AF5938">
        <v>-0.43053889390911598</v>
      </c>
      <c r="AG5938">
        <v>-4.7917999999999898E-2</v>
      </c>
      <c r="AH5938">
        <v>0.48305317692642902</v>
      </c>
      <c r="AI5938">
        <v>94.235217382404798</v>
      </c>
      <c r="AJ5938">
        <v>131.710195272128</v>
      </c>
      <c r="AK5938">
        <v>0.64884531718368799</v>
      </c>
      <c r="AL5938">
        <v>79.891929950757202</v>
      </c>
      <c r="AM5938">
        <v>105.03268982565</v>
      </c>
      <c r="AN5938">
        <v>1.0000000537214599</v>
      </c>
    </row>
    <row r="5939" spans="1:40" x14ac:dyDescent="0.25">
      <c r="A5939" t="str">
        <f>"20190304155754151"</f>
        <v>20190304155754151</v>
      </c>
      <c r="B5939" t="str">
        <f>"1551686274140718"</f>
        <v>1551686274140718</v>
      </c>
      <c r="C5939" t="s">
        <v>40</v>
      </c>
      <c r="D5939">
        <v>4.7502490000000002</v>
      </c>
      <c r="E5939">
        <v>0.42130990000000001</v>
      </c>
      <c r="F5939" t="s">
        <v>84</v>
      </c>
      <c r="G5939">
        <v>-292.7799</v>
      </c>
      <c r="H5939" s="1">
        <v>-8.8867889999999993E-6</v>
      </c>
      <c r="I5939">
        <v>-59.234020000000001</v>
      </c>
      <c r="J5939">
        <v>-302.9153</v>
      </c>
      <c r="K5939">
        <v>1.1131679999999999</v>
      </c>
      <c r="L5939">
        <v>-38.334200000000003</v>
      </c>
      <c r="M5939">
        <v>-4.9512419999999998E-3</v>
      </c>
      <c r="N5939">
        <v>-8.4314339999999998E-3</v>
      </c>
      <c r="O5939">
        <v>-0.99995230000000002</v>
      </c>
      <c r="P5939">
        <v>0.24934819999999999</v>
      </c>
      <c r="Q5939">
        <v>0.16963429999999999</v>
      </c>
      <c r="R5939">
        <v>-0.95344110000000004</v>
      </c>
      <c r="S5939">
        <v>1.3454900000000001</v>
      </c>
      <c r="T5939">
        <v>-0.1477435</v>
      </c>
      <c r="U5939">
        <v>-2.823944</v>
      </c>
      <c r="V5939">
        <v>-0.25565949999999998</v>
      </c>
      <c r="W5939">
        <v>0.17535519999999999</v>
      </c>
      <c r="X5939">
        <v>0.95073070000000004</v>
      </c>
      <c r="Y5939">
        <v>-0.4341758</v>
      </c>
      <c r="Z5939">
        <v>3.869206E-2</v>
      </c>
      <c r="AA5939">
        <v>0.89999680000000004</v>
      </c>
      <c r="AB5939">
        <v>34</v>
      </c>
      <c r="AC5939">
        <v>10.135400000000001</v>
      </c>
      <c r="AD5939">
        <v>-1.113176886789</v>
      </c>
      <c r="AE5939">
        <v>-20.899819999999899</v>
      </c>
      <c r="AF5939">
        <v>-10.215297506713799</v>
      </c>
      <c r="AG5939">
        <v>-1.113176886789</v>
      </c>
      <c r="AH5939">
        <v>20.801603124486899</v>
      </c>
      <c r="AI5939">
        <v>92.750059757391298</v>
      </c>
      <c r="AJ5939">
        <v>116.15483408918</v>
      </c>
      <c r="AK5939">
        <v>23.201253381673499</v>
      </c>
      <c r="AL5939">
        <v>79.900671250249502</v>
      </c>
      <c r="AM5939">
        <v>105.051266323006</v>
      </c>
      <c r="AN5939">
        <v>1.00000004501488</v>
      </c>
    </row>
    <row r="5940" spans="1:40" x14ac:dyDescent="0.25">
      <c r="A5940" t="str">
        <f>"20190304155754173"</f>
        <v>20190304155754173</v>
      </c>
      <c r="B5940" t="str">
        <f>"1551686274170974"</f>
        <v>1551686274170974</v>
      </c>
      <c r="C5940" t="s">
        <v>40</v>
      </c>
      <c r="D5940">
        <v>4.4645960000000002</v>
      </c>
      <c r="E5940">
        <v>0.42045110000000002</v>
      </c>
      <c r="F5940" t="s">
        <v>42</v>
      </c>
      <c r="G5940">
        <v>-302.42259999999999</v>
      </c>
      <c r="H5940">
        <v>1.0594509999999999</v>
      </c>
      <c r="I5940">
        <v>-39.3551</v>
      </c>
      <c r="J5940">
        <v>-302.9126</v>
      </c>
      <c r="K5940">
        <v>1.113356</v>
      </c>
      <c r="L5940">
        <v>-38.69455</v>
      </c>
      <c r="M5940">
        <v>-2.0873880000000001E-4</v>
      </c>
      <c r="N5940">
        <v>-8.4540819999999999E-3</v>
      </c>
      <c r="O5940">
        <v>-0.99996439999999998</v>
      </c>
      <c r="P5940">
        <v>0.25456980000000001</v>
      </c>
      <c r="Q5940">
        <v>0.16938729999999999</v>
      </c>
      <c r="R5940">
        <v>-0.95210410000000001</v>
      </c>
      <c r="S5940">
        <v>1.3594059999999999</v>
      </c>
      <c r="T5940">
        <v>-0.1482377</v>
      </c>
      <c r="U5940">
        <v>-2.8173520000000001</v>
      </c>
      <c r="V5940">
        <v>-0.2564438</v>
      </c>
      <c r="W5940">
        <v>0.17500070000000001</v>
      </c>
      <c r="X5940">
        <v>0.95058469999999995</v>
      </c>
      <c r="Y5940">
        <v>-0.43433080000000002</v>
      </c>
      <c r="Z5940">
        <v>3.8886579999999997E-2</v>
      </c>
      <c r="AA5940">
        <v>0.89991369999999904</v>
      </c>
      <c r="AB5940">
        <v>35</v>
      </c>
      <c r="AC5940">
        <v>0.49000000000000898</v>
      </c>
      <c r="AD5940">
        <v>-5.3905000000000002E-2</v>
      </c>
      <c r="AE5940">
        <v>-0.66054999999999997</v>
      </c>
      <c r="AF5940">
        <v>-0.48804137957191202</v>
      </c>
      <c r="AG5940">
        <v>-5.3905000000000002E-2</v>
      </c>
      <c r="AH5940">
        <v>0.65762272613776496</v>
      </c>
      <c r="AI5940">
        <v>93.765971309875994</v>
      </c>
      <c r="AJ5940">
        <v>126.58020864461101</v>
      </c>
      <c r="AK5940">
        <v>0.82070566412832902</v>
      </c>
      <c r="AL5940">
        <v>79.921300848143204</v>
      </c>
      <c r="AM5940">
        <v>105.09754829838</v>
      </c>
      <c r="AN5940">
        <v>0.99999996971650895</v>
      </c>
    </row>
    <row r="5941" spans="1:40" x14ac:dyDescent="0.25">
      <c r="A5941" t="str">
        <f>"20190304155754196"</f>
        <v>20190304155754196</v>
      </c>
      <c r="B5941" t="str">
        <f>"1551686274190495"</f>
        <v>1551686274190495</v>
      </c>
      <c r="C5941" t="s">
        <v>40</v>
      </c>
      <c r="D5941">
        <v>4.4973879999999999</v>
      </c>
      <c r="E5941">
        <v>0.41984559999999999</v>
      </c>
      <c r="F5941" t="s">
        <v>42</v>
      </c>
      <c r="G5941">
        <v>-302.43579999999997</v>
      </c>
      <c r="H5941">
        <v>1.063099</v>
      </c>
      <c r="I5941">
        <v>-39.66534</v>
      </c>
      <c r="J5941">
        <v>-302.9083</v>
      </c>
      <c r="K5941">
        <v>1.1135269999999999</v>
      </c>
      <c r="L5941">
        <v>-39.040889999999997</v>
      </c>
      <c r="M5941">
        <v>4.5474570000000004E-3</v>
      </c>
      <c r="N5941">
        <v>-8.4764260000000004E-3</v>
      </c>
      <c r="O5941">
        <v>-0.99995369999999995</v>
      </c>
      <c r="P5941">
        <v>0.25881419999999999</v>
      </c>
      <c r="Q5941">
        <v>0.16827320000000001</v>
      </c>
      <c r="R5941">
        <v>-0.95115700000000003</v>
      </c>
      <c r="S5941">
        <v>1.379791</v>
      </c>
      <c r="T5941">
        <v>-0.14536250000000001</v>
      </c>
      <c r="U5941">
        <v>-2.8078609999999999</v>
      </c>
      <c r="V5941">
        <v>-0.25622869999999998</v>
      </c>
      <c r="W5941">
        <v>0.17379829999999999</v>
      </c>
      <c r="X5941">
        <v>0.95086329999999997</v>
      </c>
      <c r="Y5941">
        <v>-0.43652980000000002</v>
      </c>
      <c r="Z5941">
        <v>3.8001649999999998E-2</v>
      </c>
      <c r="AA5941">
        <v>0.89888690000000004</v>
      </c>
      <c r="AB5941">
        <v>35</v>
      </c>
      <c r="AC5941">
        <v>0.47250000000002501</v>
      </c>
      <c r="AD5941">
        <v>-5.0427999999999903E-2</v>
      </c>
      <c r="AE5941">
        <v>-0.62444999999999595</v>
      </c>
      <c r="AF5941">
        <v>-0.46771568409386099</v>
      </c>
      <c r="AG5941">
        <v>-5.0427999999999903E-2</v>
      </c>
      <c r="AH5941">
        <v>0.62400447837956596</v>
      </c>
      <c r="AI5941">
        <v>93.699887346251202</v>
      </c>
      <c r="AJ5941">
        <v>126.852988850938</v>
      </c>
      <c r="AK5941">
        <v>0.78146179264833104</v>
      </c>
      <c r="AL5941">
        <v>79.991265872381703</v>
      </c>
      <c r="AM5941">
        <v>105.08124355679099</v>
      </c>
      <c r="AN5941">
        <v>1.00000000553673</v>
      </c>
    </row>
    <row r="5942" spans="1:40" x14ac:dyDescent="0.25">
      <c r="A5942" t="str">
        <f>"20190304155754216"</f>
        <v>20190304155754216</v>
      </c>
      <c r="B5942" t="str">
        <f>"1551686274210990"</f>
        <v>1551686274210990</v>
      </c>
      <c r="C5942" t="s">
        <v>40</v>
      </c>
      <c r="D5942">
        <v>4.4622109999999999</v>
      </c>
      <c r="E5942">
        <v>0.41920370000000001</v>
      </c>
      <c r="F5942" t="s">
        <v>42</v>
      </c>
      <c r="G5942">
        <v>-302.4425</v>
      </c>
      <c r="H5942">
        <v>1.064975</v>
      </c>
      <c r="I5942">
        <v>-39.97504</v>
      </c>
      <c r="J5942">
        <v>-302.90269999999998</v>
      </c>
      <c r="K5942">
        <v>1.1137010000000001</v>
      </c>
      <c r="L5942">
        <v>-39.363370000000003</v>
      </c>
      <c r="M5942">
        <v>9.1604389999999994E-3</v>
      </c>
      <c r="N5942">
        <v>-8.4972740000000008E-3</v>
      </c>
      <c r="O5942">
        <v>-0.99992199999999998</v>
      </c>
      <c r="P5942">
        <v>0.26385649999999999</v>
      </c>
      <c r="Q5942">
        <v>0.1667285</v>
      </c>
      <c r="R5942">
        <v>-0.95004299999999997</v>
      </c>
      <c r="S5942">
        <v>1.3963620000000001</v>
      </c>
      <c r="T5942">
        <v>-0.1455255</v>
      </c>
      <c r="U5942">
        <v>-2.7998349999999999</v>
      </c>
      <c r="V5942">
        <v>-0.25694250000000002</v>
      </c>
      <c r="W5942">
        <v>0.1721587</v>
      </c>
      <c r="X5942">
        <v>0.95096890000000001</v>
      </c>
      <c r="Y5942">
        <v>-0.43766769999999999</v>
      </c>
      <c r="Z5942">
        <v>3.8087889999999999E-2</v>
      </c>
      <c r="AA5942">
        <v>0.89832969999999901</v>
      </c>
      <c r="AB5942">
        <v>35</v>
      </c>
      <c r="AC5942">
        <v>0.46019999999998601</v>
      </c>
      <c r="AD5942">
        <v>-4.8725999999999998E-2</v>
      </c>
      <c r="AE5942">
        <v>-0.61166999999999605</v>
      </c>
      <c r="AF5942">
        <v>-0.45274276342931702</v>
      </c>
      <c r="AG5942">
        <v>-4.8725999999999998E-2</v>
      </c>
      <c r="AH5942">
        <v>0.61337466488605097</v>
      </c>
      <c r="AI5942">
        <v>93.657030583827904</v>
      </c>
      <c r="AJ5942">
        <v>126.43169524299699</v>
      </c>
      <c r="AK5942">
        <v>0.763923237267783</v>
      </c>
      <c r="AL5942">
        <v>80.086645358795593</v>
      </c>
      <c r="AM5942">
        <v>105.119733109124</v>
      </c>
      <c r="AN5942">
        <v>0.99999995752957405</v>
      </c>
    </row>
    <row r="5943" spans="1:40" x14ac:dyDescent="0.25">
      <c r="A5943" t="str">
        <f>"20190304155754240"</f>
        <v>20190304155754240</v>
      </c>
      <c r="B5943" t="str">
        <f>"1551686274230509"</f>
        <v>1551686274230509</v>
      </c>
      <c r="C5943" t="s">
        <v>40</v>
      </c>
      <c r="D5943">
        <v>4.4703330000000001</v>
      </c>
      <c r="E5943">
        <v>0.4187939</v>
      </c>
      <c r="F5943" t="s">
        <v>42</v>
      </c>
      <c r="G5943">
        <v>-302.4366</v>
      </c>
      <c r="H5943">
        <v>1.0652029999999999</v>
      </c>
      <c r="I5943">
        <v>-40.282710000000002</v>
      </c>
      <c r="J5943">
        <v>-302.89479999999998</v>
      </c>
      <c r="K5943">
        <v>1.1138969999999999</v>
      </c>
      <c r="L5943">
        <v>-39.712159999999997</v>
      </c>
      <c r="M5943">
        <v>1.437483E-2</v>
      </c>
      <c r="N5943">
        <v>-8.5228700000000001E-3</v>
      </c>
      <c r="O5943">
        <v>-0.99986050000000004</v>
      </c>
      <c r="P5943">
        <v>0.26998830000000001</v>
      </c>
      <c r="Q5943">
        <v>0.16590189999999999</v>
      </c>
      <c r="R5943">
        <v>-0.94846359999999996</v>
      </c>
      <c r="S5943">
        <v>1.4152830000000001</v>
      </c>
      <c r="T5943">
        <v>-0.14720759999999999</v>
      </c>
      <c r="U5943">
        <v>-2.790527</v>
      </c>
      <c r="V5943">
        <v>-0.25820149999999997</v>
      </c>
      <c r="W5943">
        <v>0.17121639999999999</v>
      </c>
      <c r="X5943">
        <v>0.95079800000000003</v>
      </c>
      <c r="Y5943">
        <v>-0.43902190000000002</v>
      </c>
      <c r="Z5943">
        <v>3.8661800000000003E-2</v>
      </c>
      <c r="AA5943">
        <v>0.897644199999999</v>
      </c>
      <c r="AB5943">
        <v>35</v>
      </c>
      <c r="AC5943">
        <v>0.45819999999997602</v>
      </c>
      <c r="AD5943">
        <v>-4.8693999999999703E-2</v>
      </c>
      <c r="AE5943">
        <v>-0.570549999999997</v>
      </c>
      <c r="AF5943">
        <v>-0.44796717888987497</v>
      </c>
      <c r="AG5943">
        <v>-4.8693999999999703E-2</v>
      </c>
      <c r="AH5943">
        <v>0.57453376838404402</v>
      </c>
      <c r="AI5943">
        <v>93.823860444097704</v>
      </c>
      <c r="AJ5943">
        <v>127.94374091470399</v>
      </c>
      <c r="AK5943">
        <v>0.730160769976123</v>
      </c>
      <c r="AL5943">
        <v>80.141448889897106</v>
      </c>
      <c r="AM5943">
        <v>105.19300748395599</v>
      </c>
      <c r="AN5943">
        <v>0.99999995351760396</v>
      </c>
    </row>
    <row r="5944" spans="1:40" x14ac:dyDescent="0.25">
      <c r="A5944" t="str">
        <f>"20190304155754265"</f>
        <v>20190304155754265</v>
      </c>
      <c r="B5944" t="str">
        <f>"1551686274260766"</f>
        <v>1551686274260766</v>
      </c>
      <c r="C5944" t="s">
        <v>40</v>
      </c>
      <c r="D5944">
        <v>4.5386419999999896</v>
      </c>
      <c r="E5944">
        <v>0.41845979999999999</v>
      </c>
      <c r="F5944" t="s">
        <v>42</v>
      </c>
      <c r="G5944">
        <v>-302.44</v>
      </c>
      <c r="H5944">
        <v>1.0669120000000001</v>
      </c>
      <c r="I5944">
        <v>-40.593269999999997</v>
      </c>
      <c r="J5944">
        <v>-302.88350000000003</v>
      </c>
      <c r="K5944">
        <v>1.1141449999999999</v>
      </c>
      <c r="L5944">
        <v>-40.105989999999998</v>
      </c>
      <c r="M5944">
        <v>2.055678E-2</v>
      </c>
      <c r="N5944">
        <v>-8.5597920000000001E-3</v>
      </c>
      <c r="O5944">
        <v>-0.99975219999999998</v>
      </c>
      <c r="P5944">
        <v>0.27725860000000002</v>
      </c>
      <c r="Q5944">
        <v>0.16639949999999901</v>
      </c>
      <c r="R5944">
        <v>-0.94627669999999997</v>
      </c>
      <c r="S5944">
        <v>1.435516</v>
      </c>
      <c r="T5944">
        <v>-0.14826210000000001</v>
      </c>
      <c r="U5944">
        <v>-2.7803040000000001</v>
      </c>
      <c r="V5944">
        <v>-0.25973220000000002</v>
      </c>
      <c r="W5944">
        <v>0.17157240000000001</v>
      </c>
      <c r="X5944">
        <v>0.95031679999999996</v>
      </c>
      <c r="Y5944">
        <v>-0.43996299999999999</v>
      </c>
      <c r="Z5944">
        <v>3.9036769999999998E-2</v>
      </c>
      <c r="AA5944">
        <v>0.89716700000000005</v>
      </c>
      <c r="AB5944">
        <v>35</v>
      </c>
      <c r="AC5944">
        <v>0.44350000000002798</v>
      </c>
      <c r="AD5944">
        <v>-4.7232999999999997E-2</v>
      </c>
      <c r="AE5944">
        <v>-0.48727999999999799</v>
      </c>
      <c r="AF5944">
        <v>-0.43117326149086899</v>
      </c>
      <c r="AG5944">
        <v>-4.7232999999999997E-2</v>
      </c>
      <c r="AH5944">
        <v>0.49375693817097799</v>
      </c>
      <c r="AI5944">
        <v>94.121282623508407</v>
      </c>
      <c r="AJ5944">
        <v>131.12908815686399</v>
      </c>
      <c r="AK5944">
        <v>0.65721933302791102</v>
      </c>
      <c r="AL5944">
        <v>80.120745316039503</v>
      </c>
      <c r="AM5944">
        <v>105.28625302727799</v>
      </c>
      <c r="AN5944">
        <v>0.99999996226041898</v>
      </c>
    </row>
    <row r="5945" spans="1:40" x14ac:dyDescent="0.25">
      <c r="A5945" t="str">
        <f>"20190304155754291"</f>
        <v>20190304155754291</v>
      </c>
      <c r="B5945" t="str">
        <f>"1551686274281261"</f>
        <v>1551686274281261</v>
      </c>
      <c r="C5945" t="s">
        <v>40</v>
      </c>
      <c r="D5945">
        <v>4.3699649999999997</v>
      </c>
      <c r="E5945">
        <v>0.41735319999999998</v>
      </c>
      <c r="F5945" t="s">
        <v>42</v>
      </c>
      <c r="G5945">
        <v>-302.4289</v>
      </c>
      <c r="H5945">
        <v>1.0687770000000001</v>
      </c>
      <c r="I5945">
        <v>-40.969270000000002</v>
      </c>
      <c r="J5945">
        <v>-302.8691</v>
      </c>
      <c r="K5945">
        <v>1.1144320000000001</v>
      </c>
      <c r="L5945">
        <v>-40.510860000000001</v>
      </c>
      <c r="M5945">
        <v>2.726808E-2</v>
      </c>
      <c r="N5945">
        <v>-8.604726E-3</v>
      </c>
      <c r="O5945">
        <v>-0.99959120000000001</v>
      </c>
      <c r="P5945">
        <v>0.28472789999999998</v>
      </c>
      <c r="Q5945">
        <v>0.1679872</v>
      </c>
      <c r="R5945">
        <v>-0.94377480000000002</v>
      </c>
      <c r="S5945">
        <v>1.4586490000000001</v>
      </c>
      <c r="T5945">
        <v>-0.14549889999999999</v>
      </c>
      <c r="U5945">
        <v>-2.7685240000000002</v>
      </c>
      <c r="V5945">
        <v>-0.26101010000000002</v>
      </c>
      <c r="W5945">
        <v>0.1730032</v>
      </c>
      <c r="X5945">
        <v>0.94970710000000003</v>
      </c>
      <c r="Y5945">
        <v>-0.4413936</v>
      </c>
      <c r="Z5945">
        <v>3.8184639999999999E-2</v>
      </c>
      <c r="AA5945">
        <v>0.89650079999999999</v>
      </c>
      <c r="AB5945">
        <v>35</v>
      </c>
      <c r="AC5945">
        <v>0.44020000000000398</v>
      </c>
      <c r="AD5945">
        <v>-4.5654999999999703E-2</v>
      </c>
      <c r="AE5945">
        <v>-0.45840999999999998</v>
      </c>
      <c r="AF5945">
        <v>-0.425340938044588</v>
      </c>
      <c r="AG5945">
        <v>-4.5654999999999703E-2</v>
      </c>
      <c r="AH5945">
        <v>0.46782918329683998</v>
      </c>
      <c r="AI5945">
        <v>94.129979350407595</v>
      </c>
      <c r="AJ5945">
        <v>132.27648375053801</v>
      </c>
      <c r="AK5945">
        <v>0.63392699685834397</v>
      </c>
      <c r="AL5945">
        <v>80.0375221922137</v>
      </c>
      <c r="AM5945">
        <v>105.367313059106</v>
      </c>
      <c r="AN5945">
        <v>0.99999997765132898</v>
      </c>
    </row>
    <row r="5946" spans="1:40" x14ac:dyDescent="0.25">
      <c r="A5946" t="str">
        <f>"20190304155754314"</f>
        <v>20190304155754314</v>
      </c>
      <c r="B5946" t="str">
        <f>"1551686274310542"</f>
        <v>1551686274310542</v>
      </c>
      <c r="C5946" t="s">
        <v>40</v>
      </c>
      <c r="D5946">
        <v>4.415006</v>
      </c>
      <c r="E5946">
        <v>0.4165104</v>
      </c>
      <c r="F5946" t="s">
        <v>42</v>
      </c>
      <c r="G5946">
        <v>-302.33359999999999</v>
      </c>
      <c r="H5946">
        <v>1.065979</v>
      </c>
      <c r="I5946">
        <v>-41.501220000000004</v>
      </c>
      <c r="J5946">
        <v>-302.85399999999998</v>
      </c>
      <c r="K5946">
        <v>1.1147039999999999</v>
      </c>
      <c r="L5946">
        <v>-40.862299999999998</v>
      </c>
      <c r="M5946">
        <v>3.3441180000000001E-2</v>
      </c>
      <c r="N5946">
        <v>-8.6522439999999999E-3</v>
      </c>
      <c r="O5946">
        <v>-0.99940329999999999</v>
      </c>
      <c r="P5946">
        <v>0.29205189999999998</v>
      </c>
      <c r="Q5946">
        <v>0.1686463</v>
      </c>
      <c r="R5946">
        <v>-0.94141640000000004</v>
      </c>
      <c r="S5946">
        <v>1.489136</v>
      </c>
      <c r="T5946">
        <v>-0.13471129999999901</v>
      </c>
      <c r="U5946">
        <v>-2.7534480000000001</v>
      </c>
      <c r="V5946">
        <v>-0.26265250000000001</v>
      </c>
      <c r="W5946">
        <v>0.17350989999999999</v>
      </c>
      <c r="X5946">
        <v>0.9491617</v>
      </c>
      <c r="Y5946">
        <v>-0.44564989999999999</v>
      </c>
      <c r="Z5946">
        <v>3.4736160000000002E-2</v>
      </c>
      <c r="AA5946">
        <v>0.89453320000000003</v>
      </c>
      <c r="AB5946">
        <v>35</v>
      </c>
      <c r="AC5946">
        <v>0.52040000000005104</v>
      </c>
      <c r="AD5946">
        <v>-4.8725000000000102E-2</v>
      </c>
      <c r="AE5946">
        <v>-0.63892000000000504</v>
      </c>
      <c r="AF5946">
        <v>-0.49700418747543901</v>
      </c>
      <c r="AG5946">
        <v>-4.8725000000000102E-2</v>
      </c>
      <c r="AH5946">
        <v>0.653680578976778</v>
      </c>
      <c r="AI5946">
        <v>93.395746761481803</v>
      </c>
      <c r="AJ5946">
        <v>127.246330173392</v>
      </c>
      <c r="AK5946">
        <v>0.82260901242603501</v>
      </c>
      <c r="AL5946">
        <v>80.008044615313395</v>
      </c>
      <c r="AM5946">
        <v>105.46785747771899</v>
      </c>
      <c r="AN5946">
        <v>0.99999997695057397</v>
      </c>
    </row>
    <row r="5947" spans="1:40" x14ac:dyDescent="0.25">
      <c r="A5947" t="str">
        <f>"20190304155754359"</f>
        <v>20190304155754359</v>
      </c>
      <c r="B5947" t="str">
        <f>"1551686274350558"</f>
        <v>1551686274350558</v>
      </c>
      <c r="C5947" t="s">
        <v>40</v>
      </c>
      <c r="D5947">
        <v>4.9625789999999999</v>
      </c>
      <c r="E5947">
        <v>0.44839699999999999</v>
      </c>
      <c r="F5947" t="s">
        <v>42</v>
      </c>
      <c r="G5947">
        <v>-302.32769999999999</v>
      </c>
      <c r="H5947">
        <v>1.0702659999999999</v>
      </c>
      <c r="I5947">
        <v>-41.812289999999997</v>
      </c>
      <c r="J5947">
        <v>-302.81639999999999</v>
      </c>
      <c r="K5947">
        <v>1.1152569999999999</v>
      </c>
      <c r="L5947">
        <v>-41.563839999999999</v>
      </c>
      <c r="M5947">
        <v>4.6600000000000003E-2</v>
      </c>
      <c r="N5947">
        <v>-8.7563160000000001E-3</v>
      </c>
      <c r="O5947">
        <v>-0.99887530000000002</v>
      </c>
      <c r="P5947">
        <v>0.30787520000000002</v>
      </c>
      <c r="Q5947">
        <v>0.16820019999999999</v>
      </c>
      <c r="R5947">
        <v>-0.93644099999999997</v>
      </c>
      <c r="S5947">
        <v>1.517242</v>
      </c>
      <c r="T5947">
        <v>-0.12811980000000001</v>
      </c>
      <c r="U5947">
        <v>-2.738953</v>
      </c>
      <c r="V5947">
        <v>-0.26637169999999999</v>
      </c>
      <c r="W5947">
        <v>0.17275850000000001</v>
      </c>
      <c r="X5947">
        <v>0.94826189999999999</v>
      </c>
      <c r="Y5947">
        <v>-0.44293110000000002</v>
      </c>
      <c r="Z5947">
        <v>3.2639580000000001E-2</v>
      </c>
      <c r="AA5947">
        <v>0.89596129999999996</v>
      </c>
      <c r="AB5947">
        <v>35</v>
      </c>
      <c r="AC5947">
        <v>0.48869999999999397</v>
      </c>
      <c r="AD5947">
        <v>-4.4991000000000003E-2</v>
      </c>
      <c r="AE5947">
        <v>-0.248450000000005</v>
      </c>
      <c r="AF5947">
        <v>-0.47340254712805302</v>
      </c>
      <c r="AG5947">
        <v>-4.4991000000000003E-2</v>
      </c>
      <c r="AH5947">
        <v>0.26914173646178902</v>
      </c>
      <c r="AI5947">
        <v>94.722979898982203</v>
      </c>
      <c r="AJ5947">
        <v>150.380636592884</v>
      </c>
      <c r="AK5947">
        <v>0.54641690677905996</v>
      </c>
      <c r="AL5947">
        <v>80.051757093280202</v>
      </c>
      <c r="AM5947">
        <v>105.690328820807</v>
      </c>
      <c r="AN5947">
        <v>1.00000000643737</v>
      </c>
    </row>
    <row r="5948" spans="1:40" x14ac:dyDescent="0.25">
      <c r="A5948" t="str">
        <f>"20190304155754378"</f>
        <v>20190304155754378</v>
      </c>
      <c r="B5948" t="str">
        <f>"1551686274371053"</f>
        <v>1551686274371053</v>
      </c>
      <c r="C5948" t="s">
        <v>40</v>
      </c>
      <c r="D5948">
        <v>4.9424609999999998</v>
      </c>
      <c r="E5948">
        <v>0.45916849999999998</v>
      </c>
      <c r="F5948" t="s">
        <v>84</v>
      </c>
      <c r="G5948">
        <v>-287.03989999999999</v>
      </c>
      <c r="H5948">
        <v>7.9986570000000007E-2</v>
      </c>
      <c r="I5948">
        <v>-74.834369999999893</v>
      </c>
      <c r="J5948">
        <v>-302.7962</v>
      </c>
      <c r="K5948">
        <v>1.115521</v>
      </c>
      <c r="L5948">
        <v>-41.879089999999998</v>
      </c>
      <c r="M5948">
        <v>5.2931239999999997E-2</v>
      </c>
      <c r="N5948">
        <v>-8.8094160000000005E-3</v>
      </c>
      <c r="O5948">
        <v>-0.99855930000000004</v>
      </c>
      <c r="P5948">
        <v>0.31551580000000001</v>
      </c>
      <c r="Q5948">
        <v>0.1694039</v>
      </c>
      <c r="R5948">
        <v>-0.93367639999999996</v>
      </c>
      <c r="S5948">
        <v>1.3206180000000001</v>
      </c>
      <c r="T5948">
        <v>-8.6660269999999998E-2</v>
      </c>
      <c r="U5948">
        <v>-2.7850039999999998</v>
      </c>
      <c r="V5948">
        <v>-0.26824959999999998</v>
      </c>
      <c r="W5948">
        <v>0.17381189999999999</v>
      </c>
      <c r="X5948">
        <v>0.94753969999999998</v>
      </c>
      <c r="Y5948">
        <v>-0.37988860000000002</v>
      </c>
      <c r="Z5948">
        <v>1.965658E-2</v>
      </c>
      <c r="AA5948">
        <v>0.92482339999999996</v>
      </c>
      <c r="AB5948">
        <v>35</v>
      </c>
      <c r="AC5948">
        <v>15.7563</v>
      </c>
      <c r="AD5948">
        <v>-1.03553443</v>
      </c>
      <c r="AE5948">
        <v>-32.955279999999902</v>
      </c>
      <c r="AF5948">
        <v>-13.9785449502014</v>
      </c>
      <c r="AG5948">
        <v>-1.03553443</v>
      </c>
      <c r="AH5948">
        <v>33.716015039319899</v>
      </c>
      <c r="AI5948">
        <v>91.625140683374696</v>
      </c>
      <c r="AJ5948">
        <v>112.518729557154</v>
      </c>
      <c r="AK5948">
        <v>36.513582686613503</v>
      </c>
      <c r="AL5948">
        <v>79.990474083371296</v>
      </c>
      <c r="AM5948">
        <v>105.806879846773</v>
      </c>
      <c r="AN5948">
        <v>0.99999995377892803</v>
      </c>
    </row>
    <row r="5949" spans="1:40" x14ac:dyDescent="0.25">
      <c r="A5949" t="str">
        <f>"20190304155754400"</f>
        <v>20190304155754400</v>
      </c>
      <c r="B5949" t="str">
        <f>"1551686274390574"</f>
        <v>1551686274390574</v>
      </c>
      <c r="C5949" t="s">
        <v>40</v>
      </c>
      <c r="D5949">
        <v>4.9072809999999896</v>
      </c>
      <c r="E5949">
        <v>0.46514169999999999</v>
      </c>
      <c r="F5949" t="s">
        <v>84</v>
      </c>
      <c r="G5949">
        <v>-292.93389999999999</v>
      </c>
      <c r="H5949" s="1">
        <v>-1.1462910000000001E-5</v>
      </c>
      <c r="I5949">
        <v>-63.842120000000001</v>
      </c>
      <c r="J5949">
        <v>-302.77319999999997</v>
      </c>
      <c r="K5949">
        <v>1.1158110000000001</v>
      </c>
      <c r="L5949">
        <v>-42.20261</v>
      </c>
      <c r="M5949">
        <v>5.973651E-2</v>
      </c>
      <c r="N5949">
        <v>-8.8715140000000005E-3</v>
      </c>
      <c r="O5949">
        <v>-0.99817469999999997</v>
      </c>
      <c r="P5949">
        <v>0.32420280000000001</v>
      </c>
      <c r="Q5949">
        <v>0.17136289999999901</v>
      </c>
      <c r="R5949">
        <v>-0.93033710000000003</v>
      </c>
      <c r="S5949">
        <v>1.2628170000000001</v>
      </c>
      <c r="T5949">
        <v>-0.1428382</v>
      </c>
      <c r="U5949">
        <v>-2.8122560000000001</v>
      </c>
      <c r="V5949">
        <v>-0.27079839999999999</v>
      </c>
      <c r="W5949">
        <v>0.17559459999999999</v>
      </c>
      <c r="X5949">
        <v>0.94648549999999998</v>
      </c>
      <c r="Y5949">
        <v>-0.35403179999999901</v>
      </c>
      <c r="Z5949">
        <v>3.7957490000000003E-2</v>
      </c>
      <c r="AA5949">
        <v>0.93446280000000004</v>
      </c>
      <c r="AB5949">
        <v>35</v>
      </c>
      <c r="AC5949">
        <v>9.8392999999999802</v>
      </c>
      <c r="AD5949">
        <v>-1.11582246291</v>
      </c>
      <c r="AE5949">
        <v>-21.639509999999898</v>
      </c>
      <c r="AF5949">
        <v>-8.5102567173817896</v>
      </c>
      <c r="AG5949">
        <v>-1.11582246291</v>
      </c>
      <c r="AH5949">
        <v>22.139869790242098</v>
      </c>
      <c r="AI5949">
        <v>92.693385128702701</v>
      </c>
      <c r="AJ5949">
        <v>111.026062673092</v>
      </c>
      <c r="AK5949">
        <v>23.745386151700099</v>
      </c>
      <c r="AL5949">
        <v>79.886738196443801</v>
      </c>
      <c r="AM5949">
        <v>105.966323622884</v>
      </c>
      <c r="AN5949">
        <v>1.0000000193509799</v>
      </c>
    </row>
    <row r="5950" spans="1:40" x14ac:dyDescent="0.25">
      <c r="A5950" t="str">
        <f>"20190304155754421"</f>
        <v>20190304155754421</v>
      </c>
      <c r="B5950" t="str">
        <f>"1551686274411069"</f>
        <v>1551686274411069</v>
      </c>
      <c r="C5950" t="s">
        <v>40</v>
      </c>
      <c r="D5950">
        <v>4.8624239999999999</v>
      </c>
      <c r="E5950">
        <v>0.46806999999999999</v>
      </c>
      <c r="F5950" t="s">
        <v>84</v>
      </c>
      <c r="G5950">
        <v>-293.93700000000001</v>
      </c>
      <c r="H5950" s="1">
        <v>-1.143011E-5</v>
      </c>
      <c r="I5950">
        <v>-62.225299999999997</v>
      </c>
      <c r="J5950">
        <v>-302.74669999999998</v>
      </c>
      <c r="K5950">
        <v>1.1161380000000001</v>
      </c>
      <c r="L5950">
        <v>-42.537660000000002</v>
      </c>
      <c r="M5950">
        <v>6.7126259999999993E-2</v>
      </c>
      <c r="N5950">
        <v>-8.9462759999999995E-3</v>
      </c>
      <c r="O5950">
        <v>-0.99770449999999999</v>
      </c>
      <c r="P5950">
        <v>0.333785099999999</v>
      </c>
      <c r="Q5950">
        <v>0.1718865</v>
      </c>
      <c r="R5950">
        <v>-0.92684549999999999</v>
      </c>
      <c r="S5950">
        <v>1.2444459999999999</v>
      </c>
      <c r="T5950">
        <v>-0.15714790000000001</v>
      </c>
      <c r="U5950">
        <v>-2.8199160000000001</v>
      </c>
      <c r="V5950">
        <v>-0.27371200000000001</v>
      </c>
      <c r="W5950">
        <v>0.1759241</v>
      </c>
      <c r="X5950">
        <v>0.94558580000000003</v>
      </c>
      <c r="Y5950">
        <v>-0.34096189999999998</v>
      </c>
      <c r="Z5950">
        <v>4.2593560000000003E-2</v>
      </c>
      <c r="AA5950">
        <v>0.93911169999999999</v>
      </c>
      <c r="AB5950">
        <v>35</v>
      </c>
      <c r="AC5950">
        <v>8.8096999999999603</v>
      </c>
      <c r="AD5950">
        <v>-1.1161494301099999</v>
      </c>
      <c r="AE5950">
        <v>-19.687639999999998</v>
      </c>
      <c r="AF5950">
        <v>-7.4482720486794003</v>
      </c>
      <c r="AG5950">
        <v>-1.1161494301099999</v>
      </c>
      <c r="AH5950">
        <v>20.180575310826399</v>
      </c>
      <c r="AI5950">
        <v>92.970234525966106</v>
      </c>
      <c r="AJ5950">
        <v>110.25815830619401</v>
      </c>
      <c r="AK5950">
        <v>21.540152412121198</v>
      </c>
      <c r="AL5950">
        <v>79.867560778010002</v>
      </c>
      <c r="AM5950">
        <v>106.14376822201601</v>
      </c>
      <c r="AN5950">
        <v>1.0000000265332201</v>
      </c>
    </row>
    <row r="5951" spans="1:40" x14ac:dyDescent="0.25">
      <c r="A5951" t="str">
        <f>"20190304155754444"</f>
        <v>20190304155754444</v>
      </c>
      <c r="B5951" t="str">
        <f>"1551686274440352"</f>
        <v>1551686274440352</v>
      </c>
      <c r="C5951" t="s">
        <v>40</v>
      </c>
      <c r="D5951">
        <v>4.8914619999999998</v>
      </c>
      <c r="E5951">
        <v>0.47115390000000001</v>
      </c>
      <c r="F5951" t="s">
        <v>84</v>
      </c>
      <c r="G5951">
        <v>-293.84550000000002</v>
      </c>
      <c r="H5951" s="1">
        <v>-1.1476839999999999E-5</v>
      </c>
      <c r="I5951">
        <v>-62.563960000000002</v>
      </c>
      <c r="J5951">
        <v>-302.71640000000002</v>
      </c>
      <c r="K5951">
        <v>1.116495</v>
      </c>
      <c r="L5951">
        <v>-42.88391</v>
      </c>
      <c r="M5951">
        <v>7.5138360000000001E-2</v>
      </c>
      <c r="N5951">
        <v>-9.0374659999999992E-3</v>
      </c>
      <c r="O5951">
        <v>-0.99713220000000002</v>
      </c>
      <c r="P5951">
        <v>0.34390540000000003</v>
      </c>
      <c r="Q5951">
        <v>0.17201729999999901</v>
      </c>
      <c r="R5951">
        <v>-0.92311390000000004</v>
      </c>
      <c r="S5951">
        <v>1.251312</v>
      </c>
      <c r="T5951">
        <v>-0.156905399999999</v>
      </c>
      <c r="U5951">
        <v>-2.8152469999999998</v>
      </c>
      <c r="V5951">
        <v>-0.2766208</v>
      </c>
      <c r="W5951">
        <v>0.175851799999999</v>
      </c>
      <c r="X5951">
        <v>0.94475240000000005</v>
      </c>
      <c r="Y5951">
        <v>-0.33589829999999998</v>
      </c>
      <c r="Z5951">
        <v>4.2497340000000002E-2</v>
      </c>
      <c r="AA5951">
        <v>0.94093910000000003</v>
      </c>
      <c r="AB5951">
        <v>35</v>
      </c>
      <c r="AC5951">
        <v>8.8709000000000007</v>
      </c>
      <c r="AD5951">
        <v>-1.1165064768399999</v>
      </c>
      <c r="AE5951">
        <v>-19.680049999999898</v>
      </c>
      <c r="AF5951">
        <v>-7.3473790075585104</v>
      </c>
      <c r="AG5951">
        <v>-1.1165064768399999</v>
      </c>
      <c r="AH5951">
        <v>20.2368488593082</v>
      </c>
      <c r="AI5951">
        <v>92.968681155729399</v>
      </c>
      <c r="AJ5951">
        <v>109.954406583596</v>
      </c>
      <c r="AK5951">
        <v>21.558307372055399</v>
      </c>
      <c r="AL5951">
        <v>79.871768696107793</v>
      </c>
      <c r="AM5951">
        <v>106.319879789447</v>
      </c>
      <c r="AN5951">
        <v>1.0000000099308199</v>
      </c>
    </row>
    <row r="5952" spans="1:40" x14ac:dyDescent="0.25">
      <c r="A5952" t="str">
        <f>"20190304155754468"</f>
        <v>20190304155754468</v>
      </c>
      <c r="B5952" t="str">
        <f>"1551686274460846"</f>
        <v>1551686274460846</v>
      </c>
      <c r="C5952" t="s">
        <v>40</v>
      </c>
      <c r="D5952">
        <v>4.9064170000000003</v>
      </c>
      <c r="E5952">
        <v>0.47256369999999998</v>
      </c>
      <c r="F5952" t="s">
        <v>84</v>
      </c>
      <c r="G5952">
        <v>-293.70679999999999</v>
      </c>
      <c r="H5952" s="1">
        <v>-1.152351E-5</v>
      </c>
      <c r="I5952">
        <v>-62.967930000000003</v>
      </c>
      <c r="J5952">
        <v>-302.67939999999999</v>
      </c>
      <c r="K5952">
        <v>1.116911</v>
      </c>
      <c r="L5952">
        <v>-43.267029999999998</v>
      </c>
      <c r="M5952">
        <v>8.4452319999999997E-2</v>
      </c>
      <c r="N5952">
        <v>-9.1552189999999992E-3</v>
      </c>
      <c r="O5952">
        <v>-0.99638550000000004</v>
      </c>
      <c r="P5952">
        <v>0.35449540000000002</v>
      </c>
      <c r="Q5952">
        <v>0.17186489999999999</v>
      </c>
      <c r="R5952">
        <v>-0.91912760000000004</v>
      </c>
      <c r="S5952">
        <v>1.2603150000000001</v>
      </c>
      <c r="T5952">
        <v>-0.15618219999999999</v>
      </c>
      <c r="U5952">
        <v>-2.8094480000000002</v>
      </c>
      <c r="V5952">
        <v>-0.27882849999999998</v>
      </c>
      <c r="W5952">
        <v>0.1754937</v>
      </c>
      <c r="X5952">
        <v>0.94416979999999995</v>
      </c>
      <c r="Y5952">
        <v>-0.33033129999999999</v>
      </c>
      <c r="Z5952">
        <v>4.2222250000000003E-2</v>
      </c>
      <c r="AA5952">
        <v>0.94292019999999999</v>
      </c>
      <c r="AB5952">
        <v>35</v>
      </c>
      <c r="AC5952">
        <v>8.9725999999999999</v>
      </c>
      <c r="AD5952">
        <v>-1.11692252351</v>
      </c>
      <c r="AE5952">
        <v>-19.700900000000001</v>
      </c>
      <c r="AF5952">
        <v>-7.2573671698993403</v>
      </c>
      <c r="AG5952">
        <v>-1.11692252351</v>
      </c>
      <c r="AH5952">
        <v>20.334171461374901</v>
      </c>
      <c r="AI5952">
        <v>92.961398400043606</v>
      </c>
      <c r="AJ5952">
        <v>109.641735851307</v>
      </c>
      <c r="AK5952">
        <v>21.619329850456701</v>
      </c>
      <c r="AL5952">
        <v>79.892610241041893</v>
      </c>
      <c r="AM5952">
        <v>106.452716641386</v>
      </c>
      <c r="AN5952">
        <v>0.99999999119198901</v>
      </c>
    </row>
    <row r="5953" spans="1:40" x14ac:dyDescent="0.25">
      <c r="A5953" t="str">
        <f>"20190304155754494"</f>
        <v>20190304155754494</v>
      </c>
      <c r="B5953" t="str">
        <f>"1551686274491102"</f>
        <v>1551686274491102</v>
      </c>
      <c r="C5953" t="s">
        <v>40</v>
      </c>
      <c r="D5953">
        <v>4.8848779999999996</v>
      </c>
      <c r="E5953">
        <v>0.47497840000000002</v>
      </c>
      <c r="F5953" t="s">
        <v>84</v>
      </c>
      <c r="G5953">
        <v>-293.83659999999998</v>
      </c>
      <c r="H5953" s="1">
        <v>-1.147353E-5</v>
      </c>
      <c r="I5953">
        <v>-62.561309999999999</v>
      </c>
      <c r="J5953">
        <v>-302.637</v>
      </c>
      <c r="K5953">
        <v>1.117348</v>
      </c>
      <c r="L5953">
        <v>-43.659550000000003</v>
      </c>
      <c r="M5953">
        <v>9.4573160000000003E-2</v>
      </c>
      <c r="N5953">
        <v>-9.2991959999999992E-3</v>
      </c>
      <c r="O5953">
        <v>-0.99547450000000004</v>
      </c>
      <c r="P5953">
        <v>0.36660949999999998</v>
      </c>
      <c r="Q5953">
        <v>0.17171220000000001</v>
      </c>
      <c r="R5953">
        <v>-0.91439190000000004</v>
      </c>
      <c r="S5953">
        <v>1.28302</v>
      </c>
      <c r="T5953">
        <v>-0.16205610000000001</v>
      </c>
      <c r="U5953">
        <v>-2.7994379999999999</v>
      </c>
      <c r="V5953">
        <v>-0.28189690000000001</v>
      </c>
      <c r="W5953">
        <v>0.1751162</v>
      </c>
      <c r="X5953">
        <v>0.94332839999999996</v>
      </c>
      <c r="Y5953">
        <v>-0.32830130000000002</v>
      </c>
      <c r="Z5953">
        <v>4.405854E-2</v>
      </c>
      <c r="AA5953">
        <v>0.94354499999999997</v>
      </c>
      <c r="AB5953">
        <v>35</v>
      </c>
      <c r="AC5953">
        <v>8.8004000000000193</v>
      </c>
      <c r="AD5953">
        <v>-1.1173594735299901</v>
      </c>
      <c r="AE5953">
        <v>-18.901759999999999</v>
      </c>
      <c r="AF5953">
        <v>-6.9533066445740603</v>
      </c>
      <c r="AG5953">
        <v>-1.1173594735299901</v>
      </c>
      <c r="AH5953">
        <v>19.593081157694499</v>
      </c>
      <c r="AI5953">
        <v>93.076357504048005</v>
      </c>
      <c r="AJ5953">
        <v>109.539052197506</v>
      </c>
      <c r="AK5953">
        <v>20.820321677115501</v>
      </c>
      <c r="AL5953">
        <v>79.914579783007497</v>
      </c>
      <c r="AM5953">
        <v>106.637839128617</v>
      </c>
      <c r="AN5953">
        <v>1.0000000079893001</v>
      </c>
    </row>
    <row r="5954" spans="1:40" x14ac:dyDescent="0.25">
      <c r="A5954" t="str">
        <f>"20190304155754523"</f>
        <v>20190304155754523</v>
      </c>
      <c r="B5954" t="str">
        <f>"1551686274520381"</f>
        <v>1551686274520381</v>
      </c>
      <c r="C5954" t="s">
        <v>40</v>
      </c>
      <c r="D5954">
        <v>4.8974970000000004</v>
      </c>
      <c r="E5954">
        <v>0.47686109999999998</v>
      </c>
      <c r="F5954" t="s">
        <v>84</v>
      </c>
      <c r="G5954">
        <v>-293.81990000000002</v>
      </c>
      <c r="H5954" s="1">
        <v>-1.14667E-5</v>
      </c>
      <c r="I5954">
        <v>-62.553600000000003</v>
      </c>
      <c r="J5954">
        <v>-302.58120000000002</v>
      </c>
      <c r="K5954">
        <v>1.1178779999999999</v>
      </c>
      <c r="L5954">
        <v>-44.122990000000001</v>
      </c>
      <c r="M5954">
        <v>0.1072336</v>
      </c>
      <c r="N5954">
        <v>-9.4900000000000002E-3</v>
      </c>
      <c r="O5954">
        <v>-0.99418870000000004</v>
      </c>
      <c r="P5954">
        <v>0.38105149999999999</v>
      </c>
      <c r="Q5954">
        <v>0.170905</v>
      </c>
      <c r="R5954">
        <v>-0.90862080000000001</v>
      </c>
      <c r="S5954">
        <v>1.3019099999999999</v>
      </c>
      <c r="T5954">
        <v>-0.16498699999999999</v>
      </c>
      <c r="U5954">
        <v>-2.7898559999999999</v>
      </c>
      <c r="V5954">
        <v>-0.28503699999999998</v>
      </c>
      <c r="W5954">
        <v>0.1740612</v>
      </c>
      <c r="X5954">
        <v>0.94257970000000002</v>
      </c>
      <c r="Y5954">
        <v>-0.32274550000000002</v>
      </c>
      <c r="Z5954">
        <v>4.4902240000000003E-2</v>
      </c>
      <c r="AA5954">
        <v>0.94542009999999999</v>
      </c>
      <c r="AB5954">
        <v>35</v>
      </c>
      <c r="AC5954">
        <v>8.7613000000000003</v>
      </c>
      <c r="AD5954">
        <v>-1.1178894666999999</v>
      </c>
      <c r="AE5954">
        <v>-18.430610000000001</v>
      </c>
      <c r="AF5954">
        <v>-6.7141592637342198</v>
      </c>
      <c r="AG5954">
        <v>-1.1178894666999999</v>
      </c>
      <c r="AH5954">
        <v>19.206240641372801</v>
      </c>
      <c r="AI5954">
        <v>93.144894339436107</v>
      </c>
      <c r="AJ5954">
        <v>109.268716094333</v>
      </c>
      <c r="AK5954">
        <v>20.3766849868389</v>
      </c>
      <c r="AL5954">
        <v>79.975969022531999</v>
      </c>
      <c r="AM5954">
        <v>106.825366650638</v>
      </c>
      <c r="AN5954">
        <v>0.99999994178326301</v>
      </c>
    </row>
    <row r="5955" spans="1:40" x14ac:dyDescent="0.25">
      <c r="A5955" t="str">
        <f>"20190304155754548"</f>
        <v>20190304155754548</v>
      </c>
      <c r="B5955" t="str">
        <f>"1551686274540878"</f>
        <v>1551686274540878</v>
      </c>
      <c r="C5955" t="s">
        <v>40</v>
      </c>
      <c r="D5955">
        <v>4.9111510000000003</v>
      </c>
      <c r="E5955">
        <v>0.47797010000000001</v>
      </c>
      <c r="F5955" t="s">
        <v>84</v>
      </c>
      <c r="G5955">
        <v>-293.60890000000001</v>
      </c>
      <c r="H5955" s="1">
        <v>-1.1462040000000001E-5</v>
      </c>
      <c r="I5955">
        <v>-62.82591</v>
      </c>
      <c r="J5955">
        <v>-302.52850000000001</v>
      </c>
      <c r="K5955">
        <v>1.118314</v>
      </c>
      <c r="L5955">
        <v>-44.51923</v>
      </c>
      <c r="M5955">
        <v>0.11858589999999999</v>
      </c>
      <c r="N5955">
        <v>-9.6591330000000003E-3</v>
      </c>
      <c r="O5955">
        <v>-0.99289689999999997</v>
      </c>
      <c r="P5955">
        <v>0.39177810000000002</v>
      </c>
      <c r="Q5955">
        <v>0.1698578</v>
      </c>
      <c r="R5955">
        <v>-0.90424479999999996</v>
      </c>
      <c r="S5955">
        <v>1.3310850000000001</v>
      </c>
      <c r="T5955">
        <v>-0.16584549999999901</v>
      </c>
      <c r="U5955">
        <v>-2.774689</v>
      </c>
      <c r="V5955">
        <v>-0.28556520000000002</v>
      </c>
      <c r="W5955">
        <v>0.1728642</v>
      </c>
      <c r="X5955">
        <v>0.94264020000000004</v>
      </c>
      <c r="Y5955">
        <v>-0.3220191</v>
      </c>
      <c r="Z5955">
        <v>4.5099790000000001E-2</v>
      </c>
      <c r="AA5955">
        <v>0.94565829999999995</v>
      </c>
      <c r="AB5955">
        <v>35</v>
      </c>
      <c r="AC5955">
        <v>8.9196000000000009</v>
      </c>
      <c r="AD5955">
        <v>-1.1183254620400001</v>
      </c>
      <c r="AE5955">
        <v>-18.30668</v>
      </c>
      <c r="AF5955">
        <v>-6.6655381665638096</v>
      </c>
      <c r="AG5955">
        <v>-1.1183254620400001</v>
      </c>
      <c r="AH5955">
        <v>19.1774441476934</v>
      </c>
      <c r="AI5955">
        <v>93.152798536410103</v>
      </c>
      <c r="AJ5955">
        <v>109.16600822347399</v>
      </c>
      <c r="AK5955">
        <v>20.333578507652401</v>
      </c>
      <c r="AL5955">
        <v>80.045608668042604</v>
      </c>
      <c r="AM5955">
        <v>106.853758796625</v>
      </c>
      <c r="AN5955">
        <v>1.00000003087435</v>
      </c>
    </row>
    <row r="5956" spans="1:40" x14ac:dyDescent="0.25">
      <c r="A5956" t="str">
        <f>"20190304155754575"</f>
        <v>20190304155754575</v>
      </c>
      <c r="B5956" t="str">
        <f>"1551686274571134"</f>
        <v>1551686274571134</v>
      </c>
      <c r="C5956" t="s">
        <v>40</v>
      </c>
      <c r="D5956">
        <v>4.9145529999999997</v>
      </c>
      <c r="E5956">
        <v>0.47942469999999998</v>
      </c>
      <c r="F5956" t="s">
        <v>84</v>
      </c>
      <c r="G5956">
        <v>-293.49720000000002</v>
      </c>
      <c r="H5956" s="1">
        <v>-1.144346E-5</v>
      </c>
      <c r="I5956">
        <v>-62.897269999999899</v>
      </c>
      <c r="J5956">
        <v>-302.47109999999998</v>
      </c>
      <c r="K5956">
        <v>1.11876</v>
      </c>
      <c r="L5956">
        <v>-44.911070000000002</v>
      </c>
      <c r="M5956">
        <v>0.13041259999999999</v>
      </c>
      <c r="N5956">
        <v>-9.8491010000000007E-3</v>
      </c>
      <c r="O5956">
        <v>-0.99141100000000004</v>
      </c>
      <c r="P5956">
        <v>0.40316790000000002</v>
      </c>
      <c r="Q5956">
        <v>0.169317</v>
      </c>
      <c r="R5956">
        <v>-0.89932619999999897</v>
      </c>
      <c r="S5956">
        <v>1.3569639999999901</v>
      </c>
      <c r="T5956">
        <v>-0.1680297</v>
      </c>
      <c r="U5956">
        <v>-2.7613219999999998</v>
      </c>
      <c r="V5956">
        <v>-0.2863986</v>
      </c>
      <c r="W5956">
        <v>0.17218120000000001</v>
      </c>
      <c r="X5956">
        <v>0.94251229999999997</v>
      </c>
      <c r="Y5956">
        <v>-0.31966879999999998</v>
      </c>
      <c r="Z5956">
        <v>4.5692910000000003E-2</v>
      </c>
      <c r="AA5956">
        <v>0.94642700000000002</v>
      </c>
      <c r="AB5956">
        <v>35</v>
      </c>
      <c r="AC5956">
        <v>8.9738999999999507</v>
      </c>
      <c r="AD5956">
        <v>-1.11877144346</v>
      </c>
      <c r="AE5956">
        <v>-17.986199999999901</v>
      </c>
      <c r="AF5956">
        <v>-6.5312799921848299</v>
      </c>
      <c r="AG5956">
        <v>-1.11877144346</v>
      </c>
      <c r="AH5956">
        <v>18.944258727776301</v>
      </c>
      <c r="AI5956">
        <v>93.195564414363901</v>
      </c>
      <c r="AJ5956">
        <v>109.022300115115</v>
      </c>
      <c r="AK5956">
        <v>20.069733596237501</v>
      </c>
      <c r="AL5956">
        <v>80.085336883127297</v>
      </c>
      <c r="AM5956">
        <v>106.902307839247</v>
      </c>
      <c r="AN5956">
        <v>0.99999997968334398</v>
      </c>
    </row>
    <row r="5957" spans="1:40" x14ac:dyDescent="0.25">
      <c r="A5957" t="str">
        <f>"20190304155754596"</f>
        <v>20190304155754596</v>
      </c>
      <c r="B5957" t="str">
        <f>"1551686274590653"</f>
        <v>1551686274590653</v>
      </c>
      <c r="C5957" t="s">
        <v>40</v>
      </c>
      <c r="D5957">
        <v>4.9463780000000002</v>
      </c>
      <c r="E5957">
        <v>0.48078270000000001</v>
      </c>
      <c r="F5957" t="s">
        <v>84</v>
      </c>
      <c r="G5957">
        <v>-293.43799999999999</v>
      </c>
      <c r="H5957" s="1">
        <v>-1.1421939999999999E-5</v>
      </c>
      <c r="I5957">
        <v>-62.88223</v>
      </c>
      <c r="J5957">
        <v>-302.41649999999998</v>
      </c>
      <c r="K5957">
        <v>1.119167</v>
      </c>
      <c r="L5957">
        <v>-45.254150000000003</v>
      </c>
      <c r="M5957">
        <v>0.1412255</v>
      </c>
      <c r="N5957">
        <v>-1.004063E-2</v>
      </c>
      <c r="O5957">
        <v>-0.9899268</v>
      </c>
      <c r="P5957">
        <v>0.4138539</v>
      </c>
      <c r="Q5957">
        <v>0.17035459999999999</v>
      </c>
      <c r="R5957">
        <v>-0.894262</v>
      </c>
      <c r="S5957">
        <v>1.3815919999999999</v>
      </c>
      <c r="T5957">
        <v>-0.17111419999999999</v>
      </c>
      <c r="U5957">
        <v>-2.7486570000000001</v>
      </c>
      <c r="V5957">
        <v>-0.28756399999999999</v>
      </c>
      <c r="W5957">
        <v>0.17309569999999999</v>
      </c>
      <c r="X5957">
        <v>0.94198979999999999</v>
      </c>
      <c r="Y5957">
        <v>-0.31782480000000002</v>
      </c>
      <c r="Z5957">
        <v>4.6565479999999999E-2</v>
      </c>
      <c r="AA5957">
        <v>0.94700530000000005</v>
      </c>
      <c r="AB5957">
        <v>36</v>
      </c>
      <c r="AC5957">
        <v>8.9784999999999897</v>
      </c>
      <c r="AD5957">
        <v>-1.1191784219399901</v>
      </c>
      <c r="AE5957">
        <v>-17.628080000000001</v>
      </c>
      <c r="AF5957">
        <v>-6.3784300035234001</v>
      </c>
      <c r="AG5957">
        <v>-1.1191784219399901</v>
      </c>
      <c r="AH5957">
        <v>18.659720044182901</v>
      </c>
      <c r="AI5957">
        <v>93.248286787126204</v>
      </c>
      <c r="AJ5957">
        <v>108.871906434881</v>
      </c>
      <c r="AK5957">
        <v>19.751508341827101</v>
      </c>
      <c r="AL5957">
        <v>80.032141166830101</v>
      </c>
      <c r="AM5957">
        <v>106.976012403338</v>
      </c>
      <c r="AN5957">
        <v>0.99999997937926399</v>
      </c>
    </row>
    <row r="5958" spans="1:40" x14ac:dyDescent="0.25">
      <c r="A5958" t="str">
        <f>"20190304155754617"</f>
        <v>20190304155754617</v>
      </c>
      <c r="B5958" t="str">
        <f>"1551686274610174"</f>
        <v>1551686274610174</v>
      </c>
      <c r="C5958" t="s">
        <v>40</v>
      </c>
      <c r="D5958">
        <v>4.9539019999999896</v>
      </c>
      <c r="E5958">
        <v>0.48223640000000001</v>
      </c>
      <c r="F5958" t="s">
        <v>84</v>
      </c>
      <c r="G5958">
        <v>-293.01369999999997</v>
      </c>
      <c r="H5958" s="1">
        <v>-1.1441770000000001E-5</v>
      </c>
      <c r="I5958">
        <v>-63.584049999999998</v>
      </c>
      <c r="J5958">
        <v>-302.35840000000002</v>
      </c>
      <c r="K5958">
        <v>1.1195649999999999</v>
      </c>
      <c r="L5958">
        <v>-45.594479999999997</v>
      </c>
      <c r="M5958">
        <v>0.15234149999999999</v>
      </c>
      <c r="N5958">
        <v>-1.024449E-2</v>
      </c>
      <c r="O5958">
        <v>-0.98827500000000001</v>
      </c>
      <c r="P5958">
        <v>0.4250427</v>
      </c>
      <c r="Q5958">
        <v>0.1710979</v>
      </c>
      <c r="R5958">
        <v>-0.88885579999999997</v>
      </c>
      <c r="S5958">
        <v>1.403931</v>
      </c>
      <c r="T5958">
        <v>-0.16710329999999901</v>
      </c>
      <c r="U5958">
        <v>-2.7368160000000001</v>
      </c>
      <c r="V5958">
        <v>-0.28900530000000002</v>
      </c>
      <c r="W5958">
        <v>0.1737264</v>
      </c>
      <c r="X5958">
        <v>0.94143250000000001</v>
      </c>
      <c r="Y5958">
        <v>-0.31498290000000001</v>
      </c>
      <c r="Z5958">
        <v>4.5090239999999997E-2</v>
      </c>
      <c r="AA5958">
        <v>0.94802560000000002</v>
      </c>
      <c r="AB5958">
        <v>36</v>
      </c>
      <c r="AC5958">
        <v>9.3447000000000404</v>
      </c>
      <c r="AD5958">
        <v>-1.11957644176999</v>
      </c>
      <c r="AE5958">
        <v>-17.989570000000001</v>
      </c>
      <c r="AF5958">
        <v>-6.4751647846170401</v>
      </c>
      <c r="AG5958">
        <v>-1.11957644176999</v>
      </c>
      <c r="AH5958">
        <v>19.144837639139901</v>
      </c>
      <c r="AI5958">
        <v>93.170749312402407</v>
      </c>
      <c r="AJ5958">
        <v>108.686559258999</v>
      </c>
      <c r="AK5958">
        <v>20.241196076959898</v>
      </c>
      <c r="AL5958">
        <v>79.995449411314297</v>
      </c>
      <c r="AM5958">
        <v>107.06568099540701</v>
      </c>
      <c r="AN5958">
        <v>1.00000003877064</v>
      </c>
    </row>
    <row r="5959" spans="1:40" x14ac:dyDescent="0.25">
      <c r="A5959" t="str">
        <f>"20190304155754639"</f>
        <v>20190304155754639</v>
      </c>
      <c r="B5959" t="str">
        <f>"1551686274630670"</f>
        <v>1551686274630670</v>
      </c>
      <c r="C5959" t="s">
        <v>40</v>
      </c>
      <c r="D5959">
        <v>4.9430680000000002</v>
      </c>
      <c r="E5959">
        <v>0.50237259999999995</v>
      </c>
      <c r="F5959" t="s">
        <v>84</v>
      </c>
      <c r="G5959">
        <v>-292.63350000000003</v>
      </c>
      <c r="H5959" s="1">
        <v>-1.142008E-5</v>
      </c>
      <c r="I5959">
        <v>-64.160659999999993</v>
      </c>
      <c r="J5959">
        <v>-302.29899999999998</v>
      </c>
      <c r="K5959">
        <v>1.1199330000000001</v>
      </c>
      <c r="L5959">
        <v>-45.919159999999998</v>
      </c>
      <c r="M5959">
        <v>0.1633047</v>
      </c>
      <c r="N5959">
        <v>-1.0451E-2</v>
      </c>
      <c r="O5959">
        <v>-0.98652039999999996</v>
      </c>
      <c r="P5959">
        <v>0.4361044</v>
      </c>
      <c r="Q5959">
        <v>0.17053699999999999</v>
      </c>
      <c r="R5959">
        <v>-0.88358959999999998</v>
      </c>
      <c r="S5959">
        <v>1.4270020000000001</v>
      </c>
      <c r="T5959">
        <v>-0.1642846</v>
      </c>
      <c r="U5959">
        <v>-2.7243650000000001</v>
      </c>
      <c r="V5959">
        <v>-0.290431099999999</v>
      </c>
      <c r="W5959">
        <v>0.1730708</v>
      </c>
      <c r="X5959">
        <v>0.94111440000000002</v>
      </c>
      <c r="Y5959">
        <v>-0.31254739999999998</v>
      </c>
      <c r="Z5959">
        <v>4.3998570000000001E-2</v>
      </c>
      <c r="AA5959">
        <v>0.94888260000000002</v>
      </c>
      <c r="AB5959">
        <v>36</v>
      </c>
      <c r="AC5959">
        <v>9.6654999999999998</v>
      </c>
      <c r="AD5959">
        <v>-1.1199444200799999</v>
      </c>
      <c r="AE5959">
        <v>-18.241499999999899</v>
      </c>
      <c r="AF5959">
        <v>-6.5374075575910702</v>
      </c>
      <c r="AG5959">
        <v>-1.1199444200799999</v>
      </c>
      <c r="AH5959">
        <v>19.5176585433192</v>
      </c>
      <c r="AI5959">
        <v>93.114395730090806</v>
      </c>
      <c r="AJ5959">
        <v>108.518188795307</v>
      </c>
      <c r="AK5959">
        <v>20.613853790393399</v>
      </c>
      <c r="AL5959">
        <v>80.033590100802499</v>
      </c>
      <c r="AM5959">
        <v>107.150403545804</v>
      </c>
      <c r="AN5959">
        <v>1.0000000197736001</v>
      </c>
    </row>
    <row r="5960" spans="1:40" x14ac:dyDescent="0.25">
      <c r="A5960" t="str">
        <f>"20190304155754662"</f>
        <v>20190304155754662</v>
      </c>
      <c r="B5960" t="str">
        <f>"1551686274651166"</f>
        <v>1551686274651166</v>
      </c>
      <c r="C5960" t="s">
        <v>40</v>
      </c>
      <c r="D5960">
        <v>4.9760390000000001</v>
      </c>
      <c r="E5960">
        <v>0.50282299999999902</v>
      </c>
      <c r="F5960" t="s">
        <v>84</v>
      </c>
      <c r="G5960">
        <v>-294.08229999999998</v>
      </c>
      <c r="H5960" s="1">
        <v>-1.170143E-5</v>
      </c>
      <c r="I5960">
        <v>-63.250399999999999</v>
      </c>
      <c r="J5960">
        <v>-302.22949999999997</v>
      </c>
      <c r="K5960">
        <v>1.120336</v>
      </c>
      <c r="L5960">
        <v>-46.274290000000001</v>
      </c>
      <c r="M5960">
        <v>0.1757042</v>
      </c>
      <c r="N5960">
        <v>-1.0691829999999999E-2</v>
      </c>
      <c r="O5960">
        <v>-0.98438510000000001</v>
      </c>
      <c r="P5960">
        <v>0.4488663</v>
      </c>
      <c r="Q5960">
        <v>0.1687816</v>
      </c>
      <c r="R5960">
        <v>-0.87751469999999898</v>
      </c>
      <c r="S5960">
        <v>1.3177490000000001</v>
      </c>
      <c r="T5960">
        <v>-0.17961189999999999</v>
      </c>
      <c r="U5960">
        <v>-2.7795100000000001</v>
      </c>
      <c r="V5960">
        <v>-0.2922979</v>
      </c>
      <c r="W5960">
        <v>0.17121819999999999</v>
      </c>
      <c r="X5960">
        <v>0.94087520000000002</v>
      </c>
      <c r="Y5960">
        <v>-0.2623492</v>
      </c>
      <c r="Z5960">
        <v>4.8493939999999999E-2</v>
      </c>
      <c r="AA5960">
        <v>0.96375379999999999</v>
      </c>
      <c r="AB5960">
        <v>36</v>
      </c>
      <c r="AC5960">
        <v>8.1471999999999891</v>
      </c>
      <c r="AD5960">
        <v>-1.1203477014299901</v>
      </c>
      <c r="AE5960">
        <v>-16.976109999999998</v>
      </c>
      <c r="AF5960">
        <v>-5.01972554151605</v>
      </c>
      <c r="AG5960">
        <v>-1.1203477014299901</v>
      </c>
      <c r="AH5960">
        <v>18.079558724370401</v>
      </c>
      <c r="AI5960">
        <v>93.4170144453674</v>
      </c>
      <c r="AJ5960">
        <v>105.517125957357</v>
      </c>
      <c r="AK5960">
        <v>18.796895146598199</v>
      </c>
      <c r="AL5960">
        <v>80.141344058872804</v>
      </c>
      <c r="AM5960">
        <v>107.258241112928</v>
      </c>
      <c r="AN5960">
        <v>0.99999993816534305</v>
      </c>
    </row>
    <row r="5961" spans="1:40" x14ac:dyDescent="0.25">
      <c r="A5961" t="str">
        <f>"20190304155754691"</f>
        <v>20190304155754691</v>
      </c>
      <c r="B5961" t="str">
        <f>"1551686274680445"</f>
        <v>1551686274680445</v>
      </c>
      <c r="C5961" t="s">
        <v>40</v>
      </c>
      <c r="D5961">
        <v>5.1172760000000004</v>
      </c>
      <c r="E5961">
        <v>0.50380649999999905</v>
      </c>
      <c r="F5961" t="s">
        <v>84</v>
      </c>
      <c r="G5961">
        <v>-293.24959999999999</v>
      </c>
      <c r="H5961" s="1">
        <v>-1.17065899999999E-5</v>
      </c>
      <c r="I5961">
        <v>-64.568010000000001</v>
      </c>
      <c r="J5961">
        <v>-302.13760000000002</v>
      </c>
      <c r="K5961">
        <v>1.1208260000000001</v>
      </c>
      <c r="L5961">
        <v>-46.710630000000002</v>
      </c>
      <c r="M5961">
        <v>0.19149730000000001</v>
      </c>
      <c r="N5961">
        <v>-1.1004109999999999E-2</v>
      </c>
      <c r="O5961">
        <v>-0.98143150000000001</v>
      </c>
      <c r="P5961">
        <v>0.4653738</v>
      </c>
      <c r="Q5961">
        <v>0.168206299999999</v>
      </c>
      <c r="R5961">
        <v>-0.86898449999999905</v>
      </c>
      <c r="S5961">
        <v>1.3541259999999999</v>
      </c>
      <c r="T5961">
        <v>-0.16894319999999999</v>
      </c>
      <c r="U5961">
        <v>-2.7586059999999999</v>
      </c>
      <c r="V5961">
        <v>-0.29513830000000002</v>
      </c>
      <c r="W5961">
        <v>0.17051769999999999</v>
      </c>
      <c r="X5961">
        <v>0.94011549999999999</v>
      </c>
      <c r="Y5961">
        <v>-0.260042</v>
      </c>
      <c r="Z5961">
        <v>4.4761420000000003E-2</v>
      </c>
      <c r="AA5961">
        <v>0.96455930000000001</v>
      </c>
      <c r="AB5961">
        <v>36</v>
      </c>
      <c r="AC5961">
        <v>8.8880000000000301</v>
      </c>
      <c r="AD5961">
        <v>-1.1208377065899999</v>
      </c>
      <c r="AE5961">
        <v>-17.857379999999999</v>
      </c>
      <c r="AF5961">
        <v>-5.2869509280957399</v>
      </c>
      <c r="AG5961">
        <v>-1.1208377065899999</v>
      </c>
      <c r="AH5961">
        <v>19.168463940923999</v>
      </c>
      <c r="AI5961">
        <v>93.226247305593304</v>
      </c>
      <c r="AJ5961">
        <v>105.419658058276</v>
      </c>
      <c r="AK5961">
        <v>19.9157760866884</v>
      </c>
      <c r="AL5961">
        <v>80.182079691742203</v>
      </c>
      <c r="AM5961">
        <v>107.42907277945299</v>
      </c>
      <c r="AN5961">
        <v>1.0000000277402099</v>
      </c>
    </row>
    <row r="5962" spans="1:40" x14ac:dyDescent="0.25">
      <c r="A5962" t="str">
        <f>"20190304155754715"</f>
        <v>20190304155754715</v>
      </c>
      <c r="B5962" t="str">
        <f>"1551686274710702"</f>
        <v>1551686274710702</v>
      </c>
      <c r="C5962" t="s">
        <v>40</v>
      </c>
      <c r="D5962">
        <v>5.0097589999999999</v>
      </c>
      <c r="E5962">
        <v>0.50477030000000001</v>
      </c>
      <c r="F5962" t="s">
        <v>84</v>
      </c>
      <c r="G5962">
        <v>-292.6429</v>
      </c>
      <c r="H5962" s="1">
        <v>-1.1635599999999999E-5</v>
      </c>
      <c r="I5962">
        <v>-65.294069999999905</v>
      </c>
      <c r="J5962">
        <v>-302.05279999999999</v>
      </c>
      <c r="K5962">
        <v>1.1212329999999999</v>
      </c>
      <c r="L5962">
        <v>-47.081209999999999</v>
      </c>
      <c r="M5962">
        <v>0.20545920000000001</v>
      </c>
      <c r="N5962">
        <v>-1.1288690000000001E-2</v>
      </c>
      <c r="O5962">
        <v>-0.97860060000000004</v>
      </c>
      <c r="P5962">
        <v>0.48048669999999999</v>
      </c>
      <c r="Q5962">
        <v>0.16780210000000001</v>
      </c>
      <c r="R5962">
        <v>-0.86079910000000004</v>
      </c>
      <c r="S5962">
        <v>1.3977360000000001</v>
      </c>
      <c r="T5962">
        <v>-0.1650016</v>
      </c>
      <c r="U5962">
        <v>-2.7357179999999999</v>
      </c>
      <c r="V5962">
        <v>-0.29831859999999999</v>
      </c>
      <c r="W5962">
        <v>0.17000279999999901</v>
      </c>
      <c r="X5962">
        <v>0.9392045</v>
      </c>
      <c r="Y5962">
        <v>-0.2617737</v>
      </c>
      <c r="Z5962">
        <v>4.3231970000000002E-2</v>
      </c>
      <c r="AA5962">
        <v>0.96416049999999998</v>
      </c>
      <c r="AB5962">
        <v>36</v>
      </c>
      <c r="AC5962">
        <v>9.4098999999999897</v>
      </c>
      <c r="AD5962">
        <v>-1.1212446356000001</v>
      </c>
      <c r="AE5962">
        <v>-18.2128599999999</v>
      </c>
      <c r="AF5962">
        <v>-5.45057696705803</v>
      </c>
      <c r="AG5962">
        <v>-1.1212446356000001</v>
      </c>
      <c r="AH5962">
        <v>19.698795822251402</v>
      </c>
      <c r="AI5962">
        <v>93.139995245586903</v>
      </c>
      <c r="AJ5962">
        <v>105.466550765032</v>
      </c>
      <c r="AK5962">
        <v>20.469697986375699</v>
      </c>
      <c r="AL5962">
        <v>80.212018303211195</v>
      </c>
      <c r="AM5962">
        <v>107.621358129771</v>
      </c>
      <c r="AN5962">
        <v>1.0000000159670199</v>
      </c>
    </row>
    <row r="5963" spans="1:40" x14ac:dyDescent="0.25">
      <c r="A5963" t="str">
        <f>"20190304155754739"</f>
        <v>20190304155754739</v>
      </c>
      <c r="B5963" t="str">
        <f>"1551686274731198"</f>
        <v>1551686274731198</v>
      </c>
      <c r="C5963" t="s">
        <v>40</v>
      </c>
      <c r="D5963">
        <v>5.0120329999999997</v>
      </c>
      <c r="E5963">
        <v>0.50528399999999996</v>
      </c>
      <c r="F5963" t="s">
        <v>84</v>
      </c>
      <c r="G5963">
        <v>-292.79939999999999</v>
      </c>
      <c r="H5963" s="1">
        <v>-1.155385E-5</v>
      </c>
      <c r="I5963">
        <v>-64.572559999999996</v>
      </c>
      <c r="J5963">
        <v>-301.96319999999997</v>
      </c>
      <c r="K5963">
        <v>1.1216170000000001</v>
      </c>
      <c r="L5963">
        <v>-47.448300000000003</v>
      </c>
      <c r="M5963">
        <v>0.21968979999999999</v>
      </c>
      <c r="N5963">
        <v>-1.157497E-2</v>
      </c>
      <c r="O5963">
        <v>-0.97550099999999995</v>
      </c>
      <c r="P5963">
        <v>0.49526110000000001</v>
      </c>
      <c r="Q5963">
        <v>0.16645170000000001</v>
      </c>
      <c r="R5963">
        <v>-0.85264889999999904</v>
      </c>
      <c r="S5963">
        <v>1.4372560000000001</v>
      </c>
      <c r="T5963">
        <v>-0.17415429999999901</v>
      </c>
      <c r="U5963">
        <v>-2.7167970000000001</v>
      </c>
      <c r="V5963">
        <v>-0.300904</v>
      </c>
      <c r="W5963">
        <v>0.1685741</v>
      </c>
      <c r="X5963">
        <v>0.9386371</v>
      </c>
      <c r="Y5963">
        <v>-0.26139449999999997</v>
      </c>
      <c r="Z5963">
        <v>4.5905960000000003E-2</v>
      </c>
      <c r="AA5963">
        <v>0.96413979999999999</v>
      </c>
      <c r="AB5963">
        <v>36</v>
      </c>
      <c r="AC5963">
        <v>9.1637999999999806</v>
      </c>
      <c r="AD5963">
        <v>-1.1216285538499999</v>
      </c>
      <c r="AE5963">
        <v>-17.1242599999999</v>
      </c>
      <c r="AF5963">
        <v>-5.1604077507802497</v>
      </c>
      <c r="AG5963">
        <v>-1.1216285538499999</v>
      </c>
      <c r="AH5963">
        <v>18.6569593726555</v>
      </c>
      <c r="AI5963">
        <v>93.3161761965777</v>
      </c>
      <c r="AJ5963">
        <v>105.461138375472</v>
      </c>
      <c r="AK5963">
        <v>19.389945636851099</v>
      </c>
      <c r="AL5963">
        <v>80.295075681298499</v>
      </c>
      <c r="AM5963">
        <v>107.774574285367</v>
      </c>
      <c r="AN5963">
        <v>1.0000000249515999</v>
      </c>
    </row>
    <row r="5964" spans="1:40" x14ac:dyDescent="0.25">
      <c r="A5964" t="str">
        <f>"20190304155754763"</f>
        <v>20190304155754763</v>
      </c>
      <c r="B5964" t="str">
        <f>"1551686274750720"</f>
        <v>1551686274750720</v>
      </c>
      <c r="C5964" t="s">
        <v>40</v>
      </c>
      <c r="D5964">
        <v>5.0125080000000004</v>
      </c>
      <c r="E5964">
        <v>0.50602930000000002</v>
      </c>
      <c r="F5964" t="s">
        <v>84</v>
      </c>
      <c r="G5964">
        <v>-292.67989999999998</v>
      </c>
      <c r="H5964" s="1">
        <v>-1.147213E-5</v>
      </c>
      <c r="I5964">
        <v>-64.354079999999996</v>
      </c>
      <c r="J5964">
        <v>-301.86919999999998</v>
      </c>
      <c r="K5964">
        <v>1.1219870000000001</v>
      </c>
      <c r="L5964">
        <v>-47.809939999999997</v>
      </c>
      <c r="M5964">
        <v>0.2341048</v>
      </c>
      <c r="N5964">
        <v>-1.1864309999999999E-2</v>
      </c>
      <c r="O5964">
        <v>-0.97213910000000003</v>
      </c>
      <c r="P5964">
        <v>0.5108625</v>
      </c>
      <c r="Q5964">
        <v>0.16517409999999999</v>
      </c>
      <c r="R5964">
        <v>-0.84364519999999998</v>
      </c>
      <c r="S5964">
        <v>1.4793400000000001</v>
      </c>
      <c r="T5964">
        <v>-0.1787378</v>
      </c>
      <c r="U5964">
        <v>-2.6940309999999998</v>
      </c>
      <c r="V5964">
        <v>-0.304336</v>
      </c>
      <c r="W5964">
        <v>0.16720009999999999</v>
      </c>
      <c r="X5964">
        <v>0.93777600000000005</v>
      </c>
      <c r="Y5964">
        <v>-0.26208360000000003</v>
      </c>
      <c r="Z5964">
        <v>4.7111050000000002E-2</v>
      </c>
      <c r="AA5964">
        <v>0.96389449999999999</v>
      </c>
      <c r="AB5964">
        <v>36</v>
      </c>
      <c r="AC5964">
        <v>9.1892999999999994</v>
      </c>
      <c r="AD5964">
        <v>-1.12199847213</v>
      </c>
      <c r="AE5964">
        <v>-16.544139999999999</v>
      </c>
      <c r="AF5964">
        <v>-5.0428455179735003</v>
      </c>
      <c r="AG5964">
        <v>-1.12199847213</v>
      </c>
      <c r="AH5964">
        <v>18.171872866628799</v>
      </c>
      <c r="AI5964">
        <v>93.404815078960794</v>
      </c>
      <c r="AJ5964">
        <v>105.50977598930901</v>
      </c>
      <c r="AK5964">
        <v>18.891959532312299</v>
      </c>
      <c r="AL5964">
        <v>80.3749338177185</v>
      </c>
      <c r="AM5964">
        <v>107.979777254333</v>
      </c>
      <c r="AN5964">
        <v>1.000000050256</v>
      </c>
    </row>
    <row r="5965" spans="1:40" x14ac:dyDescent="0.25">
      <c r="A5965" t="str">
        <f>"20190304155754785"</f>
        <v>20190304155754785</v>
      </c>
      <c r="B5965" t="str">
        <f>"1551686274780974"</f>
        <v>1551686274780974</v>
      </c>
      <c r="C5965" t="s">
        <v>40</v>
      </c>
      <c r="D5965">
        <v>5.0149819999999998</v>
      </c>
      <c r="E5965">
        <v>0.50762949999999996</v>
      </c>
      <c r="F5965" t="s">
        <v>84</v>
      </c>
      <c r="G5965">
        <v>-292.52929999999998</v>
      </c>
      <c r="H5965" s="1">
        <v>-1.138792E-5</v>
      </c>
      <c r="I5965">
        <v>-64.178889999999996</v>
      </c>
      <c r="J5965">
        <v>-301.77300000000002</v>
      </c>
      <c r="K5965">
        <v>1.1223350000000001</v>
      </c>
      <c r="L5965">
        <v>-48.158569999999997</v>
      </c>
      <c r="M5965">
        <v>0.24838660000000001</v>
      </c>
      <c r="N5965">
        <v>-1.215599E-2</v>
      </c>
      <c r="O5965">
        <v>-0.96858469999999997</v>
      </c>
      <c r="P5965">
        <v>0.52602660000000001</v>
      </c>
      <c r="Q5965">
        <v>0.16598579999999999</v>
      </c>
      <c r="R5965">
        <v>-0.8341134</v>
      </c>
      <c r="S5965">
        <v>1.5231629999999901</v>
      </c>
      <c r="T5965">
        <v>-0.18297649999999999</v>
      </c>
      <c r="U5965">
        <v>-2.6694640000000001</v>
      </c>
      <c r="V5965">
        <v>-0.30769639999999998</v>
      </c>
      <c r="W5965">
        <v>0.16792309999999999</v>
      </c>
      <c r="X5965">
        <v>0.93654939999999998</v>
      </c>
      <c r="Y5965">
        <v>-0.26360440000000002</v>
      </c>
      <c r="Z5965">
        <v>4.8198320000000003E-2</v>
      </c>
      <c r="AA5965">
        <v>0.963426</v>
      </c>
      <c r="AB5965">
        <v>36</v>
      </c>
      <c r="AC5965">
        <v>9.2436999999999898</v>
      </c>
      <c r="AD5965">
        <v>-1.12234638792</v>
      </c>
      <c r="AE5965">
        <v>-16.020319999999899</v>
      </c>
      <c r="AF5965">
        <v>-4.9561915510406198</v>
      </c>
      <c r="AG5965">
        <v>-1.12234638792</v>
      </c>
      <c r="AH5965">
        <v>17.749009323617599</v>
      </c>
      <c r="AI5965">
        <v>93.485260396300802</v>
      </c>
      <c r="AJ5965">
        <v>105.601734209208</v>
      </c>
      <c r="AK5965">
        <v>18.462145814475299</v>
      </c>
      <c r="AL5965">
        <v>80.332914500850507</v>
      </c>
      <c r="AM5965">
        <v>108.187556263662</v>
      </c>
      <c r="AN5965">
        <v>1.0000000103634601</v>
      </c>
    </row>
    <row r="5966" spans="1:40" x14ac:dyDescent="0.25">
      <c r="A5966" t="str">
        <f>"20190304155754816"</f>
        <v>20190304155754816</v>
      </c>
      <c r="B5966" t="str">
        <f>"1551686274810254"</f>
        <v>1551686274810254</v>
      </c>
      <c r="C5966" t="s">
        <v>40</v>
      </c>
      <c r="D5966">
        <v>4.9535359999999997</v>
      </c>
      <c r="E5966">
        <v>0.50951639999999998</v>
      </c>
      <c r="F5966" t="s">
        <v>84</v>
      </c>
      <c r="G5966">
        <v>-291.93869999999998</v>
      </c>
      <c r="H5966" s="1">
        <v>-1.131186E-5</v>
      </c>
      <c r="I5966">
        <v>-64.848510000000005</v>
      </c>
      <c r="J5966">
        <v>-301.64510000000001</v>
      </c>
      <c r="K5966">
        <v>1.1227799999999999</v>
      </c>
      <c r="L5966">
        <v>-48.591799999999999</v>
      </c>
      <c r="M5966">
        <v>0.26671280000000003</v>
      </c>
      <c r="N5966">
        <v>-1.253901E-2</v>
      </c>
      <c r="O5966">
        <v>-0.96369459999999996</v>
      </c>
      <c r="P5966">
        <v>0.54598359999999901</v>
      </c>
      <c r="Q5966">
        <v>0.1709987</v>
      </c>
      <c r="R5966">
        <v>-0.82015959999999999</v>
      </c>
      <c r="S5966">
        <v>1.560333</v>
      </c>
      <c r="T5966">
        <v>-0.1780745</v>
      </c>
      <c r="U5966">
        <v>-2.6480709999999998</v>
      </c>
      <c r="V5966">
        <v>-0.31313159999999901</v>
      </c>
      <c r="W5966">
        <v>0.172785299999999</v>
      </c>
      <c r="X5966">
        <v>0.93385960000000001</v>
      </c>
      <c r="Y5966">
        <v>-0.25879790000000003</v>
      </c>
      <c r="Z5966">
        <v>4.6151049999999999E-2</v>
      </c>
      <c r="AA5966">
        <v>0.96482829999999997</v>
      </c>
      <c r="AB5966">
        <v>35</v>
      </c>
      <c r="AC5966">
        <v>9.7064000000000306</v>
      </c>
      <c r="AD5966">
        <v>-1.1227913118599999</v>
      </c>
      <c r="AE5966">
        <v>-16.256710000000002</v>
      </c>
      <c r="AF5966">
        <v>-5.0009405999326004</v>
      </c>
      <c r="AG5966">
        <v>-1.1227913118599999</v>
      </c>
      <c r="AH5966">
        <v>18.192782382910199</v>
      </c>
      <c r="AI5966">
        <v>93.405594172285902</v>
      </c>
      <c r="AJ5966">
        <v>105.37017689185799</v>
      </c>
      <c r="AK5966">
        <v>18.900989340401502</v>
      </c>
      <c r="AL5966">
        <v>80.050197612049402</v>
      </c>
      <c r="AM5966">
        <v>108.536769931202</v>
      </c>
      <c r="AN5966">
        <v>0.99999995566340405</v>
      </c>
    </row>
    <row r="5967" spans="1:40" x14ac:dyDescent="0.25">
      <c r="A5967" t="str">
        <f>"20190304155754843"</f>
        <v>20190304155754843</v>
      </c>
      <c r="B5967" t="str">
        <f>"1551686274840510"</f>
        <v>1551686274840510</v>
      </c>
      <c r="C5967" t="s">
        <v>40</v>
      </c>
      <c r="D5967">
        <v>4.9945570000000004</v>
      </c>
      <c r="E5967">
        <v>0.52768119999999996</v>
      </c>
      <c r="F5967" t="s">
        <v>84</v>
      </c>
      <c r="G5967">
        <v>-290.4504</v>
      </c>
      <c r="H5967" s="1">
        <v>-1.116143E-5</v>
      </c>
      <c r="I5967">
        <v>-66.75658</v>
      </c>
      <c r="J5967">
        <v>-301.51170000000002</v>
      </c>
      <c r="K5967">
        <v>1.1231880000000001</v>
      </c>
      <c r="L5967">
        <v>-49.012819999999998</v>
      </c>
      <c r="M5967">
        <v>0.28509980000000001</v>
      </c>
      <c r="N5967">
        <v>-1.292866E-2</v>
      </c>
      <c r="O5967">
        <v>-0.95841080000000001</v>
      </c>
      <c r="P5967">
        <v>0.56297799999999998</v>
      </c>
      <c r="Q5967">
        <v>0.171826799999999</v>
      </c>
      <c r="R5967">
        <v>-0.80841289999999999</v>
      </c>
      <c r="S5967">
        <v>1.6132200000000001</v>
      </c>
      <c r="T5967">
        <v>-0.16180039999999901</v>
      </c>
      <c r="U5967">
        <v>-2.617645</v>
      </c>
      <c r="V5967">
        <v>-0.31500909999999999</v>
      </c>
      <c r="W5967">
        <v>0.1736104</v>
      </c>
      <c r="X5967">
        <v>0.93307479999999998</v>
      </c>
      <c r="Y5967">
        <v>-0.25960070000000002</v>
      </c>
      <c r="Z5967">
        <v>4.0456829999999999E-2</v>
      </c>
      <c r="AA5967">
        <v>0.96486819999999895</v>
      </c>
      <c r="AB5967">
        <v>35</v>
      </c>
      <c r="AC5967">
        <v>11.061299999999999</v>
      </c>
      <c r="AD5967">
        <v>-1.1231991614300001</v>
      </c>
      <c r="AE5967">
        <v>-17.743760000000002</v>
      </c>
      <c r="AF5967">
        <v>-5.52704040839245</v>
      </c>
      <c r="AG5967">
        <v>-1.1231991614300001</v>
      </c>
      <c r="AH5967">
        <v>20.1030576699448</v>
      </c>
      <c r="AI5967">
        <v>93.083716173826602</v>
      </c>
      <c r="AJ5967">
        <v>105.37280536407</v>
      </c>
      <c r="AK5967">
        <v>20.879240400775299</v>
      </c>
      <c r="AL5967">
        <v>80.002197310980605</v>
      </c>
      <c r="AM5967">
        <v>108.654850266426</v>
      </c>
      <c r="AN5967">
        <v>0.99999994323300301</v>
      </c>
    </row>
    <row r="5968" spans="1:40" x14ac:dyDescent="0.25">
      <c r="A5968" t="str">
        <f>"20190304155754881"</f>
        <v>20190304155754881</v>
      </c>
      <c r="B5968" t="str">
        <f>"1551686274870765"</f>
        <v>1551686274870765</v>
      </c>
      <c r="C5968" t="s">
        <v>40</v>
      </c>
      <c r="D5968">
        <v>5.0195780000000001</v>
      </c>
      <c r="E5968">
        <v>0.53143499999999999</v>
      </c>
      <c r="F5968" t="s">
        <v>84</v>
      </c>
      <c r="G5968">
        <v>-289.09480000000002</v>
      </c>
      <c r="H5968">
        <v>2.041084E-2</v>
      </c>
      <c r="I5968">
        <v>-70.383740000000003</v>
      </c>
      <c r="J5968">
        <v>-301.32319999999999</v>
      </c>
      <c r="K5968">
        <v>1.1236980000000001</v>
      </c>
      <c r="L5968">
        <v>-49.563749999999999</v>
      </c>
      <c r="M5968">
        <v>0.30999409999999999</v>
      </c>
      <c r="N5968">
        <v>-1.344383E-2</v>
      </c>
      <c r="O5968">
        <v>-0.95064360000000003</v>
      </c>
      <c r="P5968">
        <v>0.58537169999999905</v>
      </c>
      <c r="Q5968">
        <v>0.1720139</v>
      </c>
      <c r="R5968">
        <v>-0.79230800000000001</v>
      </c>
      <c r="S5968">
        <v>1.5471189999999999</v>
      </c>
      <c r="T5968">
        <v>-0.13740269999999999</v>
      </c>
      <c r="U5968">
        <v>-2.66275</v>
      </c>
      <c r="V5968">
        <v>-0.3170248</v>
      </c>
      <c r="W5968">
        <v>0.1738297</v>
      </c>
      <c r="X5968">
        <v>0.93235109999999999</v>
      </c>
      <c r="Y5968">
        <v>-0.20923040000000001</v>
      </c>
      <c r="Z5968">
        <v>3.1508920000000003E-2</v>
      </c>
      <c r="AA5968">
        <v>0.97735859999999997</v>
      </c>
      <c r="AB5968">
        <v>35</v>
      </c>
      <c r="AC5968">
        <v>12.228399999999899</v>
      </c>
      <c r="AD5968">
        <v>-1.1032871599999901</v>
      </c>
      <c r="AE5968">
        <v>-20.819990000000001</v>
      </c>
      <c r="AF5968">
        <v>-5.16046820550436</v>
      </c>
      <c r="AG5968">
        <v>-1.1032871599999901</v>
      </c>
      <c r="AH5968">
        <v>23.5361091967834</v>
      </c>
      <c r="AI5968">
        <v>92.621665900618595</v>
      </c>
      <c r="AJ5968">
        <v>102.366833479932</v>
      </c>
      <c r="AK5968">
        <v>24.1204500534371</v>
      </c>
      <c r="AL5968">
        <v>79.989439234797899</v>
      </c>
      <c r="AM5968">
        <v>108.77943380616</v>
      </c>
      <c r="AN5968">
        <v>1.0000000310441599</v>
      </c>
    </row>
    <row r="5969" spans="1:40" x14ac:dyDescent="0.25">
      <c r="A5969" t="str">
        <f>"20190304155754909"</f>
        <v>20190304155754909</v>
      </c>
      <c r="B5969" t="str">
        <f>"1551686274901022"</f>
        <v>1551686274901022</v>
      </c>
      <c r="C5969" t="s">
        <v>40</v>
      </c>
      <c r="D5969">
        <v>5.1532410000000004</v>
      </c>
      <c r="E5969">
        <v>0.53121779999999996</v>
      </c>
      <c r="F5969" t="s">
        <v>84</v>
      </c>
      <c r="G5969">
        <v>-288.61470000000003</v>
      </c>
      <c r="H5969">
        <v>7.9986570000000007E-2</v>
      </c>
      <c r="I5969">
        <v>-70.549260000000004</v>
      </c>
      <c r="J5969">
        <v>-301.1721</v>
      </c>
      <c r="K5969">
        <v>1.124074</v>
      </c>
      <c r="L5969">
        <v>-49.974760000000003</v>
      </c>
      <c r="M5969">
        <v>0.32913809999999999</v>
      </c>
      <c r="N5969">
        <v>-1.3835389999999999E-2</v>
      </c>
      <c r="O5969">
        <v>-0.94418060000000004</v>
      </c>
      <c r="P5969">
        <v>0.60129759999999999</v>
      </c>
      <c r="Q5969">
        <v>0.17299709999999999</v>
      </c>
      <c r="R5969">
        <v>-0.78007289999999996</v>
      </c>
      <c r="S5969">
        <v>1.5961000000000001</v>
      </c>
      <c r="T5969">
        <v>-0.13108229999999901</v>
      </c>
      <c r="U5969">
        <v>-2.6356199999999999</v>
      </c>
      <c r="V5969">
        <v>-0.317334</v>
      </c>
      <c r="W5969">
        <v>0.17489979999999999</v>
      </c>
      <c r="X5969">
        <v>0.93204569999999998</v>
      </c>
      <c r="Y5969">
        <v>-0.2072688</v>
      </c>
      <c r="Z5969">
        <v>2.902335E-2</v>
      </c>
      <c r="AA5969">
        <v>0.97785339999999998</v>
      </c>
      <c r="AB5969">
        <v>35</v>
      </c>
      <c r="AC5969">
        <v>12.5573999999999</v>
      </c>
      <c r="AD5969">
        <v>-1.04408743</v>
      </c>
      <c r="AE5969">
        <v>-20.5745</v>
      </c>
      <c r="AF5969">
        <v>-5.0755643398932397</v>
      </c>
      <c r="AG5969">
        <v>-1.04408743</v>
      </c>
      <c r="AH5969">
        <v>23.517288859975299</v>
      </c>
      <c r="AI5969">
        <v>92.484927547920904</v>
      </c>
      <c r="AJ5969">
        <v>102.17892611398401</v>
      </c>
      <c r="AK5969">
        <v>24.081410823566699</v>
      </c>
      <c r="AL5969">
        <v>79.927172830280099</v>
      </c>
      <c r="AM5969">
        <v>108.802190422346</v>
      </c>
      <c r="AN5969">
        <v>0.99999999724226496</v>
      </c>
    </row>
    <row r="5970" spans="1:40" x14ac:dyDescent="0.25">
      <c r="A5970" t="str">
        <f>"20190304155754929"</f>
        <v>20190304155754929</v>
      </c>
      <c r="B5970" t="str">
        <f>"1551686274920541"</f>
        <v>1551686274920541</v>
      </c>
      <c r="C5970" t="s">
        <v>40</v>
      </c>
      <c r="D5970">
        <v>5.0811169999999999</v>
      </c>
      <c r="E5970">
        <v>0.53171840000000004</v>
      </c>
      <c r="F5970" t="s">
        <v>84</v>
      </c>
      <c r="G5970">
        <v>-288.21510000000001</v>
      </c>
      <c r="H5970">
        <v>7.257197E-3</v>
      </c>
      <c r="I5970">
        <v>-70.383740000000003</v>
      </c>
      <c r="J5970">
        <v>-301.05939999999998</v>
      </c>
      <c r="K5970">
        <v>1.124328</v>
      </c>
      <c r="L5970">
        <v>-50.264400000000002</v>
      </c>
      <c r="M5970">
        <v>0.34296100000000002</v>
      </c>
      <c r="N5970">
        <v>-1.41178E-2</v>
      </c>
      <c r="O5970">
        <v>-0.93924359999999996</v>
      </c>
      <c r="P5970">
        <v>0.61247339999999995</v>
      </c>
      <c r="Q5970">
        <v>0.17388589999999901</v>
      </c>
      <c r="R5970">
        <v>-0.77112899999999995</v>
      </c>
      <c r="S5970">
        <v>1.6528020000000001</v>
      </c>
      <c r="T5970">
        <v>-0.1424608</v>
      </c>
      <c r="U5970">
        <v>-2.6033629999999999</v>
      </c>
      <c r="V5970">
        <v>-0.31728909999999899</v>
      </c>
      <c r="W5970">
        <v>0.17587429999999901</v>
      </c>
      <c r="X5970">
        <v>0.93187759999999997</v>
      </c>
      <c r="Y5970">
        <v>-0.2135167</v>
      </c>
      <c r="Z5970">
        <v>3.2332699999999999E-2</v>
      </c>
      <c r="AA5970">
        <v>0.97640420000000006</v>
      </c>
      <c r="AB5970">
        <v>35</v>
      </c>
      <c r="AC5970">
        <v>12.844299999999899</v>
      </c>
      <c r="AD5970">
        <v>-1.1170708030000001</v>
      </c>
      <c r="AE5970">
        <v>-20.119340000000001</v>
      </c>
      <c r="AF5970">
        <v>-5.1530063614926496</v>
      </c>
      <c r="AG5970">
        <v>-1.1170708030000001</v>
      </c>
      <c r="AH5970">
        <v>23.253449002419899</v>
      </c>
      <c r="AI5970">
        <v>92.685269320085794</v>
      </c>
      <c r="AJ5970">
        <v>102.494928998769</v>
      </c>
      <c r="AK5970">
        <v>23.8437457679921</v>
      </c>
      <c r="AL5970">
        <v>79.870459048635695</v>
      </c>
      <c r="AM5970">
        <v>108.80286993949601</v>
      </c>
      <c r="AN5970">
        <v>1.00000000188053</v>
      </c>
    </row>
    <row r="5971" spans="1:40" x14ac:dyDescent="0.25">
      <c r="A5971" t="str">
        <f>"20190304155754951"</f>
        <v>20190304155754951</v>
      </c>
      <c r="B5971" t="str">
        <f>"1551686274941038"</f>
        <v>1551686274941038</v>
      </c>
      <c r="C5971" t="s">
        <v>40</v>
      </c>
      <c r="D5971">
        <v>6.0423869999999997</v>
      </c>
      <c r="E5971">
        <v>0.50390840000000003</v>
      </c>
      <c r="F5971" t="s">
        <v>84</v>
      </c>
      <c r="G5971">
        <v>-287.90269999999998</v>
      </c>
      <c r="H5971">
        <v>1.6321430000000001E-2</v>
      </c>
      <c r="I5971">
        <v>-70.383740000000003</v>
      </c>
      <c r="J5971">
        <v>-300.93340000000001</v>
      </c>
      <c r="K5971">
        <v>1.12459</v>
      </c>
      <c r="L5971">
        <v>-50.573610000000002</v>
      </c>
      <c r="M5971">
        <v>0.35801519999999998</v>
      </c>
      <c r="N5971">
        <v>-1.4426319999999999E-2</v>
      </c>
      <c r="O5971">
        <v>-0.9336044</v>
      </c>
      <c r="P5971">
        <v>0.62458279999999999</v>
      </c>
      <c r="Q5971">
        <v>0.1753402</v>
      </c>
      <c r="R5971">
        <v>-0.76102069999999999</v>
      </c>
      <c r="S5971">
        <v>1.688202</v>
      </c>
      <c r="T5971">
        <v>-0.14217340000000001</v>
      </c>
      <c r="U5971">
        <v>-2.581604</v>
      </c>
      <c r="V5971">
        <v>-0.31731969999999998</v>
      </c>
      <c r="W5971">
        <v>0.1774279</v>
      </c>
      <c r="X5971">
        <v>0.93157259999999997</v>
      </c>
      <c r="Y5971">
        <v>-0.21096889999999999</v>
      </c>
      <c r="Z5971">
        <v>3.1842479999999999E-2</v>
      </c>
      <c r="AA5971">
        <v>0.97697400000000001</v>
      </c>
      <c r="AB5971">
        <v>35</v>
      </c>
      <c r="AC5971">
        <v>13.0307</v>
      </c>
      <c r="AD5971">
        <v>-1.1082685699999999</v>
      </c>
      <c r="AE5971">
        <v>-19.810130000000001</v>
      </c>
      <c r="AF5971">
        <v>-5.0626589608133701</v>
      </c>
      <c r="AG5971">
        <v>-1.1082685699999999</v>
      </c>
      <c r="AH5971">
        <v>23.1119316634529</v>
      </c>
      <c r="AI5971">
        <v>92.681865614230304</v>
      </c>
      <c r="AJ5971">
        <v>102.355467162588</v>
      </c>
      <c r="AK5971">
        <v>23.685864142835701</v>
      </c>
      <c r="AL5971">
        <v>79.780021839372196</v>
      </c>
      <c r="AM5971">
        <v>108.810279679598</v>
      </c>
      <c r="AN5971">
        <v>0.99999998038862903</v>
      </c>
    </row>
    <row r="5972" spans="1:40" x14ac:dyDescent="0.25">
      <c r="A5972" t="str">
        <f>"20190304155754974"</f>
        <v>20190304155754974</v>
      </c>
      <c r="B5972" t="str">
        <f>"1551686274970317"</f>
        <v>1551686274970317</v>
      </c>
      <c r="C5972" t="s">
        <v>40</v>
      </c>
      <c r="D5972">
        <v>5.0716489999999999</v>
      </c>
      <c r="E5972">
        <v>0.44990790000000003</v>
      </c>
      <c r="F5972" t="s">
        <v>67</v>
      </c>
      <c r="G5972">
        <v>-268.39429999999999</v>
      </c>
      <c r="H5972">
        <v>3.5135540000000001</v>
      </c>
      <c r="I5972">
        <v>-91.564989999999995</v>
      </c>
      <c r="J5972">
        <v>-300.79770000000002</v>
      </c>
      <c r="K5972">
        <v>1.124844</v>
      </c>
      <c r="L5972">
        <v>-50.890929999999997</v>
      </c>
      <c r="M5972">
        <v>0.37378820000000001</v>
      </c>
      <c r="N5972">
        <v>-1.474498E-2</v>
      </c>
      <c r="O5972">
        <v>-0.92739700000000003</v>
      </c>
      <c r="P5972">
        <v>0.63756880000000005</v>
      </c>
      <c r="Q5972">
        <v>0.17524970000000001</v>
      </c>
      <c r="R5972">
        <v>-0.75019569999999902</v>
      </c>
      <c r="S5972">
        <v>1.8795170000000001</v>
      </c>
      <c r="T5972">
        <v>0.13799169999999999</v>
      </c>
      <c r="U5972">
        <v>-2.367737</v>
      </c>
      <c r="V5972">
        <v>-0.31764300000000001</v>
      </c>
      <c r="W5972">
        <v>0.17743680000000001</v>
      </c>
      <c r="X5972">
        <v>0.93146070000000003</v>
      </c>
      <c r="Y5972">
        <v>-0.28281309999999998</v>
      </c>
      <c r="Z5972">
        <v>-5.7621329999999998E-2</v>
      </c>
      <c r="AA5972">
        <v>0.95744269999999998</v>
      </c>
      <c r="AB5972">
        <v>35</v>
      </c>
      <c r="AC5972">
        <v>32.403399999999998</v>
      </c>
      <c r="AD5972">
        <v>2.3887099999999899</v>
      </c>
      <c r="AE5972">
        <v>-40.674059999999997</v>
      </c>
      <c r="AF5972">
        <v>-14.817680988680699</v>
      </c>
      <c r="AG5972">
        <v>2.3887099999999899</v>
      </c>
      <c r="AH5972">
        <v>49.733489352775003</v>
      </c>
      <c r="AI5972">
        <v>87.364501615076804</v>
      </c>
      <c r="AJ5972">
        <v>106.59098928930101</v>
      </c>
      <c r="AK5972">
        <v>51.948913064172899</v>
      </c>
      <c r="AL5972">
        <v>79.779503521693499</v>
      </c>
      <c r="AM5972">
        <v>108.830197393247</v>
      </c>
      <c r="AN5972">
        <v>0.99999996454386397</v>
      </c>
    </row>
    <row r="5973" spans="1:40" x14ac:dyDescent="0.25">
      <c r="A5973" t="str">
        <f>"20190304155754995"</f>
        <v>20190304155754995</v>
      </c>
      <c r="B5973" t="str">
        <f>"1551686274990814"</f>
        <v>1551686274990814</v>
      </c>
      <c r="C5973" t="s">
        <v>40</v>
      </c>
      <c r="D5973">
        <v>5.0652929999999996</v>
      </c>
      <c r="E5973">
        <v>0.4486482</v>
      </c>
      <c r="F5973" t="s">
        <v>42</v>
      </c>
      <c r="G5973">
        <v>-300.00869999999998</v>
      </c>
      <c r="H5973">
        <v>1.0559270000000001</v>
      </c>
      <c r="I5973">
        <v>-51.623779999999996</v>
      </c>
      <c r="J5973">
        <v>-300.65800000000002</v>
      </c>
      <c r="K5973">
        <v>1.125075</v>
      </c>
      <c r="L5973">
        <v>-51.202849999999998</v>
      </c>
      <c r="M5973">
        <v>0.3895768</v>
      </c>
      <c r="N5973">
        <v>-1.505132E-2</v>
      </c>
      <c r="O5973">
        <v>-0.920871</v>
      </c>
      <c r="P5973">
        <v>0.65042480000000003</v>
      </c>
      <c r="Q5973">
        <v>0.17517199999999999</v>
      </c>
      <c r="R5973">
        <v>-0.73909559999999996</v>
      </c>
      <c r="S5973">
        <v>2.2747190000000002</v>
      </c>
      <c r="T5973">
        <v>-0.19863339999999999</v>
      </c>
      <c r="U5973">
        <v>-2.1121219999999998</v>
      </c>
      <c r="V5973">
        <v>-0.31790740000000001</v>
      </c>
      <c r="W5973">
        <v>0.1774625</v>
      </c>
      <c r="X5973">
        <v>0.93136560000000002</v>
      </c>
      <c r="Y5973">
        <v>-0.40855669999999999</v>
      </c>
      <c r="Z5973">
        <v>5.1554330000000002E-2</v>
      </c>
      <c r="AA5973">
        <v>0.91127579999999997</v>
      </c>
      <c r="AB5973">
        <v>35</v>
      </c>
      <c r="AC5973">
        <v>0.64930000000003896</v>
      </c>
      <c r="AD5973">
        <v>-6.9147999999999904E-2</v>
      </c>
      <c r="AE5973">
        <v>-0.42092999999999797</v>
      </c>
      <c r="AF5973">
        <v>-0.430548029889469</v>
      </c>
      <c r="AG5973">
        <v>-6.9147999999999904E-2</v>
      </c>
      <c r="AH5973">
        <v>0.63557170718435396</v>
      </c>
      <c r="AI5973">
        <v>95.147011350227501</v>
      </c>
      <c r="AJ5973">
        <v>124.114439210195</v>
      </c>
      <c r="AK5973">
        <v>0.77078171158826603</v>
      </c>
      <c r="AL5973">
        <v>79.778007303705806</v>
      </c>
      <c r="AM5973">
        <v>108.846553919298</v>
      </c>
      <c r="AN5973">
        <v>0.999999967372184</v>
      </c>
    </row>
    <row r="5974" spans="1:40" x14ac:dyDescent="0.25">
      <c r="A5974" t="str">
        <f>"20190304155755021"</f>
        <v>20190304155755021</v>
      </c>
      <c r="B5974" t="str">
        <f>"1551686275010334"</f>
        <v>1551686275010334</v>
      </c>
      <c r="C5974" t="s">
        <v>40</v>
      </c>
      <c r="D5974">
        <v>5.0276649999999998</v>
      </c>
      <c r="E5974">
        <v>0.4488007</v>
      </c>
      <c r="F5974" t="s">
        <v>42</v>
      </c>
      <c r="G5974">
        <v>-299.87959999999998</v>
      </c>
      <c r="H5974">
        <v>1.057029</v>
      </c>
      <c r="I5974">
        <v>-51.896259999999998</v>
      </c>
      <c r="J5974">
        <v>-300.49880000000002</v>
      </c>
      <c r="K5974">
        <v>1.1253089999999999</v>
      </c>
      <c r="L5974">
        <v>-51.541559999999997</v>
      </c>
      <c r="M5974">
        <v>0.40703</v>
      </c>
      <c r="N5974">
        <v>-1.536939E-2</v>
      </c>
      <c r="O5974">
        <v>-0.91328540000000002</v>
      </c>
      <c r="P5974">
        <v>0.6653403</v>
      </c>
      <c r="Q5974">
        <v>0.17532130000000001</v>
      </c>
      <c r="R5974">
        <v>-0.72566149999999996</v>
      </c>
      <c r="S5974">
        <v>2.319458</v>
      </c>
      <c r="T5974">
        <v>-0.20274439999999999</v>
      </c>
      <c r="U5974">
        <v>-2.065887</v>
      </c>
      <c r="V5974">
        <v>-0.31928269999999997</v>
      </c>
      <c r="W5974">
        <v>0.17767189999999999</v>
      </c>
      <c r="X5974">
        <v>0.93085510000000005</v>
      </c>
      <c r="Y5974">
        <v>-0.41001110000000002</v>
      </c>
      <c r="Z5974">
        <v>5.2520860000000003E-2</v>
      </c>
      <c r="AA5974">
        <v>0.91056709999999996</v>
      </c>
      <c r="AB5974">
        <v>35</v>
      </c>
      <c r="AC5974">
        <v>0.61920000000003395</v>
      </c>
      <c r="AD5974">
        <v>-6.8280000000000104E-2</v>
      </c>
      <c r="AE5974">
        <v>-0.35470000000000101</v>
      </c>
      <c r="AF5974">
        <v>-0.41736141380217501</v>
      </c>
      <c r="AG5974">
        <v>-6.8280000000000104E-2</v>
      </c>
      <c r="AH5974">
        <v>0.57081728322531999</v>
      </c>
      <c r="AI5974">
        <v>95.515397780233599</v>
      </c>
      <c r="AJ5974">
        <v>126.17295121838799</v>
      </c>
      <c r="AK5974">
        <v>0.710411907951779</v>
      </c>
      <c r="AL5974">
        <v>79.765815978483303</v>
      </c>
      <c r="AM5974">
        <v>108.931935240092</v>
      </c>
      <c r="AN5974">
        <v>0.99999998188245498</v>
      </c>
    </row>
    <row r="5975" spans="1:40" x14ac:dyDescent="0.25">
      <c r="A5975" t="str">
        <f>"20190304155755041"</f>
        <v>20190304155755041</v>
      </c>
      <c r="B5975" t="str">
        <f>"1551686275030830"</f>
        <v>1551686275030830</v>
      </c>
      <c r="C5975" t="s">
        <v>40</v>
      </c>
      <c r="D5975">
        <v>5.0800599999999996</v>
      </c>
      <c r="E5975">
        <v>0.4492756</v>
      </c>
      <c r="F5975" t="s">
        <v>42</v>
      </c>
      <c r="G5975">
        <v>-299.70740000000001</v>
      </c>
      <c r="H5975">
        <v>1.055812</v>
      </c>
      <c r="I5975">
        <v>-52.219270000000002</v>
      </c>
      <c r="J5975">
        <v>-300.35640000000001</v>
      </c>
      <c r="K5975">
        <v>1.1254959999999901</v>
      </c>
      <c r="L5975">
        <v>-51.831240000000001</v>
      </c>
      <c r="M5975">
        <v>0.42220370000000002</v>
      </c>
      <c r="N5975">
        <v>-1.5626080000000001E-2</v>
      </c>
      <c r="O5975">
        <v>-0.90636629999999996</v>
      </c>
      <c r="P5975">
        <v>0.6788727</v>
      </c>
      <c r="Q5975">
        <v>0.17504739999999999</v>
      </c>
      <c r="R5975">
        <v>-0.71308539999999998</v>
      </c>
      <c r="S5975">
        <v>2.3599239999999999</v>
      </c>
      <c r="T5975">
        <v>-0.20720060000000001</v>
      </c>
      <c r="U5975">
        <v>-2.0204469999999999</v>
      </c>
      <c r="V5975">
        <v>-0.3213239</v>
      </c>
      <c r="W5975">
        <v>0.17740529999999999</v>
      </c>
      <c r="X5975">
        <v>0.93020340000000001</v>
      </c>
      <c r="Y5975">
        <v>-0.41257509999999997</v>
      </c>
      <c r="Z5975">
        <v>5.3692179999999999E-2</v>
      </c>
      <c r="AA5975">
        <v>0.90933980000000003</v>
      </c>
      <c r="AB5975">
        <v>35</v>
      </c>
      <c r="AC5975">
        <v>0.64900000000000002</v>
      </c>
      <c r="AD5975">
        <v>-6.9683999999999802E-2</v>
      </c>
      <c r="AE5975">
        <v>-0.38802999999999999</v>
      </c>
      <c r="AF5975">
        <v>-0.42088142680209001</v>
      </c>
      <c r="AG5975">
        <v>-6.9683999999999802E-2</v>
      </c>
      <c r="AH5975">
        <v>0.620514075356982</v>
      </c>
      <c r="AI5975">
        <v>95.309732908481905</v>
      </c>
      <c r="AJ5975">
        <v>124.148205460421</v>
      </c>
      <c r="AK5975">
        <v>0.753017100070837</v>
      </c>
      <c r="AL5975">
        <v>79.781338081678498</v>
      </c>
      <c r="AM5975">
        <v>109.056653870312</v>
      </c>
      <c r="AN5975">
        <v>1.0000000272754199</v>
      </c>
    </row>
    <row r="5976" spans="1:40" x14ac:dyDescent="0.25">
      <c r="A5976" t="str">
        <f>"20190304155755063"</f>
        <v>20190304155755063</v>
      </c>
      <c r="B5976" t="str">
        <f>"1551686275061086"</f>
        <v>1551686275061086</v>
      </c>
      <c r="C5976" t="s">
        <v>40</v>
      </c>
      <c r="D5976">
        <v>5.0610379999999999</v>
      </c>
      <c r="E5976">
        <v>0.45046530000000001</v>
      </c>
      <c r="F5976" t="s">
        <v>42</v>
      </c>
      <c r="G5976">
        <v>-299.54730000000001</v>
      </c>
      <c r="H5976">
        <v>1.0533490000000001</v>
      </c>
      <c r="I5976">
        <v>-52.499809999999997</v>
      </c>
      <c r="J5976">
        <v>-300.20589999999999</v>
      </c>
      <c r="K5976">
        <v>1.125677</v>
      </c>
      <c r="L5976">
        <v>-52.124789999999997</v>
      </c>
      <c r="M5976">
        <v>0.43780580000000002</v>
      </c>
      <c r="N5976">
        <v>-1.5870570000000001E-2</v>
      </c>
      <c r="O5976">
        <v>-0.89892950000000005</v>
      </c>
      <c r="P5976">
        <v>0.69224750000000002</v>
      </c>
      <c r="Q5976">
        <v>0.174986</v>
      </c>
      <c r="R5976">
        <v>-0.70012359999999996</v>
      </c>
      <c r="S5976">
        <v>2.3952330000000002</v>
      </c>
      <c r="T5976">
        <v>-0.21357770000000001</v>
      </c>
      <c r="U5976">
        <v>-1.9791559999999999</v>
      </c>
      <c r="V5976">
        <v>-0.3229322</v>
      </c>
      <c r="W5976">
        <v>0.17736080000000001</v>
      </c>
      <c r="X5976">
        <v>0.9296548</v>
      </c>
      <c r="Y5976">
        <v>-0.41264410000000001</v>
      </c>
      <c r="Z5976">
        <v>5.541575E-2</v>
      </c>
      <c r="AA5976">
        <v>0.90920509999999999</v>
      </c>
      <c r="AB5976">
        <v>35</v>
      </c>
      <c r="AC5976">
        <v>0.65859999999997798</v>
      </c>
      <c r="AD5976">
        <v>-7.2328000000000101E-2</v>
      </c>
      <c r="AE5976">
        <v>-0.37501999999999203</v>
      </c>
      <c r="AF5976">
        <v>-0.42404093434925699</v>
      </c>
      <c r="AG5976">
        <v>-7.2328000000000101E-2</v>
      </c>
      <c r="AH5976">
        <v>0.61988852675794004</v>
      </c>
      <c r="AI5976">
        <v>95.500781667411701</v>
      </c>
      <c r="AJ5976">
        <v>124.37446916347</v>
      </c>
      <c r="AK5976">
        <v>0.75452225891216795</v>
      </c>
      <c r="AL5976">
        <v>79.783929095508</v>
      </c>
      <c r="AM5976">
        <v>109.155583847904</v>
      </c>
      <c r="AN5976">
        <v>1.00000005316825</v>
      </c>
    </row>
    <row r="5977" spans="1:40" x14ac:dyDescent="0.25">
      <c r="A5977" t="str">
        <f>"20190304155755085"</f>
        <v>20190304155755085</v>
      </c>
      <c r="B5977" t="str">
        <f>"1551686275080606"</f>
        <v>1551686275080606</v>
      </c>
      <c r="C5977" t="s">
        <v>40</v>
      </c>
      <c r="D5977">
        <v>5.1630830000000003</v>
      </c>
      <c r="E5977">
        <v>0.45127119999999998</v>
      </c>
      <c r="F5977" t="s">
        <v>84</v>
      </c>
      <c r="G5977">
        <v>-287.9058</v>
      </c>
      <c r="H5977" s="1">
        <v>-4.2849799999999999E-6</v>
      </c>
      <c r="I5977">
        <v>-61.965339999999998</v>
      </c>
      <c r="J5977">
        <v>-300.04790000000003</v>
      </c>
      <c r="K5977">
        <v>1.125856</v>
      </c>
      <c r="L5977">
        <v>-52.419980000000002</v>
      </c>
      <c r="M5977">
        <v>0.4537158</v>
      </c>
      <c r="N5977">
        <v>-1.6099809999999999E-2</v>
      </c>
      <c r="O5977">
        <v>-0.89100109999999999</v>
      </c>
      <c r="P5977">
        <v>0.7055226</v>
      </c>
      <c r="Q5977">
        <v>0.17504400000000001</v>
      </c>
      <c r="R5977">
        <v>-0.68672949999999999</v>
      </c>
      <c r="S5977">
        <v>2.4264830000000002</v>
      </c>
      <c r="T5977">
        <v>-0.2220676</v>
      </c>
      <c r="U5977">
        <v>-1.941284</v>
      </c>
      <c r="V5977">
        <v>-0.32429619999999998</v>
      </c>
      <c r="W5977">
        <v>0.17743629999999999</v>
      </c>
      <c r="X5977">
        <v>0.92916540000000003</v>
      </c>
      <c r="Y5977">
        <v>-0.41069529999999899</v>
      </c>
      <c r="Z5977">
        <v>5.7743009999999997E-2</v>
      </c>
      <c r="AA5977">
        <v>0.90994240000000004</v>
      </c>
      <c r="AB5977">
        <v>35</v>
      </c>
      <c r="AC5977">
        <v>12.142099999999999</v>
      </c>
      <c r="AD5977">
        <v>-1.1258602849799999</v>
      </c>
      <c r="AE5977">
        <v>-9.5453600000000094</v>
      </c>
      <c r="AF5977">
        <v>-6.4542878218598201</v>
      </c>
      <c r="AG5977">
        <v>-1.1258602849799999</v>
      </c>
      <c r="AH5977">
        <v>13.9417215620965</v>
      </c>
      <c r="AI5977">
        <v>94.191296810917706</v>
      </c>
      <c r="AJ5977">
        <v>114.841668580993</v>
      </c>
      <c r="AK5977">
        <v>15.4044471755312</v>
      </c>
      <c r="AL5977">
        <v>79.779533031074394</v>
      </c>
      <c r="AM5977">
        <v>109.239947892293</v>
      </c>
      <c r="AN5977">
        <v>1.0000000032246401</v>
      </c>
    </row>
    <row r="5978" spans="1:40" x14ac:dyDescent="0.25">
      <c r="A5978" t="str">
        <f>"20190304155755111"</f>
        <v>20190304155755111</v>
      </c>
      <c r="B5978" t="str">
        <f>"1551686275101102"</f>
        <v>1551686275101102</v>
      </c>
      <c r="C5978" t="s">
        <v>40</v>
      </c>
      <c r="D5978">
        <v>5.1548119999999997</v>
      </c>
      <c r="E5978">
        <v>0.45225389999999999</v>
      </c>
      <c r="F5978" t="s">
        <v>84</v>
      </c>
      <c r="G5978">
        <v>-287.94490000000002</v>
      </c>
      <c r="H5978" s="1">
        <v>-4.300204E-6</v>
      </c>
      <c r="I5978">
        <v>-61.769159999999999</v>
      </c>
      <c r="J5978">
        <v>-299.85640000000001</v>
      </c>
      <c r="K5978">
        <v>1.1260460000000001</v>
      </c>
      <c r="L5978">
        <v>-52.762210000000003</v>
      </c>
      <c r="M5978">
        <v>0.47241630000000001</v>
      </c>
      <c r="N5978">
        <v>-1.6344609999999999E-2</v>
      </c>
      <c r="O5978">
        <v>-0.88122400000000001</v>
      </c>
      <c r="P5978">
        <v>0.72059229999999996</v>
      </c>
      <c r="Q5978">
        <v>0.17467050000000001</v>
      </c>
      <c r="R5978">
        <v>-0.67099730000000002</v>
      </c>
      <c r="S5978">
        <v>2.4595950000000002</v>
      </c>
      <c r="T5978">
        <v>-0.22880020000000001</v>
      </c>
      <c r="U5978">
        <v>-1.8999630000000001</v>
      </c>
      <c r="V5978">
        <v>-0.32534600000000002</v>
      </c>
      <c r="W5978">
        <v>0.17709610000000001</v>
      </c>
      <c r="X5978">
        <v>0.92886329999999995</v>
      </c>
      <c r="Y5978">
        <v>-0.406862</v>
      </c>
      <c r="Z5978">
        <v>5.9377739999999998E-2</v>
      </c>
      <c r="AA5978">
        <v>0.91155779999999997</v>
      </c>
      <c r="AB5978">
        <v>35</v>
      </c>
      <c r="AC5978">
        <v>11.911499999999901</v>
      </c>
      <c r="AD5978">
        <v>-1.1260503002040001</v>
      </c>
      <c r="AE5978">
        <v>-9.0069499999999998</v>
      </c>
      <c r="AF5978">
        <v>-6.2072103382240904</v>
      </c>
      <c r="AG5978">
        <v>-1.1260503002040001</v>
      </c>
      <c r="AH5978">
        <v>13.489440599343499</v>
      </c>
      <c r="AI5978">
        <v>94.336617798057006</v>
      </c>
      <c r="AJ5978">
        <v>114.709678321639</v>
      </c>
      <c r="AK5978">
        <v>14.891690875947001</v>
      </c>
      <c r="AL5978">
        <v>79.799339090253895</v>
      </c>
      <c r="AM5978">
        <v>109.303444922732</v>
      </c>
      <c r="AN5978">
        <v>1.00000003921904</v>
      </c>
    </row>
    <row r="5979" spans="1:40" x14ac:dyDescent="0.25">
      <c r="A5979" t="str">
        <f>"20190304155755148"</f>
        <v>20190304155755148</v>
      </c>
      <c r="B5979" t="str">
        <f>"1551686275141122"</f>
        <v>1551686275141122</v>
      </c>
      <c r="C5979" t="s">
        <v>40</v>
      </c>
      <c r="D5979">
        <v>5.0589329999999997</v>
      </c>
      <c r="E5979">
        <v>0.46508969999999999</v>
      </c>
      <c r="F5979" t="s">
        <v>42</v>
      </c>
      <c r="G5979">
        <v>-298.96379999999999</v>
      </c>
      <c r="H5979">
        <v>1.0428820000000001</v>
      </c>
      <c r="I5979">
        <v>-53.423870000000001</v>
      </c>
      <c r="J5979">
        <v>-299.5634</v>
      </c>
      <c r="K5979">
        <v>1.1263019999999999</v>
      </c>
      <c r="L5979">
        <v>-53.25385</v>
      </c>
      <c r="M5979">
        <v>0.49978270000000002</v>
      </c>
      <c r="N5979">
        <v>-1.6656580000000001E-2</v>
      </c>
      <c r="O5979">
        <v>-0.865990699999999</v>
      </c>
      <c r="P5979">
        <v>0.74109349999999996</v>
      </c>
      <c r="Q5979">
        <v>0.17676459999999999</v>
      </c>
      <c r="R5979">
        <v>-0.64771519999999905</v>
      </c>
      <c r="S5979">
        <v>2.4964900000000001</v>
      </c>
      <c r="T5979">
        <v>-0.2325866</v>
      </c>
      <c r="U5979">
        <v>-1.8504940000000001</v>
      </c>
      <c r="V5979">
        <v>-0.3256019</v>
      </c>
      <c r="W5979">
        <v>0.1792694</v>
      </c>
      <c r="X5979">
        <v>0.92835650000000003</v>
      </c>
      <c r="Y5979">
        <v>-0.39629910000000002</v>
      </c>
      <c r="Z5979">
        <v>5.970835E-2</v>
      </c>
      <c r="AA5979">
        <v>0.91617789999999999</v>
      </c>
      <c r="AB5979">
        <v>35</v>
      </c>
      <c r="AC5979">
        <v>0.59960000000000901</v>
      </c>
      <c r="AD5979">
        <v>-8.3420000000000202E-2</v>
      </c>
      <c r="AE5979">
        <v>-0.17001999999999301</v>
      </c>
      <c r="AF5979">
        <v>-0.42669079157651302</v>
      </c>
      <c r="AG5979">
        <v>-8.3420000000000202E-2</v>
      </c>
      <c r="AH5979">
        <v>0.43910068961655702</v>
      </c>
      <c r="AI5979">
        <v>97.7586107528886</v>
      </c>
      <c r="AJ5979">
        <v>134.178802160929</v>
      </c>
      <c r="AK5979">
        <v>0.61792664907570305</v>
      </c>
      <c r="AL5979">
        <v>79.672792186992794</v>
      </c>
      <c r="AM5979">
        <v>109.327267518566</v>
      </c>
      <c r="AN5979">
        <v>0.99999995307610801</v>
      </c>
    </row>
    <row r="5980" spans="1:40" x14ac:dyDescent="0.25">
      <c r="A5980" t="str">
        <f>"20190304155755171"</f>
        <v>20190304155755171</v>
      </c>
      <c r="B5980" t="str">
        <f>"1551686275160638"</f>
        <v>1551686275160638</v>
      </c>
      <c r="C5980" t="s">
        <v>40</v>
      </c>
      <c r="D5980">
        <v>5.0516500000000004</v>
      </c>
      <c r="E5980">
        <v>0.46617409999999998</v>
      </c>
      <c r="F5980" t="s">
        <v>84</v>
      </c>
      <c r="G5980">
        <v>-289.97969999999998</v>
      </c>
      <c r="H5980" s="1">
        <v>-9.8090409999999992E-6</v>
      </c>
      <c r="I5980">
        <v>-60.39584</v>
      </c>
      <c r="J5980">
        <v>-299.38720000000001</v>
      </c>
      <c r="K5980">
        <v>1.1264430000000001</v>
      </c>
      <c r="L5980">
        <v>-53.53351</v>
      </c>
      <c r="M5980">
        <v>0.51557989999999998</v>
      </c>
      <c r="N5980">
        <v>-1.681357E-2</v>
      </c>
      <c r="O5980">
        <v>-0.85667649999999995</v>
      </c>
      <c r="P5980">
        <v>0.75234380000000001</v>
      </c>
      <c r="Q5980">
        <v>0.17891119999999999</v>
      </c>
      <c r="R5980">
        <v>-0.63401090000000004</v>
      </c>
      <c r="S5980">
        <v>2.493744</v>
      </c>
      <c r="T5980">
        <v>-0.29307470000000002</v>
      </c>
      <c r="U5980">
        <v>-1.858398</v>
      </c>
      <c r="V5980">
        <v>-0.32532050000000001</v>
      </c>
      <c r="W5980">
        <v>0.18147099999999999</v>
      </c>
      <c r="X5980">
        <v>0.92802739999999995</v>
      </c>
      <c r="Y5980">
        <v>-0.37587969999999998</v>
      </c>
      <c r="Z5980">
        <v>7.7225310000000005E-2</v>
      </c>
      <c r="AA5980">
        <v>0.92344499999999996</v>
      </c>
      <c r="AB5980">
        <v>35</v>
      </c>
      <c r="AC5980">
        <v>9.4075000000000202</v>
      </c>
      <c r="AD5980">
        <v>-1.126452809041</v>
      </c>
      <c r="AE5980">
        <v>-6.86233</v>
      </c>
      <c r="AF5980">
        <v>-4.47982121392966</v>
      </c>
      <c r="AG5980">
        <v>-1.126452809041</v>
      </c>
      <c r="AH5980">
        <v>10.6311440355601</v>
      </c>
      <c r="AI5980">
        <v>95.576842137987001</v>
      </c>
      <c r="AJ5980">
        <v>112.849903767738</v>
      </c>
      <c r="AK5980">
        <v>11.5913294123062</v>
      </c>
      <c r="AL5980">
        <v>79.544546909612194</v>
      </c>
      <c r="AM5980">
        <v>109.318142271848</v>
      </c>
      <c r="AN5980">
        <v>1.0000000033559999</v>
      </c>
    </row>
    <row r="5981" spans="1:40" x14ac:dyDescent="0.25">
      <c r="A5981" t="str">
        <f>"20190304155755193"</f>
        <v>20190304155755193</v>
      </c>
      <c r="B5981" t="str">
        <f>"1551686275190895"</f>
        <v>1551686275190895</v>
      </c>
      <c r="C5981" t="s">
        <v>40</v>
      </c>
      <c r="D5981">
        <v>5.0346989999999998</v>
      </c>
      <c r="E5981">
        <v>0.4677905</v>
      </c>
      <c r="F5981" t="s">
        <v>42</v>
      </c>
      <c r="G5981">
        <v>-298.4298</v>
      </c>
      <c r="H5981">
        <v>1.0232289999999999</v>
      </c>
      <c r="I5981">
        <v>-54.224409999999999</v>
      </c>
      <c r="J5981">
        <v>-299.202</v>
      </c>
      <c r="K5981">
        <v>1.126566</v>
      </c>
      <c r="L5981">
        <v>-53.815159999999999</v>
      </c>
      <c r="M5981">
        <v>0.53166499999999906</v>
      </c>
      <c r="N5981">
        <v>-1.69567999999999E-2</v>
      </c>
      <c r="O5981">
        <v>-0.84678509999999996</v>
      </c>
      <c r="P5981">
        <v>0.76354739999999999</v>
      </c>
      <c r="Q5981">
        <v>0.17975839999999901</v>
      </c>
      <c r="R5981">
        <v>-0.62022790000000005</v>
      </c>
      <c r="S5981">
        <v>2.5200809999999998</v>
      </c>
      <c r="T5981">
        <v>-0.27163910000000002</v>
      </c>
      <c r="U5981">
        <v>-1.817993</v>
      </c>
      <c r="V5981">
        <v>-0.32459130000000003</v>
      </c>
      <c r="W5981">
        <v>0.1823891</v>
      </c>
      <c r="X5981">
        <v>0.92810269999999995</v>
      </c>
      <c r="Y5981">
        <v>-0.37317640000000002</v>
      </c>
      <c r="Z5981">
        <v>7.0198860000000002E-2</v>
      </c>
      <c r="AA5981">
        <v>0.92510079999999995</v>
      </c>
      <c r="AB5981">
        <v>34</v>
      </c>
      <c r="AC5981">
        <v>0.772199999999997</v>
      </c>
      <c r="AD5981">
        <v>-0.103336999999999</v>
      </c>
      <c r="AE5981">
        <v>-0.40925</v>
      </c>
      <c r="AF5981">
        <v>-0.43034944635604</v>
      </c>
      <c r="AG5981">
        <v>-0.103336999999999</v>
      </c>
      <c r="AH5981">
        <v>0.74676661380510301</v>
      </c>
      <c r="AI5981">
        <v>96.836858147346007</v>
      </c>
      <c r="AJ5981">
        <v>119.954147499027</v>
      </c>
      <c r="AK5981">
        <v>0.86806656256412196</v>
      </c>
      <c r="AL5981">
        <v>79.491050409080103</v>
      </c>
      <c r="AM5981">
        <v>109.27659033380399</v>
      </c>
      <c r="AN5981">
        <v>0.99999995879089398</v>
      </c>
    </row>
    <row r="5982" spans="1:40" x14ac:dyDescent="0.25">
      <c r="A5982" t="str">
        <f>"20190304155755216"</f>
        <v>20190304155755216</v>
      </c>
      <c r="B5982" t="str">
        <f>"1551686275210414"</f>
        <v>1551686275210414</v>
      </c>
      <c r="C5982" t="s">
        <v>40</v>
      </c>
      <c r="D5982">
        <v>5.0991619999999998</v>
      </c>
      <c r="E5982">
        <v>0.4691594</v>
      </c>
      <c r="F5982" t="s">
        <v>84</v>
      </c>
      <c r="G5982">
        <v>-288.06259999999997</v>
      </c>
      <c r="H5982" s="1">
        <v>-4.2696240000000004E-6</v>
      </c>
      <c r="I5982">
        <v>-61.608280000000001</v>
      </c>
      <c r="J5982">
        <v>-299.0077</v>
      </c>
      <c r="K5982">
        <v>1.126682</v>
      </c>
      <c r="L5982">
        <v>-54.098719999999901</v>
      </c>
      <c r="M5982">
        <v>0.54801460000000002</v>
      </c>
      <c r="N5982">
        <v>-1.7088039999999999E-2</v>
      </c>
      <c r="O5982">
        <v>-0.83629430000000005</v>
      </c>
      <c r="P5982">
        <v>0.77537679999999998</v>
      </c>
      <c r="Q5982">
        <v>0.18073059999999999</v>
      </c>
      <c r="R5982">
        <v>-0.60508450000000003</v>
      </c>
      <c r="S5982">
        <v>2.5439449999999999</v>
      </c>
      <c r="T5982">
        <v>-0.25728030000000002</v>
      </c>
      <c r="U5982">
        <v>-1.779755</v>
      </c>
      <c r="V5982">
        <v>-0.32472820000000002</v>
      </c>
      <c r="W5982">
        <v>0.18338760000000001</v>
      </c>
      <c r="X5982">
        <v>0.92785810000000002</v>
      </c>
      <c r="Y5982">
        <v>-0.36886869999999999</v>
      </c>
      <c r="Z5982">
        <v>6.5311949999999994E-2</v>
      </c>
      <c r="AA5982">
        <v>0.92718400000000001</v>
      </c>
      <c r="AB5982">
        <v>34</v>
      </c>
      <c r="AC5982">
        <v>10.9451</v>
      </c>
      <c r="AD5982">
        <v>-1.1266862696240001</v>
      </c>
      <c r="AE5982">
        <v>-7.5095600000000102</v>
      </c>
      <c r="AF5982">
        <v>-5.00266781097202</v>
      </c>
      <c r="AG5982">
        <v>-1.1266862696240001</v>
      </c>
      <c r="AH5982">
        <v>12.192225113474301</v>
      </c>
      <c r="AI5982">
        <v>94.886519861053301</v>
      </c>
      <c r="AJ5982">
        <v>112.309138515456</v>
      </c>
      <c r="AK5982">
        <v>13.2267327936542</v>
      </c>
      <c r="AL5982">
        <v>79.432859906917798</v>
      </c>
      <c r="AM5982">
        <v>109.288828527123</v>
      </c>
      <c r="AN5982">
        <v>1.0000000347222999</v>
      </c>
    </row>
    <row r="5983" spans="1:40" x14ac:dyDescent="0.25">
      <c r="A5983" t="str">
        <f>"20190304155755238"</f>
        <v>20190304155755238</v>
      </c>
      <c r="B5983" t="str">
        <f>"1551686275230911"</f>
        <v>1551686275230911</v>
      </c>
      <c r="C5983" t="s">
        <v>40</v>
      </c>
      <c r="D5983">
        <v>5.1164399999999999</v>
      </c>
      <c r="E5983">
        <v>0.4705741</v>
      </c>
      <c r="F5983" t="s">
        <v>84</v>
      </c>
      <c r="G5983">
        <v>-287.6506</v>
      </c>
      <c r="H5983" s="1">
        <v>-4.4477580000000001E-6</v>
      </c>
      <c r="I5983">
        <v>-61.772399999999998</v>
      </c>
      <c r="J5983">
        <v>-298.81819999999999</v>
      </c>
      <c r="K5983">
        <v>1.1267799999999999</v>
      </c>
      <c r="L5983">
        <v>-54.364530000000002</v>
      </c>
      <c r="M5983">
        <v>0.56346799999999997</v>
      </c>
      <c r="N5983">
        <v>-1.720008E-2</v>
      </c>
      <c r="O5983">
        <v>-0.825959</v>
      </c>
      <c r="P5983">
        <v>0.78649029999999998</v>
      </c>
      <c r="Q5983">
        <v>0.18114440000000001</v>
      </c>
      <c r="R5983">
        <v>-0.59044039999999998</v>
      </c>
      <c r="S5983">
        <v>2.5722659999999999</v>
      </c>
      <c r="T5983">
        <v>-0.25518259999999998</v>
      </c>
      <c r="U5983">
        <v>-1.7380070000000001</v>
      </c>
      <c r="V5983">
        <v>-0.32486100000000001</v>
      </c>
      <c r="W5983">
        <v>0.18382209999999999</v>
      </c>
      <c r="X5983">
        <v>0.92772560000000004</v>
      </c>
      <c r="Y5983">
        <v>-0.36671860000000001</v>
      </c>
      <c r="Z5983">
        <v>6.4164819999999997E-2</v>
      </c>
      <c r="AA5983">
        <v>0.92811659999999996</v>
      </c>
      <c r="AB5983">
        <v>34</v>
      </c>
      <c r="AC5983">
        <v>11.167599999999901</v>
      </c>
      <c r="AD5983">
        <v>-1.12678444775799</v>
      </c>
      <c r="AE5983">
        <v>-7.4078699999999902</v>
      </c>
      <c r="AF5983">
        <v>-5.0151731395236396</v>
      </c>
      <c r="AG5983">
        <v>-1.12678444775799</v>
      </c>
      <c r="AH5983">
        <v>12.325877482772899</v>
      </c>
      <c r="AI5983">
        <v>94.839995285965202</v>
      </c>
      <c r="AJ5983">
        <v>112.140504680101</v>
      </c>
      <c r="AK5983">
        <v>13.3547317656117</v>
      </c>
      <c r="AL5983">
        <v>79.4075341098183</v>
      </c>
      <c r="AM5983">
        <v>109.298686027431</v>
      </c>
      <c r="AN5983">
        <v>1.0000000113323799</v>
      </c>
    </row>
    <row r="5984" spans="1:40" x14ac:dyDescent="0.25">
      <c r="A5984" t="str">
        <f>"20190304155755261"</f>
        <v>20190304155755261</v>
      </c>
      <c r="B5984" t="str">
        <f>"1551686275250430"</f>
        <v>1551686275250430</v>
      </c>
      <c r="C5984" t="s">
        <v>40</v>
      </c>
      <c r="D5984">
        <v>5.0747419999999996</v>
      </c>
      <c r="E5984">
        <v>0.47235060000000001</v>
      </c>
      <c r="F5984" t="s">
        <v>84</v>
      </c>
      <c r="G5984">
        <v>-287.18520000000001</v>
      </c>
      <c r="H5984" s="1">
        <v>-4.6472129999999999E-6</v>
      </c>
      <c r="I5984">
        <v>-61.967559999999999</v>
      </c>
      <c r="J5984">
        <v>-298.6225</v>
      </c>
      <c r="K5984">
        <v>1.1268689999999999</v>
      </c>
      <c r="L5984">
        <v>-54.628540000000001</v>
      </c>
      <c r="M5984">
        <v>0.57894639999999997</v>
      </c>
      <c r="N5984">
        <v>-1.730135E-2</v>
      </c>
      <c r="O5984">
        <v>-0.81518210000000002</v>
      </c>
      <c r="P5984">
        <v>0.79732939999999997</v>
      </c>
      <c r="Q5984">
        <v>0.1809577</v>
      </c>
      <c r="R5984">
        <v>-0.57577800000000001</v>
      </c>
      <c r="S5984">
        <v>2.5977480000000002</v>
      </c>
      <c r="T5984">
        <v>-0.2516196</v>
      </c>
      <c r="U5984">
        <v>-1.6978150000000001</v>
      </c>
      <c r="V5984">
        <v>-0.32460850000000002</v>
      </c>
      <c r="W5984">
        <v>0.18367120000000001</v>
      </c>
      <c r="X5984">
        <v>0.92784390000000005</v>
      </c>
      <c r="Y5984">
        <v>-0.3634908</v>
      </c>
      <c r="Z5984">
        <v>6.2556349999999997E-2</v>
      </c>
      <c r="AA5984">
        <v>0.92949510000000002</v>
      </c>
      <c r="AB5984">
        <v>34</v>
      </c>
      <c r="AC5984">
        <v>11.437299999999899</v>
      </c>
      <c r="AD5984">
        <v>-1.1268736472130001</v>
      </c>
      <c r="AE5984">
        <v>-7.3390199999999899</v>
      </c>
      <c r="AF5984">
        <v>-5.04068176569616</v>
      </c>
      <c r="AG5984">
        <v>-1.1268736472130001</v>
      </c>
      <c r="AH5984">
        <v>12.520017637889399</v>
      </c>
      <c r="AI5984">
        <v>94.772720855967293</v>
      </c>
      <c r="AJ5984">
        <v>111.93019886888401</v>
      </c>
      <c r="AK5984">
        <v>13.5436021254637</v>
      </c>
      <c r="AL5984">
        <v>79.416330165949702</v>
      </c>
      <c r="AM5984">
        <v>109.282516587375</v>
      </c>
      <c r="AN5984">
        <v>1.00000004537444</v>
      </c>
    </row>
    <row r="5985" spans="1:40" x14ac:dyDescent="0.25">
      <c r="A5985" t="str">
        <f>"20190304155755283"</f>
        <v>20190304155755283</v>
      </c>
      <c r="B5985" t="str">
        <f>"1551686275280687"</f>
        <v>1551686275280687</v>
      </c>
      <c r="C5985" t="s">
        <v>40</v>
      </c>
      <c r="D5985">
        <v>5.0483779999999996</v>
      </c>
      <c r="E5985">
        <v>0.4856684</v>
      </c>
      <c r="F5985" t="s">
        <v>84</v>
      </c>
      <c r="G5985">
        <v>-286.88510000000002</v>
      </c>
      <c r="H5985" s="1">
        <v>-4.7818100000000004E-6</v>
      </c>
      <c r="I5985">
        <v>-62.059750000000001</v>
      </c>
      <c r="J5985">
        <v>-298.41140000000001</v>
      </c>
      <c r="K5985">
        <v>1.1269530000000001</v>
      </c>
      <c r="L5985">
        <v>-54.90204</v>
      </c>
      <c r="M5985">
        <v>0.59510819999999998</v>
      </c>
      <c r="N5985">
        <v>-1.7397030000000001E-2</v>
      </c>
      <c r="O5985">
        <v>-0.80345759999999999</v>
      </c>
      <c r="P5985">
        <v>0.80833350000000004</v>
      </c>
      <c r="Q5985">
        <v>0.18171850000000001</v>
      </c>
      <c r="R5985">
        <v>-0.55997869999999905</v>
      </c>
      <c r="S5985">
        <v>2.6212460000000002</v>
      </c>
      <c r="T5985">
        <v>-0.25165929999999997</v>
      </c>
      <c r="U5985">
        <v>-1.6595759999999999</v>
      </c>
      <c r="V5985">
        <v>-0.32427440000000002</v>
      </c>
      <c r="W5985">
        <v>0.18446609999999999</v>
      </c>
      <c r="X5985">
        <v>0.92780300000000004</v>
      </c>
      <c r="Y5985">
        <v>-0.3583558</v>
      </c>
      <c r="Z5985">
        <v>6.1911939999999999E-2</v>
      </c>
      <c r="AA5985">
        <v>0.93152990000000002</v>
      </c>
      <c r="AB5985">
        <v>34</v>
      </c>
      <c r="AC5985">
        <v>11.5262999999999</v>
      </c>
      <c r="AD5985">
        <v>-1.1269577818100001</v>
      </c>
      <c r="AE5985">
        <v>-7.1577099999999998</v>
      </c>
      <c r="AF5985">
        <v>-4.9677642537849804</v>
      </c>
      <c r="AG5985">
        <v>-1.1269577818100001</v>
      </c>
      <c r="AH5985">
        <v>12.525801415226001</v>
      </c>
      <c r="AI5985">
        <v>94.780721887326806</v>
      </c>
      <c r="AJ5985">
        <v>111.633401100529</v>
      </c>
      <c r="AK5985">
        <v>13.521997508387701</v>
      </c>
      <c r="AL5985">
        <v>79.369993726140294</v>
      </c>
      <c r="AM5985">
        <v>109.264919800136</v>
      </c>
      <c r="AN5985">
        <v>1.00000001767678</v>
      </c>
    </row>
    <row r="5986" spans="1:40" x14ac:dyDescent="0.25">
      <c r="A5986" t="str">
        <f>"20190304155755306"</f>
        <v>20190304155755306</v>
      </c>
      <c r="B5986" t="str">
        <f>"1551686275300206"</f>
        <v>1551686275300206</v>
      </c>
      <c r="C5986" t="s">
        <v>40</v>
      </c>
      <c r="D5986">
        <v>4.9812240000000001</v>
      </c>
      <c r="E5986">
        <v>0.48787510000000001</v>
      </c>
      <c r="F5986" t="s">
        <v>84</v>
      </c>
      <c r="G5986">
        <v>-286.0607</v>
      </c>
      <c r="H5986" s="1">
        <v>-5.0350040000000002E-6</v>
      </c>
      <c r="I5986">
        <v>-62.967959999999998</v>
      </c>
      <c r="J5986">
        <v>-298.20769999999999</v>
      </c>
      <c r="K5986">
        <v>1.1270340000000001</v>
      </c>
      <c r="L5986">
        <v>-55.155760000000001</v>
      </c>
      <c r="M5986">
        <v>0.61021619999999999</v>
      </c>
      <c r="N5986">
        <v>-1.7478609999999999E-2</v>
      </c>
      <c r="O5986">
        <v>-0.79204209999999997</v>
      </c>
      <c r="P5986">
        <v>0.81852809999999998</v>
      </c>
      <c r="Q5986">
        <v>0.18268380000000001</v>
      </c>
      <c r="R5986">
        <v>-0.54464539999999995</v>
      </c>
      <c r="S5986">
        <v>2.591888</v>
      </c>
      <c r="T5986">
        <v>-0.23649980000000001</v>
      </c>
      <c r="U5986">
        <v>-1.692688</v>
      </c>
      <c r="V5986">
        <v>-0.32409769999999999</v>
      </c>
      <c r="W5986">
        <v>0.18545339999999999</v>
      </c>
      <c r="X5986">
        <v>0.92766789999999999</v>
      </c>
      <c r="Y5986">
        <v>-0.32769599999999999</v>
      </c>
      <c r="Z5986">
        <v>5.6198169999999999E-2</v>
      </c>
      <c r="AA5986">
        <v>0.94311029999999996</v>
      </c>
      <c r="AB5986">
        <v>34</v>
      </c>
      <c r="AC5986">
        <v>12.146999999999901</v>
      </c>
      <c r="AD5986">
        <v>-1.127039035004</v>
      </c>
      <c r="AE5986">
        <v>-7.81219999999999</v>
      </c>
      <c r="AF5986">
        <v>-4.8251615738269198</v>
      </c>
      <c r="AG5986">
        <v>-1.127039035004</v>
      </c>
      <c r="AH5986">
        <v>13.5196330889852</v>
      </c>
      <c r="AI5986">
        <v>94.489230944542598</v>
      </c>
      <c r="AJ5986">
        <v>109.641499487182</v>
      </c>
      <c r="AK5986">
        <v>14.399058304651099</v>
      </c>
      <c r="AL5986">
        <v>79.312432336812506</v>
      </c>
      <c r="AM5986">
        <v>109.25779285265</v>
      </c>
      <c r="AN5986">
        <v>1.00000000770363</v>
      </c>
    </row>
    <row r="5987" spans="1:40" x14ac:dyDescent="0.25">
      <c r="A5987" t="str">
        <f>"20190304155755329"</f>
        <v>20190304155755329</v>
      </c>
      <c r="B5987" t="str">
        <f>"1551686275321209"</f>
        <v>1551686275321209</v>
      </c>
      <c r="C5987" t="s">
        <v>40</v>
      </c>
      <c r="D5987">
        <v>4.9499389999999996</v>
      </c>
      <c r="E5987">
        <v>0.48858479999999999</v>
      </c>
      <c r="F5987" t="s">
        <v>84</v>
      </c>
      <c r="G5987">
        <v>-285.71449999999999</v>
      </c>
      <c r="H5987" s="1">
        <v>-5.1882410000000002E-6</v>
      </c>
      <c r="I5987">
        <v>-63.085680000000004</v>
      </c>
      <c r="J5987">
        <v>-297.98689999999999</v>
      </c>
      <c r="K5987">
        <v>1.1271100000000001</v>
      </c>
      <c r="L5987">
        <v>-55.420099999999998</v>
      </c>
      <c r="M5987">
        <v>0.62607049999999997</v>
      </c>
      <c r="N5987">
        <v>-1.7557070000000001E-2</v>
      </c>
      <c r="O5987">
        <v>-0.77956890000000001</v>
      </c>
      <c r="P5987">
        <v>0.82912699999999995</v>
      </c>
      <c r="Q5987">
        <v>0.18198429999999999</v>
      </c>
      <c r="R5987">
        <v>-0.52861150000000001</v>
      </c>
      <c r="S5987">
        <v>2.6137999999999999</v>
      </c>
      <c r="T5987">
        <v>-0.2357979</v>
      </c>
      <c r="U5987">
        <v>-1.6590879999999999</v>
      </c>
      <c r="V5987">
        <v>-0.32356249999999998</v>
      </c>
      <c r="W5987">
        <v>0.1847955</v>
      </c>
      <c r="X5987">
        <v>0.92798599999999998</v>
      </c>
      <c r="Y5987">
        <v>-0.32089259999999997</v>
      </c>
      <c r="Z5987">
        <v>5.5242819999999998E-2</v>
      </c>
      <c r="AA5987">
        <v>0.94550319999999999</v>
      </c>
      <c r="AB5987">
        <v>34</v>
      </c>
      <c r="AC5987">
        <v>12.272399999999999</v>
      </c>
      <c r="AD5987">
        <v>-1.127115188241</v>
      </c>
      <c r="AE5987">
        <v>-7.6655800000000003</v>
      </c>
      <c r="AF5987">
        <v>-4.7399623066048298</v>
      </c>
      <c r="AG5987">
        <v>-1.127115188241</v>
      </c>
      <c r="AH5987">
        <v>13.578948318877201</v>
      </c>
      <c r="AI5987">
        <v>94.480960661185506</v>
      </c>
      <c r="AJ5987">
        <v>109.242407564644</v>
      </c>
      <c r="AK5987">
        <v>14.4265542927733</v>
      </c>
      <c r="AL5987">
        <v>79.350790615569196</v>
      </c>
      <c r="AM5987">
        <v>109.22222013865</v>
      </c>
      <c r="AN5987">
        <v>1.0000000422112401</v>
      </c>
    </row>
    <row r="5988" spans="1:40" x14ac:dyDescent="0.25">
      <c r="A5988" t="str">
        <f>"20190304155755349"</f>
        <v>20190304155755349</v>
      </c>
      <c r="B5988" t="str">
        <f>"1551686275340729"</f>
        <v>1551686275340729</v>
      </c>
      <c r="C5988" t="s">
        <v>40</v>
      </c>
      <c r="D5988">
        <v>5.0393549999999996</v>
      </c>
      <c r="E5988">
        <v>0.49014279999999999</v>
      </c>
      <c r="F5988" t="s">
        <v>84</v>
      </c>
      <c r="G5988">
        <v>-285.82380000000001</v>
      </c>
      <c r="H5988" s="1">
        <v>-5.1777800000000001E-6</v>
      </c>
      <c r="I5988">
        <v>-62.835709999999999</v>
      </c>
      <c r="J5988">
        <v>-297.78140000000002</v>
      </c>
      <c r="K5988">
        <v>1.1271739999999999</v>
      </c>
      <c r="L5988">
        <v>-55.656519999999901</v>
      </c>
      <c r="M5988">
        <v>0.64036139999999997</v>
      </c>
      <c r="N5988">
        <v>-1.7622209999999999E-2</v>
      </c>
      <c r="O5988">
        <v>-0.76787159999999999</v>
      </c>
      <c r="P5988">
        <v>0.83840859999999995</v>
      </c>
      <c r="Q5988">
        <v>0.18116399999999999</v>
      </c>
      <c r="R5988">
        <v>-0.51405339999999999</v>
      </c>
      <c r="S5988">
        <v>2.6442260000000002</v>
      </c>
      <c r="T5988">
        <v>-0.24503</v>
      </c>
      <c r="U5988">
        <v>-1.6121219999999901</v>
      </c>
      <c r="V5988">
        <v>-0.32275789999999999</v>
      </c>
      <c r="W5988">
        <v>0.18402740000000001</v>
      </c>
      <c r="X5988">
        <v>0.92841870000000004</v>
      </c>
      <c r="Y5988">
        <v>-0.3203413</v>
      </c>
      <c r="Z5988">
        <v>5.7286139999999999E-2</v>
      </c>
      <c r="AA5988">
        <v>0.94556850000000003</v>
      </c>
      <c r="AB5988">
        <v>34</v>
      </c>
      <c r="AC5988">
        <v>11.957599999999999</v>
      </c>
      <c r="AD5988">
        <v>-1.12717917778</v>
      </c>
      <c r="AE5988">
        <v>-7.1791900000000002</v>
      </c>
      <c r="AF5988">
        <v>-4.5555825501513798</v>
      </c>
      <c r="AG5988">
        <v>-1.12717917778</v>
      </c>
      <c r="AH5988">
        <v>13.086452877723801</v>
      </c>
      <c r="AI5988">
        <v>94.650504706164298</v>
      </c>
      <c r="AJ5988">
        <v>109.193742435967</v>
      </c>
      <c r="AK5988">
        <v>13.9024858996854</v>
      </c>
      <c r="AL5988">
        <v>79.395567164850902</v>
      </c>
      <c r="AM5988">
        <v>109.169629599636</v>
      </c>
      <c r="AN5988">
        <v>1.00000001423643</v>
      </c>
    </row>
    <row r="5989" spans="1:40" x14ac:dyDescent="0.25">
      <c r="A5989" t="str">
        <f>"20190304155755372"</f>
        <v>20190304155755372</v>
      </c>
      <c r="B5989" t="str">
        <f>"1551686275360250"</f>
        <v>1551686275360250</v>
      </c>
      <c r="C5989" t="s">
        <v>40</v>
      </c>
      <c r="D5989">
        <v>5.0228519999999897</v>
      </c>
      <c r="E5989">
        <v>0.49185190000000001</v>
      </c>
      <c r="F5989" t="s">
        <v>84</v>
      </c>
      <c r="G5989">
        <v>-285.22340000000003</v>
      </c>
      <c r="H5989" s="1">
        <v>-5.4378080000000001E-6</v>
      </c>
      <c r="I5989">
        <v>-63.07208</v>
      </c>
      <c r="J5989">
        <v>-297.55900000000003</v>
      </c>
      <c r="K5989">
        <v>1.1272359999999999</v>
      </c>
      <c r="L5989">
        <v>-55.902070000000002</v>
      </c>
      <c r="M5989">
        <v>0.6553329</v>
      </c>
      <c r="N5989">
        <v>-1.7685630000000001E-2</v>
      </c>
      <c r="O5989">
        <v>-0.75513330000000001</v>
      </c>
      <c r="P5989">
        <v>0.84802199999999905</v>
      </c>
      <c r="Q5989">
        <v>0.18068690000000001</v>
      </c>
      <c r="R5989">
        <v>-0.49820799999999998</v>
      </c>
      <c r="S5989">
        <v>2.665009</v>
      </c>
      <c r="T5989">
        <v>-0.23920569999999999</v>
      </c>
      <c r="U5989">
        <v>-1.5737000000000001</v>
      </c>
      <c r="V5989">
        <v>-0.3220363</v>
      </c>
      <c r="W5989">
        <v>0.18359809999999999</v>
      </c>
      <c r="X5989">
        <v>0.92875419999999997</v>
      </c>
      <c r="Y5989">
        <v>-0.31517600000000001</v>
      </c>
      <c r="Z5989">
        <v>5.4957449999999998E-2</v>
      </c>
      <c r="AA5989">
        <v>0.94744070000000002</v>
      </c>
      <c r="AB5989">
        <v>34</v>
      </c>
      <c r="AC5989">
        <v>12.335599999999999</v>
      </c>
      <c r="AD5989">
        <v>-1.127241437808</v>
      </c>
      <c r="AE5989">
        <v>-7.1700100000000102</v>
      </c>
      <c r="AF5989">
        <v>-4.5883608736066304</v>
      </c>
      <c r="AG5989">
        <v>-1.127241437808</v>
      </c>
      <c r="AH5989">
        <v>13.416604114573699</v>
      </c>
      <c r="AI5989">
        <v>94.545337590590506</v>
      </c>
      <c r="AJ5989">
        <v>108.88023783078999</v>
      </c>
      <c r="AK5989">
        <v>14.2242396890924</v>
      </c>
      <c r="AL5989">
        <v>79.420590484045803</v>
      </c>
      <c r="AM5989">
        <v>109.12348094166001</v>
      </c>
      <c r="AN5989">
        <v>1.00000000242947</v>
      </c>
    </row>
    <row r="5990" spans="1:40" x14ac:dyDescent="0.25">
      <c r="A5990" t="str">
        <f>"20190304155755395"</f>
        <v>20190304155755395</v>
      </c>
      <c r="B5990" t="str">
        <f>"1551686275390519"</f>
        <v>1551686275390519</v>
      </c>
      <c r="C5990" t="s">
        <v>40</v>
      </c>
      <c r="D5990">
        <v>5.1882469999999996</v>
      </c>
      <c r="E5990">
        <v>0.49302360000000001</v>
      </c>
      <c r="F5990" t="s">
        <v>84</v>
      </c>
      <c r="G5990">
        <v>-284.72640000000001</v>
      </c>
      <c r="H5990" s="1">
        <v>-5.6526239999999997E-6</v>
      </c>
      <c r="I5990">
        <v>-63.221699999999998</v>
      </c>
      <c r="J5990">
        <v>-297.33390000000003</v>
      </c>
      <c r="K5990">
        <v>1.1272979999999999</v>
      </c>
      <c r="L5990">
        <v>-56.14096</v>
      </c>
      <c r="M5990">
        <v>0.66999900000000001</v>
      </c>
      <c r="N5990">
        <v>-1.7743789999999999E-2</v>
      </c>
      <c r="O5990">
        <v>-0.74214999999999998</v>
      </c>
      <c r="P5990">
        <v>0.85777499999999995</v>
      </c>
      <c r="Q5990">
        <v>0.18147659999999999</v>
      </c>
      <c r="R5990">
        <v>-0.48092459999999998</v>
      </c>
      <c r="S5990">
        <v>2.6873779999999998</v>
      </c>
      <c r="T5990">
        <v>-0.23606550000000001</v>
      </c>
      <c r="U5990">
        <v>-1.532867</v>
      </c>
      <c r="V5990">
        <v>-0.3225982</v>
      </c>
      <c r="W5990">
        <v>0.18436910000000001</v>
      </c>
      <c r="X5990">
        <v>0.92840639999999997</v>
      </c>
      <c r="Y5990">
        <v>-0.31091629999999998</v>
      </c>
      <c r="Z5990">
        <v>5.3395970000000001E-2</v>
      </c>
      <c r="AA5990">
        <v>0.94893620000000001</v>
      </c>
      <c r="AB5990">
        <v>34</v>
      </c>
      <c r="AC5990">
        <v>12.6075</v>
      </c>
      <c r="AD5990">
        <v>-1.1273036526239999</v>
      </c>
      <c r="AE5990">
        <v>-7.0807399999999898</v>
      </c>
      <c r="AF5990">
        <v>-4.5854234379009302</v>
      </c>
      <c r="AG5990">
        <v>-1.1273036526239999</v>
      </c>
      <c r="AH5990">
        <v>13.621350354973201</v>
      </c>
      <c r="AI5990">
        <v>94.484814978245197</v>
      </c>
      <c r="AJ5990">
        <v>108.605034870875</v>
      </c>
      <c r="AK5990">
        <v>14.4165913836454</v>
      </c>
      <c r="AL5990">
        <v>79.375648254756598</v>
      </c>
      <c r="AM5990">
        <v>109.161071535395</v>
      </c>
      <c r="AN5990">
        <v>1.0000000036195</v>
      </c>
    </row>
    <row r="5991" spans="1:40" x14ac:dyDescent="0.25">
      <c r="A5991" t="str">
        <f>"20190304155755417"</f>
        <v>20190304155755417</v>
      </c>
      <c r="B5991" t="str">
        <f>"1551686275411005"</f>
        <v>1551686275411005</v>
      </c>
      <c r="C5991" t="s">
        <v>40</v>
      </c>
      <c r="D5991">
        <v>4.8873030000000002</v>
      </c>
      <c r="E5991">
        <v>0.44764480000000001</v>
      </c>
      <c r="F5991" t="s">
        <v>84</v>
      </c>
      <c r="G5991">
        <v>-283.70339999999999</v>
      </c>
      <c r="H5991" s="1">
        <v>-6.0605980000000004E-6</v>
      </c>
      <c r="I5991">
        <v>-63.6068199999999</v>
      </c>
      <c r="J5991">
        <v>-297.10410000000002</v>
      </c>
      <c r="K5991">
        <v>1.1273500000000001</v>
      </c>
      <c r="L5991">
        <v>-56.375369999999997</v>
      </c>
      <c r="M5991">
        <v>0.68448419999999999</v>
      </c>
      <c r="N5991">
        <v>-1.779787E-2</v>
      </c>
      <c r="O5991">
        <v>-0.72881049999999903</v>
      </c>
      <c r="P5991">
        <v>0.86702500000000005</v>
      </c>
      <c r="Q5991">
        <v>0.18151700000000001</v>
      </c>
      <c r="R5991">
        <v>-0.46402539999999998</v>
      </c>
      <c r="S5991">
        <v>2.7120359999999999</v>
      </c>
      <c r="T5991">
        <v>-0.22429850000000001</v>
      </c>
      <c r="U5991">
        <v>-1.485474</v>
      </c>
      <c r="V5991">
        <v>-0.32252579999999997</v>
      </c>
      <c r="W5991">
        <v>0.1844248</v>
      </c>
      <c r="X5991">
        <v>0.92842049999999998</v>
      </c>
      <c r="Y5991">
        <v>-0.30880220000000003</v>
      </c>
      <c r="Z5991">
        <v>4.9591370000000003E-2</v>
      </c>
      <c r="AA5991">
        <v>0.94983260000000003</v>
      </c>
      <c r="AB5991">
        <v>34</v>
      </c>
      <c r="AC5991">
        <v>13.400700000000001</v>
      </c>
      <c r="AD5991">
        <v>-1.127356060598</v>
      </c>
      <c r="AE5991">
        <v>-7.2314499999999899</v>
      </c>
      <c r="AF5991">
        <v>-4.7912586874855103</v>
      </c>
      <c r="AG5991">
        <v>-1.127356060598</v>
      </c>
      <c r="AH5991">
        <v>14.366466276268801</v>
      </c>
      <c r="AI5991">
        <v>94.257284263650902</v>
      </c>
      <c r="AJ5991">
        <v>108.443694158988</v>
      </c>
      <c r="AK5991">
        <v>15.1862584188779</v>
      </c>
      <c r="AL5991">
        <v>79.372401285414497</v>
      </c>
      <c r="AM5991">
        <v>109.156814955836</v>
      </c>
      <c r="AN5991">
        <v>1.0000000116704599</v>
      </c>
    </row>
    <row r="5992" spans="1:40" x14ac:dyDescent="0.25">
      <c r="A5992" t="str">
        <f>"20190304155755438"</f>
        <v>20190304155755438</v>
      </c>
      <c r="B5992" t="str">
        <f>"1551686275431030"</f>
        <v>1551686275431030</v>
      </c>
      <c r="C5992" t="s">
        <v>40</v>
      </c>
      <c r="D5992">
        <v>4.9566239999999997</v>
      </c>
      <c r="E5992">
        <v>0.44202740000000001</v>
      </c>
      <c r="F5992" t="s">
        <v>42</v>
      </c>
      <c r="G5992">
        <v>-296.15469999999999</v>
      </c>
      <c r="H5992">
        <v>1.051569</v>
      </c>
      <c r="I5992">
        <v>-56.738480000000003</v>
      </c>
      <c r="J5992">
        <v>-296.87700000000001</v>
      </c>
      <c r="K5992">
        <v>1.1273930000000001</v>
      </c>
      <c r="L5992">
        <v>-56.5982699999999</v>
      </c>
      <c r="M5992">
        <v>0.69834799999999997</v>
      </c>
      <c r="N5992">
        <v>-1.7846049999999999E-2</v>
      </c>
      <c r="O5992">
        <v>-0.7155359</v>
      </c>
      <c r="P5992">
        <v>0.87522809999999995</v>
      </c>
      <c r="Q5992">
        <v>0.1807048</v>
      </c>
      <c r="R5992">
        <v>-0.4486887</v>
      </c>
      <c r="S5992">
        <v>2.9130549999999999</v>
      </c>
      <c r="T5992">
        <v>-0.2324302</v>
      </c>
      <c r="U5992">
        <v>-1.1130979999999999</v>
      </c>
      <c r="V5992">
        <v>-0.32115129999999997</v>
      </c>
      <c r="W5992">
        <v>0.1836932</v>
      </c>
      <c r="X5992">
        <v>0.92904180000000003</v>
      </c>
      <c r="Y5992">
        <v>-0.41711029999999999</v>
      </c>
      <c r="Z5992">
        <v>5.456631E-2</v>
      </c>
      <c r="AA5992">
        <v>0.90721629999999998</v>
      </c>
      <c r="AB5992">
        <v>34</v>
      </c>
      <c r="AC5992">
        <v>0.72230000000001804</v>
      </c>
      <c r="AD5992">
        <v>-7.58240000000001E-2</v>
      </c>
      <c r="AE5992">
        <v>-0.14021000000000999</v>
      </c>
      <c r="AF5992">
        <v>-0.414580186900048</v>
      </c>
      <c r="AG5992">
        <v>-7.58240000000001E-2</v>
      </c>
      <c r="AH5992">
        <v>0.59848262538621999</v>
      </c>
      <c r="AI5992">
        <v>95.945723247544393</v>
      </c>
      <c r="AJ5992">
        <v>124.711074816177</v>
      </c>
      <c r="AK5992">
        <v>0.73198870430851704</v>
      </c>
      <c r="AL5992">
        <v>79.415047437405306</v>
      </c>
      <c r="AM5992">
        <v>109.069251278857</v>
      </c>
      <c r="AN5992">
        <v>1.0000000076825799</v>
      </c>
    </row>
    <row r="5993" spans="1:40" x14ac:dyDescent="0.25">
      <c r="A5993" t="str">
        <f>"20190304155755462"</f>
        <v>20190304155755462</v>
      </c>
      <c r="B5993" t="str">
        <f>"1551686275450550"</f>
        <v>1551686275450550</v>
      </c>
      <c r="C5993" t="s">
        <v>40</v>
      </c>
      <c r="D5993">
        <v>4.8269900000000003</v>
      </c>
      <c r="E5993">
        <v>0.44242510000000002</v>
      </c>
      <c r="F5993" t="s">
        <v>42</v>
      </c>
      <c r="G5993">
        <v>-295.93790000000001</v>
      </c>
      <c r="H5993">
        <v>1.0622659999999999</v>
      </c>
      <c r="I5993">
        <v>-56.922190000000001</v>
      </c>
      <c r="J5993">
        <v>-296.63200000000001</v>
      </c>
      <c r="K5993">
        <v>1.1274309999999901</v>
      </c>
      <c r="L5993">
        <v>-56.829439999999998</v>
      </c>
      <c r="M5993">
        <v>0.71281870000000003</v>
      </c>
      <c r="N5993">
        <v>-1.7893019999999999E-2</v>
      </c>
      <c r="O5993">
        <v>-0.70112010000000002</v>
      </c>
      <c r="P5993">
        <v>0.88372530000000005</v>
      </c>
      <c r="Q5993">
        <v>0.18007709999999999</v>
      </c>
      <c r="R5993">
        <v>-0.43197449999999998</v>
      </c>
      <c r="S5993">
        <v>2.948547</v>
      </c>
      <c r="T5993">
        <v>-0.20447389999999999</v>
      </c>
      <c r="U5993">
        <v>-1.016937</v>
      </c>
      <c r="V5993">
        <v>-0.31990829999999998</v>
      </c>
      <c r="W5993">
        <v>0.1831401</v>
      </c>
      <c r="X5993">
        <v>0.92957970000000001</v>
      </c>
      <c r="Y5993">
        <v>-0.42884559999999999</v>
      </c>
      <c r="Z5993">
        <v>4.6762919999999999E-2</v>
      </c>
      <c r="AA5993">
        <v>0.90216669999999999</v>
      </c>
      <c r="AB5993">
        <v>33</v>
      </c>
      <c r="AC5993">
        <v>0.69409999999999095</v>
      </c>
      <c r="AD5993">
        <v>-6.5164999999999904E-2</v>
      </c>
      <c r="AE5993">
        <v>-9.2749999999995197E-2</v>
      </c>
      <c r="AF5993">
        <v>-0.41698988076166099</v>
      </c>
      <c r="AG5993">
        <v>-6.5164999999999904E-2</v>
      </c>
      <c r="AH5993">
        <v>0.55507919777752301</v>
      </c>
      <c r="AI5993">
        <v>95.362235485737301</v>
      </c>
      <c r="AJ5993">
        <v>126.91482480923899</v>
      </c>
      <c r="AK5993">
        <v>0.69730908045712603</v>
      </c>
      <c r="AL5993">
        <v>79.447284734996501</v>
      </c>
      <c r="AM5993">
        <v>108.990540491598</v>
      </c>
      <c r="AN5993">
        <v>1.0000000176444901</v>
      </c>
    </row>
    <row r="5994" spans="1:40" x14ac:dyDescent="0.25">
      <c r="A5994" t="str">
        <f>"20190304155755484"</f>
        <v>20190304155755484</v>
      </c>
      <c r="B5994" t="str">
        <f>"1551686275480806"</f>
        <v>1551686275480806</v>
      </c>
      <c r="C5994" t="s">
        <v>40</v>
      </c>
      <c r="D5994">
        <v>4.8232200000000001</v>
      </c>
      <c r="E5994">
        <v>0.44496289999999999</v>
      </c>
      <c r="F5994" t="s">
        <v>42</v>
      </c>
      <c r="G5994">
        <v>-295.69650000000001</v>
      </c>
      <c r="H5994">
        <v>1.060292</v>
      </c>
      <c r="I5994">
        <v>-57.133310000000002</v>
      </c>
      <c r="J5994">
        <v>-296.39319999999998</v>
      </c>
      <c r="K5994">
        <v>1.127475</v>
      </c>
      <c r="L5994">
        <v>-57.045780000000001</v>
      </c>
      <c r="M5994">
        <v>0.7264467</v>
      </c>
      <c r="N5994">
        <v>-1.7934390000000001E-2</v>
      </c>
      <c r="O5994">
        <v>-0.68698879999999996</v>
      </c>
      <c r="P5994">
        <v>0.89133200000000001</v>
      </c>
      <c r="Q5994">
        <v>0.17915980000000001</v>
      </c>
      <c r="R5994">
        <v>-0.4164485</v>
      </c>
      <c r="S5994">
        <v>2.9672239999999999</v>
      </c>
      <c r="T5994">
        <v>-0.2129085</v>
      </c>
      <c r="U5994">
        <v>-0.96331789999999995</v>
      </c>
      <c r="V5994">
        <v>-0.31801800000000002</v>
      </c>
      <c r="W5994">
        <v>0.18232950000000001</v>
      </c>
      <c r="X5994">
        <v>0.93038730000000003</v>
      </c>
      <c r="Y5994">
        <v>-0.42739949999999999</v>
      </c>
      <c r="Z5994">
        <v>4.85528E-2</v>
      </c>
      <c r="AA5994">
        <v>0.90275819999999996</v>
      </c>
      <c r="AB5994">
        <v>33</v>
      </c>
      <c r="AC5994">
        <v>0.69669999999996401</v>
      </c>
      <c r="AD5994">
        <v>-6.7182999999999896E-2</v>
      </c>
      <c r="AE5994">
        <v>-8.7529999999986702E-2</v>
      </c>
      <c r="AF5994">
        <v>-0.41134042903238</v>
      </c>
      <c r="AG5994">
        <v>-6.7182999999999896E-2</v>
      </c>
      <c r="AH5994">
        <v>0.56120120367636706</v>
      </c>
      <c r="AI5994">
        <v>95.515042910303706</v>
      </c>
      <c r="AJ5994">
        <v>126.24008435176199</v>
      </c>
      <c r="AK5994">
        <v>0.69904312817833103</v>
      </c>
      <c r="AL5994">
        <v>79.494524033651601</v>
      </c>
      <c r="AM5994">
        <v>108.871068918989</v>
      </c>
      <c r="AN5994">
        <v>1.0000000114477701</v>
      </c>
    </row>
    <row r="5995" spans="1:40" x14ac:dyDescent="0.25">
      <c r="A5995" t="str">
        <f>"20190304155755507"</f>
        <v>20190304155755507</v>
      </c>
      <c r="B5995" t="str">
        <f>"1551686275500325"</f>
        <v>1551686275500325</v>
      </c>
      <c r="C5995" t="s">
        <v>40</v>
      </c>
      <c r="D5995">
        <v>4.9586420000000002</v>
      </c>
      <c r="E5995">
        <v>0.44541950000000002</v>
      </c>
      <c r="F5995" t="s">
        <v>84</v>
      </c>
      <c r="G5995">
        <v>-282.3297</v>
      </c>
      <c r="H5995" s="1">
        <v>-6.8104769999999998E-6</v>
      </c>
      <c r="I5995">
        <v>-61.444229999999997</v>
      </c>
      <c r="J5995">
        <v>-296.1456</v>
      </c>
      <c r="K5995">
        <v>1.1275040000000001</v>
      </c>
      <c r="L5995">
        <v>-57.261380000000003</v>
      </c>
      <c r="M5995">
        <v>0.74011090000000002</v>
      </c>
      <c r="N5995">
        <v>-1.797375E-2</v>
      </c>
      <c r="O5995">
        <v>-0.67224450000000002</v>
      </c>
      <c r="P5995">
        <v>0.89882870000000004</v>
      </c>
      <c r="Q5995">
        <v>0.17839160000000001</v>
      </c>
      <c r="R5995">
        <v>-0.40035369999999998</v>
      </c>
      <c r="S5995">
        <v>2.9785159999999999</v>
      </c>
      <c r="T5995">
        <v>-0.2387898</v>
      </c>
      <c r="U5995">
        <v>-0.93154910000000002</v>
      </c>
      <c r="V5995">
        <v>-0.31612230000000002</v>
      </c>
      <c r="W5995">
        <v>0.18166840000000001</v>
      </c>
      <c r="X5995">
        <v>0.9311623</v>
      </c>
      <c r="Y5995">
        <v>-0.41850080000000001</v>
      </c>
      <c r="Z5995">
        <v>5.4601049999999998E-2</v>
      </c>
      <c r="AA5995">
        <v>0.90657370000000004</v>
      </c>
      <c r="AB5995">
        <v>33</v>
      </c>
      <c r="AC5995">
        <v>13.815899999999999</v>
      </c>
      <c r="AD5995">
        <v>-1.127510810477</v>
      </c>
      <c r="AE5995">
        <v>-4.1828500000000002</v>
      </c>
      <c r="AF5995">
        <v>-6.1553375192076603</v>
      </c>
      <c r="AG5995">
        <v>-1.127510810477</v>
      </c>
      <c r="AH5995">
        <v>12.9602340177185</v>
      </c>
      <c r="AI5995">
        <v>94.493348676781693</v>
      </c>
      <c r="AJ5995">
        <v>115.40492748898301</v>
      </c>
      <c r="AK5995">
        <v>14.3919118395415</v>
      </c>
      <c r="AL5995">
        <v>79.533045221710395</v>
      </c>
      <c r="AM5995">
        <v>108.75194714866601</v>
      </c>
      <c r="AN5995">
        <v>0.99999997252856898</v>
      </c>
    </row>
    <row r="5996" spans="1:40" x14ac:dyDescent="0.25">
      <c r="A5996" t="str">
        <f>"20190304155755528"</f>
        <v>20190304155755528</v>
      </c>
      <c r="B5996" t="str">
        <f>"1551686275520353"</f>
        <v>1551686275520353</v>
      </c>
      <c r="C5996" t="s">
        <v>40</v>
      </c>
      <c r="D5996">
        <v>5.0185559999999896</v>
      </c>
      <c r="E5996">
        <v>0.4460732</v>
      </c>
      <c r="F5996" t="s">
        <v>84</v>
      </c>
      <c r="G5996">
        <v>-282.26130000000001</v>
      </c>
      <c r="H5996" s="1">
        <v>-6.8440999999999901E-6</v>
      </c>
      <c r="I5996">
        <v>-61.348909999999997</v>
      </c>
      <c r="J5996">
        <v>-295.90660000000003</v>
      </c>
      <c r="K5996">
        <v>1.1275329999999999</v>
      </c>
      <c r="L5996">
        <v>-57.461329999999997</v>
      </c>
      <c r="M5996">
        <v>0.75286330000000001</v>
      </c>
      <c r="N5996">
        <v>-1.8008659999999999E-2</v>
      </c>
      <c r="O5996">
        <v>-0.65793040000000003</v>
      </c>
      <c r="P5996">
        <v>0.90557390000000004</v>
      </c>
      <c r="Q5996">
        <v>0.17833850000000001</v>
      </c>
      <c r="R5996">
        <v>-0.38487840000000001</v>
      </c>
      <c r="S5996">
        <v>2.9934080000000001</v>
      </c>
      <c r="T5996">
        <v>-0.24308750000000001</v>
      </c>
      <c r="U5996">
        <v>-0.88125609999999999</v>
      </c>
      <c r="V5996">
        <v>-0.3142529</v>
      </c>
      <c r="W5996">
        <v>0.18171950000000001</v>
      </c>
      <c r="X5996">
        <v>0.93178490000000003</v>
      </c>
      <c r="Y5996">
        <v>-0.41626809999999997</v>
      </c>
      <c r="Z5996">
        <v>5.5055670000000001E-2</v>
      </c>
      <c r="AA5996">
        <v>0.90757359999999998</v>
      </c>
      <c r="AB5996">
        <v>33</v>
      </c>
      <c r="AC5996">
        <v>13.645300000000001</v>
      </c>
      <c r="AD5996">
        <v>-1.1275398441</v>
      </c>
      <c r="AE5996">
        <v>-3.88757999999999</v>
      </c>
      <c r="AF5996">
        <v>-6.0138430996480103</v>
      </c>
      <c r="AG5996">
        <v>-1.1275398441</v>
      </c>
      <c r="AH5996">
        <v>12.752347839608399</v>
      </c>
      <c r="AI5996">
        <v>94.572307369691401</v>
      </c>
      <c r="AJ5996">
        <v>115.247961569815</v>
      </c>
      <c r="AK5996">
        <v>14.1442578578582</v>
      </c>
      <c r="AL5996">
        <v>79.530067937455499</v>
      </c>
      <c r="AM5996">
        <v>108.637144693267</v>
      </c>
      <c r="AN5996">
        <v>0.99999998085333397</v>
      </c>
    </row>
    <row r="5997" spans="1:40" x14ac:dyDescent="0.25">
      <c r="A5997" t="str">
        <f>"20190304155755551"</f>
        <v>20190304155755551</v>
      </c>
      <c r="B5997" t="str">
        <f>"1551686275540849"</f>
        <v>1551686275540849</v>
      </c>
      <c r="C5997" t="s">
        <v>40</v>
      </c>
      <c r="D5997">
        <v>5.0223509999999996</v>
      </c>
      <c r="E5997">
        <v>0.44685710000000001</v>
      </c>
      <c r="F5997" t="s">
        <v>84</v>
      </c>
      <c r="G5997">
        <v>-282.22570000000002</v>
      </c>
      <c r="H5997" s="1">
        <v>-6.8661879999999899E-6</v>
      </c>
      <c r="I5997">
        <v>-61.258609999999997</v>
      </c>
      <c r="J5997">
        <v>-295.65120000000002</v>
      </c>
      <c r="K5997">
        <v>1.127559</v>
      </c>
      <c r="L5997">
        <v>-57.666200000000003</v>
      </c>
      <c r="M5997">
        <v>0.76601900000000001</v>
      </c>
      <c r="N5997">
        <v>-1.8042929999999999E-2</v>
      </c>
      <c r="O5997">
        <v>-0.64256459999999904</v>
      </c>
      <c r="P5997">
        <v>0.91218390000000005</v>
      </c>
      <c r="Q5997">
        <v>0.1787464</v>
      </c>
      <c r="R5997">
        <v>-0.36874129999999999</v>
      </c>
      <c r="S5997">
        <v>3.0068969999999999</v>
      </c>
      <c r="T5997">
        <v>-0.24781980000000001</v>
      </c>
      <c r="U5997">
        <v>-0.83459470000000002</v>
      </c>
      <c r="V5997">
        <v>-0.31191540000000001</v>
      </c>
      <c r="W5997">
        <v>0.18225640000000001</v>
      </c>
      <c r="X5997">
        <v>0.93246530000000005</v>
      </c>
      <c r="Y5997">
        <v>-0.41194059999999999</v>
      </c>
      <c r="Z5997">
        <v>5.5430630000000002E-2</v>
      </c>
      <c r="AA5997">
        <v>0.90952319999999998</v>
      </c>
      <c r="AB5997">
        <v>33</v>
      </c>
      <c r="AC5997">
        <v>13.4255</v>
      </c>
      <c r="AD5997">
        <v>-1.1275658661879999</v>
      </c>
      <c r="AE5997">
        <v>-3.5924099999999899</v>
      </c>
      <c r="AF5997">
        <v>-5.8374286385369203</v>
      </c>
      <c r="AG5997">
        <v>-1.1275658661879999</v>
      </c>
      <c r="AH5997">
        <v>12.5122326409631</v>
      </c>
      <c r="AI5997">
        <v>94.668791240171004</v>
      </c>
      <c r="AJ5997">
        <v>115.01082687258101</v>
      </c>
      <c r="AK5997">
        <v>13.852903795023799</v>
      </c>
      <c r="AL5997">
        <v>79.498784392707904</v>
      </c>
      <c r="AM5997">
        <v>108.495406472574</v>
      </c>
      <c r="AN5997">
        <v>1.0000000739010999</v>
      </c>
    </row>
    <row r="5998" spans="1:40" x14ac:dyDescent="0.25">
      <c r="A5998" t="str">
        <f>"20190304155755573"</f>
        <v>20190304155755573</v>
      </c>
      <c r="B5998" t="str">
        <f>"1551686275571106"</f>
        <v>1551686275571106</v>
      </c>
      <c r="C5998" t="s">
        <v>40</v>
      </c>
      <c r="D5998">
        <v>4.9422100000000002</v>
      </c>
      <c r="E5998">
        <v>0.44805440000000002</v>
      </c>
      <c r="F5998" t="s">
        <v>42</v>
      </c>
      <c r="G5998">
        <v>-294.58780000000002</v>
      </c>
      <c r="H5998">
        <v>1.039039</v>
      </c>
      <c r="I5998">
        <v>-57.943370000000002</v>
      </c>
      <c r="J5998">
        <v>-295.39499999999998</v>
      </c>
      <c r="K5998">
        <v>1.127589</v>
      </c>
      <c r="L5998">
        <v>-57.862920000000003</v>
      </c>
      <c r="M5998">
        <v>0.77875159999999999</v>
      </c>
      <c r="N5998">
        <v>-1.8074059999999999E-2</v>
      </c>
      <c r="O5998">
        <v>-0.62707219999999997</v>
      </c>
      <c r="P5998">
        <v>0.91845869999999996</v>
      </c>
      <c r="Q5998">
        <v>0.1791915</v>
      </c>
      <c r="R5998">
        <v>-0.35259639999999998</v>
      </c>
      <c r="S5998">
        <v>3.0198670000000001</v>
      </c>
      <c r="T5998">
        <v>-0.25136229999999998</v>
      </c>
      <c r="U5998">
        <v>-0.78710939999999996</v>
      </c>
      <c r="V5998">
        <v>-0.30962709999999999</v>
      </c>
      <c r="W5998">
        <v>0.18282880000000001</v>
      </c>
      <c r="X5998">
        <v>0.93311549999999999</v>
      </c>
      <c r="Y5998">
        <v>-0.40797889999999998</v>
      </c>
      <c r="Z5998">
        <v>5.5456140000000001E-2</v>
      </c>
      <c r="AA5998">
        <v>0.91130560000000005</v>
      </c>
      <c r="AB5998">
        <v>33</v>
      </c>
      <c r="AC5998">
        <v>0.80719999999996594</v>
      </c>
      <c r="AD5998">
        <v>-8.8549999999999907E-2</v>
      </c>
      <c r="AE5998">
        <v>-8.0449999999998995E-2</v>
      </c>
      <c r="AF5998">
        <v>-0.438370985946609</v>
      </c>
      <c r="AG5998">
        <v>-8.8549999999999907E-2</v>
      </c>
      <c r="AH5998">
        <v>0.67116959603312398</v>
      </c>
      <c r="AI5998">
        <v>96.303344060689597</v>
      </c>
      <c r="AJ5998">
        <v>123.15035581804899</v>
      </c>
      <c r="AK5998">
        <v>0.80652269060397197</v>
      </c>
      <c r="AL5998">
        <v>79.465426231916396</v>
      </c>
      <c r="AM5998">
        <v>108.356916111541</v>
      </c>
      <c r="AN5998">
        <v>0.99999992375204705</v>
      </c>
    </row>
    <row r="5999" spans="1:40" x14ac:dyDescent="0.25">
      <c r="A5999" t="str">
        <f>"20190304155755595"</f>
        <v>20190304155755595</v>
      </c>
      <c r="B5999" t="str">
        <f>"1551686275590625"</f>
        <v>1551686275590625</v>
      </c>
      <c r="C5999" t="s">
        <v>40</v>
      </c>
      <c r="D5999">
        <v>5.02623</v>
      </c>
      <c r="E5999">
        <v>0.44872770000000001</v>
      </c>
      <c r="F5999" t="s">
        <v>42</v>
      </c>
      <c r="G5999">
        <v>-294.36320000000001</v>
      </c>
      <c r="H5999">
        <v>1.040705</v>
      </c>
      <c r="I5999">
        <v>-58.116109999999999</v>
      </c>
      <c r="J5999">
        <v>-295.13869999999997</v>
      </c>
      <c r="K5999">
        <v>1.1276040000000001</v>
      </c>
      <c r="L5999">
        <v>-58.051670000000001</v>
      </c>
      <c r="M5999">
        <v>0.79103849999999998</v>
      </c>
      <c r="N5999">
        <v>-1.810198E-2</v>
      </c>
      <c r="O5999">
        <v>-0.61149849999999994</v>
      </c>
      <c r="P5999">
        <v>0.9246162</v>
      </c>
      <c r="Q5999">
        <v>0.17870129999999901</v>
      </c>
      <c r="R5999">
        <v>-0.33637879999999998</v>
      </c>
      <c r="S5999">
        <v>3.030853</v>
      </c>
      <c r="T5999">
        <v>-0.25515009999999999</v>
      </c>
      <c r="U5999">
        <v>-0.742981</v>
      </c>
      <c r="V5999">
        <v>-0.30757319999999999</v>
      </c>
      <c r="W5999">
        <v>0.1824566</v>
      </c>
      <c r="X5999">
        <v>0.93386740000000001</v>
      </c>
      <c r="Y5999">
        <v>-0.40310889999999999</v>
      </c>
      <c r="Z5999">
        <v>5.5458500000000001E-2</v>
      </c>
      <c r="AA5999">
        <v>0.91347009999999995</v>
      </c>
      <c r="AB5999">
        <v>33</v>
      </c>
      <c r="AC5999">
        <v>0.775499999999965</v>
      </c>
      <c r="AD5999">
        <v>-8.6899000000000004E-2</v>
      </c>
      <c r="AE5999">
        <v>-6.4440000000004702E-2</v>
      </c>
      <c r="AF5999">
        <v>-0.41809810923289997</v>
      </c>
      <c r="AG5999">
        <v>-8.6899000000000004E-2</v>
      </c>
      <c r="AH5999">
        <v>0.64491995130473101</v>
      </c>
      <c r="AI5999">
        <v>96.450647634242401</v>
      </c>
      <c r="AJ5999">
        <v>122.955122738379</v>
      </c>
      <c r="AK5999">
        <v>0.77348510569759699</v>
      </c>
      <c r="AL5999">
        <v>79.487117405738005</v>
      </c>
      <c r="AM5999">
        <v>108.22951842042499</v>
      </c>
      <c r="AN5999">
        <v>1.0000000025122799</v>
      </c>
    </row>
    <row r="6000" spans="1:40" x14ac:dyDescent="0.25">
      <c r="A6000" t="str">
        <f>"20190304155755617"</f>
        <v>20190304155755617</v>
      </c>
      <c r="B6000" t="str">
        <f>"1551686275611125"</f>
        <v>1551686275611125</v>
      </c>
      <c r="C6000" t="s">
        <v>40</v>
      </c>
      <c r="D6000">
        <v>5.0354130000000001</v>
      </c>
      <c r="E6000">
        <v>0.44927889999999998</v>
      </c>
      <c r="F6000" t="s">
        <v>42</v>
      </c>
      <c r="G6000">
        <v>-294.09390000000002</v>
      </c>
      <c r="H6000">
        <v>1.038543</v>
      </c>
      <c r="I6000">
        <v>-58.29025</v>
      </c>
      <c r="J6000">
        <v>-294.8775</v>
      </c>
      <c r="K6000">
        <v>1.1276139999999999</v>
      </c>
      <c r="L6000">
        <v>-58.236020000000003</v>
      </c>
      <c r="M6000">
        <v>0.80311100000000002</v>
      </c>
      <c r="N6000">
        <v>-1.8127089999999998E-2</v>
      </c>
      <c r="O6000">
        <v>-0.59555389999999997</v>
      </c>
      <c r="P6000">
        <v>0.93086310000000005</v>
      </c>
      <c r="Q6000">
        <v>0.17758950000000001</v>
      </c>
      <c r="R6000">
        <v>-0.31930550000000002</v>
      </c>
      <c r="S6000">
        <v>3.041779</v>
      </c>
      <c r="T6000">
        <v>-0.25933440000000002</v>
      </c>
      <c r="U6000">
        <v>-0.69515990000000005</v>
      </c>
      <c r="V6000">
        <v>-0.30616100000000002</v>
      </c>
      <c r="W6000">
        <v>0.1814335</v>
      </c>
      <c r="X6000">
        <v>0.93453059999999999</v>
      </c>
      <c r="Y6000">
        <v>-0.39911960000000002</v>
      </c>
      <c r="Z6000">
        <v>5.5533249999999999E-2</v>
      </c>
      <c r="AA6000">
        <v>0.91521560000000002</v>
      </c>
      <c r="AB6000">
        <v>33</v>
      </c>
      <c r="AC6000">
        <v>0.78359999999997798</v>
      </c>
      <c r="AD6000">
        <v>-8.90709999999999E-2</v>
      </c>
      <c r="AE6000">
        <v>-5.4230000000003997E-2</v>
      </c>
      <c r="AF6000">
        <v>-0.417820027288968</v>
      </c>
      <c r="AG6000">
        <v>-8.90709999999999E-2</v>
      </c>
      <c r="AH6000">
        <v>0.65332219036529804</v>
      </c>
      <c r="AI6000">
        <v>96.552048575639802</v>
      </c>
      <c r="AJ6000">
        <v>122.600190183184</v>
      </c>
      <c r="AK6000">
        <v>0.78060047570345803</v>
      </c>
      <c r="AL6000">
        <v>79.546732343855894</v>
      </c>
      <c r="AM6000">
        <v>108.139281723672</v>
      </c>
      <c r="AN6000">
        <v>1.0000000575898</v>
      </c>
    </row>
    <row r="6001" spans="1:40" x14ac:dyDescent="0.25">
      <c r="A6001" t="str">
        <f>"20190304155755640"</f>
        <v>20190304155755640</v>
      </c>
      <c r="B6001" t="str">
        <f>"1551686275630642"</f>
        <v>1551686275630642</v>
      </c>
      <c r="C6001" t="s">
        <v>40</v>
      </c>
      <c r="D6001">
        <v>5.0032579999999998</v>
      </c>
      <c r="E6001">
        <v>0.4498936</v>
      </c>
      <c r="F6001" t="s">
        <v>84</v>
      </c>
      <c r="G6001">
        <v>-281.7577</v>
      </c>
      <c r="H6001" s="1">
        <v>-7.0521739999999997E-6</v>
      </c>
      <c r="I6001">
        <v>-60.997869999999899</v>
      </c>
      <c r="J6001">
        <v>-294.61</v>
      </c>
      <c r="K6001">
        <v>1.127626</v>
      </c>
      <c r="L6001">
        <v>-58.416809999999998</v>
      </c>
      <c r="M6001">
        <v>0.8150212</v>
      </c>
      <c r="N6001">
        <v>-1.8149579999999998E-2</v>
      </c>
      <c r="O6001">
        <v>-0.57914690000000002</v>
      </c>
      <c r="P6001">
        <v>0.93678589999999995</v>
      </c>
      <c r="Q6001">
        <v>0.175986</v>
      </c>
      <c r="R6001">
        <v>-0.30242529999999901</v>
      </c>
      <c r="S6001">
        <v>3.0524900000000001</v>
      </c>
      <c r="T6001">
        <v>-0.2623549</v>
      </c>
      <c r="U6001">
        <v>-0.64257810000000004</v>
      </c>
      <c r="V6001">
        <v>-0.30420960000000002</v>
      </c>
      <c r="W6001">
        <v>0.17994679999999999</v>
      </c>
      <c r="X6001">
        <v>0.93545480000000003</v>
      </c>
      <c r="Y6001">
        <v>-0.39624870000000001</v>
      </c>
      <c r="Z6001">
        <v>5.5314179999999998E-2</v>
      </c>
      <c r="AA6001">
        <v>0.9164755</v>
      </c>
      <c r="AB6001">
        <v>33</v>
      </c>
      <c r="AC6001">
        <v>12.8523</v>
      </c>
      <c r="AD6001">
        <v>-1.1276330521739999</v>
      </c>
      <c r="AE6001">
        <v>-2.5810599999999901</v>
      </c>
      <c r="AF6001">
        <v>-5.3014027800533503</v>
      </c>
      <c r="AG6001">
        <v>-1.1276330521739999</v>
      </c>
      <c r="AH6001">
        <v>11.8837474181085</v>
      </c>
      <c r="AI6001">
        <v>94.952700280352403</v>
      </c>
      <c r="AJ6001">
        <v>114.041903782627</v>
      </c>
      <c r="AK6001">
        <v>13.061388916731399</v>
      </c>
      <c r="AL6001">
        <v>79.633339003222204</v>
      </c>
      <c r="AM6001">
        <v>108.014508740577</v>
      </c>
      <c r="AN6001">
        <v>1.00000000720272</v>
      </c>
    </row>
    <row r="6002" spans="1:40" x14ac:dyDescent="0.25">
      <c r="A6002" t="str">
        <f>"20190304155755653"</f>
        <v>20190304155755653</v>
      </c>
      <c r="B6002" t="str">
        <f>"1551686275651137"</f>
        <v>1551686275651137</v>
      </c>
      <c r="C6002" t="s">
        <v>40</v>
      </c>
      <c r="D6002">
        <v>5.1624619999999997</v>
      </c>
      <c r="E6002">
        <v>0.45051720000000001</v>
      </c>
      <c r="F6002" t="s">
        <v>84</v>
      </c>
      <c r="G6002">
        <v>-281.70979999999997</v>
      </c>
      <c r="H6002" s="1">
        <v>-7.0783849999999997E-6</v>
      </c>
      <c r="I6002">
        <v>-60.907470000000004</v>
      </c>
      <c r="J6002">
        <v>-294.46100000000001</v>
      </c>
      <c r="K6002">
        <v>1.127629</v>
      </c>
      <c r="L6002">
        <v>-58.514530000000001</v>
      </c>
      <c r="M6002">
        <v>0.82146770000000002</v>
      </c>
      <c r="N6002">
        <v>-1.8160920000000001E-2</v>
      </c>
      <c r="O6002">
        <v>-0.56996590000000003</v>
      </c>
      <c r="P6002">
        <v>0.93989210000000001</v>
      </c>
      <c r="Q6002">
        <v>0.17496829999999999</v>
      </c>
      <c r="R6002">
        <v>-0.29323890000000002</v>
      </c>
      <c r="S6002">
        <v>3.0618590000000001</v>
      </c>
      <c r="T6002">
        <v>-0.26764250000000001</v>
      </c>
      <c r="U6002">
        <v>-0.59115600000000001</v>
      </c>
      <c r="V6002">
        <v>-0.30293429999999999</v>
      </c>
      <c r="W6002">
        <v>0.17900339999999901</v>
      </c>
      <c r="X6002">
        <v>0.93604949999999998</v>
      </c>
      <c r="Y6002">
        <v>-0.4011827</v>
      </c>
      <c r="Z6002">
        <v>5.6349749999999997E-2</v>
      </c>
      <c r="AA6002">
        <v>0.91426320000000005</v>
      </c>
      <c r="AB6002">
        <v>33</v>
      </c>
      <c r="AC6002">
        <v>12.751200000000001</v>
      </c>
      <c r="AD6002">
        <v>-1.1276360783849999</v>
      </c>
      <c r="AE6002">
        <v>-2.3929399999999799</v>
      </c>
      <c r="AF6002">
        <v>-5.2631402520442796</v>
      </c>
      <c r="AG6002">
        <v>-1.1276360783849999</v>
      </c>
      <c r="AH6002">
        <v>11.751766766210199</v>
      </c>
      <c r="AI6002">
        <v>95.004799499130996</v>
      </c>
      <c r="AJ6002">
        <v>114.12567424331399</v>
      </c>
      <c r="AK6002">
        <v>12.9257970959383</v>
      </c>
      <c r="AL6002">
        <v>79.688284321644304</v>
      </c>
      <c r="AM6002">
        <v>107.93317006125</v>
      </c>
      <c r="AN6002">
        <v>1.00000003688914</v>
      </c>
    </row>
    <row r="6003" spans="1:40" x14ac:dyDescent="0.25">
      <c r="A6003" t="str">
        <f>"20190304155755663"</f>
        <v>20190304155755663</v>
      </c>
      <c r="B6003" t="str">
        <f>"1551686275660899"</f>
        <v>1551686275660899</v>
      </c>
      <c r="C6003" t="s">
        <v>40</v>
      </c>
      <c r="D6003">
        <v>5.0371579999999998</v>
      </c>
      <c r="E6003">
        <v>0.4509514</v>
      </c>
      <c r="F6003" t="s">
        <v>42</v>
      </c>
      <c r="G6003">
        <v>-293.37619999999998</v>
      </c>
      <c r="H6003">
        <v>1.0318080000000001</v>
      </c>
      <c r="I6003">
        <v>-58.714570000000002</v>
      </c>
      <c r="J6003">
        <v>-294.32190000000003</v>
      </c>
      <c r="K6003">
        <v>1.1276299999999999</v>
      </c>
      <c r="L6003">
        <v>-58.602939999999997</v>
      </c>
      <c r="M6003">
        <v>0.82735319999999901</v>
      </c>
      <c r="N6003">
        <v>-1.8170459999999999E-2</v>
      </c>
      <c r="O6003">
        <v>-0.56138809999999995</v>
      </c>
      <c r="P6003">
        <v>0.9426196</v>
      </c>
      <c r="Q6003">
        <v>0.17437250000000001</v>
      </c>
      <c r="R6003">
        <v>-0.28471540000000001</v>
      </c>
      <c r="S6003">
        <v>3.0659179999999999</v>
      </c>
      <c r="T6003">
        <v>-0.27079979999999998</v>
      </c>
      <c r="U6003">
        <v>-0.5652161</v>
      </c>
      <c r="V6003">
        <v>-0.30170550000000002</v>
      </c>
      <c r="W6003">
        <v>0.17847750000000001</v>
      </c>
      <c r="X6003">
        <v>0.93654660000000001</v>
      </c>
      <c r="Y6003">
        <v>-0.3993042</v>
      </c>
      <c r="Z6003">
        <v>5.6559470000000001E-2</v>
      </c>
      <c r="AA6003">
        <v>0.9150722</v>
      </c>
      <c r="AB6003">
        <v>33</v>
      </c>
      <c r="AC6003">
        <v>0.94570000000004395</v>
      </c>
      <c r="AD6003">
        <v>-9.5821999999999796E-2</v>
      </c>
      <c r="AE6003">
        <v>-0.111629999999991</v>
      </c>
      <c r="AF6003">
        <v>-0.43422298243109098</v>
      </c>
      <c r="AG6003">
        <v>-9.5821999999999796E-2</v>
      </c>
      <c r="AH6003">
        <v>0.83676258873601705</v>
      </c>
      <c r="AI6003">
        <v>95.803848901871703</v>
      </c>
      <c r="AJ6003">
        <v>117.42624847643</v>
      </c>
      <c r="AK6003">
        <v>0.94757748182592105</v>
      </c>
      <c r="AL6003">
        <v>79.718908761231503</v>
      </c>
      <c r="AM6003">
        <v>107.85617962352499</v>
      </c>
      <c r="AN6003">
        <v>0.99999998035402904</v>
      </c>
    </row>
    <row r="6004" spans="1:40" x14ac:dyDescent="0.25">
      <c r="A6004" t="str">
        <f>"20190304155755675"</f>
        <v>20190304155755675</v>
      </c>
      <c r="B6004" t="str">
        <f>"1551686275670658"</f>
        <v>1551686275670658</v>
      </c>
      <c r="C6004" t="s">
        <v>40</v>
      </c>
      <c r="D6004">
        <v>5.1418350000000004</v>
      </c>
      <c r="E6004">
        <v>0.4514224</v>
      </c>
      <c r="F6004" t="s">
        <v>84</v>
      </c>
      <c r="G6004">
        <v>-281.71749999999997</v>
      </c>
      <c r="H6004" s="1">
        <v>-7.0855189999999996E-6</v>
      </c>
      <c r="I6004">
        <v>-60.820950000000003</v>
      </c>
      <c r="J6004">
        <v>-294.1884</v>
      </c>
      <c r="K6004">
        <v>1.127624</v>
      </c>
      <c r="L6004">
        <v>-58.686100000000003</v>
      </c>
      <c r="M6004">
        <v>0.83289349999999995</v>
      </c>
      <c r="N6004">
        <v>-1.8179000000000001E-2</v>
      </c>
      <c r="O6004">
        <v>-0.55313489999999998</v>
      </c>
      <c r="P6004">
        <v>0.94513930000000002</v>
      </c>
      <c r="Q6004">
        <v>0.17357629999999999</v>
      </c>
      <c r="R6004">
        <v>-0.2767367</v>
      </c>
      <c r="S6004">
        <v>3.0702820000000002</v>
      </c>
      <c r="T6004">
        <v>-0.27467950000000002</v>
      </c>
      <c r="U6004">
        <v>-0.54028319999999996</v>
      </c>
      <c r="V6004">
        <v>-0.30035519999999999</v>
      </c>
      <c r="W6004">
        <v>0.17775820000000001</v>
      </c>
      <c r="X6004">
        <v>0.93711730000000004</v>
      </c>
      <c r="Y6004">
        <v>-0.39756029999999998</v>
      </c>
      <c r="Z6004">
        <v>5.6926740000000003E-2</v>
      </c>
      <c r="AA6004">
        <v>0.91580850000000003</v>
      </c>
      <c r="AB6004">
        <v>33</v>
      </c>
      <c r="AC6004">
        <v>12.4709</v>
      </c>
      <c r="AD6004">
        <v>-1.1276310855189999</v>
      </c>
      <c r="AE6004">
        <v>-2.1348500000000001</v>
      </c>
      <c r="AF6004">
        <v>-5.0804776997840504</v>
      </c>
      <c r="AG6004">
        <v>-1.1276310855189999</v>
      </c>
      <c r="AH6004">
        <v>11.4785258936818</v>
      </c>
      <c r="AI6004">
        <v>95.133242174948705</v>
      </c>
      <c r="AJ6004">
        <v>113.8745241219</v>
      </c>
      <c r="AK6004">
        <v>12.603148900769</v>
      </c>
      <c r="AL6004">
        <v>79.760791857437894</v>
      </c>
      <c r="AM6004">
        <v>107.771159535533</v>
      </c>
      <c r="AN6004">
        <v>1.0000000288967801</v>
      </c>
    </row>
    <row r="6005" spans="1:40" x14ac:dyDescent="0.25">
      <c r="A6005" t="str">
        <f>"20190304155755688"</f>
        <v>20190304155755688</v>
      </c>
      <c r="B6005" t="str">
        <f>"1551686275680418"</f>
        <v>1551686275680418</v>
      </c>
      <c r="C6005" t="s">
        <v>40</v>
      </c>
      <c r="D6005">
        <v>5.0711040000000001</v>
      </c>
      <c r="E6005">
        <v>0.45192830000000001</v>
      </c>
      <c r="F6005" t="s">
        <v>84</v>
      </c>
      <c r="G6005">
        <v>-281.64710000000002</v>
      </c>
      <c r="H6005" s="1">
        <v>-7.1120379999999996E-6</v>
      </c>
      <c r="I6005">
        <v>-60.794919999999998</v>
      </c>
      <c r="J6005">
        <v>-294.0292</v>
      </c>
      <c r="K6005">
        <v>1.127626</v>
      </c>
      <c r="L6005">
        <v>-58.783230000000003</v>
      </c>
      <c r="M6005">
        <v>0.83936650000000002</v>
      </c>
      <c r="N6005">
        <v>-1.818848E-2</v>
      </c>
      <c r="O6005">
        <v>-0.54326140000000001</v>
      </c>
      <c r="P6005">
        <v>0.94818190000000002</v>
      </c>
      <c r="Q6005">
        <v>0.17287729999999901</v>
      </c>
      <c r="R6005">
        <v>-0.26657910000000001</v>
      </c>
      <c r="S6005">
        <v>3.073547</v>
      </c>
      <c r="T6005">
        <v>-0.27635169999999998</v>
      </c>
      <c r="U6005">
        <v>-0.51681520000000003</v>
      </c>
      <c r="V6005">
        <v>-0.29938120000000001</v>
      </c>
      <c r="W6005">
        <v>0.1771181</v>
      </c>
      <c r="X6005">
        <v>0.93755010000000005</v>
      </c>
      <c r="Y6005">
        <v>-0.3936847</v>
      </c>
      <c r="Z6005">
        <v>5.6578639999999999E-2</v>
      </c>
      <c r="AA6005">
        <v>0.9175027</v>
      </c>
      <c r="AB6005">
        <v>33</v>
      </c>
      <c r="AC6005">
        <v>12.3820999999999</v>
      </c>
      <c r="AD6005">
        <v>-1.1276331120379901</v>
      </c>
      <c r="AE6005">
        <v>-2.01168999999999</v>
      </c>
      <c r="AF6005">
        <v>-4.99861488868551</v>
      </c>
      <c r="AG6005">
        <v>-1.1276331120379901</v>
      </c>
      <c r="AH6005">
        <v>11.395811889699599</v>
      </c>
      <c r="AI6005">
        <v>95.177848834025696</v>
      </c>
      <c r="AJ6005">
        <v>113.68399269095499</v>
      </c>
      <c r="AK6005">
        <v>12.4948883895044</v>
      </c>
      <c r="AL6005">
        <v>79.798058521206997</v>
      </c>
      <c r="AM6005">
        <v>107.709472402752</v>
      </c>
      <c r="AN6005">
        <v>1.0000000571355201</v>
      </c>
    </row>
    <row r="6006" spans="1:40" x14ac:dyDescent="0.25">
      <c r="A6006" t="str">
        <f>"20190304155755703"</f>
        <v>20190304155755703</v>
      </c>
      <c r="B6006" t="str">
        <f>"1551686275691154"</f>
        <v>1551686275691154</v>
      </c>
      <c r="C6006" t="s">
        <v>40</v>
      </c>
      <c r="D6006">
        <v>5.1451409999999997</v>
      </c>
      <c r="E6006">
        <v>0.45237519999999998</v>
      </c>
      <c r="F6006" t="s">
        <v>84</v>
      </c>
      <c r="G6006">
        <v>-281.6037</v>
      </c>
      <c r="H6006" s="1">
        <v>-7.1317080000000001E-6</v>
      </c>
      <c r="I6006">
        <v>-60.748950000000001</v>
      </c>
      <c r="J6006">
        <v>-293.85610000000003</v>
      </c>
      <c r="K6006">
        <v>1.127623</v>
      </c>
      <c r="L6006">
        <v>-58.884920000000001</v>
      </c>
      <c r="M6006">
        <v>0.84622189999999997</v>
      </c>
      <c r="N6006">
        <v>-1.8197600000000001E-2</v>
      </c>
      <c r="O6006">
        <v>-0.53251990000000005</v>
      </c>
      <c r="P6006">
        <v>0.95126489999999997</v>
      </c>
      <c r="Q6006">
        <v>0.17258609999999999</v>
      </c>
      <c r="R6006">
        <v>-0.25555689999999998</v>
      </c>
      <c r="S6006">
        <v>3.0779719999999999</v>
      </c>
      <c r="T6006">
        <v>-0.27933229999999998</v>
      </c>
      <c r="U6006">
        <v>-0.4869385</v>
      </c>
      <c r="V6006">
        <v>-0.29832589999999998</v>
      </c>
      <c r="W6006">
        <v>0.17688960000000001</v>
      </c>
      <c r="X6006">
        <v>0.93792949999999997</v>
      </c>
      <c r="Y6006">
        <v>-0.39083289999999998</v>
      </c>
      <c r="Z6006">
        <v>5.650442E-2</v>
      </c>
      <c r="AA6006">
        <v>0.91872569999999998</v>
      </c>
      <c r="AB6006">
        <v>33</v>
      </c>
      <c r="AC6006">
        <v>12.2524</v>
      </c>
      <c r="AD6006">
        <v>-1.127630131708</v>
      </c>
      <c r="AE6006">
        <v>-1.8640300000000001</v>
      </c>
      <c r="AF6006">
        <v>-4.9074563515389098</v>
      </c>
      <c r="AG6006">
        <v>-1.127630131708</v>
      </c>
      <c r="AH6006">
        <v>11.2694685342463</v>
      </c>
      <c r="AI6006">
        <v>95.241626262936805</v>
      </c>
      <c r="AJ6006">
        <v>113.531427879022</v>
      </c>
      <c r="AK6006">
        <v>12.343241008769199</v>
      </c>
      <c r="AL6006">
        <v>79.811360159994905</v>
      </c>
      <c r="AM6006">
        <v>107.644232188217</v>
      </c>
      <c r="AN6006">
        <v>1.0000000100846</v>
      </c>
    </row>
    <row r="6007" spans="1:40" x14ac:dyDescent="0.25">
      <c r="A6007" t="str">
        <f>"20190304155755717"</f>
        <v>20190304155755717</v>
      </c>
      <c r="B6007" t="str">
        <f>"1551686275710674"</f>
        <v>1551686275710674</v>
      </c>
      <c r="C6007" t="s">
        <v>40</v>
      </c>
      <c r="D6007">
        <v>5.0857449999999904</v>
      </c>
      <c r="E6007">
        <v>0.45325939999999998</v>
      </c>
      <c r="F6007" t="s">
        <v>84</v>
      </c>
      <c r="G6007">
        <v>-281.43630000000002</v>
      </c>
      <c r="H6007" s="1">
        <v>-7.19165E-6</v>
      </c>
      <c r="I6007">
        <v>-60.714199999999998</v>
      </c>
      <c r="J6007">
        <v>-293.67649999999998</v>
      </c>
      <c r="K6007">
        <v>1.127618</v>
      </c>
      <c r="L6007">
        <v>-58.9878199999999</v>
      </c>
      <c r="M6007">
        <v>0.85316069999999999</v>
      </c>
      <c r="N6007">
        <v>-1.8206279999999998E-2</v>
      </c>
      <c r="O6007">
        <v>-0.52133069999999904</v>
      </c>
      <c r="P6007">
        <v>0.95438579999999995</v>
      </c>
      <c r="Q6007">
        <v>0.17209929999999901</v>
      </c>
      <c r="R6007">
        <v>-0.24398729999999999</v>
      </c>
      <c r="S6007">
        <v>3.0824579999999999</v>
      </c>
      <c r="T6007">
        <v>-0.27986630000000001</v>
      </c>
      <c r="U6007">
        <v>-0.45401000000000002</v>
      </c>
      <c r="V6007">
        <v>-0.29738510000000001</v>
      </c>
      <c r="W6007">
        <v>0.1764606</v>
      </c>
      <c r="X6007">
        <v>0.93830899999999995</v>
      </c>
      <c r="Y6007">
        <v>-0.38853779999999999</v>
      </c>
      <c r="Z6007">
        <v>5.5866800000000001E-2</v>
      </c>
      <c r="AA6007">
        <v>0.91973760000000004</v>
      </c>
      <c r="AB6007">
        <v>33</v>
      </c>
      <c r="AC6007">
        <v>12.2401999999999</v>
      </c>
      <c r="AD6007">
        <v>-1.12762519165</v>
      </c>
      <c r="AE6007">
        <v>-1.72638</v>
      </c>
      <c r="AF6007">
        <v>-4.8686114780739196</v>
      </c>
      <c r="AG6007">
        <v>-1.12762519165</v>
      </c>
      <c r="AH6007">
        <v>11.2511254354431</v>
      </c>
      <c r="AI6007">
        <v>95.255333830879806</v>
      </c>
      <c r="AJ6007">
        <v>113.39920534319999</v>
      </c>
      <c r="AK6007">
        <v>12.311081993933399</v>
      </c>
      <c r="AL6007">
        <v>79.836332891614305</v>
      </c>
      <c r="AM6007">
        <v>107.585349452904</v>
      </c>
      <c r="AN6007">
        <v>1.00000001026768</v>
      </c>
    </row>
    <row r="6008" spans="1:40" x14ac:dyDescent="0.25">
      <c r="A6008" t="str">
        <f>"20190304155755732"</f>
        <v>20190304155755732</v>
      </c>
      <c r="B6008" t="str">
        <f>"1551686275720434"</f>
        <v>1551686275720434</v>
      </c>
      <c r="C6008" t="s">
        <v>40</v>
      </c>
      <c r="D6008">
        <v>5.1391150000000003</v>
      </c>
      <c r="E6008">
        <v>0.45368439999999999</v>
      </c>
      <c r="F6008" t="s">
        <v>84</v>
      </c>
      <c r="G6008">
        <v>-281.39920000000001</v>
      </c>
      <c r="H6008" s="1">
        <v>-7.2089380000000003E-6</v>
      </c>
      <c r="I6008">
        <v>-60.671129999999998</v>
      </c>
      <c r="J6008">
        <v>-293.49829999999997</v>
      </c>
      <c r="K6008">
        <v>1.1276120000000001</v>
      </c>
      <c r="L6008">
        <v>-59.087249999999997</v>
      </c>
      <c r="M6008">
        <v>0.85986980000000002</v>
      </c>
      <c r="N6008">
        <v>-1.821412E-2</v>
      </c>
      <c r="O6008">
        <v>-0.51018839999999999</v>
      </c>
      <c r="P6008">
        <v>0.9572193</v>
      </c>
      <c r="Q6008">
        <v>0.1707997</v>
      </c>
      <c r="R6008">
        <v>-0.2335777</v>
      </c>
      <c r="S6008">
        <v>3.0863339999999999</v>
      </c>
      <c r="T6008">
        <v>-0.28346690000000002</v>
      </c>
      <c r="U6008">
        <v>-0.4231567</v>
      </c>
      <c r="V6008">
        <v>-0.29545510000000003</v>
      </c>
      <c r="W6008">
        <v>0.17526929999999999</v>
      </c>
      <c r="X6008">
        <v>0.93914160000000002</v>
      </c>
      <c r="Y6008">
        <v>-0.38569209999999998</v>
      </c>
      <c r="Z6008">
        <v>5.5860930000000003E-2</v>
      </c>
      <c r="AA6008">
        <v>0.9209349</v>
      </c>
      <c r="AB6008">
        <v>33</v>
      </c>
      <c r="AC6008">
        <v>12.0990999999999</v>
      </c>
      <c r="AD6008">
        <v>-1.1276192089379999</v>
      </c>
      <c r="AE6008">
        <v>-1.58388</v>
      </c>
      <c r="AF6008">
        <v>-4.7709458985952597</v>
      </c>
      <c r="AG6008">
        <v>-1.1276192089379999</v>
      </c>
      <c r="AH6008">
        <v>11.118638847817</v>
      </c>
      <c r="AI6008">
        <v>95.324545100217804</v>
      </c>
      <c r="AJ6008">
        <v>113.223901196003</v>
      </c>
      <c r="AK6008">
        <v>12.1514435223093</v>
      </c>
      <c r="AL6008">
        <v>79.905669861726494</v>
      </c>
      <c r="AM6008">
        <v>107.46363940354</v>
      </c>
      <c r="AN6008">
        <v>0.99999999424453001</v>
      </c>
    </row>
    <row r="6009" spans="1:40" x14ac:dyDescent="0.25">
      <c r="A6009" t="str">
        <f>"20190304155755745"</f>
        <v>20190304155755745</v>
      </c>
      <c r="B6009" t="str">
        <f>"1551686275740930"</f>
        <v>1551686275740930</v>
      </c>
      <c r="C6009" t="s">
        <v>40</v>
      </c>
      <c r="D6009">
        <v>5.1910020000000001</v>
      </c>
      <c r="E6009">
        <v>0.45411410000000002</v>
      </c>
      <c r="F6009" t="s">
        <v>84</v>
      </c>
      <c r="G6009">
        <v>-281.38490000000002</v>
      </c>
      <c r="H6009" s="1">
        <v>-7.2187519999999998E-6</v>
      </c>
      <c r="I6009">
        <v>-60.626429999999999</v>
      </c>
      <c r="J6009">
        <v>-293.32159999999999</v>
      </c>
      <c r="K6009">
        <v>1.1276060000000001</v>
      </c>
      <c r="L6009">
        <v>-59.182130000000001</v>
      </c>
      <c r="M6009">
        <v>0.86633519999999897</v>
      </c>
      <c r="N6009">
        <v>-1.8220839999999999E-2</v>
      </c>
      <c r="O6009">
        <v>-0.49913079999999999</v>
      </c>
      <c r="P6009">
        <v>0.95993759999999995</v>
      </c>
      <c r="Q6009">
        <v>0.1707497</v>
      </c>
      <c r="R6009">
        <v>-0.2221815</v>
      </c>
      <c r="S6009">
        <v>3.0895999999999999</v>
      </c>
      <c r="T6009">
        <v>-0.28760609999999998</v>
      </c>
      <c r="U6009">
        <v>-0.39257809999999999</v>
      </c>
      <c r="V6009">
        <v>-0.29458689999999998</v>
      </c>
      <c r="W6009">
        <v>0.17527209999999999</v>
      </c>
      <c r="X6009">
        <v>0.93941379999999997</v>
      </c>
      <c r="Y6009">
        <v>-0.38291150000000002</v>
      </c>
      <c r="Z6009">
        <v>5.5952670000000003E-2</v>
      </c>
      <c r="AA6009">
        <v>0.92208900000000005</v>
      </c>
      <c r="AB6009">
        <v>32</v>
      </c>
      <c r="AC6009">
        <v>11.936699999999901</v>
      </c>
      <c r="AD6009">
        <v>-1.1276132187519901</v>
      </c>
      <c r="AE6009">
        <v>-1.4442999999999899</v>
      </c>
      <c r="AF6009">
        <v>-4.6664657198088397</v>
      </c>
      <c r="AG6009">
        <v>-1.1276132187519901</v>
      </c>
      <c r="AH6009">
        <v>10.9674538481699</v>
      </c>
      <c r="AI6009">
        <v>95.404490089023597</v>
      </c>
      <c r="AJ6009">
        <v>113.04893039328</v>
      </c>
      <c r="AK6009">
        <v>11.972153431901599</v>
      </c>
      <c r="AL6009">
        <v>79.905507165259394</v>
      </c>
      <c r="AM6009">
        <v>107.410688004479</v>
      </c>
      <c r="AN6009">
        <v>1.0000000191602201</v>
      </c>
    </row>
    <row r="6010" spans="1:40" x14ac:dyDescent="0.25">
      <c r="A6010" t="str">
        <f>"20190304155755759"</f>
        <v>20190304155755759</v>
      </c>
      <c r="B6010" t="str">
        <f>"1551686275750690"</f>
        <v>1551686275750690</v>
      </c>
      <c r="C6010" t="s">
        <v>40</v>
      </c>
      <c r="D6010">
        <v>5.1670680000000004</v>
      </c>
      <c r="E6010">
        <v>0.47039900000000001</v>
      </c>
      <c r="F6010" t="s">
        <v>84</v>
      </c>
      <c r="G6010">
        <v>-281.19150000000002</v>
      </c>
      <c r="H6010" s="1">
        <v>-7.2874620000000003E-6</v>
      </c>
      <c r="I6010">
        <v>-60.590940000000003</v>
      </c>
      <c r="J6010">
        <v>-293.15600000000001</v>
      </c>
      <c r="K6010">
        <v>1.1276029999999999</v>
      </c>
      <c r="L6010">
        <v>-59.268279999999997</v>
      </c>
      <c r="M6010">
        <v>0.87223839999999997</v>
      </c>
      <c r="N6010">
        <v>-1.8226490000000001E-2</v>
      </c>
      <c r="O6010">
        <v>-0.48874109999999998</v>
      </c>
      <c r="P6010">
        <v>0.96225799999999995</v>
      </c>
      <c r="Q6010">
        <v>0.17076179999999999</v>
      </c>
      <c r="R6010">
        <v>-0.2118959</v>
      </c>
      <c r="S6010">
        <v>3.0932010000000001</v>
      </c>
      <c r="T6010">
        <v>-0.28754469999999999</v>
      </c>
      <c r="U6010">
        <v>-0.35925289999999999</v>
      </c>
      <c r="V6010">
        <v>-0.29340650000000001</v>
      </c>
      <c r="W6010">
        <v>0.1753519</v>
      </c>
      <c r="X6010">
        <v>0.93976820000000005</v>
      </c>
      <c r="Y6010">
        <v>-0.38183270000000002</v>
      </c>
      <c r="Z6010">
        <v>5.5250769999999998E-2</v>
      </c>
      <c r="AA6010">
        <v>0.92257849999999997</v>
      </c>
      <c r="AB6010">
        <v>32</v>
      </c>
      <c r="AC6010">
        <v>11.9644999999999</v>
      </c>
      <c r="AD6010">
        <v>-1.127610287462</v>
      </c>
      <c r="AE6010">
        <v>-1.32265999999999</v>
      </c>
      <c r="AF6010">
        <v>-4.6538103598170704</v>
      </c>
      <c r="AG6010">
        <v>-1.127610287462</v>
      </c>
      <c r="AH6010">
        <v>10.9877574791002</v>
      </c>
      <c r="AI6010">
        <v>95.398288019244305</v>
      </c>
      <c r="AJ6010">
        <v>112.954846565362</v>
      </c>
      <c r="AK6010">
        <v>11.985836234700299</v>
      </c>
      <c r="AL6010">
        <v>79.900862499822594</v>
      </c>
      <c r="AM6010">
        <v>107.338967560817</v>
      </c>
      <c r="AN6010">
        <v>0.99999996640354905</v>
      </c>
    </row>
    <row r="6011" spans="1:40" x14ac:dyDescent="0.25">
      <c r="A6011" t="str">
        <f>"20190304155755773"</f>
        <v>20190304155755773</v>
      </c>
      <c r="B6011" t="str">
        <f>"1551686275770210"</f>
        <v>1551686275770210</v>
      </c>
      <c r="C6011" t="s">
        <v>40</v>
      </c>
      <c r="D6011">
        <v>5.1210170000000002</v>
      </c>
      <c r="E6011">
        <v>0.47190660000000001</v>
      </c>
      <c r="F6011" t="s">
        <v>41</v>
      </c>
      <c r="G6011">
        <v>-279.90199999999999</v>
      </c>
      <c r="H6011" s="1">
        <v>-3.5190780000000001E-6</v>
      </c>
      <c r="I6011">
        <v>-61.221069999999997</v>
      </c>
      <c r="J6011">
        <v>-292.98610000000002</v>
      </c>
      <c r="K6011">
        <v>1.127597</v>
      </c>
      <c r="L6011">
        <v>-59.354680000000002</v>
      </c>
      <c r="M6011">
        <v>0.87814570000000003</v>
      </c>
      <c r="N6011">
        <v>-1.8231859999999999E-2</v>
      </c>
      <c r="O6011">
        <v>-0.47804600000000003</v>
      </c>
      <c r="P6011">
        <v>0.9645494</v>
      </c>
      <c r="Q6011">
        <v>0.17087569999999999</v>
      </c>
      <c r="R6011">
        <v>-0.2011117</v>
      </c>
      <c r="S6011">
        <v>3.0644840000000002</v>
      </c>
      <c r="T6011">
        <v>-0.26071539999999999</v>
      </c>
      <c r="U6011">
        <v>-0.45150760000000001</v>
      </c>
      <c r="V6011">
        <v>-0.29243170000000002</v>
      </c>
      <c r="W6011">
        <v>0.17552319999999999</v>
      </c>
      <c r="X6011">
        <v>0.94004010000000005</v>
      </c>
      <c r="Y6011">
        <v>-0.34264810000000001</v>
      </c>
      <c r="Z6011">
        <v>4.7327950000000001E-2</v>
      </c>
      <c r="AA6011">
        <v>0.93827090000000002</v>
      </c>
      <c r="AB6011">
        <v>32</v>
      </c>
      <c r="AC6011">
        <v>13.084099999999999</v>
      </c>
      <c r="AD6011">
        <v>-1.1276005190780001</v>
      </c>
      <c r="AE6011">
        <v>-1.86638999999999</v>
      </c>
      <c r="AF6011">
        <v>-4.5832444280096301</v>
      </c>
      <c r="AG6011">
        <v>-1.1276005190780001</v>
      </c>
      <c r="AH6011">
        <v>12.294530800554201</v>
      </c>
      <c r="AI6011">
        <v>94.911837523332593</v>
      </c>
      <c r="AJ6011">
        <v>110.444814180428</v>
      </c>
      <c r="AK6011">
        <v>13.1694001390831</v>
      </c>
      <c r="AL6011">
        <v>79.890893877483904</v>
      </c>
      <c r="AM6011">
        <v>107.28009684597799</v>
      </c>
      <c r="AN6011">
        <v>1.0000000412555601</v>
      </c>
    </row>
    <row r="6012" spans="1:40" x14ac:dyDescent="0.25">
      <c r="A6012" t="str">
        <f>"20190304155755786"</f>
        <v>20190304155755786</v>
      </c>
      <c r="B6012" t="str">
        <f>"1551686275780946"</f>
        <v>1551686275780946</v>
      </c>
      <c r="C6012" t="s">
        <v>40</v>
      </c>
      <c r="D6012">
        <v>5.1463359999999998</v>
      </c>
      <c r="E6012">
        <v>0.47302050000000001</v>
      </c>
      <c r="F6012" t="s">
        <v>41</v>
      </c>
      <c r="G6012">
        <v>-279.5394</v>
      </c>
      <c r="H6012" s="1">
        <v>-3.3975730000000002E-6</v>
      </c>
      <c r="I6012">
        <v>-61.23518</v>
      </c>
      <c r="J6012">
        <v>-292.81099999999998</v>
      </c>
      <c r="K6012">
        <v>1.1275980000000001</v>
      </c>
      <c r="L6012">
        <v>-59.440579999999997</v>
      </c>
      <c r="M6012">
        <v>0.88406799999999996</v>
      </c>
      <c r="N6012">
        <v>-1.8236539999999999E-2</v>
      </c>
      <c r="O6012">
        <v>-0.46700249999999999</v>
      </c>
      <c r="P6012">
        <v>0.96643060000000003</v>
      </c>
      <c r="Q6012">
        <v>0.17136279999999901</v>
      </c>
      <c r="R6012">
        <v>-0.19143370000000001</v>
      </c>
      <c r="S6012">
        <v>3.0664060000000002</v>
      </c>
      <c r="T6012">
        <v>-0.25713910000000001</v>
      </c>
      <c r="U6012">
        <v>-0.42883300000000002</v>
      </c>
      <c r="V6012">
        <v>-0.29004289999999999</v>
      </c>
      <c r="W6012">
        <v>0.17613679999999901</v>
      </c>
      <c r="X6012">
        <v>0.94066510000000003</v>
      </c>
      <c r="Y6012">
        <v>-0.3378623</v>
      </c>
      <c r="Z6012">
        <v>4.5778550000000001E-2</v>
      </c>
      <c r="AA6012">
        <v>0.94008159999999996</v>
      </c>
      <c r="AB6012">
        <v>32</v>
      </c>
      <c r="AC6012">
        <v>13.2715999999999</v>
      </c>
      <c r="AD6012">
        <v>-1.1276013975729999</v>
      </c>
      <c r="AE6012">
        <v>-1.7946</v>
      </c>
      <c r="AF6012">
        <v>-4.5796228963669803</v>
      </c>
      <c r="AG6012">
        <v>-1.1276013975729999</v>
      </c>
      <c r="AH6012">
        <v>12.4846637114427</v>
      </c>
      <c r="AI6012">
        <v>94.846750083381707</v>
      </c>
      <c r="AJ6012">
        <v>110.144041383862</v>
      </c>
      <c r="AK6012">
        <v>13.345833011564</v>
      </c>
      <c r="AL6012">
        <v>79.855179793053793</v>
      </c>
      <c r="AM6012">
        <v>107.136524477397</v>
      </c>
      <c r="AN6012">
        <v>0.99999994325632802</v>
      </c>
    </row>
    <row r="6013" spans="1:40" x14ac:dyDescent="0.25">
      <c r="A6013" t="str">
        <f>"20190304155755797"</f>
        <v>20190304155755797</v>
      </c>
      <c r="B6013" t="str">
        <f>"1551686275790706"</f>
        <v>1551686275790706</v>
      </c>
      <c r="C6013" t="s">
        <v>40</v>
      </c>
      <c r="D6013">
        <v>5.1937179999999996</v>
      </c>
      <c r="E6013">
        <v>0.47409669999999998</v>
      </c>
      <c r="F6013" t="s">
        <v>41</v>
      </c>
      <c r="G6013">
        <v>-279.14490000000001</v>
      </c>
      <c r="H6013" s="1">
        <v>-3.265656E-6</v>
      </c>
      <c r="I6013">
        <v>-61.252609999999997</v>
      </c>
      <c r="J6013">
        <v>-292.66820000000001</v>
      </c>
      <c r="K6013">
        <v>1.1275900000000001</v>
      </c>
      <c r="L6013">
        <v>-59.508330000000001</v>
      </c>
      <c r="M6013">
        <v>0.88877600000000001</v>
      </c>
      <c r="N6013">
        <v>-1.8239740000000001E-2</v>
      </c>
      <c r="O6013">
        <v>-0.45797909999999997</v>
      </c>
      <c r="P6013">
        <v>0.96807310000000002</v>
      </c>
      <c r="Q6013">
        <v>0.17146159999999999</v>
      </c>
      <c r="R6013">
        <v>-0.1828544</v>
      </c>
      <c r="S6013">
        <v>3.0685120000000001</v>
      </c>
      <c r="T6013">
        <v>-0.25318459999999998</v>
      </c>
      <c r="U6013">
        <v>-0.40686040000000001</v>
      </c>
      <c r="V6013">
        <v>-0.28880040000000001</v>
      </c>
      <c r="W6013">
        <v>0.17630379999999901</v>
      </c>
      <c r="X6013">
        <v>0.94101610000000002</v>
      </c>
      <c r="Y6013">
        <v>-0.3350803</v>
      </c>
      <c r="Z6013">
        <v>4.4377359999999998E-2</v>
      </c>
      <c r="AA6013">
        <v>0.94114390000000003</v>
      </c>
      <c r="AB6013">
        <v>32</v>
      </c>
      <c r="AC6013">
        <v>13.523300000000001</v>
      </c>
      <c r="AD6013">
        <v>-1.1275932656559999</v>
      </c>
      <c r="AE6013">
        <v>-1.7442799999999801</v>
      </c>
      <c r="AF6013">
        <v>-4.6123439060476299</v>
      </c>
      <c r="AG6013">
        <v>-1.1275932656559999</v>
      </c>
      <c r="AH6013">
        <v>12.733081161568601</v>
      </c>
      <c r="AI6013">
        <v>94.759582358785394</v>
      </c>
      <c r="AJ6013">
        <v>109.91206513154199</v>
      </c>
      <c r="AK6013">
        <v>13.5895746345315</v>
      </c>
      <c r="AL6013">
        <v>79.845459868042198</v>
      </c>
      <c r="AM6013">
        <v>107.061392375666</v>
      </c>
      <c r="AN6013">
        <v>1.0000000006969001</v>
      </c>
    </row>
    <row r="6014" spans="1:40" x14ac:dyDescent="0.25">
      <c r="A6014" t="str">
        <f>"20190304155755809"</f>
        <v>20190304155755809</v>
      </c>
      <c r="B6014" t="str">
        <f>"1551686275800466"</f>
        <v>1551686275800466</v>
      </c>
      <c r="C6014" t="s">
        <v>40</v>
      </c>
      <c r="D6014">
        <v>5.0932589999999998</v>
      </c>
      <c r="E6014">
        <v>0.47409669999999998</v>
      </c>
      <c r="F6014" t="s">
        <v>41</v>
      </c>
      <c r="G6014">
        <v>-278.92930000000001</v>
      </c>
      <c r="H6014" s="1">
        <v>-3.1768549999999998E-6</v>
      </c>
      <c r="I6014">
        <v>-61.24691</v>
      </c>
      <c r="J6014">
        <v>-292.52530000000002</v>
      </c>
      <c r="K6014">
        <v>1.127583</v>
      </c>
      <c r="L6014">
        <v>-59.575200000000002</v>
      </c>
      <c r="M6014">
        <v>0.89338530000000005</v>
      </c>
      <c r="N6014">
        <v>-1.824282E-2</v>
      </c>
      <c r="O6014">
        <v>-0.44892090000000001</v>
      </c>
      <c r="P6014">
        <v>0.96962720000000002</v>
      </c>
      <c r="Q6014">
        <v>0.17158199999999901</v>
      </c>
      <c r="R6014">
        <v>-0.17430670000000001</v>
      </c>
      <c r="S6014">
        <v>3.0702210000000001</v>
      </c>
      <c r="T6014">
        <v>-0.2519825</v>
      </c>
      <c r="U6014">
        <v>-0.38851930000000001</v>
      </c>
      <c r="V6014">
        <v>-0.28752610000000001</v>
      </c>
      <c r="W6014">
        <v>0.17649529999999999</v>
      </c>
      <c r="X6014">
        <v>0.94137040000000005</v>
      </c>
      <c r="Y6014">
        <v>-0.33115339999999999</v>
      </c>
      <c r="Z6014">
        <v>4.346829E-2</v>
      </c>
      <c r="AA6014">
        <v>0.94257519999999995</v>
      </c>
      <c r="AB6014">
        <v>32</v>
      </c>
      <c r="AC6014">
        <v>13.596</v>
      </c>
      <c r="AD6014">
        <v>-1.127586176855</v>
      </c>
      <c r="AE6014">
        <v>-1.67170999999999</v>
      </c>
      <c r="AF6014">
        <v>-4.5797828694739797</v>
      </c>
      <c r="AG6014">
        <v>-1.127586176855</v>
      </c>
      <c r="AH6014">
        <v>12.812264896153099</v>
      </c>
      <c r="AI6014">
        <v>94.737447339031903</v>
      </c>
      <c r="AJ6014">
        <v>109.669583589558</v>
      </c>
      <c r="AK6014">
        <v>13.652838294177499</v>
      </c>
      <c r="AL6014">
        <v>79.834313326301796</v>
      </c>
      <c r="AM6014">
        <v>106.98442941820601</v>
      </c>
      <c r="AN6014">
        <v>1.0000000395497199</v>
      </c>
    </row>
    <row r="6015" spans="1:40" x14ac:dyDescent="0.25">
      <c r="A6015" t="str">
        <f>"20190304155755822"</f>
        <v>20190304155755822</v>
      </c>
      <c r="B6015" t="str">
        <f>"1551686275810226"</f>
        <v>1551686275810226</v>
      </c>
      <c r="C6015" t="s">
        <v>40</v>
      </c>
      <c r="D6015">
        <v>5.1936519999999904</v>
      </c>
      <c r="E6015">
        <v>0.4834445</v>
      </c>
      <c r="F6015" t="s">
        <v>41</v>
      </c>
      <c r="G6015">
        <v>-278.7552</v>
      </c>
      <c r="H6015" s="1">
        <v>-3.0907950000000002E-6</v>
      </c>
      <c r="I6015">
        <v>-61.195709999999998</v>
      </c>
      <c r="J6015">
        <v>-292.36090000000002</v>
      </c>
      <c r="K6015">
        <v>1.1275759999999999</v>
      </c>
      <c r="L6015">
        <v>-59.648620000000001</v>
      </c>
      <c r="M6015">
        <v>0.89854429999999996</v>
      </c>
      <c r="N6015">
        <v>-1.824539E-2</v>
      </c>
      <c r="O6015">
        <v>-0.43850339999999999</v>
      </c>
      <c r="P6015">
        <v>0.97133990000000003</v>
      </c>
      <c r="Q6015">
        <v>0.1715806</v>
      </c>
      <c r="R6015">
        <v>-0.16449530000000001</v>
      </c>
      <c r="S6015">
        <v>3.0734560000000002</v>
      </c>
      <c r="T6015">
        <v>-0.25167509999999998</v>
      </c>
      <c r="U6015">
        <v>-0.36169430000000002</v>
      </c>
      <c r="V6015">
        <v>-0.28608919999999999</v>
      </c>
      <c r="W6015">
        <v>0.17657419999999999</v>
      </c>
      <c r="X6015">
        <v>0.94179330000000006</v>
      </c>
      <c r="Y6015">
        <v>-0.3284492</v>
      </c>
      <c r="Z6015">
        <v>4.2709030000000002E-2</v>
      </c>
      <c r="AA6015">
        <v>0.94355549999999999</v>
      </c>
      <c r="AB6015">
        <v>32</v>
      </c>
      <c r="AC6015">
        <v>13.605700000000001</v>
      </c>
      <c r="AD6015">
        <v>-1.1275790907949901</v>
      </c>
      <c r="AE6015">
        <v>-1.5470900000000001</v>
      </c>
      <c r="AF6015">
        <v>-4.5459540603289303</v>
      </c>
      <c r="AG6015">
        <v>-1.1275790907949901</v>
      </c>
      <c r="AH6015">
        <v>12.8189556562983</v>
      </c>
      <c r="AI6015">
        <v>94.739166407511703</v>
      </c>
      <c r="AJ6015">
        <v>109.525905558491</v>
      </c>
      <c r="AK6015">
        <v>13.6478114378372</v>
      </c>
      <c r="AL6015">
        <v>79.829720656450604</v>
      </c>
      <c r="AM6015">
        <v>106.897244003682</v>
      </c>
      <c r="AN6015">
        <v>1.0000000491935801</v>
      </c>
    </row>
    <row r="6016" spans="1:40" x14ac:dyDescent="0.25">
      <c r="A6016" t="str">
        <f>"20190304155755834"</f>
        <v>20190304155755834</v>
      </c>
      <c r="B6016" t="str">
        <f>"1551686275830722"</f>
        <v>1551686275830722</v>
      </c>
      <c r="C6016" t="s">
        <v>40</v>
      </c>
      <c r="D6016">
        <v>5.1372839999999904</v>
      </c>
      <c r="E6016">
        <v>0.48474390000000001</v>
      </c>
      <c r="F6016" t="s">
        <v>41</v>
      </c>
      <c r="G6016">
        <v>-279.4273</v>
      </c>
      <c r="H6016" s="1">
        <v>-3.375549E-6</v>
      </c>
      <c r="I6016">
        <v>-61.3557699999999</v>
      </c>
      <c r="J6016">
        <v>-292.19619999999998</v>
      </c>
      <c r="K6016">
        <v>1.127567</v>
      </c>
      <c r="L6016">
        <v>-59.720579999999998</v>
      </c>
      <c r="M6016">
        <v>0.90357690000000002</v>
      </c>
      <c r="N6016">
        <v>-1.8247510000000002E-2</v>
      </c>
      <c r="O6016">
        <v>-0.42803760000000002</v>
      </c>
      <c r="P6016">
        <v>0.97278540000000002</v>
      </c>
      <c r="Q6016">
        <v>0.17218420000000001</v>
      </c>
      <c r="R6016">
        <v>-0.15505279999999999</v>
      </c>
      <c r="S6016">
        <v>3.0671689999999998</v>
      </c>
      <c r="T6016">
        <v>-0.2674029</v>
      </c>
      <c r="U6016">
        <v>-0.40484619999999999</v>
      </c>
      <c r="V6016">
        <v>-0.28426859999999998</v>
      </c>
      <c r="W6016">
        <v>0.17727579999999901</v>
      </c>
      <c r="X6016">
        <v>0.94221259999999996</v>
      </c>
      <c r="Y6016">
        <v>-0.30392209999999997</v>
      </c>
      <c r="Z6016">
        <v>4.383107E-2</v>
      </c>
      <c r="AA6016">
        <v>0.95168810000000004</v>
      </c>
      <c r="AB6016">
        <v>32</v>
      </c>
      <c r="AC6016">
        <v>12.768899999999901</v>
      </c>
      <c r="AD6016">
        <v>-1.1275703755490001</v>
      </c>
      <c r="AE6016">
        <v>-1.6351899999999799</v>
      </c>
      <c r="AF6016">
        <v>-3.9583438490126102</v>
      </c>
      <c r="AG6016">
        <v>-1.1275703755490001</v>
      </c>
      <c r="AH6016">
        <v>12.1464523417414</v>
      </c>
      <c r="AI6016">
        <v>95.044009146498496</v>
      </c>
      <c r="AJ6016">
        <v>108.050000380868</v>
      </c>
      <c r="AK6016">
        <v>12.824827697440099</v>
      </c>
      <c r="AL6016">
        <v>79.788876742622406</v>
      </c>
      <c r="AM6016">
        <v>106.788733234893</v>
      </c>
      <c r="AN6016">
        <v>0.99999996490517895</v>
      </c>
    </row>
    <row r="6017" spans="1:40" x14ac:dyDescent="0.25">
      <c r="A6017" t="str">
        <f>"20190304155755845"</f>
        <v>20190304155755845</v>
      </c>
      <c r="B6017" t="str">
        <f>"1551686275840482"</f>
        <v>1551686275840482</v>
      </c>
      <c r="C6017" t="s">
        <v>40</v>
      </c>
      <c r="D6017">
        <v>5.2114830000000003</v>
      </c>
      <c r="E6017">
        <v>0.48544949999999998</v>
      </c>
      <c r="F6017" t="s">
        <v>41</v>
      </c>
      <c r="G6017">
        <v>-279.39870000000002</v>
      </c>
      <c r="H6017" s="1">
        <v>-3.361939E-6</v>
      </c>
      <c r="I6017">
        <v>-61.326709999999999</v>
      </c>
      <c r="J6017">
        <v>-292.05119999999999</v>
      </c>
      <c r="K6017">
        <v>1.127562</v>
      </c>
      <c r="L6017">
        <v>-59.782040000000002</v>
      </c>
      <c r="M6017">
        <v>0.90789219999999904</v>
      </c>
      <c r="N6017">
        <v>-1.824868E-2</v>
      </c>
      <c r="O6017">
        <v>-0.41880630000000002</v>
      </c>
      <c r="P6017">
        <v>0.97402809999999995</v>
      </c>
      <c r="Q6017">
        <v>0.1724436</v>
      </c>
      <c r="R6017">
        <v>-0.1467387</v>
      </c>
      <c r="S6017">
        <v>3.0704039999999999</v>
      </c>
      <c r="T6017">
        <v>-0.27052959999999998</v>
      </c>
      <c r="U6017">
        <v>-0.38534550000000001</v>
      </c>
      <c r="V6017">
        <v>-0.28269539999999999</v>
      </c>
      <c r="W6017">
        <v>0.17762069999999999</v>
      </c>
      <c r="X6017">
        <v>0.94262089999999998</v>
      </c>
      <c r="Y6017">
        <v>-0.30027039999999999</v>
      </c>
      <c r="Z6017">
        <v>4.3637179999999998E-2</v>
      </c>
      <c r="AA6017">
        <v>0.95285540000000002</v>
      </c>
      <c r="AB6017">
        <v>32</v>
      </c>
      <c r="AC6017">
        <v>12.6524999999999</v>
      </c>
      <c r="AD6017">
        <v>-1.127565361939</v>
      </c>
      <c r="AE6017">
        <v>-1.54466999999999</v>
      </c>
      <c r="AF6017">
        <v>-3.8669415788567401</v>
      </c>
      <c r="AG6017">
        <v>-1.127565361939</v>
      </c>
      <c r="AH6017">
        <v>12.0418128387946</v>
      </c>
      <c r="AI6017">
        <v>95.094645974636606</v>
      </c>
      <c r="AJ6017">
        <v>107.803185146377</v>
      </c>
      <c r="AK6017">
        <v>12.6976335300832</v>
      </c>
      <c r="AL6017">
        <v>79.768796934307005</v>
      </c>
      <c r="AM6017">
        <v>106.694176764771</v>
      </c>
      <c r="AN6017">
        <v>0.99999998168322901</v>
      </c>
    </row>
    <row r="6018" spans="1:40" x14ac:dyDescent="0.25">
      <c r="A6018" t="str">
        <f>"20190304155755857"</f>
        <v>20190304155755857</v>
      </c>
      <c r="B6018" t="str">
        <f>"1551686275850242"</f>
        <v>1551686275850242</v>
      </c>
      <c r="C6018" t="s">
        <v>40</v>
      </c>
      <c r="D6018">
        <v>5.31</v>
      </c>
      <c r="E6018">
        <v>0.48658560000000001</v>
      </c>
      <c r="F6018" t="s">
        <v>41</v>
      </c>
      <c r="G6018">
        <v>-278.8784</v>
      </c>
      <c r="H6018" s="1">
        <v>-3.1767009999999998E-6</v>
      </c>
      <c r="I6018">
        <v>-61.344410000000003</v>
      </c>
      <c r="J6018">
        <v>-291.91149999999999</v>
      </c>
      <c r="K6018">
        <v>1.1275550000000001</v>
      </c>
      <c r="L6018">
        <v>-59.839199999999998</v>
      </c>
      <c r="M6018">
        <v>0.91194390000000003</v>
      </c>
      <c r="N6018">
        <v>-1.824889E-2</v>
      </c>
      <c r="O6018">
        <v>-0.40990939999999998</v>
      </c>
      <c r="P6018">
        <v>0.97508340000000004</v>
      </c>
      <c r="Q6018">
        <v>0.17288819999999999</v>
      </c>
      <c r="R6018">
        <v>-0.13900419999999999</v>
      </c>
      <c r="S6018">
        <v>3.0716860000000001</v>
      </c>
      <c r="T6018">
        <v>-0.26292959999999999</v>
      </c>
      <c r="U6018">
        <v>-0.3643188</v>
      </c>
      <c r="V6018">
        <v>-0.28093570000000001</v>
      </c>
      <c r="W6018">
        <v>0.1781594</v>
      </c>
      <c r="X6018">
        <v>0.94304529999999998</v>
      </c>
      <c r="Y6018">
        <v>-0.29758309999999999</v>
      </c>
      <c r="Z6018">
        <v>4.162855E-2</v>
      </c>
      <c r="AA6018">
        <v>0.95378790000000002</v>
      </c>
      <c r="AB6018">
        <v>32</v>
      </c>
      <c r="AC6018">
        <v>13.0330999999999</v>
      </c>
      <c r="AD6018">
        <v>-1.1275581767009999</v>
      </c>
      <c r="AE6018">
        <v>-1.5052099999999899</v>
      </c>
      <c r="AF6018">
        <v>-3.9412719771578102</v>
      </c>
      <c r="AG6018">
        <v>-1.1275581767009999</v>
      </c>
      <c r="AH6018">
        <v>12.412850227621201</v>
      </c>
      <c r="AI6018">
        <v>94.948243578342897</v>
      </c>
      <c r="AJ6018">
        <v>107.615448506227</v>
      </c>
      <c r="AK6018">
        <v>13.0722554677121</v>
      </c>
      <c r="AL6018">
        <v>79.737432019070894</v>
      </c>
      <c r="AM6018">
        <v>106.588933964207</v>
      </c>
      <c r="AN6018">
        <v>1.0000000385974599</v>
      </c>
    </row>
    <row r="6019" spans="1:40" x14ac:dyDescent="0.25">
      <c r="A6019" t="str">
        <f>"20190304155755868"</f>
        <v>20190304155755868</v>
      </c>
      <c r="B6019" t="str">
        <f>"1551686275860978"</f>
        <v>1551686275860978</v>
      </c>
      <c r="C6019" t="s">
        <v>40</v>
      </c>
      <c r="D6019">
        <v>5.1856730000000004</v>
      </c>
      <c r="E6019">
        <v>0.48708099999999999</v>
      </c>
      <c r="F6019" t="s">
        <v>41</v>
      </c>
      <c r="G6019">
        <v>-278.36930000000001</v>
      </c>
      <c r="H6019" s="1">
        <v>-2.965214E-6</v>
      </c>
      <c r="I6019">
        <v>-61.375520000000002</v>
      </c>
      <c r="J6019">
        <v>-291.75799999999998</v>
      </c>
      <c r="K6019">
        <v>1.1275440000000001</v>
      </c>
      <c r="L6019">
        <v>-59.900939999999999</v>
      </c>
      <c r="M6019">
        <v>0.91628529999999997</v>
      </c>
      <c r="N6019">
        <v>-1.8248759999999999E-2</v>
      </c>
      <c r="O6019">
        <v>-0.40011049999999998</v>
      </c>
      <c r="P6019">
        <v>0.97621579999999997</v>
      </c>
      <c r="Q6019">
        <v>0.17311070000000001</v>
      </c>
      <c r="R6019">
        <v>-0.13052049999999901</v>
      </c>
      <c r="S6019">
        <v>3.0722960000000001</v>
      </c>
      <c r="T6019">
        <v>-0.2558069</v>
      </c>
      <c r="U6019">
        <v>-0.3485413</v>
      </c>
      <c r="V6019">
        <v>-0.2790086</v>
      </c>
      <c r="W6019">
        <v>0.17848549999999999</v>
      </c>
      <c r="X6019">
        <v>0.94355560000000005</v>
      </c>
      <c r="Y6019">
        <v>-0.29236139999999999</v>
      </c>
      <c r="Z6019">
        <v>3.9566589999999999E-2</v>
      </c>
      <c r="AA6019">
        <v>0.95548900000000003</v>
      </c>
      <c r="AB6019">
        <v>32</v>
      </c>
      <c r="AC6019">
        <v>13.388699999999901</v>
      </c>
      <c r="AD6019">
        <v>-1.127546965214</v>
      </c>
      <c r="AE6019">
        <v>-1.47457999999998</v>
      </c>
      <c r="AF6019">
        <v>-3.9786106140444502</v>
      </c>
      <c r="AG6019">
        <v>-1.127546965214</v>
      </c>
      <c r="AH6019">
        <v>12.770516292256501</v>
      </c>
      <c r="AI6019">
        <v>94.818455359259403</v>
      </c>
      <c r="AJ6019">
        <v>107.30424399061</v>
      </c>
      <c r="AK6019">
        <v>13.4233673475674</v>
      </c>
      <c r="AL6019">
        <v>79.7184433420163</v>
      </c>
      <c r="AM6019">
        <v>106.472904203833</v>
      </c>
      <c r="AN6019">
        <v>1.00000002143778</v>
      </c>
    </row>
    <row r="6020" spans="1:40" x14ac:dyDescent="0.25">
      <c r="A6020" t="str">
        <f>"20190304155755879"</f>
        <v>20190304155755879</v>
      </c>
      <c r="B6020" t="str">
        <f>"1551686275870738"</f>
        <v>1551686275870738</v>
      </c>
      <c r="C6020" t="s">
        <v>40</v>
      </c>
      <c r="D6020">
        <v>5.1778089999999999</v>
      </c>
      <c r="E6020">
        <v>0.48788530000000002</v>
      </c>
      <c r="F6020" t="s">
        <v>41</v>
      </c>
      <c r="G6020">
        <v>-278.00380000000001</v>
      </c>
      <c r="H6020" s="1">
        <v>-2.8039759999999999E-6</v>
      </c>
      <c r="I6020">
        <v>-61.355550000000001</v>
      </c>
      <c r="J6020">
        <v>-291.62709999999998</v>
      </c>
      <c r="K6020">
        <v>1.127532</v>
      </c>
      <c r="L6020">
        <v>-59.951050000000002</v>
      </c>
      <c r="M6020">
        <v>0.91988490000000001</v>
      </c>
      <c r="N6020">
        <v>-1.8247030000000001E-2</v>
      </c>
      <c r="O6020">
        <v>-0.39176420000000001</v>
      </c>
      <c r="P6020">
        <v>0.97713470000000002</v>
      </c>
      <c r="Q6020">
        <v>0.17287669999999999</v>
      </c>
      <c r="R6020">
        <v>-0.1237818</v>
      </c>
      <c r="S6020">
        <v>3.074341</v>
      </c>
      <c r="T6020">
        <v>-0.25202859999999999</v>
      </c>
      <c r="U6020">
        <v>-0.32513429999999999</v>
      </c>
      <c r="V6020">
        <v>-0.27693469999999998</v>
      </c>
      <c r="W6020">
        <v>0.17836160000000001</v>
      </c>
      <c r="X6020">
        <v>0.94418979999999997</v>
      </c>
      <c r="Y6020">
        <v>-0.29101059999999901</v>
      </c>
      <c r="Z6020">
        <v>3.8381640000000002E-2</v>
      </c>
      <c r="AA6020">
        <v>0.95594959999999995</v>
      </c>
      <c r="AB6020">
        <v>32</v>
      </c>
      <c r="AC6020">
        <v>13.623299999999899</v>
      </c>
      <c r="AD6020">
        <v>-1.127534803976</v>
      </c>
      <c r="AE6020">
        <v>-1.4044999999999901</v>
      </c>
      <c r="AF6020">
        <v>-4.0185776724304096</v>
      </c>
      <c r="AG6020">
        <v>-1.127534803976</v>
      </c>
      <c r="AH6020">
        <v>12.9961881696753</v>
      </c>
      <c r="AI6020">
        <v>94.738234751818197</v>
      </c>
      <c r="AJ6020">
        <v>107.182237716248</v>
      </c>
      <c r="AK6020">
        <v>13.649952680692399</v>
      </c>
      <c r="AL6020">
        <v>79.725658182339998</v>
      </c>
      <c r="AM6020">
        <v>106.346627082064</v>
      </c>
      <c r="AN6020">
        <v>1.0000000334213399</v>
      </c>
    </row>
    <row r="6021" spans="1:40" x14ac:dyDescent="0.25">
      <c r="A6021" t="str">
        <f>"20190304155755892"</f>
        <v>20190304155755892</v>
      </c>
      <c r="B6021" t="str">
        <f>"1551686275880498"</f>
        <v>1551686275880498</v>
      </c>
      <c r="C6021" t="s">
        <v>40</v>
      </c>
      <c r="D6021">
        <v>5.2855410000000003</v>
      </c>
      <c r="E6021">
        <v>0.48897469999999998</v>
      </c>
      <c r="F6021" t="s">
        <v>41</v>
      </c>
      <c r="G6021">
        <v>-277.75959999999998</v>
      </c>
      <c r="H6021" s="1">
        <v>-2.6974440000000002E-6</v>
      </c>
      <c r="I6021">
        <v>-61.347569999999997</v>
      </c>
      <c r="J6021">
        <v>-291.46800000000002</v>
      </c>
      <c r="K6021">
        <v>1.1275120000000001</v>
      </c>
      <c r="L6021">
        <v>-60.011319999999998</v>
      </c>
      <c r="M6021">
        <v>0.9241547</v>
      </c>
      <c r="N6021">
        <v>-1.824483E-2</v>
      </c>
      <c r="O6021">
        <v>-0.3815828</v>
      </c>
      <c r="P6021">
        <v>0.97816749999999997</v>
      </c>
      <c r="Q6021">
        <v>0.17279459999999999</v>
      </c>
      <c r="R6021">
        <v>-0.1154575</v>
      </c>
      <c r="S6021">
        <v>3.0752869999999999</v>
      </c>
      <c r="T6021">
        <v>-0.25004320000000002</v>
      </c>
      <c r="U6021">
        <v>-0.30969239999999998</v>
      </c>
      <c r="V6021">
        <v>-0.274534</v>
      </c>
      <c r="W6021">
        <v>0.17840809999999999</v>
      </c>
      <c r="X6021">
        <v>0.94488179999999999</v>
      </c>
      <c r="Y6021">
        <v>-0.28529539999999998</v>
      </c>
      <c r="Z6021">
        <v>3.7200339999999998E-2</v>
      </c>
      <c r="AA6021">
        <v>0.95771740000000005</v>
      </c>
      <c r="AB6021">
        <v>32</v>
      </c>
      <c r="AC6021">
        <v>13.708399999999999</v>
      </c>
      <c r="AD6021">
        <v>-1.127514697444</v>
      </c>
      <c r="AE6021">
        <v>-1.3362499999999899</v>
      </c>
      <c r="AF6021">
        <v>-3.9700479761490999</v>
      </c>
      <c r="AG6021">
        <v>-1.127514697444</v>
      </c>
      <c r="AH6021">
        <v>13.093023584731901</v>
      </c>
      <c r="AI6021">
        <v>94.711128165552395</v>
      </c>
      <c r="AJ6021">
        <v>106.868278281331</v>
      </c>
      <c r="AK6021">
        <v>13.728067486584701</v>
      </c>
      <c r="AL6021">
        <v>79.7229500655138</v>
      </c>
      <c r="AM6021">
        <v>106.201144117092</v>
      </c>
      <c r="AN6021">
        <v>0.99999999163642495</v>
      </c>
    </row>
    <row r="6022" spans="1:40" x14ac:dyDescent="0.25">
      <c r="A6022" t="str">
        <f>"20190304155755904"</f>
        <v>20190304155755904</v>
      </c>
      <c r="B6022" t="str">
        <f>"1551686275900994"</f>
        <v>1551686275900994</v>
      </c>
      <c r="C6022" t="s">
        <v>40</v>
      </c>
      <c r="D6022">
        <v>5.204726</v>
      </c>
      <c r="E6022">
        <v>0.5014786</v>
      </c>
      <c r="F6022" t="s">
        <v>41</v>
      </c>
      <c r="G6022">
        <v>-277.42989999999998</v>
      </c>
      <c r="H6022" s="1">
        <v>-2.554619E-6</v>
      </c>
      <c r="I6022">
        <v>-61.341290000000001</v>
      </c>
      <c r="J6022">
        <v>-291.2851</v>
      </c>
      <c r="K6022">
        <v>1.127486</v>
      </c>
      <c r="L6022">
        <v>-60.077120000000001</v>
      </c>
      <c r="M6022">
        <v>0.92889310000000003</v>
      </c>
      <c r="N6022">
        <v>-1.8239729999999999E-2</v>
      </c>
      <c r="O6022">
        <v>-0.36989889999999997</v>
      </c>
      <c r="P6022">
        <v>0.97931679999999999</v>
      </c>
      <c r="Q6022">
        <v>0.17268029999999901</v>
      </c>
      <c r="R6022">
        <v>-0.1054539</v>
      </c>
      <c r="S6022">
        <v>3.0762330000000002</v>
      </c>
      <c r="T6022">
        <v>-0.24707789999999999</v>
      </c>
      <c r="U6022">
        <v>-0.2914429</v>
      </c>
      <c r="V6022">
        <v>-0.27225919999999998</v>
      </c>
      <c r="W6022">
        <v>0.17841789999999999</v>
      </c>
      <c r="X6022">
        <v>0.94553790000000004</v>
      </c>
      <c r="Y6022">
        <v>-0.2789526</v>
      </c>
      <c r="Z6022">
        <v>3.5760090000000001E-2</v>
      </c>
      <c r="AA6022">
        <v>0.95963880000000001</v>
      </c>
      <c r="AB6022">
        <v>32</v>
      </c>
      <c r="AC6022">
        <v>13.8552</v>
      </c>
      <c r="AD6022">
        <v>-1.1274885546190001</v>
      </c>
      <c r="AE6022">
        <v>-1.26417</v>
      </c>
      <c r="AF6022">
        <v>-3.9256198580883299</v>
      </c>
      <c r="AG6022">
        <v>-1.1274885546190001</v>
      </c>
      <c r="AH6022">
        <v>13.2527947787695</v>
      </c>
      <c r="AI6022">
        <v>94.663415294520902</v>
      </c>
      <c r="AJ6022">
        <v>106.49985373072001</v>
      </c>
      <c r="AK6022">
        <v>13.8678870473909</v>
      </c>
      <c r="AL6022">
        <v>79.722379183009906</v>
      </c>
      <c r="AM6022">
        <v>106.063282951004</v>
      </c>
      <c r="AN6022">
        <v>0.99999996968072902</v>
      </c>
    </row>
    <row r="6023" spans="1:40" x14ac:dyDescent="0.25">
      <c r="A6023" t="str">
        <f>"20190304155755916"</f>
        <v>20190304155755916</v>
      </c>
      <c r="B6023" t="str">
        <f>"1551686275910754"</f>
        <v>1551686275910754</v>
      </c>
      <c r="C6023" t="s">
        <v>40</v>
      </c>
      <c r="D6023">
        <v>5.2076979999999997</v>
      </c>
      <c r="E6023">
        <v>0.50143119999999997</v>
      </c>
      <c r="F6023" t="s">
        <v>41</v>
      </c>
      <c r="G6023">
        <v>-275.59890000000001</v>
      </c>
      <c r="H6023" s="1">
        <v>-1.895694E-6</v>
      </c>
      <c r="I6023">
        <v>-61.910440000000001</v>
      </c>
      <c r="J6023">
        <v>-291.13760000000002</v>
      </c>
      <c r="K6023">
        <v>1.127462</v>
      </c>
      <c r="L6023">
        <v>-60.128480000000003</v>
      </c>
      <c r="M6023">
        <v>0.93259329999999996</v>
      </c>
      <c r="N6023">
        <v>-1.8234110000000001E-2</v>
      </c>
      <c r="O6023">
        <v>-0.36046810000000001</v>
      </c>
      <c r="P6023">
        <v>0.98011789999999999</v>
      </c>
      <c r="Q6023">
        <v>0.17258879999999999</v>
      </c>
      <c r="R6023">
        <v>-9.7889069999999995E-2</v>
      </c>
      <c r="S6023">
        <v>3.0636290000000002</v>
      </c>
      <c r="T6023">
        <v>-0.22020709999999999</v>
      </c>
      <c r="U6023">
        <v>-0.35806270000000001</v>
      </c>
      <c r="V6023">
        <v>-0.26996379999999998</v>
      </c>
      <c r="W6023">
        <v>0.17844839999999901</v>
      </c>
      <c r="X6023">
        <v>0.94619010000000003</v>
      </c>
      <c r="Y6023">
        <v>-0.24855769999999999</v>
      </c>
      <c r="Z6023">
        <v>2.9681300000000001E-2</v>
      </c>
      <c r="AA6023">
        <v>0.96816219999999997</v>
      </c>
      <c r="AB6023">
        <v>32</v>
      </c>
      <c r="AC6023">
        <v>15.5387</v>
      </c>
      <c r="AD6023">
        <v>-1.127463895694</v>
      </c>
      <c r="AE6023">
        <v>-1.78195999999999</v>
      </c>
      <c r="AF6023">
        <v>-3.9196487434741099</v>
      </c>
      <c r="AG6023">
        <v>-1.127463895694</v>
      </c>
      <c r="AH6023">
        <v>15.057897042099601</v>
      </c>
      <c r="AI6023">
        <v>94.144441423330903</v>
      </c>
      <c r="AJ6023">
        <v>104.590593841367</v>
      </c>
      <c r="AK6023">
        <v>15.6004834681103</v>
      </c>
      <c r="AL6023">
        <v>79.720603423802899</v>
      </c>
      <c r="AM6023">
        <v>105.924330883886</v>
      </c>
      <c r="AN6023">
        <v>0.99999999505550496</v>
      </c>
    </row>
    <row r="6024" spans="1:40" x14ac:dyDescent="0.25">
      <c r="A6024" t="str">
        <f>"20190304155755931"</f>
        <v>20190304155755931</v>
      </c>
      <c r="B6024" t="str">
        <f>"1551686275920514"</f>
        <v>1551686275920514</v>
      </c>
      <c r="C6024" t="s">
        <v>40</v>
      </c>
      <c r="D6024">
        <v>5.1999079999999998</v>
      </c>
      <c r="E6024">
        <v>0.5017625</v>
      </c>
      <c r="F6024" t="s">
        <v>41</v>
      </c>
      <c r="G6024">
        <v>-275.5265</v>
      </c>
      <c r="H6024" s="1">
        <v>-1.846413E-6</v>
      </c>
      <c r="I6024">
        <v>-61.828589999999998</v>
      </c>
      <c r="J6024">
        <v>-290.94529999999997</v>
      </c>
      <c r="K6024">
        <v>1.1274219999999999</v>
      </c>
      <c r="L6024">
        <v>-60.193420000000003</v>
      </c>
      <c r="M6024">
        <v>0.93725700000000001</v>
      </c>
      <c r="N6024">
        <v>-1.8225269999999998E-2</v>
      </c>
      <c r="O6024">
        <v>-0.34816269999999999</v>
      </c>
      <c r="P6024">
        <v>0.98115039999999998</v>
      </c>
      <c r="Q6024">
        <v>0.1722147</v>
      </c>
      <c r="R6024">
        <v>-8.7671410000000005E-2</v>
      </c>
      <c r="S6024">
        <v>3.0664980000000002</v>
      </c>
      <c r="T6024">
        <v>-0.2214681</v>
      </c>
      <c r="U6024">
        <v>-0.33395390000000003</v>
      </c>
      <c r="V6024">
        <v>-0.26735239999999999</v>
      </c>
      <c r="W6024">
        <v>0.17821619999999999</v>
      </c>
      <c r="X6024">
        <v>0.94697500000000001</v>
      </c>
      <c r="Y6024">
        <v>-0.24344479999999999</v>
      </c>
      <c r="Z6024">
        <v>2.9045700000000001E-2</v>
      </c>
      <c r="AA6024">
        <v>0.96947969999999895</v>
      </c>
      <c r="AB6024">
        <v>32</v>
      </c>
      <c r="AC6024">
        <v>15.4187999999999</v>
      </c>
      <c r="AD6024">
        <v>-1.127423846413</v>
      </c>
      <c r="AE6024">
        <v>-1.63517</v>
      </c>
      <c r="AF6024">
        <v>-3.81613725110781</v>
      </c>
      <c r="AG6024">
        <v>-1.127423846413</v>
      </c>
      <c r="AH6024">
        <v>14.944166808170101</v>
      </c>
      <c r="AI6024">
        <v>94.180700983930393</v>
      </c>
      <c r="AJ6024">
        <v>104.3248986471</v>
      </c>
      <c r="AK6024">
        <v>15.464866945407801</v>
      </c>
      <c r="AL6024">
        <v>79.734124135720407</v>
      </c>
      <c r="AM6024">
        <v>105.765569994404</v>
      </c>
      <c r="AN6024">
        <v>0.99999998517660005</v>
      </c>
    </row>
    <row r="6025" spans="1:40" x14ac:dyDescent="0.25">
      <c r="A6025" t="str">
        <f>"20190304155755941"</f>
        <v>20190304155755941</v>
      </c>
      <c r="B6025" t="str">
        <f>"1551686275930275"</f>
        <v>1551686275930275</v>
      </c>
      <c r="C6025" t="s">
        <v>40</v>
      </c>
      <c r="D6025">
        <v>5.1937259999999998</v>
      </c>
      <c r="E6025">
        <v>0.50245589999999996</v>
      </c>
      <c r="F6025" t="s">
        <v>41</v>
      </c>
      <c r="G6025">
        <v>-275.33749999999998</v>
      </c>
      <c r="H6025" s="1">
        <v>-1.746012E-6</v>
      </c>
      <c r="I6025">
        <v>-61.741549999999997</v>
      </c>
      <c r="J6025">
        <v>-290.79360000000003</v>
      </c>
      <c r="K6025">
        <v>1.1273850000000001</v>
      </c>
      <c r="L6025">
        <v>-60.241790000000002</v>
      </c>
      <c r="M6025">
        <v>0.94079860000000004</v>
      </c>
      <c r="N6025">
        <v>-1.8214939999999999E-2</v>
      </c>
      <c r="O6025">
        <v>-0.33847640000000001</v>
      </c>
      <c r="P6025">
        <v>0.98185909999999998</v>
      </c>
      <c r="Q6025">
        <v>0.17195429999999901</v>
      </c>
      <c r="R6025">
        <v>-7.9902959999999995E-2</v>
      </c>
      <c r="S6025">
        <v>3.0693049999999999</v>
      </c>
      <c r="T6025">
        <v>-0.2217104</v>
      </c>
      <c r="U6025">
        <v>-0.30444339999999998</v>
      </c>
      <c r="V6025">
        <v>-0.2650613</v>
      </c>
      <c r="W6025">
        <v>0.17807819999999999</v>
      </c>
      <c r="X6025">
        <v>0.94764479999999995</v>
      </c>
      <c r="Y6025">
        <v>-0.24277019999999999</v>
      </c>
      <c r="Z6025">
        <v>2.8577890000000002E-2</v>
      </c>
      <c r="AA6025">
        <v>0.96966280000000005</v>
      </c>
      <c r="AB6025">
        <v>32</v>
      </c>
      <c r="AC6025">
        <v>15.456099999999999</v>
      </c>
      <c r="AD6025">
        <v>-1.127386746012</v>
      </c>
      <c r="AE6025">
        <v>-1.49975999999999</v>
      </c>
      <c r="AF6025">
        <v>-3.8011517264397598</v>
      </c>
      <c r="AG6025">
        <v>-1.127386746012</v>
      </c>
      <c r="AH6025">
        <v>14.9722913512216</v>
      </c>
      <c r="AI6025">
        <v>94.174211028346505</v>
      </c>
      <c r="AJ6025">
        <v>104.245233505313</v>
      </c>
      <c r="AK6025">
        <v>15.4883589714458</v>
      </c>
      <c r="AL6025">
        <v>79.7421596679619</v>
      </c>
      <c r="AM6025">
        <v>105.626589252204</v>
      </c>
      <c r="AN6025">
        <v>1.00000000251998</v>
      </c>
    </row>
    <row r="6026" spans="1:40" x14ac:dyDescent="0.25">
      <c r="A6026" t="str">
        <f>"20190304155755953"</f>
        <v>20190304155755953</v>
      </c>
      <c r="B6026" t="str">
        <f>"1551686275950769"</f>
        <v>1551686275950769</v>
      </c>
      <c r="C6026" t="s">
        <v>40</v>
      </c>
      <c r="D6026">
        <v>5.2173420000000004</v>
      </c>
      <c r="E6026">
        <v>0.50265609999999905</v>
      </c>
      <c r="F6026" t="s">
        <v>41</v>
      </c>
      <c r="G6026">
        <v>-275.26589999999999</v>
      </c>
      <c r="H6026" s="1">
        <v>-1.702845E-6</v>
      </c>
      <c r="I6026">
        <v>-61.685659999999999</v>
      </c>
      <c r="J6026">
        <v>-290.6422</v>
      </c>
      <c r="K6026">
        <v>1.127346</v>
      </c>
      <c r="L6026">
        <v>-60.2889699999999</v>
      </c>
      <c r="M6026">
        <v>0.94422119999999998</v>
      </c>
      <c r="N6026">
        <v>-1.820372E-2</v>
      </c>
      <c r="O6026">
        <v>-0.32880880000000001</v>
      </c>
      <c r="P6026">
        <v>0.98255020000000004</v>
      </c>
      <c r="Q6026">
        <v>0.1713044</v>
      </c>
      <c r="R6026">
        <v>-7.2458620000000001E-2</v>
      </c>
      <c r="S6026">
        <v>3.0712280000000001</v>
      </c>
      <c r="T6026">
        <v>-0.2229862</v>
      </c>
      <c r="U6026">
        <v>-0.28558349999999999</v>
      </c>
      <c r="V6026">
        <v>-0.26251039999999998</v>
      </c>
      <c r="W6026">
        <v>0.177564</v>
      </c>
      <c r="X6026">
        <v>0.94845100000000004</v>
      </c>
      <c r="Y6026">
        <v>-0.23878949999999999</v>
      </c>
      <c r="Z6026">
        <v>2.810493E-2</v>
      </c>
      <c r="AA6026">
        <v>0.97066459999999999</v>
      </c>
      <c r="AB6026">
        <v>32</v>
      </c>
      <c r="AC6026">
        <v>15.376300000000001</v>
      </c>
      <c r="AD6026">
        <v>-1.1273477028450001</v>
      </c>
      <c r="AE6026">
        <v>-1.39669</v>
      </c>
      <c r="AF6026">
        <v>-3.7178756833893498</v>
      </c>
      <c r="AG6026">
        <v>-1.1273477028450001</v>
      </c>
      <c r="AH6026">
        <v>14.900909474261001</v>
      </c>
      <c r="AI6026">
        <v>94.198318704884898</v>
      </c>
      <c r="AJ6026">
        <v>104.009635101904</v>
      </c>
      <c r="AK6026">
        <v>15.399045931497501</v>
      </c>
      <c r="AL6026">
        <v>79.772098184226195</v>
      </c>
      <c r="AM6026">
        <v>105.470919254687</v>
      </c>
      <c r="AN6026">
        <v>0.99999999180258003</v>
      </c>
    </row>
    <row r="6027" spans="1:40" x14ac:dyDescent="0.25">
      <c r="A6027" t="str">
        <f>"20190304155755964"</f>
        <v>20190304155755964</v>
      </c>
      <c r="B6027" t="str">
        <f>"1551686275960530"</f>
        <v>1551686275960530</v>
      </c>
      <c r="C6027" t="s">
        <v>40</v>
      </c>
      <c r="D6027">
        <v>5.2571019999999997</v>
      </c>
      <c r="E6027">
        <v>0.5031447</v>
      </c>
      <c r="F6027" t="s">
        <v>41</v>
      </c>
      <c r="G6027">
        <v>-275.36900000000003</v>
      </c>
      <c r="H6027" s="1">
        <v>-1.7279269999999999E-6</v>
      </c>
      <c r="I6027">
        <v>-61.599589999999999</v>
      </c>
      <c r="J6027">
        <v>-290.49579999999997</v>
      </c>
      <c r="K6027">
        <v>1.127305</v>
      </c>
      <c r="L6027">
        <v>-60.33276</v>
      </c>
      <c r="M6027">
        <v>0.94742329999999997</v>
      </c>
      <c r="N6027">
        <v>-1.8190629999999999E-2</v>
      </c>
      <c r="O6027">
        <v>-0.3194652</v>
      </c>
      <c r="P6027">
        <v>0.98318530000000004</v>
      </c>
      <c r="Q6027">
        <v>0.17050009999999999</v>
      </c>
      <c r="R6027">
        <v>-6.5396720000000005E-2</v>
      </c>
      <c r="S6027">
        <v>3.0733950000000001</v>
      </c>
      <c r="T6027">
        <v>-0.22685269999999999</v>
      </c>
      <c r="U6027">
        <v>-0.26373289999999999</v>
      </c>
      <c r="V6027">
        <v>-0.25994159999999999</v>
      </c>
      <c r="W6027">
        <v>0.17689569999999999</v>
      </c>
      <c r="X6027">
        <v>0.94928310000000005</v>
      </c>
      <c r="Y6027">
        <v>-0.23608319999999999</v>
      </c>
      <c r="Z6027">
        <v>2.8055739999999999E-2</v>
      </c>
      <c r="AA6027">
        <v>0.97132770000000002</v>
      </c>
      <c r="AB6027">
        <v>32</v>
      </c>
      <c r="AC6027">
        <v>15.1267999999999</v>
      </c>
      <c r="AD6027">
        <v>-1.1273067279269999</v>
      </c>
      <c r="AE6027">
        <v>-1.2668299999999899</v>
      </c>
      <c r="AF6027">
        <v>-3.61293758295795</v>
      </c>
      <c r="AG6027">
        <v>-1.1273067279269999</v>
      </c>
      <c r="AH6027">
        <v>14.657791450494599</v>
      </c>
      <c r="AI6027">
        <v>94.270545127043704</v>
      </c>
      <c r="AJ6027">
        <v>103.846583038343</v>
      </c>
      <c r="AK6027">
        <v>15.138526633836401</v>
      </c>
      <c r="AL6027">
        <v>79.811005611191106</v>
      </c>
      <c r="AM6027">
        <v>105.313876533954</v>
      </c>
      <c r="AN6027">
        <v>1.0000000640173199</v>
      </c>
    </row>
    <row r="6028" spans="1:40" x14ac:dyDescent="0.25">
      <c r="A6028" t="str">
        <f>"20190304155755976"</f>
        <v>20190304155755976</v>
      </c>
      <c r="B6028" t="str">
        <f>"1551686275970290"</f>
        <v>1551686275970290</v>
      </c>
      <c r="C6028" t="s">
        <v>40</v>
      </c>
      <c r="D6028">
        <v>5.2163629999999896</v>
      </c>
      <c r="E6028">
        <v>0.50330600000000003</v>
      </c>
      <c r="F6028" t="s">
        <v>41</v>
      </c>
      <c r="G6028">
        <v>-275.39159999999998</v>
      </c>
      <c r="H6028" s="1">
        <v>-1.7240079999999999E-6</v>
      </c>
      <c r="I6028">
        <v>-61.538339999999998</v>
      </c>
      <c r="J6028">
        <v>-290.35120000000001</v>
      </c>
      <c r="K6028">
        <v>1.127254</v>
      </c>
      <c r="L6028">
        <v>-60.374479999999998</v>
      </c>
      <c r="M6028">
        <v>0.95048049999999995</v>
      </c>
      <c r="N6028">
        <v>-1.817568E-2</v>
      </c>
      <c r="O6028">
        <v>-0.31025269999999999</v>
      </c>
      <c r="P6028">
        <v>0.98372809999999999</v>
      </c>
      <c r="Q6028">
        <v>0.169873</v>
      </c>
      <c r="R6028">
        <v>-5.8500940000000001E-2</v>
      </c>
      <c r="S6028">
        <v>3.0747990000000001</v>
      </c>
      <c r="T6028">
        <v>-0.22948779999999999</v>
      </c>
      <c r="U6028">
        <v>-0.24542240000000001</v>
      </c>
      <c r="V6028">
        <v>-0.2573627</v>
      </c>
      <c r="W6028">
        <v>0.17640520000000001</v>
      </c>
      <c r="X6028">
        <v>0.95007660000000005</v>
      </c>
      <c r="Y6028">
        <v>-0.23242660000000001</v>
      </c>
      <c r="Z6028">
        <v>2.7777610000000001E-2</v>
      </c>
      <c r="AA6028">
        <v>0.9722172</v>
      </c>
      <c r="AB6028">
        <v>32</v>
      </c>
      <c r="AC6028">
        <v>14.9596</v>
      </c>
      <c r="AD6028">
        <v>-1.1272557240079999</v>
      </c>
      <c r="AE6028">
        <v>-1.1638599999999899</v>
      </c>
      <c r="AF6028">
        <v>-3.5157707454982901</v>
      </c>
      <c r="AG6028">
        <v>-1.1272557240079999</v>
      </c>
      <c r="AH6028">
        <v>14.500465580712399</v>
      </c>
      <c r="AI6028">
        <v>94.320506760111201</v>
      </c>
      <c r="AJ6028">
        <v>103.62888457852399</v>
      </c>
      <c r="AK6028">
        <v>14.963116368579</v>
      </c>
      <c r="AL6028">
        <v>79.839557046021298</v>
      </c>
      <c r="AM6028">
        <v>105.15689342866899</v>
      </c>
      <c r="AN6028">
        <v>0.99999994990294305</v>
      </c>
    </row>
    <row r="6029" spans="1:40" x14ac:dyDescent="0.25">
      <c r="A6029" t="str">
        <f>"20190304155755986"</f>
        <v>20190304155755986</v>
      </c>
      <c r="B6029" t="str">
        <f>"1551686275981026"</f>
        <v>1551686275981026</v>
      </c>
      <c r="C6029" t="s">
        <v>40</v>
      </c>
      <c r="D6029">
        <v>5.1997589999999896</v>
      </c>
      <c r="E6029">
        <v>0.50359509999999996</v>
      </c>
      <c r="F6029" t="s">
        <v>41</v>
      </c>
      <c r="G6029">
        <v>-275.42419999999998</v>
      </c>
      <c r="H6029" s="1">
        <v>-1.721909E-6</v>
      </c>
      <c r="I6029">
        <v>-61.465949999999999</v>
      </c>
      <c r="J6029">
        <v>-290.19850000000002</v>
      </c>
      <c r="K6029">
        <v>1.1272040000000001</v>
      </c>
      <c r="L6029">
        <v>-60.417140000000003</v>
      </c>
      <c r="M6029">
        <v>0.95359780000000005</v>
      </c>
      <c r="N6029">
        <v>-1.8158509999999999E-2</v>
      </c>
      <c r="O6029">
        <v>-0.300535</v>
      </c>
      <c r="P6029">
        <v>0.98426530000000001</v>
      </c>
      <c r="Q6029">
        <v>0.1689582</v>
      </c>
      <c r="R6029">
        <v>-5.171618E-2</v>
      </c>
      <c r="S6029">
        <v>3.076355</v>
      </c>
      <c r="T6029">
        <v>-0.23232050000000001</v>
      </c>
      <c r="U6029">
        <v>-0.22494510000000001</v>
      </c>
      <c r="V6029">
        <v>-0.25419429999999998</v>
      </c>
      <c r="W6029">
        <v>0.1756556</v>
      </c>
      <c r="X6029">
        <v>0.95106800000000002</v>
      </c>
      <c r="Y6029">
        <v>-0.22896530000000001</v>
      </c>
      <c r="Z6029">
        <v>2.7486750000000001E-2</v>
      </c>
      <c r="AA6029">
        <v>0.97304639999999998</v>
      </c>
      <c r="AB6029">
        <v>32</v>
      </c>
      <c r="AC6029">
        <v>14.7743</v>
      </c>
      <c r="AD6029">
        <v>-1.1272057219089999</v>
      </c>
      <c r="AE6029">
        <v>-1.04880999999999</v>
      </c>
      <c r="AF6029">
        <v>-3.4208065640351601</v>
      </c>
      <c r="AG6029">
        <v>-1.1272057219089999</v>
      </c>
      <c r="AH6029">
        <v>14.3233636925123</v>
      </c>
      <c r="AI6029">
        <v>94.377129433022603</v>
      </c>
      <c r="AJ6029">
        <v>103.432170987522</v>
      </c>
      <c r="AK6029">
        <v>14.7692673398524</v>
      </c>
      <c r="AL6029">
        <v>79.883187635324106</v>
      </c>
      <c r="AM6029">
        <v>104.96381823111</v>
      </c>
      <c r="AN6029">
        <v>0.99999998629392395</v>
      </c>
    </row>
    <row r="6030" spans="1:40" x14ac:dyDescent="0.25">
      <c r="A6030" t="str">
        <f>"20190304155755997"</f>
        <v>20190304155755997</v>
      </c>
      <c r="B6030" t="str">
        <f>"1551686275990786"</f>
        <v>1551686275990786</v>
      </c>
      <c r="C6030" t="s">
        <v>40</v>
      </c>
      <c r="D6030">
        <v>5.2470929999999996</v>
      </c>
      <c r="E6030">
        <v>0.50419559999999997</v>
      </c>
      <c r="F6030" t="s">
        <v>41</v>
      </c>
      <c r="G6030">
        <v>-275.5292</v>
      </c>
      <c r="H6030" s="1">
        <v>-1.7517159999999999E-6</v>
      </c>
      <c r="I6030">
        <v>-61.39734</v>
      </c>
      <c r="J6030">
        <v>-290.05799999999999</v>
      </c>
      <c r="K6030">
        <v>1.1271469999999999</v>
      </c>
      <c r="L6030">
        <v>-60.454320000000003</v>
      </c>
      <c r="M6030">
        <v>0.95635749999999997</v>
      </c>
      <c r="N6030">
        <v>-1.813903E-2</v>
      </c>
      <c r="O6030">
        <v>-0.29163600000000001</v>
      </c>
      <c r="P6030">
        <v>0.98465899999999995</v>
      </c>
      <c r="Q6030">
        <v>0.1684079</v>
      </c>
      <c r="R6030">
        <v>-4.5671330000000003E-2</v>
      </c>
      <c r="S6030">
        <v>3.0777890000000001</v>
      </c>
      <c r="T6030">
        <v>-0.23650180000000001</v>
      </c>
      <c r="U6030">
        <v>-0.20565800000000001</v>
      </c>
      <c r="V6030">
        <v>-0.25114370000000003</v>
      </c>
      <c r="W6030">
        <v>0.17526359999999999</v>
      </c>
      <c r="X6030">
        <v>0.95195039999999997</v>
      </c>
      <c r="Y6030">
        <v>-0.2259718</v>
      </c>
      <c r="Z6030">
        <v>2.74142E-2</v>
      </c>
      <c r="AA6030">
        <v>0.97374799999999995</v>
      </c>
      <c r="AB6030">
        <v>32</v>
      </c>
      <c r="AC6030">
        <v>14.528799999999899</v>
      </c>
      <c r="AD6030">
        <v>-1.1271487517159999</v>
      </c>
      <c r="AE6030">
        <v>-0.94302000000000397</v>
      </c>
      <c r="AF6030">
        <v>-3.3159313957654599</v>
      </c>
      <c r="AG6030">
        <v>-1.1271487517159999</v>
      </c>
      <c r="AH6030">
        <v>14.087641702575899</v>
      </c>
      <c r="AI6030">
        <v>94.453286152679098</v>
      </c>
      <c r="AJ6030">
        <v>103.245114147227</v>
      </c>
      <c r="AK6030">
        <v>14.5164566637342</v>
      </c>
      <c r="AL6030">
        <v>79.906001904194397</v>
      </c>
      <c r="AM6030">
        <v>104.779044090271</v>
      </c>
      <c r="AN6030">
        <v>1.0000000257974</v>
      </c>
    </row>
    <row r="6031" spans="1:40" x14ac:dyDescent="0.25">
      <c r="A6031" t="str">
        <f>"20190304155756009"</f>
        <v>20190304155756009</v>
      </c>
      <c r="B6031" t="str">
        <f>"1551686276000546"</f>
        <v>1551686276000546</v>
      </c>
      <c r="C6031" t="s">
        <v>40</v>
      </c>
      <c r="D6031">
        <v>5.1884249999999996</v>
      </c>
      <c r="E6031">
        <v>0.50458639999999999</v>
      </c>
      <c r="F6031" t="s">
        <v>41</v>
      </c>
      <c r="G6031">
        <v>-275.59859999999998</v>
      </c>
      <c r="H6031" s="1">
        <v>-1.7715520000000001E-6</v>
      </c>
      <c r="I6031">
        <v>-61.352780000000003</v>
      </c>
      <c r="J6031">
        <v>-289.90699999999998</v>
      </c>
      <c r="K6031">
        <v>1.1270899999999999</v>
      </c>
      <c r="L6031">
        <v>-60.493650000000002</v>
      </c>
      <c r="M6031">
        <v>0.95922269999999998</v>
      </c>
      <c r="N6031">
        <v>-1.8117930000000001E-2</v>
      </c>
      <c r="O6031">
        <v>-0.28207080000000001</v>
      </c>
      <c r="P6031">
        <v>0.98506919999999998</v>
      </c>
      <c r="Q6031">
        <v>0.16772809999999999</v>
      </c>
      <c r="R6031">
        <v>-3.8810049999999999E-2</v>
      </c>
      <c r="S6031">
        <v>3.0789179999999998</v>
      </c>
      <c r="T6031">
        <v>-0.2400099</v>
      </c>
      <c r="U6031">
        <v>-0.1913147</v>
      </c>
      <c r="V6031">
        <v>-0.24823880000000001</v>
      </c>
      <c r="W6031">
        <v>0.1747369</v>
      </c>
      <c r="X6031">
        <v>0.95280880000000001</v>
      </c>
      <c r="Y6031">
        <v>-0.22077740000000001</v>
      </c>
      <c r="Z6031">
        <v>2.7083860000000001E-2</v>
      </c>
      <c r="AA6031">
        <v>0.97494809999999998</v>
      </c>
      <c r="AB6031">
        <v>32</v>
      </c>
      <c r="AC6031">
        <v>14.308400000000001</v>
      </c>
      <c r="AD6031">
        <v>-1.1270917715519999</v>
      </c>
      <c r="AE6031">
        <v>-0.85912999999999995</v>
      </c>
      <c r="AF6031">
        <v>-3.1926723926978902</v>
      </c>
      <c r="AG6031">
        <v>-1.1270917715519999</v>
      </c>
      <c r="AH6031">
        <v>13.883729884475301</v>
      </c>
      <c r="AI6031">
        <v>94.523582470952107</v>
      </c>
      <c r="AJ6031">
        <v>102.950469707473</v>
      </c>
      <c r="AK6031">
        <v>14.2906069980833</v>
      </c>
      <c r="AL6031">
        <v>79.936652802896106</v>
      </c>
      <c r="AM6031">
        <v>104.60285488047199</v>
      </c>
      <c r="AN6031">
        <v>1.0000000477022399</v>
      </c>
    </row>
    <row r="6032" spans="1:40" x14ac:dyDescent="0.25">
      <c r="A6032" t="str">
        <f>"20190304155756021"</f>
        <v>20190304155756021</v>
      </c>
      <c r="B6032" t="str">
        <f>"1551686276011283"</f>
        <v>1551686276011283</v>
      </c>
      <c r="C6032" t="s">
        <v>40</v>
      </c>
      <c r="D6032">
        <v>5.0590099999999998</v>
      </c>
      <c r="E6032">
        <v>0.50454069999999995</v>
      </c>
      <c r="F6032" t="s">
        <v>41</v>
      </c>
      <c r="G6032">
        <v>-275.57679999999999</v>
      </c>
      <c r="H6032" s="1">
        <v>-1.7500260000000001E-6</v>
      </c>
      <c r="I6032">
        <v>-61.29804</v>
      </c>
      <c r="J6032">
        <v>-289.74939999999998</v>
      </c>
      <c r="K6032">
        <v>1.1270150000000001</v>
      </c>
      <c r="L6032">
        <v>-60.531860000000002</v>
      </c>
      <c r="M6032">
        <v>0.96207949999999998</v>
      </c>
      <c r="N6032">
        <v>-1.8089629999999999E-2</v>
      </c>
      <c r="O6032">
        <v>-0.27216859999999998</v>
      </c>
      <c r="P6032">
        <v>0.98538740000000002</v>
      </c>
      <c r="Q6032">
        <v>0.1673519</v>
      </c>
      <c r="R6032">
        <v>-3.1701489999999999E-2</v>
      </c>
      <c r="S6032">
        <v>3.079895</v>
      </c>
      <c r="T6032">
        <v>-0.2422377</v>
      </c>
      <c r="U6032">
        <v>-0.17288210000000001</v>
      </c>
      <c r="V6032">
        <v>-0.2452522</v>
      </c>
      <c r="W6032">
        <v>0.17451849999999999</v>
      </c>
      <c r="X6032">
        <v>0.95362190000000002</v>
      </c>
      <c r="Y6032">
        <v>-0.21656410000000001</v>
      </c>
      <c r="Z6032">
        <v>2.6600410000000001E-2</v>
      </c>
      <c r="AA6032">
        <v>0.97590600000000005</v>
      </c>
      <c r="AB6032">
        <v>32</v>
      </c>
      <c r="AC6032">
        <v>14.1725999999999</v>
      </c>
      <c r="AD6032">
        <v>-1.12701675002599</v>
      </c>
      <c r="AE6032">
        <v>-0.76618000000000497</v>
      </c>
      <c r="AF6032">
        <v>-3.10116808088166</v>
      </c>
      <c r="AG6032">
        <v>-1.12701675002599</v>
      </c>
      <c r="AH6032">
        <v>13.7592104020923</v>
      </c>
      <c r="AI6032">
        <v>94.568542839273306</v>
      </c>
      <c r="AJ6032">
        <v>102.701569693474</v>
      </c>
      <c r="AK6032">
        <v>14.1493208709734</v>
      </c>
      <c r="AL6032">
        <v>79.949361379775297</v>
      </c>
      <c r="AM6032">
        <v>104.422753455953</v>
      </c>
      <c r="AN6032">
        <v>1.0000000383033401</v>
      </c>
    </row>
    <row r="6033" spans="1:40" x14ac:dyDescent="0.25">
      <c r="A6033" t="str">
        <f>"20190304155756032"</f>
        <v>20190304155756032</v>
      </c>
      <c r="B6033" t="str">
        <f>"1551686276021042"</f>
        <v>1551686276021042</v>
      </c>
      <c r="C6033" t="s">
        <v>40</v>
      </c>
      <c r="D6033">
        <v>5.2059879999999996</v>
      </c>
      <c r="E6033">
        <v>0.50522719999999999</v>
      </c>
      <c r="F6033" t="s">
        <v>41</v>
      </c>
      <c r="G6033">
        <v>-275.67450000000002</v>
      </c>
      <c r="H6033" s="1">
        <v>-1.7745300000000001E-6</v>
      </c>
      <c r="I6033">
        <v>-61.219740000000002</v>
      </c>
      <c r="J6033">
        <v>-289.60149999999999</v>
      </c>
      <c r="K6033">
        <v>1.126938</v>
      </c>
      <c r="L6033">
        <v>-60.5670199999999</v>
      </c>
      <c r="M6033">
        <v>0.96465889999999999</v>
      </c>
      <c r="N6033">
        <v>-1.8062479999999999E-2</v>
      </c>
      <c r="O6033">
        <v>-0.26288240000000002</v>
      </c>
      <c r="P6033">
        <v>0.98554129999999995</v>
      </c>
      <c r="Q6033">
        <v>0.1675489</v>
      </c>
      <c r="R6033">
        <v>-2.522551E-2</v>
      </c>
      <c r="S6033">
        <v>3.0815730000000001</v>
      </c>
      <c r="T6033">
        <v>-0.24674950000000001</v>
      </c>
      <c r="U6033">
        <v>-0.15060419999999999</v>
      </c>
      <c r="V6033">
        <v>-0.24228459999999999</v>
      </c>
      <c r="W6033">
        <v>0.1748702</v>
      </c>
      <c r="X6033">
        <v>0.95431580000000005</v>
      </c>
      <c r="Y6033">
        <v>-0.21419489999999999</v>
      </c>
      <c r="Z6033">
        <v>2.648791E-2</v>
      </c>
      <c r="AA6033">
        <v>0.97643170000000001</v>
      </c>
      <c r="AB6033">
        <v>32</v>
      </c>
      <c r="AC6033">
        <v>13.9269999999999</v>
      </c>
      <c r="AD6033">
        <v>-1.12693977453</v>
      </c>
      <c r="AE6033">
        <v>-0.65272000000000896</v>
      </c>
      <c r="AF6033">
        <v>-3.0123249042651801</v>
      </c>
      <c r="AG6033">
        <v>-1.12693977453</v>
      </c>
      <c r="AH6033">
        <v>13.520279629725801</v>
      </c>
      <c r="AI6033">
        <v>94.651167848907406</v>
      </c>
      <c r="AJ6033">
        <v>102.560376886451</v>
      </c>
      <c r="AK6033">
        <v>13.8975557509316</v>
      </c>
      <c r="AL6033">
        <v>79.928895666301102</v>
      </c>
      <c r="AM6033">
        <v>104.245446238562</v>
      </c>
      <c r="AN6033">
        <v>1.0000000301874099</v>
      </c>
    </row>
    <row r="6034" spans="1:40" x14ac:dyDescent="0.25">
      <c r="A6034" t="str">
        <f>"20190304155756043"</f>
        <v>20190304155756043</v>
      </c>
      <c r="B6034" t="str">
        <f>"1551686276030802"</f>
        <v>1551686276030802</v>
      </c>
      <c r="C6034" t="s">
        <v>40</v>
      </c>
      <c r="D6034">
        <v>5.2263659999999996</v>
      </c>
      <c r="E6034">
        <v>0.50595409999999996</v>
      </c>
      <c r="F6034" t="s">
        <v>41</v>
      </c>
      <c r="G6034">
        <v>-275.44209999999998</v>
      </c>
      <c r="H6034" s="1">
        <v>-1.6685899999999999E-6</v>
      </c>
      <c r="I6034">
        <v>-61.191580000000002</v>
      </c>
      <c r="J6034">
        <v>-289.45409999999998</v>
      </c>
      <c r="K6034">
        <v>1.1268499999999999</v>
      </c>
      <c r="L6034">
        <v>-60.599879999999999</v>
      </c>
      <c r="M6034">
        <v>0.96711380000000002</v>
      </c>
      <c r="N6034">
        <v>-1.8029750000000001E-2</v>
      </c>
      <c r="O6034">
        <v>-0.25370479999999901</v>
      </c>
      <c r="P6034">
        <v>0.98571710000000001</v>
      </c>
      <c r="Q6034">
        <v>0.16735520000000001</v>
      </c>
      <c r="R6034">
        <v>-1.88224E-2</v>
      </c>
      <c r="S6034">
        <v>3.0822449999999999</v>
      </c>
      <c r="T6034">
        <v>-0.2453148</v>
      </c>
      <c r="U6034">
        <v>-0.13595579999999999</v>
      </c>
      <c r="V6034">
        <v>-0.239371</v>
      </c>
      <c r="W6034">
        <v>0.17482979999999901</v>
      </c>
      <c r="X6034">
        <v>0.95505819999999997</v>
      </c>
      <c r="Y6034">
        <v>-0.2096037</v>
      </c>
      <c r="Z6034">
        <v>2.5561739999999999E-2</v>
      </c>
      <c r="AA6034">
        <v>0.97745230000000005</v>
      </c>
      <c r="AB6034">
        <v>31</v>
      </c>
      <c r="AC6034">
        <v>14.012</v>
      </c>
      <c r="AD6034">
        <v>-1.1268516685900001</v>
      </c>
      <c r="AE6034">
        <v>-0.59169999999999501</v>
      </c>
      <c r="AF6034">
        <v>-2.96401935288808</v>
      </c>
      <c r="AG6034">
        <v>-1.1268516685900001</v>
      </c>
      <c r="AH6034">
        <v>13.6156393883855</v>
      </c>
      <c r="AI6034">
        <v>94.623311137474204</v>
      </c>
      <c r="AJ6034">
        <v>102.28123822489</v>
      </c>
      <c r="AK6034">
        <v>13.980015785465101</v>
      </c>
      <c r="AL6034">
        <v>79.931246833703597</v>
      </c>
      <c r="AM6034">
        <v>104.070480327543</v>
      </c>
      <c r="AN6034">
        <v>1.0000000499981301</v>
      </c>
    </row>
    <row r="6035" spans="1:40" x14ac:dyDescent="0.25">
      <c r="A6035" t="str">
        <f>"20190304155756054"</f>
        <v>20190304155756054</v>
      </c>
      <c r="B6035" t="str">
        <f>"1551686276051299"</f>
        <v>1551686276051299</v>
      </c>
      <c r="C6035" t="s">
        <v>40</v>
      </c>
      <c r="D6035">
        <v>5.222308</v>
      </c>
      <c r="E6035">
        <v>0.50750329999999999</v>
      </c>
      <c r="F6035" t="s">
        <v>41</v>
      </c>
      <c r="G6035">
        <v>-275.26499999999999</v>
      </c>
      <c r="H6035" s="1">
        <v>-1.5857290000000001E-6</v>
      </c>
      <c r="I6035">
        <v>-61.1607699999999</v>
      </c>
      <c r="J6035">
        <v>-289.30520000000001</v>
      </c>
      <c r="K6035">
        <v>1.1267590000000001</v>
      </c>
      <c r="L6035">
        <v>-60.63205</v>
      </c>
      <c r="M6035">
        <v>0.9694893</v>
      </c>
      <c r="N6035">
        <v>-1.7994799999999998E-2</v>
      </c>
      <c r="O6035">
        <v>-0.24447279999999999</v>
      </c>
      <c r="P6035">
        <v>0.98582700000000001</v>
      </c>
      <c r="Q6035">
        <v>0.16730809999999999</v>
      </c>
      <c r="R6035">
        <v>-1.238734E-2</v>
      </c>
      <c r="S6035">
        <v>3.082703</v>
      </c>
      <c r="T6035">
        <v>-0.2448179</v>
      </c>
      <c r="U6035">
        <v>-0.1218567</v>
      </c>
      <c r="V6035">
        <v>-0.23644989999999999</v>
      </c>
      <c r="W6035">
        <v>0.17493590000000001</v>
      </c>
      <c r="X6035">
        <v>0.95576609999999995</v>
      </c>
      <c r="Y6035">
        <v>-0.20478940000000001</v>
      </c>
      <c r="Z6035">
        <v>2.4735500000000001E-2</v>
      </c>
      <c r="AA6035">
        <v>0.97849350000000002</v>
      </c>
      <c r="AB6035">
        <v>31</v>
      </c>
      <c r="AC6035">
        <v>14.0402</v>
      </c>
      <c r="AD6035">
        <v>-1.126760585729</v>
      </c>
      <c r="AE6035">
        <v>-0.52871999999999197</v>
      </c>
      <c r="AF6035">
        <v>-2.9016694801550398</v>
      </c>
      <c r="AG6035">
        <v>-1.126760585729</v>
      </c>
      <c r="AH6035">
        <v>13.6554818065069</v>
      </c>
      <c r="AI6035">
        <v>94.614418979060702</v>
      </c>
      <c r="AJ6035">
        <v>101.996415943042</v>
      </c>
      <c r="AK6035">
        <v>14.005765190001499</v>
      </c>
      <c r="AL6035">
        <v>79.925071901017802</v>
      </c>
      <c r="AM6035">
        <v>103.895577073621</v>
      </c>
      <c r="AN6035">
        <v>0.999999981114014</v>
      </c>
    </row>
    <row r="6036" spans="1:40" x14ac:dyDescent="0.25">
      <c r="A6036" t="str">
        <f>"20190304155756064"</f>
        <v>20190304155756064</v>
      </c>
      <c r="B6036" t="str">
        <f>"1551686276061058"</f>
        <v>1551686276061058</v>
      </c>
      <c r="C6036" t="s">
        <v>40</v>
      </c>
      <c r="D6036">
        <v>5.2579099999999999</v>
      </c>
      <c r="E6036">
        <v>0.50750329999999999</v>
      </c>
      <c r="F6036" t="s">
        <v>41</v>
      </c>
      <c r="G6036">
        <v>-275.01139999999998</v>
      </c>
      <c r="H6036" s="1">
        <v>-1.476915E-6</v>
      </c>
      <c r="I6036">
        <v>-61.160519999999998</v>
      </c>
      <c r="J6036">
        <v>-289.16379999999998</v>
      </c>
      <c r="K6036">
        <v>1.1266609999999999</v>
      </c>
      <c r="L6036">
        <v>-60.661070000000002</v>
      </c>
      <c r="M6036">
        <v>0.97164479999999998</v>
      </c>
      <c r="N6036">
        <v>-1.795797E-2</v>
      </c>
      <c r="O6036">
        <v>-0.23576250000000001</v>
      </c>
      <c r="P6036">
        <v>0.98578399999999999</v>
      </c>
      <c r="Q6036">
        <v>0.1678761</v>
      </c>
      <c r="R6036">
        <v>-6.8939020000000004E-3</v>
      </c>
      <c r="S6036">
        <v>3.0829770000000001</v>
      </c>
      <c r="T6036">
        <v>-0.24302670000000001</v>
      </c>
      <c r="U6036">
        <v>-0.11398320000000001</v>
      </c>
      <c r="V6036">
        <v>-0.23314660000000001</v>
      </c>
      <c r="W6036">
        <v>0.1756711</v>
      </c>
      <c r="X6036">
        <v>0.95644249999999997</v>
      </c>
      <c r="Y6036">
        <v>-0.1985587</v>
      </c>
      <c r="Z6036">
        <v>2.3732530000000002E-2</v>
      </c>
      <c r="AA6036">
        <v>0.9798017</v>
      </c>
      <c r="AB6036">
        <v>31</v>
      </c>
      <c r="AC6036">
        <v>14.1524</v>
      </c>
      <c r="AD6036">
        <v>-1.126662476915</v>
      </c>
      <c r="AE6036">
        <v>-0.499450000000003</v>
      </c>
      <c r="AF6036">
        <v>-2.8338394801741602</v>
      </c>
      <c r="AG6036">
        <v>-1.126662476915</v>
      </c>
      <c r="AH6036">
        <v>13.7838454622251</v>
      </c>
      <c r="AI6036">
        <v>94.577528012303802</v>
      </c>
      <c r="AJ6036">
        <v>101.617638171217</v>
      </c>
      <c r="AK6036">
        <v>14.1171672180642</v>
      </c>
      <c r="AL6036">
        <v>79.882285296610704</v>
      </c>
      <c r="AM6036">
        <v>103.699493974999</v>
      </c>
      <c r="AN6036">
        <v>0.99999996413650905</v>
      </c>
    </row>
    <row r="6037" spans="1:40" x14ac:dyDescent="0.25">
      <c r="A6037" t="str">
        <f>"20190304155756076"</f>
        <v>20190304155756076</v>
      </c>
      <c r="B6037" t="str">
        <f>"1551686276070818"</f>
        <v>1551686276070818</v>
      </c>
      <c r="C6037" t="s">
        <v>40</v>
      </c>
      <c r="D6037">
        <v>5.1746800000000004</v>
      </c>
      <c r="E6037">
        <v>0.52251970000000003</v>
      </c>
      <c r="F6037" t="s">
        <v>41</v>
      </c>
      <c r="G6037">
        <v>-274.76400000000001</v>
      </c>
      <c r="H6037" s="1">
        <v>-1.360105E-6</v>
      </c>
      <c r="I6037">
        <v>-61.112540000000003</v>
      </c>
      <c r="J6037">
        <v>-288.99919999999997</v>
      </c>
      <c r="K6037">
        <v>1.12653799999999</v>
      </c>
      <c r="L6037">
        <v>-60.693150000000003</v>
      </c>
      <c r="M6037">
        <v>0.97403260000000003</v>
      </c>
      <c r="N6037">
        <v>-1.7911360000000001E-2</v>
      </c>
      <c r="O6037">
        <v>-0.22569829999999999</v>
      </c>
      <c r="P6037">
        <v>0.98579340000000004</v>
      </c>
      <c r="Q6037">
        <v>0.167963</v>
      </c>
      <c r="R6037" s="1">
        <v>-3.2868240000000001E-5</v>
      </c>
      <c r="S6037">
        <v>3.0836790000000001</v>
      </c>
      <c r="T6037">
        <v>-0.24127129999999999</v>
      </c>
      <c r="U6037">
        <v>-9.6679689999999999E-2</v>
      </c>
      <c r="V6037">
        <v>-0.22984569999999999</v>
      </c>
      <c r="W6037">
        <v>0.17592969999999999</v>
      </c>
      <c r="X6037">
        <v>0.95719370000000004</v>
      </c>
      <c r="Y6037">
        <v>-0.1939707</v>
      </c>
      <c r="Z6037">
        <v>2.2745430000000001E-2</v>
      </c>
      <c r="AA6037">
        <v>0.98074360000000005</v>
      </c>
      <c r="AB6037">
        <v>31</v>
      </c>
      <c r="AC6037">
        <v>14.235199999999899</v>
      </c>
      <c r="AD6037">
        <v>-1.12653936010499</v>
      </c>
      <c r="AE6037">
        <v>-0.41938999999999899</v>
      </c>
      <c r="AF6037">
        <v>-2.7873693166445501</v>
      </c>
      <c r="AG6037">
        <v>-1.12653936010499</v>
      </c>
      <c r="AH6037">
        <v>13.8756197546411</v>
      </c>
      <c r="AI6037">
        <v>94.551047656543005</v>
      </c>
      <c r="AJ6037">
        <v>101.358543508103</v>
      </c>
      <c r="AK6037">
        <v>14.197582266450301</v>
      </c>
      <c r="AL6037">
        <v>79.867234998827399</v>
      </c>
      <c r="AM6037">
        <v>103.50248025510901</v>
      </c>
      <c r="AN6037">
        <v>1.0000000422351301</v>
      </c>
    </row>
    <row r="6038" spans="1:40" x14ac:dyDescent="0.25">
      <c r="A6038" t="str">
        <f>"20190304155756087"</f>
        <v>20190304155756087</v>
      </c>
      <c r="B6038" t="str">
        <f>"1551686276080578"</f>
        <v>1551686276080578</v>
      </c>
      <c r="C6038" t="s">
        <v>40</v>
      </c>
      <c r="D6038">
        <v>5.1446360000000002</v>
      </c>
      <c r="E6038">
        <v>0.52240220000000004</v>
      </c>
      <c r="F6038" t="s">
        <v>41</v>
      </c>
      <c r="G6038">
        <v>-273.31119999999999</v>
      </c>
      <c r="H6038" s="1">
        <v>-8.6419720000000003E-7</v>
      </c>
      <c r="I6038">
        <v>-61.685319999999997</v>
      </c>
      <c r="J6038">
        <v>-288.85469999999998</v>
      </c>
      <c r="K6038">
        <v>1.126425</v>
      </c>
      <c r="L6038">
        <v>-60.720280000000002</v>
      </c>
      <c r="M6038">
        <v>0.97602770000000005</v>
      </c>
      <c r="N6038">
        <v>-1.7869139999999999E-2</v>
      </c>
      <c r="O6038">
        <v>-0.21691150000000001</v>
      </c>
      <c r="P6038">
        <v>0.98572610000000005</v>
      </c>
      <c r="Q6038">
        <v>0.16826769999999999</v>
      </c>
      <c r="R6038">
        <v>5.4749459999999996E-3</v>
      </c>
      <c r="S6038">
        <v>3.080994</v>
      </c>
      <c r="T6038">
        <v>-0.2212421</v>
      </c>
      <c r="U6038">
        <v>-0.19485469999999999</v>
      </c>
      <c r="V6038">
        <v>-0.2265084</v>
      </c>
      <c r="W6038">
        <v>0.176403799999999</v>
      </c>
      <c r="X6038">
        <v>0.95790169999999997</v>
      </c>
      <c r="Y6038">
        <v>-0.15410160000000001</v>
      </c>
      <c r="Z6038">
        <v>1.842249E-2</v>
      </c>
      <c r="AA6038">
        <v>0.98788330000000002</v>
      </c>
      <c r="AB6038">
        <v>31</v>
      </c>
      <c r="AC6038">
        <v>15.5434999999999</v>
      </c>
      <c r="AD6038">
        <v>-1.1264258641972</v>
      </c>
      <c r="AE6038">
        <v>-0.96503999999999401</v>
      </c>
      <c r="AF6038">
        <v>-2.4173992232257899</v>
      </c>
      <c r="AG6038">
        <v>-1.1264258641972</v>
      </c>
      <c r="AH6038">
        <v>15.302613541450601</v>
      </c>
      <c r="AI6038">
        <v>94.158565885246702</v>
      </c>
      <c r="AJ6038">
        <v>98.976999643228197</v>
      </c>
      <c r="AK6038">
        <v>15.5332751031768</v>
      </c>
      <c r="AL6038">
        <v>79.839639169498199</v>
      </c>
      <c r="AM6038">
        <v>103.303967210902</v>
      </c>
      <c r="AN6038">
        <v>1.00000001139394</v>
      </c>
    </row>
    <row r="6039" spans="1:40" x14ac:dyDescent="0.25">
      <c r="A6039" t="str">
        <f>"20190304155756100"</f>
        <v>20190304155756100</v>
      </c>
      <c r="B6039" t="str">
        <f>"1551686276091314"</f>
        <v>1551686276091314</v>
      </c>
      <c r="C6039" t="s">
        <v>40</v>
      </c>
      <c r="D6039">
        <v>5.2070600000000002</v>
      </c>
      <c r="E6039">
        <v>0.5234356</v>
      </c>
      <c r="F6039" t="s">
        <v>41</v>
      </c>
      <c r="G6039">
        <v>-272.92910000000001</v>
      </c>
      <c r="H6039" s="1">
        <v>-6.8873609999999899E-7</v>
      </c>
      <c r="I6039">
        <v>-61.63326</v>
      </c>
      <c r="J6039">
        <v>-288.69940000000003</v>
      </c>
      <c r="K6039">
        <v>1.126287</v>
      </c>
      <c r="L6039">
        <v>-60.747280000000003</v>
      </c>
      <c r="M6039">
        <v>0.97805059999999999</v>
      </c>
      <c r="N6039">
        <v>-1.7817759999999998E-2</v>
      </c>
      <c r="O6039">
        <v>-0.2076045</v>
      </c>
      <c r="P6039">
        <v>0.98561600000000005</v>
      </c>
      <c r="Q6039">
        <v>0.16859560000000001</v>
      </c>
      <c r="R6039">
        <v>1.1699269999999999E-2</v>
      </c>
      <c r="S6039">
        <v>3.0816650000000001</v>
      </c>
      <c r="T6039">
        <v>-0.217968</v>
      </c>
      <c r="U6039">
        <v>-0.176666299999999</v>
      </c>
      <c r="V6039">
        <v>-0.22336300000000001</v>
      </c>
      <c r="W6039">
        <v>0.17689569999999999</v>
      </c>
      <c r="X6039">
        <v>0.9585494</v>
      </c>
      <c r="Y6039">
        <v>-0.15056020000000001</v>
      </c>
      <c r="Z6039">
        <v>1.749069E-2</v>
      </c>
      <c r="AA6039">
        <v>0.98844609999999999</v>
      </c>
      <c r="AB6039">
        <v>31</v>
      </c>
      <c r="AC6039">
        <v>15.770300000000001</v>
      </c>
      <c r="AD6039">
        <v>-1.1262876887361</v>
      </c>
      <c r="AE6039">
        <v>-0.88597999999999599</v>
      </c>
      <c r="AF6039">
        <v>-2.39565336988445</v>
      </c>
      <c r="AG6039">
        <v>-1.1262876887361</v>
      </c>
      <c r="AH6039">
        <v>15.531591638786701</v>
      </c>
      <c r="AI6039">
        <v>94.099287697270199</v>
      </c>
      <c r="AJ6039">
        <v>98.768423557968006</v>
      </c>
      <c r="AK6039">
        <v>15.755571010295601</v>
      </c>
      <c r="AL6039">
        <v>79.811005315918806</v>
      </c>
      <c r="AM6039">
        <v>103.117098522161</v>
      </c>
      <c r="AN6039">
        <v>1.00000003534392</v>
      </c>
    </row>
    <row r="6040" spans="1:40" x14ac:dyDescent="0.25">
      <c r="A6040" t="str">
        <f>"20190304155756110"</f>
        <v>20190304155756110</v>
      </c>
      <c r="B6040" t="str">
        <f>"1551686276101074"</f>
        <v>1551686276101074</v>
      </c>
      <c r="C6040" t="s">
        <v>40</v>
      </c>
      <c r="D6040">
        <v>5.0941720000000004</v>
      </c>
      <c r="E6040">
        <v>0.52388639999999997</v>
      </c>
      <c r="F6040" t="s">
        <v>41</v>
      </c>
      <c r="G6040">
        <v>-272.6832</v>
      </c>
      <c r="H6040" s="1">
        <v>-5.7711919999999897E-7</v>
      </c>
      <c r="I6040">
        <v>-61.605809999999998</v>
      </c>
      <c r="J6040">
        <v>-288.54910000000001</v>
      </c>
      <c r="K6040">
        <v>1.126147</v>
      </c>
      <c r="L6040">
        <v>-60.772829999999999</v>
      </c>
      <c r="M6040">
        <v>0.97991349999999999</v>
      </c>
      <c r="N6040">
        <v>-1.776867E-2</v>
      </c>
      <c r="O6040">
        <v>-0.1986298</v>
      </c>
      <c r="P6040">
        <v>0.98555990000000004</v>
      </c>
      <c r="Q6040">
        <v>0.16843169999999999</v>
      </c>
      <c r="R6040">
        <v>1.7395959999999999E-2</v>
      </c>
      <c r="S6040">
        <v>3.0828549999999999</v>
      </c>
      <c r="T6040">
        <v>-0.2167914</v>
      </c>
      <c r="U6040">
        <v>-0.1652527</v>
      </c>
      <c r="V6040">
        <v>-0.22004389999999999</v>
      </c>
      <c r="W6040">
        <v>0.1769046</v>
      </c>
      <c r="X6040">
        <v>0.95931509999999998</v>
      </c>
      <c r="Y6040">
        <v>-0.14520269999999999</v>
      </c>
      <c r="Z6040">
        <v>1.6694270000000001E-2</v>
      </c>
      <c r="AA6040">
        <v>0.9892611</v>
      </c>
      <c r="AB6040">
        <v>31</v>
      </c>
      <c r="AC6040">
        <v>15.8659</v>
      </c>
      <c r="AD6040">
        <v>-1.1261475771192</v>
      </c>
      <c r="AE6040">
        <v>-0.83297999999999195</v>
      </c>
      <c r="AF6040">
        <v>-2.3238853017735002</v>
      </c>
      <c r="AG6040">
        <v>-1.1261475771192</v>
      </c>
      <c r="AH6040">
        <v>15.636584242039101</v>
      </c>
      <c r="AI6040">
        <v>94.074731347790504</v>
      </c>
      <c r="AJ6040">
        <v>98.4533362130596</v>
      </c>
      <c r="AK6040">
        <v>15.8483884991388</v>
      </c>
      <c r="AL6040">
        <v>79.810486933449695</v>
      </c>
      <c r="AM6040">
        <v>102.91880585711399</v>
      </c>
      <c r="AN6040">
        <v>1.0000000082581899</v>
      </c>
    </row>
    <row r="6041" spans="1:40" x14ac:dyDescent="0.25">
      <c r="A6041" t="str">
        <f>"20190304155756121"</f>
        <v>20190304155756121</v>
      </c>
      <c r="B6041" t="str">
        <f>"1551686276110835"</f>
        <v>1551686276110835</v>
      </c>
      <c r="C6041" t="s">
        <v>40</v>
      </c>
      <c r="D6041">
        <v>5.1792420000000003</v>
      </c>
      <c r="E6041">
        <v>0.52388639999999997</v>
      </c>
      <c r="F6041" t="s">
        <v>41</v>
      </c>
      <c r="G6041">
        <v>-272.36840000000001</v>
      </c>
      <c r="H6041" s="1">
        <v>-4.3256429999999998E-7</v>
      </c>
      <c r="I6041">
        <v>-61.563029999999998</v>
      </c>
      <c r="J6041">
        <v>-288.39580000000001</v>
      </c>
      <c r="K6041">
        <v>1.1259840000000001</v>
      </c>
      <c r="L6041">
        <v>-60.796509999999998</v>
      </c>
      <c r="M6041">
        <v>0.98168999999999995</v>
      </c>
      <c r="N6041">
        <v>-1.7710420000000001E-2</v>
      </c>
      <c r="O6041">
        <v>-0.18965989999999999</v>
      </c>
      <c r="P6041">
        <v>0.9854948</v>
      </c>
      <c r="Q6041">
        <v>0.16817599999999999</v>
      </c>
      <c r="R6041">
        <v>2.2733960000000001E-2</v>
      </c>
      <c r="S6041">
        <v>3.0832820000000001</v>
      </c>
      <c r="T6041">
        <v>-0.21459030000000001</v>
      </c>
      <c r="U6041">
        <v>-0.1505737</v>
      </c>
      <c r="V6041">
        <v>-0.21638080000000001</v>
      </c>
      <c r="W6041">
        <v>0.176838</v>
      </c>
      <c r="X6041">
        <v>0.96016029999999997</v>
      </c>
      <c r="Y6041">
        <v>-0.14089749999999901</v>
      </c>
      <c r="Z6041">
        <v>1.5871779999999999E-2</v>
      </c>
      <c r="AA6041">
        <v>0.98989700000000003</v>
      </c>
      <c r="AB6041">
        <v>31</v>
      </c>
      <c r="AC6041">
        <v>16.0274</v>
      </c>
      <c r="AD6041">
        <v>-1.1259844325643</v>
      </c>
      <c r="AE6041">
        <v>-0.76652000000000697</v>
      </c>
      <c r="AF6041">
        <v>-2.2764192750449901</v>
      </c>
      <c r="AG6041">
        <v>-1.1259844325643</v>
      </c>
      <c r="AH6041">
        <v>15.8039850865642</v>
      </c>
      <c r="AI6041">
        <v>94.033767187611005</v>
      </c>
      <c r="AJ6041">
        <v>98.196555702125295</v>
      </c>
      <c r="AK6041">
        <v>16.006744524559501</v>
      </c>
      <c r="AL6041">
        <v>79.814364544483695</v>
      </c>
      <c r="AM6041">
        <v>102.699962017118</v>
      </c>
      <c r="AN6041">
        <v>1.0000000652743599</v>
      </c>
    </row>
    <row r="6042" spans="1:40" x14ac:dyDescent="0.25">
      <c r="A6042" t="str">
        <f>"20190304155756133"</f>
        <v>20190304155756133</v>
      </c>
      <c r="B6042" t="str">
        <f>"1551686276120595"</f>
        <v>1551686276120595</v>
      </c>
      <c r="C6042" t="s">
        <v>40</v>
      </c>
      <c r="D6042">
        <v>5.176501</v>
      </c>
      <c r="E6042">
        <v>0.52604030000000002</v>
      </c>
      <c r="F6042" t="s">
        <v>41</v>
      </c>
      <c r="G6042">
        <v>-272.28469999999999</v>
      </c>
      <c r="H6042" s="1">
        <v>-3.812236E-7</v>
      </c>
      <c r="I6042">
        <v>-61.493679999999998</v>
      </c>
      <c r="J6042">
        <v>-288.245</v>
      </c>
      <c r="K6042">
        <v>1.125818</v>
      </c>
      <c r="L6042">
        <v>-60.819119999999998</v>
      </c>
      <c r="M6042">
        <v>0.98334500000000002</v>
      </c>
      <c r="N6042">
        <v>-1.7653120000000001E-2</v>
      </c>
      <c r="O6042">
        <v>-0.18089040000000001</v>
      </c>
      <c r="P6042">
        <v>0.98535779999999995</v>
      </c>
      <c r="Q6042">
        <v>0.16819129999999999</v>
      </c>
      <c r="R6042">
        <v>2.7968059999999999E-2</v>
      </c>
      <c r="S6042">
        <v>3.084015</v>
      </c>
      <c r="T6042">
        <v>-0.21553720000000001</v>
      </c>
      <c r="U6042">
        <v>-0.1334534</v>
      </c>
      <c r="V6042">
        <v>-0.2128256</v>
      </c>
      <c r="W6042">
        <v>0.1770369</v>
      </c>
      <c r="X6042">
        <v>0.96091789999999999</v>
      </c>
      <c r="Y6042">
        <v>-0.13757049999999901</v>
      </c>
      <c r="Z6042">
        <v>1.536647E-2</v>
      </c>
      <c r="AA6042">
        <v>0.99037280000000005</v>
      </c>
      <c r="AB6042">
        <v>31</v>
      </c>
      <c r="AC6042">
        <v>15.9603</v>
      </c>
      <c r="AD6042">
        <v>-1.1258183812236</v>
      </c>
      <c r="AE6042">
        <v>-0.67456000000000604</v>
      </c>
      <c r="AF6042">
        <v>-2.2130939591610099</v>
      </c>
      <c r="AG6042">
        <v>-1.1258183812236</v>
      </c>
      <c r="AH6042">
        <v>15.740783015631701</v>
      </c>
      <c r="AI6042">
        <v>94.051254143771402</v>
      </c>
      <c r="AJ6042">
        <v>98.003109596787894</v>
      </c>
      <c r="AK6042">
        <v>15.9354165883662</v>
      </c>
      <c r="AL6042">
        <v>79.802785106675799</v>
      </c>
      <c r="AM6042">
        <v>102.48836183387699</v>
      </c>
      <c r="AN6042">
        <v>1.0000000052586899</v>
      </c>
    </row>
    <row r="6043" spans="1:40" x14ac:dyDescent="0.25">
      <c r="A6043" t="str">
        <f>"20190304155756144"</f>
        <v>20190304155756144</v>
      </c>
      <c r="B6043" t="str">
        <f>"1551686276141090"</f>
        <v>1551686276141090</v>
      </c>
      <c r="C6043" t="s">
        <v>40</v>
      </c>
      <c r="D6043">
        <v>5.1425710000000002</v>
      </c>
      <c r="E6043">
        <v>0.52693500000000004</v>
      </c>
      <c r="F6043" t="s">
        <v>41</v>
      </c>
      <c r="G6043">
        <v>-272.1728</v>
      </c>
      <c r="H6043" s="1">
        <v>-3.3844229999999998E-7</v>
      </c>
      <c r="I6043">
        <v>-61.517040000000001</v>
      </c>
      <c r="J6043">
        <v>-288.09769999999997</v>
      </c>
      <c r="K6043">
        <v>1.125651</v>
      </c>
      <c r="L6043">
        <v>-60.83954</v>
      </c>
      <c r="M6043">
        <v>0.98485800000000001</v>
      </c>
      <c r="N6043">
        <v>-1.7591720000000002E-2</v>
      </c>
      <c r="O6043">
        <v>-0.17246779999999901</v>
      </c>
      <c r="P6043">
        <v>0.98518950000000005</v>
      </c>
      <c r="Q6043">
        <v>0.168243</v>
      </c>
      <c r="R6043">
        <v>3.3105469999999998E-2</v>
      </c>
      <c r="S6043">
        <v>3.0852360000000001</v>
      </c>
      <c r="T6043">
        <v>-0.21611369999999999</v>
      </c>
      <c r="U6043">
        <v>-0.13397220000000001</v>
      </c>
      <c r="V6043">
        <v>-0.20952370000000001</v>
      </c>
      <c r="W6043">
        <v>0.177258</v>
      </c>
      <c r="X6043">
        <v>0.96160250000000003</v>
      </c>
      <c r="Y6043">
        <v>-0.12897310000000001</v>
      </c>
      <c r="Z6043">
        <v>1.460565E-2</v>
      </c>
      <c r="AA6043">
        <v>0.99154059999999999</v>
      </c>
      <c r="AB6043">
        <v>31</v>
      </c>
      <c r="AC6043">
        <v>15.9248999999999</v>
      </c>
      <c r="AD6043">
        <v>-1.1256513384422999</v>
      </c>
      <c r="AE6043">
        <v>-0.67750000000000199</v>
      </c>
      <c r="AF6043">
        <v>-2.06929283125484</v>
      </c>
      <c r="AG6043">
        <v>-1.1256513384422999</v>
      </c>
      <c r="AH6043">
        <v>15.7246343207648</v>
      </c>
      <c r="AI6043">
        <v>94.059664167002495</v>
      </c>
      <c r="AJ6043">
        <v>97.496796037844405</v>
      </c>
      <c r="AK6043">
        <v>15.9001002600296</v>
      </c>
      <c r="AL6043">
        <v>79.789913110162701</v>
      </c>
      <c r="AM6043">
        <v>102.292062122814</v>
      </c>
      <c r="AN6043">
        <v>0.99999997371596905</v>
      </c>
    </row>
    <row r="6044" spans="1:40" x14ac:dyDescent="0.25">
      <c r="A6044" t="str">
        <f>"20190304155756155"</f>
        <v>20190304155756155</v>
      </c>
      <c r="B6044" t="str">
        <f>"1551686276150850"</f>
        <v>1551686276150850</v>
      </c>
      <c r="C6044" t="s">
        <v>40</v>
      </c>
      <c r="D6044">
        <v>5.1414910000000003</v>
      </c>
      <c r="E6044">
        <v>0.53601049999999995</v>
      </c>
      <c r="F6044" t="s">
        <v>41</v>
      </c>
      <c r="G6044">
        <v>-271.99040000000002</v>
      </c>
      <c r="H6044" s="1">
        <v>-2.5468060000000001E-7</v>
      </c>
      <c r="I6044">
        <v>-61.492260000000002</v>
      </c>
      <c r="J6044">
        <v>-287.94209999999998</v>
      </c>
      <c r="K6044">
        <v>1.1254550000000001</v>
      </c>
      <c r="L6044">
        <v>-60.859990000000003</v>
      </c>
      <c r="M6044">
        <v>0.98635589999999995</v>
      </c>
      <c r="N6044">
        <v>-1.752503E-2</v>
      </c>
      <c r="O6044">
        <v>-0.16369220000000001</v>
      </c>
      <c r="P6044">
        <v>0.98489740000000003</v>
      </c>
      <c r="Q6044">
        <v>0.1687661</v>
      </c>
      <c r="R6044">
        <v>3.8666249999999999E-2</v>
      </c>
      <c r="S6044">
        <v>3.0861209999999999</v>
      </c>
      <c r="T6044">
        <v>-0.2156729</v>
      </c>
      <c r="U6044">
        <v>-0.12506099999999901</v>
      </c>
      <c r="V6044">
        <v>-0.2062978</v>
      </c>
      <c r="W6044">
        <v>0.17794869999999999</v>
      </c>
      <c r="X6044">
        <v>0.96217229999999998</v>
      </c>
      <c r="Y6044">
        <v>-0.1230444</v>
      </c>
      <c r="Z6044">
        <v>1.386829E-2</v>
      </c>
      <c r="AA6044">
        <v>0.99230430000000003</v>
      </c>
      <c r="AB6044">
        <v>31</v>
      </c>
      <c r="AC6044">
        <v>15.951699999999899</v>
      </c>
      <c r="AD6044">
        <v>-1.12545525468059</v>
      </c>
      <c r="AE6044">
        <v>-0.63226999999999101</v>
      </c>
      <c r="AF6044">
        <v>-1.97799992161133</v>
      </c>
      <c r="AG6044">
        <v>-1.12545525468059</v>
      </c>
      <c r="AH6044">
        <v>15.761645759489801</v>
      </c>
      <c r="AI6044">
        <v>94.052574867130602</v>
      </c>
      <c r="AJ6044">
        <v>97.152911766071995</v>
      </c>
      <c r="AK6044">
        <v>15.9250937286983</v>
      </c>
      <c r="AL6044">
        <v>79.749700172830799</v>
      </c>
      <c r="AM6044">
        <v>102.10147634471301</v>
      </c>
      <c r="AN6044">
        <v>1.0000000285019</v>
      </c>
    </row>
    <row r="6045" spans="1:40" x14ac:dyDescent="0.25">
      <c r="A6045" t="str">
        <f>"20190304155756165"</f>
        <v>20190304155756165</v>
      </c>
      <c r="B6045" t="str">
        <f>"1551686276160610"</f>
        <v>1551686276160610</v>
      </c>
      <c r="C6045" t="s">
        <v>40</v>
      </c>
      <c r="D6045">
        <v>5.0968450000000001</v>
      </c>
      <c r="E6045">
        <v>0.53672299999999995</v>
      </c>
      <c r="F6045" t="s">
        <v>41</v>
      </c>
      <c r="G6045">
        <v>-271.27850000000001</v>
      </c>
      <c r="H6045" s="1">
        <v>-2.4971029999999999E-8</v>
      </c>
      <c r="I6045">
        <v>-61.832650000000001</v>
      </c>
      <c r="J6045">
        <v>-287.7946</v>
      </c>
      <c r="K6045">
        <v>1.125259</v>
      </c>
      <c r="L6045">
        <v>-60.878169999999997</v>
      </c>
      <c r="M6045">
        <v>0.98768310000000004</v>
      </c>
      <c r="N6045">
        <v>-1.7459880000000001E-2</v>
      </c>
      <c r="O6045">
        <v>-0.155491299999999</v>
      </c>
      <c r="P6045">
        <v>0.98454620000000004</v>
      </c>
      <c r="Q6045">
        <v>0.1695564</v>
      </c>
      <c r="R6045">
        <v>4.3811919999999997E-2</v>
      </c>
      <c r="S6045">
        <v>3.0888369999999998</v>
      </c>
      <c r="T6045">
        <v>-0.20861940000000001</v>
      </c>
      <c r="U6045">
        <v>-0.18029790000000001</v>
      </c>
      <c r="V6045">
        <v>-0.2032418</v>
      </c>
      <c r="W6045">
        <v>0.17889739999999901</v>
      </c>
      <c r="X6045">
        <v>0.96264660000000002</v>
      </c>
      <c r="Y6045">
        <v>-9.7219539999999993E-2</v>
      </c>
      <c r="Z6045">
        <v>1.1842500000000001E-2</v>
      </c>
      <c r="AA6045">
        <v>0.99519250000000004</v>
      </c>
      <c r="AB6045">
        <v>31</v>
      </c>
      <c r="AC6045">
        <v>16.516099999999899</v>
      </c>
      <c r="AD6045">
        <v>-1.1252590249710299</v>
      </c>
      <c r="AE6045">
        <v>-0.95448000000000299</v>
      </c>
      <c r="AF6045">
        <v>-1.61814747990636</v>
      </c>
      <c r="AG6045">
        <v>-1.1252590249710299</v>
      </c>
      <c r="AH6045">
        <v>16.387777164367201</v>
      </c>
      <c r="AI6045">
        <v>93.909071479967494</v>
      </c>
      <c r="AJ6045">
        <v>95.639169933982402</v>
      </c>
      <c r="AK6045">
        <v>16.505873182869301</v>
      </c>
      <c r="AL6045">
        <v>79.694456858031501</v>
      </c>
      <c r="AM6045">
        <v>101.92167338131399</v>
      </c>
      <c r="AN6045">
        <v>0.99999999274277995</v>
      </c>
    </row>
    <row r="6046" spans="1:40" x14ac:dyDescent="0.25">
      <c r="A6046" t="str">
        <f>"20190304155756178"</f>
        <v>20190304155756178</v>
      </c>
      <c r="B6046" t="str">
        <f>"1551686276171346"</f>
        <v>1551686276171346</v>
      </c>
      <c r="C6046" t="s">
        <v>40</v>
      </c>
      <c r="D6046">
        <v>5.1890369999999999</v>
      </c>
      <c r="E6046">
        <v>0.53674109999999997</v>
      </c>
      <c r="F6046" t="s">
        <v>41</v>
      </c>
      <c r="G6046">
        <v>-270.6678</v>
      </c>
      <c r="H6046" s="1">
        <v>2.3934420000000001E-7</v>
      </c>
      <c r="I6046">
        <v>-61.822310000000002</v>
      </c>
      <c r="J6046">
        <v>-287.6388</v>
      </c>
      <c r="K6046">
        <v>1.12504</v>
      </c>
      <c r="L6046">
        <v>-60.895870000000002</v>
      </c>
      <c r="M6046">
        <v>0.98898079999999999</v>
      </c>
      <c r="N6046">
        <v>-1.7386519999999999E-2</v>
      </c>
      <c r="O6046">
        <v>-0.14702019999999999</v>
      </c>
      <c r="P6046">
        <v>0.98424730000000005</v>
      </c>
      <c r="Q6046">
        <v>0.16987720000000001</v>
      </c>
      <c r="R6046">
        <v>4.8982449999999997E-2</v>
      </c>
      <c r="S6046">
        <v>3.0896300000000001</v>
      </c>
      <c r="T6046">
        <v>-0.2029927</v>
      </c>
      <c r="U6046">
        <v>-0.17031859999999999</v>
      </c>
      <c r="V6046">
        <v>-0.19993759999999999</v>
      </c>
      <c r="W6046">
        <v>0.17939140000000001</v>
      </c>
      <c r="X6046">
        <v>0.96324639999999995</v>
      </c>
      <c r="Y6046">
        <v>-9.1957280000000002E-2</v>
      </c>
      <c r="Z6046">
        <v>1.0860119999999999E-2</v>
      </c>
      <c r="AA6046">
        <v>0.99570380000000003</v>
      </c>
      <c r="AB6046">
        <v>31</v>
      </c>
      <c r="AC6046">
        <v>16.971</v>
      </c>
      <c r="AD6046">
        <v>-1.1250397606558</v>
      </c>
      <c r="AE6046">
        <v>-0.92643999999999904</v>
      </c>
      <c r="AF6046">
        <v>-1.5721982537325201</v>
      </c>
      <c r="AG6046">
        <v>-1.1250397606558</v>
      </c>
      <c r="AH6046">
        <v>16.848929833554401</v>
      </c>
      <c r="AI6046">
        <v>93.803619057591604</v>
      </c>
      <c r="AJ6046">
        <v>95.330916491235499</v>
      </c>
      <c r="AK6046">
        <v>16.959479896156498</v>
      </c>
      <c r="AL6046">
        <v>79.665687122371097</v>
      </c>
      <c r="AM6046">
        <v>101.72616902779799</v>
      </c>
      <c r="AN6046">
        <v>0.99999997270033902</v>
      </c>
    </row>
    <row r="6047" spans="1:40" x14ac:dyDescent="0.25">
      <c r="A6047" t="str">
        <f>"20190304155756188"</f>
        <v>20190304155756188</v>
      </c>
      <c r="B6047" t="str">
        <f>"1551686276181106"</f>
        <v>1551686276181106</v>
      </c>
      <c r="C6047" t="s">
        <v>40</v>
      </c>
      <c r="D6047">
        <v>5.0544359999999999</v>
      </c>
      <c r="E6047">
        <v>0.53674109999999997</v>
      </c>
      <c r="F6047" t="s">
        <v>41</v>
      </c>
      <c r="G6047">
        <v>-270.39420000000001</v>
      </c>
      <c r="H6047" s="1">
        <v>3.7053950000000002E-7</v>
      </c>
      <c r="I6047">
        <v>-61.760069999999899</v>
      </c>
      <c r="J6047">
        <v>-287.48910000000001</v>
      </c>
      <c r="K6047">
        <v>1.1248149999999999</v>
      </c>
      <c r="L6047">
        <v>-60.912199999999999</v>
      </c>
      <c r="M6047">
        <v>0.99014590000000002</v>
      </c>
      <c r="N6047">
        <v>-1.731686E-2</v>
      </c>
      <c r="O6047">
        <v>-0.1389658</v>
      </c>
      <c r="P6047">
        <v>0.98393710000000001</v>
      </c>
      <c r="Q6047">
        <v>0.17025370000000001</v>
      </c>
      <c r="R6047">
        <v>5.3679909999999997E-2</v>
      </c>
      <c r="S6047">
        <v>3.0904539999999998</v>
      </c>
      <c r="T6047">
        <v>-0.20162150000000001</v>
      </c>
      <c r="U6047">
        <v>-0.15487670000000001</v>
      </c>
      <c r="V6047">
        <v>-0.19658719999999999</v>
      </c>
      <c r="W6047">
        <v>0.17994160000000001</v>
      </c>
      <c r="X6047">
        <v>0.96383319999999995</v>
      </c>
      <c r="Y6047">
        <v>-8.8851289999999999E-2</v>
      </c>
      <c r="Z6047">
        <v>1.027404E-2</v>
      </c>
      <c r="AA6047">
        <v>0.99599190000000004</v>
      </c>
      <c r="AB6047">
        <v>31</v>
      </c>
      <c r="AC6047">
        <v>17.0948999999999</v>
      </c>
      <c r="AD6047">
        <v>-1.1248146294604999</v>
      </c>
      <c r="AE6047">
        <v>-0.84786999999999302</v>
      </c>
      <c r="AF6047">
        <v>-1.5297150976143099</v>
      </c>
      <c r="AG6047">
        <v>-1.1248146294604999</v>
      </c>
      <c r="AH6047">
        <v>16.973518903522798</v>
      </c>
      <c r="AI6047">
        <v>93.776118921784899</v>
      </c>
      <c r="AJ6047">
        <v>95.149790908947693</v>
      </c>
      <c r="AK6047">
        <v>17.079390510166402</v>
      </c>
      <c r="AL6047">
        <v>79.633641516505193</v>
      </c>
      <c r="AM6047">
        <v>101.52814586716001</v>
      </c>
      <c r="AN6047">
        <v>0.99999997201831903</v>
      </c>
    </row>
    <row r="6048" spans="1:40" x14ac:dyDescent="0.25">
      <c r="A6048" t="str">
        <f>"20190304155756199"</f>
        <v>20190304155756199</v>
      </c>
      <c r="B6048" t="str">
        <f>"1551686276190866"</f>
        <v>1551686276190866</v>
      </c>
      <c r="C6048" t="s">
        <v>40</v>
      </c>
      <c r="D6048">
        <v>5.0527699999999998</v>
      </c>
      <c r="E6048">
        <v>0.55087719999999996</v>
      </c>
      <c r="F6048" t="s">
        <v>41</v>
      </c>
      <c r="G6048">
        <v>-270.12290000000002</v>
      </c>
      <c r="H6048" s="1">
        <v>4.9977220000000002E-7</v>
      </c>
      <c r="I6048">
        <v>-61.702379999999998</v>
      </c>
      <c r="J6048">
        <v>-287.3553</v>
      </c>
      <c r="K6048">
        <v>1.1245849999999999</v>
      </c>
      <c r="L6048">
        <v>-60.925139999999999</v>
      </c>
      <c r="M6048">
        <v>0.99109550000000002</v>
      </c>
      <c r="N6048">
        <v>-1.724728E-2</v>
      </c>
      <c r="O6048">
        <v>-0.13203099999999901</v>
      </c>
      <c r="P6048">
        <v>0.98371149999999996</v>
      </c>
      <c r="Q6048">
        <v>0.17046710000000001</v>
      </c>
      <c r="R6048">
        <v>5.7032529999999998E-2</v>
      </c>
      <c r="S6048">
        <v>3.0912480000000002</v>
      </c>
      <c r="T6048">
        <v>-0.2002208</v>
      </c>
      <c r="U6048">
        <v>-0.14065549999999999</v>
      </c>
      <c r="V6048">
        <v>-0.19301219999999999</v>
      </c>
      <c r="W6048">
        <v>0.1803351</v>
      </c>
      <c r="X6048">
        <v>0.96448199999999995</v>
      </c>
      <c r="Y6048">
        <v>-8.6482320000000001E-2</v>
      </c>
      <c r="Z6048">
        <v>9.7755949999999998E-3</v>
      </c>
      <c r="AA6048">
        <v>0.99620540000000002</v>
      </c>
      <c r="AB6048">
        <v>31</v>
      </c>
      <c r="AC6048">
        <v>17.232399999999899</v>
      </c>
      <c r="AD6048">
        <v>-1.1245845002278001</v>
      </c>
      <c r="AE6048">
        <v>-0.77724000000000604</v>
      </c>
      <c r="AF6048">
        <v>-1.49874587950681</v>
      </c>
      <c r="AG6048">
        <v>-1.1245845002278001</v>
      </c>
      <c r="AH6048">
        <v>17.111403409889501</v>
      </c>
      <c r="AI6048">
        <v>93.745848590003206</v>
      </c>
      <c r="AJ6048">
        <v>95.005622617517602</v>
      </c>
      <c r="AK6048">
        <v>17.213688046594498</v>
      </c>
      <c r="AL6048">
        <v>79.6107208910568</v>
      </c>
      <c r="AM6048">
        <v>101.316546923386</v>
      </c>
      <c r="AN6048">
        <v>0.99999999298242404</v>
      </c>
    </row>
    <row r="6049" spans="1:40" x14ac:dyDescent="0.25">
      <c r="A6049" t="str">
        <f>"20190304155756211"</f>
        <v>20190304155756211</v>
      </c>
      <c r="B6049" t="str">
        <f>"1551686276200627"</f>
        <v>1551686276200627</v>
      </c>
      <c r="C6049" t="s">
        <v>40</v>
      </c>
      <c r="D6049">
        <v>4.9755289999999999</v>
      </c>
      <c r="E6049">
        <v>0.55136390000000002</v>
      </c>
      <c r="F6049" t="s">
        <v>41</v>
      </c>
      <c r="G6049">
        <v>-265.21839999999997</v>
      </c>
      <c r="H6049" s="1">
        <v>-1.8498460000000001E-6</v>
      </c>
      <c r="I6049">
        <v>-62.660899999999998</v>
      </c>
      <c r="J6049">
        <v>-287.19880000000001</v>
      </c>
      <c r="K6049">
        <v>1.124309</v>
      </c>
      <c r="L6049">
        <v>-60.94003</v>
      </c>
      <c r="M6049">
        <v>0.99213960000000001</v>
      </c>
      <c r="N6049">
        <v>-1.7168860000000001E-2</v>
      </c>
      <c r="O6049">
        <v>-0.12395299999999999</v>
      </c>
      <c r="P6049">
        <v>0.98351840000000001</v>
      </c>
      <c r="Q6049">
        <v>0.17004420000000001</v>
      </c>
      <c r="R6049">
        <v>6.1453420000000002E-2</v>
      </c>
      <c r="S6049">
        <v>3.0909420000000001</v>
      </c>
      <c r="T6049">
        <v>-0.15702369999999999</v>
      </c>
      <c r="U6049">
        <v>-0.24237059999999999</v>
      </c>
      <c r="V6049">
        <v>-0.18934989999999999</v>
      </c>
      <c r="W6049">
        <v>0.18010489999999901</v>
      </c>
      <c r="X6049">
        <v>0.96525070000000002</v>
      </c>
      <c r="Y6049">
        <v>-4.5874409999999997E-2</v>
      </c>
      <c r="Z6049">
        <v>5.6901640000000002E-3</v>
      </c>
      <c r="AA6049">
        <v>0.99893100000000001</v>
      </c>
      <c r="AB6049">
        <v>31</v>
      </c>
      <c r="AC6049">
        <v>21.980399999999999</v>
      </c>
      <c r="AD6049">
        <v>-1.1243108498459999</v>
      </c>
      <c r="AE6049">
        <v>-1.7208699999999899</v>
      </c>
      <c r="AF6049">
        <v>-1.01470446442819</v>
      </c>
      <c r="AG6049">
        <v>-1.1243108498459999</v>
      </c>
      <c r="AH6049">
        <v>21.967053288601399</v>
      </c>
      <c r="AI6049">
        <v>92.926822663430002</v>
      </c>
      <c r="AJ6049">
        <v>92.644732785326596</v>
      </c>
      <c r="AK6049">
        <v>22.0191991276129</v>
      </c>
      <c r="AL6049">
        <v>79.624130394001895</v>
      </c>
      <c r="AM6049">
        <v>101.09858484871199</v>
      </c>
      <c r="AN6049">
        <v>1.0000000367422499</v>
      </c>
    </row>
    <row r="6050" spans="1:40" x14ac:dyDescent="0.25">
      <c r="A6050" t="str">
        <f>"20190304155756222"</f>
        <v>20190304155756222</v>
      </c>
      <c r="B6050" t="str">
        <f>"1551686276211363"</f>
        <v>1551686276211363</v>
      </c>
      <c r="C6050" t="s">
        <v>40</v>
      </c>
      <c r="D6050">
        <v>5.0364199999999997</v>
      </c>
      <c r="E6050">
        <v>0.55122539999999998</v>
      </c>
      <c r="F6050" t="s">
        <v>92</v>
      </c>
      <c r="G6050">
        <v>-266.78399999999999</v>
      </c>
      <c r="H6050" s="1">
        <v>-2.4715360000000001E-6</v>
      </c>
      <c r="I6050">
        <v>-62.473210000000002</v>
      </c>
      <c r="J6050">
        <v>-287.03730000000002</v>
      </c>
      <c r="K6050">
        <v>1.1239889999999999</v>
      </c>
      <c r="L6050">
        <v>-60.953339999999997</v>
      </c>
      <c r="M6050">
        <v>0.99310209999999999</v>
      </c>
      <c r="N6050">
        <v>-1.7078039999999999E-2</v>
      </c>
      <c r="O6050">
        <v>-0.1160037</v>
      </c>
      <c r="P6050">
        <v>0.98333539999999997</v>
      </c>
      <c r="Q6050">
        <v>0.16967839999999901</v>
      </c>
      <c r="R6050">
        <v>6.5276059999999997E-2</v>
      </c>
      <c r="S6050">
        <v>3.0942379999999998</v>
      </c>
      <c r="T6050">
        <v>-0.17040999999999901</v>
      </c>
      <c r="U6050">
        <v>-0.2323914</v>
      </c>
      <c r="V6050">
        <v>-0.1852096</v>
      </c>
      <c r="W6050">
        <v>0.17995239999999901</v>
      </c>
      <c r="X6050">
        <v>0.966082</v>
      </c>
      <c r="Y6050">
        <v>-4.1143430000000002E-2</v>
      </c>
      <c r="Z6050">
        <v>5.8569360000000001E-3</v>
      </c>
      <c r="AA6050">
        <v>0.99913609999999997</v>
      </c>
      <c r="AB6050">
        <v>31</v>
      </c>
      <c r="AC6050">
        <v>20.253299999999999</v>
      </c>
      <c r="AD6050">
        <v>-1.123991471536</v>
      </c>
      <c r="AE6050">
        <v>-1.5198699999999901</v>
      </c>
      <c r="AF6050">
        <v>-0.83762870407475198</v>
      </c>
      <c r="AG6050">
        <v>-1.123991471536</v>
      </c>
      <c r="AH6050">
        <v>20.230901873063701</v>
      </c>
      <c r="AI6050">
        <v>93.1772617363427</v>
      </c>
      <c r="AJ6050">
        <v>92.370887583130397</v>
      </c>
      <c r="AK6050">
        <v>20.279407517763101</v>
      </c>
      <c r="AL6050">
        <v>79.633012185553596</v>
      </c>
      <c r="AM6050">
        <v>100.852614991942</v>
      </c>
      <c r="AN6050">
        <v>0.99999994646095802</v>
      </c>
    </row>
    <row r="6051" spans="1:40" x14ac:dyDescent="0.25">
      <c r="A6051" t="str">
        <f>"20190304155756232"</f>
        <v>20190304155756232</v>
      </c>
      <c r="B6051" t="str">
        <f>"1551686276221123"</f>
        <v>1551686276221123</v>
      </c>
      <c r="C6051" t="s">
        <v>40</v>
      </c>
      <c r="D6051">
        <v>5.000197</v>
      </c>
      <c r="E6051">
        <v>0.5521587</v>
      </c>
      <c r="F6051" t="s">
        <v>92</v>
      </c>
      <c r="G6051">
        <v>-266.57940000000002</v>
      </c>
      <c r="H6051" s="1">
        <v>-2.3644990000000002E-6</v>
      </c>
      <c r="I6051">
        <v>-62.400739999999999</v>
      </c>
      <c r="J6051">
        <v>-286.89100000000002</v>
      </c>
      <c r="K6051">
        <v>1.12369599999999</v>
      </c>
      <c r="L6051">
        <v>-60.964939999999999</v>
      </c>
      <c r="M6051">
        <v>0.99390769999999995</v>
      </c>
      <c r="N6051">
        <v>-1.6997490000000001E-2</v>
      </c>
      <c r="O6051">
        <v>-0.1088971</v>
      </c>
      <c r="P6051">
        <v>0.98307449999999996</v>
      </c>
      <c r="Q6051">
        <v>0.1698616</v>
      </c>
      <c r="R6051">
        <v>6.8638290000000005E-2</v>
      </c>
      <c r="S6051">
        <v>3.0947269999999998</v>
      </c>
      <c r="T6051">
        <v>-0.17002990000000001</v>
      </c>
      <c r="U6051">
        <v>-0.21896360000000001</v>
      </c>
      <c r="V6051">
        <v>-0.18146109999999999</v>
      </c>
      <c r="W6051">
        <v>0.18032480000000001</v>
      </c>
      <c r="X6051">
        <v>0.96672380000000002</v>
      </c>
      <c r="Y6051">
        <v>-3.8331249999999997E-2</v>
      </c>
      <c r="Z6051">
        <v>5.4814310000000002E-3</v>
      </c>
      <c r="AA6051">
        <v>0.99925010000000003</v>
      </c>
      <c r="AB6051">
        <v>31</v>
      </c>
      <c r="AC6051">
        <v>20.311599999999899</v>
      </c>
      <c r="AD6051">
        <v>-1.12369836449899</v>
      </c>
      <c r="AE6051">
        <v>-1.43579999999999</v>
      </c>
      <c r="AF6051">
        <v>-0.78255185959303897</v>
      </c>
      <c r="AG6051">
        <v>-1.12369836449899</v>
      </c>
      <c r="AH6051">
        <v>20.285372128981699</v>
      </c>
      <c r="AI6051">
        <v>93.168279694633398</v>
      </c>
      <c r="AJ6051">
        <v>92.209212446761498</v>
      </c>
      <c r="AK6051">
        <v>20.331537271898501</v>
      </c>
      <c r="AL6051">
        <v>79.611321313874399</v>
      </c>
      <c r="AM6051">
        <v>100.63112805517601</v>
      </c>
      <c r="AN6051">
        <v>1.0000000348973399</v>
      </c>
    </row>
    <row r="6052" spans="1:40" x14ac:dyDescent="0.25">
      <c r="A6052" t="str">
        <f>"20190304155756243"</f>
        <v>20190304155756243</v>
      </c>
      <c r="B6052" t="str">
        <f>"1551686276240643"</f>
        <v>1551686276240643</v>
      </c>
      <c r="C6052" t="s">
        <v>40</v>
      </c>
      <c r="D6052">
        <v>5.0056399999999996</v>
      </c>
      <c r="E6052">
        <v>0.55236890000000005</v>
      </c>
      <c r="F6052" t="s">
        <v>41</v>
      </c>
      <c r="G6052">
        <v>-266.1807</v>
      </c>
      <c r="H6052" s="1">
        <v>-2.195086E-6</v>
      </c>
      <c r="I6052">
        <v>-62.406840000000003</v>
      </c>
      <c r="J6052">
        <v>-286.73919999999998</v>
      </c>
      <c r="K6052">
        <v>1.1233820000000001</v>
      </c>
      <c r="L6052">
        <v>-60.975650000000002</v>
      </c>
      <c r="M6052">
        <v>0.9946625</v>
      </c>
      <c r="N6052">
        <v>-1.6909710000000001E-2</v>
      </c>
      <c r="O6052">
        <v>-0.1017866</v>
      </c>
      <c r="P6052">
        <v>0.98271649999999999</v>
      </c>
      <c r="Q6052">
        <v>0.17044400000000001</v>
      </c>
      <c r="R6052">
        <v>7.2226970000000001E-2</v>
      </c>
      <c r="S6052">
        <v>3.095764</v>
      </c>
      <c r="T6052">
        <v>-0.16797010000000001</v>
      </c>
      <c r="U6052">
        <v>-0.21554570000000001</v>
      </c>
      <c r="V6052">
        <v>-0.17793120000000001</v>
      </c>
      <c r="W6052">
        <v>0.18108550000000001</v>
      </c>
      <c r="X6052">
        <v>0.96723760000000003</v>
      </c>
      <c r="Y6052">
        <v>-3.2326290000000001E-2</v>
      </c>
      <c r="Z6052">
        <v>4.9270609999999999E-3</v>
      </c>
      <c r="AA6052">
        <v>0.99946520000000005</v>
      </c>
      <c r="AB6052">
        <v>31</v>
      </c>
      <c r="AC6052">
        <v>20.558499999999899</v>
      </c>
      <c r="AD6052">
        <v>-1.123384195086</v>
      </c>
      <c r="AE6052">
        <v>-1.43119</v>
      </c>
      <c r="AF6052">
        <v>-0.66714207874233999</v>
      </c>
      <c r="AG6052">
        <v>-1.123384195086</v>
      </c>
      <c r="AH6052">
        <v>20.5363670105613</v>
      </c>
      <c r="AI6052">
        <v>93.129436294716498</v>
      </c>
      <c r="AJ6052">
        <v>91.860649814021002</v>
      </c>
      <c r="AK6052">
        <v>20.577887175205099</v>
      </c>
      <c r="AL6052">
        <v>79.567006749908103</v>
      </c>
      <c r="AM6052">
        <v>100.42348693903899</v>
      </c>
      <c r="AN6052">
        <v>1.00000002254872</v>
      </c>
    </row>
    <row r="6053" spans="1:40" x14ac:dyDescent="0.25">
      <c r="A6053" t="str">
        <f>"20190304155756255"</f>
        <v>20190304155756255</v>
      </c>
      <c r="B6053" t="str">
        <f>"1551686276251379"</f>
        <v>1551686276251379</v>
      </c>
      <c r="C6053" t="s">
        <v>40</v>
      </c>
      <c r="D6053">
        <v>5.0339689999999999</v>
      </c>
      <c r="E6053">
        <v>0.552594699999999</v>
      </c>
      <c r="F6053" t="s">
        <v>41</v>
      </c>
      <c r="G6053">
        <v>-265.57330000000002</v>
      </c>
      <c r="H6053" s="1">
        <v>-1.9285540000000001E-6</v>
      </c>
      <c r="I6053">
        <v>-62.384500000000003</v>
      </c>
      <c r="J6053">
        <v>-286.58789999999999</v>
      </c>
      <c r="K6053">
        <v>1.123059</v>
      </c>
      <c r="L6053">
        <v>-60.985529999999997</v>
      </c>
      <c r="M6053">
        <v>0.99534670000000003</v>
      </c>
      <c r="N6053">
        <v>-1.6823080000000001E-2</v>
      </c>
      <c r="O6053">
        <v>-9.4878519999999994E-2</v>
      </c>
      <c r="P6053">
        <v>0.98227359999999997</v>
      </c>
      <c r="Q6053">
        <v>0.1715836</v>
      </c>
      <c r="R6053">
        <v>7.548589E-2</v>
      </c>
      <c r="S6053">
        <v>3.0964360000000002</v>
      </c>
      <c r="T6053">
        <v>-0.16434319999999999</v>
      </c>
      <c r="U6053">
        <v>-0.20611570000000001</v>
      </c>
      <c r="V6053">
        <v>-0.174283299999999</v>
      </c>
      <c r="W6053">
        <v>0.18240410000000001</v>
      </c>
      <c r="X6053">
        <v>0.96765389999999996</v>
      </c>
      <c r="Y6053">
        <v>-2.8449599999999999E-2</v>
      </c>
      <c r="Z6053">
        <v>4.4135679999999997E-3</v>
      </c>
      <c r="AA6053">
        <v>0.99958550000000002</v>
      </c>
      <c r="AB6053">
        <v>31</v>
      </c>
      <c r="AC6053">
        <v>21.014599999999898</v>
      </c>
      <c r="AD6053">
        <v>-1.1230609285539901</v>
      </c>
      <c r="AE6053">
        <v>-1.3989699999999901</v>
      </c>
      <c r="AF6053">
        <v>-0.59975372668115101</v>
      </c>
      <c r="AG6053">
        <v>-1.1230609285539901</v>
      </c>
      <c r="AH6053">
        <v>20.9928324040029</v>
      </c>
      <c r="AI6053">
        <v>93.061006725349102</v>
      </c>
      <c r="AJ6053">
        <v>91.636463909246899</v>
      </c>
      <c r="AK6053">
        <v>21.031404677873201</v>
      </c>
      <c r="AL6053">
        <v>79.490176718374499</v>
      </c>
      <c r="AM6053">
        <v>100.21002994689501</v>
      </c>
      <c r="AN6053">
        <v>0.99999999727045497</v>
      </c>
    </row>
    <row r="6054" spans="1:40" x14ac:dyDescent="0.25">
      <c r="A6054" t="str">
        <f>"20190304155756266"</f>
        <v>20190304155756266</v>
      </c>
      <c r="B6054" t="str">
        <f>"1551686276261142"</f>
        <v>1551686276261142</v>
      </c>
      <c r="C6054" t="s">
        <v>40</v>
      </c>
      <c r="D6054">
        <v>5.0828369999999996</v>
      </c>
      <c r="E6054">
        <v>0.55165959999999903</v>
      </c>
      <c r="F6054" t="s">
        <v>41</v>
      </c>
      <c r="G6054">
        <v>-264.66739999999999</v>
      </c>
      <c r="H6054" s="1">
        <v>-1.54066399999999E-6</v>
      </c>
      <c r="I6054">
        <v>-62.38729</v>
      </c>
      <c r="J6054">
        <v>-286.42630000000003</v>
      </c>
      <c r="K6054">
        <v>1.1227069999999999</v>
      </c>
      <c r="L6054">
        <v>-60.995150000000002</v>
      </c>
      <c r="M6054">
        <v>0.99600469999999997</v>
      </c>
      <c r="N6054">
        <v>-1.673146E-2</v>
      </c>
      <c r="O6054">
        <v>-8.7720489999999998E-2</v>
      </c>
      <c r="P6054">
        <v>0.98181479999999999</v>
      </c>
      <c r="Q6054">
        <v>0.172648</v>
      </c>
      <c r="R6054">
        <v>7.89464E-2</v>
      </c>
      <c r="S6054">
        <v>3.0970759999999999</v>
      </c>
      <c r="T6054">
        <v>-0.15867339999999999</v>
      </c>
      <c r="U6054">
        <v>-0.19805909999999999</v>
      </c>
      <c r="V6054">
        <v>-0.17057809999999901</v>
      </c>
      <c r="W6054">
        <v>0.18365139999999999</v>
      </c>
      <c r="X6054">
        <v>0.96807810000000005</v>
      </c>
      <c r="Y6054">
        <v>-2.3887039999999998E-2</v>
      </c>
      <c r="Z6054">
        <v>3.8222249999999998E-3</v>
      </c>
      <c r="AA6054">
        <v>0.99970729999999997</v>
      </c>
      <c r="AB6054">
        <v>31</v>
      </c>
      <c r="AC6054">
        <v>21.758900000000001</v>
      </c>
      <c r="AD6054">
        <v>-1.1227085406639901</v>
      </c>
      <c r="AE6054">
        <v>-1.3921399999999899</v>
      </c>
      <c r="AF6054">
        <v>-0.52081551044243302</v>
      </c>
      <c r="AG6054">
        <v>-1.1227085406639901</v>
      </c>
      <c r="AH6054">
        <v>21.7394934680019</v>
      </c>
      <c r="AI6054">
        <v>92.955494880722796</v>
      </c>
      <c r="AJ6054">
        <v>91.372378971861906</v>
      </c>
      <c r="AK6054">
        <v>21.774694016414902</v>
      </c>
      <c r="AL6054">
        <v>79.417483407502701</v>
      </c>
      <c r="AM6054">
        <v>99.993100983960005</v>
      </c>
      <c r="AN6054">
        <v>0.99999996631058896</v>
      </c>
    </row>
    <row r="6055" spans="1:40" x14ac:dyDescent="0.25">
      <c r="A6055" t="str">
        <f>"20190304155756277"</f>
        <v>20190304155756277</v>
      </c>
      <c r="B6055" t="str">
        <f>"1551686276270898"</f>
        <v>1551686276270898</v>
      </c>
      <c r="C6055" t="s">
        <v>40</v>
      </c>
      <c r="D6055">
        <v>4.8252199999999998</v>
      </c>
      <c r="E6055">
        <v>0.55232590000000004</v>
      </c>
      <c r="F6055" t="s">
        <v>41</v>
      </c>
      <c r="G6055">
        <v>-264.87759999999997</v>
      </c>
      <c r="H6055" s="1">
        <v>-1.5929419999999999E-6</v>
      </c>
      <c r="I6055">
        <v>-62.244770000000003</v>
      </c>
      <c r="J6055">
        <v>-286.28289999999998</v>
      </c>
      <c r="K6055">
        <v>1.1223799999999999</v>
      </c>
      <c r="L6055">
        <v>-61.002589999999998</v>
      </c>
      <c r="M6055">
        <v>0.99652070000000004</v>
      </c>
      <c r="N6055">
        <v>-1.6648469999999999E-2</v>
      </c>
      <c r="O6055">
        <v>-8.1666100000000005E-2</v>
      </c>
      <c r="P6055">
        <v>0.98153820000000003</v>
      </c>
      <c r="Q6055">
        <v>0.17334759999999999</v>
      </c>
      <c r="R6055">
        <v>8.082947E-2</v>
      </c>
      <c r="S6055">
        <v>3.0983890000000001</v>
      </c>
      <c r="T6055">
        <v>-0.16142919999999999</v>
      </c>
      <c r="U6055">
        <v>-0.1796875</v>
      </c>
      <c r="V6055">
        <v>-0.16639699999999999</v>
      </c>
      <c r="W6055">
        <v>0.18454290000000001</v>
      </c>
      <c r="X6055">
        <v>0.96863619999999995</v>
      </c>
      <c r="Y6055">
        <v>-2.3744120000000001E-2</v>
      </c>
      <c r="Z6055">
        <v>3.698106E-3</v>
      </c>
      <c r="AA6055">
        <v>0.99971120000000002</v>
      </c>
      <c r="AB6055">
        <v>31</v>
      </c>
      <c r="AC6055">
        <v>21.4053</v>
      </c>
      <c r="AD6055">
        <v>-1.122381592942</v>
      </c>
      <c r="AE6055">
        <v>-1.2421799999999901</v>
      </c>
      <c r="AF6055">
        <v>-0.50890551473483503</v>
      </c>
      <c r="AG6055">
        <v>-1.122381592942</v>
      </c>
      <c r="AH6055">
        <v>21.3766632466738</v>
      </c>
      <c r="AI6055">
        <v>93.004704972086998</v>
      </c>
      <c r="AJ6055">
        <v>91.363759685293999</v>
      </c>
      <c r="AK6055">
        <v>21.412156753227801</v>
      </c>
      <c r="AL6055">
        <v>79.365517061803999</v>
      </c>
      <c r="AM6055">
        <v>99.747406461712899</v>
      </c>
      <c r="AN6055">
        <v>1.00000006574992</v>
      </c>
    </row>
    <row r="6056" spans="1:40" x14ac:dyDescent="0.25">
      <c r="A6056" t="str">
        <f>"20190304155756288"</f>
        <v>20190304155756288</v>
      </c>
      <c r="B6056" t="str">
        <f>"1551686276280659"</f>
        <v>1551686276280659</v>
      </c>
      <c r="C6056" t="s">
        <v>40</v>
      </c>
      <c r="D6056">
        <v>4.9323670000000002</v>
      </c>
      <c r="E6056">
        <v>0.55232590000000004</v>
      </c>
      <c r="F6056" t="s">
        <v>41</v>
      </c>
      <c r="G6056">
        <v>-264.73919999999998</v>
      </c>
      <c r="H6056" s="1">
        <v>-1.5337940000000001E-6</v>
      </c>
      <c r="I6056">
        <v>-62.245669999999997</v>
      </c>
      <c r="J6056">
        <v>-286.13639999999998</v>
      </c>
      <c r="K6056">
        <v>1.1220429999999999</v>
      </c>
      <c r="L6056">
        <v>-61.009830000000001</v>
      </c>
      <c r="M6056">
        <v>0.99700129999999998</v>
      </c>
      <c r="N6056">
        <v>-1.6566359999999999E-2</v>
      </c>
      <c r="O6056">
        <v>-7.5589870000000003E-2</v>
      </c>
      <c r="P6056">
        <v>0.98125720000000005</v>
      </c>
      <c r="Q6056">
        <v>0.17402970000000001</v>
      </c>
      <c r="R6056">
        <v>8.275238E-2</v>
      </c>
      <c r="S6056">
        <v>3.099701</v>
      </c>
      <c r="T6056">
        <v>-0.16148789999999999</v>
      </c>
      <c r="U6056">
        <v>-0.17886350000000001</v>
      </c>
      <c r="V6056">
        <v>-0.1622286</v>
      </c>
      <c r="W6056">
        <v>0.185415</v>
      </c>
      <c r="X6056">
        <v>0.9691765</v>
      </c>
      <c r="Y6056">
        <v>-1.7952650000000001E-2</v>
      </c>
      <c r="Z6056">
        <v>3.2908030000000001E-3</v>
      </c>
      <c r="AA6056">
        <v>0.99983339999999998</v>
      </c>
      <c r="AB6056">
        <v>31</v>
      </c>
      <c r="AC6056">
        <v>21.397200000000002</v>
      </c>
      <c r="AD6056">
        <v>-1.1220445337939999</v>
      </c>
      <c r="AE6056">
        <v>-1.2358399999999801</v>
      </c>
      <c r="AF6056">
        <v>-0.38427720051578002</v>
      </c>
      <c r="AG6056">
        <v>-1.1220445337939999</v>
      </c>
      <c r="AH6056">
        <v>21.3708246276178</v>
      </c>
      <c r="AI6056">
        <v>93.004988329233697</v>
      </c>
      <c r="AJ6056">
        <v>91.030146923396501</v>
      </c>
      <c r="AK6056">
        <v>21.403709915971302</v>
      </c>
      <c r="AL6056">
        <v>79.314670859348496</v>
      </c>
      <c r="AM6056">
        <v>99.502534675829494</v>
      </c>
      <c r="AN6056">
        <v>0.99999996451760398</v>
      </c>
    </row>
    <row r="6057" spans="1:40" x14ac:dyDescent="0.25">
      <c r="A6057" t="str">
        <f>"20190304155756300"</f>
        <v>20190304155756300</v>
      </c>
      <c r="B6057" t="str">
        <f>"1551686276291395"</f>
        <v>1551686276291395</v>
      </c>
      <c r="C6057" t="s">
        <v>40</v>
      </c>
      <c r="D6057">
        <v>5.00082</v>
      </c>
      <c r="E6057">
        <v>0.5326632</v>
      </c>
      <c r="F6057" t="s">
        <v>41</v>
      </c>
      <c r="G6057">
        <v>-264.3254</v>
      </c>
      <c r="H6057" s="1">
        <v>-1.3505609999999901E-6</v>
      </c>
      <c r="I6057">
        <v>-62.224139999999998</v>
      </c>
      <c r="J6057">
        <v>-285.98039999999997</v>
      </c>
      <c r="K6057">
        <v>1.1216549999999901</v>
      </c>
      <c r="L6057">
        <v>-61.016269999999999</v>
      </c>
      <c r="M6057">
        <v>0.99744259999999996</v>
      </c>
      <c r="N6057">
        <v>-1.647421E-2</v>
      </c>
      <c r="O6057">
        <v>-6.9548139999999994E-2</v>
      </c>
      <c r="P6057">
        <v>0.98083779999999998</v>
      </c>
      <c r="Q6057">
        <v>0.1753796</v>
      </c>
      <c r="R6057">
        <v>8.4850659999999994E-2</v>
      </c>
      <c r="S6057">
        <v>3.1001280000000002</v>
      </c>
      <c r="T6057">
        <v>-0.15948319999999999</v>
      </c>
      <c r="U6057">
        <v>-0.17260739999999999</v>
      </c>
      <c r="V6057">
        <v>-0.1582559</v>
      </c>
      <c r="W6057">
        <v>0.1869489</v>
      </c>
      <c r="X6057">
        <v>0.96953860000000003</v>
      </c>
      <c r="Y6057">
        <v>-1.3926839999999999E-2</v>
      </c>
      <c r="Z6057">
        <v>2.8957700000000002E-3</v>
      </c>
      <c r="AA6057">
        <v>0.99989890000000003</v>
      </c>
      <c r="AB6057">
        <v>31</v>
      </c>
      <c r="AC6057">
        <v>21.654999999999902</v>
      </c>
      <c r="AD6057">
        <v>-1.12165635056099</v>
      </c>
      <c r="AE6057">
        <v>-1.20787</v>
      </c>
      <c r="AF6057">
        <v>-0.300521093207822</v>
      </c>
      <c r="AG6057">
        <v>-1.12165635056099</v>
      </c>
      <c r="AH6057">
        <v>21.628719216171199</v>
      </c>
      <c r="AI6057">
        <v>92.968389771101698</v>
      </c>
      <c r="AJ6057">
        <v>90.796047245711094</v>
      </c>
      <c r="AK6057">
        <v>21.659868901454399</v>
      </c>
      <c r="AL6057">
        <v>79.225220781562896</v>
      </c>
      <c r="AM6057">
        <v>99.270522851787803</v>
      </c>
      <c r="AN6057">
        <v>0.99999995899298899</v>
      </c>
    </row>
    <row r="6058" spans="1:40" x14ac:dyDescent="0.25">
      <c r="A6058" t="str">
        <f>"20190304155756311"</f>
        <v>20190304155756311</v>
      </c>
      <c r="B6058" t="str">
        <f>"1551686276301155"</f>
        <v>1551686276301155</v>
      </c>
      <c r="C6058" t="s">
        <v>40</v>
      </c>
      <c r="D6058">
        <v>4.9597980000000002</v>
      </c>
      <c r="E6058">
        <v>0.53210400000000002</v>
      </c>
      <c r="F6058" t="s">
        <v>41</v>
      </c>
      <c r="G6058">
        <v>-264.70639999999997</v>
      </c>
      <c r="H6058" s="1">
        <v>-1.210314E-6</v>
      </c>
      <c r="I6058">
        <v>-61.082830000000001</v>
      </c>
      <c r="J6058">
        <v>-285.8229</v>
      </c>
      <c r="K6058">
        <v>1.121256</v>
      </c>
      <c r="L6058">
        <v>-61.022370000000002</v>
      </c>
      <c r="M6058">
        <v>0.99784229999999996</v>
      </c>
      <c r="N6058">
        <v>-1.6383990000000001E-2</v>
      </c>
      <c r="O6058">
        <v>-6.3579769999999994E-2</v>
      </c>
      <c r="P6058">
        <v>0.98042229999999997</v>
      </c>
      <c r="Q6058">
        <v>0.1765417</v>
      </c>
      <c r="R6058">
        <v>8.7208140000000003E-2</v>
      </c>
      <c r="S6058">
        <v>3.0885310000000001</v>
      </c>
      <c r="T6058">
        <v>-0.1628404</v>
      </c>
      <c r="U6058">
        <v>-9.6740720000000006E-3</v>
      </c>
      <c r="V6058">
        <v>-0.15460270000000001</v>
      </c>
      <c r="W6058">
        <v>0.18828420000000001</v>
      </c>
      <c r="X6058">
        <v>0.9698696</v>
      </c>
      <c r="Y6058">
        <v>-6.0310420000000003E-2</v>
      </c>
      <c r="Z6058">
        <v>4.3896129999999997E-3</v>
      </c>
      <c r="AA6058">
        <v>0.99817</v>
      </c>
      <c r="AB6058">
        <v>31</v>
      </c>
      <c r="AC6058">
        <v>21.116499999999998</v>
      </c>
      <c r="AD6058">
        <v>-1.1212572103139999</v>
      </c>
      <c r="AE6058">
        <v>-6.0460000000006099E-2</v>
      </c>
      <c r="AF6058">
        <v>-1.2788191975191301</v>
      </c>
      <c r="AG6058">
        <v>-1.1212572103139999</v>
      </c>
      <c r="AH6058">
        <v>21.018349311444702</v>
      </c>
      <c r="AI6058">
        <v>93.048013961648195</v>
      </c>
      <c r="AJ6058">
        <v>93.481754386665202</v>
      </c>
      <c r="AK6058">
        <v>21.0870482535971</v>
      </c>
      <c r="AL6058">
        <v>79.1473308877612</v>
      </c>
      <c r="AM6058">
        <v>99.057070459973602</v>
      </c>
      <c r="AN6058">
        <v>0.99999998791054401</v>
      </c>
    </row>
    <row r="6059" spans="1:40" x14ac:dyDescent="0.25">
      <c r="A6059" t="str">
        <f>"20190304155756323"</f>
        <v>20190304155756323</v>
      </c>
      <c r="B6059" t="str">
        <f>"1551686276310914"</f>
        <v>1551686276310914</v>
      </c>
      <c r="C6059" t="s">
        <v>40</v>
      </c>
      <c r="D6059">
        <v>4.8923959999999997</v>
      </c>
      <c r="E6059">
        <v>0.53226799999999996</v>
      </c>
      <c r="F6059" t="s">
        <v>41</v>
      </c>
      <c r="G6059">
        <v>-262.44290000000001</v>
      </c>
      <c r="H6059" s="1">
        <v>-2.1893399999999999E-7</v>
      </c>
      <c r="I6059">
        <v>-61.006349999999998</v>
      </c>
      <c r="J6059">
        <v>-285.66520000000003</v>
      </c>
      <c r="K6059">
        <v>1.120824</v>
      </c>
      <c r="L6059">
        <v>-61.0274</v>
      </c>
      <c r="M6059">
        <v>0.99818059999999997</v>
      </c>
      <c r="N6059">
        <v>-1.6289089999999999E-2</v>
      </c>
      <c r="O6059">
        <v>-5.8054649999999999E-2</v>
      </c>
      <c r="P6059">
        <v>0.98000080000000001</v>
      </c>
      <c r="Q6059">
        <v>0.1777791</v>
      </c>
      <c r="R6059">
        <v>8.9404719999999993E-2</v>
      </c>
      <c r="S6059">
        <v>3.086395</v>
      </c>
      <c r="T6059">
        <v>-0.1480166</v>
      </c>
      <c r="U6059">
        <v>2.1057129999999999E-3</v>
      </c>
      <c r="V6059">
        <v>-0.1512096</v>
      </c>
      <c r="W6059">
        <v>0.18968560000000001</v>
      </c>
      <c r="X6059">
        <v>0.97013150000000004</v>
      </c>
      <c r="Y6059">
        <v>-5.8624130000000003E-2</v>
      </c>
      <c r="Z6059">
        <v>3.7184539999999999E-3</v>
      </c>
      <c r="AA6059">
        <v>0.99827319999999997</v>
      </c>
      <c r="AB6059">
        <v>31</v>
      </c>
      <c r="AC6059">
        <v>23.222300000000001</v>
      </c>
      <c r="AD6059">
        <v>-1.1208242189340001</v>
      </c>
      <c r="AE6059">
        <v>2.10500000000024E-2</v>
      </c>
      <c r="AF6059">
        <v>-1.3661732415111301</v>
      </c>
      <c r="AG6059">
        <v>-1.1208242189340001</v>
      </c>
      <c r="AH6059">
        <v>23.128023895899499</v>
      </c>
      <c r="AI6059">
        <v>92.769662077305995</v>
      </c>
      <c r="AJ6059">
        <v>93.380535636432597</v>
      </c>
      <c r="AK6059">
        <v>23.195434153834402</v>
      </c>
      <c r="AL6059">
        <v>79.065563790206994</v>
      </c>
      <c r="AM6059">
        <v>98.859127823172301</v>
      </c>
      <c r="AN6059">
        <v>1.00000004863588</v>
      </c>
    </row>
    <row r="6060" spans="1:40" x14ac:dyDescent="0.25">
      <c r="A6060" t="str">
        <f>"20190304155756334"</f>
        <v>20190304155756334</v>
      </c>
      <c r="B6060" t="str">
        <f>"1551686276331410"</f>
        <v>1551686276331410</v>
      </c>
      <c r="C6060" t="s">
        <v>40</v>
      </c>
      <c r="D6060">
        <v>4.9629659999999998</v>
      </c>
      <c r="E6060">
        <v>0.5318387</v>
      </c>
      <c r="F6060" t="s">
        <v>41</v>
      </c>
      <c r="G6060">
        <v>-262.32319999999999</v>
      </c>
      <c r="H6060" s="1">
        <v>-1.5864690000000001E-7</v>
      </c>
      <c r="I6060">
        <v>-60.972659999999998</v>
      </c>
      <c r="J6060">
        <v>-285.51150000000001</v>
      </c>
      <c r="K6060">
        <v>1.1204019999999999</v>
      </c>
      <c r="L6060">
        <v>-61.031829999999999</v>
      </c>
      <c r="M6060">
        <v>0.99847109999999994</v>
      </c>
      <c r="N6060">
        <v>-1.6199399999999999E-2</v>
      </c>
      <c r="O6060">
        <v>-5.2849340000000002E-2</v>
      </c>
      <c r="P6060">
        <v>0.97959770000000002</v>
      </c>
      <c r="Q6060">
        <v>0.1789154</v>
      </c>
      <c r="R6060">
        <v>9.1529620000000006E-2</v>
      </c>
      <c r="S6060">
        <v>3.087494</v>
      </c>
      <c r="T6060">
        <v>-0.14825369999999999</v>
      </c>
      <c r="U6060">
        <v>7.2326659999999996E-3</v>
      </c>
      <c r="V6060">
        <v>-0.14806059999999999</v>
      </c>
      <c r="W6060">
        <v>0.19097439999999999</v>
      </c>
      <c r="X6060">
        <v>0.97036429999999996</v>
      </c>
      <c r="Y6060">
        <v>-5.5083840000000002E-2</v>
      </c>
      <c r="Z6060">
        <v>3.4475040000000001E-3</v>
      </c>
      <c r="AA6060">
        <v>0.99847580000000002</v>
      </c>
      <c r="AB6060">
        <v>31</v>
      </c>
      <c r="AC6060">
        <v>23.188300000000002</v>
      </c>
      <c r="AD6060">
        <v>-1.1204021586469</v>
      </c>
      <c r="AE6060">
        <v>5.9170000000008799E-2</v>
      </c>
      <c r="AF6060">
        <v>-1.2817421411898799</v>
      </c>
      <c r="AG6060">
        <v>-1.1204021586469</v>
      </c>
      <c r="AH6060">
        <v>23.098832385033301</v>
      </c>
      <c r="AI6060">
        <v>92.772680038647593</v>
      </c>
      <c r="AJ6060">
        <v>93.176055764742102</v>
      </c>
      <c r="AK6060">
        <v>23.161481417764801</v>
      </c>
      <c r="AL6060">
        <v>78.990345685823698</v>
      </c>
      <c r="AM6060">
        <v>98.675420243580106</v>
      </c>
      <c r="AN6060">
        <v>1.0000000187211</v>
      </c>
    </row>
    <row r="6061" spans="1:40" x14ac:dyDescent="0.25">
      <c r="A6061" t="str">
        <f>"20190304155756345"</f>
        <v>20190304155756345</v>
      </c>
      <c r="B6061" t="str">
        <f>"1551686276341171"</f>
        <v>1551686276341171</v>
      </c>
      <c r="C6061" t="s">
        <v>40</v>
      </c>
      <c r="D6061">
        <v>4.9385579999999996</v>
      </c>
      <c r="E6061">
        <v>0.53189839999999999</v>
      </c>
      <c r="F6061" t="s">
        <v>92</v>
      </c>
      <c r="G6061">
        <v>-260.47199999999998</v>
      </c>
      <c r="H6061" s="1">
        <v>6.5485200000000002E-7</v>
      </c>
      <c r="I6061">
        <v>-60.900039999999997</v>
      </c>
      <c r="J6061">
        <v>-285.36720000000003</v>
      </c>
      <c r="K6061">
        <v>1.1200000000000001</v>
      </c>
      <c r="L6061">
        <v>-61.035400000000003</v>
      </c>
      <c r="M6061">
        <v>0.99870619999999999</v>
      </c>
      <c r="N6061">
        <v>-1.6115879999999999E-2</v>
      </c>
      <c r="O6061">
        <v>-4.8228989999999999E-2</v>
      </c>
      <c r="P6061">
        <v>0.9793153</v>
      </c>
      <c r="Q6061">
        <v>0.17956079999999999</v>
      </c>
      <c r="R6061">
        <v>9.3270900000000004E-2</v>
      </c>
      <c r="S6061">
        <v>3.0861510000000001</v>
      </c>
      <c r="T6061">
        <v>-0.13809109999999999</v>
      </c>
      <c r="U6061">
        <v>1.6235349999999999E-2</v>
      </c>
      <c r="V6061">
        <v>-0.14510379999999901</v>
      </c>
      <c r="W6061">
        <v>0.19175880000000001</v>
      </c>
      <c r="X6061">
        <v>0.97065619999999997</v>
      </c>
      <c r="Y6061">
        <v>-5.339671E-2</v>
      </c>
      <c r="Z6061">
        <v>3.0037359999999999E-3</v>
      </c>
      <c r="AA6061">
        <v>0.99856880000000003</v>
      </c>
      <c r="AB6061">
        <v>31</v>
      </c>
      <c r="AC6061">
        <v>24.895199999999999</v>
      </c>
      <c r="AD6061">
        <v>-1.1199993451479999</v>
      </c>
      <c r="AE6061">
        <v>0.13535999999999801</v>
      </c>
      <c r="AF6061">
        <v>-1.3333303028654699</v>
      </c>
      <c r="AG6061">
        <v>-1.1199993451479999</v>
      </c>
      <c r="AH6061">
        <v>24.809480737801302</v>
      </c>
      <c r="AI6061">
        <v>92.581086312070994</v>
      </c>
      <c r="AJ6061">
        <v>93.076274656054807</v>
      </c>
      <c r="AK6061">
        <v>24.870514725453699</v>
      </c>
      <c r="AL6061">
        <v>78.9445564709401</v>
      </c>
      <c r="AM6061">
        <v>98.502208992257295</v>
      </c>
      <c r="AN6061">
        <v>1.00000000437516</v>
      </c>
    </row>
    <row r="6062" spans="1:40" x14ac:dyDescent="0.25">
      <c r="A6062" t="str">
        <f>"20190304155756355"</f>
        <v>20190304155756355</v>
      </c>
      <c r="B6062" t="str">
        <f>"1551686276350930"</f>
        <v>1551686276350930</v>
      </c>
      <c r="C6062" t="s">
        <v>40</v>
      </c>
      <c r="D6062">
        <v>5.0378119999999997</v>
      </c>
      <c r="E6062">
        <v>0.53201270000000001</v>
      </c>
      <c r="F6062" t="s">
        <v>93</v>
      </c>
      <c r="G6062">
        <v>-259.37990000000002</v>
      </c>
      <c r="H6062" s="1">
        <v>-3.267935E-6</v>
      </c>
      <c r="I6062">
        <v>-60.868600000000001</v>
      </c>
      <c r="J6062">
        <v>-285.21620000000001</v>
      </c>
      <c r="K6062">
        <v>1.1195820000000001</v>
      </c>
      <c r="L6062">
        <v>-61.038569999999901</v>
      </c>
      <c r="M6062">
        <v>0.99891790000000003</v>
      </c>
      <c r="N6062">
        <v>-1.6031190000000001E-2</v>
      </c>
      <c r="O6062">
        <v>-4.3656430000000003E-2</v>
      </c>
      <c r="P6062">
        <v>0.97909639999999998</v>
      </c>
      <c r="Q6062">
        <v>0.17989449999999901</v>
      </c>
      <c r="R6062">
        <v>9.4912479999999994E-2</v>
      </c>
      <c r="S6062">
        <v>3.0858759999999998</v>
      </c>
      <c r="T6062">
        <v>-0.13299559999999999</v>
      </c>
      <c r="U6062">
        <v>1.9805909999999999E-2</v>
      </c>
      <c r="V6062">
        <v>-0.14207879999999901</v>
      </c>
      <c r="W6062">
        <v>0.19223519999999999</v>
      </c>
      <c r="X6062">
        <v>0.97100940000000002</v>
      </c>
      <c r="Y6062">
        <v>-4.9993490000000002E-2</v>
      </c>
      <c r="Z6062">
        <v>2.6582120000000001E-3</v>
      </c>
      <c r="AA6062">
        <v>0.99874600000000002</v>
      </c>
      <c r="AB6062">
        <v>31</v>
      </c>
      <c r="AC6062">
        <v>25.836299999999898</v>
      </c>
      <c r="AD6062">
        <v>-1.119585267935</v>
      </c>
      <c r="AE6062">
        <v>0.16996999999999199</v>
      </c>
      <c r="AF6062">
        <v>-1.29544108106074</v>
      </c>
      <c r="AG6062">
        <v>-1.119585267935</v>
      </c>
      <c r="AH6062">
        <v>25.755877406624698</v>
      </c>
      <c r="AI6062">
        <v>92.485891605604706</v>
      </c>
      <c r="AJ6062">
        <v>92.879374314658605</v>
      </c>
      <c r="AK6062">
        <v>25.812726701217699</v>
      </c>
      <c r="AL6062">
        <v>78.916743332410704</v>
      </c>
      <c r="AM6062">
        <v>98.324487051838503</v>
      </c>
      <c r="AN6062">
        <v>1.00000000620842</v>
      </c>
    </row>
    <row r="6063" spans="1:40" x14ac:dyDescent="0.25">
      <c r="A6063" t="str">
        <f>"20190304155756367"</f>
        <v>20190304155756367</v>
      </c>
      <c r="B6063" t="str">
        <f>"1551686276360690"</f>
        <v>1551686276360690</v>
      </c>
      <c r="C6063" t="s">
        <v>40</v>
      </c>
      <c r="D6063">
        <v>4.9129519999999998</v>
      </c>
      <c r="E6063">
        <v>0.53251419999999905</v>
      </c>
      <c r="F6063" t="s">
        <v>93</v>
      </c>
      <c r="G6063">
        <v>-258.49930000000001</v>
      </c>
      <c r="H6063" s="1">
        <v>-2.884227E-6</v>
      </c>
      <c r="I6063">
        <v>-60.84198</v>
      </c>
      <c r="J6063">
        <v>-285.06220000000002</v>
      </c>
      <c r="K6063">
        <v>1.119151</v>
      </c>
      <c r="L6063">
        <v>-61.041350000000001</v>
      </c>
      <c r="M6063">
        <v>0.99910379999999999</v>
      </c>
      <c r="N6063">
        <v>-1.594781E-2</v>
      </c>
      <c r="O6063">
        <v>-3.9210519999999999E-2</v>
      </c>
      <c r="P6063">
        <v>0.97892729999999994</v>
      </c>
      <c r="Q6063">
        <v>0.1801374</v>
      </c>
      <c r="R6063">
        <v>9.6187110000000006E-2</v>
      </c>
      <c r="S6063">
        <v>3.0856319999999999</v>
      </c>
      <c r="T6063">
        <v>-0.1293048</v>
      </c>
      <c r="U6063">
        <v>2.2705079999999999E-2</v>
      </c>
      <c r="V6063">
        <v>-0.13880529999999999</v>
      </c>
      <c r="W6063">
        <v>0.19262499999999999</v>
      </c>
      <c r="X6063">
        <v>0.97140550000000003</v>
      </c>
      <c r="Y6063">
        <v>-4.6497370000000003E-2</v>
      </c>
      <c r="Z6063">
        <v>2.361677E-3</v>
      </c>
      <c r="AA6063">
        <v>0.99891560000000001</v>
      </c>
      <c r="AB6063">
        <v>31</v>
      </c>
      <c r="AC6063">
        <v>26.562899999999999</v>
      </c>
      <c r="AD6063">
        <v>-1.1191538842269999</v>
      </c>
      <c r="AE6063">
        <v>0.199369999999994</v>
      </c>
      <c r="AF6063">
        <v>-1.23869541794251</v>
      </c>
      <c r="AG6063">
        <v>-1.1191538842269999</v>
      </c>
      <c r="AH6063">
        <v>26.487632615350801</v>
      </c>
      <c r="AI6063">
        <v>92.416780696997094</v>
      </c>
      <c r="AJ6063">
        <v>92.677489169283305</v>
      </c>
      <c r="AK6063">
        <v>26.540187514801101</v>
      </c>
      <c r="AL6063">
        <v>78.893983716868803</v>
      </c>
      <c r="AM6063">
        <v>98.1320147887632</v>
      </c>
      <c r="AN6063">
        <v>0.99999997368166904</v>
      </c>
    </row>
    <row r="6064" spans="1:40" x14ac:dyDescent="0.25">
      <c r="A6064" t="str">
        <f>"20190304155756378"</f>
        <v>20190304155756378</v>
      </c>
      <c r="B6064" t="str">
        <f>"1551686276371426"</f>
        <v>1551686276371426</v>
      </c>
      <c r="C6064" t="s">
        <v>40</v>
      </c>
      <c r="D6064">
        <v>4.9334680000000004</v>
      </c>
      <c r="E6064">
        <v>0.5330241</v>
      </c>
      <c r="F6064" t="s">
        <v>93</v>
      </c>
      <c r="G6064">
        <v>-258.52289999999999</v>
      </c>
      <c r="H6064" s="1">
        <v>-2.897041E-6</v>
      </c>
      <c r="I6064">
        <v>-60.853990000000003</v>
      </c>
      <c r="J6064">
        <v>-284.91359999999997</v>
      </c>
      <c r="K6064">
        <v>1.1187279999999999</v>
      </c>
      <c r="L6064">
        <v>-61.043460000000003</v>
      </c>
      <c r="M6064">
        <v>0.99925109999999995</v>
      </c>
      <c r="N6064">
        <v>-1.586862E-2</v>
      </c>
      <c r="O6064">
        <v>-3.529032E-2</v>
      </c>
      <c r="P6064">
        <v>0.97887860000000004</v>
      </c>
      <c r="Q6064">
        <v>0.17998039999999901</v>
      </c>
      <c r="R6064">
        <v>9.6973429999999999E-2</v>
      </c>
      <c r="S6064">
        <v>3.0863649999999998</v>
      </c>
      <c r="T6064">
        <v>-0.13015090000000001</v>
      </c>
      <c r="U6064">
        <v>2.1789550000000001E-2</v>
      </c>
      <c r="V6064">
        <v>-0.13555699999999901</v>
      </c>
      <c r="W6064">
        <v>0.19261</v>
      </c>
      <c r="X6064">
        <v>0.97186709999999998</v>
      </c>
      <c r="Y6064">
        <v>-4.2285320000000001E-2</v>
      </c>
      <c r="Z6064">
        <v>2.1542699999999998E-3</v>
      </c>
      <c r="AA6064">
        <v>0.99910319999999997</v>
      </c>
      <c r="AB6064">
        <v>31</v>
      </c>
      <c r="AC6064">
        <v>26.390699999999899</v>
      </c>
      <c r="AD6064">
        <v>-1.1187308970409999</v>
      </c>
      <c r="AE6064">
        <v>0.18946999999999201</v>
      </c>
      <c r="AF6064">
        <v>-1.11879511290144</v>
      </c>
      <c r="AG6064">
        <v>-1.1187308970409999</v>
      </c>
      <c r="AH6064">
        <v>26.320274617202799</v>
      </c>
      <c r="AI6064">
        <v>92.4316719783736</v>
      </c>
      <c r="AJ6064">
        <v>92.434004709028898</v>
      </c>
      <c r="AK6064">
        <v>26.3677855962463</v>
      </c>
      <c r="AL6064">
        <v>78.894859695445007</v>
      </c>
      <c r="AM6064">
        <v>97.940443730935996</v>
      </c>
      <c r="AN6064">
        <v>0.99999998620570496</v>
      </c>
    </row>
    <row r="6065" spans="1:40" x14ac:dyDescent="0.25">
      <c r="A6065" t="str">
        <f>"20190304155756388"</f>
        <v>20190304155756388</v>
      </c>
      <c r="B6065" t="str">
        <f>"1551686276381186"</f>
        <v>1551686276381186</v>
      </c>
      <c r="C6065" t="s">
        <v>40</v>
      </c>
      <c r="D6065">
        <v>4.8896129999999998</v>
      </c>
      <c r="E6065">
        <v>0.53308290000000003</v>
      </c>
      <c r="F6065" t="s">
        <v>93</v>
      </c>
      <c r="G6065">
        <v>-258.12369999999999</v>
      </c>
      <c r="H6065" s="1">
        <v>-2.7302219999999999E-6</v>
      </c>
      <c r="I6065">
        <v>-60.873919999999998</v>
      </c>
      <c r="J6065">
        <v>-284.76859999999999</v>
      </c>
      <c r="K6065">
        <v>1.1183149999999999</v>
      </c>
      <c r="L6065">
        <v>-61.045319999999997</v>
      </c>
      <c r="M6065">
        <v>0.99937640000000005</v>
      </c>
      <c r="N6065">
        <v>-1.5794280000000001E-2</v>
      </c>
      <c r="O6065">
        <v>-3.1577939999999999E-2</v>
      </c>
      <c r="P6065">
        <v>0.97880659999999997</v>
      </c>
      <c r="Q6065">
        <v>0.17992359999999999</v>
      </c>
      <c r="R6065">
        <v>9.780105E-2</v>
      </c>
      <c r="S6065">
        <v>3.086487</v>
      </c>
      <c r="T6065">
        <v>-0.1288898</v>
      </c>
      <c r="U6065">
        <v>1.953125E-2</v>
      </c>
      <c r="V6065">
        <v>-0.13255649999999999</v>
      </c>
      <c r="W6065">
        <v>0.19268399999999999</v>
      </c>
      <c r="X6065">
        <v>0.97226630000000003</v>
      </c>
      <c r="Y6065">
        <v>-3.7849849999999997E-2</v>
      </c>
      <c r="Z6065">
        <v>1.908313E-3</v>
      </c>
      <c r="AA6065">
        <v>0.99928159999999999</v>
      </c>
      <c r="AB6065">
        <v>31</v>
      </c>
      <c r="AC6065">
        <v>26.6449</v>
      </c>
      <c r="AD6065">
        <v>-1.118317730222</v>
      </c>
      <c r="AE6065">
        <v>0.171399999999998</v>
      </c>
      <c r="AF6065">
        <v>-1.01102966245541</v>
      </c>
      <c r="AG6065">
        <v>-1.118317730222</v>
      </c>
      <c r="AH6065">
        <v>26.579375790538901</v>
      </c>
      <c r="AI6065">
        <v>92.407539353326797</v>
      </c>
      <c r="AJ6065">
        <v>92.178373893328498</v>
      </c>
      <c r="AK6065">
        <v>26.622096704406601</v>
      </c>
      <c r="AL6065">
        <v>78.890539631398099</v>
      </c>
      <c r="AM6065">
        <v>97.7637041396992</v>
      </c>
      <c r="AN6065">
        <v>1.00000005383196</v>
      </c>
    </row>
    <row r="6066" spans="1:40" x14ac:dyDescent="0.25">
      <c r="A6066" t="str">
        <f>"20190304155756400"</f>
        <v>20190304155756400</v>
      </c>
      <c r="B6066" t="str">
        <f>"1551686276390946"</f>
        <v>1551686276390946</v>
      </c>
      <c r="C6066" t="s">
        <v>40</v>
      </c>
      <c r="D6066">
        <v>4.9300350000000002</v>
      </c>
      <c r="E6066">
        <v>0.53358739999999905</v>
      </c>
      <c r="F6066" t="s">
        <v>93</v>
      </c>
      <c r="G6066">
        <v>-257.9203</v>
      </c>
      <c r="H6066" s="1">
        <v>-2.6395220000000001E-6</v>
      </c>
      <c r="I6066">
        <v>-60.858429999999998</v>
      </c>
      <c r="J6066">
        <v>-284.61250000000001</v>
      </c>
      <c r="K6066">
        <v>1.1178570000000001</v>
      </c>
      <c r="L6066">
        <v>-61.046660000000003</v>
      </c>
      <c r="M6066">
        <v>0.99948309999999996</v>
      </c>
      <c r="N6066">
        <v>-1.5714039999999999E-2</v>
      </c>
      <c r="O6066">
        <v>-2.8049640000000001E-2</v>
      </c>
      <c r="P6066">
        <v>0.97857519999999998</v>
      </c>
      <c r="Q6066">
        <v>0.18060979999999999</v>
      </c>
      <c r="R6066">
        <v>9.8848069999999996E-2</v>
      </c>
      <c r="S6066">
        <v>3.0865170000000002</v>
      </c>
      <c r="T6066">
        <v>-0.12856319999999999</v>
      </c>
      <c r="U6066">
        <v>2.1484380000000001E-2</v>
      </c>
      <c r="V6066">
        <v>-0.129942899999999</v>
      </c>
      <c r="W6066">
        <v>0.19349240000000001</v>
      </c>
      <c r="X6066">
        <v>0.9724585</v>
      </c>
      <c r="Y6066">
        <v>-3.4959039999999997E-2</v>
      </c>
      <c r="Z6066">
        <v>1.729651E-3</v>
      </c>
      <c r="AA6066">
        <v>0.99938729999999998</v>
      </c>
      <c r="AB6066">
        <v>31</v>
      </c>
      <c r="AC6066">
        <v>26.6922</v>
      </c>
      <c r="AD6066">
        <v>-1.117859639522</v>
      </c>
      <c r="AE6066">
        <v>0.18822999999998999</v>
      </c>
      <c r="AF6066">
        <v>-0.93531453859264202</v>
      </c>
      <c r="AG6066">
        <v>-1.117859639522</v>
      </c>
      <c r="AH6066">
        <v>26.629710797534099</v>
      </c>
      <c r="AI6066">
        <v>92.402266348631102</v>
      </c>
      <c r="AJ6066">
        <v>92.011571054501502</v>
      </c>
      <c r="AK6066">
        <v>26.6695691869981</v>
      </c>
      <c r="AL6066">
        <v>78.843332762399896</v>
      </c>
      <c r="AM6066">
        <v>97.610954035143905</v>
      </c>
      <c r="AN6066">
        <v>1.0000000001702001</v>
      </c>
    </row>
    <row r="6067" spans="1:40" x14ac:dyDescent="0.25">
      <c r="A6067" t="str">
        <f>"20190304155756411"</f>
        <v>20190304155756411</v>
      </c>
      <c r="B6067" t="str">
        <f>"1551686276400707"</f>
        <v>1551686276400707</v>
      </c>
      <c r="C6067" t="s">
        <v>40</v>
      </c>
      <c r="D6067">
        <v>4.9208489999999996</v>
      </c>
      <c r="E6067">
        <v>0.53401769999999904</v>
      </c>
      <c r="F6067" t="s">
        <v>93</v>
      </c>
      <c r="G6067">
        <v>-257.0437</v>
      </c>
      <c r="H6067" s="1">
        <v>-2.2654960000000001E-6</v>
      </c>
      <c r="I6067">
        <v>-60.86759</v>
      </c>
      <c r="J6067">
        <v>-284.46109999999999</v>
      </c>
      <c r="K6067">
        <v>1.117418</v>
      </c>
      <c r="L6067">
        <v>-61.047849999999997</v>
      </c>
      <c r="M6067">
        <v>0.9995716</v>
      </c>
      <c r="N6067">
        <v>-1.563931E-2</v>
      </c>
      <c r="O6067">
        <v>-2.4742569999999998E-2</v>
      </c>
      <c r="P6067">
        <v>0.97848279999999999</v>
      </c>
      <c r="Q6067">
        <v>0.1808333</v>
      </c>
      <c r="R6067">
        <v>9.9352079999999995E-2</v>
      </c>
      <c r="S6067">
        <v>3.0867610000000001</v>
      </c>
      <c r="T6067">
        <v>-0.1251621</v>
      </c>
      <c r="U6067">
        <v>2.005005E-2</v>
      </c>
      <c r="V6067">
        <v>-0.12700219999999901</v>
      </c>
      <c r="W6067">
        <v>0.19384280000000001</v>
      </c>
      <c r="X6067">
        <v>0.97277720000000001</v>
      </c>
      <c r="Y6067">
        <v>-3.1195250000000001E-2</v>
      </c>
      <c r="Z6067">
        <v>1.492162E-3</v>
      </c>
      <c r="AA6067">
        <v>0.99951219999999996</v>
      </c>
      <c r="AB6067">
        <v>31</v>
      </c>
      <c r="AC6067">
        <v>27.417399999999901</v>
      </c>
      <c r="AD6067">
        <v>-1.1174202654959999</v>
      </c>
      <c r="AE6067">
        <v>0.18025999999999601</v>
      </c>
      <c r="AF6067">
        <v>-0.85724080865404695</v>
      </c>
      <c r="AG6067">
        <v>-1.1174202654959999</v>
      </c>
      <c r="AH6067">
        <v>27.359100982574802</v>
      </c>
      <c r="AI6067">
        <v>92.337669969369699</v>
      </c>
      <c r="AJ6067">
        <v>91.7946575258715</v>
      </c>
      <c r="AK6067">
        <v>27.395326178537999</v>
      </c>
      <c r="AL6067">
        <v>78.822869281297599</v>
      </c>
      <c r="AM6067">
        <v>97.438254291992095</v>
      </c>
      <c r="AN6067">
        <v>1.0000000353782501</v>
      </c>
    </row>
    <row r="6068" spans="1:40" x14ac:dyDescent="0.25">
      <c r="A6068" t="str">
        <f>"20190304155756422"</f>
        <v>20190304155756422</v>
      </c>
      <c r="B6068" t="str">
        <f>"1551686276410467"</f>
        <v>1551686276410467</v>
      </c>
      <c r="C6068" t="s">
        <v>40</v>
      </c>
      <c r="D6068">
        <v>4.8950040000000001</v>
      </c>
      <c r="E6068">
        <v>0.53443859999999999</v>
      </c>
      <c r="F6068" t="s">
        <v>93</v>
      </c>
      <c r="G6068">
        <v>-256.53859999999997</v>
      </c>
      <c r="H6068" s="1">
        <v>-2.055031E-6</v>
      </c>
      <c r="I6068">
        <v>-60.895479999999999</v>
      </c>
      <c r="J6068">
        <v>-284.30680000000001</v>
      </c>
      <c r="K6068">
        <v>1.116951</v>
      </c>
      <c r="L6068">
        <v>-61.048609999999996</v>
      </c>
      <c r="M6068">
        <v>0.99964109999999995</v>
      </c>
      <c r="N6068">
        <v>-1.556424E-2</v>
      </c>
      <c r="O6068">
        <v>-2.1803639999999999E-2</v>
      </c>
      <c r="P6068">
        <v>0.97841149999999999</v>
      </c>
      <c r="Q6068">
        <v>0.1806324</v>
      </c>
      <c r="R6068">
        <v>0.10041410000000001</v>
      </c>
      <c r="S6068">
        <v>3.087097</v>
      </c>
      <c r="T6068">
        <v>-0.1235415</v>
      </c>
      <c r="U6068">
        <v>1.6845699999999901E-2</v>
      </c>
      <c r="V6068">
        <v>-0.1249633</v>
      </c>
      <c r="W6068">
        <v>0.1937506</v>
      </c>
      <c r="X6068">
        <v>0.97305949999999997</v>
      </c>
      <c r="Y6068">
        <v>-2.7224600000000002E-2</v>
      </c>
      <c r="Z6068">
        <v>1.289372E-3</v>
      </c>
      <c r="AA6068">
        <v>0.99962850000000003</v>
      </c>
      <c r="AB6068">
        <v>31</v>
      </c>
      <c r="AC6068">
        <v>27.7682</v>
      </c>
      <c r="AD6068">
        <v>-1.1169530550309901</v>
      </c>
      <c r="AE6068">
        <v>0.15312999999999</v>
      </c>
      <c r="AF6068">
        <v>-0.75738937212326396</v>
      </c>
      <c r="AG6068">
        <v>-1.1169530550309901</v>
      </c>
      <c r="AH6068">
        <v>27.713419413999699</v>
      </c>
      <c r="AI6068">
        <v>92.307121676627006</v>
      </c>
      <c r="AJ6068">
        <v>91.565465986209901</v>
      </c>
      <c r="AK6068">
        <v>27.746258097343599</v>
      </c>
      <c r="AL6068">
        <v>78.828253138902596</v>
      </c>
      <c r="AM6068">
        <v>97.318045092524898</v>
      </c>
      <c r="AN6068">
        <v>0.99999995594374902</v>
      </c>
    </row>
    <row r="6069" spans="1:40" x14ac:dyDescent="0.25">
      <c r="A6069" t="str">
        <f>"20190304155756433"</f>
        <v>20190304155756433</v>
      </c>
      <c r="B6069" t="str">
        <f>"1551686276430962"</f>
        <v>1551686276430962</v>
      </c>
      <c r="C6069" t="s">
        <v>40</v>
      </c>
      <c r="D6069">
        <v>5.1773920000000002</v>
      </c>
      <c r="E6069">
        <v>0.53360180000000001</v>
      </c>
      <c r="F6069" t="s">
        <v>93</v>
      </c>
      <c r="G6069">
        <v>-256.32010000000002</v>
      </c>
      <c r="H6069" s="1">
        <v>-1.9649500000000001E-6</v>
      </c>
      <c r="I6069">
        <v>-60.911960000000001</v>
      </c>
      <c r="J6069">
        <v>-284.15559999999999</v>
      </c>
      <c r="K6069">
        <v>1.1165</v>
      </c>
      <c r="L6069">
        <v>-61.049219999999998</v>
      </c>
      <c r="M6069">
        <v>0.99969799999999998</v>
      </c>
      <c r="N6069">
        <v>-1.549416E-2</v>
      </c>
      <c r="O6069">
        <v>-1.907387E-2</v>
      </c>
      <c r="P6069">
        <v>0.97854509999999995</v>
      </c>
      <c r="Q6069">
        <v>0.1794644</v>
      </c>
      <c r="R6069">
        <v>0.1012045</v>
      </c>
      <c r="S6069">
        <v>3.087402</v>
      </c>
      <c r="T6069">
        <v>-0.12321889999999899</v>
      </c>
      <c r="U6069">
        <v>1.5075679999999999E-2</v>
      </c>
      <c r="V6069">
        <v>-0.1228534</v>
      </c>
      <c r="W6069">
        <v>0.19269140000000001</v>
      </c>
      <c r="X6069">
        <v>0.97353840000000003</v>
      </c>
      <c r="Y6069">
        <v>-2.392582E-2</v>
      </c>
      <c r="Z6069">
        <v>1.128141E-3</v>
      </c>
      <c r="AA6069">
        <v>0.99971310000000002</v>
      </c>
      <c r="AB6069">
        <v>31</v>
      </c>
      <c r="AC6069">
        <v>27.8354999999999</v>
      </c>
      <c r="AD6069">
        <v>-1.1165019649500001</v>
      </c>
      <c r="AE6069">
        <v>0.137259999999997</v>
      </c>
      <c r="AF6069">
        <v>-0.66715613904721305</v>
      </c>
      <c r="AG6069">
        <v>-1.1165019649500001</v>
      </c>
      <c r="AH6069">
        <v>27.783118141788101</v>
      </c>
      <c r="AI6069">
        <v>92.300607192975903</v>
      </c>
      <c r="AJ6069">
        <v>91.375579450421398</v>
      </c>
      <c r="AK6069">
        <v>27.813545757996401</v>
      </c>
      <c r="AL6069">
        <v>78.890106657336403</v>
      </c>
      <c r="AM6069">
        <v>97.1922895113469</v>
      </c>
      <c r="AN6069">
        <v>0.999999974900039</v>
      </c>
    </row>
    <row r="6070" spans="1:40" x14ac:dyDescent="0.25">
      <c r="A6070" t="str">
        <f>"20190304155756444"</f>
        <v>20190304155756444</v>
      </c>
      <c r="B6070" t="str">
        <f>"1551686276440723"</f>
        <v>1551686276440723</v>
      </c>
      <c r="C6070" t="s">
        <v>40</v>
      </c>
      <c r="D6070">
        <v>4.9874029999999996</v>
      </c>
      <c r="E6070">
        <v>0.53355750000000002</v>
      </c>
      <c r="F6070" t="s">
        <v>93</v>
      </c>
      <c r="G6070">
        <v>-258.04820000000001</v>
      </c>
      <c r="H6070" s="1">
        <v>-2.6955650000000002E-6</v>
      </c>
      <c r="I6070">
        <v>-60.863700000000001</v>
      </c>
      <c r="J6070">
        <v>-284.00029999999998</v>
      </c>
      <c r="K6070">
        <v>1.1160490000000001</v>
      </c>
      <c r="L6070">
        <v>-61.049590000000002</v>
      </c>
      <c r="M6070">
        <v>0.99974410000000002</v>
      </c>
      <c r="N6070">
        <v>-1.5425339999999999E-2</v>
      </c>
      <c r="O6070">
        <v>-1.6552020000000001E-2</v>
      </c>
      <c r="P6070">
        <v>0.97880319999999998</v>
      </c>
      <c r="Q6070">
        <v>0.17797389999999999</v>
      </c>
      <c r="R6070">
        <v>0.10134</v>
      </c>
      <c r="S6070">
        <v>3.0877080000000001</v>
      </c>
      <c r="T6070">
        <v>-0.132048</v>
      </c>
      <c r="U6070">
        <v>2.1942139999999999E-2</v>
      </c>
      <c r="V6070">
        <v>-0.1202901</v>
      </c>
      <c r="W6070">
        <v>0.1913147</v>
      </c>
      <c r="X6070">
        <v>0.97412989999999999</v>
      </c>
      <c r="Y6070">
        <v>-2.3623140000000001E-2</v>
      </c>
      <c r="Z6070">
        <v>1.1394669999999999E-3</v>
      </c>
      <c r="AA6070">
        <v>0.99972030000000001</v>
      </c>
      <c r="AB6070">
        <v>31</v>
      </c>
      <c r="AC6070">
        <v>25.952099999999898</v>
      </c>
      <c r="AD6070">
        <v>-1.1160516955649999</v>
      </c>
      <c r="AE6070">
        <v>0.18589</v>
      </c>
      <c r="AF6070">
        <v>-0.61433920094216099</v>
      </c>
      <c r="AG6070">
        <v>-1.1160516955649999</v>
      </c>
      <c r="AH6070">
        <v>25.897574930563199</v>
      </c>
      <c r="AI6070">
        <v>92.466932123667206</v>
      </c>
      <c r="AJ6070">
        <v>91.3589088258028</v>
      </c>
      <c r="AK6070">
        <v>25.928890669003199</v>
      </c>
      <c r="AL6070">
        <v>78.9704819414372</v>
      </c>
      <c r="AM6070">
        <v>97.039513640505305</v>
      </c>
      <c r="AN6070">
        <v>1.00000004233405</v>
      </c>
    </row>
    <row r="6071" spans="1:40" x14ac:dyDescent="0.25">
      <c r="A6071" t="str">
        <f>"20190304155756456"</f>
        <v>20190304155756456</v>
      </c>
      <c r="B6071" t="str">
        <f>"1551686276450482"</f>
        <v>1551686276450482</v>
      </c>
      <c r="C6071" t="s">
        <v>40</v>
      </c>
      <c r="D6071">
        <v>4.9794489999999998</v>
      </c>
      <c r="E6071">
        <v>0.53366840000000004</v>
      </c>
      <c r="F6071" t="s">
        <v>93</v>
      </c>
      <c r="G6071">
        <v>-259.08420000000001</v>
      </c>
      <c r="H6071" s="1">
        <v>-3.143367E-6</v>
      </c>
      <c r="I6071">
        <v>-60.87894</v>
      </c>
      <c r="J6071">
        <v>-283.84629999999999</v>
      </c>
      <c r="K6071">
        <v>1.1156090000000001</v>
      </c>
      <c r="L6071">
        <v>-61.04974</v>
      </c>
      <c r="M6071">
        <v>0.9997798</v>
      </c>
      <c r="N6071">
        <v>-1.5360270000000001E-2</v>
      </c>
      <c r="O6071">
        <v>-1.429706E-2</v>
      </c>
      <c r="P6071">
        <v>0.97916650000000005</v>
      </c>
      <c r="Q6071">
        <v>0.17610979999999901</v>
      </c>
      <c r="R6071">
        <v>0.10108490000000001</v>
      </c>
      <c r="S6071">
        <v>3.0878909999999999</v>
      </c>
      <c r="T6071">
        <v>-0.13831370000000001</v>
      </c>
      <c r="U6071">
        <v>2.114868E-2</v>
      </c>
      <c r="V6071">
        <v>-0.11760180000000001</v>
      </c>
      <c r="W6071">
        <v>0.1895616</v>
      </c>
      <c r="X6071">
        <v>0.97480060000000002</v>
      </c>
      <c r="Y6071">
        <v>-2.111184E-2</v>
      </c>
      <c r="Z6071">
        <v>1.055357E-3</v>
      </c>
      <c r="AA6071">
        <v>0.99977649999999996</v>
      </c>
      <c r="AB6071">
        <v>31</v>
      </c>
      <c r="AC6071">
        <v>24.762099999999901</v>
      </c>
      <c r="AD6071">
        <v>-1.1156121433670001</v>
      </c>
      <c r="AE6071">
        <v>0.17079999999999901</v>
      </c>
      <c r="AF6071">
        <v>-0.52378641403481796</v>
      </c>
      <c r="AG6071">
        <v>-1.1156121433670001</v>
      </c>
      <c r="AH6071">
        <v>24.7069786476358</v>
      </c>
      <c r="AI6071">
        <v>92.584781823289603</v>
      </c>
      <c r="AJ6071">
        <v>91.2144850467607</v>
      </c>
      <c r="AK6071">
        <v>24.737698691605999</v>
      </c>
      <c r="AL6071">
        <v>79.072799174599893</v>
      </c>
      <c r="AM6071">
        <v>96.879026930796101</v>
      </c>
      <c r="AN6071">
        <v>0.99999999665908001</v>
      </c>
    </row>
    <row r="6072" spans="1:40" x14ac:dyDescent="0.25">
      <c r="A6072" t="str">
        <f>"20190304155756467"</f>
        <v>20190304155756467</v>
      </c>
      <c r="B6072" t="str">
        <f>"1551686276461219"</f>
        <v>1551686276461219</v>
      </c>
      <c r="C6072" t="s">
        <v>40</v>
      </c>
      <c r="D6072">
        <v>4.9430459999999998</v>
      </c>
      <c r="E6072">
        <v>0.53386330000000004</v>
      </c>
      <c r="F6072" t="s">
        <v>41</v>
      </c>
      <c r="G6072">
        <v>-260.21539999999999</v>
      </c>
      <c r="H6072" s="1">
        <v>7.6189229999999998E-7</v>
      </c>
      <c r="I6072">
        <v>-60.911430000000003</v>
      </c>
      <c r="J6072">
        <v>-283.69720000000001</v>
      </c>
      <c r="K6072">
        <v>1.1151930000000001</v>
      </c>
      <c r="L6072">
        <v>-61.049799999999998</v>
      </c>
      <c r="M6072">
        <v>0.99980749999999996</v>
      </c>
      <c r="N6072">
        <v>-1.529981E-2</v>
      </c>
      <c r="O6072">
        <v>-1.2289120000000001E-2</v>
      </c>
      <c r="P6072">
        <v>0.97961160000000003</v>
      </c>
      <c r="Q6072">
        <v>0.17414099999999999</v>
      </c>
      <c r="R6072">
        <v>0.1001814</v>
      </c>
      <c r="S6072">
        <v>3.0882260000000001</v>
      </c>
      <c r="T6072">
        <v>-0.14579439999999999</v>
      </c>
      <c r="U6072">
        <v>1.8066410000000001E-2</v>
      </c>
      <c r="V6072">
        <v>-0.1145188</v>
      </c>
      <c r="W6072">
        <v>0.18770110000000001</v>
      </c>
      <c r="X6072">
        <v>0.97552740000000004</v>
      </c>
      <c r="Y6072">
        <v>-1.8106939999999998E-2</v>
      </c>
      <c r="Z6072">
        <v>9.5766920000000004E-4</v>
      </c>
      <c r="AA6072">
        <v>0.99983560000000005</v>
      </c>
      <c r="AB6072">
        <v>31</v>
      </c>
      <c r="AC6072">
        <v>23.4818</v>
      </c>
      <c r="AD6072">
        <v>-1.1151922381077</v>
      </c>
      <c r="AE6072">
        <v>0.138369999999994</v>
      </c>
      <c r="AF6072">
        <v>-0.42600316356615497</v>
      </c>
      <c r="AG6072">
        <v>-1.1151922381077</v>
      </c>
      <c r="AH6072">
        <v>23.425492116156299</v>
      </c>
      <c r="AI6072">
        <v>92.725110971117999</v>
      </c>
      <c r="AJ6072">
        <v>91.041834812354494</v>
      </c>
      <c r="AK6072">
        <v>23.455890801830702</v>
      </c>
      <c r="AL6072">
        <v>79.181346491842802</v>
      </c>
      <c r="AM6072">
        <v>96.695403986060001</v>
      </c>
      <c r="AN6072">
        <v>0.99999998332270401</v>
      </c>
    </row>
    <row r="6073" spans="1:40" x14ac:dyDescent="0.25">
      <c r="A6073" t="str">
        <f>"20190304155756478"</f>
        <v>20190304155756478</v>
      </c>
      <c r="B6073" t="str">
        <f>"1551686276470978"</f>
        <v>1551686276470978</v>
      </c>
      <c r="C6073" t="s">
        <v>40</v>
      </c>
      <c r="D6073">
        <v>4.9539460000000002</v>
      </c>
      <c r="E6073">
        <v>0.53397890000000003</v>
      </c>
      <c r="F6073" t="s">
        <v>41</v>
      </c>
      <c r="G6073">
        <v>-261.2056</v>
      </c>
      <c r="H6073" s="1">
        <v>3.2515560000000001E-7</v>
      </c>
      <c r="I6073">
        <v>-60.956389999999999</v>
      </c>
      <c r="J6073">
        <v>-283.54930000000002</v>
      </c>
      <c r="K6073">
        <v>1.1147899999999999</v>
      </c>
      <c r="L6073">
        <v>-61.049680000000002</v>
      </c>
      <c r="M6073">
        <v>0.99982760000000004</v>
      </c>
      <c r="N6073">
        <v>-1.5242439999999999E-2</v>
      </c>
      <c r="O6073">
        <v>-1.0610039999999999E-2</v>
      </c>
      <c r="P6073">
        <v>0.98001709999999997</v>
      </c>
      <c r="Q6073">
        <v>0.1725786</v>
      </c>
      <c r="R6073">
        <v>9.8912050000000001E-2</v>
      </c>
      <c r="S6073">
        <v>3.0883479999999999</v>
      </c>
      <c r="T6073">
        <v>-0.15312829999999999</v>
      </c>
      <c r="U6073">
        <v>1.281738E-2</v>
      </c>
      <c r="V6073">
        <v>-0.1114043</v>
      </c>
      <c r="W6073">
        <v>0.18624060000000001</v>
      </c>
      <c r="X6073">
        <v>0.97616780000000003</v>
      </c>
      <c r="Y6073">
        <v>-1.473123E-2</v>
      </c>
      <c r="Z6073">
        <v>8.4142690000000003E-4</v>
      </c>
      <c r="AA6073">
        <v>0.99989119999999998</v>
      </c>
      <c r="AB6073">
        <v>31</v>
      </c>
      <c r="AC6073">
        <v>22.343699999999998</v>
      </c>
      <c r="AD6073">
        <v>-1.1147896748443999</v>
      </c>
      <c r="AE6073">
        <v>9.3290000000003204E-2</v>
      </c>
      <c r="AF6073">
        <v>-0.32955947126701302</v>
      </c>
      <c r="AG6073">
        <v>-1.1147896748443999</v>
      </c>
      <c r="AH6073">
        <v>22.285976781529602</v>
      </c>
      <c r="AI6073">
        <v>92.863351447088803</v>
      </c>
      <c r="AJ6073">
        <v>90.847213958105897</v>
      </c>
      <c r="AK6073">
        <v>22.316274925961999</v>
      </c>
      <c r="AL6073">
        <v>79.266529612941596</v>
      </c>
      <c r="AM6073">
        <v>96.510662797932397</v>
      </c>
      <c r="AN6073">
        <v>1.0000000264518401</v>
      </c>
    </row>
    <row r="6074" spans="1:40" x14ac:dyDescent="0.25">
      <c r="A6074" t="str">
        <f>"20190304155756488"</f>
        <v>20190304155756488</v>
      </c>
      <c r="B6074" t="str">
        <f>"1551686276480738"</f>
        <v>1551686276480738</v>
      </c>
      <c r="C6074" t="s">
        <v>40</v>
      </c>
      <c r="D6074">
        <v>4.9700100000000003</v>
      </c>
      <c r="E6074">
        <v>0.53403529999999999</v>
      </c>
      <c r="F6074" t="s">
        <v>41</v>
      </c>
      <c r="G6074">
        <v>-261.95760000000001</v>
      </c>
      <c r="H6074" s="1">
        <v>-7.7637879999999995E-9</v>
      </c>
      <c r="I6074">
        <v>-60.994999999999997</v>
      </c>
      <c r="J6074">
        <v>-283.39929999999998</v>
      </c>
      <c r="K6074">
        <v>1.114384</v>
      </c>
      <c r="L6074">
        <v>-61.04956</v>
      </c>
      <c r="M6074">
        <v>0.99984419999999996</v>
      </c>
      <c r="N6074">
        <v>-1.518604E-2</v>
      </c>
      <c r="O6074">
        <v>-9.0027400000000004E-3</v>
      </c>
      <c r="P6074">
        <v>0.98028780000000004</v>
      </c>
      <c r="Q6074">
        <v>0.17165439999999901</v>
      </c>
      <c r="R6074">
        <v>9.7829120000000006E-2</v>
      </c>
      <c r="S6074">
        <v>3.08847</v>
      </c>
      <c r="T6074">
        <v>-0.1594592</v>
      </c>
      <c r="U6074">
        <v>7.8125E-3</v>
      </c>
      <c r="V6074">
        <v>-0.1085511</v>
      </c>
      <c r="W6074">
        <v>0.1854085</v>
      </c>
      <c r="X6074">
        <v>0.9766475</v>
      </c>
      <c r="Y6074">
        <v>-1.1507389999999999E-2</v>
      </c>
      <c r="Z6074">
        <v>7.121664E-4</v>
      </c>
      <c r="AA6074">
        <v>0.99993350000000003</v>
      </c>
      <c r="AB6074">
        <v>31</v>
      </c>
      <c r="AC6074">
        <v>21.441699999999901</v>
      </c>
      <c r="AD6074">
        <v>-1.1143840077637801</v>
      </c>
      <c r="AE6074">
        <v>5.45600000000021E-2</v>
      </c>
      <c r="AF6074">
        <v>-0.24694705153055599</v>
      </c>
      <c r="AG6074">
        <v>-1.1143840077637801</v>
      </c>
      <c r="AH6074">
        <v>21.382582083583301</v>
      </c>
      <c r="AI6074">
        <v>92.983154248846603</v>
      </c>
      <c r="AJ6074">
        <v>90.661678498421693</v>
      </c>
      <c r="AK6074">
        <v>21.413025267910999</v>
      </c>
      <c r="AL6074">
        <v>79.315050196055395</v>
      </c>
      <c r="AM6074">
        <v>96.342203258604201</v>
      </c>
      <c r="AN6074">
        <v>0.99999999621985503</v>
      </c>
    </row>
    <row r="6075" spans="1:40" x14ac:dyDescent="0.25">
      <c r="A6075" t="str">
        <f>"20190304155756501"</f>
        <v>20190304155756501</v>
      </c>
      <c r="B6075" t="str">
        <f>"1551686276490498"</f>
        <v>1551686276490498</v>
      </c>
      <c r="C6075" t="s">
        <v>40</v>
      </c>
      <c r="D6075">
        <v>5.1330629999999999</v>
      </c>
      <c r="E6075">
        <v>0.53403529999999999</v>
      </c>
      <c r="F6075" t="s">
        <v>41</v>
      </c>
      <c r="G6075">
        <v>-262.32100000000003</v>
      </c>
      <c r="H6075" s="1">
        <v>-1.7113649999999999E-7</v>
      </c>
      <c r="I6075">
        <v>-61.023249999999997</v>
      </c>
      <c r="J6075">
        <v>-283.24829999999997</v>
      </c>
      <c r="K6075">
        <v>1.1139810000000001</v>
      </c>
      <c r="L6075">
        <v>-61.049349999999997</v>
      </c>
      <c r="M6075">
        <v>0.9998553</v>
      </c>
      <c r="N6075">
        <v>-1.5132299999999901E-2</v>
      </c>
      <c r="O6075">
        <v>-7.7610040000000002E-3</v>
      </c>
      <c r="P6075">
        <v>0.98048749999999996</v>
      </c>
      <c r="Q6075">
        <v>0.1710962</v>
      </c>
      <c r="R6075">
        <v>9.6801659999999998E-2</v>
      </c>
      <c r="S6075">
        <v>3.0885009999999999</v>
      </c>
      <c r="T6075">
        <v>-0.16328529999999999</v>
      </c>
      <c r="U6075">
        <v>3.8452149999999999E-3</v>
      </c>
      <c r="V6075">
        <v>-0.1061188</v>
      </c>
      <c r="W6075">
        <v>0.1849314</v>
      </c>
      <c r="X6075">
        <v>0.97700520000000002</v>
      </c>
      <c r="Y6075">
        <v>-8.9851930000000007E-3</v>
      </c>
      <c r="Z6075">
        <v>5.9803549999999997E-4</v>
      </c>
      <c r="AA6075">
        <v>0.9999595</v>
      </c>
      <c r="AB6075">
        <v>31</v>
      </c>
      <c r="AC6075">
        <v>20.927299999999999</v>
      </c>
      <c r="AD6075">
        <v>-1.1139811711365</v>
      </c>
      <c r="AE6075">
        <v>2.6099999999999499E-2</v>
      </c>
      <c r="AF6075">
        <v>-0.18800197432217799</v>
      </c>
      <c r="AG6075">
        <v>-1.1139811711365</v>
      </c>
      <c r="AH6075">
        <v>20.867338661319501</v>
      </c>
      <c r="AI6075">
        <v>93.055651195725403</v>
      </c>
      <c r="AJ6075">
        <v>90.516186007915607</v>
      </c>
      <c r="AK6075">
        <v>20.8978975401401</v>
      </c>
      <c r="AL6075">
        <v>79.342867013956393</v>
      </c>
      <c r="AM6075">
        <v>96.198960788942799</v>
      </c>
      <c r="AN6075">
        <v>0.99999999162321995</v>
      </c>
    </row>
    <row r="6076" spans="1:40" x14ac:dyDescent="0.25">
      <c r="A6076" t="str">
        <f>"20190304155756524"</f>
        <v>20190304155756524</v>
      </c>
      <c r="B6076" t="str">
        <f>"1551686276520754"</f>
        <v>1551686276520754</v>
      </c>
      <c r="C6076" t="s">
        <v>40</v>
      </c>
      <c r="D6076">
        <v>4.9194990000000001</v>
      </c>
      <c r="E6076">
        <v>0.53437829999999997</v>
      </c>
      <c r="F6076" t="s">
        <v>41</v>
      </c>
      <c r="G6076">
        <v>-262.39499999999998</v>
      </c>
      <c r="H6076" s="1">
        <v>-2.0910159999999999E-7</v>
      </c>
      <c r="I6076">
        <v>-61.046599999999998</v>
      </c>
      <c r="J6076">
        <v>-282.92340000000002</v>
      </c>
      <c r="K6076">
        <v>1.1131340000000001</v>
      </c>
      <c r="L6076">
        <v>-61.048920000000003</v>
      </c>
      <c r="M6076">
        <v>0.99987130000000002</v>
      </c>
      <c r="N6076">
        <v>-1.502471E-2</v>
      </c>
      <c r="O6076">
        <v>-5.6254349999999998E-3</v>
      </c>
      <c r="P6076">
        <v>0.98089680000000001</v>
      </c>
      <c r="Q6076">
        <v>0.16991300000000001</v>
      </c>
      <c r="R6076">
        <v>9.4716649999999999E-2</v>
      </c>
      <c r="S6076">
        <v>3.088409</v>
      </c>
      <c r="T6076">
        <v>-0.16498209999999999</v>
      </c>
      <c r="U6076">
        <v>3.9672850000000001E-4</v>
      </c>
      <c r="V6076">
        <v>-0.1015426</v>
      </c>
      <c r="W6076">
        <v>0.1839065</v>
      </c>
      <c r="X6076">
        <v>0.97768480000000002</v>
      </c>
      <c r="Y6076">
        <v>-5.7398939999999997E-3</v>
      </c>
      <c r="Z6076">
        <v>4.1217640000000002E-4</v>
      </c>
      <c r="AA6076">
        <v>0.99998339999999997</v>
      </c>
      <c r="AB6076">
        <v>31</v>
      </c>
      <c r="AC6076">
        <v>20.528400000000001</v>
      </c>
      <c r="AD6076">
        <v>-1.1131342091016001</v>
      </c>
      <c r="AE6076">
        <v>2.31999999999743E-3</v>
      </c>
      <c r="AF6076">
        <v>-0.117468791498846</v>
      </c>
      <c r="AG6076">
        <v>-1.1131342091016001</v>
      </c>
      <c r="AH6076">
        <v>20.467881285611799</v>
      </c>
      <c r="AI6076">
        <v>93.112880982124906</v>
      </c>
      <c r="AJ6076">
        <v>90.328827004053807</v>
      </c>
      <c r="AK6076">
        <v>20.498464113351201</v>
      </c>
      <c r="AL6076">
        <v>79.402614720065301</v>
      </c>
      <c r="AM6076">
        <v>95.929495288664697</v>
      </c>
      <c r="AN6076">
        <v>1.0000000342540201</v>
      </c>
    </row>
    <row r="6077" spans="1:40" x14ac:dyDescent="0.25">
      <c r="A6077" t="str">
        <f>"20190304155756535"</f>
        <v>20190304155756535</v>
      </c>
      <c r="B6077" t="str">
        <f>"1551686276530514"</f>
        <v>1551686276530514</v>
      </c>
      <c r="C6077" t="s">
        <v>40</v>
      </c>
      <c r="D6077">
        <v>4.8487419999999997</v>
      </c>
      <c r="E6077">
        <v>0.5352017</v>
      </c>
      <c r="F6077" t="s">
        <v>41</v>
      </c>
      <c r="G6077">
        <v>-262.71379999999999</v>
      </c>
      <c r="H6077" s="1">
        <v>-3.6381210000000002E-7</v>
      </c>
      <c r="I6077">
        <v>-61.113939999999999</v>
      </c>
      <c r="J6077">
        <v>-282.77089999999998</v>
      </c>
      <c r="K6077">
        <v>1.112752</v>
      </c>
      <c r="L6077">
        <v>-61.0488</v>
      </c>
      <c r="M6077">
        <v>0.99987579999999998</v>
      </c>
      <c r="N6077">
        <v>-1.497884E-2</v>
      </c>
      <c r="O6077">
        <v>-4.9306840000000003E-3</v>
      </c>
      <c r="P6077">
        <v>0.98114409999999996</v>
      </c>
      <c r="Q6077">
        <v>0.16910839999999999</v>
      </c>
      <c r="R6077">
        <v>9.359083E-2</v>
      </c>
      <c r="S6077">
        <v>3.0888979999999999</v>
      </c>
      <c r="T6077">
        <v>-0.17013529999999999</v>
      </c>
      <c r="U6077">
        <v>-9.9487299999999994E-3</v>
      </c>
      <c r="V6077">
        <v>-9.9556350000000002E-2</v>
      </c>
      <c r="W6077">
        <v>0.18316959999999999</v>
      </c>
      <c r="X6077">
        <v>0.97802730000000004</v>
      </c>
      <c r="Y6077">
        <v>-1.7032179999999901E-3</v>
      </c>
      <c r="Z6077">
        <v>2.5719270000000002E-4</v>
      </c>
      <c r="AA6077">
        <v>0.99999850000000001</v>
      </c>
      <c r="AB6077">
        <v>31</v>
      </c>
      <c r="AC6077">
        <v>20.057099999999899</v>
      </c>
      <c r="AD6077">
        <v>-1.1127523638121</v>
      </c>
      <c r="AE6077">
        <v>-6.5139999999999504E-2</v>
      </c>
      <c r="AF6077">
        <v>-3.3663482567388402E-2</v>
      </c>
      <c r="AG6077">
        <v>-1.1127523638121</v>
      </c>
      <c r="AH6077">
        <v>19.9956325578387</v>
      </c>
      <c r="AI6077">
        <v>93.185207098975795</v>
      </c>
      <c r="AJ6077">
        <v>90.096459746747001</v>
      </c>
      <c r="AK6077">
        <v>20.026599123199301</v>
      </c>
      <c r="AL6077">
        <v>79.4455650705804</v>
      </c>
      <c r="AM6077">
        <v>95.812290156543995</v>
      </c>
      <c r="AN6077">
        <v>0.99999998436738602</v>
      </c>
    </row>
    <row r="6078" spans="1:40" x14ac:dyDescent="0.25">
      <c r="A6078" t="str">
        <f>"20190304155756545"</f>
        <v>20190304155756545</v>
      </c>
      <c r="B6078" t="str">
        <f>"1551686276541250"</f>
        <v>1551686276541250</v>
      </c>
      <c r="C6078" t="s">
        <v>40</v>
      </c>
      <c r="D6078">
        <v>4.8547310000000001</v>
      </c>
      <c r="E6078">
        <v>0.53602930000000004</v>
      </c>
      <c r="F6078" t="s">
        <v>92</v>
      </c>
      <c r="G6078">
        <v>-262.38060000000002</v>
      </c>
      <c r="H6078" s="1">
        <v>-2.399531E-7</v>
      </c>
      <c r="I6078">
        <v>-61.185720000000003</v>
      </c>
      <c r="J6078">
        <v>-282.63290000000001</v>
      </c>
      <c r="K6078">
        <v>1.112419</v>
      </c>
      <c r="L6078">
        <v>-61.048740000000002</v>
      </c>
      <c r="M6078">
        <v>0.99987859999999995</v>
      </c>
      <c r="N6078">
        <v>-1.493972E-2</v>
      </c>
      <c r="O6078">
        <v>-4.4527450000000001E-3</v>
      </c>
      <c r="P6078">
        <v>0.98143080000000005</v>
      </c>
      <c r="Q6078">
        <v>0.1682283</v>
      </c>
      <c r="R6078">
        <v>9.2157409999999995E-2</v>
      </c>
      <c r="S6078">
        <v>3.0887150000000001</v>
      </c>
      <c r="T6078">
        <v>-0.16855919999999999</v>
      </c>
      <c r="U6078">
        <v>-2.0751950000000002E-2</v>
      </c>
      <c r="V6078">
        <v>-9.7497810000000004E-2</v>
      </c>
      <c r="W6078">
        <v>0.1823497</v>
      </c>
      <c r="X6078">
        <v>0.97838780000000003</v>
      </c>
      <c r="Y6078">
        <v>2.2644779999999999E-3</v>
      </c>
      <c r="Z6078" s="1">
        <v>9.7647710000000004E-5</v>
      </c>
      <c r="AA6078">
        <v>0.99999740000000004</v>
      </c>
      <c r="AB6078">
        <v>31</v>
      </c>
      <c r="AC6078">
        <v>20.252299999999899</v>
      </c>
      <c r="AD6078">
        <v>-1.1124192399531001</v>
      </c>
      <c r="AE6078">
        <v>-0.136979999999994</v>
      </c>
      <c r="AF6078">
        <v>4.6649520127476002E-2</v>
      </c>
      <c r="AG6078">
        <v>-1.1124192399531001</v>
      </c>
      <c r="AH6078">
        <v>20.1917915212982</v>
      </c>
      <c r="AI6078">
        <v>93.153379939469502</v>
      </c>
      <c r="AJ6078">
        <v>89.867628592473096</v>
      </c>
      <c r="AK6078">
        <v>20.222465170762899</v>
      </c>
      <c r="AL6078">
        <v>79.493346395916404</v>
      </c>
      <c r="AM6078">
        <v>95.690822468373298</v>
      </c>
      <c r="AN6078">
        <v>0.999999961616862</v>
      </c>
    </row>
    <row r="6079" spans="1:40" x14ac:dyDescent="0.25">
      <c r="A6079" t="str">
        <f>"20190304155756556"</f>
        <v>20190304155756556</v>
      </c>
      <c r="B6079" t="str">
        <f>"1551686276551010"</f>
        <v>1551686276551010</v>
      </c>
      <c r="C6079" t="s">
        <v>40</v>
      </c>
      <c r="D6079">
        <v>4.9131150000000003</v>
      </c>
      <c r="E6079">
        <v>0.53602930000000004</v>
      </c>
      <c r="F6079" t="s">
        <v>92</v>
      </c>
      <c r="G6079">
        <v>-262.08940000000001</v>
      </c>
      <c r="H6079" s="1">
        <v>-1.355547E-7</v>
      </c>
      <c r="I6079">
        <v>-61.262830000000001</v>
      </c>
      <c r="J6079">
        <v>-282.476</v>
      </c>
      <c r="K6079">
        <v>1.11206</v>
      </c>
      <c r="L6079">
        <v>-61.0488</v>
      </c>
      <c r="M6079">
        <v>0.99988069999999896</v>
      </c>
      <c r="N6079">
        <v>-1.489793E-2</v>
      </c>
      <c r="O6079">
        <v>-4.0959739999999996E-3</v>
      </c>
      <c r="P6079">
        <v>0.98173650000000001</v>
      </c>
      <c r="Q6079">
        <v>0.16735329999999901</v>
      </c>
      <c r="R6079">
        <v>9.0478230000000007E-2</v>
      </c>
      <c r="S6079">
        <v>3.0884399999999999</v>
      </c>
      <c r="T6079">
        <v>-0.16723789999999999</v>
      </c>
      <c r="U6079">
        <v>-3.2196040000000002E-2</v>
      </c>
      <c r="V6079">
        <v>-9.5302659999999997E-2</v>
      </c>
      <c r="W6079">
        <v>0.18153520000000001</v>
      </c>
      <c r="X6079">
        <v>0.9787555</v>
      </c>
      <c r="Y6079">
        <v>6.3191810000000001E-3</v>
      </c>
      <c r="Z6079" s="1">
        <v>-5.7445860000000002E-5</v>
      </c>
      <c r="AA6079">
        <v>0.99997999999999998</v>
      </c>
      <c r="AB6079">
        <v>31</v>
      </c>
      <c r="AC6079">
        <v>20.386599999999898</v>
      </c>
      <c r="AD6079">
        <v>-1.1120601355547</v>
      </c>
      <c r="AE6079">
        <v>-0.21403000000000799</v>
      </c>
      <c r="AF6079">
        <v>0.130128796476567</v>
      </c>
      <c r="AG6079">
        <v>-1.1120601355547</v>
      </c>
      <c r="AH6079">
        <v>20.3268289200807</v>
      </c>
      <c r="AI6079">
        <v>93.131408029902801</v>
      </c>
      <c r="AJ6079">
        <v>89.633207471364898</v>
      </c>
      <c r="AK6079">
        <v>20.3576419360149</v>
      </c>
      <c r="AL6079">
        <v>79.540806116500207</v>
      </c>
      <c r="AM6079">
        <v>95.561430405239804</v>
      </c>
      <c r="AN6079">
        <v>0.99999997731118195</v>
      </c>
    </row>
    <row r="6080" spans="1:40" x14ac:dyDescent="0.25">
      <c r="A6080" t="str">
        <f>"20190304155756567"</f>
        <v>20190304155756567</v>
      </c>
      <c r="B6080" t="str">
        <f>"1551686276560770"</f>
        <v>1551686276560770</v>
      </c>
      <c r="C6080" t="s">
        <v>40</v>
      </c>
      <c r="D6080">
        <v>5.1073089999999999</v>
      </c>
      <c r="E6080">
        <v>0.53613109999999997</v>
      </c>
      <c r="F6080" t="s">
        <v>92</v>
      </c>
      <c r="G6080">
        <v>-262.25729999999999</v>
      </c>
      <c r="H6080" s="1">
        <v>-2.1635130000000001E-7</v>
      </c>
      <c r="I6080">
        <v>-61.295879999999997</v>
      </c>
      <c r="J6080">
        <v>-282.32690000000002</v>
      </c>
      <c r="K6080">
        <v>1.1117300000000001</v>
      </c>
      <c r="L6080">
        <v>-61.048859999999998</v>
      </c>
      <c r="M6080">
        <v>0.9998821</v>
      </c>
      <c r="N6080">
        <v>-1.4859829999999999E-2</v>
      </c>
      <c r="O6080">
        <v>-3.8724459999999999E-3</v>
      </c>
      <c r="P6080">
        <v>0.98202999999999996</v>
      </c>
      <c r="Q6080">
        <v>0.16669929999999999</v>
      </c>
      <c r="R6080">
        <v>8.8478520000000005E-2</v>
      </c>
      <c r="S6080">
        <v>3.088257</v>
      </c>
      <c r="T6080">
        <v>-0.16985929999999999</v>
      </c>
      <c r="U6080">
        <v>-3.7750239999999997E-2</v>
      </c>
      <c r="V6080">
        <v>-9.2932630000000002E-2</v>
      </c>
      <c r="W6080">
        <v>0.1809355</v>
      </c>
      <c r="X6080">
        <v>0.97909440000000003</v>
      </c>
      <c r="Y6080">
        <v>8.3373219999999994E-3</v>
      </c>
      <c r="Z6080">
        <v>-1.3580539999999999E-4</v>
      </c>
      <c r="AA6080">
        <v>0.99996529999999995</v>
      </c>
      <c r="AB6080">
        <v>31</v>
      </c>
      <c r="AC6080">
        <v>20.069600000000001</v>
      </c>
      <c r="AD6080">
        <v>-1.1117302163513001</v>
      </c>
      <c r="AE6080">
        <v>-0.24702000000000601</v>
      </c>
      <c r="AF6080">
        <v>0.168773327189256</v>
      </c>
      <c r="AG6080">
        <v>-1.1117302163513001</v>
      </c>
      <c r="AH6080">
        <v>20.009018460084999</v>
      </c>
      <c r="AI6080">
        <v>93.180054308959598</v>
      </c>
      <c r="AJ6080">
        <v>89.516729416727401</v>
      </c>
      <c r="AK6080">
        <v>20.0405900174107</v>
      </c>
      <c r="AL6080">
        <v>79.575745090100895</v>
      </c>
      <c r="AM6080">
        <v>95.422095203698404</v>
      </c>
      <c r="AN6080">
        <v>0.99999998649516297</v>
      </c>
    </row>
    <row r="6081" spans="1:40" x14ac:dyDescent="0.25">
      <c r="A6081" t="str">
        <f>"20190304155756579"</f>
        <v>20190304155756579</v>
      </c>
      <c r="B6081" t="str">
        <f>"1551686276570530"</f>
        <v>1551686276570530</v>
      </c>
      <c r="C6081" t="s">
        <v>40</v>
      </c>
      <c r="D6081">
        <v>4.8117650000000003</v>
      </c>
      <c r="E6081">
        <v>0.53675909999999905</v>
      </c>
      <c r="F6081" t="s">
        <v>41</v>
      </c>
      <c r="G6081">
        <v>-262.08370000000002</v>
      </c>
      <c r="H6081" s="1">
        <v>-1.5403170000000001E-7</v>
      </c>
      <c r="I6081">
        <v>-61.341500000000003</v>
      </c>
      <c r="J6081">
        <v>-282.17840000000001</v>
      </c>
      <c r="K6081">
        <v>1.111424</v>
      </c>
      <c r="L6081">
        <v>-61.049190000000003</v>
      </c>
      <c r="M6081">
        <v>0.99988259999999995</v>
      </c>
      <c r="N6081">
        <v>-1.4824510000000001E-2</v>
      </c>
      <c r="O6081">
        <v>-3.8784959999999999E-3</v>
      </c>
      <c r="P6081">
        <v>0.98227569999999997</v>
      </c>
      <c r="Q6081">
        <v>0.16622700000000001</v>
      </c>
      <c r="R6081">
        <v>8.6620559999999999E-2</v>
      </c>
      <c r="S6081">
        <v>3.0877080000000001</v>
      </c>
      <c r="T6081">
        <v>-0.1695731</v>
      </c>
      <c r="U6081">
        <v>-4.4647220000000001E-2</v>
      </c>
      <c r="V6081">
        <v>-9.094054E-2</v>
      </c>
      <c r="W6081">
        <v>0.18050920000000001</v>
      </c>
      <c r="X6081">
        <v>0.97936009999999996</v>
      </c>
      <c r="Y6081">
        <v>1.0562429999999999E-2</v>
      </c>
      <c r="Z6081">
        <v>-2.128159E-4</v>
      </c>
      <c r="AA6081">
        <v>0.99994419999999995</v>
      </c>
      <c r="AB6081">
        <v>31</v>
      </c>
      <c r="AC6081">
        <v>20.0946999999999</v>
      </c>
      <c r="AD6081">
        <v>-1.11142415403169</v>
      </c>
      <c r="AE6081">
        <v>-0.29231000000000001</v>
      </c>
      <c r="AF6081">
        <v>0.213708401379678</v>
      </c>
      <c r="AG6081">
        <v>-1.11142415403169</v>
      </c>
      <c r="AH6081">
        <v>20.034407968902901</v>
      </c>
      <c r="AI6081">
        <v>93.175092368085203</v>
      </c>
      <c r="AJ6081">
        <v>89.388845177063601</v>
      </c>
      <c r="AK6081">
        <v>20.0663508789074</v>
      </c>
      <c r="AL6081">
        <v>79.600579120216196</v>
      </c>
      <c r="AM6081">
        <v>95.305107244653399</v>
      </c>
      <c r="AN6081">
        <v>0.99999997928606998</v>
      </c>
    </row>
    <row r="6082" spans="1:40" x14ac:dyDescent="0.25">
      <c r="A6082" t="str">
        <f>"20190304155756590"</f>
        <v>20190304155756590</v>
      </c>
      <c r="B6082" t="str">
        <f>"1551686276581266"</f>
        <v>1551686276581266</v>
      </c>
      <c r="C6082" t="s">
        <v>40</v>
      </c>
      <c r="D6082">
        <v>4.7479889999999996</v>
      </c>
      <c r="E6082">
        <v>0.53744179999999997</v>
      </c>
      <c r="F6082" t="s">
        <v>41</v>
      </c>
      <c r="G6082">
        <v>-261.69349999999997</v>
      </c>
      <c r="H6082" s="1">
        <v>-5.6419369999999999E-9</v>
      </c>
      <c r="I6082">
        <v>-61.412999999999997</v>
      </c>
      <c r="J6082">
        <v>-282.02600000000001</v>
      </c>
      <c r="K6082">
        <v>1.111116</v>
      </c>
      <c r="L6082">
        <v>-61.04956</v>
      </c>
      <c r="M6082">
        <v>0.99988290000000002</v>
      </c>
      <c r="N6082">
        <v>-1.4788829999999999E-2</v>
      </c>
      <c r="O6082">
        <v>-3.940051E-3</v>
      </c>
      <c r="P6082">
        <v>0.98253550000000001</v>
      </c>
      <c r="Q6082">
        <v>0.1658221</v>
      </c>
      <c r="R6082">
        <v>8.4423390000000001E-2</v>
      </c>
      <c r="S6082">
        <v>3.0873110000000001</v>
      </c>
      <c r="T6082">
        <v>-0.16750419999999999</v>
      </c>
      <c r="U6082">
        <v>-5.4840090000000001E-2</v>
      </c>
      <c r="V6082">
        <v>-8.8664060000000003E-2</v>
      </c>
      <c r="W6082">
        <v>0.180148</v>
      </c>
      <c r="X6082">
        <v>0.97963540000000005</v>
      </c>
      <c r="Y6082">
        <v>1.3797500000000001E-2</v>
      </c>
      <c r="Z6082">
        <v>-3.2076819999999999E-4</v>
      </c>
      <c r="AA6082">
        <v>0.99990480000000004</v>
      </c>
      <c r="AB6082">
        <v>31</v>
      </c>
      <c r="AC6082">
        <v>20.3325</v>
      </c>
      <c r="AD6082">
        <v>-1.11111600564193</v>
      </c>
      <c r="AE6082">
        <v>-0.36344000000000398</v>
      </c>
      <c r="AF6082">
        <v>0.28247404112734498</v>
      </c>
      <c r="AG6082">
        <v>-1.11111600564193</v>
      </c>
      <c r="AH6082">
        <v>20.273251069498599</v>
      </c>
      <c r="AI6082">
        <v>93.136767202411903</v>
      </c>
      <c r="AJ6082">
        <v>89.201730245483105</v>
      </c>
      <c r="AK6082">
        <v>20.305641563093499</v>
      </c>
      <c r="AL6082">
        <v>79.621620202190201</v>
      </c>
      <c r="AM6082">
        <v>95.171590341190495</v>
      </c>
      <c r="AN6082">
        <v>1.00000006718641</v>
      </c>
    </row>
    <row r="6083" spans="1:40" x14ac:dyDescent="0.25">
      <c r="A6083" t="str">
        <f>"20190304155756600"</f>
        <v>20190304155756600</v>
      </c>
      <c r="B6083" t="str">
        <f>"1551686276591027"</f>
        <v>1551686276591027</v>
      </c>
      <c r="C6083" t="s">
        <v>40</v>
      </c>
      <c r="D6083">
        <v>4.84429</v>
      </c>
      <c r="E6083">
        <v>0.5378946</v>
      </c>
      <c r="F6083" t="s">
        <v>41</v>
      </c>
      <c r="G6083">
        <v>-261.25749999999999</v>
      </c>
      <c r="H6083" s="1">
        <v>1.58622E-7</v>
      </c>
      <c r="I6083">
        <v>-61.4985199999999</v>
      </c>
      <c r="J6083">
        <v>-281.86669999999998</v>
      </c>
      <c r="K6083">
        <v>1.110814</v>
      </c>
      <c r="L6083">
        <v>-61.050229999999999</v>
      </c>
      <c r="M6083">
        <v>0.99988189999999999</v>
      </c>
      <c r="N6083">
        <v>-1.4755799999999999E-2</v>
      </c>
      <c r="O6083">
        <v>-4.2874649999999999E-3</v>
      </c>
      <c r="P6083">
        <v>0.98262769999999999</v>
      </c>
      <c r="Q6083">
        <v>0.16623840000000001</v>
      </c>
      <c r="R6083">
        <v>8.2508609999999996E-2</v>
      </c>
      <c r="S6083">
        <v>3.0869749999999998</v>
      </c>
      <c r="T6083">
        <v>-0.16515339999999901</v>
      </c>
      <c r="U6083">
        <v>-6.674194E-2</v>
      </c>
      <c r="V6083">
        <v>-8.6955759999999993E-2</v>
      </c>
      <c r="W6083">
        <v>0.18060200000000001</v>
      </c>
      <c r="X6083">
        <v>0.97970489999999999</v>
      </c>
      <c r="Y6083">
        <v>1.7299970000000001E-2</v>
      </c>
      <c r="Z6083">
        <v>-4.242092E-4</v>
      </c>
      <c r="AA6083">
        <v>0.99985029999999997</v>
      </c>
      <c r="AB6083">
        <v>30</v>
      </c>
      <c r="AC6083">
        <v>20.609199999999898</v>
      </c>
      <c r="AD6083">
        <v>-1.110813841378</v>
      </c>
      <c r="AE6083">
        <v>-0.44828999999998498</v>
      </c>
      <c r="AF6083">
        <v>0.358872963915842</v>
      </c>
      <c r="AG6083">
        <v>-1.110813841378</v>
      </c>
      <c r="AH6083">
        <v>20.551257656955599</v>
      </c>
      <c r="AI6083">
        <v>93.093406817820295</v>
      </c>
      <c r="AJ6083">
        <v>88.999583532220996</v>
      </c>
      <c r="AK6083">
        <v>20.584384578534301</v>
      </c>
      <c r="AL6083">
        <v>79.595173851254003</v>
      </c>
      <c r="AM6083">
        <v>95.072115684583807</v>
      </c>
      <c r="AN6083">
        <v>1.00000003884259</v>
      </c>
    </row>
    <row r="6084" spans="1:40" x14ac:dyDescent="0.25">
      <c r="A6084" t="str">
        <f>"20190304155756613"</f>
        <v>20190304155756613</v>
      </c>
      <c r="B6084" t="str">
        <f>"1551686276600787"</f>
        <v>1551686276600787</v>
      </c>
      <c r="C6084" t="s">
        <v>40</v>
      </c>
      <c r="D6084">
        <v>4.8198509999999999</v>
      </c>
      <c r="E6084">
        <v>0.53822419999999904</v>
      </c>
      <c r="F6084" t="s">
        <v>41</v>
      </c>
      <c r="G6084">
        <v>-260.57960000000003</v>
      </c>
      <c r="H6084" s="1">
        <v>4.2881230000000002E-7</v>
      </c>
      <c r="I6084">
        <v>-61.57611</v>
      </c>
      <c r="J6084">
        <v>-281.71589999999998</v>
      </c>
      <c r="K6084">
        <v>1.1105389999999999</v>
      </c>
      <c r="L6084">
        <v>-61.050989999999999</v>
      </c>
      <c r="M6084">
        <v>0.99988069999999896</v>
      </c>
      <c r="N6084">
        <v>-1.4725469999999999E-2</v>
      </c>
      <c r="O6084">
        <v>-4.6722969999999997E-3</v>
      </c>
      <c r="P6084">
        <v>0.98273290000000002</v>
      </c>
      <c r="Q6084">
        <v>0.1664293</v>
      </c>
      <c r="R6084">
        <v>8.0854209999999996E-2</v>
      </c>
      <c r="S6084">
        <v>3.0867</v>
      </c>
      <c r="T6084">
        <v>-0.16107170000000001</v>
      </c>
      <c r="U6084">
        <v>-7.6263429999999993E-2</v>
      </c>
      <c r="V6084">
        <v>-8.5554829999999998E-2</v>
      </c>
      <c r="W6084">
        <v>0.18082529999999999</v>
      </c>
      <c r="X6084">
        <v>0.97978699999999996</v>
      </c>
      <c r="Y6084">
        <v>1.999631E-2</v>
      </c>
      <c r="Z6084">
        <v>-4.9383830000000002E-4</v>
      </c>
      <c r="AA6084">
        <v>0.99979989999999996</v>
      </c>
      <c r="AB6084">
        <v>30</v>
      </c>
      <c r="AC6084">
        <v>21.136299999999899</v>
      </c>
      <c r="AD6084">
        <v>-1.1105385711876901</v>
      </c>
      <c r="AE6084">
        <v>-0.52511999999999304</v>
      </c>
      <c r="AF6084">
        <v>0.42517546005755502</v>
      </c>
      <c r="AG6084">
        <v>-1.1105385711876901</v>
      </c>
      <c r="AH6084">
        <v>21.080363683370901</v>
      </c>
      <c r="AI6084">
        <v>93.0150098919854</v>
      </c>
      <c r="AJ6084">
        <v>88.844542851701306</v>
      </c>
      <c r="AK6084">
        <v>21.1138770270435</v>
      </c>
      <c r="AL6084">
        <v>79.582165035511196</v>
      </c>
      <c r="AM6084">
        <v>94.990399643426002</v>
      </c>
      <c r="AN6084">
        <v>0.99999999171270904</v>
      </c>
    </row>
    <row r="6085" spans="1:40" x14ac:dyDescent="0.25">
      <c r="A6085" t="str">
        <f>"20190304155756623"</f>
        <v>20190304155756623</v>
      </c>
      <c r="B6085" t="str">
        <f>"1551686276621283"</f>
        <v>1551686276621283</v>
      </c>
      <c r="C6085" t="s">
        <v>40</v>
      </c>
      <c r="D6085">
        <v>4.7662250000000004</v>
      </c>
      <c r="E6085">
        <v>0.53873260000000001</v>
      </c>
      <c r="F6085" t="s">
        <v>41</v>
      </c>
      <c r="G6085">
        <v>-259.96089999999998</v>
      </c>
      <c r="H6085" s="1">
        <v>6.7553050000000003E-7</v>
      </c>
      <c r="I6085">
        <v>-61.646360000000001</v>
      </c>
      <c r="J6085">
        <v>-281.565</v>
      </c>
      <c r="K6085">
        <v>1.110285</v>
      </c>
      <c r="L6085">
        <v>-61.052</v>
      </c>
      <c r="M6085">
        <v>0.9998783</v>
      </c>
      <c r="N6085">
        <v>-1.4698269999999999E-2</v>
      </c>
      <c r="O6085">
        <v>-5.225543E-3</v>
      </c>
      <c r="P6085">
        <v>0.98273929999999998</v>
      </c>
      <c r="Q6085">
        <v>0.16719049999999999</v>
      </c>
      <c r="R6085">
        <v>7.9189140000000005E-2</v>
      </c>
      <c r="S6085">
        <v>3.0863339999999999</v>
      </c>
      <c r="T6085">
        <v>-0.15754989999999999</v>
      </c>
      <c r="U6085">
        <v>-8.4472660000000005E-2</v>
      </c>
      <c r="V6085">
        <v>-8.4317320000000001E-2</v>
      </c>
      <c r="W6085">
        <v>0.181614</v>
      </c>
      <c r="X6085">
        <v>0.97974839999999996</v>
      </c>
      <c r="Y6085">
        <v>2.2101519999999999E-2</v>
      </c>
      <c r="Z6085">
        <v>-5.364845E-4</v>
      </c>
      <c r="AA6085">
        <v>0.99975559999999997</v>
      </c>
      <c r="AB6085">
        <v>30</v>
      </c>
      <c r="AC6085">
        <v>21.604099999999999</v>
      </c>
      <c r="AD6085">
        <v>-1.1102843244695</v>
      </c>
      <c r="AE6085">
        <v>-0.594359999999994</v>
      </c>
      <c r="AF6085">
        <v>0.48017925588375399</v>
      </c>
      <c r="AG6085">
        <v>-1.1102843244695</v>
      </c>
      <c r="AH6085">
        <v>21.550036934356701</v>
      </c>
      <c r="AI6085">
        <v>92.948610444742499</v>
      </c>
      <c r="AJ6085">
        <v>88.723543118548804</v>
      </c>
      <c r="AK6085">
        <v>21.583961528669398</v>
      </c>
      <c r="AL6085">
        <v>79.536215038622601</v>
      </c>
      <c r="AM6085">
        <v>94.918765402567104</v>
      </c>
      <c r="AN6085">
        <v>0.99999999137527096</v>
      </c>
    </row>
    <row r="6086" spans="1:40" x14ac:dyDescent="0.25">
      <c r="A6086" t="str">
        <f>"20190304155756634"</f>
        <v>20190304155756634</v>
      </c>
      <c r="B6086" t="str">
        <f>"1551686276631042"</f>
        <v>1551686276631042</v>
      </c>
      <c r="C6086" t="s">
        <v>40</v>
      </c>
      <c r="D6086">
        <v>4.8062100000000001</v>
      </c>
      <c r="E6086">
        <v>0.53904770000000002</v>
      </c>
      <c r="F6086" t="s">
        <v>93</v>
      </c>
      <c r="G6086">
        <v>-258.73469999999998</v>
      </c>
      <c r="H6086" s="1">
        <v>-3.1783079999999999E-6</v>
      </c>
      <c r="I6086">
        <v>-61.751019999999997</v>
      </c>
      <c r="J6086">
        <v>-281.40980000000002</v>
      </c>
      <c r="K6086">
        <v>1.110028</v>
      </c>
      <c r="L6086">
        <v>-61.053190000000001</v>
      </c>
      <c r="M6086">
        <v>0.99987499999999996</v>
      </c>
      <c r="N6086">
        <v>-1.4671729999999999E-2</v>
      </c>
      <c r="O6086">
        <v>-5.8883059999999899E-3</v>
      </c>
      <c r="P6086">
        <v>0.98271109999999995</v>
      </c>
      <c r="Q6086">
        <v>0.16811479999999901</v>
      </c>
      <c r="R6086">
        <v>7.7563899999999894E-2</v>
      </c>
      <c r="S6086">
        <v>3.0858460000000001</v>
      </c>
      <c r="T6086">
        <v>-0.1500715</v>
      </c>
      <c r="U6086">
        <v>-9.4482419999999998E-2</v>
      </c>
      <c r="V6086">
        <v>-8.3227860000000001E-2</v>
      </c>
      <c r="W6086">
        <v>0.18256349999999999</v>
      </c>
      <c r="X6086">
        <v>0.97966509999999996</v>
      </c>
      <c r="Y6086">
        <v>2.468238E-2</v>
      </c>
      <c r="Z6086">
        <v>-5.8116760000000004E-4</v>
      </c>
      <c r="AA6086">
        <v>0.99969520000000001</v>
      </c>
      <c r="AB6086">
        <v>30</v>
      </c>
      <c r="AC6086">
        <v>22.6751</v>
      </c>
      <c r="AD6086">
        <v>-1.1100311783079999</v>
      </c>
      <c r="AE6086">
        <v>-0.69782999999999595</v>
      </c>
      <c r="AF6086">
        <v>0.56293780906550905</v>
      </c>
      <c r="AG6086">
        <v>-1.1100311783079999</v>
      </c>
      <c r="AH6086">
        <v>22.624648313881</v>
      </c>
      <c r="AI6086">
        <v>92.807977891951396</v>
      </c>
      <c r="AJ6086">
        <v>88.574682508861798</v>
      </c>
      <c r="AK6086">
        <v>22.6588565360322</v>
      </c>
      <c r="AL6086">
        <v>79.480887915669697</v>
      </c>
      <c r="AM6086">
        <v>94.855926983961396</v>
      </c>
      <c r="AN6086">
        <v>1.0000000081852101</v>
      </c>
    </row>
    <row r="6087" spans="1:40" x14ac:dyDescent="0.25">
      <c r="A6087" t="str">
        <f>"20190304155756645"</f>
        <v>20190304155756645</v>
      </c>
      <c r="B6087" t="str">
        <f>"1551686276640802"</f>
        <v>1551686276640802</v>
      </c>
      <c r="C6087" t="s">
        <v>40</v>
      </c>
      <c r="D6087">
        <v>4.7998820000000002</v>
      </c>
      <c r="E6087">
        <v>0.53930429999999996</v>
      </c>
      <c r="F6087" t="s">
        <v>93</v>
      </c>
      <c r="G6087">
        <v>-257.58839999999998</v>
      </c>
      <c r="H6087" s="1">
        <v>-2.7167600000000001E-6</v>
      </c>
      <c r="I6087">
        <v>-61.846029999999999</v>
      </c>
      <c r="J6087">
        <v>-281.25630000000001</v>
      </c>
      <c r="K6087">
        <v>1.1097950000000001</v>
      </c>
      <c r="L6087">
        <v>-61.054600000000001</v>
      </c>
      <c r="M6087">
        <v>0.9998707</v>
      </c>
      <c r="N6087">
        <v>-1.464711E-2</v>
      </c>
      <c r="O6087">
        <v>-6.6522380000000004E-3</v>
      </c>
      <c r="P6087">
        <v>0.98275950000000001</v>
      </c>
      <c r="Q6087">
        <v>0.16857900000000001</v>
      </c>
      <c r="R6087">
        <v>7.5928259999999997E-2</v>
      </c>
      <c r="S6087">
        <v>3.0854490000000001</v>
      </c>
      <c r="T6087">
        <v>-0.1437763</v>
      </c>
      <c r="U6087">
        <v>-0.1026917</v>
      </c>
      <c r="V6087">
        <v>-8.2235970000000005E-2</v>
      </c>
      <c r="W6087">
        <v>0.18305099999999999</v>
      </c>
      <c r="X6087">
        <v>0.97965789999999997</v>
      </c>
      <c r="Y6087">
        <v>2.6579640000000002E-2</v>
      </c>
      <c r="Z6087">
        <v>-6.0129819999999996E-4</v>
      </c>
      <c r="AA6087">
        <v>0.99964649999999999</v>
      </c>
      <c r="AB6087">
        <v>30</v>
      </c>
      <c r="AC6087">
        <v>23.667899999999999</v>
      </c>
      <c r="AD6087">
        <v>-1.1097977167599999</v>
      </c>
      <c r="AE6087">
        <v>-0.79143000000000496</v>
      </c>
      <c r="AF6087">
        <v>0.63256183825798196</v>
      </c>
      <c r="AG6087">
        <v>-1.1097977167599999</v>
      </c>
      <c r="AH6087">
        <v>23.620764314337599</v>
      </c>
      <c r="AI6087">
        <v>92.689043359609897</v>
      </c>
      <c r="AJ6087">
        <v>88.465991075591305</v>
      </c>
      <c r="AK6087">
        <v>23.655280430483799</v>
      </c>
      <c r="AL6087">
        <v>79.452477515044706</v>
      </c>
      <c r="AM6087">
        <v>94.798362119398305</v>
      </c>
      <c r="AN6087">
        <v>1.00000001219762</v>
      </c>
    </row>
    <row r="6088" spans="1:40" x14ac:dyDescent="0.25">
      <c r="A6088" t="str">
        <f>"20190304155756657"</f>
        <v>20190304155756657</v>
      </c>
      <c r="B6088" t="str">
        <f>"1551686276650563"</f>
        <v>1551686276650563</v>
      </c>
      <c r="C6088" t="s">
        <v>40</v>
      </c>
      <c r="D6088">
        <v>4.7896239999999999</v>
      </c>
      <c r="E6088">
        <v>0.5395356</v>
      </c>
      <c r="F6088" t="s">
        <v>93</v>
      </c>
      <c r="G6088">
        <v>-256.86099999999999</v>
      </c>
      <c r="H6088" s="1">
        <v>-2.422411E-6</v>
      </c>
      <c r="I6088">
        <v>-61.925719999999998</v>
      </c>
      <c r="J6088">
        <v>-281.10520000000002</v>
      </c>
      <c r="K6088">
        <v>1.1095809999999999</v>
      </c>
      <c r="L6088">
        <v>-61.0563</v>
      </c>
      <c r="M6088">
        <v>0.9998648</v>
      </c>
      <c r="N6088">
        <v>-1.4624939999999999E-2</v>
      </c>
      <c r="O6088">
        <v>-7.5261779999999997E-3</v>
      </c>
      <c r="P6088">
        <v>0.98285250000000002</v>
      </c>
      <c r="Q6088">
        <v>0.16887569999999999</v>
      </c>
      <c r="R6088">
        <v>7.4043059999999994E-2</v>
      </c>
      <c r="S6088">
        <v>3.0852050000000002</v>
      </c>
      <c r="T6088">
        <v>-0.14035300000000001</v>
      </c>
      <c r="U6088">
        <v>-0.1101685</v>
      </c>
      <c r="V6088">
        <v>-8.1112699999999996E-2</v>
      </c>
      <c r="W6088">
        <v>0.18336839999999999</v>
      </c>
      <c r="X6088">
        <v>0.97969220000000001</v>
      </c>
      <c r="Y6088">
        <v>2.8127849999999999E-2</v>
      </c>
      <c r="Z6088">
        <v>-6.1309029999999896E-4</v>
      </c>
      <c r="AA6088">
        <v>0.99960420000000005</v>
      </c>
      <c r="AB6088">
        <v>30</v>
      </c>
      <c r="AC6088">
        <v>24.244199999999999</v>
      </c>
      <c r="AD6088">
        <v>-1.1095834224109999</v>
      </c>
      <c r="AE6088">
        <v>-0.86941999999999797</v>
      </c>
      <c r="AF6088">
        <v>0.68547573949247698</v>
      </c>
      <c r="AG6088">
        <v>-1.1095834224109999</v>
      </c>
      <c r="AH6088">
        <v>24.1994339216442</v>
      </c>
      <c r="AI6088">
        <v>92.624214880478206</v>
      </c>
      <c r="AJ6088">
        <v>88.3774675180413</v>
      </c>
      <c r="AK6088">
        <v>24.234554967829499</v>
      </c>
      <c r="AL6088">
        <v>79.433978842105105</v>
      </c>
      <c r="AM6088">
        <v>94.732955631108098</v>
      </c>
      <c r="AN6088">
        <v>1.0000000234803399</v>
      </c>
    </row>
    <row r="6089" spans="1:40" x14ac:dyDescent="0.25">
      <c r="A6089" t="str">
        <f>"20190304155756668"</f>
        <v>20190304155756668</v>
      </c>
      <c r="B6089" t="str">
        <f>"1551686276660323"</f>
        <v>1551686276660323</v>
      </c>
      <c r="C6089" t="s">
        <v>40</v>
      </c>
      <c r="D6089">
        <v>4.7978820000000004</v>
      </c>
      <c r="E6089">
        <v>0.53967339999999997</v>
      </c>
      <c r="F6089" t="s">
        <v>93</v>
      </c>
      <c r="G6089">
        <v>-256.10059999999999</v>
      </c>
      <c r="H6089" s="1">
        <v>-2.1153689999999999E-6</v>
      </c>
      <c r="I6089">
        <v>-62.01191</v>
      </c>
      <c r="J6089">
        <v>-280.96159999999998</v>
      </c>
      <c r="K6089">
        <v>1.109383</v>
      </c>
      <c r="L6089">
        <v>-61.058010000000003</v>
      </c>
      <c r="M6089">
        <v>0.99985800000000002</v>
      </c>
      <c r="N6089">
        <v>-1.4604519999999999E-2</v>
      </c>
      <c r="O6089">
        <v>-8.4088199999999991E-3</v>
      </c>
      <c r="P6089">
        <v>0.98293949999999997</v>
      </c>
      <c r="Q6089">
        <v>0.16926479999999999</v>
      </c>
      <c r="R6089">
        <v>7.1968290000000004E-2</v>
      </c>
      <c r="S6089">
        <v>3.0847169999999999</v>
      </c>
      <c r="T6089">
        <v>-0.13688499999999901</v>
      </c>
      <c r="U6089">
        <v>-0.11788940000000001</v>
      </c>
      <c r="V6089">
        <v>-7.9815750000000005E-2</v>
      </c>
      <c r="W6089">
        <v>0.18377379999999999</v>
      </c>
      <c r="X6089">
        <v>0.97972269999999995</v>
      </c>
      <c r="Y6089">
        <v>2.9749279999999999E-2</v>
      </c>
      <c r="Z6089">
        <v>-6.2689879999999905E-4</v>
      </c>
      <c r="AA6089">
        <v>0.99955720000000003</v>
      </c>
      <c r="AB6089">
        <v>30</v>
      </c>
      <c r="AC6089">
        <v>24.860999999999901</v>
      </c>
      <c r="AD6089">
        <v>-1.109385115369</v>
      </c>
      <c r="AE6089">
        <v>-0.95390000000000397</v>
      </c>
      <c r="AF6089">
        <v>0.74331434332688495</v>
      </c>
      <c r="AG6089">
        <v>-1.109385115369</v>
      </c>
      <c r="AH6089">
        <v>24.818794919176401</v>
      </c>
      <c r="AI6089">
        <v>92.558237438776601</v>
      </c>
      <c r="AJ6089">
        <v>88.284523969599505</v>
      </c>
      <c r="AK6089">
        <v>24.854694381290098</v>
      </c>
      <c r="AL6089">
        <v>79.410348974681995</v>
      </c>
      <c r="AM6089">
        <v>94.657469405100102</v>
      </c>
      <c r="AN6089">
        <v>0.99999996620489495</v>
      </c>
    </row>
    <row r="6090" spans="1:40" x14ac:dyDescent="0.25">
      <c r="A6090" t="str">
        <f>"20190304155756679"</f>
        <v>20190304155756679</v>
      </c>
      <c r="B6090" t="str">
        <f>"1551686276671058"</f>
        <v>1551686276671058</v>
      </c>
      <c r="C6090" t="s">
        <v>40</v>
      </c>
      <c r="D6090">
        <v>4.7830490000000001</v>
      </c>
      <c r="E6090">
        <v>0.53981239999999997</v>
      </c>
      <c r="F6090" t="s">
        <v>93</v>
      </c>
      <c r="G6090">
        <v>-255.4348</v>
      </c>
      <c r="H6090" s="1">
        <v>-1.8485209999999999E-6</v>
      </c>
      <c r="I6090">
        <v>-62.096310000000003</v>
      </c>
      <c r="J6090">
        <v>-280.80959999999999</v>
      </c>
      <c r="K6090">
        <v>1.1091959999999901</v>
      </c>
      <c r="L6090">
        <v>-61.060209999999998</v>
      </c>
      <c r="M6090">
        <v>0.99984870000000003</v>
      </c>
      <c r="N6090">
        <v>-1.4585320000000001E-2</v>
      </c>
      <c r="O6090">
        <v>-9.4734160000000001E-3</v>
      </c>
      <c r="P6090">
        <v>0.98308209999999996</v>
      </c>
      <c r="Q6090">
        <v>0.16943810000000001</v>
      </c>
      <c r="R6090">
        <v>6.9572800000000004E-2</v>
      </c>
      <c r="S6090">
        <v>3.0844119999999999</v>
      </c>
      <c r="T6090">
        <v>-0.13404750000000001</v>
      </c>
      <c r="U6090">
        <v>-0.12545780000000001</v>
      </c>
      <c r="V6090">
        <v>-7.8381889999999996E-2</v>
      </c>
      <c r="W6090">
        <v>0.18396319999999999</v>
      </c>
      <c r="X6090">
        <v>0.97980299999999998</v>
      </c>
      <c r="Y6090">
        <v>3.1137479999999999E-2</v>
      </c>
      <c r="Z6090">
        <v>-6.3010289999999999E-4</v>
      </c>
      <c r="AA6090">
        <v>0.99951489999999998</v>
      </c>
      <c r="AB6090">
        <v>30</v>
      </c>
      <c r="AC6090">
        <v>25.3748</v>
      </c>
      <c r="AD6090">
        <v>-1.1091978485209999</v>
      </c>
      <c r="AE6090">
        <v>-1.03609999999999</v>
      </c>
      <c r="AF6090">
        <v>0.79412699146874699</v>
      </c>
      <c r="AG6090">
        <v>-1.1091978485209999</v>
      </c>
      <c r="AH6090">
        <v>25.335147994006601</v>
      </c>
      <c r="AI6090">
        <v>92.505636017531799</v>
      </c>
      <c r="AJ6090">
        <v>88.204658899540505</v>
      </c>
      <c r="AK6090">
        <v>25.371848206702701</v>
      </c>
      <c r="AL6090">
        <v>79.399309820493201</v>
      </c>
      <c r="AM6090">
        <v>94.573784713208497</v>
      </c>
      <c r="AN6090">
        <v>1.0000000492215999</v>
      </c>
    </row>
    <row r="6091" spans="1:40" x14ac:dyDescent="0.25">
      <c r="A6091" t="str">
        <f>"20190304155756690"</f>
        <v>20190304155756690</v>
      </c>
      <c r="B6091" t="str">
        <f>"1551686276680819"</f>
        <v>1551686276680819</v>
      </c>
      <c r="C6091" t="s">
        <v>40</v>
      </c>
      <c r="D6091">
        <v>4.8103179999999996</v>
      </c>
      <c r="E6091">
        <v>0.53994960000000003</v>
      </c>
      <c r="F6091" t="s">
        <v>93</v>
      </c>
      <c r="G6091">
        <v>-254.86969999999999</v>
      </c>
      <c r="H6091" s="1">
        <v>-1.625871E-6</v>
      </c>
      <c r="I6091">
        <v>-62.18533</v>
      </c>
      <c r="J6091">
        <v>-280.65609999999998</v>
      </c>
      <c r="K6091">
        <v>1.109013</v>
      </c>
      <c r="L6091">
        <v>-61.062530000000002</v>
      </c>
      <c r="M6091">
        <v>0.999838</v>
      </c>
      <c r="N6091">
        <v>-1.456618E-2</v>
      </c>
      <c r="O6091">
        <v>-1.0582019999999999E-2</v>
      </c>
      <c r="P6091">
        <v>0.98321559999999997</v>
      </c>
      <c r="Q6091">
        <v>0.16957120000000001</v>
      </c>
      <c r="R6091">
        <v>6.7325640000000006E-2</v>
      </c>
      <c r="S6091">
        <v>3.0838619999999999</v>
      </c>
      <c r="T6091">
        <v>-0.1318667</v>
      </c>
      <c r="U6091">
        <v>-0.1337585</v>
      </c>
      <c r="V6091">
        <v>-7.7141580000000001E-2</v>
      </c>
      <c r="W6091">
        <v>0.18411079999999999</v>
      </c>
      <c r="X6091">
        <v>0.97987369999999996</v>
      </c>
      <c r="Y6091">
        <v>3.2721500000000001E-2</v>
      </c>
      <c r="Z6091">
        <v>-6.3952759999999997E-4</v>
      </c>
      <c r="AA6091">
        <v>0.99946429999999997</v>
      </c>
      <c r="AB6091">
        <v>30</v>
      </c>
      <c r="AC6091">
        <v>25.786399999999901</v>
      </c>
      <c r="AD6091">
        <v>-1.1090146258710001</v>
      </c>
      <c r="AE6091">
        <v>-1.1228</v>
      </c>
      <c r="AF6091">
        <v>0.84826994472642503</v>
      </c>
      <c r="AG6091">
        <v>-1.1090146258710001</v>
      </c>
      <c r="AH6091">
        <v>25.749301178093798</v>
      </c>
      <c r="AI6091">
        <v>92.464852249398405</v>
      </c>
      <c r="AJ6091">
        <v>88.113163668228495</v>
      </c>
      <c r="AK6091">
        <v>25.787128310451799</v>
      </c>
      <c r="AL6091">
        <v>79.390705895069004</v>
      </c>
      <c r="AM6091">
        <v>94.501385829800398</v>
      </c>
      <c r="AN6091">
        <v>1.0000000389966099</v>
      </c>
    </row>
    <row r="6092" spans="1:40" x14ac:dyDescent="0.25">
      <c r="A6092" t="str">
        <f>"20190304155756702"</f>
        <v>20190304155756702</v>
      </c>
      <c r="B6092" t="str">
        <f>"1551686276690579"</f>
        <v>1551686276690579</v>
      </c>
      <c r="C6092" t="s">
        <v>40</v>
      </c>
      <c r="D6092">
        <v>4.7845139999999997</v>
      </c>
      <c r="E6092">
        <v>0.54010259999999999</v>
      </c>
      <c r="F6092" t="s">
        <v>93</v>
      </c>
      <c r="G6092">
        <v>-254.3613</v>
      </c>
      <c r="H6092" s="1">
        <v>-1.4259439999999999E-6</v>
      </c>
      <c r="I6092">
        <v>-62.26699</v>
      </c>
      <c r="J6092">
        <v>-280.49799999999999</v>
      </c>
      <c r="K6092">
        <v>1.108857</v>
      </c>
      <c r="L6092">
        <v>-61.065370000000001</v>
      </c>
      <c r="M6092">
        <v>0.99982400000000005</v>
      </c>
      <c r="N6092">
        <v>-1.4549100000000001E-2</v>
      </c>
      <c r="O6092">
        <v>-1.1847750000000001E-2</v>
      </c>
      <c r="P6092">
        <v>0.98332430000000004</v>
      </c>
      <c r="Q6092">
        <v>0.16981559999999901</v>
      </c>
      <c r="R6092">
        <v>6.5085660000000004E-2</v>
      </c>
      <c r="S6092">
        <v>3.0833439999999999</v>
      </c>
      <c r="T6092">
        <v>-0.13004369999999901</v>
      </c>
      <c r="U6092">
        <v>-0.14123540000000001</v>
      </c>
      <c r="V6092">
        <v>-7.6070639999999995E-2</v>
      </c>
      <c r="W6092">
        <v>0.18436630000000001</v>
      </c>
      <c r="X6092">
        <v>0.97990940000000004</v>
      </c>
      <c r="Y6092">
        <v>3.3882179999999998E-2</v>
      </c>
      <c r="Z6092">
        <v>-6.3367700000000002E-4</v>
      </c>
      <c r="AA6092">
        <v>0.99942560000000003</v>
      </c>
      <c r="AB6092">
        <v>30</v>
      </c>
      <c r="AC6092">
        <v>26.136699999999902</v>
      </c>
      <c r="AD6092">
        <v>-1.108858425944</v>
      </c>
      <c r="AE6092">
        <v>-1.2016199999999999</v>
      </c>
      <c r="AF6092">
        <v>0.89024281232062497</v>
      </c>
      <c r="AG6092">
        <v>-1.108858425944</v>
      </c>
      <c r="AH6092">
        <v>26.1022206090948</v>
      </c>
      <c r="AI6092">
        <v>92.431129475495297</v>
      </c>
      <c r="AJ6092">
        <v>88.046626265231097</v>
      </c>
      <c r="AK6092">
        <v>26.140926150378199</v>
      </c>
      <c r="AL6092">
        <v>79.375812017460504</v>
      </c>
      <c r="AM6092">
        <v>94.438984506400203</v>
      </c>
      <c r="AN6092">
        <v>1.0000000535270199</v>
      </c>
    </row>
    <row r="6093" spans="1:40" x14ac:dyDescent="0.25">
      <c r="A6093" t="str">
        <f>"20190304155756714"</f>
        <v>20190304155756714</v>
      </c>
      <c r="B6093" t="str">
        <f>"1551686276711076"</f>
        <v>1551686276711076</v>
      </c>
      <c r="C6093" t="s">
        <v>40</v>
      </c>
      <c r="D6093">
        <v>4.7746849999999998</v>
      </c>
      <c r="E6093">
        <v>0.54007959999999899</v>
      </c>
      <c r="F6093" t="s">
        <v>93</v>
      </c>
      <c r="G6093">
        <v>-253.66579999999999</v>
      </c>
      <c r="H6093" s="1">
        <v>-1.149185E-6</v>
      </c>
      <c r="I6093">
        <v>-62.364260000000002</v>
      </c>
      <c r="J6093">
        <v>-280.3433</v>
      </c>
      <c r="K6093">
        <v>1.1087100000000001</v>
      </c>
      <c r="L6093">
        <v>-61.068300000000001</v>
      </c>
      <c r="M6093">
        <v>0.99980829999999998</v>
      </c>
      <c r="N6093">
        <v>-1.4532750000000001E-2</v>
      </c>
      <c r="O6093">
        <v>-1.311993E-2</v>
      </c>
      <c r="P6093">
        <v>0.98345229999999995</v>
      </c>
      <c r="Q6093">
        <v>0.16984939999999901</v>
      </c>
      <c r="R6093">
        <v>6.3029989999999994E-2</v>
      </c>
      <c r="S6093">
        <v>3.0827939999999998</v>
      </c>
      <c r="T6093">
        <v>-0.12739839999999999</v>
      </c>
      <c r="U6093">
        <v>-0.149231</v>
      </c>
      <c r="V6093">
        <v>-7.5198550000000003E-2</v>
      </c>
      <c r="W6093">
        <v>0.1844103</v>
      </c>
      <c r="X6093">
        <v>0.97996839999999996</v>
      </c>
      <c r="Y6093">
        <v>3.5205100000000003E-2</v>
      </c>
      <c r="Z6093">
        <v>-6.3177229999999995E-4</v>
      </c>
      <c r="AA6093">
        <v>0.99937989999999999</v>
      </c>
      <c r="AB6093">
        <v>30</v>
      </c>
      <c r="AC6093">
        <v>26.677499999999998</v>
      </c>
      <c r="AD6093">
        <v>-1.1087111491849999</v>
      </c>
      <c r="AE6093">
        <v>-1.29595999999999</v>
      </c>
      <c r="AF6093">
        <v>0.94417756978835599</v>
      </c>
      <c r="AG6093">
        <v>-1.1087111491849999</v>
      </c>
      <c r="AH6093">
        <v>26.646292544918602</v>
      </c>
      <c r="AI6093">
        <v>92.381122084581705</v>
      </c>
      <c r="AJ6093">
        <v>87.970645778870093</v>
      </c>
      <c r="AK6093">
        <v>26.686056622982001</v>
      </c>
      <c r="AL6093">
        <v>79.373246692587898</v>
      </c>
      <c r="AM6093">
        <v>94.388031799511893</v>
      </c>
      <c r="AN6093">
        <v>1.0000000228333701</v>
      </c>
    </row>
    <row r="6094" spans="1:40" x14ac:dyDescent="0.25">
      <c r="A6094" t="str">
        <f>"20190304155756725"</f>
        <v>20190304155756725</v>
      </c>
      <c r="B6094" t="str">
        <f>"1551686276720835"</f>
        <v>1551686276720835</v>
      </c>
      <c r="C6094" t="s">
        <v>40</v>
      </c>
      <c r="D6094">
        <v>4.7963250000000004</v>
      </c>
      <c r="E6094">
        <v>0.54002890000000003</v>
      </c>
      <c r="F6094" t="s">
        <v>93</v>
      </c>
      <c r="G6094">
        <v>-253.26259999999999</v>
      </c>
      <c r="H6094" s="1">
        <v>-9.9223599999999994E-7</v>
      </c>
      <c r="I6094">
        <v>-62.436300000000003</v>
      </c>
      <c r="J6094">
        <v>-280.18290000000002</v>
      </c>
      <c r="K6094">
        <v>1.108576</v>
      </c>
      <c r="L6094">
        <v>-61.071660000000001</v>
      </c>
      <c r="M6094">
        <v>0.9997895</v>
      </c>
      <c r="N6094">
        <v>-1.4517169999999999E-2</v>
      </c>
      <c r="O6094">
        <v>-1.45072E-2</v>
      </c>
      <c r="P6094">
        <v>0.98350110000000002</v>
      </c>
      <c r="Q6094">
        <v>0.1702805</v>
      </c>
      <c r="R6094">
        <v>6.1076060000000001E-2</v>
      </c>
      <c r="S6094">
        <v>3.082214</v>
      </c>
      <c r="T6094">
        <v>-0.126189</v>
      </c>
      <c r="U6094">
        <v>-0.1557007</v>
      </c>
      <c r="V6094">
        <v>-7.4546039999999994E-2</v>
      </c>
      <c r="W6094">
        <v>0.1848475</v>
      </c>
      <c r="X6094">
        <v>0.97993580000000002</v>
      </c>
      <c r="Y6094">
        <v>3.592033E-2</v>
      </c>
      <c r="Z6094">
        <v>-6.127951E-4</v>
      </c>
      <c r="AA6094">
        <v>0.99935450000000003</v>
      </c>
      <c r="AB6094">
        <v>30</v>
      </c>
      <c r="AC6094">
        <v>26.920300000000001</v>
      </c>
      <c r="AD6094">
        <v>-1.108576992236</v>
      </c>
      <c r="AE6094">
        <v>-1.3646400000000001</v>
      </c>
      <c r="AF6094">
        <v>0.97227253216226905</v>
      </c>
      <c r="AG6094">
        <v>-1.108576992236</v>
      </c>
      <c r="AH6094">
        <v>26.8917797230683</v>
      </c>
      <c r="AI6094">
        <v>92.359064264614204</v>
      </c>
      <c r="AJ6094">
        <v>87.929372504842306</v>
      </c>
      <c r="AK6094">
        <v>26.9321754319724</v>
      </c>
      <c r="AL6094">
        <v>79.347757918676294</v>
      </c>
      <c r="AM6094">
        <v>94.350247087439101</v>
      </c>
      <c r="AN6094">
        <v>0.999999941228784</v>
      </c>
    </row>
    <row r="6095" spans="1:40" x14ac:dyDescent="0.25">
      <c r="A6095" t="str">
        <f>"20190304155756737"</f>
        <v>20190304155756737</v>
      </c>
      <c r="B6095" t="str">
        <f>"1551686276730595"</f>
        <v>1551686276730595</v>
      </c>
      <c r="C6095" t="s">
        <v>40</v>
      </c>
      <c r="D6095">
        <v>4.8118150000000002</v>
      </c>
      <c r="E6095">
        <v>0.53996769999999905</v>
      </c>
      <c r="F6095" t="s">
        <v>93</v>
      </c>
      <c r="G6095">
        <v>-252.6516</v>
      </c>
      <c r="H6095" s="1">
        <v>-7.4794909999999999E-7</v>
      </c>
      <c r="I6095">
        <v>-62.516570000000002</v>
      </c>
      <c r="J6095">
        <v>-280.03289999999998</v>
      </c>
      <c r="K6095">
        <v>1.108476</v>
      </c>
      <c r="L6095">
        <v>-61.075069999999997</v>
      </c>
      <c r="M6095">
        <v>0.99976929999999997</v>
      </c>
      <c r="N6095">
        <v>-1.4503449999999999E-2</v>
      </c>
      <c r="O6095">
        <v>-1.5846820000000001E-2</v>
      </c>
      <c r="P6095">
        <v>0.98357300000000003</v>
      </c>
      <c r="Q6095">
        <v>0.17052329999999999</v>
      </c>
      <c r="R6095">
        <v>5.9215499999999997E-2</v>
      </c>
      <c r="S6095">
        <v>3.0818479999999999</v>
      </c>
      <c r="T6095">
        <v>-0.1240938</v>
      </c>
      <c r="U6095">
        <v>-0.1617432</v>
      </c>
      <c r="V6095">
        <v>-7.3953309999999994E-2</v>
      </c>
      <c r="W6095">
        <v>0.1850945</v>
      </c>
      <c r="X6095">
        <v>0.97993419999999998</v>
      </c>
      <c r="Y6095">
        <v>3.6542150000000002E-2</v>
      </c>
      <c r="Z6095">
        <v>-5.9258960000000002E-4</v>
      </c>
      <c r="AA6095">
        <v>0.999332</v>
      </c>
      <c r="AB6095">
        <v>30</v>
      </c>
      <c r="AC6095">
        <v>27.3812999999999</v>
      </c>
      <c r="AD6095">
        <v>-1.1084767479491</v>
      </c>
      <c r="AE6095">
        <v>-1.44149999999999</v>
      </c>
      <c r="AF6095">
        <v>1.00572311000689</v>
      </c>
      <c r="AG6095">
        <v>-1.1084767479491</v>
      </c>
      <c r="AH6095">
        <v>27.355997567522099</v>
      </c>
      <c r="AI6095">
        <v>92.318815326624303</v>
      </c>
      <c r="AJ6095">
        <v>87.894511108661206</v>
      </c>
      <c r="AK6095">
        <v>27.396912282025902</v>
      </c>
      <c r="AL6095">
        <v>79.333358550299593</v>
      </c>
      <c r="AM6095">
        <v>94.315795659447303</v>
      </c>
      <c r="AN6095">
        <v>1.0000000511599201</v>
      </c>
    </row>
    <row r="6096" spans="1:40" x14ac:dyDescent="0.25">
      <c r="A6096" t="str">
        <f>"20190304155756749"</f>
        <v>20190304155756749</v>
      </c>
      <c r="B6096" t="str">
        <f>"1551686276740355"</f>
        <v>1551686276740355</v>
      </c>
      <c r="C6096" t="s">
        <v>40</v>
      </c>
      <c r="D6096">
        <v>4.8127409999999999</v>
      </c>
      <c r="E6096">
        <v>0.54012439999999995</v>
      </c>
      <c r="F6096" t="s">
        <v>93</v>
      </c>
      <c r="G6096">
        <v>-252.14109999999999</v>
      </c>
      <c r="H6096" s="1">
        <v>-5.4552389999999999E-7</v>
      </c>
      <c r="I6096">
        <v>-62.591059999999999</v>
      </c>
      <c r="J6096">
        <v>-279.87090000000001</v>
      </c>
      <c r="K6096">
        <v>1.1083750000000001</v>
      </c>
      <c r="L6096">
        <v>-61.078980000000001</v>
      </c>
      <c r="M6096">
        <v>0.99974499999999999</v>
      </c>
      <c r="N6096">
        <v>-1.4489129999999999E-2</v>
      </c>
      <c r="O6096">
        <v>-1.7325119999999999E-2</v>
      </c>
      <c r="P6096">
        <v>0.98359779999999997</v>
      </c>
      <c r="Q6096">
        <v>0.17099549999999999</v>
      </c>
      <c r="R6096">
        <v>5.7409549999999997E-2</v>
      </c>
      <c r="S6096">
        <v>3.0813899999999999</v>
      </c>
      <c r="T6096">
        <v>-0.1224605</v>
      </c>
      <c r="U6096">
        <v>-0.1674805</v>
      </c>
      <c r="V6096">
        <v>-7.3550820000000003E-2</v>
      </c>
      <c r="W6096">
        <v>0.18556919999999999</v>
      </c>
      <c r="X6096">
        <v>0.97987469999999999</v>
      </c>
      <c r="Y6096">
        <v>3.6928389999999998E-2</v>
      </c>
      <c r="Z6096">
        <v>-5.6404000000000003E-4</v>
      </c>
      <c r="AA6096">
        <v>0.99931780000000003</v>
      </c>
      <c r="AB6096">
        <v>30</v>
      </c>
      <c r="AC6096">
        <v>27.729800000000001</v>
      </c>
      <c r="AD6096">
        <v>-1.1083755455238999</v>
      </c>
      <c r="AE6096">
        <v>-1.5120799999999901</v>
      </c>
      <c r="AF6096">
        <v>1.0297402092463099</v>
      </c>
      <c r="AG6096">
        <v>-1.1083755455238999</v>
      </c>
      <c r="AH6096">
        <v>27.707700997611202</v>
      </c>
      <c r="AI6096">
        <v>92.289170747358796</v>
      </c>
      <c r="AJ6096">
        <v>87.871616013054094</v>
      </c>
      <c r="AK6096">
        <v>27.7489739597968</v>
      </c>
      <c r="AL6096">
        <v>79.305680627376105</v>
      </c>
      <c r="AM6096">
        <v>94.292654688744406</v>
      </c>
      <c r="AN6096">
        <v>1.0000000394057</v>
      </c>
    </row>
    <row r="6097" spans="1:40" x14ac:dyDescent="0.25">
      <c r="A6097" t="str">
        <f>"20190304155756760"</f>
        <v>20190304155756760</v>
      </c>
      <c r="B6097" t="str">
        <f>"1551686276751091"</f>
        <v>1551686276751091</v>
      </c>
      <c r="C6097" t="s">
        <v>40</v>
      </c>
      <c r="D6097">
        <v>4.770289</v>
      </c>
      <c r="E6097">
        <v>0.540269</v>
      </c>
      <c r="F6097" t="s">
        <v>93</v>
      </c>
      <c r="G6097">
        <v>-251.1755</v>
      </c>
      <c r="H6097" s="1">
        <v>-1.5695429999999999E-7</v>
      </c>
      <c r="I6097">
        <v>-62.706519999999998</v>
      </c>
      <c r="J6097">
        <v>-279.71629999999999</v>
      </c>
      <c r="K6097">
        <v>1.108304</v>
      </c>
      <c r="L6097">
        <v>-61.083100000000002</v>
      </c>
      <c r="M6097">
        <v>0.99971880000000002</v>
      </c>
      <c r="N6097">
        <v>-1.44767E-2</v>
      </c>
      <c r="O6097">
        <v>-1.8779609999999999E-2</v>
      </c>
      <c r="P6097">
        <v>0.9836625</v>
      </c>
      <c r="Q6097">
        <v>0.1712253</v>
      </c>
      <c r="R6097">
        <v>5.5588150000000003E-2</v>
      </c>
      <c r="S6097">
        <v>3.0809329999999999</v>
      </c>
      <c r="T6097">
        <v>-0.1190026</v>
      </c>
      <c r="U6097">
        <v>-0.1747437</v>
      </c>
      <c r="V6097">
        <v>-7.3126140000000006E-2</v>
      </c>
      <c r="W6097">
        <v>0.18579780000000001</v>
      </c>
      <c r="X6097">
        <v>0.97986309999999999</v>
      </c>
      <c r="Y6097">
        <v>3.78321E-2</v>
      </c>
      <c r="Z6097">
        <v>-5.5125620000000004E-4</v>
      </c>
      <c r="AA6097">
        <v>0.99928399999999995</v>
      </c>
      <c r="AB6097">
        <v>30</v>
      </c>
      <c r="AC6097">
        <v>28.540799999999901</v>
      </c>
      <c r="AD6097">
        <v>-1.1083041569543</v>
      </c>
      <c r="AE6097">
        <v>-1.6234199999999901</v>
      </c>
      <c r="AF6097">
        <v>1.0854608230537</v>
      </c>
      <c r="AG6097">
        <v>-1.1083041569543</v>
      </c>
      <c r="AH6097">
        <v>28.5233831010591</v>
      </c>
      <c r="AI6097">
        <v>92.223556710944806</v>
      </c>
      <c r="AJ6097">
        <v>87.820653753488202</v>
      </c>
      <c r="AK6097">
        <v>28.5655377480014</v>
      </c>
      <c r="AL6097">
        <v>79.292350305238301</v>
      </c>
      <c r="AM6097">
        <v>94.268011230738793</v>
      </c>
      <c r="AN6097">
        <v>0.99999997478887404</v>
      </c>
    </row>
    <row r="6098" spans="1:40" x14ac:dyDescent="0.25">
      <c r="A6098" t="str">
        <f>"20190304155756771"</f>
        <v>20190304155756771</v>
      </c>
      <c r="B6098" t="str">
        <f>"1551686276760850"</f>
        <v>1551686276760850</v>
      </c>
      <c r="C6098" t="s">
        <v>40</v>
      </c>
      <c r="D6098">
        <v>4.9731759999999996</v>
      </c>
      <c r="E6098">
        <v>0.54041930000000005</v>
      </c>
      <c r="F6098" t="s">
        <v>93</v>
      </c>
      <c r="G6098">
        <v>-250.58709999999999</v>
      </c>
      <c r="H6098" s="1">
        <v>7.45382599999999E-8</v>
      </c>
      <c r="I6098">
        <v>-62.800669999999997</v>
      </c>
      <c r="J6098">
        <v>-279.57089999999999</v>
      </c>
      <c r="K6098">
        <v>1.1082459999999901</v>
      </c>
      <c r="L6098">
        <v>-61.087040000000002</v>
      </c>
      <c r="M6098">
        <v>0.99969220000000003</v>
      </c>
      <c r="N6098">
        <v>-1.446507E-2</v>
      </c>
      <c r="O6098">
        <v>-2.0155099999999999E-2</v>
      </c>
      <c r="P6098">
        <v>0.98375570000000001</v>
      </c>
      <c r="Q6098">
        <v>0.17128850000000001</v>
      </c>
      <c r="R6098">
        <v>5.3711500000000002E-2</v>
      </c>
      <c r="S6098">
        <v>3.0805359999999999</v>
      </c>
      <c r="T6098">
        <v>-0.1172076</v>
      </c>
      <c r="U6098">
        <v>-0.18164060000000001</v>
      </c>
      <c r="V6098">
        <v>-7.2573970000000002E-2</v>
      </c>
      <c r="W6098">
        <v>0.1858583</v>
      </c>
      <c r="X6098">
        <v>0.97989269999999995</v>
      </c>
      <c r="Y6098">
        <v>3.8694550000000001E-2</v>
      </c>
      <c r="Z6098">
        <v>-5.4101110000000002E-4</v>
      </c>
      <c r="AA6098">
        <v>0.99925090000000005</v>
      </c>
      <c r="AB6098">
        <v>30</v>
      </c>
      <c r="AC6098">
        <v>28.983799999999999</v>
      </c>
      <c r="AD6098">
        <v>-1.1082459254617301</v>
      </c>
      <c r="AE6098">
        <v>-1.71362999999999</v>
      </c>
      <c r="AF6098">
        <v>1.1274067246833599</v>
      </c>
      <c r="AG6098">
        <v>-1.1082459254617301</v>
      </c>
      <c r="AH6098">
        <v>28.9702448066625</v>
      </c>
      <c r="AI6098">
        <v>92.189105046347095</v>
      </c>
      <c r="AJ6098">
        <v>87.771400689169198</v>
      </c>
      <c r="AK6098">
        <v>29.013347602648601</v>
      </c>
      <c r="AL6098">
        <v>79.288822695106006</v>
      </c>
      <c r="AM6098">
        <v>94.235774053968001</v>
      </c>
      <c r="AN6098">
        <v>0.99999999615686996</v>
      </c>
    </row>
    <row r="6099" spans="1:40" x14ac:dyDescent="0.25">
      <c r="A6099" t="str">
        <f>"20190304155756780"</f>
        <v>20190304155756780</v>
      </c>
      <c r="B6099" t="str">
        <f>"1551686276770611"</f>
        <v>1551686276770611</v>
      </c>
      <c r="C6099" t="s">
        <v>40</v>
      </c>
      <c r="D6099">
        <v>4.8160379999999998</v>
      </c>
      <c r="E6099">
        <v>0.54066619999999999</v>
      </c>
      <c r="F6099" t="s">
        <v>93</v>
      </c>
      <c r="G6099">
        <v>-250.2741</v>
      </c>
      <c r="H6099" s="1">
        <v>1.9100929999999999E-7</v>
      </c>
      <c r="I6099">
        <v>-62.880600000000001</v>
      </c>
      <c r="J6099">
        <v>-279.43549999999999</v>
      </c>
      <c r="K6099">
        <v>1.108206</v>
      </c>
      <c r="L6099">
        <v>-61.091090000000001</v>
      </c>
      <c r="M6099">
        <v>0.99966529999999998</v>
      </c>
      <c r="N6099">
        <v>-1.445514E-2</v>
      </c>
      <c r="O6099">
        <v>-2.1458169999999999E-2</v>
      </c>
      <c r="P6099">
        <v>0.98388169999999997</v>
      </c>
      <c r="Q6099">
        <v>0.17104420000000001</v>
      </c>
      <c r="R6099">
        <v>5.2161550000000001E-2</v>
      </c>
      <c r="S6099">
        <v>3.080139</v>
      </c>
      <c r="T6099">
        <v>-0.11651640000000001</v>
      </c>
      <c r="U6099">
        <v>-0.18856809999999999</v>
      </c>
      <c r="V6099">
        <v>-7.2290499999999994E-2</v>
      </c>
      <c r="W6099">
        <v>0.18561130000000001</v>
      </c>
      <c r="X6099">
        <v>0.97996039999999995</v>
      </c>
      <c r="Y6099">
        <v>3.9638630000000001E-2</v>
      </c>
      <c r="Z6099">
        <v>-5.3508739999999998E-4</v>
      </c>
      <c r="AA6099">
        <v>0.99921389999999999</v>
      </c>
      <c r="AB6099">
        <v>30</v>
      </c>
      <c r="AC6099">
        <v>29.161399999999901</v>
      </c>
      <c r="AD6099">
        <v>-1.1082058089906901</v>
      </c>
      <c r="AE6099">
        <v>-1.7895099999999999</v>
      </c>
      <c r="AF6099">
        <v>1.1616109533138801</v>
      </c>
      <c r="AG6099">
        <v>-1.1082058089906901</v>
      </c>
      <c r="AH6099">
        <v>29.151145887660999</v>
      </c>
      <c r="AI6099">
        <v>92.175375067976304</v>
      </c>
      <c r="AJ6099">
        <v>87.718092725412703</v>
      </c>
      <c r="AK6099">
        <v>29.195320972471499</v>
      </c>
      <c r="AL6099">
        <v>79.303224626256394</v>
      </c>
      <c r="AM6099">
        <v>94.218998780475999</v>
      </c>
      <c r="AN6099">
        <v>0.99999992832304696</v>
      </c>
    </row>
    <row r="6100" spans="1:40" x14ac:dyDescent="0.25">
      <c r="A6100" t="str">
        <f>"20190304155756791"</f>
        <v>20190304155756791</v>
      </c>
      <c r="B6100" t="str">
        <f>"1551686276780372"</f>
        <v>1551686276780372</v>
      </c>
      <c r="C6100" t="s">
        <v>40</v>
      </c>
      <c r="D6100">
        <v>4.7965730000000004</v>
      </c>
      <c r="E6100">
        <v>0.54093570000000002</v>
      </c>
      <c r="F6100" t="s">
        <v>93</v>
      </c>
      <c r="G6100">
        <v>-250.15219999999999</v>
      </c>
      <c r="H6100" s="1">
        <v>2.2893889999999999E-7</v>
      </c>
      <c r="I6100">
        <v>-62.94529</v>
      </c>
      <c r="J6100">
        <v>-279.29790000000003</v>
      </c>
      <c r="K6100">
        <v>1.1081669999999999</v>
      </c>
      <c r="L6100">
        <v>-61.09525</v>
      </c>
      <c r="M6100">
        <v>0.99963610000000003</v>
      </c>
      <c r="N6100">
        <v>-1.4445029999999999E-2</v>
      </c>
      <c r="O6100">
        <v>-2.278434E-2</v>
      </c>
      <c r="P6100">
        <v>0.98407370000000005</v>
      </c>
      <c r="Q6100">
        <v>0.17044189999999901</v>
      </c>
      <c r="R6100">
        <v>5.0485729999999999E-2</v>
      </c>
      <c r="S6100">
        <v>3.079742</v>
      </c>
      <c r="T6100">
        <v>-0.116550399999999</v>
      </c>
      <c r="U6100">
        <v>-0.19500729999999999</v>
      </c>
      <c r="V6100">
        <v>-7.1908180000000002E-2</v>
      </c>
      <c r="W6100">
        <v>0.1850059</v>
      </c>
      <c r="X6100">
        <v>0.9801031</v>
      </c>
      <c r="Y6100">
        <v>4.0401590000000001E-2</v>
      </c>
      <c r="Z6100">
        <v>-5.2364060000000001E-4</v>
      </c>
      <c r="AA6100">
        <v>0.99918340000000005</v>
      </c>
      <c r="AB6100">
        <v>30</v>
      </c>
      <c r="AC6100">
        <v>29.145700000000001</v>
      </c>
      <c r="AD6100">
        <v>-1.1081667710610901</v>
      </c>
      <c r="AE6100">
        <v>-1.8500399999999999</v>
      </c>
      <c r="AF6100">
        <v>1.18372047277103</v>
      </c>
      <c r="AG6100">
        <v>-1.1081667710610901</v>
      </c>
      <c r="AH6100">
        <v>29.138334020805701</v>
      </c>
      <c r="AI6100">
        <v>92.176186251845607</v>
      </c>
      <c r="AJ6100">
        <v>87.673685991603094</v>
      </c>
      <c r="AK6100">
        <v>29.183415448815801</v>
      </c>
      <c r="AL6100">
        <v>79.338523921451994</v>
      </c>
      <c r="AM6100">
        <v>94.196157003085304</v>
      </c>
      <c r="AN6100">
        <v>1.00000002800766</v>
      </c>
    </row>
    <row r="6101" spans="1:40" x14ac:dyDescent="0.25">
      <c r="A6101" t="str">
        <f>"20190304155756801"</f>
        <v>20190304155756801</v>
      </c>
      <c r="B6101" t="str">
        <f>"1551686276791107"</f>
        <v>1551686276791107</v>
      </c>
      <c r="C6101" t="s">
        <v>40</v>
      </c>
      <c r="D6101">
        <v>4.8245319999999996</v>
      </c>
      <c r="E6101">
        <v>0.54119469999999903</v>
      </c>
      <c r="F6101" t="s">
        <v>93</v>
      </c>
      <c r="G6101">
        <v>-250.16579999999999</v>
      </c>
      <c r="H6101" s="1">
        <v>2.0881020000000001E-7</v>
      </c>
      <c r="I6101">
        <v>-63.009469999999901</v>
      </c>
      <c r="J6101">
        <v>-279.14179999999999</v>
      </c>
      <c r="K6101">
        <v>1.1081379999999901</v>
      </c>
      <c r="L6101">
        <v>-61.10031</v>
      </c>
      <c r="M6101">
        <v>0.9996005</v>
      </c>
      <c r="N6101">
        <v>-1.443475E-2</v>
      </c>
      <c r="O6101">
        <v>-2.4300019999999999E-2</v>
      </c>
      <c r="P6101">
        <v>0.9842438</v>
      </c>
      <c r="Q6101">
        <v>0.169957</v>
      </c>
      <c r="R6101">
        <v>4.8773049999999998E-2</v>
      </c>
      <c r="S6101">
        <v>3.079224</v>
      </c>
      <c r="T6101">
        <v>-0.11713179999999999</v>
      </c>
      <c r="U6101">
        <v>-0.2023315</v>
      </c>
      <c r="V6101">
        <v>-7.167983E-2</v>
      </c>
      <c r="W6101">
        <v>0.18451629999999999</v>
      </c>
      <c r="X6101">
        <v>0.98021210000000003</v>
      </c>
      <c r="Y6101">
        <v>4.1263319999999999E-2</v>
      </c>
      <c r="Z6101">
        <v>-5.0962999999999996E-4</v>
      </c>
      <c r="AA6101">
        <v>0.99914820000000004</v>
      </c>
      <c r="AB6101">
        <v>30</v>
      </c>
      <c r="AC6101">
        <v>28.975999999999999</v>
      </c>
      <c r="AD6101">
        <v>-1.1081377911897901</v>
      </c>
      <c r="AE6101">
        <v>-1.90915999999999</v>
      </c>
      <c r="AF6101">
        <v>1.20265404760817</v>
      </c>
      <c r="AG6101">
        <v>-1.1081377911897901</v>
      </c>
      <c r="AH6101">
        <v>28.971650050212698</v>
      </c>
      <c r="AI6101">
        <v>92.188557749848997</v>
      </c>
      <c r="AJ6101">
        <v>87.622936153835596</v>
      </c>
      <c r="AK6101">
        <v>29.017767880291501</v>
      </c>
      <c r="AL6101">
        <v>79.367067181362003</v>
      </c>
      <c r="AM6101">
        <v>94.182415665009898</v>
      </c>
      <c r="AN6101">
        <v>1.00000001199046</v>
      </c>
    </row>
    <row r="6102" spans="1:40" x14ac:dyDescent="0.25">
      <c r="A6102" t="str">
        <f>"20190304155756815"</f>
        <v>20190304155756815</v>
      </c>
      <c r="B6102" t="str">
        <f>"1551686276810627"</f>
        <v>1551686276810627</v>
      </c>
      <c r="C6102" t="s">
        <v>40</v>
      </c>
      <c r="D6102">
        <v>4.7676569999999998</v>
      </c>
      <c r="E6102">
        <v>0.54153189999999995</v>
      </c>
      <c r="F6102" t="s">
        <v>93</v>
      </c>
      <c r="G6102">
        <v>-250.00030000000001</v>
      </c>
      <c r="H6102" s="1">
        <v>2.6274500000000001E-7</v>
      </c>
      <c r="I6102">
        <v>-63.086269999999899</v>
      </c>
      <c r="J6102">
        <v>-278.98329999999999</v>
      </c>
      <c r="K6102">
        <v>1.108114</v>
      </c>
      <c r="L6102">
        <v>-61.105620000000002</v>
      </c>
      <c r="M6102">
        <v>0.99956210000000001</v>
      </c>
      <c r="N6102">
        <v>-1.442468E-2</v>
      </c>
      <c r="O6102">
        <v>-2.583827E-2</v>
      </c>
      <c r="P6102">
        <v>0.98436829999999997</v>
      </c>
      <c r="Q6102">
        <v>0.1696704</v>
      </c>
      <c r="R6102">
        <v>4.7233310000000001E-2</v>
      </c>
      <c r="S6102">
        <v>3.0786739999999999</v>
      </c>
      <c r="T6102">
        <v>-0.1170702</v>
      </c>
      <c r="U6102">
        <v>-0.2098083</v>
      </c>
      <c r="V6102">
        <v>-7.164595E-2</v>
      </c>
      <c r="W6102">
        <v>0.18422469999999999</v>
      </c>
      <c r="X6102">
        <v>0.98026939999999996</v>
      </c>
      <c r="Y6102">
        <v>4.2152639999999998E-2</v>
      </c>
      <c r="Z6102">
        <v>-4.9635839999999896E-4</v>
      </c>
      <c r="AA6102">
        <v>0.99911110000000003</v>
      </c>
      <c r="AB6102">
        <v>30</v>
      </c>
      <c r="AC6102">
        <v>28.982999999999901</v>
      </c>
      <c r="AD6102">
        <v>-1.1081137372550001</v>
      </c>
      <c r="AE6102">
        <v>-1.98064999999999</v>
      </c>
      <c r="AF6102">
        <v>1.2292515812848901</v>
      </c>
      <c r="AG6102">
        <v>-1.1081137372550001</v>
      </c>
      <c r="AH6102">
        <v>28.9823346416795</v>
      </c>
      <c r="AI6102">
        <v>92.187621644965901</v>
      </c>
      <c r="AJ6102">
        <v>87.571322653117093</v>
      </c>
      <c r="AK6102">
        <v>29.029548683833902</v>
      </c>
      <c r="AL6102">
        <v>79.384065802690799</v>
      </c>
      <c r="AM6102">
        <v>94.180202330791502</v>
      </c>
      <c r="AN6102">
        <v>0.99999998940892598</v>
      </c>
    </row>
    <row r="6103" spans="1:40" x14ac:dyDescent="0.25">
      <c r="A6103" t="str">
        <f>"20190304155756825"</f>
        <v>20190304155756825</v>
      </c>
      <c r="B6103" t="str">
        <f>"1551686276820387"</f>
        <v>1551686276820387</v>
      </c>
      <c r="C6103" t="s">
        <v>40</v>
      </c>
      <c r="D6103">
        <v>4.8108190000000004</v>
      </c>
      <c r="E6103">
        <v>0.54171819999999904</v>
      </c>
      <c r="F6103" t="s">
        <v>94</v>
      </c>
      <c r="G6103">
        <v>-249.39179999999999</v>
      </c>
      <c r="H6103" s="1">
        <v>-3.568853E-6</v>
      </c>
      <c r="I6103">
        <v>-63.195129999999999</v>
      </c>
      <c r="J6103">
        <v>-278.8304</v>
      </c>
      <c r="K6103">
        <v>1.1080970000000001</v>
      </c>
      <c r="L6103">
        <v>-61.111020000000003</v>
      </c>
      <c r="M6103">
        <v>0.99952269999999999</v>
      </c>
      <c r="N6103">
        <v>-1.441567E-2</v>
      </c>
      <c r="O6103">
        <v>-2.732352E-2</v>
      </c>
      <c r="P6103">
        <v>0.98453400000000002</v>
      </c>
      <c r="Q6103">
        <v>0.16902909999999999</v>
      </c>
      <c r="R6103">
        <v>4.606528E-2</v>
      </c>
      <c r="S6103">
        <v>3.0779420000000002</v>
      </c>
      <c r="T6103">
        <v>-0.11526</v>
      </c>
      <c r="U6103">
        <v>-0.21734619999999999</v>
      </c>
      <c r="V6103">
        <v>-7.1939429999999999E-2</v>
      </c>
      <c r="W6103">
        <v>0.18358070000000001</v>
      </c>
      <c r="X6103">
        <v>0.98036869999999998</v>
      </c>
      <c r="Y6103">
        <v>4.3119449999999997E-2</v>
      </c>
      <c r="Z6103">
        <v>-4.8966299999999999E-4</v>
      </c>
      <c r="AA6103">
        <v>0.99906980000000001</v>
      </c>
      <c r="AB6103">
        <v>30</v>
      </c>
      <c r="AC6103">
        <v>29.438600000000001</v>
      </c>
      <c r="AD6103">
        <v>-1.1081005688529999</v>
      </c>
      <c r="AE6103">
        <v>-2.0841099999999999</v>
      </c>
      <c r="AF6103">
        <v>1.2770815493710299</v>
      </c>
      <c r="AG6103">
        <v>-1.1081005688529999</v>
      </c>
      <c r="AH6103">
        <v>29.443049380986501</v>
      </c>
      <c r="AI6103">
        <v>92.153308907618197</v>
      </c>
      <c r="AJ6103">
        <v>87.5163731704193</v>
      </c>
      <c r="AK6103">
        <v>29.491557792114801</v>
      </c>
      <c r="AL6103">
        <v>79.421604337416198</v>
      </c>
      <c r="AM6103">
        <v>94.1968408149487</v>
      </c>
      <c r="AN6103">
        <v>0.99999997147045205</v>
      </c>
    </row>
    <row r="6104" spans="1:40" x14ac:dyDescent="0.25">
      <c r="A6104" t="str">
        <f>"20190304155756835"</f>
        <v>20190304155756835</v>
      </c>
      <c r="B6104" t="str">
        <f>"1551686276830987"</f>
        <v>1551686276830987</v>
      </c>
      <c r="C6104" t="s">
        <v>40</v>
      </c>
      <c r="D6104">
        <v>4.8181010000000004</v>
      </c>
      <c r="E6104">
        <v>0.54186000000000001</v>
      </c>
      <c r="F6104" t="s">
        <v>94</v>
      </c>
      <c r="G6104">
        <v>-249.46010000000001</v>
      </c>
      <c r="H6104" s="1">
        <v>-3.5990050000000001E-6</v>
      </c>
      <c r="I6104">
        <v>-63.23415</v>
      </c>
      <c r="J6104">
        <v>-278.69189999999998</v>
      </c>
      <c r="K6104">
        <v>1.108079</v>
      </c>
      <c r="L6104">
        <v>-61.11609</v>
      </c>
      <c r="M6104">
        <v>0.99948530000000002</v>
      </c>
      <c r="N6104">
        <v>-1.440807E-2</v>
      </c>
      <c r="O6104">
        <v>-2.8665139999999999E-2</v>
      </c>
      <c r="P6104">
        <v>0.98467499999999997</v>
      </c>
      <c r="Q6104">
        <v>0.1685246</v>
      </c>
      <c r="R6104">
        <v>4.488578E-2</v>
      </c>
      <c r="S6104">
        <v>3.0774840000000001</v>
      </c>
      <c r="T6104">
        <v>-0.11610910000000001</v>
      </c>
      <c r="U6104">
        <v>-0.22247310000000001</v>
      </c>
      <c r="V6104">
        <v>-7.2081010000000001E-2</v>
      </c>
      <c r="W6104">
        <v>0.18307309999999999</v>
      </c>
      <c r="X6104">
        <v>0.98045329999999997</v>
      </c>
      <c r="Y6104">
        <v>4.3444509999999999E-2</v>
      </c>
      <c r="Z6104">
        <v>-4.6498330000000002E-4</v>
      </c>
      <c r="AA6104">
        <v>0.99905569999999999</v>
      </c>
      <c r="AB6104">
        <v>30</v>
      </c>
      <c r="AC6104">
        <v>29.2317999999999</v>
      </c>
      <c r="AD6104">
        <v>-1.1080825990050001</v>
      </c>
      <c r="AE6104">
        <v>-2.1180599999999998</v>
      </c>
      <c r="AF6104">
        <v>1.2773430241972401</v>
      </c>
      <c r="AG6104">
        <v>-1.1080825990050001</v>
      </c>
      <c r="AH6104">
        <v>29.238711760437901</v>
      </c>
      <c r="AI6104">
        <v>92.168278702750996</v>
      </c>
      <c r="AJ6104">
        <v>87.498526655248398</v>
      </c>
      <c r="AK6104">
        <v>29.287569336796299</v>
      </c>
      <c r="AL6104">
        <v>79.451189945139603</v>
      </c>
      <c r="AM6104">
        <v>94.204709245610601</v>
      </c>
      <c r="AN6104">
        <v>1.00000005271355</v>
      </c>
    </row>
    <row r="6105" spans="1:40" x14ac:dyDescent="0.25">
      <c r="A6105" t="str">
        <f>"20190304155756847"</f>
        <v>20190304155756847</v>
      </c>
      <c r="B6105" t="str">
        <f>"1551686276840748"</f>
        <v>1551686276840748</v>
      </c>
      <c r="C6105" t="s">
        <v>40</v>
      </c>
      <c r="D6105">
        <v>4.8149089999999903</v>
      </c>
      <c r="E6105">
        <v>0.54198590000000002</v>
      </c>
      <c r="F6105" t="s">
        <v>94</v>
      </c>
      <c r="G6105">
        <v>-249.435</v>
      </c>
      <c r="H6105" s="1">
        <v>-3.598097E-6</v>
      </c>
      <c r="I6105">
        <v>-63.277180000000001</v>
      </c>
      <c r="J6105">
        <v>-278.53449999999998</v>
      </c>
      <c r="K6105">
        <v>1.108066</v>
      </c>
      <c r="L6105">
        <v>-61.122070000000001</v>
      </c>
      <c r="M6105">
        <v>0.99944060000000001</v>
      </c>
      <c r="N6105">
        <v>-1.439986E-2</v>
      </c>
      <c r="O6105">
        <v>-3.0188030000000001E-2</v>
      </c>
      <c r="P6105">
        <v>0.98476870000000005</v>
      </c>
      <c r="Q6105">
        <v>0.1682371</v>
      </c>
      <c r="R6105">
        <v>4.3898850000000003E-2</v>
      </c>
      <c r="S6105">
        <v>3.077026</v>
      </c>
      <c r="T6105">
        <v>-0.1165397</v>
      </c>
      <c r="U6105">
        <v>-0.22729489999999999</v>
      </c>
      <c r="V6105">
        <v>-7.2592240000000002E-2</v>
      </c>
      <c r="W6105">
        <v>0.18278240000000001</v>
      </c>
      <c r="X6105">
        <v>0.98046979999999995</v>
      </c>
      <c r="Y6105">
        <v>4.3490349999999997E-2</v>
      </c>
      <c r="Z6105">
        <v>-4.2916420000000001E-4</v>
      </c>
      <c r="AA6105">
        <v>0.99905379999999999</v>
      </c>
      <c r="AB6105">
        <v>30</v>
      </c>
      <c r="AC6105">
        <v>29.0994999999999</v>
      </c>
      <c r="AD6105">
        <v>-1.1080695980969999</v>
      </c>
      <c r="AE6105">
        <v>-2.1551100000000001</v>
      </c>
      <c r="AF6105">
        <v>1.27374315862822</v>
      </c>
      <c r="AG6105">
        <v>-1.1080695980969999</v>
      </c>
      <c r="AH6105">
        <v>29.109322267581302</v>
      </c>
      <c r="AI6105">
        <v>92.177875109507696</v>
      </c>
      <c r="AJ6105">
        <v>87.494493972388398</v>
      </c>
      <c r="AK6105">
        <v>29.1582386770237</v>
      </c>
      <c r="AL6105">
        <v>79.468131495863503</v>
      </c>
      <c r="AM6105">
        <v>94.234351789152001</v>
      </c>
      <c r="AN6105">
        <v>1.0000000338849999</v>
      </c>
    </row>
    <row r="6106" spans="1:40" x14ac:dyDescent="0.25">
      <c r="A6106" t="str">
        <f>"20190304155756858"</f>
        <v>20190304155756858</v>
      </c>
      <c r="B6106" t="str">
        <f>"1551686276850507"</f>
        <v>1551686276850507</v>
      </c>
      <c r="C6106" t="s">
        <v>40</v>
      </c>
      <c r="D6106">
        <v>4.800484</v>
      </c>
      <c r="E6106">
        <v>0.54207039999999995</v>
      </c>
      <c r="F6106" t="s">
        <v>94</v>
      </c>
      <c r="G6106">
        <v>-249.15819999999999</v>
      </c>
      <c r="H6106" s="1">
        <v>-3.5140480000000002E-6</v>
      </c>
      <c r="I6106">
        <v>-63.33426</v>
      </c>
      <c r="J6106">
        <v>-278.39429999999999</v>
      </c>
      <c r="K6106">
        <v>1.1080570000000001</v>
      </c>
      <c r="L6106">
        <v>-61.127690000000001</v>
      </c>
      <c r="M6106">
        <v>0.99939909999999998</v>
      </c>
      <c r="N6106">
        <v>-1.439321E-2</v>
      </c>
      <c r="O6106">
        <v>-3.1537759999999998E-2</v>
      </c>
      <c r="P6106">
        <v>0.98487230000000003</v>
      </c>
      <c r="Q6106">
        <v>0.1679069</v>
      </c>
      <c r="R6106">
        <v>4.2828940000000003E-2</v>
      </c>
      <c r="S6106">
        <v>3.0765690000000001</v>
      </c>
      <c r="T6106">
        <v>-0.116048</v>
      </c>
      <c r="U6106">
        <v>-0.23168949999999999</v>
      </c>
      <c r="V6106">
        <v>-7.2852570000000005E-2</v>
      </c>
      <c r="W6106">
        <v>0.18244859999999999</v>
      </c>
      <c r="X6106">
        <v>0.98051259999999996</v>
      </c>
      <c r="Y6106">
        <v>4.3571680000000002E-2</v>
      </c>
      <c r="Z6106">
        <v>-4.0089249999999998E-4</v>
      </c>
      <c r="AA6106">
        <v>0.9990502</v>
      </c>
      <c r="AB6106">
        <v>30</v>
      </c>
      <c r="AC6106">
        <v>29.2361</v>
      </c>
      <c r="AD6106">
        <v>-1.108060514048</v>
      </c>
      <c r="AE6106">
        <v>-2.2065700000000001</v>
      </c>
      <c r="AF6106">
        <v>1.28150529477127</v>
      </c>
      <c r="AG6106">
        <v>-1.108060514048</v>
      </c>
      <c r="AH6106">
        <v>29.2493742387948</v>
      </c>
      <c r="AI6106">
        <v>92.167433930991507</v>
      </c>
      <c r="AJ6106">
        <v>87.491299592400594</v>
      </c>
      <c r="AK6106">
        <v>29.2983949608915</v>
      </c>
      <c r="AL6106">
        <v>79.487583290594898</v>
      </c>
      <c r="AM6106">
        <v>94.249296664151103</v>
      </c>
      <c r="AN6106">
        <v>0.99999997367816196</v>
      </c>
    </row>
    <row r="6107" spans="1:40" x14ac:dyDescent="0.25">
      <c r="A6107" t="str">
        <f>"20190304155756868"</f>
        <v>20190304155756868</v>
      </c>
      <c r="B6107" t="str">
        <f>"1551686276861243"</f>
        <v>1551686276861243</v>
      </c>
      <c r="C6107" t="s">
        <v>40</v>
      </c>
      <c r="D6107">
        <v>4.7685000000000004</v>
      </c>
      <c r="E6107">
        <v>0.54214629999999997</v>
      </c>
      <c r="F6107" t="s">
        <v>94</v>
      </c>
      <c r="G6107">
        <v>-249.01140000000001</v>
      </c>
      <c r="H6107" s="1">
        <v>-3.472094E-6</v>
      </c>
      <c r="I6107">
        <v>-63.379480000000001</v>
      </c>
      <c r="J6107">
        <v>-278.2484</v>
      </c>
      <c r="K6107">
        <v>1.10805</v>
      </c>
      <c r="L6107">
        <v>-61.133609999999997</v>
      </c>
      <c r="M6107">
        <v>0.99935390000000002</v>
      </c>
      <c r="N6107">
        <v>-1.438646E-2</v>
      </c>
      <c r="O6107">
        <v>-3.2940509999999999E-2</v>
      </c>
      <c r="P6107">
        <v>0.9849696</v>
      </c>
      <c r="Q6107">
        <v>0.1675806</v>
      </c>
      <c r="R6107">
        <v>4.1856110000000002E-2</v>
      </c>
      <c r="S6107">
        <v>3.076111</v>
      </c>
      <c r="T6107">
        <v>-0.11600340000000001</v>
      </c>
      <c r="U6107">
        <v>-0.23574829999999999</v>
      </c>
      <c r="V6107">
        <v>-7.3262469999999996E-2</v>
      </c>
      <c r="W6107">
        <v>0.1821199</v>
      </c>
      <c r="X6107">
        <v>0.98054319999999895</v>
      </c>
      <c r="Y6107">
        <v>4.3491660000000001E-2</v>
      </c>
      <c r="Z6107">
        <v>-3.6597430000000002E-4</v>
      </c>
      <c r="AA6107">
        <v>0.99905370000000004</v>
      </c>
      <c r="AB6107">
        <v>30</v>
      </c>
      <c r="AC6107">
        <v>29.236999999999899</v>
      </c>
      <c r="AD6107">
        <v>-1.1080534720940001</v>
      </c>
      <c r="AE6107">
        <v>-2.2458700000000098</v>
      </c>
      <c r="AF6107">
        <v>1.2796424889065401</v>
      </c>
      <c r="AG6107">
        <v>-1.1080534720940001</v>
      </c>
      <c r="AH6107">
        <v>29.253346828270399</v>
      </c>
      <c r="AI6107">
        <v>92.167132702673797</v>
      </c>
      <c r="AJ6107">
        <v>87.495281361967599</v>
      </c>
      <c r="AK6107">
        <v>29.3022792296352</v>
      </c>
      <c r="AL6107">
        <v>79.506737679518594</v>
      </c>
      <c r="AM6107">
        <v>94.272983872877802</v>
      </c>
      <c r="AN6107">
        <v>1.00000000727637</v>
      </c>
    </row>
    <row r="6108" spans="1:40" x14ac:dyDescent="0.25">
      <c r="A6108" t="str">
        <f>"20190304155756880"</f>
        <v>20190304155756880</v>
      </c>
      <c r="B6108" t="str">
        <f>"1551686276871004"</f>
        <v>1551686276871004</v>
      </c>
      <c r="C6108" t="s">
        <v>40</v>
      </c>
      <c r="D6108">
        <v>4.8241839999999998</v>
      </c>
      <c r="E6108">
        <v>0.54224719999999904</v>
      </c>
      <c r="F6108" t="s">
        <v>94</v>
      </c>
      <c r="G6108">
        <v>-248.83860000000001</v>
      </c>
      <c r="H6108" s="1">
        <v>-3.4208750000000001E-6</v>
      </c>
      <c r="I6108">
        <v>-63.422289999999997</v>
      </c>
      <c r="J6108">
        <v>-278.09300000000002</v>
      </c>
      <c r="K6108">
        <v>1.1080429999999999</v>
      </c>
      <c r="L6108">
        <v>-61.140259999999998</v>
      </c>
      <c r="M6108">
        <v>0.99930359999999996</v>
      </c>
      <c r="N6108">
        <v>-1.4379970000000001E-2</v>
      </c>
      <c r="O6108">
        <v>-3.442928E-2</v>
      </c>
      <c r="P6108">
        <v>0.98505659999999895</v>
      </c>
      <c r="Q6108">
        <v>0.1673055</v>
      </c>
      <c r="R6108">
        <v>4.0896120000000001E-2</v>
      </c>
      <c r="S6108">
        <v>3.0755919999999999</v>
      </c>
      <c r="T6108">
        <v>-0.1158767</v>
      </c>
      <c r="U6108">
        <v>-0.23934939999999999</v>
      </c>
      <c r="V6108">
        <v>-7.3770370000000002E-2</v>
      </c>
      <c r="W6108">
        <v>0.1818419</v>
      </c>
      <c r="X6108">
        <v>0.98055669999999995</v>
      </c>
      <c r="Y6108">
        <v>4.3179700000000001E-2</v>
      </c>
      <c r="Z6108">
        <v>-3.2338339999999998E-4</v>
      </c>
      <c r="AA6108">
        <v>0.99906719999999904</v>
      </c>
      <c r="AB6108">
        <v>30</v>
      </c>
      <c r="AC6108">
        <v>29.2544</v>
      </c>
      <c r="AD6108">
        <v>-1.108046420875</v>
      </c>
      <c r="AE6108">
        <v>-2.2820299999999998</v>
      </c>
      <c r="AF6108">
        <v>1.27155148106245</v>
      </c>
      <c r="AG6108">
        <v>-1.108046420875</v>
      </c>
      <c r="AH6108">
        <v>29.273886751489901</v>
      </c>
      <c r="AI6108">
        <v>92.165628727400502</v>
      </c>
      <c r="AJ6108">
        <v>87.512842519052498</v>
      </c>
      <c r="AK6108">
        <v>29.3224326340579</v>
      </c>
      <c r="AL6108">
        <v>79.522936239926196</v>
      </c>
      <c r="AM6108">
        <v>94.302436928262793</v>
      </c>
      <c r="AN6108">
        <v>0.99999999300021802</v>
      </c>
    </row>
    <row r="6109" spans="1:40" x14ac:dyDescent="0.25">
      <c r="A6109" t="str">
        <f>"20190304155756891"</f>
        <v>20190304155756891</v>
      </c>
      <c r="B6109" t="str">
        <f>"1551686276880764"</f>
        <v>1551686276880764</v>
      </c>
      <c r="C6109" t="s">
        <v>40</v>
      </c>
      <c r="D6109">
        <v>4.8444719999999997</v>
      </c>
      <c r="E6109">
        <v>0.54231300000000005</v>
      </c>
      <c r="F6109" t="s">
        <v>94</v>
      </c>
      <c r="G6109">
        <v>-248.68680000000001</v>
      </c>
      <c r="H6109" s="1">
        <v>-3.376616E-6</v>
      </c>
      <c r="I6109">
        <v>-63.463889999999999</v>
      </c>
      <c r="J6109">
        <v>-277.94450000000001</v>
      </c>
      <c r="K6109">
        <v>1.108034</v>
      </c>
      <c r="L6109">
        <v>-61.146729999999998</v>
      </c>
      <c r="M6109">
        <v>0.99925390000000003</v>
      </c>
      <c r="N6109">
        <v>-1.437391E-2</v>
      </c>
      <c r="O6109">
        <v>-3.5849260000000001E-2</v>
      </c>
      <c r="P6109">
        <v>0.98515900000000001</v>
      </c>
      <c r="Q6109">
        <v>0.16692199999999999</v>
      </c>
      <c r="R6109">
        <v>3.9988080000000002E-2</v>
      </c>
      <c r="S6109">
        <v>3.0752869999999999</v>
      </c>
      <c r="T6109">
        <v>-0.1158792</v>
      </c>
      <c r="U6109">
        <v>-0.24301149999999999</v>
      </c>
      <c r="V6109">
        <v>-7.4263850000000006E-2</v>
      </c>
      <c r="W6109">
        <v>0.18145649999999999</v>
      </c>
      <c r="X6109">
        <v>0.98059090000000004</v>
      </c>
      <c r="Y6109">
        <v>4.2950759999999998E-2</v>
      </c>
      <c r="Z6109">
        <v>-2.8411199999999999E-4</v>
      </c>
      <c r="AA6109">
        <v>0.99907710000000005</v>
      </c>
      <c r="AB6109">
        <v>30</v>
      </c>
      <c r="AC6109">
        <v>29.2577</v>
      </c>
      <c r="AD6109">
        <v>-1.1080373766160001</v>
      </c>
      <c r="AE6109">
        <v>-2.3171599999999901</v>
      </c>
      <c r="AF6109">
        <v>1.2648921707986001</v>
      </c>
      <c r="AG6109">
        <v>-1.1080373766160001</v>
      </c>
      <c r="AH6109">
        <v>29.280232815663801</v>
      </c>
      <c r="AI6109">
        <v>92.165164300956107</v>
      </c>
      <c r="AJ6109">
        <v>87.526387484973597</v>
      </c>
      <c r="AK6109">
        <v>29.3284798919276</v>
      </c>
      <c r="AL6109">
        <v>79.545392185599496</v>
      </c>
      <c r="AM6109">
        <v>94.330958045461102</v>
      </c>
      <c r="AN6109">
        <v>1.00000004698594</v>
      </c>
    </row>
    <row r="6110" spans="1:40" x14ac:dyDescent="0.25">
      <c r="A6110" t="str">
        <f>"20190304155756902"</f>
        <v>20190304155756902</v>
      </c>
      <c r="B6110" t="str">
        <f>"1551686276890524"</f>
        <v>1551686276890524</v>
      </c>
      <c r="C6110" t="s">
        <v>40</v>
      </c>
      <c r="D6110">
        <v>4.8400550000000004</v>
      </c>
      <c r="E6110">
        <v>0.54240010000000005</v>
      </c>
      <c r="F6110" t="s">
        <v>94</v>
      </c>
      <c r="G6110">
        <v>-248.5763</v>
      </c>
      <c r="H6110" s="1">
        <v>-3.3455649999999999E-6</v>
      </c>
      <c r="I6110">
        <v>-63.500920000000001</v>
      </c>
      <c r="J6110">
        <v>-277.79149999999998</v>
      </c>
      <c r="K6110">
        <v>1.1080319999999999</v>
      </c>
      <c r="L6110">
        <v>-61.1537199999999</v>
      </c>
      <c r="M6110">
        <v>0.99920050000000005</v>
      </c>
      <c r="N6110">
        <v>-1.4368239999999999E-2</v>
      </c>
      <c r="O6110">
        <v>-3.7308189999999998E-2</v>
      </c>
      <c r="P6110">
        <v>0.98532129999999996</v>
      </c>
      <c r="Q6110">
        <v>0.16623859999999999</v>
      </c>
      <c r="R6110">
        <v>3.881685E-2</v>
      </c>
      <c r="S6110">
        <v>3.0748600000000001</v>
      </c>
      <c r="T6110">
        <v>-0.1160115</v>
      </c>
      <c r="U6110">
        <v>-0.2464905</v>
      </c>
      <c r="V6110">
        <v>-7.4537599999999996E-2</v>
      </c>
      <c r="W6110">
        <v>0.1807704</v>
      </c>
      <c r="X6110">
        <v>0.98069680000000004</v>
      </c>
      <c r="Y6110">
        <v>4.2626900000000002E-2</v>
      </c>
      <c r="Z6110">
        <v>-2.4077349999999999E-4</v>
      </c>
      <c r="AA6110">
        <v>0.99909099999999995</v>
      </c>
      <c r="AB6110">
        <v>30</v>
      </c>
      <c r="AC6110">
        <v>29.2151999999999</v>
      </c>
      <c r="AD6110">
        <v>-1.1080353455649901</v>
      </c>
      <c r="AE6110">
        <v>-2.3472</v>
      </c>
      <c r="AF6110">
        <v>1.2536950014958099</v>
      </c>
      <c r="AG6110">
        <v>-1.1080353455649901</v>
      </c>
      <c r="AH6110">
        <v>29.2406442670245</v>
      </c>
      <c r="AI6110">
        <v>92.168119113201698</v>
      </c>
      <c r="AJ6110">
        <v>87.544942411014105</v>
      </c>
      <c r="AK6110">
        <v>29.288475047951302</v>
      </c>
      <c r="AL6110">
        <v>79.585363392877099</v>
      </c>
      <c r="AM6110">
        <v>94.3463940688207</v>
      </c>
      <c r="AN6110">
        <v>1.0000000024300799</v>
      </c>
    </row>
    <row r="6111" spans="1:40" x14ac:dyDescent="0.25">
      <c r="A6111" t="str">
        <f>"20190304155756913"</f>
        <v>20190304155756913</v>
      </c>
      <c r="B6111" t="str">
        <f>"1551686276911020"</f>
        <v>1551686276911020</v>
      </c>
      <c r="C6111" t="s">
        <v>40</v>
      </c>
      <c r="D6111">
        <v>4.8308429999999998</v>
      </c>
      <c r="E6111">
        <v>0.54248399999999997</v>
      </c>
      <c r="F6111" t="s">
        <v>94</v>
      </c>
      <c r="G6111">
        <v>-248.73220000000001</v>
      </c>
      <c r="H6111" s="1">
        <v>-3.402597E-6</v>
      </c>
      <c r="I6111">
        <v>-63.523319999999998</v>
      </c>
      <c r="J6111">
        <v>-277.64800000000002</v>
      </c>
      <c r="K6111">
        <v>1.108026</v>
      </c>
      <c r="L6111">
        <v>-61.160429999999998</v>
      </c>
      <c r="M6111">
        <v>0.9991487</v>
      </c>
      <c r="N6111">
        <v>-1.436278E-2</v>
      </c>
      <c r="O6111">
        <v>-3.8675080000000001E-2</v>
      </c>
      <c r="P6111">
        <v>0.98549140000000002</v>
      </c>
      <c r="Q6111">
        <v>0.1654283</v>
      </c>
      <c r="R6111">
        <v>3.7953420000000002E-2</v>
      </c>
      <c r="S6111">
        <v>3.0743710000000002</v>
      </c>
      <c r="T6111">
        <v>-0.1172261</v>
      </c>
      <c r="U6111">
        <v>-0.25070189999999998</v>
      </c>
      <c r="V6111">
        <v>-7.5030600000000003E-2</v>
      </c>
      <c r="W6111">
        <v>0.17995939999999999</v>
      </c>
      <c r="X6111">
        <v>0.98080829999999997</v>
      </c>
      <c r="Y6111">
        <v>4.2632450000000002E-2</v>
      </c>
      <c r="Z6111">
        <v>-2.0191870000000001E-4</v>
      </c>
      <c r="AA6111">
        <v>0.99909079999999995</v>
      </c>
      <c r="AB6111">
        <v>30</v>
      </c>
      <c r="AC6111">
        <v>28.915799999999901</v>
      </c>
      <c r="AD6111">
        <v>-1.1080294025969999</v>
      </c>
      <c r="AE6111">
        <v>-2.3628899999999899</v>
      </c>
      <c r="AF6111">
        <v>1.24087570275246</v>
      </c>
      <c r="AG6111">
        <v>-1.1080294025969999</v>
      </c>
      <c r="AH6111">
        <v>28.943338955708999</v>
      </c>
      <c r="AI6111">
        <v>92.190356897814098</v>
      </c>
      <c r="AJ6111">
        <v>87.545085290805503</v>
      </c>
      <c r="AK6111">
        <v>28.991108491600698</v>
      </c>
      <c r="AL6111">
        <v>79.632604485071099</v>
      </c>
      <c r="AM6111">
        <v>94.374534923737102</v>
      </c>
      <c r="AN6111">
        <v>0.999999948966803</v>
      </c>
    </row>
    <row r="6112" spans="1:40" x14ac:dyDescent="0.25">
      <c r="A6112" t="str">
        <f>"20190304155756926"</f>
        <v>20190304155756926</v>
      </c>
      <c r="B6112" t="str">
        <f>"1551686276920779"</f>
        <v>1551686276920779</v>
      </c>
      <c r="C6112" t="s">
        <v>40</v>
      </c>
      <c r="D6112">
        <v>4.8048999999999999</v>
      </c>
      <c r="E6112">
        <v>0.54251839999999996</v>
      </c>
      <c r="F6112" t="s">
        <v>94</v>
      </c>
      <c r="G6112">
        <v>-248.88829999999999</v>
      </c>
      <c r="H6112" s="1">
        <v>-3.4576530000000001E-6</v>
      </c>
      <c r="I6112">
        <v>-63.5342699999999</v>
      </c>
      <c r="J6112">
        <v>-277.48309999999998</v>
      </c>
      <c r="K6112">
        <v>1.108023</v>
      </c>
      <c r="L6112">
        <v>-61.168399999999998</v>
      </c>
      <c r="M6112">
        <v>0.9990869</v>
      </c>
      <c r="N6112">
        <v>-1.4356209999999999E-2</v>
      </c>
      <c r="O6112">
        <v>-4.0243859999999999E-2</v>
      </c>
      <c r="P6112">
        <v>0.98571240000000004</v>
      </c>
      <c r="Q6112">
        <v>0.16441910000000001</v>
      </c>
      <c r="R6112">
        <v>3.6573340000000003E-2</v>
      </c>
      <c r="S6112">
        <v>3.0738530000000002</v>
      </c>
      <c r="T6112">
        <v>-0.1184264</v>
      </c>
      <c r="U6112">
        <v>-0.25372309999999998</v>
      </c>
      <c r="V6112">
        <v>-7.5209819999999997E-2</v>
      </c>
      <c r="W6112">
        <v>0.1789472</v>
      </c>
      <c r="X6112">
        <v>0.98097979999999996</v>
      </c>
      <c r="Y6112">
        <v>4.2053439999999997E-2</v>
      </c>
      <c r="Z6112">
        <v>-1.4167119999999999E-4</v>
      </c>
      <c r="AA6112">
        <v>0.99911530000000004</v>
      </c>
      <c r="AB6112">
        <v>30</v>
      </c>
      <c r="AC6112">
        <v>28.5947999999999</v>
      </c>
      <c r="AD6112">
        <v>-1.1080264576529999</v>
      </c>
      <c r="AE6112">
        <v>-2.3658699999999899</v>
      </c>
      <c r="AF6112">
        <v>1.21126307679931</v>
      </c>
      <c r="AG6112">
        <v>-1.1080264576529999</v>
      </c>
      <c r="AH6112">
        <v>28.624164724564899</v>
      </c>
      <c r="AI6112">
        <v>92.214802790316199</v>
      </c>
      <c r="AJ6112">
        <v>87.576911557800102</v>
      </c>
      <c r="AK6112">
        <v>28.6711996095577</v>
      </c>
      <c r="AL6112">
        <v>79.6915567290756</v>
      </c>
      <c r="AM6112">
        <v>94.384179734551495</v>
      </c>
      <c r="AN6112">
        <v>0.99999999271015605</v>
      </c>
    </row>
    <row r="6113" spans="1:40" x14ac:dyDescent="0.25">
      <c r="A6113" t="str">
        <f>"20190304155756937"</f>
        <v>20190304155756937</v>
      </c>
      <c r="B6113" t="str">
        <f>"1551686276931153"</f>
        <v>1551686276931153</v>
      </c>
      <c r="C6113" t="s">
        <v>40</v>
      </c>
      <c r="D6113">
        <v>4.8241350000000001</v>
      </c>
      <c r="E6113">
        <v>0.54254389999999997</v>
      </c>
      <c r="F6113" t="s">
        <v>94</v>
      </c>
      <c r="G6113">
        <v>-249.3272</v>
      </c>
      <c r="H6113" s="1">
        <v>-3.6065250000000002E-6</v>
      </c>
      <c r="I6113">
        <v>-63.531460000000003</v>
      </c>
      <c r="J6113">
        <v>-277.32600000000002</v>
      </c>
      <c r="K6113">
        <v>1.1080190000000001</v>
      </c>
      <c r="L6113">
        <v>-61.17624</v>
      </c>
      <c r="M6113">
        <v>0.99902559999999996</v>
      </c>
      <c r="N6113">
        <v>-1.434798E-2</v>
      </c>
      <c r="O6113">
        <v>-4.1738119999999997E-2</v>
      </c>
      <c r="P6113">
        <v>0.98590420000000001</v>
      </c>
      <c r="Q6113">
        <v>0.1635615</v>
      </c>
      <c r="R6113">
        <v>3.522455E-2</v>
      </c>
      <c r="S6113">
        <v>3.0732119999999998</v>
      </c>
      <c r="T6113">
        <v>-0.1209408</v>
      </c>
      <c r="U6113">
        <v>-0.25793460000000001</v>
      </c>
      <c r="V6113">
        <v>-7.5346250000000003E-2</v>
      </c>
      <c r="W6113">
        <v>0.17808389999999999</v>
      </c>
      <c r="X6113">
        <v>0.98112639999999995</v>
      </c>
      <c r="Y6113">
        <v>4.1935720000000003E-2</v>
      </c>
      <c r="Z6113" s="1">
        <v>-8.5077220000000001E-5</v>
      </c>
      <c r="AA6113">
        <v>0.99912029999999996</v>
      </c>
      <c r="AB6113">
        <v>30</v>
      </c>
      <c r="AC6113">
        <v>27.9987999999999</v>
      </c>
      <c r="AD6113">
        <v>-1.1080226065250001</v>
      </c>
      <c r="AE6113">
        <v>-2.3552199999999899</v>
      </c>
      <c r="AF6113">
        <v>1.1825906338955601</v>
      </c>
      <c r="AG6113">
        <v>-1.1080226065250001</v>
      </c>
      <c r="AH6113">
        <v>28.029121100408101</v>
      </c>
      <c r="AI6113">
        <v>92.261777595278602</v>
      </c>
      <c r="AJ6113">
        <v>87.584038067565402</v>
      </c>
      <c r="AK6113">
        <v>28.075930338375102</v>
      </c>
      <c r="AL6113">
        <v>79.741827468870397</v>
      </c>
      <c r="AM6113">
        <v>94.391447809232105</v>
      </c>
      <c r="AN6113">
        <v>0.99999997280261499</v>
      </c>
    </row>
    <row r="6114" spans="1:40" x14ac:dyDescent="0.25">
      <c r="A6114" t="str">
        <f>"20190304155756948"</f>
        <v>20190304155756948</v>
      </c>
      <c r="B6114" t="str">
        <f>"1551686276940914"</f>
        <v>1551686276940914</v>
      </c>
      <c r="C6114" t="s">
        <v>40</v>
      </c>
      <c r="D6114">
        <v>4.7923489999999997</v>
      </c>
      <c r="E6114">
        <v>0.54258669999999998</v>
      </c>
      <c r="F6114" t="s">
        <v>94</v>
      </c>
      <c r="G6114">
        <v>-249.5992</v>
      </c>
      <c r="H6114" s="1">
        <v>-3.7009180000000001E-6</v>
      </c>
      <c r="I6114">
        <v>-63.541719999999998</v>
      </c>
      <c r="J6114">
        <v>-277.17869999999999</v>
      </c>
      <c r="K6114">
        <v>1.108017</v>
      </c>
      <c r="L6114">
        <v>-61.183750000000003</v>
      </c>
      <c r="M6114">
        <v>0.99896629999999997</v>
      </c>
      <c r="N6114">
        <v>-1.4339350000000001E-2</v>
      </c>
      <c r="O6114">
        <v>-4.3138080000000002E-2</v>
      </c>
      <c r="P6114">
        <v>0.98601629999999996</v>
      </c>
      <c r="Q6114">
        <v>0.16311779999999901</v>
      </c>
      <c r="R6114">
        <v>3.4127289999999998E-2</v>
      </c>
      <c r="S6114">
        <v>3.072632</v>
      </c>
      <c r="T6114">
        <v>-0.1227891</v>
      </c>
      <c r="U6114">
        <v>-0.26214599999999999</v>
      </c>
      <c r="V6114">
        <v>-7.563599E-2</v>
      </c>
      <c r="W6114">
        <v>0.1776344</v>
      </c>
      <c r="X6114">
        <v>0.98118559999999999</v>
      </c>
      <c r="Y6114">
        <v>4.1910950000000002E-2</v>
      </c>
      <c r="Z6114" s="1">
        <v>-3.5646370000000003E-5</v>
      </c>
      <c r="AA6114">
        <v>0.99912140000000005</v>
      </c>
      <c r="AB6114">
        <v>30</v>
      </c>
      <c r="AC6114">
        <v>27.579499999999999</v>
      </c>
      <c r="AD6114">
        <v>-1.1080207009180001</v>
      </c>
      <c r="AE6114">
        <v>-2.3579699999999901</v>
      </c>
      <c r="AF6114">
        <v>1.1640604145234299</v>
      </c>
      <c r="AG6114">
        <v>-1.1080207009180001</v>
      </c>
      <c r="AH6114">
        <v>27.611307022459702</v>
      </c>
      <c r="AI6114">
        <v>92.295965651320401</v>
      </c>
      <c r="AJ6114">
        <v>87.585906505353606</v>
      </c>
      <c r="AK6114">
        <v>27.658037204596699</v>
      </c>
      <c r="AL6114">
        <v>79.767999304793705</v>
      </c>
      <c r="AM6114">
        <v>94.408003525683796</v>
      </c>
      <c r="AN6114">
        <v>0.99999998234699905</v>
      </c>
    </row>
    <row r="6115" spans="1:40" x14ac:dyDescent="0.25">
      <c r="A6115" t="str">
        <f>"20190304155756959"</f>
        <v>20190304155756959</v>
      </c>
      <c r="B6115" t="str">
        <f>"1551686276950674"</f>
        <v>1551686276950674</v>
      </c>
      <c r="C6115" t="s">
        <v>40</v>
      </c>
      <c r="D6115">
        <v>4.783239</v>
      </c>
      <c r="E6115">
        <v>0.54264380000000001</v>
      </c>
      <c r="F6115" t="s">
        <v>94</v>
      </c>
      <c r="G6115">
        <v>-249.59829999999999</v>
      </c>
      <c r="H6115" s="1">
        <v>-3.705272E-6</v>
      </c>
      <c r="I6115">
        <v>-63.568060000000003</v>
      </c>
      <c r="J6115">
        <v>-277.03649999999999</v>
      </c>
      <c r="K6115">
        <v>1.108015</v>
      </c>
      <c r="L6115">
        <v>-61.191310000000001</v>
      </c>
      <c r="M6115">
        <v>0.99890710000000005</v>
      </c>
      <c r="N6115">
        <v>-1.43249E-2</v>
      </c>
      <c r="O6115">
        <v>-4.4491599999999999E-2</v>
      </c>
      <c r="P6115">
        <v>0.98607279999999997</v>
      </c>
      <c r="Q6115">
        <v>0.16295770000000001</v>
      </c>
      <c r="R6115">
        <v>3.3245599999999903E-2</v>
      </c>
      <c r="S6115">
        <v>3.072174</v>
      </c>
      <c r="T6115">
        <v>-0.1234219</v>
      </c>
      <c r="U6115">
        <v>-0.26559450000000001</v>
      </c>
      <c r="V6115">
        <v>-7.6091259999999994E-2</v>
      </c>
      <c r="W6115">
        <v>0.1774626</v>
      </c>
      <c r="X6115">
        <v>0.98118150000000004</v>
      </c>
      <c r="Y6115">
        <v>4.1683629999999999E-2</v>
      </c>
      <c r="Z6115" s="1">
        <v>1.0889490000000001E-5</v>
      </c>
      <c r="AA6115">
        <v>0.99913079999999999</v>
      </c>
      <c r="AB6115">
        <v>30</v>
      </c>
      <c r="AC6115">
        <v>27.438199999999899</v>
      </c>
      <c r="AD6115">
        <v>-1.1080187052720001</v>
      </c>
      <c r="AE6115">
        <v>-2.3767499999999999</v>
      </c>
      <c r="AF6115">
        <v>1.15163730334222</v>
      </c>
      <c r="AG6115">
        <v>-1.1080187052720001</v>
      </c>
      <c r="AH6115">
        <v>27.4723138638115</v>
      </c>
      <c r="AI6115">
        <v>92.307588270548493</v>
      </c>
      <c r="AJ6115">
        <v>87.599570706842798</v>
      </c>
      <c r="AK6115">
        <v>27.5187572931891</v>
      </c>
      <c r="AL6115">
        <v>79.778001768143298</v>
      </c>
      <c r="AM6115">
        <v>94.434449230617005</v>
      </c>
      <c r="AN6115">
        <v>0.99999999509469795</v>
      </c>
    </row>
    <row r="6116" spans="1:40" x14ac:dyDescent="0.25">
      <c r="A6116" t="str">
        <f>"20190304155756969"</f>
        <v>20190304155756969</v>
      </c>
      <c r="B6116" t="str">
        <f>"1551686276960434"</f>
        <v>1551686276960434</v>
      </c>
      <c r="C6116" t="s">
        <v>40</v>
      </c>
      <c r="D6116">
        <v>4.7692059999999996</v>
      </c>
      <c r="E6116">
        <v>0.54269780000000001</v>
      </c>
      <c r="F6116" t="s">
        <v>94</v>
      </c>
      <c r="G6116">
        <v>-249.369</v>
      </c>
      <c r="H6116" s="1">
        <v>-3.6354060000000001E-6</v>
      </c>
      <c r="I6116">
        <v>-63.613990000000001</v>
      </c>
      <c r="J6116">
        <v>-276.89839999999998</v>
      </c>
      <c r="K6116">
        <v>1.1080129999999999</v>
      </c>
      <c r="L6116">
        <v>-61.198700000000002</v>
      </c>
      <c r="M6116">
        <v>0.99884790000000001</v>
      </c>
      <c r="N6116">
        <v>-1.4310150000000001E-2</v>
      </c>
      <c r="O6116">
        <v>-4.5805070000000003E-2</v>
      </c>
      <c r="P6116">
        <v>0.98613039999999996</v>
      </c>
      <c r="Q6116">
        <v>0.1627952</v>
      </c>
      <c r="R6116">
        <v>3.231904E-2</v>
      </c>
      <c r="S6116">
        <v>3.0717469999999998</v>
      </c>
      <c r="T6116">
        <v>-0.1230165</v>
      </c>
      <c r="U6116">
        <v>-0.2689819</v>
      </c>
      <c r="V6116">
        <v>-7.6462849999999999E-2</v>
      </c>
      <c r="W6116">
        <v>0.17728749999999999</v>
      </c>
      <c r="X6116">
        <v>0.98118419999999895</v>
      </c>
      <c r="Y6116">
        <v>4.147609E-2</v>
      </c>
      <c r="Z6116" s="1">
        <v>4.8066199999999997E-5</v>
      </c>
      <c r="AA6116">
        <v>0.99913949999999996</v>
      </c>
      <c r="AB6116">
        <v>30</v>
      </c>
      <c r="AC6116">
        <v>27.5293999999999</v>
      </c>
      <c r="AD6116">
        <v>-1.1080166354059999</v>
      </c>
      <c r="AE6116">
        <v>-2.4152900000000002</v>
      </c>
      <c r="AF6116">
        <v>1.14979080085297</v>
      </c>
      <c r="AG6116">
        <v>-1.1080166354059999</v>
      </c>
      <c r="AH6116">
        <v>27.566827486969299</v>
      </c>
      <c r="AI6116">
        <v>92.299701063001393</v>
      </c>
      <c r="AJ6116">
        <v>87.611622221394896</v>
      </c>
      <c r="AK6116">
        <v>27.613034919153499</v>
      </c>
      <c r="AL6116">
        <v>79.788195229388606</v>
      </c>
      <c r="AM6116">
        <v>94.456005547260105</v>
      </c>
      <c r="AN6116">
        <v>0.999999929708003</v>
      </c>
    </row>
    <row r="6117" spans="1:40" x14ac:dyDescent="0.25">
      <c r="A6117" t="str">
        <f>"20190304155756980"</f>
        <v>20190304155756980</v>
      </c>
      <c r="B6117" t="str">
        <f>"1551686276971170"</f>
        <v>1551686276971170</v>
      </c>
      <c r="C6117" t="s">
        <v>40</v>
      </c>
      <c r="D6117">
        <v>4.8017839999999996</v>
      </c>
      <c r="E6117">
        <v>0.54274480000000003</v>
      </c>
      <c r="F6117" t="s">
        <v>94</v>
      </c>
      <c r="G6117">
        <v>-249.17070000000001</v>
      </c>
      <c r="H6117" s="1">
        <v>-3.5754920000000001E-6</v>
      </c>
      <c r="I6117">
        <v>-63.6567199999999</v>
      </c>
      <c r="J6117">
        <v>-276.7484</v>
      </c>
      <c r="K6117">
        <v>1.108007</v>
      </c>
      <c r="L6117">
        <v>-61.207090000000001</v>
      </c>
      <c r="M6117">
        <v>0.99878169999999999</v>
      </c>
      <c r="N6117">
        <v>-1.427992E-2</v>
      </c>
      <c r="O6117">
        <v>-4.7235100000000002E-2</v>
      </c>
      <c r="P6117">
        <v>0.98613379999999995</v>
      </c>
      <c r="Q6117">
        <v>0.16295519999999999</v>
      </c>
      <c r="R6117">
        <v>3.1402489999999998E-2</v>
      </c>
      <c r="S6117">
        <v>3.0713499999999998</v>
      </c>
      <c r="T6117">
        <v>-0.1227332</v>
      </c>
      <c r="U6117">
        <v>-0.27227780000000001</v>
      </c>
      <c r="V6117">
        <v>-7.6955060000000006E-2</v>
      </c>
      <c r="W6117">
        <v>0.1774194</v>
      </c>
      <c r="X6117">
        <v>0.98112200000000005</v>
      </c>
      <c r="Y6117">
        <v>4.1121739999999997E-2</v>
      </c>
      <c r="Z6117" s="1">
        <v>9.3951409999999997E-5</v>
      </c>
      <c r="AA6117">
        <v>0.99915419999999999</v>
      </c>
      <c r="AB6117">
        <v>30</v>
      </c>
      <c r="AC6117">
        <v>27.5777</v>
      </c>
      <c r="AD6117">
        <v>-1.108010575492</v>
      </c>
      <c r="AE6117">
        <v>-2.4496299999999902</v>
      </c>
      <c r="AF6117">
        <v>1.1422973608529301</v>
      </c>
      <c r="AG6117">
        <v>-1.108010575492</v>
      </c>
      <c r="AH6117">
        <v>27.618397719219399</v>
      </c>
      <c r="AI6117">
        <v>92.295432221296807</v>
      </c>
      <c r="AJ6117">
        <v>87.631595553700905</v>
      </c>
      <c r="AK6117">
        <v>27.6642083435076</v>
      </c>
      <c r="AL6117">
        <v>79.780517442593506</v>
      </c>
      <c r="AM6117">
        <v>94.484856451468502</v>
      </c>
      <c r="AN6117">
        <v>1.0000000518199801</v>
      </c>
    </row>
    <row r="6118" spans="1:40" x14ac:dyDescent="0.25">
      <c r="A6118" t="str">
        <f>"20190304155756992"</f>
        <v>20190304155756992</v>
      </c>
      <c r="B6118" t="str">
        <f>"1551686276980930"</f>
        <v>1551686276980930</v>
      </c>
      <c r="C6118" t="s">
        <v>40</v>
      </c>
      <c r="D6118">
        <v>4.8483640000000001</v>
      </c>
      <c r="E6118">
        <v>0.54281999999999997</v>
      </c>
      <c r="F6118" t="s">
        <v>94</v>
      </c>
      <c r="G6118">
        <v>-248.76929999999999</v>
      </c>
      <c r="H6118" s="1">
        <v>-3.4493499999999998E-6</v>
      </c>
      <c r="I6118">
        <v>-63.715699999999998</v>
      </c>
      <c r="J6118">
        <v>-276.59769999999997</v>
      </c>
      <c r="K6118">
        <v>1.1080000000000001</v>
      </c>
      <c r="L6118">
        <v>-61.21564</v>
      </c>
      <c r="M6118">
        <v>0.99871330000000003</v>
      </c>
      <c r="N6118">
        <v>-1.424539E-2</v>
      </c>
      <c r="O6118">
        <v>-4.8672479999999997E-2</v>
      </c>
      <c r="P6118">
        <v>0.98607739999999999</v>
      </c>
      <c r="Q6118">
        <v>0.16352359999999999</v>
      </c>
      <c r="R6118">
        <v>3.019262E-2</v>
      </c>
      <c r="S6118">
        <v>3.071075</v>
      </c>
      <c r="T6118">
        <v>-0.1216189</v>
      </c>
      <c r="U6118">
        <v>-0.275360099999999</v>
      </c>
      <c r="V6118">
        <v>-7.7156150000000007E-2</v>
      </c>
      <c r="W6118">
        <v>0.17795339999999901</v>
      </c>
      <c r="X6118">
        <v>0.98100940000000003</v>
      </c>
      <c r="Y6118">
        <v>4.0687790000000001E-2</v>
      </c>
      <c r="Z6118">
        <v>1.3458139999999999E-4</v>
      </c>
      <c r="AA6118">
        <v>0.9991719</v>
      </c>
      <c r="AB6118">
        <v>30</v>
      </c>
      <c r="AC6118">
        <v>27.828399999999899</v>
      </c>
      <c r="AD6118">
        <v>-1.1080034493499999</v>
      </c>
      <c r="AE6118">
        <v>-2.5000599999999902</v>
      </c>
      <c r="AF6118">
        <v>1.1406879153671099</v>
      </c>
      <c r="AG6118">
        <v>-1.1080034493499999</v>
      </c>
      <c r="AH6118">
        <v>27.873274190456499</v>
      </c>
      <c r="AI6118">
        <v>92.274490736229893</v>
      </c>
      <c r="AJ6118">
        <v>87.656531001950199</v>
      </c>
      <c r="AK6118">
        <v>27.918600514001501</v>
      </c>
      <c r="AL6118">
        <v>79.749425841109598</v>
      </c>
      <c r="AM6118">
        <v>94.4970417514715</v>
      </c>
      <c r="AN6118">
        <v>0.99999996347136999</v>
      </c>
    </row>
    <row r="6119" spans="1:40" x14ac:dyDescent="0.25">
      <c r="A6119" t="str">
        <f>"20190304155757003"</f>
        <v>20190304155757003</v>
      </c>
      <c r="B6119" t="str">
        <f>"1551686277000450"</f>
        <v>1551686277000450</v>
      </c>
      <c r="C6119" t="s">
        <v>40</v>
      </c>
      <c r="D6119">
        <v>4.7953419999999998</v>
      </c>
      <c r="E6119">
        <v>0.54290499999999997</v>
      </c>
      <c r="F6119" t="s">
        <v>94</v>
      </c>
      <c r="G6119">
        <v>-248.01689999999999</v>
      </c>
      <c r="H6119" s="1">
        <v>-3.2118520000000001E-6</v>
      </c>
      <c r="I6119">
        <v>-63.820270000000001</v>
      </c>
      <c r="J6119">
        <v>-276.44420000000002</v>
      </c>
      <c r="K6119">
        <v>1.1079889999999999</v>
      </c>
      <c r="L6119">
        <v>-61.224609999999998</v>
      </c>
      <c r="M6119">
        <v>0.99864140000000001</v>
      </c>
      <c r="N6119">
        <v>-1.419513E-2</v>
      </c>
      <c r="O6119">
        <v>-5.0138219999999997E-2</v>
      </c>
      <c r="P6119">
        <v>0.98611740000000003</v>
      </c>
      <c r="Q6119">
        <v>0.163487299999999</v>
      </c>
      <c r="R6119">
        <v>2.9058629999999998E-2</v>
      </c>
      <c r="S6119">
        <v>3.0706790000000002</v>
      </c>
      <c r="T6119">
        <v>-0.1190423</v>
      </c>
      <c r="U6119">
        <v>-0.27984619999999999</v>
      </c>
      <c r="V6119">
        <v>-7.7469350000000006E-2</v>
      </c>
      <c r="W6119">
        <v>0.1778699</v>
      </c>
      <c r="X6119">
        <v>0.98099990000000004</v>
      </c>
      <c r="Y6119">
        <v>4.0681839999999997E-2</v>
      </c>
      <c r="Z6119">
        <v>1.50385E-4</v>
      </c>
      <c r="AA6119">
        <v>0.99917219999999995</v>
      </c>
      <c r="AB6119">
        <v>30</v>
      </c>
      <c r="AC6119">
        <v>28.427299999999999</v>
      </c>
      <c r="AD6119">
        <v>-1.10799221185199</v>
      </c>
      <c r="AE6119">
        <v>-2.5956599999999899</v>
      </c>
      <c r="AF6119">
        <v>1.16520141340073</v>
      </c>
      <c r="AG6119">
        <v>-1.10799221185199</v>
      </c>
      <c r="AH6119">
        <v>28.478788349943301</v>
      </c>
      <c r="AI6119">
        <v>92.226158140078596</v>
      </c>
      <c r="AJ6119">
        <v>87.657066487060206</v>
      </c>
      <c r="AK6119">
        <v>28.524142878554301</v>
      </c>
      <c r="AL6119">
        <v>79.754288006968096</v>
      </c>
      <c r="AM6119">
        <v>94.515264806638598</v>
      </c>
      <c r="AN6119">
        <v>1.00000000265772</v>
      </c>
    </row>
    <row r="6120" spans="1:40" x14ac:dyDescent="0.25">
      <c r="A6120" t="str">
        <f>"20190304155757014"</f>
        <v>20190304155757014</v>
      </c>
      <c r="B6120" t="str">
        <f>"1551686277011187"</f>
        <v>1551686277011187</v>
      </c>
      <c r="C6120" t="s">
        <v>40</v>
      </c>
      <c r="D6120">
        <v>4.8107049999999996</v>
      </c>
      <c r="E6120">
        <v>0.54293840000000004</v>
      </c>
      <c r="F6120" t="s">
        <v>94</v>
      </c>
      <c r="G6120">
        <v>-247.60769999999999</v>
      </c>
      <c r="H6120" s="1">
        <v>-3.0852140000000001E-6</v>
      </c>
      <c r="I6120">
        <v>-63.89141</v>
      </c>
      <c r="J6120">
        <v>-276.30430000000001</v>
      </c>
      <c r="K6120">
        <v>1.1079779999999999</v>
      </c>
      <c r="L6120">
        <v>-61.232970000000002</v>
      </c>
      <c r="M6120">
        <v>0.99857419999999997</v>
      </c>
      <c r="N6120">
        <v>-1.414516E-2</v>
      </c>
      <c r="O6120">
        <v>-5.1474739999999998E-2</v>
      </c>
      <c r="P6120">
        <v>0.98603269999999998</v>
      </c>
      <c r="Q6120">
        <v>0.1641697</v>
      </c>
      <c r="R6120">
        <v>2.8066669999999998E-2</v>
      </c>
      <c r="S6120">
        <v>3.07016</v>
      </c>
      <c r="T6120">
        <v>-0.1179653</v>
      </c>
      <c r="U6120">
        <v>-0.28393550000000001</v>
      </c>
      <c r="V6120">
        <v>-7.7786789999999995E-2</v>
      </c>
      <c r="W6120">
        <v>0.17850279999999999</v>
      </c>
      <c r="X6120">
        <v>0.98085979999999995</v>
      </c>
      <c r="Y6120">
        <v>4.0680330000000001E-2</v>
      </c>
      <c r="Z6120">
        <v>1.758834E-4</v>
      </c>
      <c r="AA6120">
        <v>0.99917219999999995</v>
      </c>
      <c r="AB6120">
        <v>30</v>
      </c>
      <c r="AC6120">
        <v>28.6966</v>
      </c>
      <c r="AD6120">
        <v>-1.107981085214</v>
      </c>
      <c r="AE6120">
        <v>-2.6584400000000001</v>
      </c>
      <c r="AF6120">
        <v>1.1758792697572</v>
      </c>
      <c r="AG6120">
        <v>-1.107981085214</v>
      </c>
      <c r="AH6120">
        <v>28.752906833251199</v>
      </c>
      <c r="AI6120">
        <v>92.204935466760205</v>
      </c>
      <c r="AJ6120">
        <v>87.658136014942301</v>
      </c>
      <c r="AK6120">
        <v>28.798263237630501</v>
      </c>
      <c r="AL6120">
        <v>79.717435628616499</v>
      </c>
      <c r="AM6120">
        <v>94.534334536391896</v>
      </c>
      <c r="AN6120">
        <v>0.99999999078119195</v>
      </c>
    </row>
    <row r="6121" spans="1:40" x14ac:dyDescent="0.25">
      <c r="A6121" t="str">
        <f>"20190304155757024"</f>
        <v>20190304155757024</v>
      </c>
      <c r="B6121" t="str">
        <f>"1551686277020946"</f>
        <v>1551686277020946</v>
      </c>
      <c r="C6121" t="s">
        <v>40</v>
      </c>
      <c r="D6121">
        <v>4.8041799999999997</v>
      </c>
      <c r="E6121">
        <v>0.54296880000000003</v>
      </c>
      <c r="F6121" t="s">
        <v>94</v>
      </c>
      <c r="G6121">
        <v>-246.77019999999999</v>
      </c>
      <c r="H6121" s="1">
        <v>-2.8192679999999998E-6</v>
      </c>
      <c r="I6121">
        <v>-63.998919999999998</v>
      </c>
      <c r="J6121">
        <v>-276.1549</v>
      </c>
      <c r="K6121">
        <v>1.1079650000000001</v>
      </c>
      <c r="L6121">
        <v>-61.242100000000001</v>
      </c>
      <c r="M6121">
        <v>0.99850030000000001</v>
      </c>
      <c r="N6121">
        <v>-1.4085550000000001E-2</v>
      </c>
      <c r="O6121">
        <v>-5.2902829999999998E-2</v>
      </c>
      <c r="P6121">
        <v>0.98596819999999996</v>
      </c>
      <c r="Q6121">
        <v>0.1647547</v>
      </c>
      <c r="R6121">
        <v>2.6887959999999999E-2</v>
      </c>
      <c r="S6121">
        <v>3.069855</v>
      </c>
      <c r="T6121">
        <v>-0.1151662</v>
      </c>
      <c r="U6121">
        <v>-0.28750609999999999</v>
      </c>
      <c r="V6121">
        <v>-7.8009800000000004E-2</v>
      </c>
      <c r="W6121">
        <v>0.1790283</v>
      </c>
      <c r="X6121">
        <v>0.98074629999999996</v>
      </c>
      <c r="Y6121">
        <v>4.0413940000000002E-2</v>
      </c>
      <c r="Z6121">
        <v>1.9203610000000001E-4</v>
      </c>
      <c r="AA6121">
        <v>0.99918300000000004</v>
      </c>
      <c r="AB6121">
        <v>30</v>
      </c>
      <c r="AC6121">
        <v>29.384699999999999</v>
      </c>
      <c r="AD6121">
        <v>-1.10796781926799</v>
      </c>
      <c r="AE6121">
        <v>-2.7568199999999901</v>
      </c>
      <c r="AF6121">
        <v>1.1965843517247701</v>
      </c>
      <c r="AG6121">
        <v>-1.10796781926799</v>
      </c>
      <c r="AH6121">
        <v>29.447900290977</v>
      </c>
      <c r="AI6121">
        <v>92.152944015033299</v>
      </c>
      <c r="AJ6121">
        <v>87.673126547918997</v>
      </c>
      <c r="AK6121">
        <v>29.4930201631953</v>
      </c>
      <c r="AL6121">
        <v>79.686833670788502</v>
      </c>
      <c r="AM6121">
        <v>94.547803796948699</v>
      </c>
      <c r="AN6121">
        <v>0.99999998303030901</v>
      </c>
    </row>
    <row r="6122" spans="1:40" x14ac:dyDescent="0.25">
      <c r="A6122" t="str">
        <f>"20190304155757036"</f>
        <v>20190304155757036</v>
      </c>
      <c r="B6122" t="str">
        <f>"1551686277030639"</f>
        <v>1551686277030639</v>
      </c>
      <c r="C6122" t="s">
        <v>40</v>
      </c>
      <c r="D6122">
        <v>4.845478</v>
      </c>
      <c r="E6122">
        <v>0.54300459999999995</v>
      </c>
      <c r="F6122" t="s">
        <v>94</v>
      </c>
      <c r="G6122">
        <v>-245.99619999999999</v>
      </c>
      <c r="H6122" s="1">
        <v>-2.5499529999999999E-6</v>
      </c>
      <c r="I6122">
        <v>-64.106179999999995</v>
      </c>
      <c r="J6122">
        <v>-276.00139999999999</v>
      </c>
      <c r="K6122">
        <v>1.107953</v>
      </c>
      <c r="L6122">
        <v>-61.251739999999998</v>
      </c>
      <c r="M6122">
        <v>0.99842249999999999</v>
      </c>
      <c r="N6122">
        <v>-1.401695E-2</v>
      </c>
      <c r="O6122">
        <v>-5.437123E-2</v>
      </c>
      <c r="P6122">
        <v>0.98590719999999998</v>
      </c>
      <c r="Q6122">
        <v>0.16527229999999901</v>
      </c>
      <c r="R6122">
        <v>2.5929890000000001E-2</v>
      </c>
      <c r="S6122">
        <v>3.069458</v>
      </c>
      <c r="T6122">
        <v>-0.1127653</v>
      </c>
      <c r="U6122">
        <v>-0.29150389999999998</v>
      </c>
      <c r="V6122">
        <v>-7.8492859999999998E-2</v>
      </c>
      <c r="W6122">
        <v>0.17947959999999999</v>
      </c>
      <c r="X6122">
        <v>0.98062530000000003</v>
      </c>
      <c r="Y6122">
        <v>4.0247529999999997E-2</v>
      </c>
      <c r="Z6122">
        <v>2.0900119999999999E-4</v>
      </c>
      <c r="AA6122">
        <v>0.99918969999999896</v>
      </c>
      <c r="AB6122">
        <v>30</v>
      </c>
      <c r="AC6122">
        <v>30.005199999999999</v>
      </c>
      <c r="AD6122">
        <v>-1.1079555499530001</v>
      </c>
      <c r="AE6122">
        <v>-2.8544399999999999</v>
      </c>
      <c r="AF6122">
        <v>1.21699262043242</v>
      </c>
      <c r="AG6122">
        <v>-1.1079555499530001</v>
      </c>
      <c r="AH6122">
        <v>30.075382292568602</v>
      </c>
      <c r="AI6122">
        <v>92.108057823409297</v>
      </c>
      <c r="AJ6122">
        <v>87.682805166516303</v>
      </c>
      <c r="AK6122">
        <v>30.120379422958901</v>
      </c>
      <c r="AL6122">
        <v>79.660550729601397</v>
      </c>
      <c r="AM6122">
        <v>94.576408148389703</v>
      </c>
      <c r="AN6122">
        <v>1.0000000174436099</v>
      </c>
    </row>
    <row r="6123" spans="1:40" x14ac:dyDescent="0.25">
      <c r="A6123" t="str">
        <f>"20190304155757047"</f>
        <v>20190304155757047</v>
      </c>
      <c r="B6123" t="str">
        <f>"1551686277040399"</f>
        <v>1551686277040399</v>
      </c>
      <c r="C6123" t="s">
        <v>40</v>
      </c>
      <c r="D6123">
        <v>4.8494789999999997</v>
      </c>
      <c r="E6123">
        <v>0.54301750000000004</v>
      </c>
      <c r="F6123" t="s">
        <v>94</v>
      </c>
      <c r="G6123">
        <v>-245.2296</v>
      </c>
      <c r="H6123" s="1">
        <v>-2.2484060000000001E-6</v>
      </c>
      <c r="I6123">
        <v>-64.208889999999997</v>
      </c>
      <c r="J6123">
        <v>-275.85739999999998</v>
      </c>
      <c r="K6123">
        <v>1.1079410000000001</v>
      </c>
      <c r="L6123">
        <v>-61.260890000000003</v>
      </c>
      <c r="M6123">
        <v>0.99834730000000005</v>
      </c>
      <c r="N6123">
        <v>-1.394828E-2</v>
      </c>
      <c r="O6123">
        <v>-5.5750000000000001E-2</v>
      </c>
      <c r="P6123">
        <v>0.98589119999999997</v>
      </c>
      <c r="Q6123">
        <v>0.165522799999999</v>
      </c>
      <c r="R6123">
        <v>2.4915670000000001E-2</v>
      </c>
      <c r="S6123">
        <v>3.0691830000000002</v>
      </c>
      <c r="T6123">
        <v>-0.1105072</v>
      </c>
      <c r="U6123">
        <v>-0.2949524</v>
      </c>
      <c r="V6123">
        <v>-7.8836649999999994E-2</v>
      </c>
      <c r="W6123">
        <v>0.17966389999999999</v>
      </c>
      <c r="X6123">
        <v>0.98056390000000004</v>
      </c>
      <c r="Y6123">
        <v>3.9989719999999999E-2</v>
      </c>
      <c r="Z6123">
        <v>2.256813E-4</v>
      </c>
      <c r="AA6123">
        <v>0.99919999999999998</v>
      </c>
      <c r="AB6123">
        <v>30</v>
      </c>
      <c r="AC6123">
        <v>30.627799999999901</v>
      </c>
      <c r="AD6123">
        <v>-1.1079432484059999</v>
      </c>
      <c r="AE6123">
        <v>-2.9479999999999902</v>
      </c>
      <c r="AF6123">
        <v>1.23414806993397</v>
      </c>
      <c r="AG6123">
        <v>-1.1079432484059999</v>
      </c>
      <c r="AH6123">
        <v>30.704713082059701</v>
      </c>
      <c r="AI6123">
        <v>92.0648879595864</v>
      </c>
      <c r="AJ6123">
        <v>87.698287141809104</v>
      </c>
      <c r="AK6123">
        <v>30.749472599571799</v>
      </c>
      <c r="AL6123">
        <v>79.649815908627701</v>
      </c>
      <c r="AM6123">
        <v>94.596653184905094</v>
      </c>
      <c r="AN6123">
        <v>0.99999994816481996</v>
      </c>
    </row>
    <row r="6124" spans="1:40" x14ac:dyDescent="0.25">
      <c r="A6124" t="str">
        <f>"20190304155757058"</f>
        <v>20190304155757058</v>
      </c>
      <c r="B6124" t="str">
        <f>"1551686277051135"</f>
        <v>1551686277051135</v>
      </c>
      <c r="C6124" t="s">
        <v>40</v>
      </c>
      <c r="D6124">
        <v>4.8490399999999996</v>
      </c>
      <c r="E6124">
        <v>0.54301820000000001</v>
      </c>
      <c r="F6124" t="s">
        <v>94</v>
      </c>
      <c r="G6124">
        <v>-244.69470000000001</v>
      </c>
      <c r="H6124" s="1">
        <v>-2.0410430000000002E-6</v>
      </c>
      <c r="I6124">
        <v>-64.291910000000001</v>
      </c>
      <c r="J6124">
        <v>-275.70940000000002</v>
      </c>
      <c r="K6124">
        <v>1.1079289999999999</v>
      </c>
      <c r="L6124">
        <v>-61.270629999999997</v>
      </c>
      <c r="M6124">
        <v>0.99826820000000005</v>
      </c>
      <c r="N6124">
        <v>-1.3867030000000001E-2</v>
      </c>
      <c r="O6124">
        <v>-5.7170350000000002E-2</v>
      </c>
      <c r="P6124">
        <v>0.98585979999999995</v>
      </c>
      <c r="Q6124">
        <v>0.16586099999999901</v>
      </c>
      <c r="R6124">
        <v>2.3883419999999999E-2</v>
      </c>
      <c r="S6124">
        <v>3.0688170000000001</v>
      </c>
      <c r="T6124">
        <v>-0.109107</v>
      </c>
      <c r="U6124">
        <v>-0.29849239999999999</v>
      </c>
      <c r="V6124">
        <v>-7.9201740000000007E-2</v>
      </c>
      <c r="W6124">
        <v>0.17992279999999999</v>
      </c>
      <c r="X6124">
        <v>0.980487</v>
      </c>
      <c r="Y6124">
        <v>3.9722399999999998E-2</v>
      </c>
      <c r="Z6124">
        <v>2.5282089999999999E-4</v>
      </c>
      <c r="AA6124">
        <v>0.99921070000000001</v>
      </c>
      <c r="AB6124">
        <v>30</v>
      </c>
      <c r="AC6124">
        <v>31.014700000000001</v>
      </c>
      <c r="AD6124">
        <v>-1.1079310410430001</v>
      </c>
      <c r="AE6124">
        <v>-3.0212799999999902</v>
      </c>
      <c r="AF6124">
        <v>1.2414765498589599</v>
      </c>
      <c r="AG6124">
        <v>-1.1079310410430001</v>
      </c>
      <c r="AH6124">
        <v>31.097397155601499</v>
      </c>
      <c r="AI6124">
        <v>92.038835327186007</v>
      </c>
      <c r="AJ6124">
        <v>87.7138403863745</v>
      </c>
      <c r="AK6124">
        <v>31.141883132989399</v>
      </c>
      <c r="AL6124">
        <v>79.634736249015504</v>
      </c>
      <c r="AM6124">
        <v>94.618208897935304</v>
      </c>
      <c r="AN6124">
        <v>0.99999994337393205</v>
      </c>
    </row>
    <row r="6125" spans="1:40" x14ac:dyDescent="0.25">
      <c r="A6125" t="str">
        <f>"20190304155757070"</f>
        <v>20190304155757070</v>
      </c>
      <c r="B6125" t="str">
        <f>"1551686277060896"</f>
        <v>1551686277060896</v>
      </c>
      <c r="C6125" t="s">
        <v>40</v>
      </c>
      <c r="D6125">
        <v>4.8722890000000003</v>
      </c>
      <c r="E6125">
        <v>0.54302910000000004</v>
      </c>
      <c r="F6125" t="s">
        <v>94</v>
      </c>
      <c r="G6125">
        <v>-244.04580000000001</v>
      </c>
      <c r="H6125" s="1">
        <v>-1.787882E-6</v>
      </c>
      <c r="I6125">
        <v>-64.386690000000002</v>
      </c>
      <c r="J6125">
        <v>-275.55459999999999</v>
      </c>
      <c r="K6125">
        <v>1.10792</v>
      </c>
      <c r="L6125">
        <v>-61.280940000000001</v>
      </c>
      <c r="M6125">
        <v>0.9981833</v>
      </c>
      <c r="N6125">
        <v>-1.377916E-2</v>
      </c>
      <c r="O6125">
        <v>-5.8655609999999997E-2</v>
      </c>
      <c r="P6125">
        <v>0.98585929999999999</v>
      </c>
      <c r="Q6125">
        <v>0.16603589999999999</v>
      </c>
      <c r="R6125">
        <v>2.267272E-2</v>
      </c>
      <c r="S6125">
        <v>3.06839</v>
      </c>
      <c r="T6125">
        <v>-0.1073651</v>
      </c>
      <c r="U6125">
        <v>-0.3019714</v>
      </c>
      <c r="V6125">
        <v>-7.9455700000000004E-2</v>
      </c>
      <c r="W6125">
        <v>0.18001199999999901</v>
      </c>
      <c r="X6125">
        <v>0.98045020000000005</v>
      </c>
      <c r="Y6125">
        <v>3.9372379999999998E-2</v>
      </c>
      <c r="Z6125">
        <v>2.7837620000000001E-4</v>
      </c>
      <c r="AA6125">
        <v>0.99922449999999996</v>
      </c>
      <c r="AB6125">
        <v>30</v>
      </c>
      <c r="AC6125">
        <v>31.508799999999901</v>
      </c>
      <c r="AD6125">
        <v>-1.107921787882</v>
      </c>
      <c r="AE6125">
        <v>-3.10575</v>
      </c>
      <c r="AF6125">
        <v>1.2505273534446599</v>
      </c>
      <c r="AG6125">
        <v>-1.107921787882</v>
      </c>
      <c r="AH6125">
        <v>31.598035734299099</v>
      </c>
      <c r="AI6125">
        <v>92.006569477114198</v>
      </c>
      <c r="AJ6125">
        <v>87.733638649135898</v>
      </c>
      <c r="AK6125">
        <v>31.642173939472301</v>
      </c>
      <c r="AL6125">
        <v>79.629541873200694</v>
      </c>
      <c r="AM6125">
        <v>94.633125936407595</v>
      </c>
      <c r="AN6125">
        <v>1.00000006154326</v>
      </c>
    </row>
    <row r="6126" spans="1:40" x14ac:dyDescent="0.25">
      <c r="A6126" t="str">
        <f>"20190304155757081"</f>
        <v>20190304155757081</v>
      </c>
      <c r="B6126" t="str">
        <f>"1551686277070655"</f>
        <v>1551686277070655</v>
      </c>
      <c r="C6126" t="s">
        <v>40</v>
      </c>
      <c r="D6126">
        <v>4.8339660000000002</v>
      </c>
      <c r="E6126">
        <v>0.54301379999999999</v>
      </c>
      <c r="F6126" t="s">
        <v>94</v>
      </c>
      <c r="G6126">
        <v>-243.5592</v>
      </c>
      <c r="H6126" s="1">
        <v>-1.601942E-6</v>
      </c>
      <c r="I6126">
        <v>-64.472440000000006</v>
      </c>
      <c r="J6126">
        <v>-275.39890000000003</v>
      </c>
      <c r="K6126">
        <v>1.107907</v>
      </c>
      <c r="L6126">
        <v>-61.29166</v>
      </c>
      <c r="M6126">
        <v>0.99809559999999997</v>
      </c>
      <c r="N6126">
        <v>-1.3684299999999899E-2</v>
      </c>
      <c r="O6126">
        <v>-6.0149609999999999E-2</v>
      </c>
      <c r="P6126">
        <v>0.98587040000000004</v>
      </c>
      <c r="Q6126">
        <v>0.1660856</v>
      </c>
      <c r="R6126">
        <v>2.180141E-2</v>
      </c>
      <c r="S6126">
        <v>3.0679630000000002</v>
      </c>
      <c r="T6126">
        <v>-0.1062357</v>
      </c>
      <c r="U6126">
        <v>-0.30603029999999998</v>
      </c>
      <c r="V6126">
        <v>-8.0058920000000006E-2</v>
      </c>
      <c r="W6126">
        <v>0.17997070000000001</v>
      </c>
      <c r="X6126">
        <v>0.98040870000000002</v>
      </c>
      <c r="Y6126">
        <v>3.9200279999999997E-2</v>
      </c>
      <c r="Z6126">
        <v>3.0678870000000003E-4</v>
      </c>
      <c r="AA6126">
        <v>0.99923130000000004</v>
      </c>
      <c r="AB6126">
        <v>30</v>
      </c>
      <c r="AC6126">
        <v>31.839700000000001</v>
      </c>
      <c r="AD6126">
        <v>-1.1079086019419999</v>
      </c>
      <c r="AE6126">
        <v>-3.1807799999999999</v>
      </c>
      <c r="AF6126">
        <v>1.2581865462642601</v>
      </c>
      <c r="AG6126">
        <v>-1.1079086019419999</v>
      </c>
      <c r="AH6126">
        <v>31.935095250764402</v>
      </c>
      <c r="AI6126">
        <v>91.985398445660095</v>
      </c>
      <c r="AJ6126">
        <v>87.743814013125998</v>
      </c>
      <c r="AK6126">
        <v>31.9790682092342</v>
      </c>
      <c r="AL6126">
        <v>79.631947369037803</v>
      </c>
      <c r="AM6126">
        <v>94.668342035005196</v>
      </c>
      <c r="AN6126">
        <v>1.00000005128287</v>
      </c>
    </row>
    <row r="6127" spans="1:40" x14ac:dyDescent="0.25">
      <c r="A6127" t="str">
        <f>"20190304155757093"</f>
        <v>20190304155757093</v>
      </c>
      <c r="B6127" t="str">
        <f>"1551686277091151"</f>
        <v>1551686277091151</v>
      </c>
      <c r="C6127" t="s">
        <v>40</v>
      </c>
      <c r="D6127">
        <v>4.8584899999999998</v>
      </c>
      <c r="E6127">
        <v>0.54298999999999997</v>
      </c>
      <c r="F6127" t="s">
        <v>94</v>
      </c>
      <c r="G6127">
        <v>-243.21010000000001</v>
      </c>
      <c r="H6127" s="1">
        <v>-1.4682739999999999E-6</v>
      </c>
      <c r="I6127">
        <v>-64.532919999999905</v>
      </c>
      <c r="J6127">
        <v>-275.25450000000001</v>
      </c>
      <c r="K6127">
        <v>1.1078939999999999</v>
      </c>
      <c r="L6127">
        <v>-61.301699999999997</v>
      </c>
      <c r="M6127">
        <v>0.99801240000000002</v>
      </c>
      <c r="N6127">
        <v>-1.359602E-2</v>
      </c>
      <c r="O6127">
        <v>-6.153459E-2</v>
      </c>
      <c r="P6127">
        <v>0.98589210000000005</v>
      </c>
      <c r="Q6127">
        <v>0.16608310000000001</v>
      </c>
      <c r="R6127">
        <v>2.0824450000000001E-2</v>
      </c>
      <c r="S6127">
        <v>3.067596</v>
      </c>
      <c r="T6127">
        <v>-0.1055837</v>
      </c>
      <c r="U6127">
        <v>-0.30889889999999998</v>
      </c>
      <c r="V6127">
        <v>-8.0450599999999997E-2</v>
      </c>
      <c r="W6127">
        <v>0.1798825</v>
      </c>
      <c r="X6127">
        <v>0.98039279999999995</v>
      </c>
      <c r="Y6127">
        <v>3.8751569999999999E-2</v>
      </c>
      <c r="Z6127">
        <v>3.4468040000000001E-4</v>
      </c>
      <c r="AA6127">
        <v>0.99924880000000005</v>
      </c>
      <c r="AB6127">
        <v>30</v>
      </c>
      <c r="AC6127">
        <v>32.044400000000003</v>
      </c>
      <c r="AD6127">
        <v>-1.1078954682740001</v>
      </c>
      <c r="AE6127">
        <v>-3.2312199999999902</v>
      </c>
      <c r="AF6127">
        <v>1.2515933384236599</v>
      </c>
      <c r="AG6127">
        <v>-1.1078954682740001</v>
      </c>
      <c r="AH6127">
        <v>32.144476257560903</v>
      </c>
      <c r="AI6127">
        <v>91.972488535802896</v>
      </c>
      <c r="AJ6127">
        <v>87.770229350459999</v>
      </c>
      <c r="AK6127">
        <v>32.187905680958899</v>
      </c>
      <c r="AL6127">
        <v>79.637084449069107</v>
      </c>
      <c r="AM6127">
        <v>94.691155470957995</v>
      </c>
      <c r="AN6127">
        <v>1.00000002756922</v>
      </c>
    </row>
    <row r="6128" spans="1:40" x14ac:dyDescent="0.25">
      <c r="A6128" t="str">
        <f>"20190304155757103"</f>
        <v>20190304155757103</v>
      </c>
      <c r="B6128" t="str">
        <f>"1551686277100911"</f>
        <v>1551686277100911</v>
      </c>
      <c r="C6128" t="s">
        <v>40</v>
      </c>
      <c r="D6128">
        <v>4.8649889999999996</v>
      </c>
      <c r="E6128">
        <v>0.54297790000000001</v>
      </c>
      <c r="F6128" t="s">
        <v>94</v>
      </c>
      <c r="G6128">
        <v>-242.8193</v>
      </c>
      <c r="H6128" s="1">
        <v>-1.3180959999999901E-6</v>
      </c>
      <c r="I6128">
        <v>-64.598559999999907</v>
      </c>
      <c r="J6128">
        <v>-275.10489999999999</v>
      </c>
      <c r="K6128">
        <v>1.1078870000000001</v>
      </c>
      <c r="L6128">
        <v>-61.312379999999997</v>
      </c>
      <c r="M6128">
        <v>0.99792440000000004</v>
      </c>
      <c r="N6128">
        <v>-1.3503859999999999E-2</v>
      </c>
      <c r="O6128">
        <v>-6.2966250000000001E-2</v>
      </c>
      <c r="P6128">
        <v>0.98592329999999995</v>
      </c>
      <c r="Q6128">
        <v>0.16599659999999999</v>
      </c>
      <c r="R6128">
        <v>2.001731E-2</v>
      </c>
      <c r="S6128">
        <v>3.0671689999999998</v>
      </c>
      <c r="T6128">
        <v>-0.104766</v>
      </c>
      <c r="U6128">
        <v>-0.31176759999999998</v>
      </c>
      <c r="V6128">
        <v>-8.1059549999999994E-2</v>
      </c>
      <c r="W6128">
        <v>0.17970799999999901</v>
      </c>
      <c r="X6128">
        <v>0.98037459999999998</v>
      </c>
      <c r="Y6128">
        <v>3.8258090000000002E-2</v>
      </c>
      <c r="Z6128">
        <v>3.8211259999999998E-4</v>
      </c>
      <c r="AA6128">
        <v>0.99926780000000004</v>
      </c>
      <c r="AB6128">
        <v>30</v>
      </c>
      <c r="AC6128">
        <v>32.285599999999903</v>
      </c>
      <c r="AD6128">
        <v>-1.107888318096</v>
      </c>
      <c r="AE6128">
        <v>-3.2861799999999799</v>
      </c>
      <c r="AF6128">
        <v>1.24511843809533</v>
      </c>
      <c r="AG6128">
        <v>-1.107888318096</v>
      </c>
      <c r="AH6128">
        <v>32.390709752009002</v>
      </c>
      <c r="AI6128">
        <v>91.957530276519407</v>
      </c>
      <c r="AJ6128">
        <v>87.798599539240399</v>
      </c>
      <c r="AK6128">
        <v>32.433560006406204</v>
      </c>
      <c r="AL6128">
        <v>79.647247756217396</v>
      </c>
      <c r="AM6128">
        <v>94.726591031710399</v>
      </c>
      <c r="AN6128">
        <v>0.99999998611768104</v>
      </c>
    </row>
    <row r="6129" spans="1:40" x14ac:dyDescent="0.25">
      <c r="A6129" t="str">
        <f>"20190304155757115"</f>
        <v>20190304155757115</v>
      </c>
      <c r="B6129" t="str">
        <f>"1551686277110671"</f>
        <v>1551686277110671</v>
      </c>
      <c r="C6129" t="s">
        <v>40</v>
      </c>
      <c r="D6129">
        <v>4.8928070000000004</v>
      </c>
      <c r="E6129">
        <v>0.54294219999999904</v>
      </c>
      <c r="F6129" t="s">
        <v>94</v>
      </c>
      <c r="G6129">
        <v>-242.66249999999999</v>
      </c>
      <c r="H6129" s="1">
        <v>-1.260484E-6</v>
      </c>
      <c r="I6129">
        <v>-64.63485</v>
      </c>
      <c r="J6129">
        <v>-274.95389999999998</v>
      </c>
      <c r="K6129">
        <v>1.107877</v>
      </c>
      <c r="L6129">
        <v>-61.323360000000001</v>
      </c>
      <c r="M6129">
        <v>0.99783350000000004</v>
      </c>
      <c r="N6129">
        <v>-1.341236E-2</v>
      </c>
      <c r="O6129">
        <v>-6.4409460000000002E-2</v>
      </c>
      <c r="P6129">
        <v>0.98593489999999995</v>
      </c>
      <c r="Q6129">
        <v>0.1660198</v>
      </c>
      <c r="R6129">
        <v>1.9229159999999999E-2</v>
      </c>
      <c r="S6129">
        <v>3.0668639999999998</v>
      </c>
      <c r="T6129">
        <v>-0.1047313</v>
      </c>
      <c r="U6129">
        <v>-0.3140869</v>
      </c>
      <c r="V6129">
        <v>-8.1697220000000001E-2</v>
      </c>
      <c r="W6129">
        <v>0.17964330000000001</v>
      </c>
      <c r="X6129">
        <v>0.98033360000000003</v>
      </c>
      <c r="Y6129">
        <v>3.7571899999999998E-2</v>
      </c>
      <c r="Z6129">
        <v>4.351456E-4</v>
      </c>
      <c r="AA6129">
        <v>0.99929380000000001</v>
      </c>
      <c r="AB6129">
        <v>30</v>
      </c>
      <c r="AC6129">
        <v>32.291399999999904</v>
      </c>
      <c r="AD6129">
        <v>-1.1078782604840001</v>
      </c>
      <c r="AE6129">
        <v>-3.3114899999999898</v>
      </c>
      <c r="AF6129">
        <v>1.2231293163727399</v>
      </c>
      <c r="AG6129">
        <v>-1.1078782604840001</v>
      </c>
      <c r="AH6129">
        <v>32.399906306707599</v>
      </c>
      <c r="AI6129">
        <v>91.957008617728704</v>
      </c>
      <c r="AJ6129">
        <v>87.838052860919106</v>
      </c>
      <c r="AK6129">
        <v>32.441907592619401</v>
      </c>
      <c r="AL6129">
        <v>79.651016883937203</v>
      </c>
      <c r="AM6129">
        <v>94.763801499980801</v>
      </c>
      <c r="AN6129">
        <v>1.00000005913978</v>
      </c>
    </row>
    <row r="6130" spans="1:40" x14ac:dyDescent="0.25">
      <c r="A6130" t="str">
        <f>"20190304155757126"</f>
        <v>20190304155757126</v>
      </c>
      <c r="B6130" t="str">
        <f>"1551686277120431"</f>
        <v>1551686277120431</v>
      </c>
      <c r="C6130" t="s">
        <v>40</v>
      </c>
      <c r="D6130">
        <v>4.87866</v>
      </c>
      <c r="E6130">
        <v>0.54287479999999999</v>
      </c>
      <c r="F6130" t="s">
        <v>94</v>
      </c>
      <c r="G6130">
        <v>-242.37090000000001</v>
      </c>
      <c r="H6130" s="1">
        <v>-1.148795E-6</v>
      </c>
      <c r="I6130">
        <v>-64.685230000000004</v>
      </c>
      <c r="J6130">
        <v>-274.80459999999999</v>
      </c>
      <c r="K6130">
        <v>1.107872</v>
      </c>
      <c r="L6130">
        <v>-61.334380000000003</v>
      </c>
      <c r="M6130">
        <v>0.99774180000000001</v>
      </c>
      <c r="N6130">
        <v>-1.332352E-2</v>
      </c>
      <c r="O6130">
        <v>-6.5832429999999997E-2</v>
      </c>
      <c r="P6130">
        <v>0.98600290000000002</v>
      </c>
      <c r="Q6130">
        <v>0.16570099999999999</v>
      </c>
      <c r="R6130">
        <v>1.8487300000000002E-2</v>
      </c>
      <c r="S6130">
        <v>3.0665279999999999</v>
      </c>
      <c r="T6130">
        <v>-0.1042672</v>
      </c>
      <c r="U6130">
        <v>-0.31640629999999997</v>
      </c>
      <c r="V6130">
        <v>-8.2367609999999994E-2</v>
      </c>
      <c r="W6130">
        <v>0.17924029999999999</v>
      </c>
      <c r="X6130">
        <v>0.98035119999999998</v>
      </c>
      <c r="Y6130">
        <v>3.690686E-2</v>
      </c>
      <c r="Z6130">
        <v>4.8061350000000002E-4</v>
      </c>
      <c r="AA6130">
        <v>0.99931859999999995</v>
      </c>
      <c r="AB6130">
        <v>30</v>
      </c>
      <c r="AC6130">
        <v>32.433699999999902</v>
      </c>
      <c r="AD6130">
        <v>-1.107873148795</v>
      </c>
      <c r="AE6130">
        <v>-3.3508499999999999</v>
      </c>
      <c r="AF6130">
        <v>1.20680779043961</v>
      </c>
      <c r="AG6130">
        <v>-1.107873148795</v>
      </c>
      <c r="AH6130">
        <v>32.546369764907503</v>
      </c>
      <c r="AI6130">
        <v>91.948248443031702</v>
      </c>
      <c r="AJ6130">
        <v>87.876465776633395</v>
      </c>
      <c r="AK6130">
        <v>32.587573595328799</v>
      </c>
      <c r="AL6130">
        <v>79.6744873493612</v>
      </c>
      <c r="AM6130">
        <v>94.802624309233295</v>
      </c>
      <c r="AN6130">
        <v>0.99999999183132104</v>
      </c>
    </row>
    <row r="6131" spans="1:40" x14ac:dyDescent="0.25">
      <c r="A6131" t="str">
        <f>"20190304155757138"</f>
        <v>20190304155757138</v>
      </c>
      <c r="B6131" t="str">
        <f>"1551686277131167"</f>
        <v>1551686277131167</v>
      </c>
      <c r="C6131" t="s">
        <v>40</v>
      </c>
      <c r="D6131">
        <v>4.8857010000000001</v>
      </c>
      <c r="E6131">
        <v>0.5428212</v>
      </c>
      <c r="F6131" t="s">
        <v>94</v>
      </c>
      <c r="G6131">
        <v>-242.44569999999999</v>
      </c>
      <c r="H6131" s="1">
        <v>-1.182649E-6</v>
      </c>
      <c r="I6131">
        <v>-64.691819999999893</v>
      </c>
      <c r="J6131">
        <v>-274.65370000000001</v>
      </c>
      <c r="K6131">
        <v>1.107864</v>
      </c>
      <c r="L6131">
        <v>-61.345790000000001</v>
      </c>
      <c r="M6131">
        <v>0.99764750000000002</v>
      </c>
      <c r="N6131">
        <v>-1.323764E-2</v>
      </c>
      <c r="O6131">
        <v>-6.7264809999999994E-2</v>
      </c>
      <c r="P6131">
        <v>0.98608490000000004</v>
      </c>
      <c r="Q6131">
        <v>0.1652875</v>
      </c>
      <c r="R6131">
        <v>1.7806570000000001E-2</v>
      </c>
      <c r="S6131">
        <v>3.0662229999999999</v>
      </c>
      <c r="T6131">
        <v>-0.1049783</v>
      </c>
      <c r="U6131">
        <v>-0.31814579999999998</v>
      </c>
      <c r="V6131">
        <v>-8.3110050000000005E-2</v>
      </c>
      <c r="W6131">
        <v>0.17874489999999901</v>
      </c>
      <c r="X6131">
        <v>0.980379</v>
      </c>
      <c r="Y6131">
        <v>3.6044439999999997E-2</v>
      </c>
      <c r="Z6131">
        <v>5.4909800000000003E-4</v>
      </c>
      <c r="AA6131">
        <v>0.99934999999999996</v>
      </c>
      <c r="AB6131">
        <v>30</v>
      </c>
      <c r="AC6131">
        <v>32.207999999999998</v>
      </c>
      <c r="AD6131">
        <v>-1.107865182649</v>
      </c>
      <c r="AE6131">
        <v>-3.3460299999999901</v>
      </c>
      <c r="AF6131">
        <v>1.1704259246264399</v>
      </c>
      <c r="AG6131">
        <v>-1.107865182649</v>
      </c>
      <c r="AH6131">
        <v>32.322296587542297</v>
      </c>
      <c r="AI6131">
        <v>91.961792301417205</v>
      </c>
      <c r="AJ6131">
        <v>87.926162898175207</v>
      </c>
      <c r="AK6131">
        <v>32.362449208936702</v>
      </c>
      <c r="AL6131">
        <v>79.7033377008526</v>
      </c>
      <c r="AM6131">
        <v>94.845571934871998</v>
      </c>
      <c r="AN6131">
        <v>1.000000001664</v>
      </c>
    </row>
    <row r="6132" spans="1:40" x14ac:dyDescent="0.25">
      <c r="A6132" t="str">
        <f>"20190304155757148"</f>
        <v>20190304155757148</v>
      </c>
      <c r="B6132" t="str">
        <f>"1551686277140927"</f>
        <v>1551686277140927</v>
      </c>
      <c r="C6132" t="s">
        <v>40</v>
      </c>
      <c r="D6132">
        <v>4.8915160000000002</v>
      </c>
      <c r="E6132">
        <v>0.5428212</v>
      </c>
      <c r="F6132" t="s">
        <v>94</v>
      </c>
      <c r="G6132">
        <v>-242.57249999999999</v>
      </c>
      <c r="H6132" s="1">
        <v>-1.2379710000000001E-6</v>
      </c>
      <c r="I6132">
        <v>-64.695239999999998</v>
      </c>
      <c r="J6132">
        <v>-274.50670000000002</v>
      </c>
      <c r="K6132">
        <v>1.107861</v>
      </c>
      <c r="L6132">
        <v>-61.356990000000003</v>
      </c>
      <c r="M6132">
        <v>0.99755380000000005</v>
      </c>
      <c r="N6132">
        <v>-1.3155480000000001E-2</v>
      </c>
      <c r="O6132">
        <v>-6.8656709999999996E-2</v>
      </c>
      <c r="P6132">
        <v>0.98615059999999999</v>
      </c>
      <c r="Q6132">
        <v>0.16496350000000001</v>
      </c>
      <c r="R6132">
        <v>1.7159399999999998E-2</v>
      </c>
      <c r="S6132">
        <v>3.0658569999999998</v>
      </c>
      <c r="T6132">
        <v>-0.10587390000000001</v>
      </c>
      <c r="U6132">
        <v>-0.32009890000000002</v>
      </c>
      <c r="V6132">
        <v>-8.3845530000000001E-2</v>
      </c>
      <c r="W6132">
        <v>0.1783429</v>
      </c>
      <c r="X6132">
        <v>0.98038959999999997</v>
      </c>
      <c r="Y6132">
        <v>3.5293310000000001E-2</v>
      </c>
      <c r="Z6132">
        <v>6.1787780000000002E-4</v>
      </c>
      <c r="AA6132">
        <v>0.99937679999999995</v>
      </c>
      <c r="AB6132">
        <v>30</v>
      </c>
      <c r="AC6132">
        <v>31.934200000000001</v>
      </c>
      <c r="AD6132">
        <v>-1.1078622379709999</v>
      </c>
      <c r="AE6132">
        <v>-3.3382499999999902</v>
      </c>
      <c r="AF6132">
        <v>1.1363322573232799</v>
      </c>
      <c r="AG6132">
        <v>-1.1078622379709999</v>
      </c>
      <c r="AH6132">
        <v>32.049890029314597</v>
      </c>
      <c r="AI6132">
        <v>91.978501499260602</v>
      </c>
      <c r="AJ6132">
        <v>87.969422618428197</v>
      </c>
      <c r="AK6132">
        <v>32.089157991890602</v>
      </c>
      <c r="AL6132">
        <v>79.726746884042896</v>
      </c>
      <c r="AM6132">
        <v>94.888193215002801</v>
      </c>
      <c r="AN6132">
        <v>1.0000000153347699</v>
      </c>
    </row>
    <row r="6133" spans="1:40" x14ac:dyDescent="0.25">
      <c r="A6133" t="str">
        <f>"20190304155757160"</f>
        <v>20190304155757160</v>
      </c>
      <c r="B6133" t="str">
        <f>"1551686277150688"</f>
        <v>1551686277150688</v>
      </c>
      <c r="C6133" t="s">
        <v>40</v>
      </c>
      <c r="D6133">
        <v>4.9106809999999896</v>
      </c>
      <c r="E6133">
        <v>0.52946769999999999</v>
      </c>
      <c r="F6133" t="s">
        <v>94</v>
      </c>
      <c r="G6133">
        <v>-242.71789999999999</v>
      </c>
      <c r="H6133" s="1">
        <v>-1.3010820000000001E-6</v>
      </c>
      <c r="I6133">
        <v>-64.69802</v>
      </c>
      <c r="J6133">
        <v>-274.35930000000002</v>
      </c>
      <c r="K6133">
        <v>1.1078629999999901</v>
      </c>
      <c r="L6133">
        <v>-61.368589999999998</v>
      </c>
      <c r="M6133">
        <v>0.99745839999999997</v>
      </c>
      <c r="N6133">
        <v>-1.307874E-2</v>
      </c>
      <c r="O6133">
        <v>-7.0040259999999993E-2</v>
      </c>
      <c r="P6133">
        <v>0.98620799999999997</v>
      </c>
      <c r="Q6133">
        <v>0.16468099999999999</v>
      </c>
      <c r="R6133">
        <v>1.6558460000000001E-2</v>
      </c>
      <c r="S6133">
        <v>3.0656129999999999</v>
      </c>
      <c r="T6133">
        <v>-0.1068388</v>
      </c>
      <c r="U6133">
        <v>-0.32220460000000001</v>
      </c>
      <c r="V6133">
        <v>-8.4618639999999995E-2</v>
      </c>
      <c r="W6133">
        <v>0.1779877</v>
      </c>
      <c r="X6133">
        <v>0.98038769999999997</v>
      </c>
      <c r="Y6133">
        <v>3.459549E-2</v>
      </c>
      <c r="Z6133">
        <v>6.8703649999999998E-4</v>
      </c>
      <c r="AA6133">
        <v>0.99940119999999999</v>
      </c>
      <c r="AB6133">
        <v>30</v>
      </c>
      <c r="AC6133">
        <v>31.641400000000001</v>
      </c>
      <c r="AD6133">
        <v>-1.10786430108199</v>
      </c>
      <c r="AE6133">
        <v>-3.3294299999999901</v>
      </c>
      <c r="AF6133">
        <v>1.10355251567156</v>
      </c>
      <c r="AG6133">
        <v>-1.10786430108199</v>
      </c>
      <c r="AH6133">
        <v>31.758387878111701</v>
      </c>
      <c r="AI6133">
        <v>91.996700174909293</v>
      </c>
      <c r="AJ6133">
        <v>88.009865245494595</v>
      </c>
      <c r="AK6133">
        <v>31.796861355817001</v>
      </c>
      <c r="AL6133">
        <v>79.747428977313504</v>
      </c>
      <c r="AM6133">
        <v>94.933053625712802</v>
      </c>
      <c r="AN6133">
        <v>0.99999998894901398</v>
      </c>
    </row>
    <row r="6134" spans="1:40" x14ac:dyDescent="0.25">
      <c r="A6134" t="str">
        <f>"20190304155757173"</f>
        <v>20190304155757173</v>
      </c>
      <c r="B6134" t="str">
        <f>"1551686277161423"</f>
        <v>1551686277161423</v>
      </c>
      <c r="C6134" t="s">
        <v>40</v>
      </c>
      <c r="D6134">
        <v>4.9605779999999999</v>
      </c>
      <c r="E6134">
        <v>0.52946769999999999</v>
      </c>
      <c r="F6134" t="s">
        <v>95</v>
      </c>
      <c r="G6134">
        <v>-225.12790000000001</v>
      </c>
      <c r="H6134" s="1">
        <v>-2.3082070000000002E-6</v>
      </c>
      <c r="I6134">
        <v>-64.837289999999996</v>
      </c>
      <c r="J6134">
        <v>-274.1977</v>
      </c>
      <c r="K6134">
        <v>1.1078619999999999</v>
      </c>
      <c r="L6134">
        <v>-61.381410000000002</v>
      </c>
      <c r="M6134">
        <v>0.99735220000000002</v>
      </c>
      <c r="N6134">
        <v>-1.299642E-2</v>
      </c>
      <c r="O6134">
        <v>-7.1552950000000004E-2</v>
      </c>
      <c r="P6134">
        <v>0.98625390000000002</v>
      </c>
      <c r="Q6134">
        <v>0.1644833</v>
      </c>
      <c r="R6134">
        <v>1.5777269999999999E-2</v>
      </c>
      <c r="S6134">
        <v>3.0570979999999999</v>
      </c>
      <c r="T6134">
        <v>-6.879449E-2</v>
      </c>
      <c r="U6134">
        <v>-0.2153931</v>
      </c>
      <c r="V6134">
        <v>-8.5338670000000005E-2</v>
      </c>
      <c r="W6134">
        <v>0.17771029999999999</v>
      </c>
      <c r="X6134">
        <v>0.98037560000000001</v>
      </c>
      <c r="Y6134">
        <v>-1.2760549999999999E-3</v>
      </c>
      <c r="Z6134">
        <v>6.9861979999999999E-4</v>
      </c>
      <c r="AA6134">
        <v>0.99999890000000002</v>
      </c>
      <c r="AB6134">
        <v>30</v>
      </c>
      <c r="AC6134">
        <v>49.069800000000001</v>
      </c>
      <c r="AD6134">
        <v>-1.1078643082070001</v>
      </c>
      <c r="AE6134">
        <v>-3.4558800000000001</v>
      </c>
      <c r="AF6134">
        <v>-6.4332225909152094E-2</v>
      </c>
      <c r="AG6134">
        <v>-1.1078643082070001</v>
      </c>
      <c r="AH6134">
        <v>49.1663643123333</v>
      </c>
      <c r="AI6134">
        <v>91.290824652166805</v>
      </c>
      <c r="AJ6134">
        <v>90.074969198542306</v>
      </c>
      <c r="AK6134">
        <v>49.178886543452499</v>
      </c>
      <c r="AL6134">
        <v>79.763580203587495</v>
      </c>
      <c r="AM6134">
        <v>94.974880884166396</v>
      </c>
      <c r="AN6134">
        <v>0.999999978199409</v>
      </c>
    </row>
    <row r="6135" spans="1:40" x14ac:dyDescent="0.25">
      <c r="A6135" t="str">
        <f>"20190304155757183"</f>
        <v>20190304155757183</v>
      </c>
      <c r="B6135" t="str">
        <f>"1551686277180944"</f>
        <v>1551686277180944</v>
      </c>
      <c r="C6135" t="s">
        <v>40</v>
      </c>
      <c r="D6135">
        <v>4.9334069999999999</v>
      </c>
      <c r="E6135">
        <v>0.50564240000000005</v>
      </c>
      <c r="F6135" t="s">
        <v>95</v>
      </c>
      <c r="G6135">
        <v>-225.30420000000001</v>
      </c>
      <c r="H6135" s="1">
        <v>-2.391007E-6</v>
      </c>
      <c r="I6135">
        <v>-64.869479999999996</v>
      </c>
      <c r="J6135">
        <v>-274.0453</v>
      </c>
      <c r="K6135">
        <v>1.1078669999999999</v>
      </c>
      <c r="L6135">
        <v>-61.393770000000004</v>
      </c>
      <c r="M6135">
        <v>0.99725090000000005</v>
      </c>
      <c r="N6135">
        <v>-1.292396E-2</v>
      </c>
      <c r="O6135">
        <v>-7.2963910000000007E-2</v>
      </c>
      <c r="P6135">
        <v>0.98623530000000004</v>
      </c>
      <c r="Q6135">
        <v>0.16466310000000001</v>
      </c>
      <c r="R6135">
        <v>1.5036280000000001E-2</v>
      </c>
      <c r="S6135">
        <v>3.0568849999999999</v>
      </c>
      <c r="T6135">
        <v>-6.9265129999999994E-2</v>
      </c>
      <c r="U6135">
        <v>-0.21807860000000001</v>
      </c>
      <c r="V6135">
        <v>-8.5992830000000006E-2</v>
      </c>
      <c r="W6135">
        <v>0.1778187</v>
      </c>
      <c r="X6135">
        <v>0.98029880000000003</v>
      </c>
      <c r="Y6135">
        <v>-1.811296E-3</v>
      </c>
      <c r="Z6135">
        <v>7.3798449999999997E-4</v>
      </c>
      <c r="AA6135">
        <v>0.9999981</v>
      </c>
      <c r="AB6135">
        <v>30</v>
      </c>
      <c r="AC6135">
        <v>48.741099999999904</v>
      </c>
      <c r="AD6135">
        <v>-1.1078693910070001</v>
      </c>
      <c r="AE6135">
        <v>-3.4757100000000101</v>
      </c>
      <c r="AF6135">
        <v>-9.0147497510720098E-2</v>
      </c>
      <c r="AG6135">
        <v>-1.1078693910070001</v>
      </c>
      <c r="AH6135">
        <v>48.839680638518502</v>
      </c>
      <c r="AI6135">
        <v>91.299460755725093</v>
      </c>
      <c r="AJ6135">
        <v>90.105755508796406</v>
      </c>
      <c r="AK6135">
        <v>48.852327539548398</v>
      </c>
      <c r="AL6135">
        <v>79.7572690153888</v>
      </c>
      <c r="AM6135">
        <v>95.013212773856296</v>
      </c>
      <c r="AN6135">
        <v>0.99999999708126897</v>
      </c>
    </row>
    <row r="6136" spans="1:40" x14ac:dyDescent="0.25">
      <c r="A6136" t="str">
        <f>"20190304155757193"</f>
        <v>20190304155757193</v>
      </c>
      <c r="B6136" t="str">
        <f>"1551686277190703"</f>
        <v>1551686277190703</v>
      </c>
      <c r="C6136" t="s">
        <v>40</v>
      </c>
      <c r="D6136">
        <v>4.9699030000000004</v>
      </c>
      <c r="E6136">
        <v>0.50616679999999903</v>
      </c>
      <c r="F6136" t="s">
        <v>96</v>
      </c>
      <c r="G6136">
        <v>-236.1806</v>
      </c>
      <c r="H6136" s="1">
        <v>-2.0102299999999998E-6</v>
      </c>
      <c r="I6136">
        <v>-61.780360000000002</v>
      </c>
      <c r="J6136">
        <v>-273.91019999999997</v>
      </c>
      <c r="K6136">
        <v>1.107874</v>
      </c>
      <c r="L6136">
        <v>-61.404879999999999</v>
      </c>
      <c r="M6136">
        <v>0.99715989999999999</v>
      </c>
      <c r="N6136">
        <v>-1.286202E-2</v>
      </c>
      <c r="O6136">
        <v>-7.4208679999999999E-2</v>
      </c>
      <c r="P6136">
        <v>0.98623099999999997</v>
      </c>
      <c r="Q6136">
        <v>0.16472619999999999</v>
      </c>
      <c r="R6136">
        <v>1.4628439999999999E-2</v>
      </c>
      <c r="S6136">
        <v>3.0572509999999999</v>
      </c>
      <c r="T6136">
        <v>-8.9450840000000004E-2</v>
      </c>
      <c r="U6136">
        <v>-3.1219480000000001E-2</v>
      </c>
      <c r="V6136">
        <v>-8.6817320000000003E-2</v>
      </c>
      <c r="W6136">
        <v>0.17782249999999999</v>
      </c>
      <c r="X6136">
        <v>0.98022540000000002</v>
      </c>
      <c r="Y6136">
        <v>-6.3978699999999902E-2</v>
      </c>
      <c r="Z6136">
        <v>2.561233E-3</v>
      </c>
      <c r="AA6136">
        <v>0.99794799999999995</v>
      </c>
      <c r="AB6136">
        <v>30</v>
      </c>
      <c r="AC6136">
        <v>37.729599999999898</v>
      </c>
      <c r="AD6136">
        <v>-1.10787601022999</v>
      </c>
      <c r="AE6136">
        <v>-0.37547999999998799</v>
      </c>
      <c r="AF6136">
        <v>-2.4235611524318399</v>
      </c>
      <c r="AG6136">
        <v>-1.10787601022999</v>
      </c>
      <c r="AH6136">
        <v>37.620984105954598</v>
      </c>
      <c r="AI6136">
        <v>91.683291646760097</v>
      </c>
      <c r="AJ6136">
        <v>93.685927318952807</v>
      </c>
      <c r="AK6136">
        <v>37.715242051644204</v>
      </c>
      <c r="AL6136">
        <v>79.757047398837798</v>
      </c>
      <c r="AM6136">
        <v>95.061407465778203</v>
      </c>
      <c r="AN6136">
        <v>0.99999996168169503</v>
      </c>
    </row>
    <row r="6137" spans="1:40" x14ac:dyDescent="0.25">
      <c r="A6137" t="str">
        <f>"20190304155757204"</f>
        <v>20190304155757204</v>
      </c>
      <c r="B6137" t="str">
        <f>"1551686277200464"</f>
        <v>1551686277200464</v>
      </c>
      <c r="C6137" t="s">
        <v>40</v>
      </c>
      <c r="D6137">
        <v>5.0307040000000001</v>
      </c>
      <c r="E6137">
        <v>0.50704050000000001</v>
      </c>
      <c r="F6137" t="s">
        <v>96</v>
      </c>
      <c r="G6137">
        <v>-235.80019999999999</v>
      </c>
      <c r="H6137" s="1">
        <v>-1.868502E-6</v>
      </c>
      <c r="I6137">
        <v>-61.860930000000003</v>
      </c>
      <c r="J6137">
        <v>-273.76710000000003</v>
      </c>
      <c r="K6137">
        <v>1.10788</v>
      </c>
      <c r="L6137">
        <v>-61.416809999999998</v>
      </c>
      <c r="M6137">
        <v>0.99706249999999996</v>
      </c>
      <c r="N6137">
        <v>-1.280013E-2</v>
      </c>
      <c r="O6137">
        <v>-7.5514929999999994E-2</v>
      </c>
      <c r="P6137">
        <v>0.98623570000000005</v>
      </c>
      <c r="Q6137">
        <v>0.16474240000000001</v>
      </c>
      <c r="R6137">
        <v>1.410899E-2</v>
      </c>
      <c r="S6137">
        <v>3.0572810000000001</v>
      </c>
      <c r="T6137">
        <v>-8.8876839999999999E-2</v>
      </c>
      <c r="U6137">
        <v>-3.6590579999999998E-2</v>
      </c>
      <c r="V6137">
        <v>-8.7592009999999998E-2</v>
      </c>
      <c r="W6137">
        <v>0.177778399999999</v>
      </c>
      <c r="X6137">
        <v>0.98016449999999999</v>
      </c>
      <c r="Y6137">
        <v>-6.3533839999999994E-2</v>
      </c>
      <c r="Z6137">
        <v>2.5556379999999998E-3</v>
      </c>
      <c r="AA6137">
        <v>0.99797639999999999</v>
      </c>
      <c r="AB6137">
        <v>30</v>
      </c>
      <c r="AC6137">
        <v>37.966900000000003</v>
      </c>
      <c r="AD6137">
        <v>-1.107881868502</v>
      </c>
      <c r="AE6137">
        <v>-0.44412000000000501</v>
      </c>
      <c r="AF6137">
        <v>-2.4223887058390199</v>
      </c>
      <c r="AG6137">
        <v>-1.107881868502</v>
      </c>
      <c r="AH6137">
        <v>37.859782065279099</v>
      </c>
      <c r="AI6137">
        <v>91.672736033866599</v>
      </c>
      <c r="AJ6137">
        <v>93.660974969625499</v>
      </c>
      <c r="AK6137">
        <v>37.953372278457202</v>
      </c>
      <c r="AL6137">
        <v>79.759615279105901</v>
      </c>
      <c r="AM6137">
        <v>95.1066493811025</v>
      </c>
      <c r="AN6137">
        <v>0.99999998339132401</v>
      </c>
    </row>
    <row r="6138" spans="1:40" x14ac:dyDescent="0.25">
      <c r="A6138" t="str">
        <f>"20190304155757216"</f>
        <v>20190304155757216</v>
      </c>
      <c r="B6138" t="str">
        <f>"1551686277211203"</f>
        <v>1551686277211203</v>
      </c>
      <c r="C6138" t="s">
        <v>40</v>
      </c>
      <c r="D6138">
        <v>4.947063</v>
      </c>
      <c r="E6138">
        <v>0.50713160000000002</v>
      </c>
      <c r="F6138" t="s">
        <v>96</v>
      </c>
      <c r="G6138">
        <v>-236.22309999999999</v>
      </c>
      <c r="H6138" s="1">
        <v>-2.0795569999999998E-6</v>
      </c>
      <c r="I6138">
        <v>-61.972470000000001</v>
      </c>
      <c r="J6138">
        <v>-273.61239999999998</v>
      </c>
      <c r="K6138">
        <v>1.107893</v>
      </c>
      <c r="L6138">
        <v>-61.429929999999999</v>
      </c>
      <c r="M6138">
        <v>0.99695650000000002</v>
      </c>
      <c r="N6138">
        <v>-1.273677E-2</v>
      </c>
      <c r="O6138">
        <v>-7.6913620000000002E-2</v>
      </c>
      <c r="P6138">
        <v>0.98624699999999998</v>
      </c>
      <c r="Q6138">
        <v>0.16471720000000001</v>
      </c>
      <c r="R6138">
        <v>1.3614279999999999E-2</v>
      </c>
      <c r="S6138">
        <v>3.0575559999999999</v>
      </c>
      <c r="T6138">
        <v>-9.0224979999999996E-2</v>
      </c>
      <c r="U6138">
        <v>-4.5257569999999997E-2</v>
      </c>
      <c r="V6138">
        <v>-8.8485140000000004E-2</v>
      </c>
      <c r="W6138">
        <v>0.17769160000000001</v>
      </c>
      <c r="X6138">
        <v>0.98009999999999997</v>
      </c>
      <c r="Y6138">
        <v>-6.2105590000000002E-2</v>
      </c>
      <c r="Z6138">
        <v>2.598403E-3</v>
      </c>
      <c r="AA6138">
        <v>0.99806620000000001</v>
      </c>
      <c r="AB6138">
        <v>30</v>
      </c>
      <c r="AC6138">
        <v>37.389299999999899</v>
      </c>
      <c r="AD6138">
        <v>-1.107895079557</v>
      </c>
      <c r="AE6138">
        <v>-0.54253999999998803</v>
      </c>
      <c r="AF6138">
        <v>-2.3329988368821502</v>
      </c>
      <c r="AG6138">
        <v>-1.107895079557</v>
      </c>
      <c r="AH6138">
        <v>37.287525879427903</v>
      </c>
      <c r="AI6138">
        <v>91.698564452331098</v>
      </c>
      <c r="AJ6138">
        <v>93.5802044713501</v>
      </c>
      <c r="AK6138">
        <v>37.376863181508497</v>
      </c>
      <c r="AL6138">
        <v>79.764668850612395</v>
      </c>
      <c r="AM6138">
        <v>95.158777348093693</v>
      </c>
      <c r="AN6138">
        <v>0.99999996735568897</v>
      </c>
    </row>
    <row r="6139" spans="1:40" x14ac:dyDescent="0.25">
      <c r="A6139" t="str">
        <f>"20190304155757226"</f>
        <v>20190304155757226</v>
      </c>
      <c r="B6139" t="str">
        <f>"1551686277220959"</f>
        <v>1551686277220959</v>
      </c>
      <c r="C6139" t="s">
        <v>40</v>
      </c>
      <c r="D6139">
        <v>4.9600049999999998</v>
      </c>
      <c r="E6139">
        <v>0.50731809999999999</v>
      </c>
      <c r="F6139" t="s">
        <v>96</v>
      </c>
      <c r="G6139">
        <v>-236.0204</v>
      </c>
      <c r="H6139" s="1">
        <v>-2.004406E-6</v>
      </c>
      <c r="I6139">
        <v>-62.016689999999997</v>
      </c>
      <c r="J6139">
        <v>-273.46949999999998</v>
      </c>
      <c r="K6139">
        <v>1.107901</v>
      </c>
      <c r="L6139">
        <v>-61.442169999999997</v>
      </c>
      <c r="M6139">
        <v>0.99685749999999995</v>
      </c>
      <c r="N6139">
        <v>-1.268093E-2</v>
      </c>
      <c r="O6139">
        <v>-7.8194949999999999E-2</v>
      </c>
      <c r="P6139">
        <v>0.98620019999999997</v>
      </c>
      <c r="Q6139">
        <v>0.16503609999999999</v>
      </c>
      <c r="R6139">
        <v>1.314128E-2</v>
      </c>
      <c r="S6139">
        <v>3.0575869999999998</v>
      </c>
      <c r="T6139">
        <v>-9.0111849999999993E-2</v>
      </c>
      <c r="U6139">
        <v>-4.7729489999999999E-2</v>
      </c>
      <c r="V6139">
        <v>-8.9278099999999999E-2</v>
      </c>
      <c r="W6139">
        <v>0.177954799999999</v>
      </c>
      <c r="X6139">
        <v>0.97998030000000003</v>
      </c>
      <c r="Y6139">
        <v>-6.2581429999999993E-2</v>
      </c>
      <c r="Z6139">
        <v>2.6283040000000001E-3</v>
      </c>
      <c r="AA6139">
        <v>0.99803640000000005</v>
      </c>
      <c r="AB6139">
        <v>30</v>
      </c>
      <c r="AC6139">
        <v>37.449099999999902</v>
      </c>
      <c r="AD6139">
        <v>-1.1079030044059901</v>
      </c>
      <c r="AE6139">
        <v>-0.57452000000000603</v>
      </c>
      <c r="AF6139">
        <v>-2.3537456206464502</v>
      </c>
      <c r="AG6139">
        <v>-1.1079030044059901</v>
      </c>
      <c r="AH6139">
        <v>37.346664721706702</v>
      </c>
      <c r="AI6139">
        <v>91.695840063962194</v>
      </c>
      <c r="AJ6139">
        <v>93.606253963740897</v>
      </c>
      <c r="AK6139">
        <v>37.4371597927708</v>
      </c>
      <c r="AL6139">
        <v>79.749344074296303</v>
      </c>
      <c r="AM6139">
        <v>95.205387210445195</v>
      </c>
      <c r="AN6139">
        <v>0.999999939185368</v>
      </c>
    </row>
    <row r="6140" spans="1:40" x14ac:dyDescent="0.25">
      <c r="A6140" t="str">
        <f>"20190304155757238"</f>
        <v>20190304155757238</v>
      </c>
      <c r="B6140" t="str">
        <f>"1551686277230719"</f>
        <v>1551686277230719</v>
      </c>
      <c r="C6140" t="s">
        <v>40</v>
      </c>
      <c r="D6140">
        <v>4.968337</v>
      </c>
      <c r="E6140">
        <v>0.50744129999999998</v>
      </c>
      <c r="F6140" t="s">
        <v>96</v>
      </c>
      <c r="G6140">
        <v>-235.15790000000001</v>
      </c>
      <c r="H6140" s="1">
        <v>-1.6502769999999999E-6</v>
      </c>
      <c r="I6140">
        <v>-62.076500000000003</v>
      </c>
      <c r="J6140">
        <v>-273.32249999999999</v>
      </c>
      <c r="K6140">
        <v>1.10792</v>
      </c>
      <c r="L6140">
        <v>-61.455080000000002</v>
      </c>
      <c r="M6140">
        <v>0.99675570000000002</v>
      </c>
      <c r="N6140">
        <v>-1.262777E-2</v>
      </c>
      <c r="O6140">
        <v>-7.949088E-2</v>
      </c>
      <c r="P6140">
        <v>0.986232</v>
      </c>
      <c r="Q6140">
        <v>0.16488939999999999</v>
      </c>
      <c r="R6140">
        <v>1.25678E-2</v>
      </c>
      <c r="S6140">
        <v>3.0574949999999999</v>
      </c>
      <c r="T6140">
        <v>-8.8417049999999997E-2</v>
      </c>
      <c r="U6140">
        <v>-5.0628659999999999E-2</v>
      </c>
      <c r="V6140">
        <v>-8.9995389999999995E-2</v>
      </c>
      <c r="W6140">
        <v>0.17775489999999999</v>
      </c>
      <c r="X6140">
        <v>0.97995100000000002</v>
      </c>
      <c r="Y6140">
        <v>-6.2933870000000003E-2</v>
      </c>
      <c r="Z6140">
        <v>2.5985169999999998E-3</v>
      </c>
      <c r="AA6140">
        <v>0.99801430000000002</v>
      </c>
      <c r="AB6140">
        <v>30</v>
      </c>
      <c r="AC6140">
        <v>38.164599999999901</v>
      </c>
      <c r="AD6140">
        <v>-1.107921650277</v>
      </c>
      <c r="AE6140">
        <v>-0.62141999999999997</v>
      </c>
      <c r="AF6140">
        <v>-2.41249342548821</v>
      </c>
      <c r="AG6140">
        <v>-1.107921650277</v>
      </c>
      <c r="AH6140">
        <v>38.061146196160003</v>
      </c>
      <c r="AI6140">
        <v>91.664014182818704</v>
      </c>
      <c r="AJ6140">
        <v>93.6268225603487</v>
      </c>
      <c r="AK6140">
        <v>38.153616665745403</v>
      </c>
      <c r="AL6140">
        <v>79.760983368792907</v>
      </c>
      <c r="AM6140">
        <v>95.247132523925202</v>
      </c>
      <c r="AN6140">
        <v>0.99999996854813</v>
      </c>
    </row>
    <row r="6141" spans="1:40" x14ac:dyDescent="0.25">
      <c r="A6141" t="str">
        <f>"20190304155757249"</f>
        <v>20190304155757249</v>
      </c>
      <c r="B6141" t="str">
        <f>"1551686277240480"</f>
        <v>1551686277240480</v>
      </c>
      <c r="C6141" t="s">
        <v>40</v>
      </c>
      <c r="D6141">
        <v>4.9653939999999999</v>
      </c>
      <c r="E6141">
        <v>0.50755909999999904</v>
      </c>
      <c r="F6141" t="s">
        <v>96</v>
      </c>
      <c r="G6141">
        <v>-235.18989999999999</v>
      </c>
      <c r="H6141" s="1">
        <v>-1.676296E-6</v>
      </c>
      <c r="I6141">
        <v>-62.122619999999998</v>
      </c>
      <c r="J6141">
        <v>-273.17360000000002</v>
      </c>
      <c r="K6141">
        <v>1.1079369999999999</v>
      </c>
      <c r="L6141">
        <v>-61.468169999999901</v>
      </c>
      <c r="M6141">
        <v>0.99665139999999997</v>
      </c>
      <c r="N6141">
        <v>-1.257551E-2</v>
      </c>
      <c r="O6141">
        <v>-8.0794899999999906E-2</v>
      </c>
      <c r="P6141">
        <v>0.98621700000000001</v>
      </c>
      <c r="Q6141">
        <v>0.16503119999999999</v>
      </c>
      <c r="R6141">
        <v>1.188175E-2</v>
      </c>
      <c r="S6141">
        <v>3.0574340000000002</v>
      </c>
      <c r="T6141">
        <v>-8.8832019999999998E-2</v>
      </c>
      <c r="U6141">
        <v>-5.3527829999999998E-2</v>
      </c>
      <c r="V6141">
        <v>-9.0604160000000003E-2</v>
      </c>
      <c r="W6141">
        <v>0.1778431</v>
      </c>
      <c r="X6141">
        <v>0.9798789</v>
      </c>
      <c r="Y6141">
        <v>-6.3292260000000003E-2</v>
      </c>
      <c r="Z6141">
        <v>2.6448779999999998E-3</v>
      </c>
      <c r="AA6141">
        <v>0.99799150000000003</v>
      </c>
      <c r="AB6141">
        <v>30</v>
      </c>
      <c r="AC6141">
        <v>37.983699999999999</v>
      </c>
      <c r="AD6141">
        <v>-1.107938676296</v>
      </c>
      <c r="AE6141">
        <v>-0.65445000000000397</v>
      </c>
      <c r="AF6141">
        <v>-2.4147679580834698</v>
      </c>
      <c r="AG6141">
        <v>-1.107938676296</v>
      </c>
      <c r="AH6141">
        <v>37.8801628654453</v>
      </c>
      <c r="AI6141">
        <v>91.671947274322704</v>
      </c>
      <c r="AJ6141">
        <v>93.647530603830205</v>
      </c>
      <c r="AK6141">
        <v>37.973219130256503</v>
      </c>
      <c r="AL6141">
        <v>79.755848077701501</v>
      </c>
      <c r="AM6141">
        <v>95.282812890248394</v>
      </c>
      <c r="AN6141">
        <v>0.99999997034606203</v>
      </c>
    </row>
    <row r="6142" spans="1:40" x14ac:dyDescent="0.25">
      <c r="A6142" t="str">
        <f>"20190304155757260"</f>
        <v>20190304155757260</v>
      </c>
      <c r="B6142" t="str">
        <f>"1551686277251217"</f>
        <v>1551686277251217</v>
      </c>
      <c r="C6142" t="s">
        <v>40</v>
      </c>
      <c r="D6142">
        <v>4.9374510000000003</v>
      </c>
      <c r="E6142">
        <v>0.50748260000000001</v>
      </c>
      <c r="F6142" t="s">
        <v>96</v>
      </c>
      <c r="G6142">
        <v>-234.8261</v>
      </c>
      <c r="H6142" s="1">
        <v>-1.53491099999999E-6</v>
      </c>
      <c r="I6142">
        <v>-62.177759999999999</v>
      </c>
      <c r="J6142">
        <v>-273.02260000000001</v>
      </c>
      <c r="K6142">
        <v>1.10796299999999</v>
      </c>
      <c r="L6142">
        <v>-61.481749999999998</v>
      </c>
      <c r="M6142">
        <v>0.99654699999999996</v>
      </c>
      <c r="N6142">
        <v>-1.2527480000000001E-2</v>
      </c>
      <c r="O6142">
        <v>-8.2080819999999999E-2</v>
      </c>
      <c r="P6142">
        <v>0.98627730000000002</v>
      </c>
      <c r="Q6142">
        <v>0.1647111</v>
      </c>
      <c r="R6142">
        <v>1.1299099999999999E-2</v>
      </c>
      <c r="S6142">
        <v>3.0574340000000002</v>
      </c>
      <c r="T6142">
        <v>-8.8335510000000006E-2</v>
      </c>
      <c r="U6142">
        <v>-5.6579589999999999E-2</v>
      </c>
      <c r="V6142">
        <v>-9.1309829999999995E-2</v>
      </c>
      <c r="W6142">
        <v>0.17747289999999999</v>
      </c>
      <c r="X6142">
        <v>0.97988059999999999</v>
      </c>
      <c r="Y6142">
        <v>-6.3584310000000005E-2</v>
      </c>
      <c r="Z6142">
        <v>2.6558839999999998E-3</v>
      </c>
      <c r="AA6142">
        <v>0.997973</v>
      </c>
      <c r="AB6142">
        <v>30</v>
      </c>
      <c r="AC6142">
        <v>38.1965</v>
      </c>
      <c r="AD6142">
        <v>-1.1079645349110001</v>
      </c>
      <c r="AE6142">
        <v>-0.69601000000000102</v>
      </c>
      <c r="AF6142">
        <v>-2.4397327068469399</v>
      </c>
      <c r="AG6142">
        <v>-1.1079645349110001</v>
      </c>
      <c r="AH6142">
        <v>38.092685253929901</v>
      </c>
      <c r="AI6142">
        <v>91.662631674709004</v>
      </c>
      <c r="AJ6142">
        <v>93.664633204272704</v>
      </c>
      <c r="AK6142">
        <v>38.186811217309597</v>
      </c>
      <c r="AL6142">
        <v>79.777402698851105</v>
      </c>
      <c r="AM6142">
        <v>95.323713362872496</v>
      </c>
      <c r="AN6142">
        <v>1.00000005277269</v>
      </c>
    </row>
    <row r="6143" spans="1:40" x14ac:dyDescent="0.25">
      <c r="A6143" t="str">
        <f>"20190304155757271"</f>
        <v>20190304155757271</v>
      </c>
      <c r="B6143" t="str">
        <f>"1551686277260976"</f>
        <v>1551686277260976</v>
      </c>
      <c r="C6143" t="s">
        <v>40</v>
      </c>
      <c r="D6143">
        <v>4.9603000000000002</v>
      </c>
      <c r="E6143">
        <v>0.50742749999999903</v>
      </c>
      <c r="F6143" t="s">
        <v>96</v>
      </c>
      <c r="G6143">
        <v>-235.2432</v>
      </c>
      <c r="H6143" s="1">
        <v>-1.7188839999999999E-6</v>
      </c>
      <c r="I6143">
        <v>-62.196689999999997</v>
      </c>
      <c r="J6143">
        <v>-272.87349999999998</v>
      </c>
      <c r="K6143">
        <v>1.107985</v>
      </c>
      <c r="L6143">
        <v>-61.495269999999998</v>
      </c>
      <c r="M6143">
        <v>0.99644310000000003</v>
      </c>
      <c r="N6143">
        <v>-1.2481280000000001E-2</v>
      </c>
      <c r="O6143">
        <v>-8.3339789999999997E-2</v>
      </c>
      <c r="P6143">
        <v>0.98627710000000002</v>
      </c>
      <c r="Q6143">
        <v>0.16475319999999999</v>
      </c>
      <c r="R6143">
        <v>1.0681360000000001E-2</v>
      </c>
      <c r="S6143">
        <v>3.057312</v>
      </c>
      <c r="T6143">
        <v>-8.9662549999999994E-2</v>
      </c>
      <c r="U6143">
        <v>-5.7861330000000002E-2</v>
      </c>
      <c r="V6143">
        <v>-9.1947249999999994E-2</v>
      </c>
      <c r="W6143">
        <v>0.1774654</v>
      </c>
      <c r="X6143">
        <v>0.97982230000000003</v>
      </c>
      <c r="Y6143">
        <v>-6.4423839999999996E-2</v>
      </c>
      <c r="Z6143">
        <v>2.7462749999999998E-3</v>
      </c>
      <c r="AA6143">
        <v>0.99791879999999999</v>
      </c>
      <c r="AB6143">
        <v>30</v>
      </c>
      <c r="AC6143">
        <v>37.630299999999899</v>
      </c>
      <c r="AD6143">
        <v>-1.107986718884</v>
      </c>
      <c r="AE6143">
        <v>-0.70142000000000504</v>
      </c>
      <c r="AF6143">
        <v>-2.4352553389704701</v>
      </c>
      <c r="AG6143">
        <v>-1.107986718884</v>
      </c>
      <c r="AH6143">
        <v>37.525310371800202</v>
      </c>
      <c r="AI6143">
        <v>91.687697708662796</v>
      </c>
      <c r="AJ6143">
        <v>93.713079699380401</v>
      </c>
      <c r="AK6143">
        <v>37.620566471481297</v>
      </c>
      <c r="AL6143">
        <v>79.777838826682896</v>
      </c>
      <c r="AM6143">
        <v>95.360978739384606</v>
      </c>
      <c r="AN6143">
        <v>1.0000000022785001</v>
      </c>
    </row>
    <row r="6144" spans="1:40" x14ac:dyDescent="0.25">
      <c r="A6144" t="str">
        <f>"20190304155757282"</f>
        <v>20190304155757282</v>
      </c>
      <c r="B6144" t="str">
        <f>"1551686277270735"</f>
        <v>1551686277270735</v>
      </c>
      <c r="C6144" t="s">
        <v>40</v>
      </c>
      <c r="D6144">
        <v>4.8640160000000003</v>
      </c>
      <c r="E6144">
        <v>0.50727630000000001</v>
      </c>
      <c r="F6144" t="s">
        <v>96</v>
      </c>
      <c r="G6144">
        <v>-235.24610000000001</v>
      </c>
      <c r="H6144" s="1">
        <v>-1.727724E-6</v>
      </c>
      <c r="I6144">
        <v>-62.22533</v>
      </c>
      <c r="J6144">
        <v>-272.72579999999999</v>
      </c>
      <c r="K6144">
        <v>1.108017</v>
      </c>
      <c r="L6144">
        <v>-61.508879999999998</v>
      </c>
      <c r="M6144">
        <v>0.99634180000000006</v>
      </c>
      <c r="N6144">
        <v>-1.243962E-2</v>
      </c>
      <c r="O6144">
        <v>-8.4547289999999997E-2</v>
      </c>
      <c r="P6144">
        <v>0.98624869999999998</v>
      </c>
      <c r="Q6144">
        <v>0.16495889999999999</v>
      </c>
      <c r="R6144">
        <v>1.012238E-2</v>
      </c>
      <c r="S6144">
        <v>3.0574340000000002</v>
      </c>
      <c r="T6144">
        <v>-9.0029949999999997E-2</v>
      </c>
      <c r="U6144">
        <v>-5.9326169999999998E-2</v>
      </c>
      <c r="V6144">
        <v>-9.2592540000000001E-2</v>
      </c>
      <c r="W6144">
        <v>0.17762449999999999</v>
      </c>
      <c r="X6144">
        <v>0.97973270000000001</v>
      </c>
      <c r="Y6144">
        <v>-6.5154859999999995E-2</v>
      </c>
      <c r="Z6144">
        <v>2.7977929999999998E-3</v>
      </c>
      <c r="AA6144">
        <v>0.99787119999999996</v>
      </c>
      <c r="AB6144">
        <v>30</v>
      </c>
      <c r="AC6144">
        <v>37.479699999999902</v>
      </c>
      <c r="AD6144">
        <v>-1.1080187277239999</v>
      </c>
      <c r="AE6144">
        <v>-0.71645000000000103</v>
      </c>
      <c r="AF6144">
        <v>-2.4530248730031099</v>
      </c>
      <c r="AG6144">
        <v>-1.1080187277239999</v>
      </c>
      <c r="AH6144">
        <v>37.3734087917693</v>
      </c>
      <c r="AI6144">
        <v>91.694520809184596</v>
      </c>
      <c r="AJ6144">
        <v>93.755254570203505</v>
      </c>
      <c r="AK6144">
        <v>37.470211118237103</v>
      </c>
      <c r="AL6144">
        <v>79.768575907130298</v>
      </c>
      <c r="AM6144">
        <v>95.398871614746199</v>
      </c>
      <c r="AN6144">
        <v>1.00000000245659</v>
      </c>
    </row>
    <row r="6145" spans="1:40" x14ac:dyDescent="0.25">
      <c r="A6145" t="str">
        <f>"20190304155757294"</f>
        <v>20190304155757294</v>
      </c>
      <c r="B6145" t="str">
        <f>"1551686277291232"</f>
        <v>1551686277291232</v>
      </c>
      <c r="C6145" t="s">
        <v>40</v>
      </c>
      <c r="D6145">
        <v>4.995787</v>
      </c>
      <c r="E6145">
        <v>0.50718430000000003</v>
      </c>
      <c r="F6145" t="s">
        <v>96</v>
      </c>
      <c r="G6145">
        <v>-236.3</v>
      </c>
      <c r="H6145" s="1">
        <v>-2.179475E-6</v>
      </c>
      <c r="I6145">
        <v>-62.223849999999999</v>
      </c>
      <c r="J6145">
        <v>-272.57889999999998</v>
      </c>
      <c r="K6145">
        <v>1.1080540000000001</v>
      </c>
      <c r="L6145">
        <v>-61.522519999999901</v>
      </c>
      <c r="M6145">
        <v>0.99624120000000005</v>
      </c>
      <c r="N6145">
        <v>-1.2399800000000001E-2</v>
      </c>
      <c r="O6145">
        <v>-8.5731059999999998E-2</v>
      </c>
      <c r="P6145">
        <v>0.98624009999999995</v>
      </c>
      <c r="Q6145">
        <v>0.16503979999999999</v>
      </c>
      <c r="R6145">
        <v>9.6117619999999994E-3</v>
      </c>
      <c r="S6145">
        <v>3.058014</v>
      </c>
      <c r="T6145">
        <v>-9.3020320000000004E-2</v>
      </c>
      <c r="U6145">
        <v>-6.0028079999999998E-2</v>
      </c>
      <c r="V6145">
        <v>-9.3265589999999995E-2</v>
      </c>
      <c r="W6145">
        <v>0.17766009999999999</v>
      </c>
      <c r="X6145">
        <v>0.97966240000000004</v>
      </c>
      <c r="Y6145">
        <v>-6.6110600000000005E-2</v>
      </c>
      <c r="Z6145">
        <v>2.9551949999999999E-3</v>
      </c>
      <c r="AA6145">
        <v>0.99780789999999997</v>
      </c>
      <c r="AB6145">
        <v>30</v>
      </c>
      <c r="AC6145">
        <v>36.278899999999901</v>
      </c>
      <c r="AD6145">
        <v>-1.1080561794749999</v>
      </c>
      <c r="AE6145">
        <v>-0.701330000000005</v>
      </c>
      <c r="AF6145">
        <v>-2.4094731519255701</v>
      </c>
      <c r="AG6145">
        <v>-1.1080561794749999</v>
      </c>
      <c r="AH6145">
        <v>36.171711897854998</v>
      </c>
      <c r="AI6145">
        <v>91.750728371863701</v>
      </c>
      <c r="AJ6145">
        <v>93.810961368405501</v>
      </c>
      <c r="AK6145">
        <v>36.268803274827597</v>
      </c>
      <c r="AL6145">
        <v>79.766503182819406</v>
      </c>
      <c r="AM6145">
        <v>95.4382691894602</v>
      </c>
      <c r="AN6145">
        <v>0.999999999691909</v>
      </c>
    </row>
    <row r="6146" spans="1:40" x14ac:dyDescent="0.25">
      <c r="A6146" t="str">
        <f>"20190304155757304"</f>
        <v>20190304155757304</v>
      </c>
      <c r="B6146" t="str">
        <f>"1551686277300991"</f>
        <v>1551686277300991</v>
      </c>
      <c r="C6146" t="s">
        <v>40</v>
      </c>
      <c r="D6146">
        <v>4.9830870000000003</v>
      </c>
      <c r="E6146">
        <v>0.50710149999999998</v>
      </c>
      <c r="F6146" t="s">
        <v>96</v>
      </c>
      <c r="G6146">
        <v>-236.24539999999999</v>
      </c>
      <c r="H6146" s="1">
        <v>-2.1617770000000002E-6</v>
      </c>
      <c r="I6146">
        <v>-62.245460000000001</v>
      </c>
      <c r="J6146">
        <v>-272.42570000000001</v>
      </c>
      <c r="K6146">
        <v>1.1081000000000001</v>
      </c>
      <c r="L6146">
        <v>-61.536960000000001</v>
      </c>
      <c r="M6146">
        <v>0.99613739999999995</v>
      </c>
      <c r="N6146">
        <v>-1.23611E-2</v>
      </c>
      <c r="O6146">
        <v>-8.6934280000000003E-2</v>
      </c>
      <c r="P6146">
        <v>0.9862822</v>
      </c>
      <c r="Q6146">
        <v>0.1648425</v>
      </c>
      <c r="R6146">
        <v>8.6323059999999993E-3</v>
      </c>
      <c r="S6146">
        <v>3.0580440000000002</v>
      </c>
      <c r="T6146">
        <v>-9.3260529999999994E-2</v>
      </c>
      <c r="U6146">
        <v>-6.0852049999999998E-2</v>
      </c>
      <c r="V6146">
        <v>-9.3498209999999998E-2</v>
      </c>
      <c r="W6146">
        <v>0.17741609999999999</v>
      </c>
      <c r="X6146">
        <v>0.97968440000000001</v>
      </c>
      <c r="Y6146">
        <v>-6.7046019999999998E-2</v>
      </c>
      <c r="Z6146">
        <v>3.0081890000000001E-3</v>
      </c>
      <c r="AA6146">
        <v>0.99774529999999995</v>
      </c>
      <c r="AB6146">
        <v>30</v>
      </c>
      <c r="AC6146">
        <v>36.180300000000003</v>
      </c>
      <c r="AD6146">
        <v>-1.1081021617769999</v>
      </c>
      <c r="AE6146">
        <v>-0.70849999999999302</v>
      </c>
      <c r="AF6146">
        <v>-2.43744576396583</v>
      </c>
      <c r="AG6146">
        <v>-1.1081021617769999</v>
      </c>
      <c r="AH6146">
        <v>36.071077159277898</v>
      </c>
      <c r="AI6146">
        <v>91.755569831001097</v>
      </c>
      <c r="AJ6146">
        <v>93.865794518380497</v>
      </c>
      <c r="AK6146">
        <v>36.170314343170801</v>
      </c>
      <c r="AL6146">
        <v>79.780708573834403</v>
      </c>
      <c r="AM6146">
        <v>95.451629834766393</v>
      </c>
      <c r="AN6146">
        <v>0.99999995570788602</v>
      </c>
    </row>
    <row r="6147" spans="1:40" x14ac:dyDescent="0.25">
      <c r="A6147" t="str">
        <f>"20190304155757316"</f>
        <v>20190304155757316</v>
      </c>
      <c r="B6147" t="str">
        <f>"1551686277310751"</f>
        <v>1551686277310751</v>
      </c>
      <c r="C6147" t="s">
        <v>40</v>
      </c>
      <c r="D6147">
        <v>5.0123629999999997</v>
      </c>
      <c r="E6147">
        <v>0.50704380000000004</v>
      </c>
      <c r="F6147" t="s">
        <v>96</v>
      </c>
      <c r="G6147">
        <v>-236.6129</v>
      </c>
      <c r="H6147" s="1">
        <v>-2.3279350000000001E-6</v>
      </c>
      <c r="I6147">
        <v>-62.277389999999997</v>
      </c>
      <c r="J6147">
        <v>-272.27339999999998</v>
      </c>
      <c r="K6147">
        <v>1.108142</v>
      </c>
      <c r="L6147">
        <v>-61.551419999999901</v>
      </c>
      <c r="M6147">
        <v>0.99603609999999998</v>
      </c>
      <c r="N6147">
        <v>-1.232521E-2</v>
      </c>
      <c r="O6147">
        <v>-8.8092999999999894E-2</v>
      </c>
      <c r="P6147">
        <v>0.98634739999999999</v>
      </c>
      <c r="Q6147">
        <v>0.1644765</v>
      </c>
      <c r="R6147">
        <v>8.1612969999999996E-3</v>
      </c>
      <c r="S6147">
        <v>3.0581049999999999</v>
      </c>
      <c r="T6147">
        <v>-9.4622490000000004E-2</v>
      </c>
      <c r="U6147">
        <v>-6.3232419999999998E-2</v>
      </c>
      <c r="V6147">
        <v>-9.419893E-2</v>
      </c>
      <c r="W6147">
        <v>0.1770079</v>
      </c>
      <c r="X6147">
        <v>0.97969110000000004</v>
      </c>
      <c r="Y6147">
        <v>-6.7428429999999998E-2</v>
      </c>
      <c r="Z6147">
        <v>3.0932199999999998E-3</v>
      </c>
      <c r="AA6147">
        <v>0.99771929999999998</v>
      </c>
      <c r="AB6147">
        <v>30</v>
      </c>
      <c r="AC6147">
        <v>35.6604999999999</v>
      </c>
      <c r="AD6147">
        <v>-1.1081443279350001</v>
      </c>
      <c r="AE6147">
        <v>-0.72597000000001</v>
      </c>
      <c r="AF6147">
        <v>-2.4161993388086001</v>
      </c>
      <c r="AG6147">
        <v>-1.1081443279350001</v>
      </c>
      <c r="AH6147">
        <v>35.551481784732999</v>
      </c>
      <c r="AI6147">
        <v>91.781232497042097</v>
      </c>
      <c r="AJ6147">
        <v>93.888036643059294</v>
      </c>
      <c r="AK6147">
        <v>35.6507203319455</v>
      </c>
      <c r="AL6147">
        <v>79.804472707953806</v>
      </c>
      <c r="AM6147">
        <v>95.492200704917394</v>
      </c>
      <c r="AN6147">
        <v>0.99999994324737995</v>
      </c>
    </row>
    <row r="6148" spans="1:40" x14ac:dyDescent="0.25">
      <c r="A6148" t="str">
        <f>"20190304155757326"</f>
        <v>20190304155757326</v>
      </c>
      <c r="B6148" t="str">
        <f>"1551686277320511"</f>
        <v>1551686277320511</v>
      </c>
      <c r="C6148" t="s">
        <v>40</v>
      </c>
      <c r="D6148">
        <v>4.9999149999999997</v>
      </c>
      <c r="E6148">
        <v>0.50687939999999998</v>
      </c>
      <c r="F6148" t="s">
        <v>96</v>
      </c>
      <c r="G6148">
        <v>-237.11799999999999</v>
      </c>
      <c r="H6148" s="1">
        <v>-2.5470119999999998E-6</v>
      </c>
      <c r="I6148">
        <v>-62.286320000000003</v>
      </c>
      <c r="J6148">
        <v>-272.13330000000002</v>
      </c>
      <c r="K6148">
        <v>1.1081829999999999</v>
      </c>
      <c r="L6148">
        <v>-61.564819999999997</v>
      </c>
      <c r="M6148">
        <v>0.99594349999999998</v>
      </c>
      <c r="N6148">
        <v>-1.2293719999999999E-2</v>
      </c>
      <c r="O6148">
        <v>-8.9138190000000006E-2</v>
      </c>
      <c r="P6148">
        <v>0.98648749999999996</v>
      </c>
      <c r="Q6148">
        <v>0.16366539999999999</v>
      </c>
      <c r="R6148">
        <v>7.4903790000000001E-3</v>
      </c>
      <c r="S6148">
        <v>3.0581670000000001</v>
      </c>
      <c r="T6148">
        <v>-9.639752E-2</v>
      </c>
      <c r="U6148">
        <v>-6.3934329999999998E-2</v>
      </c>
      <c r="V6148">
        <v>-9.4596620000000006E-2</v>
      </c>
      <c r="W6148">
        <v>0.1761588</v>
      </c>
      <c r="X6148">
        <v>0.97980590000000001</v>
      </c>
      <c r="Y6148">
        <v>-6.8243709999999999E-2</v>
      </c>
      <c r="Z6148">
        <v>3.2032250000000001E-3</v>
      </c>
      <c r="AA6148">
        <v>0.99766359999999998</v>
      </c>
      <c r="AB6148">
        <v>30</v>
      </c>
      <c r="AC6148">
        <v>35.015300000000003</v>
      </c>
      <c r="AD6148">
        <v>-1.1081855470119999</v>
      </c>
      <c r="AE6148">
        <v>-0.72149999999999803</v>
      </c>
      <c r="AF6148">
        <v>-2.40040525306916</v>
      </c>
      <c r="AG6148">
        <v>-1.1081855470119999</v>
      </c>
      <c r="AH6148">
        <v>34.905262988710199</v>
      </c>
      <c r="AI6148">
        <v>91.814155548184303</v>
      </c>
      <c r="AJ6148">
        <v>93.933988301772104</v>
      </c>
      <c r="AK6148">
        <v>35.005248247892602</v>
      </c>
      <c r="AL6148">
        <v>79.8539000756832</v>
      </c>
      <c r="AM6148">
        <v>95.514602849128394</v>
      </c>
      <c r="AN6148">
        <v>1.0000000225038299</v>
      </c>
    </row>
    <row r="6149" spans="1:40" x14ac:dyDescent="0.25">
      <c r="A6149" t="str">
        <f>"20190304155757340"</f>
        <v>20190304155757340</v>
      </c>
      <c r="B6149" t="str">
        <f>"1551686277331248"</f>
        <v>1551686277331248</v>
      </c>
      <c r="C6149" t="s">
        <v>40</v>
      </c>
      <c r="D6149">
        <v>5.020378</v>
      </c>
      <c r="E6149">
        <v>0.50679490000000005</v>
      </c>
      <c r="F6149" t="s">
        <v>96</v>
      </c>
      <c r="G6149">
        <v>-237.89840000000001</v>
      </c>
      <c r="H6149" s="1">
        <v>-2.883256E-6</v>
      </c>
      <c r="I6149">
        <v>-62.291789999999999</v>
      </c>
      <c r="J6149">
        <v>-271.97739999999999</v>
      </c>
      <c r="K6149">
        <v>1.108236</v>
      </c>
      <c r="L6149">
        <v>-61.57996</v>
      </c>
      <c r="M6149">
        <v>0.99584439999999996</v>
      </c>
      <c r="N6149">
        <v>-1.226172E-2</v>
      </c>
      <c r="O6149">
        <v>-9.0244210000000005E-2</v>
      </c>
      <c r="P6149">
        <v>0.98659470000000005</v>
      </c>
      <c r="Q6149">
        <v>0.16304689999999999</v>
      </c>
      <c r="R6149">
        <v>6.8695539999999999E-3</v>
      </c>
      <c r="S6149">
        <v>3.0579830000000001</v>
      </c>
      <c r="T6149">
        <v>-9.8987099999999995E-2</v>
      </c>
      <c r="U6149">
        <v>-6.4941410000000005E-2</v>
      </c>
      <c r="V6149">
        <v>-9.5104649999999999E-2</v>
      </c>
      <c r="W6149">
        <v>0.17549879999999901</v>
      </c>
      <c r="X6149">
        <v>0.9798751</v>
      </c>
      <c r="Y6149">
        <v>-6.9017499999999996E-2</v>
      </c>
      <c r="Z6149">
        <v>3.3487339999999999E-3</v>
      </c>
      <c r="AA6149">
        <v>0.99760990000000005</v>
      </c>
      <c r="AB6149">
        <v>30</v>
      </c>
      <c r="AC6149">
        <v>34.078999999999901</v>
      </c>
      <c r="AD6149">
        <v>-1.108238883256</v>
      </c>
      <c r="AE6149">
        <v>-0.71182999999999896</v>
      </c>
      <c r="AF6149">
        <v>-2.3642387577645398</v>
      </c>
      <c r="AG6149">
        <v>-1.108238883256</v>
      </c>
      <c r="AH6149">
        <v>33.968261959901902</v>
      </c>
      <c r="AI6149">
        <v>91.864146378078502</v>
      </c>
      <c r="AJ6149">
        <v>93.981445859159706</v>
      </c>
      <c r="AK6149">
        <v>34.068469864415597</v>
      </c>
      <c r="AL6149">
        <v>79.892313183287101</v>
      </c>
      <c r="AM6149">
        <v>95.543645842818506</v>
      </c>
      <c r="AN6149">
        <v>0.99999996742653496</v>
      </c>
    </row>
    <row r="6150" spans="1:40" x14ac:dyDescent="0.25">
      <c r="A6150" t="str">
        <f>"20190304155757350"</f>
        <v>20190304155757350</v>
      </c>
      <c r="B6150" t="str">
        <f>"1551686277341008"</f>
        <v>1551686277341008</v>
      </c>
      <c r="C6150" t="s">
        <v>40</v>
      </c>
      <c r="D6150">
        <v>5.0082170000000001</v>
      </c>
      <c r="E6150">
        <v>0.50664830000000005</v>
      </c>
      <c r="F6150" t="s">
        <v>96</v>
      </c>
      <c r="G6150">
        <v>-238.47730000000001</v>
      </c>
      <c r="H6150" s="1">
        <v>-3.0998680000000001E-6</v>
      </c>
      <c r="I6150">
        <v>-62.305709999999998</v>
      </c>
      <c r="J6150">
        <v>-271.82600000000002</v>
      </c>
      <c r="K6150">
        <v>1.1082879999999999</v>
      </c>
      <c r="L6150">
        <v>-61.594700000000003</v>
      </c>
      <c r="M6150">
        <v>0.99574850000000004</v>
      </c>
      <c r="N6150">
        <v>-1.22317E-2</v>
      </c>
      <c r="O6150">
        <v>-9.1298870000000004E-2</v>
      </c>
      <c r="P6150">
        <v>0.98673080000000002</v>
      </c>
      <c r="Q6150">
        <v>0.1622343</v>
      </c>
      <c r="R6150">
        <v>6.5295500000000003E-3</v>
      </c>
      <c r="S6150">
        <v>3.0579529999999999</v>
      </c>
      <c r="T6150">
        <v>-0.101162</v>
      </c>
      <c r="U6150">
        <v>-6.6253660000000006E-2</v>
      </c>
      <c r="V6150">
        <v>-9.5845890000000003E-2</v>
      </c>
      <c r="W6150">
        <v>0.1746481</v>
      </c>
      <c r="X6150">
        <v>0.97995489999999996</v>
      </c>
      <c r="Y6150">
        <v>-6.9642010000000004E-2</v>
      </c>
      <c r="Z6150">
        <v>3.4749529999999998E-3</v>
      </c>
      <c r="AA6150">
        <v>0.99756599999999995</v>
      </c>
      <c r="AB6150">
        <v>30</v>
      </c>
      <c r="AC6150">
        <v>33.348699999999901</v>
      </c>
      <c r="AD6150">
        <v>-1.108291099868</v>
      </c>
      <c r="AE6150">
        <v>-0.71100999999999404</v>
      </c>
      <c r="AF6150">
        <v>-2.3343091259477098</v>
      </c>
      <c r="AG6150">
        <v>-1.108291099868</v>
      </c>
      <c r="AH6150">
        <v>33.237625840538499</v>
      </c>
      <c r="AI6150">
        <v>91.905100856929806</v>
      </c>
      <c r="AJ6150">
        <v>94.017339100623403</v>
      </c>
      <c r="AK6150">
        <v>33.3379225473509</v>
      </c>
      <c r="AL6150">
        <v>79.941819638242606</v>
      </c>
      <c r="AM6150">
        <v>95.586128358401893</v>
      </c>
      <c r="AN6150">
        <v>0.99999999974875597</v>
      </c>
    </row>
    <row r="6151" spans="1:40" x14ac:dyDescent="0.25">
      <c r="A6151" t="str">
        <f>"20190304155757362"</f>
        <v>20190304155757362</v>
      </c>
      <c r="B6151" t="str">
        <f>"1551686277350768"</f>
        <v>1551686277350768</v>
      </c>
      <c r="C6151" t="s">
        <v>40</v>
      </c>
      <c r="D6151">
        <v>5.0056659999999997</v>
      </c>
      <c r="E6151">
        <v>0.50643959999999999</v>
      </c>
      <c r="F6151" t="s">
        <v>96</v>
      </c>
      <c r="G6151">
        <v>-239.2079</v>
      </c>
      <c r="H6151" s="1">
        <v>-3.347609E-6</v>
      </c>
      <c r="I6151">
        <v>-62.300699999999999</v>
      </c>
      <c r="J6151">
        <v>-271.67250000000001</v>
      </c>
      <c r="K6151">
        <v>1.1083459999999901</v>
      </c>
      <c r="L6151">
        <v>-61.609859999999998</v>
      </c>
      <c r="M6151">
        <v>0.99565740000000003</v>
      </c>
      <c r="N6151">
        <v>-1.220421E-2</v>
      </c>
      <c r="O6151">
        <v>-9.2290919999999999E-2</v>
      </c>
      <c r="P6151">
        <v>0.98683220000000005</v>
      </c>
      <c r="Q6151">
        <v>0.16163</v>
      </c>
      <c r="R6151">
        <v>6.1720100000000003E-3</v>
      </c>
      <c r="S6151">
        <v>3.0578919999999998</v>
      </c>
      <c r="T6151">
        <v>-0.1039003</v>
      </c>
      <c r="U6151">
        <v>-6.6192630000000002E-2</v>
      </c>
      <c r="V6151">
        <v>-9.6507490000000001E-2</v>
      </c>
      <c r="W6151">
        <v>0.17400489999999999</v>
      </c>
      <c r="X6151">
        <v>0.9800044</v>
      </c>
      <c r="Y6151">
        <v>-7.0650050000000006E-2</v>
      </c>
      <c r="Z6151">
        <v>3.6340360000000002E-3</v>
      </c>
      <c r="AA6151">
        <v>0.99749449999999995</v>
      </c>
      <c r="AB6151">
        <v>30</v>
      </c>
      <c r="AC6151">
        <v>32.464599999999997</v>
      </c>
      <c r="AD6151">
        <v>-1.1083493476089901</v>
      </c>
      <c r="AE6151">
        <v>-0.69084000000000101</v>
      </c>
      <c r="AF6151">
        <v>-2.3058331585191501</v>
      </c>
      <c r="AG6151">
        <v>-1.1083493476089901</v>
      </c>
      <c r="AH6151">
        <v>32.352095091287197</v>
      </c>
      <c r="AI6151">
        <v>91.957165924501496</v>
      </c>
      <c r="AJ6151">
        <v>94.076752368793194</v>
      </c>
      <c r="AK6151">
        <v>32.4530947927461</v>
      </c>
      <c r="AL6151">
        <v>79.979245478825106</v>
      </c>
      <c r="AM6151">
        <v>95.624159323436402</v>
      </c>
      <c r="AN6151">
        <v>1.0000000124347299</v>
      </c>
    </row>
    <row r="6152" spans="1:40" x14ac:dyDescent="0.25">
      <c r="A6152" t="str">
        <f>"20190304155757373"</f>
        <v>20190304155757373</v>
      </c>
      <c r="B6152" t="str">
        <f>"1551686277371264"</f>
        <v>1551686277371264</v>
      </c>
      <c r="C6152" t="s">
        <v>40</v>
      </c>
      <c r="D6152">
        <v>5.0345149999999999</v>
      </c>
      <c r="E6152">
        <v>0.50615730000000003</v>
      </c>
      <c r="F6152" t="s">
        <v>96</v>
      </c>
      <c r="G6152">
        <v>-239.80840000000001</v>
      </c>
      <c r="H6152" s="1">
        <v>-3.550641E-6</v>
      </c>
      <c r="I6152">
        <v>-62.293190000000003</v>
      </c>
      <c r="J6152">
        <v>-271.52659999999997</v>
      </c>
      <c r="K6152">
        <v>1.1084039999999999</v>
      </c>
      <c r="L6152">
        <v>-61.624299999999998</v>
      </c>
      <c r="M6152">
        <v>0.99557180000000001</v>
      </c>
      <c r="N6152">
        <v>-1.2178939999999999E-2</v>
      </c>
      <c r="O6152">
        <v>-9.3212349999999999E-2</v>
      </c>
      <c r="P6152">
        <v>0.98702509999999999</v>
      </c>
      <c r="Q6152">
        <v>0.16046579999999999</v>
      </c>
      <c r="R6152">
        <v>5.6626230000000003E-3</v>
      </c>
      <c r="S6152">
        <v>3.0578919999999998</v>
      </c>
      <c r="T6152">
        <v>-0.1063645</v>
      </c>
      <c r="U6152">
        <v>-6.5582280000000007E-2</v>
      </c>
      <c r="V6152">
        <v>-9.6958210000000003E-2</v>
      </c>
      <c r="W6152">
        <v>0.1728045</v>
      </c>
      <c r="X6152">
        <v>0.9801723</v>
      </c>
      <c r="Y6152">
        <v>-7.1767049999999999E-2</v>
      </c>
      <c r="Z6152">
        <v>3.78503E-3</v>
      </c>
      <c r="AA6152">
        <v>0.99741420000000003</v>
      </c>
      <c r="AB6152">
        <v>30</v>
      </c>
      <c r="AC6152">
        <v>31.7181999999999</v>
      </c>
      <c r="AD6152">
        <v>-1.1084075506410001</v>
      </c>
      <c r="AE6152">
        <v>-0.66889000000000398</v>
      </c>
      <c r="AF6152">
        <v>-2.2879769429384198</v>
      </c>
      <c r="AG6152">
        <v>-1.1084075506410001</v>
      </c>
      <c r="AH6152">
        <v>31.6038627955595</v>
      </c>
      <c r="AI6152">
        <v>92.003409720443798</v>
      </c>
      <c r="AJ6152">
        <v>94.140731766198698</v>
      </c>
      <c r="AK6152">
        <v>31.705954478461699</v>
      </c>
      <c r="AL6152">
        <v>80.049081316106097</v>
      </c>
      <c r="AM6152">
        <v>95.649294716040998</v>
      </c>
      <c r="AN6152">
        <v>1.00000001369697</v>
      </c>
    </row>
    <row r="6153" spans="1:40" x14ac:dyDescent="0.25">
      <c r="A6153" t="str">
        <f>"20190304155757383"</f>
        <v>20190304155757383</v>
      </c>
      <c r="B6153" t="str">
        <f>"1551686277381024"</f>
        <v>1551686277381024</v>
      </c>
      <c r="C6153" t="s">
        <v>40</v>
      </c>
      <c r="D6153">
        <v>5.0264160000000002</v>
      </c>
      <c r="E6153">
        <v>0.50602849999999999</v>
      </c>
      <c r="F6153" t="s">
        <v>94</v>
      </c>
      <c r="G6153">
        <v>-240.8852</v>
      </c>
      <c r="H6153" s="1">
        <v>1.2986789999999999E-7</v>
      </c>
      <c r="I6153">
        <v>-62.274999999999999</v>
      </c>
      <c r="J6153">
        <v>-271.37860000000001</v>
      </c>
      <c r="K6153">
        <v>1.1084639999999999</v>
      </c>
      <c r="L6153">
        <v>-61.639099999999999</v>
      </c>
      <c r="M6153">
        <v>0.99548939999999997</v>
      </c>
      <c r="N6153">
        <v>-1.2155340000000001E-2</v>
      </c>
      <c r="O6153">
        <v>-9.4091770000000005E-2</v>
      </c>
      <c r="P6153">
        <v>0.98714500000000005</v>
      </c>
      <c r="Q6153">
        <v>0.15973389999999901</v>
      </c>
      <c r="R6153">
        <v>5.4806250000000003E-3</v>
      </c>
      <c r="S6153">
        <v>3.0577999999999999</v>
      </c>
      <c r="T6153">
        <v>-0.110611</v>
      </c>
      <c r="U6153">
        <v>-6.4941410000000005E-2</v>
      </c>
      <c r="V6153">
        <v>-9.7686599999999998E-2</v>
      </c>
      <c r="W6153">
        <v>0.17203750000000001</v>
      </c>
      <c r="X6153">
        <v>0.98023490000000002</v>
      </c>
      <c r="Y6153">
        <v>-7.2848029999999994E-2</v>
      </c>
      <c r="Z6153">
        <v>4.0125559999999996E-3</v>
      </c>
      <c r="AA6153">
        <v>0.99733499999999997</v>
      </c>
      <c r="AB6153">
        <v>30</v>
      </c>
      <c r="AC6153">
        <v>30.493400000000001</v>
      </c>
      <c r="AD6153">
        <v>-1.1084638701320999</v>
      </c>
      <c r="AE6153">
        <v>-0.63589999999999902</v>
      </c>
      <c r="AF6153">
        <v>-2.2333614470871299</v>
      </c>
      <c r="AG6153">
        <v>-1.1084638701320999</v>
      </c>
      <c r="AH6153">
        <v>30.3778107306197</v>
      </c>
      <c r="AI6153">
        <v>92.084133592348905</v>
      </c>
      <c r="AJ6153">
        <v>94.204792136170198</v>
      </c>
      <c r="AK6153">
        <v>30.4799603065699</v>
      </c>
      <c r="AL6153">
        <v>80.093695373424794</v>
      </c>
      <c r="AM6153">
        <v>95.691095859716995</v>
      </c>
      <c r="AN6153">
        <v>1.0000000162019</v>
      </c>
    </row>
    <row r="6154" spans="1:40" x14ac:dyDescent="0.25">
      <c r="A6154" t="str">
        <f>"20190304155757394"</f>
        <v>20190304155757394</v>
      </c>
      <c r="B6154" t="str">
        <f>"1551686277390783"</f>
        <v>1551686277390783</v>
      </c>
      <c r="C6154" t="s">
        <v>40</v>
      </c>
      <c r="D6154">
        <v>5.0249009999999998</v>
      </c>
      <c r="E6154">
        <v>0.50585259999999999</v>
      </c>
      <c r="F6154" t="s">
        <v>94</v>
      </c>
      <c r="G6154">
        <v>-241.4796</v>
      </c>
      <c r="H6154" s="1">
        <v>-1.232049E-7</v>
      </c>
      <c r="I6154">
        <v>-62.267780000000002</v>
      </c>
      <c r="J6154">
        <v>-271.24349999999998</v>
      </c>
      <c r="K6154">
        <v>1.1085229999999999</v>
      </c>
      <c r="L6154">
        <v>-61.652650000000001</v>
      </c>
      <c r="M6154">
        <v>0.99541659999999998</v>
      </c>
      <c r="N6154">
        <v>-1.2134829999999999E-2</v>
      </c>
      <c r="O6154">
        <v>-9.4862849999999999E-2</v>
      </c>
      <c r="P6154">
        <v>0.98728380000000004</v>
      </c>
      <c r="Q6154">
        <v>0.1588881</v>
      </c>
      <c r="R6154">
        <v>5.0793239999999996E-3</v>
      </c>
      <c r="S6154">
        <v>3.0577390000000002</v>
      </c>
      <c r="T6154">
        <v>-0.1133612</v>
      </c>
      <c r="U6154">
        <v>-6.4300540000000003E-2</v>
      </c>
      <c r="V6154">
        <v>-9.809023E-2</v>
      </c>
      <c r="W6154">
        <v>0.17115910000000001</v>
      </c>
      <c r="X6154">
        <v>0.98034829999999995</v>
      </c>
      <c r="Y6154">
        <v>-7.3823E-2</v>
      </c>
      <c r="Z6154">
        <v>4.1740789999999998E-3</v>
      </c>
      <c r="AA6154">
        <v>0.9972626</v>
      </c>
      <c r="AB6154">
        <v>30</v>
      </c>
      <c r="AC6154">
        <v>29.7638999999999</v>
      </c>
      <c r="AD6154">
        <v>-1.1085231232049</v>
      </c>
      <c r="AE6154">
        <v>-0.61512999999999995</v>
      </c>
      <c r="AF6154">
        <v>-2.2082783121507998</v>
      </c>
      <c r="AG6154">
        <v>-1.1085231232049</v>
      </c>
      <c r="AH6154">
        <v>29.6469069196968</v>
      </c>
      <c r="AI6154">
        <v>92.135430333311405</v>
      </c>
      <c r="AJ6154">
        <v>94.259864607910202</v>
      </c>
      <c r="AK6154">
        <v>29.749695906408199</v>
      </c>
      <c r="AL6154">
        <v>80.144781192050601</v>
      </c>
      <c r="AM6154">
        <v>95.713798876737201</v>
      </c>
      <c r="AN6154">
        <v>0.99999996002357505</v>
      </c>
    </row>
    <row r="6155" spans="1:40" x14ac:dyDescent="0.25">
      <c r="A6155" t="str">
        <f>"20190304155757405"</f>
        <v>20190304155757405</v>
      </c>
      <c r="B6155" t="str">
        <f>"1551686277400544"</f>
        <v>1551686277400544</v>
      </c>
      <c r="C6155" t="s">
        <v>40</v>
      </c>
      <c r="D6155">
        <v>5.058122</v>
      </c>
      <c r="E6155">
        <v>0.50578489999999998</v>
      </c>
      <c r="F6155" t="s">
        <v>94</v>
      </c>
      <c r="G6155">
        <v>-242.18430000000001</v>
      </c>
      <c r="H6155" s="1">
        <v>-4.2336629999999998E-7</v>
      </c>
      <c r="I6155">
        <v>-62.259610000000002</v>
      </c>
      <c r="J6155">
        <v>-271.09739999999999</v>
      </c>
      <c r="K6155">
        <v>1.1085830000000001</v>
      </c>
      <c r="L6155">
        <v>-61.667389999999997</v>
      </c>
      <c r="M6155">
        <v>0.99534140000000004</v>
      </c>
      <c r="N6155">
        <v>-1.2114089999999999E-2</v>
      </c>
      <c r="O6155">
        <v>-9.5649659999999997E-2</v>
      </c>
      <c r="P6155">
        <v>0.98737540000000001</v>
      </c>
      <c r="Q6155">
        <v>0.15832389999999999</v>
      </c>
      <c r="R6155">
        <v>4.8462779999999999E-3</v>
      </c>
      <c r="S6155">
        <v>3.0577390000000002</v>
      </c>
      <c r="T6155">
        <v>-0.116644</v>
      </c>
      <c r="U6155">
        <v>-6.3873289999999999E-2</v>
      </c>
      <c r="V6155">
        <v>-9.8674189999999995E-2</v>
      </c>
      <c r="W6155">
        <v>0.17056099999999999</v>
      </c>
      <c r="X6155">
        <v>0.98039399999999999</v>
      </c>
      <c r="Y6155">
        <v>-7.4743320000000002E-2</v>
      </c>
      <c r="Z6155">
        <v>4.3599329999999999E-3</v>
      </c>
      <c r="AA6155">
        <v>0.99719329999999995</v>
      </c>
      <c r="AB6155">
        <v>30</v>
      </c>
      <c r="AC6155">
        <v>28.913099999999901</v>
      </c>
      <c r="AD6155">
        <v>-1.1085834233662999</v>
      </c>
      <c r="AE6155">
        <v>-0.59221999999998998</v>
      </c>
      <c r="AF6155">
        <v>-2.1730334265098898</v>
      </c>
      <c r="AG6155">
        <v>-1.1085834233662999</v>
      </c>
      <c r="AH6155">
        <v>28.794851877737798</v>
      </c>
      <c r="AI6155">
        <v>92.198516718248598</v>
      </c>
      <c r="AJ6155">
        <v>94.315705136007594</v>
      </c>
      <c r="AK6155">
        <v>28.898002113297601</v>
      </c>
      <c r="AL6155">
        <v>80.179561852753494</v>
      </c>
      <c r="AM6155">
        <v>95.747321603536307</v>
      </c>
      <c r="AN6155">
        <v>1.00000002286457</v>
      </c>
    </row>
    <row r="6156" spans="1:40" x14ac:dyDescent="0.25">
      <c r="A6156" t="str">
        <f>"20190304155757417"</f>
        <v>20190304155757417</v>
      </c>
      <c r="B6156" t="str">
        <f>"1551686277411283"</f>
        <v>1551686277411283</v>
      </c>
      <c r="C6156" t="s">
        <v>40</v>
      </c>
      <c r="D6156">
        <v>5.0282429999999998</v>
      </c>
      <c r="E6156">
        <v>0.50564989999999999</v>
      </c>
      <c r="F6156" t="s">
        <v>94</v>
      </c>
      <c r="G6156">
        <v>-242.52440000000001</v>
      </c>
      <c r="H6156" s="1">
        <v>-5.7041269999999998E-7</v>
      </c>
      <c r="I6156">
        <v>-62.263910000000003</v>
      </c>
      <c r="J6156">
        <v>-270.93869999999998</v>
      </c>
      <c r="K6156">
        <v>1.1086579999999999</v>
      </c>
      <c r="L6156">
        <v>-61.683529999999998</v>
      </c>
      <c r="M6156">
        <v>0.99526490000000001</v>
      </c>
      <c r="N6156">
        <v>-1.2093110000000001E-2</v>
      </c>
      <c r="O6156">
        <v>-9.6445980000000001E-2</v>
      </c>
      <c r="P6156">
        <v>0.98747879999999999</v>
      </c>
      <c r="Q6156">
        <v>0.157683399999999</v>
      </c>
      <c r="R6156">
        <v>4.6756840000000003E-3</v>
      </c>
      <c r="S6156">
        <v>3.057709</v>
      </c>
      <c r="T6156">
        <v>-0.118634</v>
      </c>
      <c r="U6156">
        <v>-6.3842769999999993E-2</v>
      </c>
      <c r="V6156">
        <v>-9.9334350000000002E-2</v>
      </c>
      <c r="W6156">
        <v>0.1698839</v>
      </c>
      <c r="X6156">
        <v>0.98044489999999995</v>
      </c>
      <c r="Y6156">
        <v>-7.5545950000000001E-2</v>
      </c>
      <c r="Z6156">
        <v>4.4891169999999999E-3</v>
      </c>
      <c r="AA6156">
        <v>0.99713220000000002</v>
      </c>
      <c r="AB6156">
        <v>30</v>
      </c>
      <c r="AC6156">
        <v>28.414299999999901</v>
      </c>
      <c r="AD6156">
        <v>-1.1086585704127001</v>
      </c>
      <c r="AE6156">
        <v>-0.58037999999999101</v>
      </c>
      <c r="AF6156">
        <v>-2.1596845381906502</v>
      </c>
      <c r="AG6156">
        <v>-1.1086585704127001</v>
      </c>
      <c r="AH6156">
        <v>28.294741566887399</v>
      </c>
      <c r="AI6156">
        <v>92.237342512713198</v>
      </c>
      <c r="AJ6156">
        <v>94.364816035554995</v>
      </c>
      <c r="AK6156">
        <v>28.3986929535005</v>
      </c>
      <c r="AL6156">
        <v>80.218931440786804</v>
      </c>
      <c r="AM6156">
        <v>95.785214612713105</v>
      </c>
      <c r="AN6156">
        <v>1.00000002725257</v>
      </c>
    </row>
    <row r="6157" spans="1:40" x14ac:dyDescent="0.25">
      <c r="A6157" t="str">
        <f>"20190304155757427"</f>
        <v>20190304155757427</v>
      </c>
      <c r="B6157" t="str">
        <f>"1551686277421039"</f>
        <v>1551686277421039</v>
      </c>
      <c r="C6157" t="s">
        <v>40</v>
      </c>
      <c r="D6157">
        <v>5.047701</v>
      </c>
      <c r="E6157">
        <v>0.50556120000000004</v>
      </c>
      <c r="F6157" t="s">
        <v>94</v>
      </c>
      <c r="G6157">
        <v>-242.9718</v>
      </c>
      <c r="H6157" s="1">
        <v>-7.6185950000000001E-7</v>
      </c>
      <c r="I6157">
        <v>-62.262090000000001</v>
      </c>
      <c r="J6157">
        <v>-270.79430000000002</v>
      </c>
      <c r="K6157">
        <v>1.10873</v>
      </c>
      <c r="L6157">
        <v>-61.698210000000003</v>
      </c>
      <c r="M6157">
        <v>0.99519800000000003</v>
      </c>
      <c r="N6157">
        <v>-1.2074929999999999E-2</v>
      </c>
      <c r="O6157">
        <v>-9.7136349999999996E-2</v>
      </c>
      <c r="P6157">
        <v>0.98759030000000003</v>
      </c>
      <c r="Q6157">
        <v>0.15698909999999999</v>
      </c>
      <c r="R6157">
        <v>4.4616919999999997E-3</v>
      </c>
      <c r="S6157">
        <v>3.0577700000000001</v>
      </c>
      <c r="T6157">
        <v>-0.12121560000000001</v>
      </c>
      <c r="U6157">
        <v>-6.3262940000000004E-2</v>
      </c>
      <c r="V6157">
        <v>-9.9846299999999999E-2</v>
      </c>
      <c r="W6157">
        <v>0.16915639999999901</v>
      </c>
      <c r="X6157">
        <v>0.98051860000000002</v>
      </c>
      <c r="Y6157">
        <v>-7.6420769999999999E-2</v>
      </c>
      <c r="Z6157">
        <v>4.6446769999999998E-3</v>
      </c>
      <c r="AA6157">
        <v>0.99706479999999997</v>
      </c>
      <c r="AB6157">
        <v>30</v>
      </c>
      <c r="AC6157">
        <v>27.822500000000002</v>
      </c>
      <c r="AD6157">
        <v>-1.1087307618594999</v>
      </c>
      <c r="AE6157">
        <v>-0.56388000000000404</v>
      </c>
      <c r="AF6157">
        <v>-2.1381655357800602</v>
      </c>
      <c r="AG6157">
        <v>-1.1087307618594999</v>
      </c>
      <c r="AH6157">
        <v>27.701714548137002</v>
      </c>
      <c r="AI6157">
        <v>92.285187708342093</v>
      </c>
      <c r="AJ6157">
        <v>94.413641750150504</v>
      </c>
      <c r="AK6157">
        <v>27.806222768782501</v>
      </c>
      <c r="AL6157">
        <v>80.261225486805699</v>
      </c>
      <c r="AM6157">
        <v>95.814392623453202</v>
      </c>
      <c r="AN6157">
        <v>0.99999994811530302</v>
      </c>
    </row>
    <row r="6158" spans="1:40" x14ac:dyDescent="0.25">
      <c r="A6158" t="str">
        <f>"20190304155757438"</f>
        <v>20190304155757438</v>
      </c>
      <c r="B6158" t="str">
        <f>"1551686277430799"</f>
        <v>1551686277430799</v>
      </c>
      <c r="C6158" t="s">
        <v>40</v>
      </c>
      <c r="D6158">
        <v>5.1669640000000001</v>
      </c>
      <c r="E6158">
        <v>0.50559809999999905</v>
      </c>
      <c r="F6158" t="s">
        <v>94</v>
      </c>
      <c r="G6158">
        <v>-243.39930000000001</v>
      </c>
      <c r="H6158" s="1">
        <v>-9.4549859999999999E-7</v>
      </c>
      <c r="I6158">
        <v>-62.26305</v>
      </c>
      <c r="J6158">
        <v>-270.65120000000002</v>
      </c>
      <c r="K6158">
        <v>1.108803</v>
      </c>
      <c r="L6158">
        <v>-61.712890000000002</v>
      </c>
      <c r="M6158">
        <v>0.99513839999999998</v>
      </c>
      <c r="N6158">
        <v>-1.2058620000000001E-2</v>
      </c>
      <c r="O6158">
        <v>-9.7745280000000004E-2</v>
      </c>
      <c r="P6158">
        <v>0.98764149999999995</v>
      </c>
      <c r="Q6158">
        <v>0.15666250000000001</v>
      </c>
      <c r="R6158">
        <v>4.5847839999999997E-3</v>
      </c>
      <c r="S6158">
        <v>3.057617</v>
      </c>
      <c r="T6158">
        <v>-0.12374780000000001</v>
      </c>
      <c r="U6158">
        <v>-6.3049320000000006E-2</v>
      </c>
      <c r="V6158">
        <v>-0.1006063</v>
      </c>
      <c r="W6158">
        <v>0.168797799999999</v>
      </c>
      <c r="X6158">
        <v>0.98050280000000001</v>
      </c>
      <c r="Y6158">
        <v>-7.7093300000000003E-2</v>
      </c>
      <c r="Z6158">
        <v>4.7925889999999999E-3</v>
      </c>
      <c r="AA6158">
        <v>0.99701240000000002</v>
      </c>
      <c r="AB6158">
        <v>30</v>
      </c>
      <c r="AC6158">
        <v>27.251899999999999</v>
      </c>
      <c r="AD6158">
        <v>-1.1088039454986001</v>
      </c>
      <c r="AE6158">
        <v>-0.55015999999999798</v>
      </c>
      <c r="AF6158">
        <v>-2.1129167471393902</v>
      </c>
      <c r="AG6158">
        <v>-1.1088039454986001</v>
      </c>
      <c r="AH6158">
        <v>27.130269257946399</v>
      </c>
      <c r="AI6158">
        <v>92.333296981139995</v>
      </c>
      <c r="AJ6158">
        <v>94.453230371033897</v>
      </c>
      <c r="AK6158">
        <v>27.235002724041902</v>
      </c>
      <c r="AL6158">
        <v>80.282072352400803</v>
      </c>
      <c r="AM6158">
        <v>95.858437110820702</v>
      </c>
      <c r="AN6158">
        <v>1.00000003284618</v>
      </c>
    </row>
    <row r="6159" spans="1:40" x14ac:dyDescent="0.25">
      <c r="A6159" t="str">
        <f>"20190304155757449"</f>
        <v>20190304155757449</v>
      </c>
      <c r="B6159" t="str">
        <f>"1551686277440560"</f>
        <v>1551686277440560</v>
      </c>
      <c r="C6159" t="s">
        <v>40</v>
      </c>
      <c r="D6159">
        <v>4.9898759999999998</v>
      </c>
      <c r="E6159">
        <v>0.505521</v>
      </c>
      <c r="F6159" t="s">
        <v>94</v>
      </c>
      <c r="G6159">
        <v>-243.5206</v>
      </c>
      <c r="H6159" s="1">
        <v>-9.9991639999999993E-7</v>
      </c>
      <c r="I6159">
        <v>-62.271999999999998</v>
      </c>
      <c r="J6159">
        <v>-270.50749999999999</v>
      </c>
      <c r="K6159">
        <v>1.108876</v>
      </c>
      <c r="L6159">
        <v>-61.727600000000002</v>
      </c>
      <c r="M6159">
        <v>0.99507990000000002</v>
      </c>
      <c r="N6159">
        <v>-1.204268E-2</v>
      </c>
      <c r="O6159">
        <v>-9.8341349999999994E-2</v>
      </c>
      <c r="P6159">
        <v>0.98770230000000003</v>
      </c>
      <c r="Q6159">
        <v>0.15627939999999901</v>
      </c>
      <c r="R6159">
        <v>4.5787809999999996E-3</v>
      </c>
      <c r="S6159">
        <v>3.0576479999999999</v>
      </c>
      <c r="T6159">
        <v>-0.1249633</v>
      </c>
      <c r="U6159">
        <v>-6.30188E-2</v>
      </c>
      <c r="V6159">
        <v>-0.101227</v>
      </c>
      <c r="W6159">
        <v>0.1683819</v>
      </c>
      <c r="X6159">
        <v>0.9805104</v>
      </c>
      <c r="Y6159">
        <v>-7.7697180000000005E-2</v>
      </c>
      <c r="Z6159">
        <v>4.880555E-3</v>
      </c>
      <c r="AA6159">
        <v>0.99696510000000005</v>
      </c>
      <c r="AB6159">
        <v>30</v>
      </c>
      <c r="AC6159">
        <v>26.986899999999899</v>
      </c>
      <c r="AD6159">
        <v>-1.1088769999164001</v>
      </c>
      <c r="AE6159">
        <v>-0.544399999999996</v>
      </c>
      <c r="AF6159">
        <v>-2.1088008707942998</v>
      </c>
      <c r="AG6159">
        <v>-1.1088769999164001</v>
      </c>
      <c r="AH6159">
        <v>26.8642717553472</v>
      </c>
      <c r="AI6159">
        <v>92.356416328430498</v>
      </c>
      <c r="AJ6159">
        <v>94.488419764574601</v>
      </c>
      <c r="AK6159">
        <v>26.969719061546598</v>
      </c>
      <c r="AL6159">
        <v>80.306247453906593</v>
      </c>
      <c r="AM6159">
        <v>95.894282215178706</v>
      </c>
      <c r="AN6159">
        <v>1.00000000714238</v>
      </c>
    </row>
    <row r="6160" spans="1:40" x14ac:dyDescent="0.25">
      <c r="A6160" t="str">
        <f>"20190304155757462"</f>
        <v>20190304155757462</v>
      </c>
      <c r="B6160" t="str">
        <f>"1551686277451296"</f>
        <v>1551686277451296</v>
      </c>
      <c r="C6160" t="s">
        <v>40</v>
      </c>
      <c r="D6160">
        <v>5.1164310000000004</v>
      </c>
      <c r="E6160">
        <v>0.50551629999999903</v>
      </c>
      <c r="F6160" t="s">
        <v>94</v>
      </c>
      <c r="G6160">
        <v>-243.92660000000001</v>
      </c>
      <c r="H6160" s="1">
        <v>-1.173289E-6</v>
      </c>
      <c r="I6160">
        <v>-62.268990000000002</v>
      </c>
      <c r="J6160">
        <v>-270.34910000000002</v>
      </c>
      <c r="K6160">
        <v>1.1089610000000001</v>
      </c>
      <c r="L6160">
        <v>-61.743929999999999</v>
      </c>
      <c r="M6160">
        <v>0.99502469999999998</v>
      </c>
      <c r="N6160">
        <v>-1.2027080000000001E-2</v>
      </c>
      <c r="O6160">
        <v>-9.8901139999999998E-2</v>
      </c>
      <c r="P6160">
        <v>0.98777999999999999</v>
      </c>
      <c r="Q6160">
        <v>0.15578120000000001</v>
      </c>
      <c r="R6160">
        <v>4.7759020000000003E-3</v>
      </c>
      <c r="S6160">
        <v>3.0577999999999999</v>
      </c>
      <c r="T6160">
        <v>-0.12756239999999999</v>
      </c>
      <c r="U6160">
        <v>-6.2286380000000002E-2</v>
      </c>
      <c r="V6160">
        <v>-0.1020204</v>
      </c>
      <c r="W6160">
        <v>0.16784930000000001</v>
      </c>
      <c r="X6160">
        <v>0.98051949999999999</v>
      </c>
      <c r="Y6160">
        <v>-7.8491030000000003E-2</v>
      </c>
      <c r="Z6160">
        <v>5.0353960000000001E-3</v>
      </c>
      <c r="AA6160">
        <v>0.99690210000000001</v>
      </c>
      <c r="AB6160">
        <v>30</v>
      </c>
      <c r="AC6160">
        <v>26.422499999999999</v>
      </c>
      <c r="AD6160">
        <v>-1.108962173289</v>
      </c>
      <c r="AE6160">
        <v>-0.52505999999999597</v>
      </c>
      <c r="AF6160">
        <v>-2.0872434304015099</v>
      </c>
      <c r="AG6160">
        <v>-1.108962173289</v>
      </c>
      <c r="AH6160">
        <v>26.298564524254701</v>
      </c>
      <c r="AI6160">
        <v>92.407066899220695</v>
      </c>
      <c r="AJ6160">
        <v>94.537893250979394</v>
      </c>
      <c r="AK6160">
        <v>26.404561694448301</v>
      </c>
      <c r="AL6160">
        <v>80.337203901265795</v>
      </c>
      <c r="AM6160">
        <v>95.940096798178899</v>
      </c>
      <c r="AN6160">
        <v>1.00000001970344</v>
      </c>
    </row>
    <row r="6161" spans="1:40" x14ac:dyDescent="0.25">
      <c r="A6161" t="str">
        <f>"20190304155757472"</f>
        <v>20190304155757472</v>
      </c>
      <c r="B6161" t="str">
        <f>"1551686277461055"</f>
        <v>1551686277461055</v>
      </c>
      <c r="C6161" t="s">
        <v>40</v>
      </c>
      <c r="D6161">
        <v>5.0426789999999997</v>
      </c>
      <c r="E6161">
        <v>0.50546970000000002</v>
      </c>
      <c r="F6161" t="s">
        <v>94</v>
      </c>
      <c r="G6161">
        <v>-244.10910000000001</v>
      </c>
      <c r="H6161" s="1">
        <v>-1.2527990000000001E-6</v>
      </c>
      <c r="I6161">
        <v>-62.27366</v>
      </c>
      <c r="J6161">
        <v>-270.2054</v>
      </c>
      <c r="K6161">
        <v>1.1090370000000001</v>
      </c>
      <c r="L6161">
        <v>-61.75873</v>
      </c>
      <c r="M6161">
        <v>0.99497650000000004</v>
      </c>
      <c r="N6161">
        <v>-1.20134E-2</v>
      </c>
      <c r="O6161">
        <v>-9.9386000000000002E-2</v>
      </c>
      <c r="P6161">
        <v>0.98779589999999995</v>
      </c>
      <c r="Q6161">
        <v>0.15566920000000001</v>
      </c>
      <c r="R6161">
        <v>5.1179249999999997E-3</v>
      </c>
      <c r="S6161">
        <v>3.0577700000000001</v>
      </c>
      <c r="T6161">
        <v>-0.12922790000000001</v>
      </c>
      <c r="U6161">
        <v>-6.1737060000000003E-2</v>
      </c>
      <c r="V6161">
        <v>-0.1028734</v>
      </c>
      <c r="W6161">
        <v>0.16770589999999999</v>
      </c>
      <c r="X6161">
        <v>0.98045490000000002</v>
      </c>
      <c r="Y6161">
        <v>-7.9150960000000006E-2</v>
      </c>
      <c r="Z6161">
        <v>5.1438159999999998E-3</v>
      </c>
      <c r="AA6161">
        <v>0.9968494</v>
      </c>
      <c r="AB6161">
        <v>30</v>
      </c>
      <c r="AC6161">
        <v>26.0962999999999</v>
      </c>
      <c r="AD6161">
        <v>-1.1090382527989999</v>
      </c>
      <c r="AE6161">
        <v>-0.51492999999999201</v>
      </c>
      <c r="AF6161">
        <v>-2.0776627358314701</v>
      </c>
      <c r="AG6161">
        <v>-1.1090382527989999</v>
      </c>
      <c r="AH6161">
        <v>25.971369969409899</v>
      </c>
      <c r="AI6161">
        <v>92.437400831347801</v>
      </c>
      <c r="AJ6161">
        <v>94.573818535067602</v>
      </c>
      <c r="AK6161">
        <v>26.077935239930301</v>
      </c>
      <c r="AL6161">
        <v>80.3455381436236</v>
      </c>
      <c r="AM6161">
        <v>95.989794594920895</v>
      </c>
      <c r="AN6161">
        <v>1.0000000081281899</v>
      </c>
    </row>
    <row r="6162" spans="1:40" x14ac:dyDescent="0.25">
      <c r="A6162" t="str">
        <f>"20190304155757483"</f>
        <v>20190304155757483</v>
      </c>
      <c r="B6162" t="str">
        <f>"1551686277480576"</f>
        <v>1551686277480576</v>
      </c>
      <c r="C6162" t="s">
        <v>40</v>
      </c>
      <c r="D6162">
        <v>5.023574</v>
      </c>
      <c r="E6162">
        <v>0.50535529999999995</v>
      </c>
      <c r="F6162" t="s">
        <v>94</v>
      </c>
      <c r="G6162">
        <v>-244.0256</v>
      </c>
      <c r="H6162" s="1">
        <v>-1.2175420000000001E-6</v>
      </c>
      <c r="I6162">
        <v>-62.275739999999999</v>
      </c>
      <c r="J6162">
        <v>-270.05590000000001</v>
      </c>
      <c r="K6162">
        <v>1.109118</v>
      </c>
      <c r="L6162">
        <v>-61.774169999999998</v>
      </c>
      <c r="M6162">
        <v>0.99493339999999997</v>
      </c>
      <c r="N6162">
        <v>-1.2000469999999999E-2</v>
      </c>
      <c r="O6162">
        <v>-9.9818240000000003E-2</v>
      </c>
      <c r="P6162">
        <v>0.98776319999999995</v>
      </c>
      <c r="Q6162">
        <v>0.15585950000000001</v>
      </c>
      <c r="R6162">
        <v>5.6526679999999996E-3</v>
      </c>
      <c r="S6162">
        <v>3.0577999999999999</v>
      </c>
      <c r="T6162">
        <v>-0.12953519999999999</v>
      </c>
      <c r="U6162">
        <v>-6.0394290000000003E-2</v>
      </c>
      <c r="V6162">
        <v>-0.1038626</v>
      </c>
      <c r="W6162">
        <v>0.16786289999999901</v>
      </c>
      <c r="X6162">
        <v>0.98032370000000002</v>
      </c>
      <c r="Y6162">
        <v>-8.0019859999999998E-2</v>
      </c>
      <c r="Z6162">
        <v>5.1951439999999996E-3</v>
      </c>
      <c r="AA6162">
        <v>0.99677969999999905</v>
      </c>
      <c r="AB6162">
        <v>30</v>
      </c>
      <c r="AC6162">
        <v>26.0303</v>
      </c>
      <c r="AD6162">
        <v>-1.1091192175419999</v>
      </c>
      <c r="AE6162">
        <v>-0.50157000000000096</v>
      </c>
      <c r="AF6162">
        <v>-2.0956177936320799</v>
      </c>
      <c r="AG6162">
        <v>-1.1091192175419999</v>
      </c>
      <c r="AH6162">
        <v>25.903336987727599</v>
      </c>
      <c r="AI6162">
        <v>92.443796669519202</v>
      </c>
      <c r="AJ6162">
        <v>94.625238992671598</v>
      </c>
      <c r="AK6162">
        <v>26.0116248334371</v>
      </c>
      <c r="AL6162">
        <v>80.336413025748399</v>
      </c>
      <c r="AM6162">
        <v>96.047769233335899</v>
      </c>
      <c r="AN6162">
        <v>0.99999997482842895</v>
      </c>
    </row>
    <row r="6163" spans="1:40" x14ac:dyDescent="0.25">
      <c r="A6163" t="str">
        <f>"20190304155757494"</f>
        <v>20190304155757494</v>
      </c>
      <c r="B6163" t="str">
        <f>"1551686277491313"</f>
        <v>1551686277491313</v>
      </c>
      <c r="C6163" t="s">
        <v>40</v>
      </c>
      <c r="D6163">
        <v>5.0152449999999904</v>
      </c>
      <c r="E6163">
        <v>0.50530989999999998</v>
      </c>
      <c r="F6163" t="s">
        <v>94</v>
      </c>
      <c r="G6163">
        <v>-243.69839999999999</v>
      </c>
      <c r="H6163" s="1">
        <v>-1.0764810000000001E-6</v>
      </c>
      <c r="I6163">
        <v>-62.273119999999999</v>
      </c>
      <c r="J6163">
        <v>-269.9117</v>
      </c>
      <c r="K6163">
        <v>1.1091949999999999</v>
      </c>
      <c r="L6163">
        <v>-61.789059999999999</v>
      </c>
      <c r="M6163">
        <v>0.99489519999999998</v>
      </c>
      <c r="N6163">
        <v>-1.198868E-2</v>
      </c>
      <c r="O6163">
        <v>-0.1002007</v>
      </c>
      <c r="P6163">
        <v>0.98772199999999999</v>
      </c>
      <c r="Q6163">
        <v>0.15610379999999999</v>
      </c>
      <c r="R6163">
        <v>6.0801819999999999E-3</v>
      </c>
      <c r="S6163">
        <v>3.0577999999999999</v>
      </c>
      <c r="T6163">
        <v>-0.12867149999999999</v>
      </c>
      <c r="U6163">
        <v>-5.7891850000000002E-2</v>
      </c>
      <c r="V6163">
        <v>-0.1046926</v>
      </c>
      <c r="W6163">
        <v>0.1680759</v>
      </c>
      <c r="X6163">
        <v>0.98019889999999998</v>
      </c>
      <c r="Y6163">
        <v>-8.1218700000000005E-2</v>
      </c>
      <c r="Z6163">
        <v>5.2003459999999998E-3</v>
      </c>
      <c r="AA6163">
        <v>0.99668279999999998</v>
      </c>
      <c r="AB6163">
        <v>30</v>
      </c>
      <c r="AC6163">
        <v>26.2133</v>
      </c>
      <c r="AD6163">
        <v>-1.109196076481</v>
      </c>
      <c r="AE6163">
        <v>-0.48405999999999899</v>
      </c>
      <c r="AF6163">
        <v>-2.1413230873009601</v>
      </c>
      <c r="AG6163">
        <v>-1.109196076481</v>
      </c>
      <c r="AH6163">
        <v>26.0831766696312</v>
      </c>
      <c r="AI6163">
        <v>92.426900819787505</v>
      </c>
      <c r="AJ6163">
        <v>94.693226441030006</v>
      </c>
      <c r="AK6163">
        <v>26.194420888416001</v>
      </c>
      <c r="AL6163">
        <v>80.324033048270095</v>
      </c>
      <c r="AM6163">
        <v>96.096506761112096</v>
      </c>
      <c r="AN6163">
        <v>0.99999996610838904</v>
      </c>
    </row>
    <row r="6164" spans="1:40" x14ac:dyDescent="0.25">
      <c r="A6164" t="str">
        <f>"20190304155757505"</f>
        <v>20190304155757505</v>
      </c>
      <c r="B6164" t="str">
        <f>"1551686277501071"</f>
        <v>1551686277501071</v>
      </c>
      <c r="C6164" t="s">
        <v>40</v>
      </c>
      <c r="D6164">
        <v>4.9862520000000004</v>
      </c>
      <c r="E6164">
        <v>0.50522639999999996</v>
      </c>
      <c r="F6164" t="s">
        <v>94</v>
      </c>
      <c r="G6164">
        <v>-243.36080000000001</v>
      </c>
      <c r="H6164" s="1">
        <v>-9.3236120000000003E-7</v>
      </c>
      <c r="I6164">
        <v>-62.275779999999997</v>
      </c>
      <c r="J6164">
        <v>-269.75319999999999</v>
      </c>
      <c r="K6164">
        <v>1.109275</v>
      </c>
      <c r="L6164">
        <v>-61.80545</v>
      </c>
      <c r="M6164">
        <v>0.99485820000000003</v>
      </c>
      <c r="N6164">
        <v>-1.19767E-2</v>
      </c>
      <c r="O6164">
        <v>-0.1005687</v>
      </c>
      <c r="P6164">
        <v>0.98774320000000004</v>
      </c>
      <c r="Q6164">
        <v>0.15595059999999999</v>
      </c>
      <c r="R6164">
        <v>6.5615659999999996E-3</v>
      </c>
      <c r="S6164">
        <v>3.0578310000000002</v>
      </c>
      <c r="T6164">
        <v>-0.12774430000000001</v>
      </c>
      <c r="U6164">
        <v>-5.6060789999999999E-2</v>
      </c>
      <c r="V6164">
        <v>-0.1055719</v>
      </c>
      <c r="W6164">
        <v>0.1678907</v>
      </c>
      <c r="X6164">
        <v>0.98013640000000002</v>
      </c>
      <c r="Y6164">
        <v>-8.2184989999999999E-2</v>
      </c>
      <c r="Z6164">
        <v>5.1953040000000004E-3</v>
      </c>
      <c r="AA6164">
        <v>0.99660349999999998</v>
      </c>
      <c r="AB6164">
        <v>30</v>
      </c>
      <c r="AC6164">
        <v>26.392399999999899</v>
      </c>
      <c r="AD6164">
        <v>-1.1092759323612</v>
      </c>
      <c r="AE6164">
        <v>-0.47033000000000402</v>
      </c>
      <c r="AF6164">
        <v>-2.1826396703922102</v>
      </c>
      <c r="AG6164">
        <v>-1.1092759323612</v>
      </c>
      <c r="AH6164">
        <v>26.259504749296099</v>
      </c>
      <c r="AI6164">
        <v>92.410595301897402</v>
      </c>
      <c r="AJ6164">
        <v>94.751393537863194</v>
      </c>
      <c r="AK6164">
        <v>26.373395661218801</v>
      </c>
      <c r="AL6164">
        <v>80.334797887786905</v>
      </c>
      <c r="AM6164">
        <v>96.147709114650596</v>
      </c>
      <c r="AN6164">
        <v>1.0000000379105201</v>
      </c>
    </row>
    <row r="6165" spans="1:40" x14ac:dyDescent="0.25">
      <c r="A6165" t="str">
        <f>"20190304155757517"</f>
        <v>20190304155757517</v>
      </c>
      <c r="B6165" t="str">
        <f>"1551686277510832"</f>
        <v>1551686277510832</v>
      </c>
      <c r="C6165" t="s">
        <v>40</v>
      </c>
      <c r="D6165">
        <v>4.9393560000000001</v>
      </c>
      <c r="E6165">
        <v>0.50524550000000001</v>
      </c>
      <c r="F6165" t="s">
        <v>94</v>
      </c>
      <c r="G6165">
        <v>-243.2646</v>
      </c>
      <c r="H6165" s="1">
        <v>-8.9036779999999996E-7</v>
      </c>
      <c r="I6165">
        <v>-62.273040000000002</v>
      </c>
      <c r="J6165">
        <v>-269.60890000000001</v>
      </c>
      <c r="K6165">
        <v>1.109348</v>
      </c>
      <c r="L6165">
        <v>-61.820340000000002</v>
      </c>
      <c r="M6165">
        <v>0.99482979999999999</v>
      </c>
      <c r="N6165">
        <v>-1.1966589999999999E-2</v>
      </c>
      <c r="O6165">
        <v>-0.10084849999999999</v>
      </c>
      <c r="P6165">
        <v>0.98770789999999997</v>
      </c>
      <c r="Q6165">
        <v>0.15614810000000001</v>
      </c>
      <c r="R6165">
        <v>7.1393009999999998E-3</v>
      </c>
      <c r="S6165">
        <v>3.0577999999999999</v>
      </c>
      <c r="T6165">
        <v>-0.12805269999999999</v>
      </c>
      <c r="U6165">
        <v>-5.3985600000000002E-2</v>
      </c>
      <c r="V6165">
        <v>-0.1064488</v>
      </c>
      <c r="W6165">
        <v>0.1680585</v>
      </c>
      <c r="X6165">
        <v>0.98001280000000002</v>
      </c>
      <c r="Y6165">
        <v>-8.3139260000000006E-2</v>
      </c>
      <c r="Z6165">
        <v>5.244276E-3</v>
      </c>
      <c r="AA6165">
        <v>0.99652419999999997</v>
      </c>
      <c r="AB6165">
        <v>30</v>
      </c>
      <c r="AC6165">
        <v>26.3443</v>
      </c>
      <c r="AD6165">
        <v>-1.1093488903677999</v>
      </c>
      <c r="AE6165">
        <v>-0.45269999999999999</v>
      </c>
      <c r="AF6165">
        <v>-2.2026770579219899</v>
      </c>
      <c r="AG6165">
        <v>-1.1093488903677999</v>
      </c>
      <c r="AH6165">
        <v>26.209168490077001</v>
      </c>
      <c r="AI6165">
        <v>92.415193133738001</v>
      </c>
      <c r="AJ6165">
        <v>94.803976187873204</v>
      </c>
      <c r="AK6165">
        <v>26.324949271049</v>
      </c>
      <c r="AL6165">
        <v>80.325045173637207</v>
      </c>
      <c r="AM6165">
        <v>96.199152932120299</v>
      </c>
      <c r="AN6165">
        <v>1.00000004730376</v>
      </c>
    </row>
    <row r="6166" spans="1:40" x14ac:dyDescent="0.25">
      <c r="A6166" t="str">
        <f>"20190304155757527"</f>
        <v>20190304155757527</v>
      </c>
      <c r="B6166" t="str">
        <f>"1551686277520591"</f>
        <v>1551686277520591</v>
      </c>
      <c r="C6166" t="s">
        <v>40</v>
      </c>
      <c r="D6166">
        <v>5.021795</v>
      </c>
      <c r="E6166">
        <v>0.50521830000000001</v>
      </c>
      <c r="F6166" t="s">
        <v>94</v>
      </c>
      <c r="G6166">
        <v>-243.24440000000001</v>
      </c>
      <c r="H6166" s="1">
        <v>-8.8150829999999998E-7</v>
      </c>
      <c r="I6166">
        <v>-62.272289999999998</v>
      </c>
      <c r="J6166">
        <v>-269.46710000000002</v>
      </c>
      <c r="K6166">
        <v>1.1094189999999999</v>
      </c>
      <c r="L6166">
        <v>-61.835050000000003</v>
      </c>
      <c r="M6166">
        <v>0.99480469999999999</v>
      </c>
      <c r="N6166">
        <v>-1.195706E-2</v>
      </c>
      <c r="O6166">
        <v>-0.1010977</v>
      </c>
      <c r="P6166">
        <v>0.98761690000000002</v>
      </c>
      <c r="Q6166">
        <v>0.15670700000000001</v>
      </c>
      <c r="R6166">
        <v>7.4789879999999998E-3</v>
      </c>
      <c r="S6166">
        <v>3.0580750000000001</v>
      </c>
      <c r="T6166">
        <v>-0.1286756</v>
      </c>
      <c r="U6166">
        <v>-5.2429199999999898E-2</v>
      </c>
      <c r="V6166">
        <v>-0.10705249999999999</v>
      </c>
      <c r="W6166">
        <v>0.16858870000000001</v>
      </c>
      <c r="X6166">
        <v>0.9798559</v>
      </c>
      <c r="Y6166">
        <v>-8.3895079999999997E-2</v>
      </c>
      <c r="Z6166">
        <v>5.3011639999999997E-3</v>
      </c>
      <c r="AA6166">
        <v>0.99646049999999997</v>
      </c>
      <c r="AB6166">
        <v>30</v>
      </c>
      <c r="AC6166">
        <v>26.2227</v>
      </c>
      <c r="AD6166">
        <v>-1.1094198815083001</v>
      </c>
      <c r="AE6166">
        <v>-0.43724000000000202</v>
      </c>
      <c r="AF6166">
        <v>-2.2122858215925101</v>
      </c>
      <c r="AG6166">
        <v>-1.1094198815083001</v>
      </c>
      <c r="AH6166">
        <v>26.0858569393049</v>
      </c>
      <c r="AI6166">
        <v>92.426596019960499</v>
      </c>
      <c r="AJ6166">
        <v>94.847533156969803</v>
      </c>
      <c r="AK6166">
        <v>26.202995120554199</v>
      </c>
      <c r="AL6166">
        <v>80.294226636326798</v>
      </c>
      <c r="AM6166">
        <v>96.235024333542498</v>
      </c>
      <c r="AN6166">
        <v>0.99999998614437402</v>
      </c>
    </row>
    <row r="6167" spans="1:40" x14ac:dyDescent="0.25">
      <c r="A6167" t="str">
        <f>"20190304155757539"</f>
        <v>20190304155757539</v>
      </c>
      <c r="B6167" t="str">
        <f>"1551686277530352"</f>
        <v>1551686277530352</v>
      </c>
      <c r="C6167" t="s">
        <v>40</v>
      </c>
      <c r="D6167">
        <v>5.0097319999999996</v>
      </c>
      <c r="E6167">
        <v>0.50518320000000005</v>
      </c>
      <c r="F6167" t="s">
        <v>94</v>
      </c>
      <c r="G6167">
        <v>-242.63290000000001</v>
      </c>
      <c r="H6167" s="1">
        <v>-6.2202390000000002E-7</v>
      </c>
      <c r="I6167">
        <v>-62.282989999999998</v>
      </c>
      <c r="J6167">
        <v>-269.32139999999998</v>
      </c>
      <c r="K6167">
        <v>1.1094869999999999</v>
      </c>
      <c r="L6167">
        <v>-61.85013</v>
      </c>
      <c r="M6167">
        <v>0.99478599999999995</v>
      </c>
      <c r="N6167">
        <v>-1.1948240000000001E-2</v>
      </c>
      <c r="O6167">
        <v>-0.1012842</v>
      </c>
      <c r="P6167">
        <v>0.98760300000000001</v>
      </c>
      <c r="Q6167">
        <v>0.1567635</v>
      </c>
      <c r="R6167">
        <v>8.1152689999999996E-3</v>
      </c>
      <c r="S6167">
        <v>3.0581049999999999</v>
      </c>
      <c r="T6167">
        <v>-0.1264325</v>
      </c>
      <c r="U6167">
        <v>-5.1055910000000003E-2</v>
      </c>
      <c r="V6167">
        <v>-0.1078976</v>
      </c>
      <c r="W6167">
        <v>0.1686174</v>
      </c>
      <c r="X6167">
        <v>0.97975829999999997</v>
      </c>
      <c r="Y6167">
        <v>-8.4533709999999998E-2</v>
      </c>
      <c r="Z6167">
        <v>5.2194329999999999E-3</v>
      </c>
      <c r="AA6167">
        <v>0.99640700000000004</v>
      </c>
      <c r="AB6167">
        <v>30</v>
      </c>
      <c r="AC6167">
        <v>26.688499999999902</v>
      </c>
      <c r="AD6167">
        <v>-1.1094876220238901</v>
      </c>
      <c r="AE6167">
        <v>-0.43285999999999702</v>
      </c>
      <c r="AF6167">
        <v>-2.2687621722303599</v>
      </c>
      <c r="AG6167">
        <v>-1.1094876220238901</v>
      </c>
      <c r="AH6167">
        <v>26.549210127821599</v>
      </c>
      <c r="AI6167">
        <v>92.384310035155195</v>
      </c>
      <c r="AJ6167">
        <v>94.884343260536198</v>
      </c>
      <c r="AK6167">
        <v>26.6690607819022</v>
      </c>
      <c r="AL6167">
        <v>80.292558726171094</v>
      </c>
      <c r="AM6167">
        <v>96.284473960490203</v>
      </c>
      <c r="AN6167">
        <v>1.0000000230437001</v>
      </c>
    </row>
    <row r="6168" spans="1:40" x14ac:dyDescent="0.25">
      <c r="A6168" t="str">
        <f>"20190304155757551"</f>
        <v>20190304155757551</v>
      </c>
      <c r="B6168" t="str">
        <f>"1551686277541088"</f>
        <v>1551686277541088</v>
      </c>
      <c r="C6168" t="s">
        <v>40</v>
      </c>
      <c r="D6168">
        <v>5.0065280000000003</v>
      </c>
      <c r="E6168">
        <v>0.50514250000000005</v>
      </c>
      <c r="F6168" t="s">
        <v>94</v>
      </c>
      <c r="G6168">
        <v>-242.40790000000001</v>
      </c>
      <c r="H6168" s="1">
        <v>-5.2393029999999998E-7</v>
      </c>
      <c r="I6168">
        <v>-62.27711</v>
      </c>
      <c r="J6168">
        <v>-269.15359999999998</v>
      </c>
      <c r="K6168">
        <v>1.109569</v>
      </c>
      <c r="L6168">
        <v>-61.867460000000001</v>
      </c>
      <c r="M6168">
        <v>0.99476710000000002</v>
      </c>
      <c r="N6168">
        <v>-1.1938529999999999E-2</v>
      </c>
      <c r="O6168">
        <v>-0.10147009999999999</v>
      </c>
      <c r="P6168">
        <v>0.98758729999999995</v>
      </c>
      <c r="Q6168">
        <v>0.15683440000000001</v>
      </c>
      <c r="R6168">
        <v>8.6330009999999995E-3</v>
      </c>
      <c r="S6168">
        <v>3.0580750000000001</v>
      </c>
      <c r="T6168">
        <v>-0.12606689999999901</v>
      </c>
      <c r="U6168">
        <v>-4.8522950000000002E-2</v>
      </c>
      <c r="V6168">
        <v>-0.1086294</v>
      </c>
      <c r="W6168">
        <v>0.1686568</v>
      </c>
      <c r="X6168">
        <v>0.97967059999999995</v>
      </c>
      <c r="Y6168">
        <v>-8.5544380000000003E-2</v>
      </c>
      <c r="Z6168">
        <v>5.235282E-3</v>
      </c>
      <c r="AA6168">
        <v>0.9963206</v>
      </c>
      <c r="AB6168">
        <v>30</v>
      </c>
      <c r="AC6168">
        <v>26.7456999999999</v>
      </c>
      <c r="AD6168">
        <v>-1.1095695239303001</v>
      </c>
      <c r="AE6168">
        <v>-0.40965000000000601</v>
      </c>
      <c r="AF6168">
        <v>-2.30258455021188</v>
      </c>
      <c r="AG6168">
        <v>-1.1095695239303001</v>
      </c>
      <c r="AH6168">
        <v>26.603429057174701</v>
      </c>
      <c r="AI6168">
        <v>92.379409115878403</v>
      </c>
      <c r="AJ6168">
        <v>94.946746221519206</v>
      </c>
      <c r="AK6168">
        <v>26.725932682311299</v>
      </c>
      <c r="AL6168">
        <v>80.290267987402899</v>
      </c>
      <c r="AM6168">
        <v>96.327314796758898</v>
      </c>
      <c r="AN6168">
        <v>0.99999997361747905</v>
      </c>
    </row>
    <row r="6169" spans="1:40" x14ac:dyDescent="0.25">
      <c r="A6169" t="str">
        <f>"20190304155757562"</f>
        <v>20190304155757562</v>
      </c>
      <c r="B6169" t="str">
        <f>"1551686277550849"</f>
        <v>1551686277550849</v>
      </c>
      <c r="C6169" t="s">
        <v>40</v>
      </c>
      <c r="D6169">
        <v>5.0041440000000001</v>
      </c>
      <c r="E6169">
        <v>0.50514320000000001</v>
      </c>
      <c r="F6169" t="s">
        <v>94</v>
      </c>
      <c r="G6169">
        <v>-242.2003</v>
      </c>
      <c r="H6169" s="1">
        <v>-4.3469690000000003E-7</v>
      </c>
      <c r="I6169">
        <v>-62.276499999999999</v>
      </c>
      <c r="J6169">
        <v>-269.01249999999999</v>
      </c>
      <c r="K6169">
        <v>1.109632</v>
      </c>
      <c r="L6169">
        <v>-61.882019999999997</v>
      </c>
      <c r="M6169">
        <v>0.99475749999999996</v>
      </c>
      <c r="N6169">
        <v>-1.1931270000000001E-2</v>
      </c>
      <c r="O6169">
        <v>-0.101565</v>
      </c>
      <c r="P6169">
        <v>0.98758420000000002</v>
      </c>
      <c r="Q6169">
        <v>0.1568338</v>
      </c>
      <c r="R6169">
        <v>9.0088040000000005E-3</v>
      </c>
      <c r="S6169">
        <v>3.0581360000000002</v>
      </c>
      <c r="T6169">
        <v>-0.12589230000000001</v>
      </c>
      <c r="U6169">
        <v>-4.6417239999999999E-2</v>
      </c>
      <c r="V6169">
        <v>-0.1091236</v>
      </c>
      <c r="W6169">
        <v>0.168631</v>
      </c>
      <c r="X6169">
        <v>0.97962020000000005</v>
      </c>
      <c r="Y6169">
        <v>-8.6325189999999996E-2</v>
      </c>
      <c r="Z6169">
        <v>5.2509200000000001E-3</v>
      </c>
      <c r="AA6169">
        <v>0.99625319999999995</v>
      </c>
      <c r="AB6169">
        <v>30</v>
      </c>
      <c r="AC6169">
        <v>26.812199999999901</v>
      </c>
      <c r="AD6169">
        <v>-1.1096324346969</v>
      </c>
      <c r="AE6169">
        <v>-0.394480000000001</v>
      </c>
      <c r="AF6169">
        <v>-2.3269501188316402</v>
      </c>
      <c r="AG6169">
        <v>-1.1096324346969</v>
      </c>
      <c r="AH6169">
        <v>26.667934472540701</v>
      </c>
      <c r="AI6169">
        <v>92.373650694456202</v>
      </c>
      <c r="AJ6169">
        <v>94.986797709705002</v>
      </c>
      <c r="AK6169">
        <v>26.792250932450301</v>
      </c>
      <c r="AL6169">
        <v>80.291768498967002</v>
      </c>
      <c r="AM6169">
        <v>96.356189645413906</v>
      </c>
      <c r="AN6169">
        <v>1.00000005524299</v>
      </c>
    </row>
    <row r="6170" spans="1:40" x14ac:dyDescent="0.25">
      <c r="A6170" t="str">
        <f>"20190304155757574"</f>
        <v>20190304155757574</v>
      </c>
      <c r="B6170" t="str">
        <f>"1551686277571344"</f>
        <v>1551686277571344</v>
      </c>
      <c r="C6170" t="s">
        <v>40</v>
      </c>
      <c r="D6170">
        <v>4.9984320000000002</v>
      </c>
      <c r="E6170">
        <v>0.50495219999999996</v>
      </c>
      <c r="F6170" t="s">
        <v>94</v>
      </c>
      <c r="G6170">
        <v>-241.94970000000001</v>
      </c>
      <c r="H6170" s="1">
        <v>-3.2836930000000002E-7</v>
      </c>
      <c r="I6170">
        <v>-62.280850000000001</v>
      </c>
      <c r="J6170">
        <v>-268.85340000000002</v>
      </c>
      <c r="K6170">
        <v>1.1097030000000001</v>
      </c>
      <c r="L6170">
        <v>-61.898409999999998</v>
      </c>
      <c r="M6170">
        <v>0.99474890000000005</v>
      </c>
      <c r="N6170">
        <v>-1.1923410000000001E-2</v>
      </c>
      <c r="O6170">
        <v>-0.1016493</v>
      </c>
      <c r="P6170">
        <v>0.9876355</v>
      </c>
      <c r="Q6170">
        <v>0.15647449999999999</v>
      </c>
      <c r="R6170">
        <v>9.5783710000000005E-3</v>
      </c>
      <c r="S6170">
        <v>3.0580440000000002</v>
      </c>
      <c r="T6170">
        <v>-0.1253861</v>
      </c>
      <c r="U6170">
        <v>-4.5074459999999997E-2</v>
      </c>
      <c r="V6170">
        <v>-0.1098083</v>
      </c>
      <c r="W6170">
        <v>0.16824510000000001</v>
      </c>
      <c r="X6170">
        <v>0.97960999999999998</v>
      </c>
      <c r="Y6170">
        <v>-8.684704E-2</v>
      </c>
      <c r="Z6170">
        <v>5.2439339999999996E-3</v>
      </c>
      <c r="AA6170">
        <v>0.99620779999999998</v>
      </c>
      <c r="AB6170">
        <v>30</v>
      </c>
      <c r="AC6170">
        <v>26.903700000000001</v>
      </c>
      <c r="AD6170">
        <v>-1.1097033283693001</v>
      </c>
      <c r="AE6170">
        <v>-0.382440000000002</v>
      </c>
      <c r="AF6170">
        <v>-2.3504795862974701</v>
      </c>
      <c r="AG6170">
        <v>-1.1097033283693001</v>
      </c>
      <c r="AH6170">
        <v>26.757689859078599</v>
      </c>
      <c r="AI6170">
        <v>92.365728156239697</v>
      </c>
      <c r="AJ6170">
        <v>95.020155298531805</v>
      </c>
      <c r="AK6170">
        <v>26.8836411662787</v>
      </c>
      <c r="AL6170">
        <v>80.314199026091003</v>
      </c>
      <c r="AM6170">
        <v>96.395808370868593</v>
      </c>
      <c r="AN6170">
        <v>1.00000001426145</v>
      </c>
    </row>
    <row r="6171" spans="1:40" x14ac:dyDescent="0.25">
      <c r="A6171" t="str">
        <f>"20190304155757584"</f>
        <v>20190304155757584</v>
      </c>
      <c r="B6171" t="str">
        <f>"1551686277581104"</f>
        <v>1551686277581104</v>
      </c>
      <c r="C6171" t="s">
        <v>40</v>
      </c>
      <c r="D6171">
        <v>5.0081119999999997</v>
      </c>
      <c r="E6171">
        <v>0.50477399999999994</v>
      </c>
      <c r="F6171" t="s">
        <v>94</v>
      </c>
      <c r="G6171">
        <v>-242.1011</v>
      </c>
      <c r="H6171" s="1">
        <v>-3.8872330000000001E-7</v>
      </c>
      <c r="I6171">
        <v>-62.263559999999998</v>
      </c>
      <c r="J6171">
        <v>-268.71690000000001</v>
      </c>
      <c r="K6171">
        <v>1.1097600000000001</v>
      </c>
      <c r="L6171">
        <v>-61.912480000000002</v>
      </c>
      <c r="M6171">
        <v>0.99474510000000005</v>
      </c>
      <c r="N6171">
        <v>-1.1917199999999999E-2</v>
      </c>
      <c r="O6171">
        <v>-0.1016861</v>
      </c>
      <c r="P6171">
        <v>0.98767269999999896</v>
      </c>
      <c r="Q6171">
        <v>0.15621959999999999</v>
      </c>
      <c r="R6171">
        <v>9.904197E-3</v>
      </c>
      <c r="S6171">
        <v>3.0580750000000001</v>
      </c>
      <c r="T6171">
        <v>-0.12685109999999999</v>
      </c>
      <c r="U6171">
        <v>-4.1748050000000002E-2</v>
      </c>
      <c r="V6171">
        <v>-0.11019660000000001</v>
      </c>
      <c r="W6171">
        <v>0.1679687</v>
      </c>
      <c r="X6171">
        <v>0.97961379999999998</v>
      </c>
      <c r="Y6171">
        <v>-8.7962699999999894E-2</v>
      </c>
      <c r="Z6171">
        <v>5.3445510000000003E-3</v>
      </c>
      <c r="AA6171">
        <v>0.99610940000000003</v>
      </c>
      <c r="AB6171">
        <v>30</v>
      </c>
      <c r="AC6171">
        <v>26.6158</v>
      </c>
      <c r="AD6171">
        <v>-1.1097603887233001</v>
      </c>
      <c r="AE6171">
        <v>-0.35107999999999601</v>
      </c>
      <c r="AF6171">
        <v>-2.3532987739392399</v>
      </c>
      <c r="AG6171">
        <v>-1.1097603887233001</v>
      </c>
      <c r="AH6171">
        <v>26.467514480770799</v>
      </c>
      <c r="AI6171">
        <v>92.391533524832695</v>
      </c>
      <c r="AJ6171">
        <v>95.080962725255205</v>
      </c>
      <c r="AK6171">
        <v>26.595091765767901</v>
      </c>
      <c r="AL6171">
        <v>80.330263930638594</v>
      </c>
      <c r="AM6171">
        <v>96.418211901640106</v>
      </c>
      <c r="AN6171">
        <v>0.99999998599084405</v>
      </c>
    </row>
    <row r="6172" spans="1:40" x14ac:dyDescent="0.25">
      <c r="A6172" t="str">
        <f>"20190304155757595"</f>
        <v>20190304155757595</v>
      </c>
      <c r="B6172" t="str">
        <f>"1551686277590864"</f>
        <v>1551686277590864</v>
      </c>
      <c r="C6172" t="s">
        <v>40</v>
      </c>
      <c r="D6172">
        <v>5.0055990000000001</v>
      </c>
      <c r="E6172">
        <v>0.50459179999999904</v>
      </c>
      <c r="F6172" t="s">
        <v>94</v>
      </c>
      <c r="G6172">
        <v>-242.25880000000001</v>
      </c>
      <c r="H6172" s="1">
        <v>-4.5339989999999998E-7</v>
      </c>
      <c r="I6172">
        <v>-62.252490000000002</v>
      </c>
      <c r="J6172">
        <v>-268.57029999999997</v>
      </c>
      <c r="K6172">
        <v>1.1098159999999999</v>
      </c>
      <c r="L6172">
        <v>-61.927520000000001</v>
      </c>
      <c r="M6172">
        <v>0.99474419999999997</v>
      </c>
      <c r="N6172">
        <v>-1.191095E-2</v>
      </c>
      <c r="O6172">
        <v>-0.1016957</v>
      </c>
      <c r="P6172">
        <v>0.98775939999999995</v>
      </c>
      <c r="Q6172">
        <v>0.1556273</v>
      </c>
      <c r="R6172">
        <v>1.05699E-2</v>
      </c>
      <c r="S6172">
        <v>3.0581360000000002</v>
      </c>
      <c r="T6172">
        <v>-0.1282701</v>
      </c>
      <c r="U6172">
        <v>-3.9306639999999997E-2</v>
      </c>
      <c r="V6172">
        <v>-0.1109015</v>
      </c>
      <c r="W6172">
        <v>0.1673557</v>
      </c>
      <c r="X6172">
        <v>0.97963920000000004</v>
      </c>
      <c r="Y6172">
        <v>-8.8763339999999996E-2</v>
      </c>
      <c r="Z6172">
        <v>5.4341600000000004E-3</v>
      </c>
      <c r="AA6172">
        <v>0.99603790000000003</v>
      </c>
      <c r="AB6172">
        <v>30</v>
      </c>
      <c r="AC6172">
        <v>26.311499999999899</v>
      </c>
      <c r="AD6172">
        <v>-1.1098164533999</v>
      </c>
      <c r="AE6172">
        <v>-0.32497000000000698</v>
      </c>
      <c r="AF6172">
        <v>-2.3484937165411002</v>
      </c>
      <c r="AG6172">
        <v>-1.1098164533999</v>
      </c>
      <c r="AH6172">
        <v>26.1615822803364</v>
      </c>
      <c r="AI6172">
        <v>92.419405673050406</v>
      </c>
      <c r="AJ6172">
        <v>95.129623655157303</v>
      </c>
      <c r="AK6172">
        <v>26.2902168630782</v>
      </c>
      <c r="AL6172">
        <v>80.365890864594803</v>
      </c>
      <c r="AM6172">
        <v>96.4587556903695</v>
      </c>
      <c r="AN6172">
        <v>1.00000001760068</v>
      </c>
    </row>
    <row r="6173" spans="1:40" x14ac:dyDescent="0.25">
      <c r="A6173" t="str">
        <f>"20190304155757606"</f>
        <v>20190304155757606</v>
      </c>
      <c r="B6173" t="str">
        <f>"1551686277600623"</f>
        <v>1551686277600623</v>
      </c>
      <c r="C6173" t="s">
        <v>40</v>
      </c>
      <c r="D6173">
        <v>5.0065489999999997</v>
      </c>
      <c r="E6173">
        <v>0.50441769999999997</v>
      </c>
      <c r="F6173" t="s">
        <v>94</v>
      </c>
      <c r="G6173">
        <v>-242.63149999999999</v>
      </c>
      <c r="H6173" s="1">
        <v>-6.0769139999999995E-7</v>
      </c>
      <c r="I6173">
        <v>-62.231349999999999</v>
      </c>
      <c r="J6173">
        <v>-268.42079999999999</v>
      </c>
      <c r="K6173">
        <v>1.109877</v>
      </c>
      <c r="L6173">
        <v>-61.942839999999997</v>
      </c>
      <c r="M6173">
        <v>0.99474649999999998</v>
      </c>
      <c r="N6173">
        <v>-1.1905020000000001E-2</v>
      </c>
      <c r="O6173">
        <v>-0.10167470000000001</v>
      </c>
      <c r="P6173">
        <v>0.98780440000000003</v>
      </c>
      <c r="Q6173">
        <v>0.15529799999999999</v>
      </c>
      <c r="R6173">
        <v>1.118018E-2</v>
      </c>
      <c r="S6173">
        <v>3.0581670000000001</v>
      </c>
      <c r="T6173">
        <v>-0.13084689999999999</v>
      </c>
      <c r="U6173">
        <v>-3.5827640000000001E-2</v>
      </c>
      <c r="V6173">
        <v>-0.1115159</v>
      </c>
      <c r="W6173">
        <v>0.1670045</v>
      </c>
      <c r="X6173">
        <v>0.97962930000000004</v>
      </c>
      <c r="Y6173">
        <v>-8.9867870000000002E-2</v>
      </c>
      <c r="Z6173">
        <v>5.5869200000000004E-3</v>
      </c>
      <c r="AA6173">
        <v>0.99593799999999999</v>
      </c>
      <c r="AB6173">
        <v>30</v>
      </c>
      <c r="AC6173">
        <v>25.789300000000001</v>
      </c>
      <c r="AD6173">
        <v>-1.1098776076913901</v>
      </c>
      <c r="AE6173">
        <v>-0.28850999999999499</v>
      </c>
      <c r="AF6173">
        <v>-2.3309737157822599</v>
      </c>
      <c r="AG6173">
        <v>-1.1098776076913901</v>
      </c>
      <c r="AH6173">
        <v>25.6374913795159</v>
      </c>
      <c r="AI6173">
        <v>92.468684841521195</v>
      </c>
      <c r="AJ6173">
        <v>95.195077642458898</v>
      </c>
      <c r="AK6173">
        <v>25.767154111435602</v>
      </c>
      <c r="AL6173">
        <v>80.386299549127003</v>
      </c>
      <c r="AM6173">
        <v>96.4942977489101</v>
      </c>
      <c r="AN6173">
        <v>0.99999993219577199</v>
      </c>
    </row>
    <row r="6174" spans="1:40" x14ac:dyDescent="0.25">
      <c r="A6174" t="str">
        <f>"20190304155757618"</f>
        <v>20190304155757618</v>
      </c>
      <c r="B6174" t="str">
        <f>"1551686277610384"</f>
        <v>1551686277610384</v>
      </c>
      <c r="C6174" t="s">
        <v>40</v>
      </c>
      <c r="D6174">
        <v>4.9918649999999998</v>
      </c>
      <c r="E6174">
        <v>0.50426979999999999</v>
      </c>
      <c r="F6174" t="s">
        <v>94</v>
      </c>
      <c r="G6174">
        <v>-242.79679999999999</v>
      </c>
      <c r="H6174" s="1">
        <v>-6.7502169999999899E-7</v>
      </c>
      <c r="I6174">
        <v>-62.217910000000003</v>
      </c>
      <c r="J6174">
        <v>-268.27260000000001</v>
      </c>
      <c r="K6174">
        <v>1.109931</v>
      </c>
      <c r="L6174">
        <v>-61.957979999999999</v>
      </c>
      <c r="M6174">
        <v>0.9947532</v>
      </c>
      <c r="N6174">
        <v>-1.189964E-2</v>
      </c>
      <c r="O6174">
        <v>-0.1016094</v>
      </c>
      <c r="P6174">
        <v>0.98783759999999998</v>
      </c>
      <c r="Q6174">
        <v>0.1550446</v>
      </c>
      <c r="R6174">
        <v>1.174934E-2</v>
      </c>
      <c r="S6174">
        <v>3.0581969999999998</v>
      </c>
      <c r="T6174">
        <v>-0.13246250000000001</v>
      </c>
      <c r="U6174">
        <v>-3.2836909999999997E-2</v>
      </c>
      <c r="V6174">
        <v>-0.1120439</v>
      </c>
      <c r="W6174">
        <v>0.166730399999999</v>
      </c>
      <c r="X6174">
        <v>0.97961580000000004</v>
      </c>
      <c r="Y6174">
        <v>-9.0771320000000003E-2</v>
      </c>
      <c r="Z6174">
        <v>5.6874419999999896E-3</v>
      </c>
      <c r="AA6174">
        <v>0.9958555</v>
      </c>
      <c r="AB6174">
        <v>30</v>
      </c>
      <c r="AC6174">
        <v>25.4758</v>
      </c>
      <c r="AD6174">
        <v>-1.1099316750216901</v>
      </c>
      <c r="AE6174">
        <v>-0.25992999999999</v>
      </c>
      <c r="AF6174">
        <v>-2.3257652809916398</v>
      </c>
      <c r="AG6174">
        <v>-1.1099316750216901</v>
      </c>
      <c r="AH6174">
        <v>25.322280019507598</v>
      </c>
      <c r="AI6174">
        <v>92.499288360017005</v>
      </c>
      <c r="AJ6174">
        <v>95.247699317569698</v>
      </c>
      <c r="AK6174">
        <v>25.453074428285401</v>
      </c>
      <c r="AL6174">
        <v>80.402228193456494</v>
      </c>
      <c r="AM6174">
        <v>96.524871234730995</v>
      </c>
      <c r="AN6174">
        <v>0.99999998871050499</v>
      </c>
    </row>
    <row r="6175" spans="1:40" x14ac:dyDescent="0.25">
      <c r="A6175" t="str">
        <f>"20190304155757627"</f>
        <v>20190304155757627</v>
      </c>
      <c r="B6175" t="str">
        <f>"1551686277621120"</f>
        <v>1551686277621120</v>
      </c>
      <c r="C6175" t="s">
        <v>40</v>
      </c>
      <c r="D6175">
        <v>4.9691099999999997</v>
      </c>
      <c r="E6175">
        <v>0.50412029999999997</v>
      </c>
      <c r="F6175" t="s">
        <v>94</v>
      </c>
      <c r="G6175">
        <v>-242.89</v>
      </c>
      <c r="H6175" s="1">
        <v>-7.1141379999999996E-7</v>
      </c>
      <c r="I6175">
        <v>-62.204360000000001</v>
      </c>
      <c r="J6175">
        <v>-268.1302</v>
      </c>
      <c r="K6175">
        <v>1.10998</v>
      </c>
      <c r="L6175">
        <v>-61.972499999999997</v>
      </c>
      <c r="M6175">
        <v>0.99476149999999997</v>
      </c>
      <c r="N6175">
        <v>-1.189465E-2</v>
      </c>
      <c r="O6175">
        <v>-0.1015291</v>
      </c>
      <c r="P6175">
        <v>0.98785129999999999</v>
      </c>
      <c r="Q6175">
        <v>0.1549024</v>
      </c>
      <c r="R6175">
        <v>1.246528E-2</v>
      </c>
      <c r="S6175">
        <v>3.0582889999999998</v>
      </c>
      <c r="T6175">
        <v>-0.13373289999999999</v>
      </c>
      <c r="U6175">
        <v>-2.9693600000000001E-2</v>
      </c>
      <c r="V6175">
        <v>-0.11269999999999999</v>
      </c>
      <c r="W6175">
        <v>0.1665682</v>
      </c>
      <c r="X6175">
        <v>0.97956810000000005</v>
      </c>
      <c r="Y6175">
        <v>-9.1710340000000001E-2</v>
      </c>
      <c r="Z6175">
        <v>5.772129E-3</v>
      </c>
      <c r="AA6175">
        <v>0.99576900000000002</v>
      </c>
      <c r="AB6175">
        <v>30</v>
      </c>
      <c r="AC6175">
        <v>25.240200000000002</v>
      </c>
      <c r="AD6175">
        <v>-1.1099807114138001</v>
      </c>
      <c r="AE6175">
        <v>-0.23186000000000401</v>
      </c>
      <c r="AF6175">
        <v>-2.3276331294595898</v>
      </c>
      <c r="AG6175">
        <v>-1.1099807114138001</v>
      </c>
      <c r="AH6175">
        <v>25.084788099133402</v>
      </c>
      <c r="AI6175">
        <v>92.522813691683197</v>
      </c>
      <c r="AJ6175">
        <v>95.3013308893904</v>
      </c>
      <c r="AK6175">
        <v>25.2169888595663</v>
      </c>
      <c r="AL6175">
        <v>80.411653079882598</v>
      </c>
      <c r="AM6175">
        <v>96.563063618122897</v>
      </c>
      <c r="AN6175">
        <v>0.99999995889442395</v>
      </c>
    </row>
    <row r="6176" spans="1:40" x14ac:dyDescent="0.25">
      <c r="A6176" t="str">
        <f>"20190304155757639"</f>
        <v>20190304155757639</v>
      </c>
      <c r="B6176" t="str">
        <f>"1551686277630880"</f>
        <v>1551686277630880</v>
      </c>
      <c r="C6176" t="s">
        <v>40</v>
      </c>
      <c r="D6176">
        <v>4.9727499999999996</v>
      </c>
      <c r="E6176">
        <v>0.50400630000000002</v>
      </c>
      <c r="F6176" t="s">
        <v>94</v>
      </c>
      <c r="G6176">
        <v>-242.92070000000001</v>
      </c>
      <c r="H6176" s="1">
        <v>-7.211029E-7</v>
      </c>
      <c r="I6176">
        <v>-62.191299999999998</v>
      </c>
      <c r="J6176">
        <v>-267.98349999999999</v>
      </c>
      <c r="K6176">
        <v>1.110028</v>
      </c>
      <c r="L6176">
        <v>-61.987430000000003</v>
      </c>
      <c r="M6176">
        <v>0.99477539999999998</v>
      </c>
      <c r="N6176">
        <v>-1.189019E-2</v>
      </c>
      <c r="O6176">
        <v>-0.1013937</v>
      </c>
      <c r="P6176">
        <v>0.98789360000000004</v>
      </c>
      <c r="Q6176">
        <v>0.15458829999999901</v>
      </c>
      <c r="R6176">
        <v>1.298887E-2</v>
      </c>
      <c r="S6176">
        <v>3.0583499999999999</v>
      </c>
      <c r="T6176">
        <v>-0.1346598</v>
      </c>
      <c r="U6176">
        <v>-2.6550290000000001E-2</v>
      </c>
      <c r="V6176">
        <v>-0.1131142</v>
      </c>
      <c r="W6176">
        <v>0.16623489999999999</v>
      </c>
      <c r="X6176">
        <v>0.97957700000000003</v>
      </c>
      <c r="Y6176">
        <v>-9.2594919999999997E-2</v>
      </c>
      <c r="Z6176">
        <v>5.8373239999999996E-3</v>
      </c>
      <c r="AA6176">
        <v>0.99568679999999998</v>
      </c>
      <c r="AB6176">
        <v>30</v>
      </c>
      <c r="AC6176">
        <v>25.0627999999999</v>
      </c>
      <c r="AD6176">
        <v>-1.1100287211028901</v>
      </c>
      <c r="AE6176">
        <v>-0.203869999999994</v>
      </c>
      <c r="AF6176">
        <v>-2.3339922535347899</v>
      </c>
      <c r="AG6176">
        <v>-1.1100287211028901</v>
      </c>
      <c r="AH6176">
        <v>24.905438985805699</v>
      </c>
      <c r="AI6176">
        <v>92.540850356483404</v>
      </c>
      <c r="AJ6176">
        <v>95.353789354015106</v>
      </c>
      <c r="AK6176">
        <v>25.039180790851098</v>
      </c>
      <c r="AL6176">
        <v>80.4310199921795</v>
      </c>
      <c r="AM6176">
        <v>96.586913567960707</v>
      </c>
      <c r="AN6176">
        <v>0.99999998157432402</v>
      </c>
    </row>
    <row r="6177" spans="1:40" x14ac:dyDescent="0.25">
      <c r="A6177" t="str">
        <f>"20190304155757651"</f>
        <v>20190304155757651</v>
      </c>
      <c r="B6177" t="str">
        <f>"1551686277640639"</f>
        <v>1551686277640639</v>
      </c>
      <c r="C6177" t="s">
        <v>40</v>
      </c>
      <c r="D6177">
        <v>4.8680389999999996</v>
      </c>
      <c r="E6177">
        <v>0.50400630000000002</v>
      </c>
      <c r="F6177" t="s">
        <v>94</v>
      </c>
      <c r="G6177">
        <v>-243.03319999999999</v>
      </c>
      <c r="H6177" s="1">
        <v>-7.6709799999999998E-7</v>
      </c>
      <c r="I6177">
        <v>-62.1828</v>
      </c>
      <c r="J6177">
        <v>-267.83139999999997</v>
      </c>
      <c r="K6177">
        <v>1.1100829999999999</v>
      </c>
      <c r="L6177">
        <v>-62.002839999999999</v>
      </c>
      <c r="M6177">
        <v>0.99479099999999998</v>
      </c>
      <c r="N6177">
        <v>-1.1885700000000001E-2</v>
      </c>
      <c r="O6177">
        <v>-0.10124030000000001</v>
      </c>
      <c r="P6177">
        <v>0.98791689999999999</v>
      </c>
      <c r="Q6177">
        <v>0.1543997</v>
      </c>
      <c r="R6177">
        <v>1.3456320000000001E-2</v>
      </c>
      <c r="S6177">
        <v>3.0583800000000001</v>
      </c>
      <c r="T6177">
        <v>-0.1360664</v>
      </c>
      <c r="U6177">
        <v>-2.39563E-2</v>
      </c>
      <c r="V6177">
        <v>-0.1134537</v>
      </c>
      <c r="W6177">
        <v>0.1660256</v>
      </c>
      <c r="X6177">
        <v>0.97957320000000003</v>
      </c>
      <c r="Y6177">
        <v>-9.3281429999999999E-2</v>
      </c>
      <c r="Z6177">
        <v>5.919746E-3</v>
      </c>
      <c r="AA6177">
        <v>0.99562220000000001</v>
      </c>
      <c r="AB6177">
        <v>30</v>
      </c>
      <c r="AC6177">
        <v>24.798199999999898</v>
      </c>
      <c r="AD6177">
        <v>-1.1100837670979999</v>
      </c>
      <c r="AE6177">
        <v>-0.17996000000000101</v>
      </c>
      <c r="AF6177">
        <v>-2.3270564328916201</v>
      </c>
      <c r="AG6177">
        <v>-1.1100837670979999</v>
      </c>
      <c r="AH6177">
        <v>24.639617147569599</v>
      </c>
      <c r="AI6177">
        <v>92.568178235988299</v>
      </c>
      <c r="AJ6177">
        <v>95.395221883582593</v>
      </c>
      <c r="AK6177">
        <v>24.7741439971322</v>
      </c>
      <c r="AL6177">
        <v>80.443180666931994</v>
      </c>
      <c r="AM6177">
        <v>96.606534367810397</v>
      </c>
      <c r="AN6177">
        <v>0.999999948028643</v>
      </c>
    </row>
    <row r="6178" spans="1:40" x14ac:dyDescent="0.25">
      <c r="A6178" t="str">
        <f>"20190304155757662"</f>
        <v>20190304155757662</v>
      </c>
      <c r="B6178" t="str">
        <f>"1551686277651377"</f>
        <v>1551686277651377</v>
      </c>
      <c r="C6178" t="s">
        <v>40</v>
      </c>
      <c r="D6178">
        <v>4.9727420000000002</v>
      </c>
      <c r="E6178">
        <v>0.50390360000000001</v>
      </c>
      <c r="F6178" t="s">
        <v>94</v>
      </c>
      <c r="G6178">
        <v>-242.98849999999999</v>
      </c>
      <c r="H6178" s="1">
        <v>-7.4861959999999997E-7</v>
      </c>
      <c r="I6178">
        <v>-62.185479999999998</v>
      </c>
      <c r="J6178">
        <v>-267.6798</v>
      </c>
      <c r="K6178">
        <v>1.110142</v>
      </c>
      <c r="L6178">
        <v>-62.018099999999997</v>
      </c>
      <c r="M6178">
        <v>0.99481149999999996</v>
      </c>
      <c r="N6178">
        <v>-1.188179E-2</v>
      </c>
      <c r="O6178">
        <v>-0.1010402</v>
      </c>
      <c r="P6178">
        <v>0.98794490000000001</v>
      </c>
      <c r="Q6178">
        <v>0.1541556</v>
      </c>
      <c r="R6178">
        <v>1.4181879999999999E-2</v>
      </c>
      <c r="S6178">
        <v>3.0583499999999999</v>
      </c>
      <c r="T6178">
        <v>-0.1366597</v>
      </c>
      <c r="U6178">
        <v>-2.2491460000000001E-2</v>
      </c>
      <c r="V6178">
        <v>-0.1140058</v>
      </c>
      <c r="W6178">
        <v>0.16575989999999999</v>
      </c>
      <c r="X6178">
        <v>0.97955420000000004</v>
      </c>
      <c r="Y6178">
        <v>-9.3556109999999998E-2</v>
      </c>
      <c r="Z6178">
        <v>5.9499469999999997E-3</v>
      </c>
      <c r="AA6178">
        <v>0.99559620000000004</v>
      </c>
      <c r="AB6178">
        <v>30</v>
      </c>
      <c r="AC6178">
        <v>24.691299999999998</v>
      </c>
      <c r="AD6178">
        <v>-1.1101427486196001</v>
      </c>
      <c r="AE6178">
        <v>-0.16738000000000799</v>
      </c>
      <c r="AF6178">
        <v>-2.3237692142309498</v>
      </c>
      <c r="AG6178">
        <v>-1.1101427486196001</v>
      </c>
      <c r="AH6178">
        <v>24.532244659568399</v>
      </c>
      <c r="AI6178">
        <v>92.579472866835403</v>
      </c>
      <c r="AJ6178">
        <v>95.411086360244795</v>
      </c>
      <c r="AK6178">
        <v>24.667049850362002</v>
      </c>
      <c r="AL6178">
        <v>80.458619030587101</v>
      </c>
      <c r="AM6178">
        <v>96.638525115288402</v>
      </c>
      <c r="AN6178">
        <v>1.0000000488096401</v>
      </c>
    </row>
    <row r="6179" spans="1:40" x14ac:dyDescent="0.25">
      <c r="A6179" t="str">
        <f>"20190304155757674"</f>
        <v>20190304155757674</v>
      </c>
      <c r="B6179" t="str">
        <f>"1551686277670896"</f>
        <v>1551686277670896</v>
      </c>
      <c r="C6179" t="s">
        <v>40</v>
      </c>
      <c r="D6179">
        <v>4.9563550000000003</v>
      </c>
      <c r="E6179">
        <v>0.50365000000000004</v>
      </c>
      <c r="F6179" t="s">
        <v>94</v>
      </c>
      <c r="G6179">
        <v>-243.00890000000001</v>
      </c>
      <c r="H6179" s="1">
        <v>-7.543504E-7</v>
      </c>
      <c r="I6179">
        <v>-62.174109999999999</v>
      </c>
      <c r="J6179">
        <v>-267.5299</v>
      </c>
      <c r="K6179">
        <v>1.1101989999999999</v>
      </c>
      <c r="L6179">
        <v>-62.033169999999998</v>
      </c>
      <c r="M6179">
        <v>0.99483310000000003</v>
      </c>
      <c r="N6179">
        <v>-1.1878130000000001E-2</v>
      </c>
      <c r="O6179">
        <v>-0.1008275</v>
      </c>
      <c r="P6179">
        <v>0.98796079999999997</v>
      </c>
      <c r="Q6179">
        <v>0.1539972</v>
      </c>
      <c r="R6179">
        <v>1.4775989999999999E-2</v>
      </c>
      <c r="S6179">
        <v>3.058319</v>
      </c>
      <c r="T6179">
        <v>-0.1376185</v>
      </c>
      <c r="U6179">
        <v>-1.934814E-2</v>
      </c>
      <c r="V6179">
        <v>-0.1144119</v>
      </c>
      <c r="W6179">
        <v>0.16558120000000001</v>
      </c>
      <c r="X6179">
        <v>0.97953699999999999</v>
      </c>
      <c r="Y6179">
        <v>-9.4362940000000006E-2</v>
      </c>
      <c r="Z6179">
        <v>6.0124899999999997E-3</v>
      </c>
      <c r="AA6179">
        <v>0.99551970000000001</v>
      </c>
      <c r="AB6179">
        <v>30</v>
      </c>
      <c r="AC6179">
        <v>24.520999999999901</v>
      </c>
      <c r="AD6179">
        <v>-1.1101997543504001</v>
      </c>
      <c r="AE6179">
        <v>-0.14094000000000001</v>
      </c>
      <c r="AF6179">
        <v>-2.3275726321583501</v>
      </c>
      <c r="AG6179">
        <v>-1.1101997543504001</v>
      </c>
      <c r="AH6179">
        <v>24.360299310117199</v>
      </c>
      <c r="AI6179">
        <v>92.597586525662393</v>
      </c>
      <c r="AJ6179">
        <v>95.457915916278196</v>
      </c>
      <c r="AK6179">
        <v>24.4964144382608</v>
      </c>
      <c r="AL6179">
        <v>80.4690005511479</v>
      </c>
      <c r="AM6179">
        <v>96.662075947135904</v>
      </c>
      <c r="AN6179">
        <v>0.99999997551202402</v>
      </c>
    </row>
    <row r="6180" spans="1:40" x14ac:dyDescent="0.25">
      <c r="A6180" t="str">
        <f>"20190304155757684"</f>
        <v>20190304155757684</v>
      </c>
      <c r="B6180" t="str">
        <f>"1551686277680656"</f>
        <v>1551686277680656</v>
      </c>
      <c r="C6180" t="s">
        <v>40</v>
      </c>
      <c r="D6180">
        <v>4.9693880000000004</v>
      </c>
      <c r="E6180">
        <v>0.50352949999999996</v>
      </c>
      <c r="F6180" t="s">
        <v>94</v>
      </c>
      <c r="G6180">
        <v>-243.0521</v>
      </c>
      <c r="H6180" s="1">
        <v>-7.6837589999999995E-7</v>
      </c>
      <c r="I6180">
        <v>-62.15719</v>
      </c>
      <c r="J6180">
        <v>-267.3877</v>
      </c>
      <c r="K6180">
        <v>1.110252</v>
      </c>
      <c r="L6180">
        <v>-62.047359999999998</v>
      </c>
      <c r="M6180">
        <v>0.99485639999999997</v>
      </c>
      <c r="N6180">
        <v>-1.187506E-2</v>
      </c>
      <c r="O6180">
        <v>-0.1005979</v>
      </c>
      <c r="P6180">
        <v>0.98805929999999997</v>
      </c>
      <c r="Q6180">
        <v>0.15332709999999999</v>
      </c>
      <c r="R6180">
        <v>1.5162699999999999E-2</v>
      </c>
      <c r="S6180">
        <v>3.058411</v>
      </c>
      <c r="T6180">
        <v>-0.13871510000000001</v>
      </c>
      <c r="U6180">
        <v>-1.550293E-2</v>
      </c>
      <c r="V6180">
        <v>-0.1146018</v>
      </c>
      <c r="W6180">
        <v>0.1648937</v>
      </c>
      <c r="X6180">
        <v>0.97963080000000002</v>
      </c>
      <c r="Y6180">
        <v>-9.5380770000000004E-2</v>
      </c>
      <c r="Z6180">
        <v>6.0870050000000004E-3</v>
      </c>
      <c r="AA6180">
        <v>0.99542220000000003</v>
      </c>
      <c r="AB6180">
        <v>30</v>
      </c>
      <c r="AC6180">
        <v>24.335599999999999</v>
      </c>
      <c r="AD6180">
        <v>-1.1102527683759</v>
      </c>
      <c r="AE6180">
        <v>-0.109830000000002</v>
      </c>
      <c r="AF6180">
        <v>-2.3341516061678602</v>
      </c>
      <c r="AG6180">
        <v>-1.1102527683759</v>
      </c>
      <c r="AH6180">
        <v>24.172868663907899</v>
      </c>
      <c r="AI6180">
        <v>92.617572473616093</v>
      </c>
      <c r="AJ6180">
        <v>95.515426960168099</v>
      </c>
      <c r="AK6180">
        <v>24.310666473233599</v>
      </c>
      <c r="AL6180">
        <v>80.508940700820702</v>
      </c>
      <c r="AM6180">
        <v>96.672400784584994</v>
      </c>
      <c r="AN6180">
        <v>1.00000000458578</v>
      </c>
    </row>
    <row r="6181" spans="1:40" x14ac:dyDescent="0.25">
      <c r="A6181" t="str">
        <f>"20190304155757695"</f>
        <v>20190304155757695</v>
      </c>
      <c r="B6181" t="str">
        <f>"1551686277691392"</f>
        <v>1551686277691392</v>
      </c>
      <c r="C6181" t="s">
        <v>40</v>
      </c>
      <c r="D6181">
        <v>4.9715239999999996</v>
      </c>
      <c r="E6181">
        <v>0.50342140000000002</v>
      </c>
      <c r="F6181" t="s">
        <v>94</v>
      </c>
      <c r="G6181">
        <v>-243.3297</v>
      </c>
      <c r="H6181" s="1">
        <v>-8.86331E-7</v>
      </c>
      <c r="I6181">
        <v>-62.152929999999998</v>
      </c>
      <c r="J6181">
        <v>-267.23790000000002</v>
      </c>
      <c r="K6181">
        <v>1.110303</v>
      </c>
      <c r="L6181">
        <v>-62.062289999999997</v>
      </c>
      <c r="M6181">
        <v>0.99488319999999997</v>
      </c>
      <c r="N6181">
        <v>-1.187207E-2</v>
      </c>
      <c r="O6181">
        <v>-0.10033209999999999</v>
      </c>
      <c r="P6181">
        <v>0.9881451</v>
      </c>
      <c r="Q6181">
        <v>0.15273699999999901</v>
      </c>
      <c r="R6181">
        <v>1.551641E-2</v>
      </c>
      <c r="S6181">
        <v>3.0583499999999999</v>
      </c>
      <c r="T6181">
        <v>-0.14113970000000001</v>
      </c>
      <c r="U6181">
        <v>-1.3427730000000001E-2</v>
      </c>
      <c r="V6181">
        <v>-0.114721</v>
      </c>
      <c r="W6181">
        <v>0.16428690000000001</v>
      </c>
      <c r="X6181">
        <v>0.9797188</v>
      </c>
      <c r="Y6181">
        <v>-9.5783110000000005E-2</v>
      </c>
      <c r="Z6181">
        <v>6.2072769999999998E-3</v>
      </c>
      <c r="AA6181">
        <v>0.99538280000000001</v>
      </c>
      <c r="AB6181">
        <v>30</v>
      </c>
      <c r="AC6181">
        <v>23.908200000000001</v>
      </c>
      <c r="AD6181">
        <v>-1.110303886331</v>
      </c>
      <c r="AE6181">
        <v>-9.0640000000000498E-2</v>
      </c>
      <c r="AF6181">
        <v>-2.3037778542889802</v>
      </c>
      <c r="AG6181">
        <v>-1.110303886331</v>
      </c>
      <c r="AH6181">
        <v>23.745425963726898</v>
      </c>
      <c r="AI6181">
        <v>92.664629602432399</v>
      </c>
      <c r="AJ6181">
        <v>95.541484759373702</v>
      </c>
      <c r="AK6181">
        <v>23.882743169928201</v>
      </c>
      <c r="AL6181">
        <v>80.544188542611195</v>
      </c>
      <c r="AM6181">
        <v>96.678683705964104</v>
      </c>
      <c r="AN6181">
        <v>1.00000001021302</v>
      </c>
    </row>
    <row r="6182" spans="1:40" x14ac:dyDescent="0.25">
      <c r="A6182" t="str">
        <f>"20190304155757707"</f>
        <v>20190304155757707</v>
      </c>
      <c r="B6182" t="str">
        <f>"1551686277701152"</f>
        <v>1551686277701152</v>
      </c>
      <c r="C6182" t="s">
        <v>40</v>
      </c>
      <c r="D6182">
        <v>5.0413119999999996</v>
      </c>
      <c r="E6182">
        <v>0.50342140000000002</v>
      </c>
      <c r="F6182" t="s">
        <v>94</v>
      </c>
      <c r="G6182">
        <v>-243.54560000000001</v>
      </c>
      <c r="H6182" s="1">
        <v>-9.7847350000000004E-7</v>
      </c>
      <c r="I6182">
        <v>-62.151119999999999</v>
      </c>
      <c r="J6182">
        <v>-267.08519999999999</v>
      </c>
      <c r="K6182">
        <v>1.1103529999999999</v>
      </c>
      <c r="L6182">
        <v>-62.077419999999996</v>
      </c>
      <c r="M6182">
        <v>0.99491280000000004</v>
      </c>
      <c r="N6182">
        <v>-1.186925E-2</v>
      </c>
      <c r="O6182">
        <v>-0.1000384</v>
      </c>
      <c r="P6182">
        <v>0.98821970000000003</v>
      </c>
      <c r="Q6182">
        <v>0.15219669999999999</v>
      </c>
      <c r="R6182">
        <v>1.6058010000000001E-2</v>
      </c>
      <c r="S6182">
        <v>3.058319</v>
      </c>
      <c r="T6182">
        <v>-0.14332329999999999</v>
      </c>
      <c r="U6182">
        <v>-1.147461E-2</v>
      </c>
      <c r="V6182">
        <v>-0.11499719999999999</v>
      </c>
      <c r="W6182">
        <v>0.16372999999999999</v>
      </c>
      <c r="X6182">
        <v>0.97977970000000003</v>
      </c>
      <c r="Y6182">
        <v>-9.6118540000000002E-2</v>
      </c>
      <c r="Z6182">
        <v>6.3127779999999998E-3</v>
      </c>
      <c r="AA6182">
        <v>0.99534990000000001</v>
      </c>
      <c r="AB6182">
        <v>30</v>
      </c>
      <c r="AC6182">
        <v>23.539599999999901</v>
      </c>
      <c r="AD6182">
        <v>-1.1103539784734999</v>
      </c>
      <c r="AE6182">
        <v>-7.3700000000002305E-2</v>
      </c>
      <c r="AF6182">
        <v>-2.27663412913504</v>
      </c>
      <c r="AG6182">
        <v>-1.1103539784734999</v>
      </c>
      <c r="AH6182">
        <v>23.376859711366102</v>
      </c>
      <c r="AI6182">
        <v>92.706604952034695</v>
      </c>
      <c r="AJ6182">
        <v>95.562400985530402</v>
      </c>
      <c r="AK6182">
        <v>23.513687904715098</v>
      </c>
      <c r="AL6182">
        <v>80.576535080257003</v>
      </c>
      <c r="AM6182">
        <v>96.694205056443806</v>
      </c>
      <c r="AN6182">
        <v>1.0000000647199601</v>
      </c>
    </row>
    <row r="6183" spans="1:40" x14ac:dyDescent="0.25">
      <c r="A6183" t="str">
        <f>"20190304155757719"</f>
        <v>20190304155757719</v>
      </c>
      <c r="B6183" t="str">
        <f>"1551686277710913"</f>
        <v>1551686277710913</v>
      </c>
      <c r="C6183" t="s">
        <v>40</v>
      </c>
      <c r="D6183">
        <v>4.575024</v>
      </c>
      <c r="E6183">
        <v>0.53481279999999998</v>
      </c>
      <c r="F6183" t="s">
        <v>94</v>
      </c>
      <c r="G6183">
        <v>-243.667</v>
      </c>
      <c r="H6183" s="1">
        <v>-1.0309069999999999E-6</v>
      </c>
      <c r="I6183">
        <v>-62.152369999999998</v>
      </c>
      <c r="J6183">
        <v>-266.93369999999999</v>
      </c>
      <c r="K6183">
        <v>1.110393</v>
      </c>
      <c r="L6183">
        <v>-62.092320000000001</v>
      </c>
      <c r="M6183">
        <v>0.99494590000000005</v>
      </c>
      <c r="N6183">
        <v>-1.186681E-2</v>
      </c>
      <c r="O6183">
        <v>-9.9709820000000005E-2</v>
      </c>
      <c r="P6183">
        <v>0.98829929999999999</v>
      </c>
      <c r="Q6183">
        <v>0.15166550000000001</v>
      </c>
      <c r="R6183">
        <v>1.6187429999999999E-2</v>
      </c>
      <c r="S6183">
        <v>3.0582280000000002</v>
      </c>
      <c r="T6183">
        <v>-0.1450032</v>
      </c>
      <c r="U6183">
        <v>-9.7961430000000002E-3</v>
      </c>
      <c r="V6183">
        <v>-0.11482729999999999</v>
      </c>
      <c r="W6183">
        <v>0.16318529999999901</v>
      </c>
      <c r="X6183">
        <v>0.97989040000000005</v>
      </c>
      <c r="Y6183">
        <v>-9.6331159999999999E-2</v>
      </c>
      <c r="Z6183">
        <v>6.3890269999999898E-3</v>
      </c>
      <c r="AA6183">
        <v>0.99532880000000001</v>
      </c>
      <c r="AB6183">
        <v>30</v>
      </c>
      <c r="AC6183">
        <v>23.266699999999901</v>
      </c>
      <c r="AD6183">
        <v>-1.110394030907</v>
      </c>
      <c r="AE6183">
        <v>-6.0050000000003899E-2</v>
      </c>
      <c r="AF6183">
        <v>-2.2551944016985699</v>
      </c>
      <c r="AG6183">
        <v>-1.110394030907</v>
      </c>
      <c r="AH6183">
        <v>23.104100989606099</v>
      </c>
      <c r="AI6183">
        <v>92.738549864585195</v>
      </c>
      <c r="AJ6183">
        <v>95.574987823283806</v>
      </c>
      <c r="AK6183">
        <v>23.240446622886601</v>
      </c>
      <c r="AL6183">
        <v>80.608168697762295</v>
      </c>
      <c r="AM6183">
        <v>96.683656101202402</v>
      </c>
      <c r="AN6183">
        <v>0.99999997348676894</v>
      </c>
    </row>
    <row r="6184" spans="1:40" x14ac:dyDescent="0.25">
      <c r="A6184" t="str">
        <f>"20190304155757729"</f>
        <v>20190304155757729</v>
      </c>
      <c r="B6184" t="str">
        <f>"1551686277720672"</f>
        <v>1551686277720672</v>
      </c>
      <c r="C6184" t="s">
        <v>40</v>
      </c>
      <c r="D6184">
        <v>4.9961970000000004</v>
      </c>
      <c r="E6184">
        <v>0.53481279999999998</v>
      </c>
      <c r="F6184" t="s">
        <v>94</v>
      </c>
      <c r="G6184">
        <v>-241.66829999999999</v>
      </c>
      <c r="H6184" s="1">
        <v>-7.2751859999999899E-7</v>
      </c>
      <c r="I6184">
        <v>-64.234709999999893</v>
      </c>
      <c r="J6184">
        <v>-266.78320000000002</v>
      </c>
      <c r="K6184">
        <v>1.1104320000000001</v>
      </c>
      <c r="L6184">
        <v>-62.107120000000002</v>
      </c>
      <c r="M6184">
        <v>0.99497970000000002</v>
      </c>
      <c r="N6184">
        <v>-1.186448E-2</v>
      </c>
      <c r="O6184">
        <v>-9.9371799999999996E-2</v>
      </c>
      <c r="P6184">
        <v>0.98837929999999996</v>
      </c>
      <c r="Q6184">
        <v>0.15108969999999999</v>
      </c>
      <c r="R6184">
        <v>1.6685829999999999E-2</v>
      </c>
      <c r="S6184">
        <v>3.0604550000000001</v>
      </c>
      <c r="T6184">
        <v>-0.13450479999999901</v>
      </c>
      <c r="U6184">
        <v>-0.25952150000000002</v>
      </c>
      <c r="V6184">
        <v>-0.1150139</v>
      </c>
      <c r="W6184">
        <v>0.16259579999999901</v>
      </c>
      <c r="X6184">
        <v>0.97996649999999996</v>
      </c>
      <c r="Y6184">
        <v>-1.487814E-2</v>
      </c>
      <c r="Z6184">
        <v>3.5828850000000001E-3</v>
      </c>
      <c r="AA6184">
        <v>0.99988290000000002</v>
      </c>
      <c r="AB6184">
        <v>30</v>
      </c>
      <c r="AC6184">
        <v>25.114899999999999</v>
      </c>
      <c r="AD6184">
        <v>-1.1104327275185999</v>
      </c>
      <c r="AE6184">
        <v>-2.1275899999999899</v>
      </c>
      <c r="AF6184">
        <v>-0.37809673090660001</v>
      </c>
      <c r="AG6184">
        <v>-1.1104327275185999</v>
      </c>
      <c r="AH6184">
        <v>25.153189138059901</v>
      </c>
      <c r="AI6184">
        <v>92.527498654582601</v>
      </c>
      <c r="AJ6184">
        <v>90.861191612406898</v>
      </c>
      <c r="AK6184">
        <v>25.180527035693299</v>
      </c>
      <c r="AL6184">
        <v>80.642401704883397</v>
      </c>
      <c r="AM6184">
        <v>96.693903728322198</v>
      </c>
      <c r="AN6184">
        <v>0.99999996624654897</v>
      </c>
    </row>
    <row r="6185" spans="1:40" x14ac:dyDescent="0.25">
      <c r="A6185" t="str">
        <f>"20190304155757741"</f>
        <v>20190304155757741</v>
      </c>
      <c r="B6185" t="str">
        <f>"1551686277730433"</f>
        <v>1551686277730433</v>
      </c>
      <c r="C6185" t="s">
        <v>40</v>
      </c>
      <c r="D6185">
        <v>5.4157299999999999</v>
      </c>
      <c r="E6185">
        <v>0.57018859999999905</v>
      </c>
      <c r="F6185" t="s">
        <v>94</v>
      </c>
      <c r="G6185">
        <v>-241.8158</v>
      </c>
      <c r="H6185" s="1">
        <v>-7.8534069999999996E-7</v>
      </c>
      <c r="I6185">
        <v>-64.214290000000005</v>
      </c>
      <c r="J6185">
        <v>-266.63979999999998</v>
      </c>
      <c r="K6185">
        <v>1.1104620000000001</v>
      </c>
      <c r="L6185">
        <v>-62.121029999999998</v>
      </c>
      <c r="M6185">
        <v>0.99501589999999995</v>
      </c>
      <c r="N6185">
        <v>-1.186253E-2</v>
      </c>
      <c r="O6185">
        <v>-9.9008970000000002E-2</v>
      </c>
      <c r="P6185">
        <v>0.98845490000000003</v>
      </c>
      <c r="Q6185">
        <v>0.15058070000000001</v>
      </c>
      <c r="R6185">
        <v>1.681378E-2</v>
      </c>
      <c r="S6185">
        <v>3.0604550000000001</v>
      </c>
      <c r="T6185">
        <v>-0.1361146</v>
      </c>
      <c r="U6185">
        <v>-0.2583008</v>
      </c>
      <c r="V6185">
        <v>-0.11480369999999999</v>
      </c>
      <c r="W6185">
        <v>0.1620772</v>
      </c>
      <c r="X6185">
        <v>0.98007710000000003</v>
      </c>
      <c r="Y6185">
        <v>-1.49076E-2</v>
      </c>
      <c r="Z6185">
        <v>3.6281849999999999E-3</v>
      </c>
      <c r="AA6185">
        <v>0.9998823</v>
      </c>
      <c r="AB6185">
        <v>30</v>
      </c>
      <c r="AC6185">
        <v>24.823999999999899</v>
      </c>
      <c r="AD6185">
        <v>-1.1104627853407001</v>
      </c>
      <c r="AE6185">
        <v>-2.0932599999999999</v>
      </c>
      <c r="AF6185">
        <v>-0.37425442294483002</v>
      </c>
      <c r="AG6185">
        <v>-1.1104627853407001</v>
      </c>
      <c r="AH6185">
        <v>24.859881796373301</v>
      </c>
      <c r="AI6185">
        <v>92.557348043811501</v>
      </c>
      <c r="AJ6185">
        <v>90.8624972288885</v>
      </c>
      <c r="AK6185">
        <v>24.887485146160799</v>
      </c>
      <c r="AL6185">
        <v>80.672515193044006</v>
      </c>
      <c r="AM6185">
        <v>96.6810334230791</v>
      </c>
      <c r="AN6185">
        <v>1.0000000151189601</v>
      </c>
    </row>
    <row r="6186" spans="1:40" x14ac:dyDescent="0.25">
      <c r="A6186" t="str">
        <f>"20190304155757753"</f>
        <v>20190304155757753</v>
      </c>
      <c r="B6186" t="str">
        <f>"1551686277741168"</f>
        <v>1551686277741168</v>
      </c>
      <c r="C6186" t="s">
        <v>40</v>
      </c>
      <c r="D6186">
        <v>5.3843560000000004</v>
      </c>
      <c r="E6186">
        <v>0.56991099999999995</v>
      </c>
      <c r="F6186" t="s">
        <v>42</v>
      </c>
      <c r="G6186">
        <v>-265.80549999999999</v>
      </c>
      <c r="H6186">
        <v>1.0279529999999999</v>
      </c>
      <c r="I6186">
        <v>-62.2697199999999</v>
      </c>
      <c r="J6186">
        <v>-266.47859999999997</v>
      </c>
      <c r="K6186">
        <v>1.110493</v>
      </c>
      <c r="L6186">
        <v>-62.136690000000002</v>
      </c>
      <c r="M6186">
        <v>0.99505730000000003</v>
      </c>
      <c r="N6186">
        <v>-1.186039E-2</v>
      </c>
      <c r="O6186">
        <v>-9.8591509999999993E-2</v>
      </c>
      <c r="P6186">
        <v>0.98851639999999996</v>
      </c>
      <c r="Q6186">
        <v>0.15015439999999999</v>
      </c>
      <c r="R6186">
        <v>1.6995050000000001E-2</v>
      </c>
      <c r="S6186">
        <v>3.0909420000000001</v>
      </c>
      <c r="T6186">
        <v>-0.30566330000000003</v>
      </c>
      <c r="U6186">
        <v>-0.54931640000000004</v>
      </c>
      <c r="V6186">
        <v>-0.1145924</v>
      </c>
      <c r="W6186">
        <v>0.16164010000000001</v>
      </c>
      <c r="X6186">
        <v>0.98017399999999999</v>
      </c>
      <c r="Y6186">
        <v>7.6997010000000005E-2</v>
      </c>
      <c r="Z6186">
        <v>4.2265169999999999E-3</v>
      </c>
      <c r="AA6186">
        <v>0.99702239999999998</v>
      </c>
      <c r="AB6186">
        <v>30</v>
      </c>
      <c r="AC6186">
        <v>0.67309999999997605</v>
      </c>
      <c r="AD6186">
        <v>-8.2539999999999794E-2</v>
      </c>
      <c r="AE6186">
        <v>-0.13302999999998999</v>
      </c>
      <c r="AF6186">
        <v>6.5073427790962104E-2</v>
      </c>
      <c r="AG6186">
        <v>-8.2539999999999794E-2</v>
      </c>
      <c r="AH6186">
        <v>0.67319426440325303</v>
      </c>
      <c r="AI6186">
        <v>96.958005863781196</v>
      </c>
      <c r="AJ6186">
        <v>84.478733728391703</v>
      </c>
      <c r="AK6186">
        <v>0.68135007171783801</v>
      </c>
      <c r="AL6186">
        <v>80.697893728539896</v>
      </c>
      <c r="AM6186">
        <v>96.668194274378706</v>
      </c>
      <c r="AN6186">
        <v>1.0000000051708799</v>
      </c>
    </row>
    <row r="6187" spans="1:40" x14ac:dyDescent="0.25">
      <c r="A6187" t="str">
        <f>"20190304155757764"</f>
        <v>20190304155757764</v>
      </c>
      <c r="B6187" t="str">
        <f>"1551686277760688"</f>
        <v>1551686277760688</v>
      </c>
      <c r="C6187" t="s">
        <v>40</v>
      </c>
      <c r="D6187">
        <v>5.4316459999999998</v>
      </c>
      <c r="E6187">
        <v>0.56532039999999995</v>
      </c>
      <c r="F6187" t="s">
        <v>42</v>
      </c>
      <c r="G6187">
        <v>-265.55630000000002</v>
      </c>
      <c r="H6187">
        <v>0.99508300000000005</v>
      </c>
      <c r="I6187">
        <v>-62.30039</v>
      </c>
      <c r="J6187">
        <v>-266.32709999999997</v>
      </c>
      <c r="K6187">
        <v>1.11052</v>
      </c>
      <c r="L6187">
        <v>-62.151310000000002</v>
      </c>
      <c r="M6187">
        <v>0.99509890000000001</v>
      </c>
      <c r="N6187">
        <v>-1.185866E-2</v>
      </c>
      <c r="O6187">
        <v>-9.8172590000000004E-2</v>
      </c>
      <c r="P6187">
        <v>0.98858230000000002</v>
      </c>
      <c r="Q6187">
        <v>0.14969769999999999</v>
      </c>
      <c r="R6187">
        <v>1.720286E-2</v>
      </c>
      <c r="S6187">
        <v>3.1033019999999998</v>
      </c>
      <c r="T6187">
        <v>-0.38831169999999998</v>
      </c>
      <c r="U6187">
        <v>-0.55093380000000003</v>
      </c>
      <c r="V6187">
        <v>-0.11440309999999999</v>
      </c>
      <c r="W6187">
        <v>0.16117419999999999</v>
      </c>
      <c r="X6187">
        <v>0.98027280000000006</v>
      </c>
      <c r="Y6187">
        <v>7.72505E-2</v>
      </c>
      <c r="Z6187">
        <v>5.7057380000000001E-3</v>
      </c>
      <c r="AA6187">
        <v>0.99699539999999998</v>
      </c>
      <c r="AB6187">
        <v>30</v>
      </c>
      <c r="AC6187">
        <v>0.77079999999995097</v>
      </c>
      <c r="AD6187">
        <v>-0.115437</v>
      </c>
      <c r="AE6187">
        <v>-0.14908000000000499</v>
      </c>
      <c r="AF6187">
        <v>7.1144853574515499E-2</v>
      </c>
      <c r="AG6187">
        <v>-0.115437</v>
      </c>
      <c r="AH6187">
        <v>0.76516961759351898</v>
      </c>
      <c r="AI6187">
        <v>98.542906055220698</v>
      </c>
      <c r="AJ6187">
        <v>84.687957292943096</v>
      </c>
      <c r="AK6187">
        <v>0.77709190888037905</v>
      </c>
      <c r="AL6187">
        <v>80.7249422369879</v>
      </c>
      <c r="AM6187">
        <v>96.656612806165597</v>
      </c>
      <c r="AN6187">
        <v>0.99999997722754397</v>
      </c>
    </row>
    <row r="6188" spans="1:40" x14ac:dyDescent="0.25">
      <c r="A6188" t="str">
        <f>"20190304155757775"</f>
        <v>20190304155757775</v>
      </c>
      <c r="B6188" t="str">
        <f>"1551686277771424"</f>
        <v>1551686277771424</v>
      </c>
      <c r="C6188" t="s">
        <v>40</v>
      </c>
      <c r="D6188">
        <v>5.388395</v>
      </c>
      <c r="E6188">
        <v>0.56507799999999997</v>
      </c>
      <c r="F6188" t="s">
        <v>42</v>
      </c>
      <c r="G6188">
        <v>-265.5489</v>
      </c>
      <c r="H6188">
        <v>1.0059659999999999</v>
      </c>
      <c r="I6188">
        <v>-62.280340000000002</v>
      </c>
      <c r="J6188">
        <v>-266.18029999999999</v>
      </c>
      <c r="K6188">
        <v>1.11054599999999</v>
      </c>
      <c r="L6188">
        <v>-62.165370000000003</v>
      </c>
      <c r="M6188">
        <v>0.99514009999999997</v>
      </c>
      <c r="N6188">
        <v>-1.1857090000000001E-2</v>
      </c>
      <c r="O6188">
        <v>-9.7754659999999993E-2</v>
      </c>
      <c r="P6188">
        <v>0.98865219999999998</v>
      </c>
      <c r="Q6188">
        <v>0.14924670000000001</v>
      </c>
      <c r="R6188">
        <v>1.7104230000000002E-2</v>
      </c>
      <c r="S6188">
        <v>3.1068419999999999</v>
      </c>
      <c r="T6188">
        <v>-0.41740070000000001</v>
      </c>
      <c r="U6188">
        <v>-0.51522829999999997</v>
      </c>
      <c r="V6188">
        <v>-0.1139097</v>
      </c>
      <c r="W6188">
        <v>0.16071629999999901</v>
      </c>
      <c r="X6188">
        <v>0.98040539999999998</v>
      </c>
      <c r="Y6188">
        <v>6.6447909999999999E-2</v>
      </c>
      <c r="Z6188">
        <v>6.9826200000000001E-3</v>
      </c>
      <c r="AA6188">
        <v>0.99776549999999997</v>
      </c>
      <c r="AB6188">
        <v>30</v>
      </c>
      <c r="AC6188">
        <v>0.63139999999998497</v>
      </c>
      <c r="AD6188">
        <v>-0.10457999999999899</v>
      </c>
      <c r="AE6188">
        <v>-0.114970000000006</v>
      </c>
      <c r="AF6188">
        <v>5.1329674922189997E-2</v>
      </c>
      <c r="AG6188">
        <v>-0.10457999999999899</v>
      </c>
      <c r="AH6188">
        <v>0.62307043310117904</v>
      </c>
      <c r="AI6188">
        <v>99.496483098821301</v>
      </c>
      <c r="AJ6188">
        <v>85.290504393792801</v>
      </c>
      <c r="AK6188">
        <v>0.63386786993229804</v>
      </c>
      <c r="AL6188">
        <v>80.751524252445805</v>
      </c>
      <c r="AM6188">
        <v>96.627271540059795</v>
      </c>
      <c r="AN6188">
        <v>0.99999994859446795</v>
      </c>
    </row>
    <row r="6189" spans="1:40" x14ac:dyDescent="0.25">
      <c r="A6189" t="str">
        <f>"20190304155757788"</f>
        <v>20190304155757788</v>
      </c>
      <c r="B6189" t="str">
        <f>"1551686277781184"</f>
        <v>1551686277781184</v>
      </c>
      <c r="C6189" t="s">
        <v>40</v>
      </c>
      <c r="D6189">
        <v>5.400169</v>
      </c>
      <c r="E6189">
        <v>0.564467099999999</v>
      </c>
      <c r="F6189" t="s">
        <v>42</v>
      </c>
      <c r="G6189">
        <v>-265.29199999999997</v>
      </c>
      <c r="H6189">
        <v>0.98902480000000004</v>
      </c>
      <c r="I6189">
        <v>-62.312469999999998</v>
      </c>
      <c r="J6189">
        <v>-266.01639999999998</v>
      </c>
      <c r="K6189">
        <v>1.1105719999999999</v>
      </c>
      <c r="L6189">
        <v>-62.18103</v>
      </c>
      <c r="M6189">
        <v>0.99518720000000005</v>
      </c>
      <c r="N6189">
        <v>-1.185547E-2</v>
      </c>
      <c r="O6189">
        <v>-9.7273680000000001E-2</v>
      </c>
      <c r="P6189">
        <v>0.98874759999999995</v>
      </c>
      <c r="Q6189">
        <v>0.14860570000000001</v>
      </c>
      <c r="R6189">
        <v>1.717378E-2</v>
      </c>
      <c r="S6189">
        <v>3.1074830000000002</v>
      </c>
      <c r="T6189">
        <v>-0.42510209999999998</v>
      </c>
      <c r="U6189">
        <v>-0.51400760000000001</v>
      </c>
      <c r="V6189">
        <v>-0.1135239</v>
      </c>
      <c r="W6189">
        <v>0.16006870000000001</v>
      </c>
      <c r="X6189">
        <v>0.98055610000000004</v>
      </c>
      <c r="Y6189">
        <v>6.6517450000000006E-2</v>
      </c>
      <c r="Z6189">
        <v>7.073513E-3</v>
      </c>
      <c r="AA6189">
        <v>0.99776019999999999</v>
      </c>
      <c r="AB6189">
        <v>30</v>
      </c>
      <c r="AC6189">
        <v>0.72439999999994498</v>
      </c>
      <c r="AD6189">
        <v>-0.12154719999999899</v>
      </c>
      <c r="AE6189">
        <v>-0.13143999999999001</v>
      </c>
      <c r="AF6189">
        <v>5.87454083524762E-2</v>
      </c>
      <c r="AG6189">
        <v>-0.12154719999999899</v>
      </c>
      <c r="AH6189">
        <v>0.71428211494201599</v>
      </c>
      <c r="AI6189">
        <v>99.625453479194903</v>
      </c>
      <c r="AJ6189">
        <v>85.298348422730896</v>
      </c>
      <c r="AK6189">
        <v>0.72692756486212495</v>
      </c>
      <c r="AL6189">
        <v>80.789115838074807</v>
      </c>
      <c r="AM6189">
        <v>96.604018195957096</v>
      </c>
      <c r="AN6189">
        <v>0.99999996491905396</v>
      </c>
    </row>
    <row r="6190" spans="1:40" x14ac:dyDescent="0.25">
      <c r="A6190" t="str">
        <f>"20190304155757798"</f>
        <v>20190304155757798</v>
      </c>
      <c r="B6190" t="str">
        <f>"1551686277790944"</f>
        <v>1551686277790944</v>
      </c>
      <c r="C6190" t="s">
        <v>40</v>
      </c>
      <c r="D6190">
        <v>5.461919</v>
      </c>
      <c r="E6190">
        <v>0.56353929999999997</v>
      </c>
      <c r="F6190" t="s">
        <v>42</v>
      </c>
      <c r="G6190">
        <v>-265.2817</v>
      </c>
      <c r="H6190">
        <v>1.007463</v>
      </c>
      <c r="I6190">
        <v>-62.301549999999999</v>
      </c>
      <c r="J6190">
        <v>-265.87299999999999</v>
      </c>
      <c r="K6190">
        <v>1.11059</v>
      </c>
      <c r="L6190">
        <v>-62.194580000000002</v>
      </c>
      <c r="M6190">
        <v>0.99522949999999999</v>
      </c>
      <c r="N6190">
        <v>-1.1854150000000001E-2</v>
      </c>
      <c r="O6190">
        <v>-9.6839140000000004E-2</v>
      </c>
      <c r="P6190">
        <v>0.98879079999999997</v>
      </c>
      <c r="Q6190">
        <v>0.1482851</v>
      </c>
      <c r="R6190">
        <v>1.7450029999999998E-2</v>
      </c>
      <c r="S6190">
        <v>3.1085509999999998</v>
      </c>
      <c r="T6190">
        <v>-0.43630289999999999</v>
      </c>
      <c r="U6190">
        <v>-0.50927730000000004</v>
      </c>
      <c r="V6190">
        <v>-0.1133813</v>
      </c>
      <c r="W6190">
        <v>0.15974150000000001</v>
      </c>
      <c r="X6190">
        <v>0.980626</v>
      </c>
      <c r="Y6190">
        <v>6.5436510000000003E-2</v>
      </c>
      <c r="Z6190">
        <v>7.3238039999999997E-3</v>
      </c>
      <c r="AA6190">
        <v>0.99782990000000005</v>
      </c>
      <c r="AB6190">
        <v>30</v>
      </c>
      <c r="AC6190">
        <v>0.59129999999998895</v>
      </c>
      <c r="AD6190">
        <v>-0.103126999999999</v>
      </c>
      <c r="AE6190">
        <v>-0.106969999999996</v>
      </c>
      <c r="AF6190">
        <v>4.77944363071112E-2</v>
      </c>
      <c r="AG6190">
        <v>-0.103126999999999</v>
      </c>
      <c r="AH6190">
        <v>0.581745440057305</v>
      </c>
      <c r="AI6190">
        <v>100.019417356232</v>
      </c>
      <c r="AJ6190">
        <v>85.303301240133905</v>
      </c>
      <c r="AK6190">
        <v>0.592745513098481</v>
      </c>
      <c r="AL6190">
        <v>80.808107801976803</v>
      </c>
      <c r="AM6190">
        <v>96.595329863385302</v>
      </c>
      <c r="AN6190">
        <v>1.00000000894396</v>
      </c>
    </row>
    <row r="6191" spans="1:40" x14ac:dyDescent="0.25">
      <c r="A6191" t="str">
        <f>"20190304155757807"</f>
        <v>20190304155757807</v>
      </c>
      <c r="B6191" t="str">
        <f>"1551686277800704"</f>
        <v>1551686277800704</v>
      </c>
      <c r="C6191" t="s">
        <v>40</v>
      </c>
      <c r="D6191">
        <v>5.4359349999999997</v>
      </c>
      <c r="E6191">
        <v>0.56525139999999996</v>
      </c>
      <c r="F6191" t="s">
        <v>42</v>
      </c>
      <c r="G6191">
        <v>-265.02530000000002</v>
      </c>
      <c r="H6191">
        <v>0.98915949999999997</v>
      </c>
      <c r="I6191">
        <v>-62.331299999999999</v>
      </c>
      <c r="J6191">
        <v>-265.74560000000002</v>
      </c>
      <c r="K6191">
        <v>1.1106039999999999</v>
      </c>
      <c r="L6191">
        <v>-62.206629999999997</v>
      </c>
      <c r="M6191">
        <v>0.99526729999999997</v>
      </c>
      <c r="N6191">
        <v>-1.1852990000000001E-2</v>
      </c>
      <c r="O6191">
        <v>-9.6449839999999995E-2</v>
      </c>
      <c r="P6191">
        <v>0.98880729999999994</v>
      </c>
      <c r="Q6191">
        <v>0.14817629999999901</v>
      </c>
      <c r="R6191">
        <v>1.7441769999999999E-2</v>
      </c>
      <c r="S6191">
        <v>3.10968</v>
      </c>
      <c r="T6191">
        <v>-0.44542189999999998</v>
      </c>
      <c r="U6191">
        <v>-0.50112920000000005</v>
      </c>
      <c r="V6191">
        <v>-0.11299720000000001</v>
      </c>
      <c r="W6191">
        <v>0.15962809999999999</v>
      </c>
      <c r="X6191">
        <v>0.98068880000000003</v>
      </c>
      <c r="Y6191">
        <v>6.324987E-2</v>
      </c>
      <c r="Z6191">
        <v>7.6241290000000003E-3</v>
      </c>
      <c r="AA6191">
        <v>0.99796859999999998</v>
      </c>
      <c r="AB6191">
        <v>30</v>
      </c>
      <c r="AC6191">
        <v>0.72030000000000804</v>
      </c>
      <c r="AD6191">
        <v>-0.1214445</v>
      </c>
      <c r="AE6191">
        <v>-0.12466999999999399</v>
      </c>
      <c r="AF6191">
        <v>5.3144206604221499E-2</v>
      </c>
      <c r="AG6191">
        <v>-0.1214445</v>
      </c>
      <c r="AH6191">
        <v>0.70938749596902295</v>
      </c>
      <c r="AI6191">
        <v>99.688017053036702</v>
      </c>
      <c r="AJ6191">
        <v>85.715654074012093</v>
      </c>
      <c r="AK6191">
        <v>0.72166730057072903</v>
      </c>
      <c r="AL6191">
        <v>80.814689610221706</v>
      </c>
      <c r="AM6191">
        <v>96.572765586293599</v>
      </c>
      <c r="AN6191">
        <v>1.0000000099814399</v>
      </c>
    </row>
    <row r="6192" spans="1:40" x14ac:dyDescent="0.25">
      <c r="A6192" t="str">
        <f>"20190304155757819"</f>
        <v>20190304155757819</v>
      </c>
      <c r="B6192" t="str">
        <f>"1551686277810464"</f>
        <v>1551686277810464</v>
      </c>
      <c r="C6192" t="s">
        <v>40</v>
      </c>
      <c r="D6192">
        <v>5.4478400000000002</v>
      </c>
      <c r="E6192">
        <v>0.56758090000000005</v>
      </c>
      <c r="F6192" t="s">
        <v>42</v>
      </c>
      <c r="G6192">
        <v>-265.0172</v>
      </c>
      <c r="H6192">
        <v>1.00451</v>
      </c>
      <c r="I6192">
        <v>-62.327289999999998</v>
      </c>
      <c r="J6192">
        <v>-265.59440000000001</v>
      </c>
      <c r="K6192">
        <v>1.1106199999999999</v>
      </c>
      <c r="L6192">
        <v>-62.220829999999999</v>
      </c>
      <c r="M6192">
        <v>0.99531320000000001</v>
      </c>
      <c r="N6192">
        <v>-1.1851850000000001E-2</v>
      </c>
      <c r="O6192">
        <v>-9.5975649999999996E-2</v>
      </c>
      <c r="P6192">
        <v>0.98882820000000005</v>
      </c>
      <c r="Q6192">
        <v>0.1480109</v>
      </c>
      <c r="R6192">
        <v>1.76590999999999E-2</v>
      </c>
      <c r="S6192">
        <v>3.1109309999999999</v>
      </c>
      <c r="T6192">
        <v>-0.45313759999999997</v>
      </c>
      <c r="U6192">
        <v>-0.51486209999999999</v>
      </c>
      <c r="V6192">
        <v>-0.1127543</v>
      </c>
      <c r="W6192">
        <v>0.15945770000000001</v>
      </c>
      <c r="X6192">
        <v>0.98074450000000002</v>
      </c>
      <c r="Y6192">
        <v>6.7904320000000004E-2</v>
      </c>
      <c r="Z6192">
        <v>7.3486539999999996E-3</v>
      </c>
      <c r="AA6192">
        <v>0.99766469999999896</v>
      </c>
      <c r="AB6192">
        <v>30</v>
      </c>
      <c r="AC6192">
        <v>0.57720000000000404</v>
      </c>
      <c r="AD6192">
        <v>-0.10611</v>
      </c>
      <c r="AE6192">
        <v>-0.106459999999998</v>
      </c>
      <c r="AF6192">
        <v>4.8967021232417897E-2</v>
      </c>
      <c r="AG6192">
        <v>-0.10611</v>
      </c>
      <c r="AH6192">
        <v>0.56624633341227404</v>
      </c>
      <c r="AI6192">
        <v>100.575101597684</v>
      </c>
      <c r="AJ6192">
        <v>85.057555190422406</v>
      </c>
      <c r="AK6192">
        <v>0.57817991263206403</v>
      </c>
      <c r="AL6192">
        <v>80.824579696741296</v>
      </c>
      <c r="AM6192">
        <v>96.558390684288796</v>
      </c>
      <c r="AN6192">
        <v>1.0000000322690099</v>
      </c>
    </row>
    <row r="6193" spans="1:40" x14ac:dyDescent="0.25">
      <c r="A6193" t="str">
        <f>"20190304155757829"</f>
        <v>20190304155757829</v>
      </c>
      <c r="B6193" t="str">
        <f>"1551686277821200"</f>
        <v>1551686277821200</v>
      </c>
      <c r="C6193" t="s">
        <v>40</v>
      </c>
      <c r="D6193">
        <v>5.3320309999999997</v>
      </c>
      <c r="E6193">
        <v>0.57011540000000005</v>
      </c>
      <c r="F6193" t="s">
        <v>42</v>
      </c>
      <c r="G6193">
        <v>-264.76130000000001</v>
      </c>
      <c r="H6193">
        <v>0.98648250000000004</v>
      </c>
      <c r="I6193">
        <v>-62.363720000000001</v>
      </c>
      <c r="J6193">
        <v>-265.45510000000002</v>
      </c>
      <c r="K6193">
        <v>1.1106339999999999</v>
      </c>
      <c r="L6193">
        <v>-62.23386</v>
      </c>
      <c r="M6193">
        <v>0.9953554</v>
      </c>
      <c r="N6193">
        <v>-1.185083E-2</v>
      </c>
      <c r="O6193">
        <v>-9.5536419999999997E-2</v>
      </c>
      <c r="P6193">
        <v>0.98885630000000002</v>
      </c>
      <c r="Q6193">
        <v>0.14781759999999999</v>
      </c>
      <c r="R6193">
        <v>1.7698080000000001E-2</v>
      </c>
      <c r="S6193">
        <v>3.1128230000000001</v>
      </c>
      <c r="T6193">
        <v>-0.46375490000000003</v>
      </c>
      <c r="U6193">
        <v>-0.5329895</v>
      </c>
      <c r="V6193">
        <v>-0.1123675</v>
      </c>
      <c r="W6193">
        <v>0.1592605</v>
      </c>
      <c r="X6193">
        <v>0.9808209</v>
      </c>
      <c r="Y6193">
        <v>7.3831049999999995E-2</v>
      </c>
      <c r="Z6193">
        <v>7.014073E-3</v>
      </c>
      <c r="AA6193">
        <v>0.99724610000000002</v>
      </c>
      <c r="AB6193">
        <v>30</v>
      </c>
      <c r="AC6193">
        <v>0.69380000000000996</v>
      </c>
      <c r="AD6193">
        <v>-0.1241515</v>
      </c>
      <c r="AE6193">
        <v>-0.12985999999999301</v>
      </c>
      <c r="AF6193">
        <v>6.1088207863707097E-2</v>
      </c>
      <c r="AG6193">
        <v>-0.1241515</v>
      </c>
      <c r="AH6193">
        <v>0.68193610486219403</v>
      </c>
      <c r="AI6193">
        <v>100.27783894244899</v>
      </c>
      <c r="AJ6193">
        <v>84.8810762369624</v>
      </c>
      <c r="AK6193">
        <v>0.69583203088595402</v>
      </c>
      <c r="AL6193">
        <v>80.836024384000595</v>
      </c>
      <c r="AM6193">
        <v>96.535582628897004</v>
      </c>
      <c r="AN6193">
        <v>0.999999999896655</v>
      </c>
    </row>
    <row r="6194" spans="1:40" x14ac:dyDescent="0.25">
      <c r="A6194" t="str">
        <f>"20190304155757840"</f>
        <v>20190304155757840</v>
      </c>
      <c r="B6194" t="str">
        <f>"1551686277830959"</f>
        <v>1551686277830959</v>
      </c>
      <c r="C6194" t="s">
        <v>40</v>
      </c>
      <c r="D6194">
        <v>5.3127009999999997</v>
      </c>
      <c r="E6194">
        <v>0.57275010000000004</v>
      </c>
      <c r="F6194" t="s">
        <v>42</v>
      </c>
      <c r="G6194">
        <v>-264.75139999999999</v>
      </c>
      <c r="H6194">
        <v>1.0054399999999999</v>
      </c>
      <c r="I6194">
        <v>-62.359139999999996</v>
      </c>
      <c r="J6194">
        <v>-265.3098</v>
      </c>
      <c r="K6194">
        <v>1.1106480000000001</v>
      </c>
      <c r="L6194">
        <v>-62.247280000000003</v>
      </c>
      <c r="M6194">
        <v>0.99540019999999996</v>
      </c>
      <c r="N6194">
        <v>-1.1850029999999999E-2</v>
      </c>
      <c r="O6194">
        <v>-9.5068490000000005E-2</v>
      </c>
      <c r="P6194">
        <v>0.98886209999999997</v>
      </c>
      <c r="Q6194">
        <v>0.14774999999999999</v>
      </c>
      <c r="R6194">
        <v>1.7938260000000001E-2</v>
      </c>
      <c r="S6194">
        <v>3.1132810000000002</v>
      </c>
      <c r="T6194">
        <v>-0.46540740000000003</v>
      </c>
      <c r="U6194">
        <v>-0.553253199999999</v>
      </c>
      <c r="V6194">
        <v>-0.11215029999999999</v>
      </c>
      <c r="W6194">
        <v>0.15918940000000001</v>
      </c>
      <c r="X6194">
        <v>0.98085730000000004</v>
      </c>
      <c r="Y6194">
        <v>8.0492110000000006E-2</v>
      </c>
      <c r="Z6194">
        <v>6.4434009999999996E-3</v>
      </c>
      <c r="AA6194">
        <v>0.99673440000000002</v>
      </c>
      <c r="AB6194">
        <v>30</v>
      </c>
      <c r="AC6194">
        <v>0.558400000000006</v>
      </c>
      <c r="AD6194">
        <v>-0.105207999999999</v>
      </c>
      <c r="AE6194">
        <v>-0.11186</v>
      </c>
      <c r="AF6194">
        <v>5.6340486083996999E-2</v>
      </c>
      <c r="AG6194">
        <v>-0.105207999999999</v>
      </c>
      <c r="AH6194">
        <v>0.54780959180699396</v>
      </c>
      <c r="AI6194">
        <v>100.815711118683</v>
      </c>
      <c r="AJ6194">
        <v>84.127955783165504</v>
      </c>
      <c r="AK6194">
        <v>0.56065882897884201</v>
      </c>
      <c r="AL6194">
        <v>80.840150747745298</v>
      </c>
      <c r="AM6194">
        <v>96.522818714407407</v>
      </c>
      <c r="AN6194">
        <v>0.99999999891286995</v>
      </c>
    </row>
    <row r="6195" spans="1:40" x14ac:dyDescent="0.25">
      <c r="A6195" t="str">
        <f>"20190304155757852"</f>
        <v>20190304155757852</v>
      </c>
      <c r="B6195" t="str">
        <f>"1551686277840719"</f>
        <v>1551686277840719</v>
      </c>
      <c r="C6195" t="s">
        <v>40</v>
      </c>
      <c r="D6195">
        <v>5.2511530000000004</v>
      </c>
      <c r="E6195">
        <v>0.57506469999999998</v>
      </c>
      <c r="F6195" t="s">
        <v>42</v>
      </c>
      <c r="G6195">
        <v>-264.49489999999997</v>
      </c>
      <c r="H6195">
        <v>0.9887087</v>
      </c>
      <c r="I6195">
        <v>-62.397539999999999</v>
      </c>
      <c r="J6195">
        <v>-265.15300000000002</v>
      </c>
      <c r="K6195">
        <v>1.11066</v>
      </c>
      <c r="L6195">
        <v>-62.261780000000002</v>
      </c>
      <c r="M6195">
        <v>0.99544869999999996</v>
      </c>
      <c r="N6195">
        <v>-1.1849190000000001E-2</v>
      </c>
      <c r="O6195">
        <v>-9.4561580000000006E-2</v>
      </c>
      <c r="P6195">
        <v>0.98889050000000001</v>
      </c>
      <c r="Q6195">
        <v>0.14752599999999999</v>
      </c>
      <c r="R6195">
        <v>1.8219869999999999E-2</v>
      </c>
      <c r="S6195">
        <v>3.1137999999999999</v>
      </c>
      <c r="T6195">
        <v>-0.46592060000000002</v>
      </c>
      <c r="U6195">
        <v>-0.57369999999999999</v>
      </c>
      <c r="V6195">
        <v>-0.11193790000000001</v>
      </c>
      <c r="W6195">
        <v>0.15896250000000001</v>
      </c>
      <c r="X6195">
        <v>0.98091830000000002</v>
      </c>
      <c r="Y6195">
        <v>8.7224170000000004E-2</v>
      </c>
      <c r="Z6195">
        <v>5.8401470000000004E-3</v>
      </c>
      <c r="AA6195">
        <v>0.99617160000000005</v>
      </c>
      <c r="AB6195">
        <v>30</v>
      </c>
      <c r="AC6195">
        <v>0.65810000000004698</v>
      </c>
      <c r="AD6195">
        <v>-0.121951299999999</v>
      </c>
      <c r="AE6195">
        <v>-0.13575999999999699</v>
      </c>
      <c r="AF6195">
        <v>7.0591152516178896E-2</v>
      </c>
      <c r="AG6195">
        <v>-0.121951299999999</v>
      </c>
      <c r="AH6195">
        <v>0.64668895489038103</v>
      </c>
      <c r="AI6195">
        <v>100.617686619248</v>
      </c>
      <c r="AJ6195">
        <v>83.770382689756602</v>
      </c>
      <c r="AK6195">
        <v>0.66186239866188601</v>
      </c>
      <c r="AL6195">
        <v>80.853318299804897</v>
      </c>
      <c r="AM6195">
        <v>96.510170001507703</v>
      </c>
      <c r="AN6195">
        <v>0.99999994056877295</v>
      </c>
    </row>
    <row r="6196" spans="1:40" x14ac:dyDescent="0.25">
      <c r="A6196" t="str">
        <f>"20190304155757863"</f>
        <v>20190304155757863</v>
      </c>
      <c r="B6196" t="str">
        <f>"1551686277861216"</f>
        <v>1551686277861216</v>
      </c>
      <c r="C6196" t="s">
        <v>40</v>
      </c>
      <c r="D6196">
        <v>5.3273599999999997</v>
      </c>
      <c r="E6196">
        <v>0.57871309999999998</v>
      </c>
      <c r="F6196" t="s">
        <v>42</v>
      </c>
      <c r="G6196">
        <v>-264.2373</v>
      </c>
      <c r="H6196">
        <v>0.97372400000000003</v>
      </c>
      <c r="I6196">
        <v>-62.436010000000003</v>
      </c>
      <c r="J6196">
        <v>-265.00850000000003</v>
      </c>
      <c r="K6196">
        <v>1.110668</v>
      </c>
      <c r="L6196">
        <v>-62.27505</v>
      </c>
      <c r="M6196">
        <v>0.99549330000000003</v>
      </c>
      <c r="N6196">
        <v>-1.1848529999999999E-2</v>
      </c>
      <c r="O6196">
        <v>-9.4089770000000003E-2</v>
      </c>
      <c r="P6196">
        <v>0.9889038</v>
      </c>
      <c r="Q6196">
        <v>0.147402799999999</v>
      </c>
      <c r="R6196">
        <v>1.849197E-2</v>
      </c>
      <c r="S6196">
        <v>3.1140750000000001</v>
      </c>
      <c r="T6196">
        <v>-0.46571780000000002</v>
      </c>
      <c r="U6196">
        <v>-0.59164430000000001</v>
      </c>
      <c r="V6196">
        <v>-0.111748</v>
      </c>
      <c r="W6196">
        <v>0.15883630000000001</v>
      </c>
      <c r="X6196">
        <v>0.98096050000000001</v>
      </c>
      <c r="Y6196">
        <v>9.3152570000000004E-2</v>
      </c>
      <c r="Z6196">
        <v>5.2957339999999999E-3</v>
      </c>
      <c r="AA6196">
        <v>0.99563780000000002</v>
      </c>
      <c r="AB6196">
        <v>30</v>
      </c>
      <c r="AC6196">
        <v>0.77120000000002098</v>
      </c>
      <c r="AD6196">
        <v>-0.13694400000000001</v>
      </c>
      <c r="AE6196">
        <v>-0.160959999999995</v>
      </c>
      <c r="AF6196">
        <v>8.5107138154328299E-2</v>
      </c>
      <c r="AG6196">
        <v>-0.13694400000000001</v>
      </c>
      <c r="AH6196">
        <v>0.75996118095184395</v>
      </c>
      <c r="AI6196">
        <v>100.15286421333199</v>
      </c>
      <c r="AJ6196">
        <v>83.610138638599395</v>
      </c>
      <c r="AK6196">
        <v>0.77687700484345801</v>
      </c>
      <c r="AL6196">
        <v>80.860643032446006</v>
      </c>
      <c r="AM6196">
        <v>96.498943027828503</v>
      </c>
      <c r="AN6196">
        <v>1.00000004413096</v>
      </c>
    </row>
    <row r="6197" spans="1:40" x14ac:dyDescent="0.25">
      <c r="A6197" t="str">
        <f>"20190304155757873"</f>
        <v>20190304155757873</v>
      </c>
      <c r="B6197" t="str">
        <f>"1551686277870976"</f>
        <v>1551686277870976</v>
      </c>
      <c r="C6197" t="s">
        <v>40</v>
      </c>
      <c r="D6197">
        <v>5.3070259999999996</v>
      </c>
      <c r="E6197">
        <v>0.58034719999999995</v>
      </c>
      <c r="F6197" t="s">
        <v>42</v>
      </c>
      <c r="G6197">
        <v>-264.22710000000001</v>
      </c>
      <c r="H6197">
        <v>0.99370720000000001</v>
      </c>
      <c r="I6197">
        <v>-62.430900000000001</v>
      </c>
      <c r="J6197">
        <v>-264.86410000000001</v>
      </c>
      <c r="K6197">
        <v>1.1106769999999999</v>
      </c>
      <c r="L6197">
        <v>-62.288240000000002</v>
      </c>
      <c r="M6197">
        <v>0.99553800000000003</v>
      </c>
      <c r="N6197">
        <v>-1.184788E-2</v>
      </c>
      <c r="O6197">
        <v>-9.3616179999999993E-2</v>
      </c>
      <c r="P6197">
        <v>0.98894740000000003</v>
      </c>
      <c r="Q6197">
        <v>0.14707990000000001</v>
      </c>
      <c r="R6197">
        <v>1.8732680000000002E-2</v>
      </c>
      <c r="S6197">
        <v>3.114716</v>
      </c>
      <c r="T6197">
        <v>-0.46619640000000001</v>
      </c>
      <c r="U6197">
        <v>-0.62002559999999995</v>
      </c>
      <c r="V6197">
        <v>-0.111527</v>
      </c>
      <c r="W6197">
        <v>0.1585114</v>
      </c>
      <c r="X6197">
        <v>0.98103819999999997</v>
      </c>
      <c r="Y6197">
        <v>0.1022174</v>
      </c>
      <c r="Z6197">
        <v>4.5081280000000001E-3</v>
      </c>
      <c r="AA6197">
        <v>0.99475190000000002</v>
      </c>
      <c r="AB6197">
        <v>30</v>
      </c>
      <c r="AC6197">
        <v>0.63700000000000001</v>
      </c>
      <c r="AD6197">
        <v>-0.1169698</v>
      </c>
      <c r="AE6197">
        <v>-0.14265999999999901</v>
      </c>
      <c r="AF6197">
        <v>7.9832447827103095E-2</v>
      </c>
      <c r="AG6197">
        <v>-0.1169698</v>
      </c>
      <c r="AH6197">
        <v>0.62741330115599303</v>
      </c>
      <c r="AI6197">
        <v>100.47793370001899</v>
      </c>
      <c r="AJ6197">
        <v>82.748616545556899</v>
      </c>
      <c r="AK6197">
        <v>0.64319717373879104</v>
      </c>
      <c r="AL6197">
        <v>80.879497281469597</v>
      </c>
      <c r="AM6197">
        <v>96.485690595790203</v>
      </c>
      <c r="AN6197">
        <v>1.00000004275909</v>
      </c>
    </row>
    <row r="6198" spans="1:40" x14ac:dyDescent="0.25">
      <c r="A6198" t="str">
        <f>"20190304155757885"</f>
        <v>20190304155757885</v>
      </c>
      <c r="B6198" t="str">
        <f>"1551686277880736"</f>
        <v>1551686277880736</v>
      </c>
      <c r="C6198" t="s">
        <v>40</v>
      </c>
      <c r="D6198">
        <v>5.48604</v>
      </c>
      <c r="E6198">
        <v>0.58034719999999995</v>
      </c>
      <c r="F6198" t="s">
        <v>42</v>
      </c>
      <c r="G6198">
        <v>-263.97030000000001</v>
      </c>
      <c r="H6198">
        <v>0.97672939999999997</v>
      </c>
      <c r="I6198">
        <v>-62.469819999999999</v>
      </c>
      <c r="J6198">
        <v>-264.7063</v>
      </c>
      <c r="K6198">
        <v>1.1106860000000001</v>
      </c>
      <c r="L6198">
        <v>-62.302520000000001</v>
      </c>
      <c r="M6198">
        <v>0.99558659999999999</v>
      </c>
      <c r="N6198">
        <v>-1.1847180000000001E-2</v>
      </c>
      <c r="O6198">
        <v>-9.3096949999999998E-2</v>
      </c>
      <c r="P6198">
        <v>0.98902299999999999</v>
      </c>
      <c r="Q6198">
        <v>0.14655199999999999</v>
      </c>
      <c r="R6198">
        <v>1.8874140000000001E-2</v>
      </c>
      <c r="S6198">
        <v>3.1149290000000001</v>
      </c>
      <c r="T6198">
        <v>-0.46677970000000002</v>
      </c>
      <c r="U6198">
        <v>-0.63259889999999996</v>
      </c>
      <c r="V6198">
        <v>-0.1111642</v>
      </c>
      <c r="W6198">
        <v>0.15798319999999999</v>
      </c>
      <c r="X6198">
        <v>0.98116449999999999</v>
      </c>
      <c r="Y6198">
        <v>0.1065268</v>
      </c>
      <c r="Z6198">
        <v>4.0989059999999898E-3</v>
      </c>
      <c r="AA6198">
        <v>0.9943014</v>
      </c>
      <c r="AB6198">
        <v>30</v>
      </c>
      <c r="AC6198">
        <v>0.73599999999999</v>
      </c>
      <c r="AD6198">
        <v>-0.13395660000000001</v>
      </c>
      <c r="AE6198">
        <v>-0.167300000000004</v>
      </c>
      <c r="AF6198">
        <v>9.5055045894232804E-2</v>
      </c>
      <c r="AG6198">
        <v>-0.13395660000000001</v>
      </c>
      <c r="AH6198">
        <v>0.72552618733257201</v>
      </c>
      <c r="AI6198">
        <v>100.37421628968499</v>
      </c>
      <c r="AJ6198">
        <v>82.535888535491793</v>
      </c>
      <c r="AK6198">
        <v>0.74388714260891298</v>
      </c>
      <c r="AL6198">
        <v>80.910146478855197</v>
      </c>
      <c r="AM6198">
        <v>96.463946255821497</v>
      </c>
      <c r="AN6198">
        <v>0.99999997345206404</v>
      </c>
    </row>
    <row r="6199" spans="1:40" x14ac:dyDescent="0.25">
      <c r="A6199" t="str">
        <f>"20190304155757897"</f>
        <v>20190304155757897</v>
      </c>
      <c r="B6199" t="str">
        <f>"1551686277890495"</f>
        <v>1551686277890495</v>
      </c>
      <c r="C6199" t="s">
        <v>40</v>
      </c>
      <c r="D6199">
        <v>5.3410789999999997</v>
      </c>
      <c r="E6199">
        <v>0.63690570000000002</v>
      </c>
      <c r="F6199" t="s">
        <v>42</v>
      </c>
      <c r="G6199">
        <v>-263.95850000000002</v>
      </c>
      <c r="H6199">
        <v>0.99819020000000003</v>
      </c>
      <c r="I6199">
        <v>-62.454340000000002</v>
      </c>
      <c r="J6199">
        <v>-264.55799999999999</v>
      </c>
      <c r="K6199">
        <v>1.11069</v>
      </c>
      <c r="L6199">
        <v>-62.315919999999998</v>
      </c>
      <c r="M6199">
        <v>0.99563230000000003</v>
      </c>
      <c r="N6199">
        <v>-1.184662E-2</v>
      </c>
      <c r="O6199">
        <v>-9.2607670000000003E-2</v>
      </c>
      <c r="P6199">
        <v>0.98905929999999997</v>
      </c>
      <c r="Q6199">
        <v>0.14627079999999901</v>
      </c>
      <c r="R6199">
        <v>1.914627E-2</v>
      </c>
      <c r="S6199">
        <v>3.1147770000000001</v>
      </c>
      <c r="T6199">
        <v>-0.46849350000000001</v>
      </c>
      <c r="U6199">
        <v>-0.63204959999999999</v>
      </c>
      <c r="V6199">
        <v>-0.11095679999999999</v>
      </c>
      <c r="W6199">
        <v>0.15770109999999901</v>
      </c>
      <c r="X6199">
        <v>0.98123340000000003</v>
      </c>
      <c r="Y6199">
        <v>0.10684630000000001</v>
      </c>
      <c r="Z6199">
        <v>4.0288640000000001E-3</v>
      </c>
      <c r="AA6199">
        <v>0.99426740000000002</v>
      </c>
      <c r="AB6199">
        <v>30</v>
      </c>
      <c r="AC6199">
        <v>0.59949999999997705</v>
      </c>
      <c r="AD6199">
        <v>-0.112499799999999</v>
      </c>
      <c r="AE6199">
        <v>-0.13842000000000301</v>
      </c>
      <c r="AF6199">
        <v>7.9640319977482596E-2</v>
      </c>
      <c r="AG6199">
        <v>-0.112499799999999</v>
      </c>
      <c r="AH6199">
        <v>0.59001731222058895</v>
      </c>
      <c r="AI6199">
        <v>100.70035827981199</v>
      </c>
      <c r="AJ6199">
        <v>82.312698317086401</v>
      </c>
      <c r="AK6199">
        <v>0.60590363448832696</v>
      </c>
      <c r="AL6199">
        <v>80.926515203287394</v>
      </c>
      <c r="AM6199">
        <v>96.4515389783448</v>
      </c>
      <c r="AN6199">
        <v>1.0000000168415</v>
      </c>
    </row>
    <row r="6200" spans="1:40" x14ac:dyDescent="0.25">
      <c r="A6200" t="str">
        <f>"20190304155757907"</f>
        <v>20190304155757907</v>
      </c>
      <c r="B6200" t="str">
        <f>"1551686277901232"</f>
        <v>1551686277901232</v>
      </c>
      <c r="C6200" t="s">
        <v>40</v>
      </c>
      <c r="D6200">
        <v>5.295337</v>
      </c>
      <c r="E6200">
        <v>0.64229840000000005</v>
      </c>
      <c r="F6200" t="s">
        <v>42</v>
      </c>
      <c r="G6200">
        <v>-263.70679999999999</v>
      </c>
      <c r="H6200">
        <v>0.98003169999999995</v>
      </c>
      <c r="I6200">
        <v>-62.611130000000003</v>
      </c>
      <c r="J6200">
        <v>-264.41359999999997</v>
      </c>
      <c r="K6200">
        <v>1.110689</v>
      </c>
      <c r="L6200">
        <v>-62.328890000000001</v>
      </c>
      <c r="M6200">
        <v>0.99567649999999996</v>
      </c>
      <c r="N6200">
        <v>-1.184614E-2</v>
      </c>
      <c r="O6200">
        <v>-9.2130680000000006E-2</v>
      </c>
      <c r="P6200">
        <v>0.98912690000000003</v>
      </c>
      <c r="Q6200">
        <v>0.14578099999999999</v>
      </c>
      <c r="R6200">
        <v>1.9395409999999998E-2</v>
      </c>
      <c r="S6200">
        <v>3.1250610000000001</v>
      </c>
      <c r="T6200">
        <v>-0.47976819999999998</v>
      </c>
      <c r="U6200">
        <v>-1.0829770000000001</v>
      </c>
      <c r="V6200">
        <v>-0.11074100000000001</v>
      </c>
      <c r="W6200">
        <v>0.1572114</v>
      </c>
      <c r="X6200">
        <v>0.9813364</v>
      </c>
      <c r="Y6200">
        <v>0.23712949999999999</v>
      </c>
      <c r="Z6200">
        <v>-6.5021509999999899E-3</v>
      </c>
      <c r="AA6200">
        <v>0.97145630000000005</v>
      </c>
      <c r="AB6200">
        <v>30</v>
      </c>
      <c r="AC6200">
        <v>0.70679999999998699</v>
      </c>
      <c r="AD6200">
        <v>-0.1306573</v>
      </c>
      <c r="AE6200">
        <v>-0.28224000000000099</v>
      </c>
      <c r="AF6200">
        <v>0.20973544707353101</v>
      </c>
      <c r="AG6200">
        <v>-0.1306573</v>
      </c>
      <c r="AH6200">
        <v>0.70890496424231098</v>
      </c>
      <c r="AI6200">
        <v>100.02271747985201</v>
      </c>
      <c r="AJ6200">
        <v>73.518709168199706</v>
      </c>
      <c r="AK6200">
        <v>0.75073732831784501</v>
      </c>
      <c r="AL6200">
        <v>80.954927769477294</v>
      </c>
      <c r="AM6200">
        <v>96.438426693883201</v>
      </c>
      <c r="AN6200">
        <v>1.0000000616679501</v>
      </c>
    </row>
    <row r="6201" spans="1:40" x14ac:dyDescent="0.25">
      <c r="A6201" t="str">
        <f>"20190304155757918"</f>
        <v>20190304155757918</v>
      </c>
      <c r="B6201" t="str">
        <f>"1551686277910992"</f>
        <v>1551686277910992</v>
      </c>
      <c r="C6201" t="s">
        <v>40</v>
      </c>
      <c r="D6201">
        <v>5.3092030000000001</v>
      </c>
      <c r="E6201">
        <v>0.64578250000000004</v>
      </c>
      <c r="F6201" t="s">
        <v>42</v>
      </c>
      <c r="G6201">
        <v>-263.69670000000002</v>
      </c>
      <c r="H6201">
        <v>1.0019279999999999</v>
      </c>
      <c r="I6201">
        <v>-62.587069999999997</v>
      </c>
      <c r="J6201">
        <v>-264.26929999999999</v>
      </c>
      <c r="K6201">
        <v>1.110692</v>
      </c>
      <c r="L6201">
        <v>-62.341740000000001</v>
      </c>
      <c r="M6201">
        <v>0.99572039999999995</v>
      </c>
      <c r="N6201">
        <v>-1.1845659999999999E-2</v>
      </c>
      <c r="O6201">
        <v>-9.1653819999999997E-2</v>
      </c>
      <c r="P6201">
        <v>0.98915719999999996</v>
      </c>
      <c r="Q6201">
        <v>0.145545799999999</v>
      </c>
      <c r="R6201">
        <v>1.9610849999999999E-2</v>
      </c>
      <c r="S6201">
        <v>3.124908</v>
      </c>
      <c r="T6201">
        <v>-0.47413749999999999</v>
      </c>
      <c r="U6201">
        <v>-1.1244510000000001</v>
      </c>
      <c r="V6201">
        <v>-0.1104878</v>
      </c>
      <c r="W6201">
        <v>0.15697639999999999</v>
      </c>
      <c r="X6201">
        <v>0.98140249999999996</v>
      </c>
      <c r="Y6201">
        <v>0.24896840000000001</v>
      </c>
      <c r="Z6201">
        <v>-7.452625E-3</v>
      </c>
      <c r="AA6201">
        <v>0.96848290000000004</v>
      </c>
      <c r="AB6201">
        <v>30</v>
      </c>
      <c r="AC6201">
        <v>0.57259999999996503</v>
      </c>
      <c r="AD6201">
        <v>-0.108763999999999</v>
      </c>
      <c r="AE6201">
        <v>-0.245329999999995</v>
      </c>
      <c r="AF6201">
        <v>0.18613831068140199</v>
      </c>
      <c r="AG6201">
        <v>-0.108763999999999</v>
      </c>
      <c r="AH6201">
        <v>0.575143785306931</v>
      </c>
      <c r="AI6201">
        <v>100.199510130652</v>
      </c>
      <c r="AJ6201">
        <v>72.066454937937806</v>
      </c>
      <c r="AK6201">
        <v>0.61422101248370797</v>
      </c>
      <c r="AL6201">
        <v>80.968561047448802</v>
      </c>
      <c r="AM6201">
        <v>96.423399919294397</v>
      </c>
      <c r="AN6201">
        <v>1.0000000055560201</v>
      </c>
    </row>
    <row r="6202" spans="1:40" x14ac:dyDescent="0.25">
      <c r="A6202" t="str">
        <f>"20190304155757930"</f>
        <v>20190304155757930</v>
      </c>
      <c r="B6202" t="str">
        <f>"1551686277920752"</f>
        <v>1551686277920752</v>
      </c>
      <c r="C6202" t="s">
        <v>40</v>
      </c>
      <c r="D6202">
        <v>5.3408569999999997</v>
      </c>
      <c r="E6202">
        <v>0.64826680000000003</v>
      </c>
      <c r="F6202" t="s">
        <v>93</v>
      </c>
      <c r="G6202">
        <v>-256.89999999999998</v>
      </c>
      <c r="H6202" s="1">
        <v>-2.9958519999999999E-6</v>
      </c>
      <c r="I6202">
        <v>-65.056759999999997</v>
      </c>
      <c r="J6202">
        <v>-264.11900000000003</v>
      </c>
      <c r="K6202">
        <v>1.1106929999999999</v>
      </c>
      <c r="L6202">
        <v>-62.355069999999998</v>
      </c>
      <c r="M6202">
        <v>0.99576620000000005</v>
      </c>
      <c r="N6202">
        <v>-1.184516E-2</v>
      </c>
      <c r="O6202">
        <v>-9.1157180000000004E-2</v>
      </c>
      <c r="P6202">
        <v>0.98914950000000001</v>
      </c>
      <c r="Q6202">
        <v>0.1455717</v>
      </c>
      <c r="R6202">
        <v>1.980517E-2</v>
      </c>
      <c r="S6202">
        <v>3.1250309999999999</v>
      </c>
      <c r="T6202">
        <v>-0.47100449999999999</v>
      </c>
      <c r="U6202">
        <v>-1.1513370000000001</v>
      </c>
      <c r="V6202">
        <v>-0.1101911</v>
      </c>
      <c r="W6202">
        <v>0.15700229999999901</v>
      </c>
      <c r="X6202">
        <v>0.98143170000000002</v>
      </c>
      <c r="Y6202">
        <v>0.25672990000000001</v>
      </c>
      <c r="Z6202">
        <v>-8.0921039999999993E-3</v>
      </c>
      <c r="AA6202">
        <v>0.96644929999999996</v>
      </c>
      <c r="AB6202">
        <v>30</v>
      </c>
      <c r="AC6202">
        <v>7.21900000000005</v>
      </c>
      <c r="AD6202">
        <v>-1.110695995852</v>
      </c>
      <c r="AE6202">
        <v>-2.7016900000000001</v>
      </c>
      <c r="AF6202">
        <v>1.9909895687955499</v>
      </c>
      <c r="AG6202">
        <v>-1.110695995852</v>
      </c>
      <c r="AH6202">
        <v>7.28399144399057</v>
      </c>
      <c r="AI6202">
        <v>98.367563885347906</v>
      </c>
      <c r="AJ6202">
        <v>74.712332040377404</v>
      </c>
      <c r="AK6202">
        <v>7.6324449827288099</v>
      </c>
      <c r="AL6202">
        <v>80.967058324711402</v>
      </c>
      <c r="AM6202">
        <v>96.406105325575098</v>
      </c>
      <c r="AN6202">
        <v>0.99999999124469496</v>
      </c>
    </row>
    <row r="6203" spans="1:40" x14ac:dyDescent="0.25">
      <c r="A6203" t="str">
        <f>"20190304155757941"</f>
        <v>20190304155757941</v>
      </c>
      <c r="B6203" t="str">
        <f>"1551686277930513"</f>
        <v>1551686277930513</v>
      </c>
      <c r="C6203" t="s">
        <v>40</v>
      </c>
      <c r="D6203">
        <v>5.2950910000000002</v>
      </c>
      <c r="E6203">
        <v>0.65025929999999998</v>
      </c>
      <c r="F6203" t="s">
        <v>93</v>
      </c>
      <c r="G6203">
        <v>-256.72460000000001</v>
      </c>
      <c r="H6203" s="1">
        <v>-2.9451220000000002E-6</v>
      </c>
      <c r="I6203">
        <v>-65.123760000000004</v>
      </c>
      <c r="J6203">
        <v>-263.96620000000001</v>
      </c>
      <c r="K6203">
        <v>1.1106940000000001</v>
      </c>
      <c r="L6203">
        <v>-62.368560000000002</v>
      </c>
      <c r="M6203">
        <v>0.99581220000000004</v>
      </c>
      <c r="N6203">
        <v>-1.184466E-2</v>
      </c>
      <c r="O6203">
        <v>-9.0652670000000005E-2</v>
      </c>
      <c r="P6203">
        <v>0.98916669999999995</v>
      </c>
      <c r="Q6203">
        <v>0.1453911</v>
      </c>
      <c r="R6203">
        <v>2.027263E-2</v>
      </c>
      <c r="S6203">
        <v>3.1254270000000002</v>
      </c>
      <c r="T6203">
        <v>-0.46946369999999998</v>
      </c>
      <c r="U6203">
        <v>-1.170258</v>
      </c>
      <c r="V6203">
        <v>-0.1101606</v>
      </c>
      <c r="W6203">
        <v>0.1568205</v>
      </c>
      <c r="X6203">
        <v>0.98146420000000001</v>
      </c>
      <c r="Y6203">
        <v>0.26227040000000001</v>
      </c>
      <c r="Z6203">
        <v>-8.5702299999999999E-3</v>
      </c>
      <c r="AA6203">
        <v>0.96495629999999999</v>
      </c>
      <c r="AB6203">
        <v>30</v>
      </c>
      <c r="AC6203">
        <v>7.2416</v>
      </c>
      <c r="AD6203">
        <v>-1.1106969451219999</v>
      </c>
      <c r="AE6203">
        <v>-2.7551999999999999</v>
      </c>
      <c r="AF6203">
        <v>2.0453068885937302</v>
      </c>
      <c r="AG6203">
        <v>-1.1106969451219999</v>
      </c>
      <c r="AH6203">
        <v>7.3113161742844204</v>
      </c>
      <c r="AI6203">
        <v>98.323219521158094</v>
      </c>
      <c r="AJ6203">
        <v>74.371282728018798</v>
      </c>
      <c r="AK6203">
        <v>7.67282686972574</v>
      </c>
      <c r="AL6203">
        <v>80.9776054396565</v>
      </c>
      <c r="AM6203">
        <v>96.404136591946099</v>
      </c>
      <c r="AN6203">
        <v>1.00000000144712</v>
      </c>
    </row>
    <row r="6204" spans="1:40" x14ac:dyDescent="0.25">
      <c r="A6204" t="str">
        <f>"20190304155757953"</f>
        <v>20190304155757953</v>
      </c>
      <c r="B6204" t="str">
        <f>"1551686277951008"</f>
        <v>1551686277951008</v>
      </c>
      <c r="C6204" t="s">
        <v>40</v>
      </c>
      <c r="D6204">
        <v>5.2631170000000003</v>
      </c>
      <c r="E6204">
        <v>0.65095689999999995</v>
      </c>
      <c r="F6204" t="s">
        <v>93</v>
      </c>
      <c r="G6204">
        <v>-256.53910000000002</v>
      </c>
      <c r="H6204" s="1">
        <v>-2.8898919999999998E-6</v>
      </c>
      <c r="I6204">
        <v>-65.182919999999996</v>
      </c>
      <c r="J6204">
        <v>-263.8141</v>
      </c>
      <c r="K6204">
        <v>1.110692</v>
      </c>
      <c r="L6204">
        <v>-62.381900000000002</v>
      </c>
      <c r="M6204">
        <v>0.99585769999999996</v>
      </c>
      <c r="N6204">
        <v>-1.1844210000000001E-2</v>
      </c>
      <c r="O6204">
        <v>-9.015128E-2</v>
      </c>
      <c r="P6204">
        <v>0.9891529</v>
      </c>
      <c r="Q6204">
        <v>0.1454183</v>
      </c>
      <c r="R6204">
        <v>2.0745010000000001E-2</v>
      </c>
      <c r="S6204">
        <v>3.1258240000000002</v>
      </c>
      <c r="T6204">
        <v>-0.4674584</v>
      </c>
      <c r="U6204">
        <v>-1.1844790000000001</v>
      </c>
      <c r="V6204">
        <v>-0.11013539999999999</v>
      </c>
      <c r="W6204">
        <v>0.1568474</v>
      </c>
      <c r="X6204">
        <v>0.98146270000000002</v>
      </c>
      <c r="Y6204">
        <v>0.26652890000000001</v>
      </c>
      <c r="Z6204">
        <v>-8.9387879999999996E-3</v>
      </c>
      <c r="AA6204">
        <v>0.96378549999999996</v>
      </c>
      <c r="AB6204">
        <v>30</v>
      </c>
      <c r="AC6204">
        <v>7.2749999999999702</v>
      </c>
      <c r="AD6204">
        <v>-1.1106948898919999</v>
      </c>
      <c r="AE6204">
        <v>-2.8010199999999901</v>
      </c>
      <c r="AF6204">
        <v>2.0912641927641999</v>
      </c>
      <c r="AG6204">
        <v>-1.1106948898919999</v>
      </c>
      <c r="AH6204">
        <v>7.3487285106589297</v>
      </c>
      <c r="AI6204">
        <v>98.271118336311304</v>
      </c>
      <c r="AJ6204">
        <v>74.114973606270098</v>
      </c>
      <c r="AK6204">
        <v>7.7208056435673402</v>
      </c>
      <c r="AL6204">
        <v>80.976044606418895</v>
      </c>
      <c r="AM6204">
        <v>96.402693472608206</v>
      </c>
      <c r="AN6204">
        <v>0.99999997235560401</v>
      </c>
    </row>
    <row r="6205" spans="1:40" x14ac:dyDescent="0.25">
      <c r="A6205" t="str">
        <f>"20190304155757964"</f>
        <v>20190304155757964</v>
      </c>
      <c r="B6205" t="str">
        <f>"1551686277960768"</f>
        <v>1551686277960768</v>
      </c>
      <c r="C6205" t="s">
        <v>40</v>
      </c>
      <c r="D6205">
        <v>5.2935809999999996</v>
      </c>
      <c r="E6205">
        <v>0.65195209999999904</v>
      </c>
      <c r="F6205" t="s">
        <v>93</v>
      </c>
      <c r="G6205">
        <v>-256.29500000000002</v>
      </c>
      <c r="H6205" s="1">
        <v>-2.8144830000000001E-6</v>
      </c>
      <c r="I6205">
        <v>-65.24033</v>
      </c>
      <c r="J6205">
        <v>-263.66129999999998</v>
      </c>
      <c r="K6205">
        <v>1.110692</v>
      </c>
      <c r="L6205">
        <v>-62.395229999999998</v>
      </c>
      <c r="M6205">
        <v>0.99590319999999999</v>
      </c>
      <c r="N6205">
        <v>-1.184385E-2</v>
      </c>
      <c r="O6205">
        <v>-8.9648110000000003E-2</v>
      </c>
      <c r="P6205">
        <v>0.98917829999999995</v>
      </c>
      <c r="Q6205">
        <v>0.1451838</v>
      </c>
      <c r="R6205">
        <v>2.1165929999999999E-2</v>
      </c>
      <c r="S6205">
        <v>3.1256710000000001</v>
      </c>
      <c r="T6205">
        <v>-0.46170929999999999</v>
      </c>
      <c r="U6205">
        <v>-1.188232</v>
      </c>
      <c r="V6205">
        <v>-0.11006000000000001</v>
      </c>
      <c r="W6205">
        <v>0.1566129</v>
      </c>
      <c r="X6205">
        <v>0.98150870000000001</v>
      </c>
      <c r="Y6205">
        <v>0.26806940000000001</v>
      </c>
      <c r="Z6205">
        <v>-9.0453760000000008E-3</v>
      </c>
      <c r="AA6205">
        <v>0.96335720000000002</v>
      </c>
      <c r="AB6205">
        <v>30</v>
      </c>
      <c r="AC6205">
        <v>7.3662999999999599</v>
      </c>
      <c r="AD6205">
        <v>-1.110694814483</v>
      </c>
      <c r="AE6205">
        <v>-2.8450999999999902</v>
      </c>
      <c r="AF6205">
        <v>2.1310615007398601</v>
      </c>
      <c r="AG6205">
        <v>-1.110694814483</v>
      </c>
      <c r="AH6205">
        <v>7.4444337265136502</v>
      </c>
      <c r="AI6205">
        <v>98.162641124770403</v>
      </c>
      <c r="AJ6205">
        <v>74.025573577730398</v>
      </c>
      <c r="AK6205">
        <v>7.8227015537670299</v>
      </c>
      <c r="AL6205">
        <v>80.989649444293207</v>
      </c>
      <c r="AM6205">
        <v>96.398049094371004</v>
      </c>
      <c r="AN6205">
        <v>1.00000006611104</v>
      </c>
    </row>
    <row r="6206" spans="1:40" x14ac:dyDescent="0.25">
      <c r="A6206" t="str">
        <f>"20190304155757976"</f>
        <v>20190304155757976</v>
      </c>
      <c r="B6206" t="str">
        <f>"1551686277970528"</f>
        <v>1551686277970528</v>
      </c>
      <c r="C6206" t="s">
        <v>40</v>
      </c>
      <c r="D6206">
        <v>5.2661709999999999</v>
      </c>
      <c r="E6206">
        <v>0.65313369999999904</v>
      </c>
      <c r="F6206" t="s">
        <v>93</v>
      </c>
      <c r="G6206">
        <v>-256.13029999999998</v>
      </c>
      <c r="H6206" s="1">
        <v>-2.7627729999999999E-6</v>
      </c>
      <c r="I6206">
        <v>-65.272599999999997</v>
      </c>
      <c r="J6206">
        <v>-263.50470000000001</v>
      </c>
      <c r="K6206">
        <v>1.1106929999999999</v>
      </c>
      <c r="L6206">
        <v>-62.40878</v>
      </c>
      <c r="M6206">
        <v>0.99594930000000004</v>
      </c>
      <c r="N6206">
        <v>-1.184353E-2</v>
      </c>
      <c r="O6206">
        <v>-8.9133130000000005E-2</v>
      </c>
      <c r="P6206">
        <v>0.98917060000000001</v>
      </c>
      <c r="Q6206">
        <v>0.14518010000000001</v>
      </c>
      <c r="R6206">
        <v>2.154847E-2</v>
      </c>
      <c r="S6206">
        <v>3.1260379999999999</v>
      </c>
      <c r="T6206">
        <v>-0.46103810000000001</v>
      </c>
      <c r="U6206">
        <v>-1.194366</v>
      </c>
      <c r="V6206">
        <v>-0.1099318</v>
      </c>
      <c r="W6206">
        <v>0.1566091</v>
      </c>
      <c r="X6206">
        <v>0.98152360000000005</v>
      </c>
      <c r="Y6206">
        <v>0.2701617</v>
      </c>
      <c r="Z6206">
        <v>-9.2611910000000002E-3</v>
      </c>
      <c r="AA6206">
        <v>0.96277049999999997</v>
      </c>
      <c r="AB6206">
        <v>30</v>
      </c>
      <c r="AC6206">
        <v>7.3744000000000298</v>
      </c>
      <c r="AD6206">
        <v>-1.1106957627730001</v>
      </c>
      <c r="AE6206">
        <v>-2.8638199999999898</v>
      </c>
      <c r="AF6206">
        <v>2.1526372042084301</v>
      </c>
      <c r="AG6206">
        <v>-1.1106957627730001</v>
      </c>
      <c r="AH6206">
        <v>7.4534009079922097</v>
      </c>
      <c r="AI6206">
        <v>98.1475134835662</v>
      </c>
      <c r="AJ6206">
        <v>73.890608317727498</v>
      </c>
      <c r="AK6206">
        <v>7.8371344958245599</v>
      </c>
      <c r="AL6206">
        <v>80.989869234260297</v>
      </c>
      <c r="AM6206">
        <v>96.390562005489599</v>
      </c>
      <c r="AN6206">
        <v>0.999999994105505</v>
      </c>
    </row>
    <row r="6207" spans="1:40" x14ac:dyDescent="0.25">
      <c r="A6207" t="str">
        <f>"20190304155757986"</f>
        <v>20190304155757986</v>
      </c>
      <c r="B6207" t="str">
        <f>"1551686277980288"</f>
        <v>1551686277980288</v>
      </c>
      <c r="C6207" t="s">
        <v>40</v>
      </c>
      <c r="D6207">
        <v>5.2591780000000004</v>
      </c>
      <c r="E6207">
        <v>0.65307099999999996</v>
      </c>
      <c r="F6207" t="s">
        <v>93</v>
      </c>
      <c r="G6207">
        <v>-255.95580000000001</v>
      </c>
      <c r="H6207" s="1">
        <v>-2.7085009999999998E-6</v>
      </c>
      <c r="I6207">
        <v>-65.310940000000002</v>
      </c>
      <c r="J6207">
        <v>-263.36040000000003</v>
      </c>
      <c r="K6207">
        <v>1.1106940000000001</v>
      </c>
      <c r="L6207">
        <v>-62.421230000000001</v>
      </c>
      <c r="M6207">
        <v>0.99599170000000004</v>
      </c>
      <c r="N6207">
        <v>-1.1843269999999999E-2</v>
      </c>
      <c r="O6207">
        <v>-8.8659039999999995E-2</v>
      </c>
      <c r="P6207">
        <v>0.98917370000000004</v>
      </c>
      <c r="Q6207">
        <v>0.14510010000000001</v>
      </c>
      <c r="R6207">
        <v>2.1948140000000001E-2</v>
      </c>
      <c r="S6207">
        <v>3.1265559999999999</v>
      </c>
      <c r="T6207">
        <v>-0.46001969999999998</v>
      </c>
      <c r="U6207">
        <v>-1.2019959999999901</v>
      </c>
      <c r="V6207">
        <v>-0.1098621</v>
      </c>
      <c r="W6207">
        <v>0.156529</v>
      </c>
      <c r="X6207">
        <v>0.98154419999999998</v>
      </c>
      <c r="Y6207">
        <v>0.27259640000000002</v>
      </c>
      <c r="Z6207">
        <v>-9.4914409999999998E-3</v>
      </c>
      <c r="AA6207">
        <v>0.96208170000000004</v>
      </c>
      <c r="AB6207">
        <v>30</v>
      </c>
      <c r="AC6207">
        <v>7.4046000000000101</v>
      </c>
      <c r="AD6207">
        <v>-1.110696708501</v>
      </c>
      <c r="AE6207">
        <v>-2.88971</v>
      </c>
      <c r="AF6207">
        <v>2.17924535093423</v>
      </c>
      <c r="AG6207">
        <v>-1.110696708501</v>
      </c>
      <c r="AH6207">
        <v>7.4854892794112002</v>
      </c>
      <c r="AI6207">
        <v>98.108101238338094</v>
      </c>
      <c r="AJ6207">
        <v>73.768173701921299</v>
      </c>
      <c r="AK6207">
        <v>7.8749798241026197</v>
      </c>
      <c r="AL6207">
        <v>80.994516102800503</v>
      </c>
      <c r="AM6207">
        <v>96.386410760665598</v>
      </c>
      <c r="AN6207">
        <v>1.00000001270552</v>
      </c>
    </row>
    <row r="6208" spans="1:40" x14ac:dyDescent="0.25">
      <c r="A6208" t="str">
        <f>"20190304155757997"</f>
        <v>20190304155757997</v>
      </c>
      <c r="B6208" t="str">
        <f>"1551686277991024"</f>
        <v>1551686277991024</v>
      </c>
      <c r="C6208" t="s">
        <v>40</v>
      </c>
      <c r="D6208">
        <v>4.8709429999999996</v>
      </c>
      <c r="E6208">
        <v>0.65805519999999995</v>
      </c>
      <c r="F6208" t="s">
        <v>93</v>
      </c>
      <c r="G6208">
        <v>-255.7885</v>
      </c>
      <c r="H6208" s="1">
        <v>-2.6538080000000001E-6</v>
      </c>
      <c r="I6208">
        <v>-65.327789999999993</v>
      </c>
      <c r="J6208">
        <v>-263.22190000000001</v>
      </c>
      <c r="K6208">
        <v>1.1106940000000001</v>
      </c>
      <c r="L6208">
        <v>-62.433070000000001</v>
      </c>
      <c r="M6208">
        <v>0.99603200000000003</v>
      </c>
      <c r="N6208">
        <v>-1.1842999999999999E-2</v>
      </c>
      <c r="O6208">
        <v>-8.8204870000000005E-2</v>
      </c>
      <c r="P6208">
        <v>0.98914650000000004</v>
      </c>
      <c r="Q6208">
        <v>0.14520920000000001</v>
      </c>
      <c r="R6208">
        <v>2.2448160000000002E-2</v>
      </c>
      <c r="S6208">
        <v>3.1267399999999999</v>
      </c>
      <c r="T6208">
        <v>-0.45864890000000003</v>
      </c>
      <c r="U6208">
        <v>-1.200226</v>
      </c>
      <c r="V6208">
        <v>-0.1099098</v>
      </c>
      <c r="W6208">
        <v>0.15663729999999901</v>
      </c>
      <c r="X6208">
        <v>0.98152150000000005</v>
      </c>
      <c r="Y6208">
        <v>0.27254919999999999</v>
      </c>
      <c r="Z6208">
        <v>-9.5259249999999993E-3</v>
      </c>
      <c r="AA6208">
        <v>0.96209469999999997</v>
      </c>
      <c r="AB6208">
        <v>30</v>
      </c>
      <c r="AC6208">
        <v>7.4333999999999998</v>
      </c>
      <c r="AD6208">
        <v>-1.1106966538079901</v>
      </c>
      <c r="AE6208">
        <v>-2.8947200000000102</v>
      </c>
      <c r="AF6208">
        <v>2.1853616126393698</v>
      </c>
      <c r="AG6208">
        <v>-1.1106966538079901</v>
      </c>
      <c r="AH6208">
        <v>7.5140985504676099</v>
      </c>
      <c r="AI6208">
        <v>98.078267881986307</v>
      </c>
      <c r="AJ6208">
        <v>73.783728967664999</v>
      </c>
      <c r="AK6208">
        <v>7.9038680062939699</v>
      </c>
      <c r="AL6208">
        <v>80.988232733742393</v>
      </c>
      <c r="AM6208">
        <v>96.389307234428401</v>
      </c>
      <c r="AN6208">
        <v>0.99999993142478705</v>
      </c>
    </row>
    <row r="6209" spans="1:40" x14ac:dyDescent="0.25">
      <c r="A6209" t="str">
        <f>"20190304155758007"</f>
        <v>20190304155758007</v>
      </c>
      <c r="B6209" t="str">
        <f>"1551686278000784"</f>
        <v>1551686278000784</v>
      </c>
      <c r="C6209" t="s">
        <v>40</v>
      </c>
      <c r="D6209">
        <v>4.8754900000000001</v>
      </c>
      <c r="E6209">
        <v>0.66171329999999995</v>
      </c>
      <c r="F6209" t="s">
        <v>93</v>
      </c>
      <c r="G6209">
        <v>-255.46039999999999</v>
      </c>
      <c r="H6209" s="1">
        <v>-2.5659580000000002E-6</v>
      </c>
      <c r="I6209">
        <v>-65.505769999999998</v>
      </c>
      <c r="J6209">
        <v>-263.07979999999998</v>
      </c>
      <c r="K6209">
        <v>1.1106940000000001</v>
      </c>
      <c r="L6209">
        <v>-62.4452199999999</v>
      </c>
      <c r="M6209">
        <v>0.99607310000000004</v>
      </c>
      <c r="N6209">
        <v>-1.1842719999999999E-2</v>
      </c>
      <c r="O6209">
        <v>-8.773889E-2</v>
      </c>
      <c r="P6209">
        <v>0.98907579999999995</v>
      </c>
      <c r="Q6209">
        <v>0.14562749999999999</v>
      </c>
      <c r="R6209">
        <v>2.2835680000000001E-2</v>
      </c>
      <c r="S6209">
        <v>3.126709</v>
      </c>
      <c r="T6209">
        <v>-0.44744040000000002</v>
      </c>
      <c r="U6209">
        <v>-1.2378229999999999</v>
      </c>
      <c r="V6209">
        <v>-0.10983030000000001</v>
      </c>
      <c r="W6209">
        <v>0.15705459999999999</v>
      </c>
      <c r="X6209">
        <v>0.9814638</v>
      </c>
      <c r="Y6209">
        <v>0.28302460000000002</v>
      </c>
      <c r="Z6209">
        <v>-1.019048E-2</v>
      </c>
      <c r="AA6209">
        <v>0.95905850000000004</v>
      </c>
      <c r="AB6209">
        <v>30</v>
      </c>
      <c r="AC6209">
        <v>7.6193999999999802</v>
      </c>
      <c r="AD6209">
        <v>-1.1106965659579999</v>
      </c>
      <c r="AE6209">
        <v>-3.0605500000000001</v>
      </c>
      <c r="AF6209">
        <v>2.3374123513503702</v>
      </c>
      <c r="AG6209">
        <v>-1.1106965659579999</v>
      </c>
      <c r="AH6209">
        <v>7.71735282931661</v>
      </c>
      <c r="AI6209">
        <v>97.842722135697301</v>
      </c>
      <c r="AJ6209">
        <v>73.149621436114998</v>
      </c>
      <c r="AK6209">
        <v>8.1396976635522105</v>
      </c>
      <c r="AL6209">
        <v>80.964024342843899</v>
      </c>
      <c r="AM6209">
        <v>96.385096152120099</v>
      </c>
      <c r="AN6209">
        <v>1.0000000164448399</v>
      </c>
    </row>
    <row r="6210" spans="1:40" x14ac:dyDescent="0.25">
      <c r="A6210" t="str">
        <f>"20190304155758020"</f>
        <v>20190304155758020</v>
      </c>
      <c r="B6210" t="str">
        <f>"1551686278010544"</f>
        <v>1551686278010544</v>
      </c>
      <c r="C6210" t="s">
        <v>40</v>
      </c>
      <c r="D6210">
        <v>4.8499990000000004</v>
      </c>
      <c r="E6210">
        <v>0.66538330000000001</v>
      </c>
      <c r="F6210" t="s">
        <v>93</v>
      </c>
      <c r="G6210">
        <v>-255.11500000000001</v>
      </c>
      <c r="H6210" s="1">
        <v>-2.4701439999999998E-6</v>
      </c>
      <c r="I6210">
        <v>-65.668219999999906</v>
      </c>
      <c r="J6210">
        <v>-262.92180000000002</v>
      </c>
      <c r="K6210">
        <v>1.110698</v>
      </c>
      <c r="L6210">
        <v>-62.458590000000001</v>
      </c>
      <c r="M6210">
        <v>0.99611850000000002</v>
      </c>
      <c r="N6210">
        <v>-1.184495E-2</v>
      </c>
      <c r="O6210">
        <v>-8.7221300000000002E-2</v>
      </c>
      <c r="P6210">
        <v>0.98903010000000002</v>
      </c>
      <c r="Q6210">
        <v>0.14587459999999999</v>
      </c>
      <c r="R6210">
        <v>2.3241100000000001E-2</v>
      </c>
      <c r="S6210">
        <v>3.1265260000000001</v>
      </c>
      <c r="T6210">
        <v>-0.43599719999999997</v>
      </c>
      <c r="U6210">
        <v>-1.2651669999999999</v>
      </c>
      <c r="V6210">
        <v>-0.1097201</v>
      </c>
      <c r="W6210">
        <v>0.15730420000000001</v>
      </c>
      <c r="X6210">
        <v>0.98143610000000003</v>
      </c>
      <c r="Y6210">
        <v>0.29078979999999999</v>
      </c>
      <c r="Z6210">
        <v>-1.0622400000000001E-2</v>
      </c>
      <c r="AA6210">
        <v>0.95672800000000002</v>
      </c>
      <c r="AB6210">
        <v>30</v>
      </c>
      <c r="AC6210">
        <v>7.8068000000000097</v>
      </c>
      <c r="AD6210">
        <v>-1.110700470144</v>
      </c>
      <c r="AE6210">
        <v>-3.20962999999999</v>
      </c>
      <c r="AF6210">
        <v>2.47359887945438</v>
      </c>
      <c r="AG6210">
        <v>-1.110700470144</v>
      </c>
      <c r="AH6210">
        <v>7.9198789512157903</v>
      </c>
      <c r="AI6210">
        <v>97.624562262877205</v>
      </c>
      <c r="AJ6210">
        <v>72.654960985953906</v>
      </c>
      <c r="AK6210">
        <v>8.3711904501526604</v>
      </c>
      <c r="AL6210">
        <v>80.949542849090506</v>
      </c>
      <c r="AM6210">
        <v>96.378920944625904</v>
      </c>
      <c r="AN6210">
        <v>0.99999996503242905</v>
      </c>
    </row>
    <row r="6211" spans="1:40" x14ac:dyDescent="0.25">
      <c r="A6211" t="str">
        <f>"20190304155758031"</f>
        <v>20190304155758031</v>
      </c>
      <c r="B6211" t="str">
        <f>"1551686278021281"</f>
        <v>1551686278021281</v>
      </c>
      <c r="C6211" t="s">
        <v>40</v>
      </c>
      <c r="D6211">
        <v>5.4540459999999999</v>
      </c>
      <c r="E6211">
        <v>0.66538330000000001</v>
      </c>
      <c r="F6211" t="s">
        <v>93</v>
      </c>
      <c r="G6211">
        <v>-254.7698</v>
      </c>
      <c r="H6211" s="1">
        <v>-2.3741249999999999E-6</v>
      </c>
      <c r="I6211">
        <v>-65.828869999999995</v>
      </c>
      <c r="J6211">
        <v>-262.77929999999998</v>
      </c>
      <c r="K6211">
        <v>1.1107009999999999</v>
      </c>
      <c r="L6211">
        <v>-62.470610000000001</v>
      </c>
      <c r="M6211">
        <v>0.99615940000000003</v>
      </c>
      <c r="N6211">
        <v>-1.184749E-2</v>
      </c>
      <c r="O6211">
        <v>-8.6754139999999993E-2</v>
      </c>
      <c r="P6211">
        <v>0.98896779999999995</v>
      </c>
      <c r="Q6211">
        <v>0.14623239999999901</v>
      </c>
      <c r="R6211">
        <v>2.3652530000000001E-2</v>
      </c>
      <c r="S6211">
        <v>3.1264949999999998</v>
      </c>
      <c r="T6211">
        <v>-0.42597699999999999</v>
      </c>
      <c r="U6211">
        <v>-1.2925719999999901</v>
      </c>
      <c r="V6211">
        <v>-0.1096646</v>
      </c>
      <c r="W6211">
        <v>0.15766350000000001</v>
      </c>
      <c r="X6211">
        <v>0.9813847</v>
      </c>
      <c r="Y6211">
        <v>0.29843809999999998</v>
      </c>
      <c r="Z6211">
        <v>-1.1035029999999999E-2</v>
      </c>
      <c r="AA6211">
        <v>0.95436520000000002</v>
      </c>
      <c r="AB6211">
        <v>30</v>
      </c>
      <c r="AC6211">
        <v>8.0094999999999708</v>
      </c>
      <c r="AD6211">
        <v>-1.1107033741250001</v>
      </c>
      <c r="AE6211">
        <v>-3.3582599999999898</v>
      </c>
      <c r="AF6211">
        <v>2.6080361797946998</v>
      </c>
      <c r="AG6211">
        <v>-1.1107033741250001</v>
      </c>
      <c r="AH6211">
        <v>8.1375708989980104</v>
      </c>
      <c r="AI6211">
        <v>97.405700194699804</v>
      </c>
      <c r="AJ6211">
        <v>72.229698360196707</v>
      </c>
      <c r="AK6211">
        <v>8.6171674485662706</v>
      </c>
      <c r="AL6211">
        <v>80.928696814196897</v>
      </c>
      <c r="AM6211">
        <v>96.376052034062297</v>
      </c>
      <c r="AN6211">
        <v>1.00000001655974</v>
      </c>
    </row>
    <row r="6212" spans="1:40" x14ac:dyDescent="0.25">
      <c r="A6212" t="str">
        <f>"20190304155758042"</f>
        <v>20190304155758042</v>
      </c>
      <c r="B6212" t="str">
        <f>"1551686278031041"</f>
        <v>1551686278031041</v>
      </c>
      <c r="C6212" t="s">
        <v>40</v>
      </c>
      <c r="D6212">
        <v>4.8767909999999999</v>
      </c>
      <c r="E6212">
        <v>0.61450850000000001</v>
      </c>
      <c r="F6212" t="s">
        <v>93</v>
      </c>
      <c r="G6212">
        <v>-254.61699999999999</v>
      </c>
      <c r="H6212" s="1">
        <v>-2.3235619999999999E-6</v>
      </c>
      <c r="I6212">
        <v>-65.839569999999995</v>
      </c>
      <c r="J6212">
        <v>-262.62029999999999</v>
      </c>
      <c r="K6212">
        <v>1.1107089999999999</v>
      </c>
      <c r="L6212">
        <v>-62.483890000000002</v>
      </c>
      <c r="M6212">
        <v>0.99620439999999999</v>
      </c>
      <c r="N6212">
        <v>-1.185227E-2</v>
      </c>
      <c r="O6212">
        <v>-8.6233710000000005E-2</v>
      </c>
      <c r="P6212">
        <v>0.98891300000000004</v>
      </c>
      <c r="Q6212">
        <v>0.1465513</v>
      </c>
      <c r="R6212">
        <v>2.3956370000000001E-2</v>
      </c>
      <c r="S6212">
        <v>3.1272890000000002</v>
      </c>
      <c r="T6212">
        <v>-0.42555199999999999</v>
      </c>
      <c r="U6212">
        <v>-1.2907709999999999</v>
      </c>
      <c r="V6212">
        <v>-0.1094497</v>
      </c>
      <c r="W6212">
        <v>0.1579874</v>
      </c>
      <c r="X6212">
        <v>0.98135660000000002</v>
      </c>
      <c r="Y6212">
        <v>0.29838239999999999</v>
      </c>
      <c r="Z6212">
        <v>-1.1083880000000001E-2</v>
      </c>
      <c r="AA6212">
        <v>0.95438210000000001</v>
      </c>
      <c r="AB6212">
        <v>30</v>
      </c>
      <c r="AC6212">
        <v>8.0032999999999603</v>
      </c>
      <c r="AD6212">
        <v>-1.1107113235620001</v>
      </c>
      <c r="AE6212">
        <v>-3.3556799999999898</v>
      </c>
      <c r="AF6212">
        <v>2.61021838460944</v>
      </c>
      <c r="AG6212">
        <v>-1.1107113235620001</v>
      </c>
      <c r="AH6212">
        <v>8.1297064902871998</v>
      </c>
      <c r="AI6212">
        <v>97.411603837499996</v>
      </c>
      <c r="AJ6212">
        <v>72.199647435685705</v>
      </c>
      <c r="AK6212">
        <v>8.6104034329327295</v>
      </c>
      <c r="AL6212">
        <v>80.909903164932004</v>
      </c>
      <c r="AM6212">
        <v>96.363840771116003</v>
      </c>
      <c r="AN6212">
        <v>1.0000000158761999</v>
      </c>
    </row>
    <row r="6213" spans="1:40" x14ac:dyDescent="0.25">
      <c r="A6213" t="str">
        <f>"20190304155758054"</f>
        <v>20190304155758054</v>
      </c>
      <c r="B6213" t="str">
        <f>"1551686278050561"</f>
        <v>1551686278050561</v>
      </c>
      <c r="C6213" t="s">
        <v>40</v>
      </c>
      <c r="D6213">
        <v>4.6182249999999998</v>
      </c>
      <c r="E6213">
        <v>0.53782769999999902</v>
      </c>
      <c r="F6213" t="s">
        <v>42</v>
      </c>
      <c r="G6213">
        <v>-261.8152</v>
      </c>
      <c r="H6213">
        <v>1.027506</v>
      </c>
      <c r="I6213">
        <v>-62.71199</v>
      </c>
      <c r="J6213">
        <v>-262.476</v>
      </c>
      <c r="K6213">
        <v>1.1107119999999999</v>
      </c>
      <c r="L6213">
        <v>-62.495910000000002</v>
      </c>
      <c r="M6213">
        <v>0.99624520000000005</v>
      </c>
      <c r="N6213">
        <v>-1.185669E-2</v>
      </c>
      <c r="O6213">
        <v>-8.5761309999999993E-2</v>
      </c>
      <c r="P6213">
        <v>0.98884839999999996</v>
      </c>
      <c r="Q6213">
        <v>0.14694549999999901</v>
      </c>
      <c r="R6213">
        <v>2.42075E-2</v>
      </c>
      <c r="S6213">
        <v>3.1024780000000001</v>
      </c>
      <c r="T6213">
        <v>-0.32068489999999999</v>
      </c>
      <c r="U6213">
        <v>-0.87832639999999995</v>
      </c>
      <c r="V6213">
        <v>-0.1092288</v>
      </c>
      <c r="W6213">
        <v>0.15838529999999901</v>
      </c>
      <c r="X6213">
        <v>0.98131699999999999</v>
      </c>
      <c r="Y6213">
        <v>0.18816340000000001</v>
      </c>
      <c r="Z6213">
        <v>-3.014171E-3</v>
      </c>
      <c r="AA6213">
        <v>0.98213309999999998</v>
      </c>
      <c r="AB6213">
        <v>30</v>
      </c>
      <c r="AC6213">
        <v>0.66079999999999395</v>
      </c>
      <c r="AD6213">
        <v>-8.3206000000000099E-2</v>
      </c>
      <c r="AE6213">
        <v>-0.21608000000000499</v>
      </c>
      <c r="AF6213">
        <v>0.156368975967066</v>
      </c>
      <c r="AG6213">
        <v>-8.3206000000000099E-2</v>
      </c>
      <c r="AH6213">
        <v>0.66733903449045595</v>
      </c>
      <c r="AI6213">
        <v>96.921565020070602</v>
      </c>
      <c r="AJ6213">
        <v>76.812531676367698</v>
      </c>
      <c r="AK6213">
        <v>0.69044614709305396</v>
      </c>
      <c r="AL6213">
        <v>80.886813812772402</v>
      </c>
      <c r="AM6213">
        <v>96.351356022005007</v>
      </c>
      <c r="AN6213">
        <v>0.99999994424726302</v>
      </c>
    </row>
    <row r="6214" spans="1:40" x14ac:dyDescent="0.25">
      <c r="A6214" t="str">
        <f>"20190304155758064"</f>
        <v>20190304155758064</v>
      </c>
      <c r="B6214" t="str">
        <f>"1551686278061297"</f>
        <v>1551686278061297</v>
      </c>
      <c r="C6214" t="s">
        <v>40</v>
      </c>
      <c r="D6214">
        <v>5.084168</v>
      </c>
      <c r="E6214">
        <v>0.5306495</v>
      </c>
      <c r="F6214" t="s">
        <v>96</v>
      </c>
      <c r="G6214">
        <v>-236.04929999999999</v>
      </c>
      <c r="H6214" s="1">
        <v>-2.6994240000000002E-6</v>
      </c>
      <c r="I6214">
        <v>-64.706310000000002</v>
      </c>
      <c r="J6214">
        <v>-262.33229999999998</v>
      </c>
      <c r="K6214">
        <v>1.1107149999999999</v>
      </c>
      <c r="L6214">
        <v>-62.507779999999997</v>
      </c>
      <c r="M6214">
        <v>0.99628550000000005</v>
      </c>
      <c r="N6214">
        <v>-1.186127E-2</v>
      </c>
      <c r="O6214">
        <v>-8.5291179999999994E-2</v>
      </c>
      <c r="P6214">
        <v>0.98879890000000004</v>
      </c>
      <c r="Q6214">
        <v>0.14723599999999901</v>
      </c>
      <c r="R6214">
        <v>2.4464799999999998E-2</v>
      </c>
      <c r="S6214">
        <v>3.0592350000000001</v>
      </c>
      <c r="T6214">
        <v>-0.12857939999999901</v>
      </c>
      <c r="U6214">
        <v>-0.2558899</v>
      </c>
      <c r="V6214">
        <v>-0.1090177</v>
      </c>
      <c r="W6214">
        <v>0.1586805</v>
      </c>
      <c r="X6214">
        <v>0.98129279999999997</v>
      </c>
      <c r="Y6214">
        <v>-1.909705E-3</v>
      </c>
      <c r="Z6214">
        <v>2.6104740000000002E-3</v>
      </c>
      <c r="AA6214">
        <v>0.99999479999999996</v>
      </c>
      <c r="AB6214">
        <v>30</v>
      </c>
      <c r="AC6214">
        <v>26.282999999999902</v>
      </c>
      <c r="AD6214">
        <v>-1.110717699424</v>
      </c>
      <c r="AE6214">
        <v>-2.1985299999999901</v>
      </c>
      <c r="AF6214">
        <v>-5.1257229660722499E-2</v>
      </c>
      <c r="AG6214">
        <v>-1.110717699424</v>
      </c>
      <c r="AH6214">
        <v>26.328048856577599</v>
      </c>
      <c r="AI6214">
        <v>92.415735460469193</v>
      </c>
      <c r="AJ6214">
        <v>90.111547165330194</v>
      </c>
      <c r="AK6214">
        <v>26.3515175598246</v>
      </c>
      <c r="AL6214">
        <v>80.8696836039407</v>
      </c>
      <c r="AM6214">
        <v>96.339336217051994</v>
      </c>
      <c r="AN6214">
        <v>0.99999995966268895</v>
      </c>
    </row>
    <row r="6215" spans="1:40" x14ac:dyDescent="0.25">
      <c r="A6215" t="str">
        <f>"20190304155758075"</f>
        <v>20190304155758075</v>
      </c>
      <c r="B6215" t="str">
        <f>"1551686278071056"</f>
        <v>1551686278071056</v>
      </c>
      <c r="C6215" t="s">
        <v>40</v>
      </c>
      <c r="D6215">
        <v>4.7915859999999997</v>
      </c>
      <c r="E6215">
        <v>0.52831600000000001</v>
      </c>
      <c r="F6215" t="s">
        <v>95</v>
      </c>
      <c r="G6215">
        <v>-229.2012</v>
      </c>
      <c r="H6215" s="1">
        <v>-3.7088960000000001E-6</v>
      </c>
      <c r="I6215">
        <v>-64.640109999999893</v>
      </c>
      <c r="J6215">
        <v>-262.18220000000002</v>
      </c>
      <c r="K6215">
        <v>1.110714</v>
      </c>
      <c r="L6215">
        <v>-62.520139999999998</v>
      </c>
      <c r="M6215">
        <v>0.99632739999999997</v>
      </c>
      <c r="N6215">
        <v>-1.186599E-2</v>
      </c>
      <c r="O6215">
        <v>-8.4800310000000004E-2</v>
      </c>
      <c r="P6215">
        <v>0.98882720000000002</v>
      </c>
      <c r="Q6215">
        <v>0.1469945</v>
      </c>
      <c r="R6215">
        <v>2.4768600000000002E-2</v>
      </c>
      <c r="S6215">
        <v>3.0541079999999998</v>
      </c>
      <c r="T6215">
        <v>-0.1023889</v>
      </c>
      <c r="U6215">
        <v>-0.19656370000000001</v>
      </c>
      <c r="V6215">
        <v>-0.1088384</v>
      </c>
      <c r="W6215">
        <v>0.158445</v>
      </c>
      <c r="X6215">
        <v>0.98135079999999997</v>
      </c>
      <c r="Y6215">
        <v>-2.0599739999999998E-2</v>
      </c>
      <c r="Z6215">
        <v>2.2952979999999999E-3</v>
      </c>
      <c r="AA6215">
        <v>0.99978520000000004</v>
      </c>
      <c r="AB6215">
        <v>30</v>
      </c>
      <c r="AC6215">
        <v>32.981000000000002</v>
      </c>
      <c r="AD6215">
        <v>-1.1107177088959901</v>
      </c>
      <c r="AE6215">
        <v>-2.1199699999999799</v>
      </c>
      <c r="AF6215">
        <v>-0.68389050672644702</v>
      </c>
      <c r="AG6215">
        <v>-1.1107177088959901</v>
      </c>
      <c r="AH6215">
        <v>33.004692303215201</v>
      </c>
      <c r="AI6215">
        <v>91.927052842383503</v>
      </c>
      <c r="AJ6215">
        <v>91.187056456899896</v>
      </c>
      <c r="AK6215">
        <v>33.030457370190298</v>
      </c>
      <c r="AL6215">
        <v>80.883350058765402</v>
      </c>
      <c r="AM6215">
        <v>96.328623644951193</v>
      </c>
      <c r="AN6215">
        <v>1.0000000040001</v>
      </c>
    </row>
    <row r="6216" spans="1:40" x14ac:dyDescent="0.25">
      <c r="A6216" t="str">
        <f>"20190304155758086"</f>
        <v>20190304155758086</v>
      </c>
      <c r="B6216" t="str">
        <f>"1551686278080816"</f>
        <v>1551686278080816</v>
      </c>
      <c r="C6216" t="s">
        <v>40</v>
      </c>
      <c r="D6216">
        <v>4.849793</v>
      </c>
      <c r="E6216">
        <v>0.52684980000000003</v>
      </c>
      <c r="F6216" t="s">
        <v>96</v>
      </c>
      <c r="G6216">
        <v>-232.23820000000001</v>
      </c>
      <c r="H6216" s="1">
        <v>-9.7895869999999997E-7</v>
      </c>
      <c r="I6216">
        <v>-64.260859999999994</v>
      </c>
      <c r="J6216">
        <v>-262.02600000000001</v>
      </c>
      <c r="K6216">
        <v>1.1107119999999999</v>
      </c>
      <c r="L6216">
        <v>-62.53293</v>
      </c>
      <c r="M6216">
        <v>0.99637070000000005</v>
      </c>
      <c r="N6216">
        <v>-1.1870800000000001E-2</v>
      </c>
      <c r="O6216">
        <v>-8.4289299999999998E-2</v>
      </c>
      <c r="P6216">
        <v>0.98875400000000002</v>
      </c>
      <c r="Q6216">
        <v>0.14739050000000001</v>
      </c>
      <c r="R6216">
        <v>2.5329230000000001E-2</v>
      </c>
      <c r="S6216">
        <v>3.0552060000000001</v>
      </c>
      <c r="T6216">
        <v>-0.113327</v>
      </c>
      <c r="U6216">
        <v>-0.177612299999999</v>
      </c>
      <c r="V6216">
        <v>-0.108886999999999</v>
      </c>
      <c r="W6216">
        <v>0.15884429999999999</v>
      </c>
      <c r="X6216">
        <v>0.98128090000000001</v>
      </c>
      <c r="Y6216">
        <v>-2.6273080000000001E-2</v>
      </c>
      <c r="Z6216">
        <v>2.7599500000000002E-3</v>
      </c>
      <c r="AA6216">
        <v>0.99965099999999996</v>
      </c>
      <c r="AB6216">
        <v>30</v>
      </c>
      <c r="AC6216">
        <v>29.787800000000001</v>
      </c>
      <c r="AD6216">
        <v>-1.1107129789587</v>
      </c>
      <c r="AE6216">
        <v>-1.72792999999998</v>
      </c>
      <c r="AF6216">
        <v>-0.78809746154335103</v>
      </c>
      <c r="AG6216">
        <v>-1.1107129789587</v>
      </c>
      <c r="AH6216">
        <v>29.786161648378101</v>
      </c>
      <c r="AI6216">
        <v>92.134798752768006</v>
      </c>
      <c r="AJ6216">
        <v>91.515607363810005</v>
      </c>
      <c r="AK6216">
        <v>29.817280336640799</v>
      </c>
      <c r="AL6216">
        <v>80.860178803707896</v>
      </c>
      <c r="AM6216">
        <v>96.331873989868797</v>
      </c>
      <c r="AN6216">
        <v>1.0000000475581401</v>
      </c>
    </row>
    <row r="6217" spans="1:40" x14ac:dyDescent="0.25">
      <c r="A6217" t="str">
        <f>"20190304155758097"</f>
        <v>20190304155758097</v>
      </c>
      <c r="B6217" t="str">
        <f>"1551686278090577"</f>
        <v>1551686278090577</v>
      </c>
      <c r="C6217" t="s">
        <v>40</v>
      </c>
      <c r="D6217">
        <v>4.7758159999999998</v>
      </c>
      <c r="E6217">
        <v>0.52588009999999996</v>
      </c>
      <c r="F6217" t="s">
        <v>95</v>
      </c>
      <c r="G6217">
        <v>-229.83240000000001</v>
      </c>
      <c r="H6217" s="1">
        <v>-3.8731210000000002E-6</v>
      </c>
      <c r="I6217">
        <v>-64.26173</v>
      </c>
      <c r="J6217">
        <v>-261.88679999999999</v>
      </c>
      <c r="K6217">
        <v>1.1107129999999901</v>
      </c>
      <c r="L6217">
        <v>-62.544220000000003</v>
      </c>
      <c r="M6217">
        <v>0.99640899999999999</v>
      </c>
      <c r="N6217">
        <v>-1.187502E-2</v>
      </c>
      <c r="O6217">
        <v>-8.3834190000000003E-2</v>
      </c>
      <c r="P6217">
        <v>0.98873909999999998</v>
      </c>
      <c r="Q6217">
        <v>0.14743599999999901</v>
      </c>
      <c r="R6217">
        <v>2.5644839999999999E-2</v>
      </c>
      <c r="S6217">
        <v>3.0540159999999998</v>
      </c>
      <c r="T6217">
        <v>-0.1053673</v>
      </c>
      <c r="U6217">
        <v>-0.16400149999999999</v>
      </c>
      <c r="V6217">
        <v>-0.108751399999999</v>
      </c>
      <c r="W6217">
        <v>0.1588947</v>
      </c>
      <c r="X6217">
        <v>0.98128769999999998</v>
      </c>
      <c r="Y6217">
        <v>-3.02399E-2</v>
      </c>
      <c r="Z6217">
        <v>2.590059E-3</v>
      </c>
      <c r="AA6217">
        <v>0.99953930000000002</v>
      </c>
      <c r="AB6217">
        <v>30</v>
      </c>
      <c r="AC6217">
        <v>32.054399999999902</v>
      </c>
      <c r="AD6217">
        <v>-1.11071687312099</v>
      </c>
      <c r="AE6217">
        <v>-1.7175100000000001</v>
      </c>
      <c r="AF6217">
        <v>-0.97481391477528401</v>
      </c>
      <c r="AG6217">
        <v>-1.11071687312099</v>
      </c>
      <c r="AH6217">
        <v>32.047171137451002</v>
      </c>
      <c r="AI6217">
        <v>91.984092118927293</v>
      </c>
      <c r="AJ6217">
        <v>91.742291272379006</v>
      </c>
      <c r="AK6217">
        <v>32.081227097069501</v>
      </c>
      <c r="AL6217">
        <v>80.857253247735898</v>
      </c>
      <c r="AM6217">
        <v>96.324009189354598</v>
      </c>
      <c r="AN6217">
        <v>0.99999997143066899</v>
      </c>
    </row>
    <row r="6218" spans="1:40" x14ac:dyDescent="0.25">
      <c r="A6218" t="str">
        <f>"20190304155758108"</f>
        <v>20190304155758108</v>
      </c>
      <c r="B6218" t="str">
        <f>"1551686278100336"</f>
        <v>1551686278100336</v>
      </c>
      <c r="C6218" t="s">
        <v>40</v>
      </c>
      <c r="D6218">
        <v>4.8790839999999998</v>
      </c>
      <c r="E6218">
        <v>0.52526859999999997</v>
      </c>
      <c r="F6218" t="s">
        <v>96</v>
      </c>
      <c r="G6218">
        <v>-232.44489999999999</v>
      </c>
      <c r="H6218" s="1">
        <v>-1.010219E-6</v>
      </c>
      <c r="I6218">
        <v>-64.045079999999999</v>
      </c>
      <c r="J6218">
        <v>-261.73880000000003</v>
      </c>
      <c r="K6218">
        <v>1.1107149999999999</v>
      </c>
      <c r="L6218">
        <v>-62.55621</v>
      </c>
      <c r="M6218">
        <v>0.99644949999999999</v>
      </c>
      <c r="N6218">
        <v>-1.187948E-2</v>
      </c>
      <c r="O6218">
        <v>-8.3349759999999995E-2</v>
      </c>
      <c r="P6218">
        <v>0.9887049</v>
      </c>
      <c r="Q6218">
        <v>0.14757819999999999</v>
      </c>
      <c r="R6218">
        <v>2.6136079999999999E-2</v>
      </c>
      <c r="S6218">
        <v>3.0553889999999999</v>
      </c>
      <c r="T6218">
        <v>-0.1152666</v>
      </c>
      <c r="U6218">
        <v>-0.1557617</v>
      </c>
      <c r="V6218">
        <v>-0.108761</v>
      </c>
      <c r="W6218">
        <v>0.1590406</v>
      </c>
      <c r="X6218">
        <v>0.981263</v>
      </c>
      <c r="Y6218">
        <v>-3.2453639999999999E-2</v>
      </c>
      <c r="Z6218">
        <v>2.9507140000000001E-3</v>
      </c>
      <c r="AA6218">
        <v>0.99946889999999999</v>
      </c>
      <c r="AB6218">
        <v>30</v>
      </c>
      <c r="AC6218">
        <v>29.293900000000001</v>
      </c>
      <c r="AD6218">
        <v>-1.1107160102189999</v>
      </c>
      <c r="AE6218">
        <v>-1.4888699999999899</v>
      </c>
      <c r="AF6218">
        <v>-0.95675149370295698</v>
      </c>
      <c r="AG6218">
        <v>-1.1107160102189999</v>
      </c>
      <c r="AH6218">
        <v>29.274081617408498</v>
      </c>
      <c r="AI6218">
        <v>92.171713409414906</v>
      </c>
      <c r="AJ6218">
        <v>91.871905598420398</v>
      </c>
      <c r="AK6218">
        <v>29.310764541696201</v>
      </c>
      <c r="AL6218">
        <v>80.848786122973095</v>
      </c>
      <c r="AM6218">
        <v>96.324720825540098</v>
      </c>
      <c r="AN6218">
        <v>0.99999997136917895</v>
      </c>
    </row>
    <row r="6219" spans="1:40" x14ac:dyDescent="0.25">
      <c r="A6219" t="str">
        <f>"20190304155758119"</f>
        <v>20190304155758119</v>
      </c>
      <c r="B6219" t="str">
        <f>"1551686278111072"</f>
        <v>1551686278111072</v>
      </c>
      <c r="C6219" t="s">
        <v>40</v>
      </c>
      <c r="D6219">
        <v>4.8420860000000001</v>
      </c>
      <c r="E6219">
        <v>0.52481230000000001</v>
      </c>
      <c r="F6219" t="s">
        <v>96</v>
      </c>
      <c r="G6219">
        <v>-231.27510000000001</v>
      </c>
      <c r="H6219" s="1">
        <v>-5.0818619999999998E-7</v>
      </c>
      <c r="I6219">
        <v>-64.044319999999999</v>
      </c>
      <c r="J6219">
        <v>-261.58800000000002</v>
      </c>
      <c r="K6219">
        <v>1.1107180000000001</v>
      </c>
      <c r="L6219">
        <v>-62.568300000000001</v>
      </c>
      <c r="M6219">
        <v>0.9964906</v>
      </c>
      <c r="N6219">
        <v>-1.188382E-2</v>
      </c>
      <c r="O6219">
        <v>-8.2856390000000002E-2</v>
      </c>
      <c r="P6219">
        <v>0.98868809999999996</v>
      </c>
      <c r="Q6219">
        <v>0.14764099999999999</v>
      </c>
      <c r="R6219">
        <v>2.641626E-2</v>
      </c>
      <c r="S6219">
        <v>3.05484</v>
      </c>
      <c r="T6219">
        <v>-0.1113806</v>
      </c>
      <c r="U6219">
        <v>-0.149231</v>
      </c>
      <c r="V6219">
        <v>-0.1085515</v>
      </c>
      <c r="W6219">
        <v>0.15910839999999901</v>
      </c>
      <c r="X6219">
        <v>0.98127529999999996</v>
      </c>
      <c r="Y6219">
        <v>-3.4084110000000001E-2</v>
      </c>
      <c r="Z6219">
        <v>2.8523490000000001E-3</v>
      </c>
      <c r="AA6219">
        <v>0.99941489999999999</v>
      </c>
      <c r="AB6219">
        <v>30</v>
      </c>
      <c r="AC6219">
        <v>30.3128999999999</v>
      </c>
      <c r="AD6219">
        <v>-1.1107185081861899</v>
      </c>
      <c r="AE6219">
        <v>-1.4760199999999899</v>
      </c>
      <c r="AF6219">
        <v>-1.03945865253035</v>
      </c>
      <c r="AG6219">
        <v>-1.1107185081861899</v>
      </c>
      <c r="AH6219">
        <v>30.290388318919501</v>
      </c>
      <c r="AI6219">
        <v>92.098804191132999</v>
      </c>
      <c r="AJ6219">
        <v>91.9654165976103</v>
      </c>
      <c r="AK6219">
        <v>30.328564001707701</v>
      </c>
      <c r="AL6219">
        <v>80.844852209867994</v>
      </c>
      <c r="AM6219">
        <v>96.312557840312707</v>
      </c>
      <c r="AN6219">
        <v>1.00000006274644</v>
      </c>
    </row>
    <row r="6220" spans="1:40" x14ac:dyDescent="0.25">
      <c r="A6220" t="str">
        <f>"20190304155758131"</f>
        <v>20190304155758131</v>
      </c>
      <c r="B6220" t="str">
        <f>"1551686278120833"</f>
        <v>1551686278120833</v>
      </c>
      <c r="C6220" t="s">
        <v>40</v>
      </c>
      <c r="D6220">
        <v>4.7933839999999996</v>
      </c>
      <c r="E6220">
        <v>0.52545929999999996</v>
      </c>
      <c r="F6220" t="s">
        <v>96</v>
      </c>
      <c r="G6220">
        <v>-230.2336</v>
      </c>
      <c r="H6220" s="1">
        <v>-6.3246720000000001E-8</v>
      </c>
      <c r="I6220">
        <v>-64.051319999999905</v>
      </c>
      <c r="J6220">
        <v>-261.43990000000002</v>
      </c>
      <c r="K6220">
        <v>1.110716</v>
      </c>
      <c r="L6220">
        <v>-62.58014</v>
      </c>
      <c r="M6220">
        <v>0.99653080000000005</v>
      </c>
      <c r="N6220">
        <v>-1.1888309999999999E-2</v>
      </c>
      <c r="O6220">
        <v>-8.2371239999999998E-2</v>
      </c>
      <c r="P6220">
        <v>0.98865740000000002</v>
      </c>
      <c r="Q6220">
        <v>0.1477831</v>
      </c>
      <c r="R6220">
        <v>2.6776600000000001E-2</v>
      </c>
      <c r="S6220">
        <v>3.0543209999999998</v>
      </c>
      <c r="T6220">
        <v>-0.108198</v>
      </c>
      <c r="U6220">
        <v>-0.14447019999999999</v>
      </c>
      <c r="V6220">
        <v>-0.1084296</v>
      </c>
      <c r="W6220">
        <v>0.15925529999999999</v>
      </c>
      <c r="X6220">
        <v>0.9812649</v>
      </c>
      <c r="Y6220">
        <v>-3.5146209999999997E-2</v>
      </c>
      <c r="Z6220">
        <v>2.7627789999999999E-3</v>
      </c>
      <c r="AA6220">
        <v>0.9993784</v>
      </c>
      <c r="AB6220">
        <v>30</v>
      </c>
      <c r="AC6220">
        <v>31.206299999999999</v>
      </c>
      <c r="AD6220">
        <v>-1.1107160632467199</v>
      </c>
      <c r="AE6220">
        <v>-1.4711799999999799</v>
      </c>
      <c r="AF6220">
        <v>-1.1031091413417899</v>
      </c>
      <c r="AG6220">
        <v>-1.1107160632467199</v>
      </c>
      <c r="AH6220">
        <v>31.1820135743416</v>
      </c>
      <c r="AI6220">
        <v>92.038762285246506</v>
      </c>
      <c r="AJ6220">
        <v>92.026076716055798</v>
      </c>
      <c r="AK6220">
        <v>31.221282973338699</v>
      </c>
      <c r="AL6220">
        <v>80.836326325893907</v>
      </c>
      <c r="AM6220">
        <v>96.305592453521598</v>
      </c>
      <c r="AN6220">
        <v>1.00000001635312</v>
      </c>
    </row>
    <row r="6221" spans="1:40" x14ac:dyDescent="0.25">
      <c r="A6221" t="str">
        <f>"20190304155758142"</f>
        <v>20190304155758142</v>
      </c>
      <c r="B6221" t="str">
        <f>"1551686278130592"</f>
        <v>1551686278130592</v>
      </c>
      <c r="C6221" t="s">
        <v>40</v>
      </c>
      <c r="D6221">
        <v>4.7797429999999999</v>
      </c>
      <c r="E6221">
        <v>0.52570859999999997</v>
      </c>
      <c r="F6221" t="s">
        <v>96</v>
      </c>
      <c r="G6221">
        <v>-230.46350000000001</v>
      </c>
      <c r="H6221" s="1">
        <v>-1.7105779999999901E-7</v>
      </c>
      <c r="I6221">
        <v>-64.085880000000003</v>
      </c>
      <c r="J6221">
        <v>-261.28379999999999</v>
      </c>
      <c r="K6221">
        <v>1.110716</v>
      </c>
      <c r="L6221">
        <v>-62.592500000000001</v>
      </c>
      <c r="M6221">
        <v>0.99657289999999998</v>
      </c>
      <c r="N6221">
        <v>-1.189521E-2</v>
      </c>
      <c r="O6221">
        <v>-8.1860130000000003E-2</v>
      </c>
      <c r="P6221">
        <v>0.98869439999999997</v>
      </c>
      <c r="Q6221">
        <v>0.14746400000000001</v>
      </c>
      <c r="R6221">
        <v>2.7166340000000001E-2</v>
      </c>
      <c r="S6221">
        <v>3.0548099999999998</v>
      </c>
      <c r="T6221">
        <v>-0.1095358</v>
      </c>
      <c r="U6221">
        <v>-0.14849849999999901</v>
      </c>
      <c r="V6221">
        <v>-0.1083167</v>
      </c>
      <c r="W6221">
        <v>0.1589441</v>
      </c>
      <c r="X6221">
        <v>0.98132779999999997</v>
      </c>
      <c r="Y6221">
        <v>-3.332653E-2</v>
      </c>
      <c r="Z6221">
        <v>2.7497239999999998E-3</v>
      </c>
      <c r="AA6221">
        <v>0.99944069999999996</v>
      </c>
      <c r="AB6221">
        <v>30</v>
      </c>
      <c r="AC6221">
        <v>30.8202999999999</v>
      </c>
      <c r="AD6221">
        <v>-1.1107161710578</v>
      </c>
      <c r="AE6221">
        <v>-1.4933799999999999</v>
      </c>
      <c r="AF6221">
        <v>-1.03342583499368</v>
      </c>
      <c r="AG6221">
        <v>-1.1107161710578</v>
      </c>
      <c r="AH6221">
        <v>30.799196636349301</v>
      </c>
      <c r="AI6221">
        <v>92.064210794791293</v>
      </c>
      <c r="AJ6221">
        <v>91.921762234204493</v>
      </c>
      <c r="AK6221">
        <v>30.836539572617301</v>
      </c>
      <c r="AL6221">
        <v>80.854386599563597</v>
      </c>
      <c r="AM6221">
        <v>96.298679188062806</v>
      </c>
      <c r="AN6221">
        <v>0.99999999273826901</v>
      </c>
    </row>
    <row r="6222" spans="1:40" x14ac:dyDescent="0.25">
      <c r="A6222" t="str">
        <f>"20190304155758154"</f>
        <v>20190304155758154</v>
      </c>
      <c r="B6222" t="str">
        <f>"1551686278151088"</f>
        <v>1551686278151088</v>
      </c>
      <c r="C6222" t="s">
        <v>40</v>
      </c>
      <c r="D6222">
        <v>4.8765450000000001</v>
      </c>
      <c r="E6222">
        <v>0.52502419999999905</v>
      </c>
      <c r="F6222" t="s">
        <v>96</v>
      </c>
      <c r="G6222">
        <v>-231.11799999999999</v>
      </c>
      <c r="H6222" s="1">
        <v>-4.4698219999999998E-7</v>
      </c>
      <c r="I6222">
        <v>-64.067709999999906</v>
      </c>
      <c r="J6222">
        <v>-261.12529999999998</v>
      </c>
      <c r="K6222">
        <v>1.110717</v>
      </c>
      <c r="L6222">
        <v>-62.60501</v>
      </c>
      <c r="M6222">
        <v>0.99661540000000004</v>
      </c>
      <c r="N6222">
        <v>-1.1902899999999999E-2</v>
      </c>
      <c r="O6222">
        <v>-8.1340780000000001E-2</v>
      </c>
      <c r="P6222">
        <v>0.98868009999999995</v>
      </c>
      <c r="Q6222">
        <v>0.14743510000000001</v>
      </c>
      <c r="R6222">
        <v>2.7837190000000001E-2</v>
      </c>
      <c r="S6222">
        <v>3.0551759999999999</v>
      </c>
      <c r="T6222">
        <v>-0.1124923</v>
      </c>
      <c r="U6222">
        <v>-0.14941409999999999</v>
      </c>
      <c r="V6222">
        <v>-0.108472</v>
      </c>
      <c r="W6222">
        <v>0.15892200000000001</v>
      </c>
      <c r="X6222">
        <v>0.98131420000000003</v>
      </c>
      <c r="Y6222">
        <v>-3.251035E-2</v>
      </c>
      <c r="Z6222">
        <v>2.81116E-3</v>
      </c>
      <c r="AA6222">
        <v>0.99946740000000001</v>
      </c>
      <c r="AB6222">
        <v>30</v>
      </c>
      <c r="AC6222">
        <v>30.007299999999901</v>
      </c>
      <c r="AD6222">
        <v>-1.1107174469822001</v>
      </c>
      <c r="AE6222">
        <v>-1.4626999999999899</v>
      </c>
      <c r="AF6222">
        <v>-0.981795390584008</v>
      </c>
      <c r="AG6222">
        <v>-1.1107174469822001</v>
      </c>
      <c r="AH6222">
        <v>29.985851422545299</v>
      </c>
      <c r="AI6222">
        <v>92.120210008774905</v>
      </c>
      <c r="AJ6222">
        <v>91.875305880413507</v>
      </c>
      <c r="AK6222">
        <v>30.022473265388498</v>
      </c>
      <c r="AL6222">
        <v>80.855668909980395</v>
      </c>
      <c r="AM6222">
        <v>96.307723948006796</v>
      </c>
      <c r="AN6222">
        <v>0.99999996799481905</v>
      </c>
    </row>
    <row r="6223" spans="1:40" x14ac:dyDescent="0.25">
      <c r="A6223" t="str">
        <f>"20190304155758165"</f>
        <v>20190304155758165</v>
      </c>
      <c r="B6223" t="str">
        <f>"1551686278160848"</f>
        <v>1551686278160848</v>
      </c>
      <c r="C6223" t="s">
        <v>40</v>
      </c>
      <c r="D6223">
        <v>4.8553389999999998</v>
      </c>
      <c r="E6223">
        <v>0.52464069999999996</v>
      </c>
      <c r="F6223" t="s">
        <v>96</v>
      </c>
      <c r="G6223">
        <v>-230.67609999999999</v>
      </c>
      <c r="H6223" s="1">
        <v>-2.439954E-7</v>
      </c>
      <c r="I6223">
        <v>-64.017219999999995</v>
      </c>
      <c r="J6223">
        <v>-260.97989999999999</v>
      </c>
      <c r="K6223">
        <v>1.110716</v>
      </c>
      <c r="L6223">
        <v>-62.61636</v>
      </c>
      <c r="M6223">
        <v>0.99665400000000004</v>
      </c>
      <c r="N6223">
        <v>-1.191087E-2</v>
      </c>
      <c r="O6223">
        <v>-8.086459E-2</v>
      </c>
      <c r="P6223">
        <v>0.98867210000000005</v>
      </c>
      <c r="Q6223">
        <v>0.14740510000000001</v>
      </c>
      <c r="R6223">
        <v>2.8278500000000002E-2</v>
      </c>
      <c r="S6223">
        <v>3.0549620000000002</v>
      </c>
      <c r="T6223">
        <v>-0.11143790000000001</v>
      </c>
      <c r="U6223">
        <v>-0.14169309999999999</v>
      </c>
      <c r="V6223">
        <v>-0.1084415</v>
      </c>
      <c r="W6223">
        <v>0.15889990000000001</v>
      </c>
      <c r="X6223">
        <v>0.9813212</v>
      </c>
      <c r="Y6223">
        <v>-3.4549120000000003E-2</v>
      </c>
      <c r="Z6223">
        <v>2.8152329999999999E-3</v>
      </c>
      <c r="AA6223">
        <v>0.99939900000000004</v>
      </c>
      <c r="AB6223">
        <v>30</v>
      </c>
      <c r="AC6223">
        <v>30.303799999999899</v>
      </c>
      <c r="AD6223">
        <v>-1.1107162439953999</v>
      </c>
      <c r="AE6223">
        <v>-1.40085999999999</v>
      </c>
      <c r="AF6223">
        <v>-1.0529947606021599</v>
      </c>
      <c r="AG6223">
        <v>-1.1107162439953999</v>
      </c>
      <c r="AH6223">
        <v>30.2772435453629</v>
      </c>
      <c r="AI6223">
        <v>92.099676847797099</v>
      </c>
      <c r="AJ6223">
        <v>91.9918539971397</v>
      </c>
      <c r="AK6223">
        <v>30.315902843981899</v>
      </c>
      <c r="AL6223">
        <v>80.856951899192296</v>
      </c>
      <c r="AM6223">
        <v>96.305920021629603</v>
      </c>
      <c r="AN6223">
        <v>1.0000000173558401</v>
      </c>
    </row>
    <row r="6224" spans="1:40" x14ac:dyDescent="0.25">
      <c r="A6224" t="str">
        <f>"20190304155758177"</f>
        <v>20190304155758177</v>
      </c>
      <c r="B6224" t="str">
        <f>"1551686278170610"</f>
        <v>1551686278170610</v>
      </c>
      <c r="C6224" t="s">
        <v>40</v>
      </c>
      <c r="D6224">
        <v>4.8834299999999997</v>
      </c>
      <c r="E6224">
        <v>0.52468510000000002</v>
      </c>
      <c r="F6224" t="s">
        <v>96</v>
      </c>
      <c r="G6224">
        <v>-230.63550000000001</v>
      </c>
      <c r="H6224" s="1">
        <v>-2.1636950000000001E-7</v>
      </c>
      <c r="I6224">
        <v>-63.978859999999997</v>
      </c>
      <c r="J6224">
        <v>-260.82580000000002</v>
      </c>
      <c r="K6224">
        <v>1.1107199999999999</v>
      </c>
      <c r="L6224">
        <v>-62.628360000000001</v>
      </c>
      <c r="M6224">
        <v>0.99669459999999999</v>
      </c>
      <c r="N6224">
        <v>-1.191939E-2</v>
      </c>
      <c r="O6224">
        <v>-8.0359910000000007E-2</v>
      </c>
      <c r="P6224">
        <v>0.98868389999999995</v>
      </c>
      <c r="Q6224">
        <v>0.14715690000000001</v>
      </c>
      <c r="R6224">
        <v>2.9137980000000001E-2</v>
      </c>
      <c r="S6224">
        <v>3.0549620000000002</v>
      </c>
      <c r="T6224">
        <v>-0.11182259999999999</v>
      </c>
      <c r="U6224">
        <v>-0.13717650000000001</v>
      </c>
      <c r="V6224">
        <v>-0.10880049999999999</v>
      </c>
      <c r="W6224">
        <v>0.158659299999999</v>
      </c>
      <c r="X6224">
        <v>0.98132039999999998</v>
      </c>
      <c r="Y6224">
        <v>-3.551642E-2</v>
      </c>
      <c r="Z6224">
        <v>2.8382540000000001E-3</v>
      </c>
      <c r="AA6224">
        <v>0.99936510000000001</v>
      </c>
      <c r="AB6224">
        <v>30</v>
      </c>
      <c r="AC6224">
        <v>30.190300000000001</v>
      </c>
      <c r="AD6224">
        <v>-1.1107202163695</v>
      </c>
      <c r="AE6224">
        <v>-1.35049999999999</v>
      </c>
      <c r="AF6224">
        <v>-1.07867338828357</v>
      </c>
      <c r="AG6224">
        <v>-1.1107202163695</v>
      </c>
      <c r="AH6224">
        <v>30.160439650190799</v>
      </c>
      <c r="AI6224">
        <v>92.107735433163299</v>
      </c>
      <c r="AJ6224">
        <v>92.048282538775894</v>
      </c>
      <c r="AK6224">
        <v>30.200154893153201</v>
      </c>
      <c r="AL6224">
        <v>80.870914460120602</v>
      </c>
      <c r="AM6224">
        <v>96.326632141717099</v>
      </c>
      <c r="AN6224">
        <v>1.00000002486644</v>
      </c>
    </row>
    <row r="6225" spans="1:40" x14ac:dyDescent="0.25">
      <c r="A6225" t="str">
        <f>"20190304155758189"</f>
        <v>20190304155758189</v>
      </c>
      <c r="B6225" t="str">
        <f>"1551686278180368"</f>
        <v>1551686278180368</v>
      </c>
      <c r="C6225" t="s">
        <v>40</v>
      </c>
      <c r="D6225">
        <v>4.8333700000000004</v>
      </c>
      <c r="E6225">
        <v>0.52374270000000001</v>
      </c>
      <c r="F6225" t="s">
        <v>96</v>
      </c>
      <c r="G6225">
        <v>-230.2841</v>
      </c>
      <c r="H6225" s="1">
        <v>-6.478865E-8</v>
      </c>
      <c r="I6225">
        <v>-63.975659999999998</v>
      </c>
      <c r="J6225">
        <v>-260.65769999999998</v>
      </c>
      <c r="K6225">
        <v>1.1107209999999901</v>
      </c>
      <c r="L6225">
        <v>-62.641359999999999</v>
      </c>
      <c r="M6225">
        <v>0.99673869999999998</v>
      </c>
      <c r="N6225">
        <v>-1.192872E-2</v>
      </c>
      <c r="O6225">
        <v>-7.9809820000000004E-2</v>
      </c>
      <c r="P6225">
        <v>0.98869059999999998</v>
      </c>
      <c r="Q6225">
        <v>0.1469742</v>
      </c>
      <c r="R6225">
        <v>2.9822109999999999E-2</v>
      </c>
      <c r="S6225">
        <v>3.05484</v>
      </c>
      <c r="T6225">
        <v>-0.1110964</v>
      </c>
      <c r="U6225">
        <v>-0.13476560000000001</v>
      </c>
      <c r="V6225">
        <v>-0.1089402</v>
      </c>
      <c r="W6225">
        <v>0.15848599999999999</v>
      </c>
      <c r="X6225">
        <v>0.98133289999999995</v>
      </c>
      <c r="Y6225">
        <v>-3.575101E-2</v>
      </c>
      <c r="Z6225">
        <v>2.8069330000000002E-3</v>
      </c>
      <c r="AA6225">
        <v>0.99935680000000005</v>
      </c>
      <c r="AB6225">
        <v>30</v>
      </c>
      <c r="AC6225">
        <v>30.3735999999999</v>
      </c>
      <c r="AD6225">
        <v>-1.1107210647886401</v>
      </c>
      <c r="AE6225">
        <v>-1.33429999999999</v>
      </c>
      <c r="AF6225">
        <v>-1.0927824652342899</v>
      </c>
      <c r="AG6225">
        <v>-1.1107210647886401</v>
      </c>
      <c r="AH6225">
        <v>30.342697447881399</v>
      </c>
      <c r="AI6225">
        <v>92.095069161494706</v>
      </c>
      <c r="AJ6225">
        <v>92.062597564737004</v>
      </c>
      <c r="AK6225">
        <v>30.382678670811099</v>
      </c>
      <c r="AL6225">
        <v>80.880971016728196</v>
      </c>
      <c r="AM6225">
        <v>96.334609516968598</v>
      </c>
      <c r="AN6225">
        <v>1.0000000199972201</v>
      </c>
    </row>
    <row r="6226" spans="1:40" x14ac:dyDescent="0.25">
      <c r="A6226" t="str">
        <f>"20190304155758200"</f>
        <v>20190304155758200</v>
      </c>
      <c r="B6226" t="str">
        <f>"1551686278191104"</f>
        <v>1551686278191104</v>
      </c>
      <c r="C6226" t="s">
        <v>40</v>
      </c>
      <c r="D6226">
        <v>4.868379</v>
      </c>
      <c r="E6226">
        <v>0.52314609999999995</v>
      </c>
      <c r="F6226" t="s">
        <v>96</v>
      </c>
      <c r="G6226">
        <v>-230.8777</v>
      </c>
      <c r="H6226" s="1">
        <v>-2.8975979999999998E-7</v>
      </c>
      <c r="I6226">
        <v>-63.864229999999999</v>
      </c>
      <c r="J6226">
        <v>-260.52019999999999</v>
      </c>
      <c r="K6226">
        <v>1.110722</v>
      </c>
      <c r="L6226">
        <v>-62.651890000000002</v>
      </c>
      <c r="M6226">
        <v>0.99677439999999995</v>
      </c>
      <c r="N6226">
        <v>-1.193834E-2</v>
      </c>
      <c r="O6226">
        <v>-7.9362139999999998E-2</v>
      </c>
      <c r="P6226">
        <v>0.98869700000000005</v>
      </c>
      <c r="Q6226">
        <v>0.146780299999999</v>
      </c>
      <c r="R6226">
        <v>3.0557770000000001E-2</v>
      </c>
      <c r="S6226">
        <v>3.0550540000000002</v>
      </c>
      <c r="T6226">
        <v>-0.11394609999999999</v>
      </c>
      <c r="U6226">
        <v>-0.12545780000000001</v>
      </c>
      <c r="V6226">
        <v>-0.1092317</v>
      </c>
      <c r="W6226">
        <v>0.15830050000000001</v>
      </c>
      <c r="X6226">
        <v>0.98133040000000005</v>
      </c>
      <c r="Y6226">
        <v>-3.8338869999999997E-2</v>
      </c>
      <c r="Z6226">
        <v>2.9496879999999998E-3</v>
      </c>
      <c r="AA6226">
        <v>0.99926040000000005</v>
      </c>
      <c r="AB6226">
        <v>30</v>
      </c>
      <c r="AC6226">
        <v>29.642499999999899</v>
      </c>
      <c r="AD6226">
        <v>-1.1107222897597999</v>
      </c>
      <c r="AE6226">
        <v>-1.21234</v>
      </c>
      <c r="AF6226">
        <v>-1.1425427476171801</v>
      </c>
      <c r="AG6226">
        <v>-1.1107222897597999</v>
      </c>
      <c r="AH6226">
        <v>29.603714982418499</v>
      </c>
      <c r="AI6226">
        <v>92.147115137962601</v>
      </c>
      <c r="AJ6226">
        <v>92.210209198186107</v>
      </c>
      <c r="AK6226">
        <v>29.646568919444501</v>
      </c>
      <c r="AL6226">
        <v>80.891734933078894</v>
      </c>
      <c r="AM6226">
        <v>96.351437250157105</v>
      </c>
      <c r="AN6226">
        <v>0.99999998327464901</v>
      </c>
    </row>
    <row r="6227" spans="1:40" x14ac:dyDescent="0.25">
      <c r="A6227" t="str">
        <f>"20190304155758210"</f>
        <v>20190304155758210</v>
      </c>
      <c r="B6227" t="str">
        <f>"1551686278200865"</f>
        <v>1551686278200865</v>
      </c>
      <c r="C6227" t="s">
        <v>40</v>
      </c>
      <c r="D6227">
        <v>4.8250349999999997</v>
      </c>
      <c r="E6227">
        <v>0.52247100000000002</v>
      </c>
      <c r="F6227" t="s">
        <v>96</v>
      </c>
      <c r="G6227">
        <v>-231.60120000000001</v>
      </c>
      <c r="H6227" s="1">
        <v>-5.7635319999999996E-7</v>
      </c>
      <c r="I6227">
        <v>-63.774850000000001</v>
      </c>
      <c r="J6227">
        <v>-260.38740000000001</v>
      </c>
      <c r="K6227">
        <v>1.1107229999999999</v>
      </c>
      <c r="L6227">
        <v>-62.662019999999998</v>
      </c>
      <c r="M6227">
        <v>0.99680860000000004</v>
      </c>
      <c r="N6227">
        <v>-1.194769E-2</v>
      </c>
      <c r="O6227">
        <v>-7.8929349999999995E-2</v>
      </c>
      <c r="P6227">
        <v>0.98865729999999996</v>
      </c>
      <c r="Q6227">
        <v>0.14687809999999901</v>
      </c>
      <c r="R6227">
        <v>3.136245E-2</v>
      </c>
      <c r="S6227">
        <v>3.0554199999999998</v>
      </c>
      <c r="T6227">
        <v>-0.1173525</v>
      </c>
      <c r="U6227">
        <v>-0.1186523</v>
      </c>
      <c r="V6227">
        <v>-0.109604199999999</v>
      </c>
      <c r="W6227">
        <v>0.15840650000000001</v>
      </c>
      <c r="X6227">
        <v>0.98127180000000003</v>
      </c>
      <c r="Y6227">
        <v>-4.0126299999999997E-2</v>
      </c>
      <c r="Z6227">
        <v>3.0921059999999998E-3</v>
      </c>
      <c r="AA6227">
        <v>0.99918989999999996</v>
      </c>
      <c r="AB6227">
        <v>30</v>
      </c>
      <c r="AC6227">
        <v>28.786200000000001</v>
      </c>
      <c r="AD6227">
        <v>-1.1107235763532</v>
      </c>
      <c r="AE6227">
        <v>-1.11283</v>
      </c>
      <c r="AF6227">
        <v>-1.1611543828205699</v>
      </c>
      <c r="AG6227">
        <v>-1.1107235763532</v>
      </c>
      <c r="AH6227">
        <v>28.741494377120301</v>
      </c>
      <c r="AI6227">
        <v>92.211309034076507</v>
      </c>
      <c r="AJ6227">
        <v>92.3134874163852</v>
      </c>
      <c r="AK6227">
        <v>28.786376732646399</v>
      </c>
      <c r="AL6227">
        <v>80.885584332758796</v>
      </c>
      <c r="AM6227">
        <v>96.373296353398402</v>
      </c>
      <c r="AN6227">
        <v>1.0000000226875601</v>
      </c>
    </row>
    <row r="6228" spans="1:40" x14ac:dyDescent="0.25">
      <c r="A6228" t="str">
        <f>"20190304155758220"</f>
        <v>20190304155758220</v>
      </c>
      <c r="B6228" t="str">
        <f>"1551686278210624"</f>
        <v>1551686278210624</v>
      </c>
      <c r="C6228" t="s">
        <v>40</v>
      </c>
      <c r="D6228">
        <v>4.8295599999999999</v>
      </c>
      <c r="E6228">
        <v>0.52186179999999904</v>
      </c>
      <c r="F6228" t="s">
        <v>96</v>
      </c>
      <c r="G6228">
        <v>-231.70400000000001</v>
      </c>
      <c r="H6228" s="1">
        <v>-6.0120319999999897E-7</v>
      </c>
      <c r="I6228">
        <v>-63.702460000000002</v>
      </c>
      <c r="J6228">
        <v>-260.24099999999999</v>
      </c>
      <c r="K6228">
        <v>1.1107209999999901</v>
      </c>
      <c r="L6228">
        <v>-62.673099999999998</v>
      </c>
      <c r="M6228">
        <v>0.99684569999999995</v>
      </c>
      <c r="N6228">
        <v>-1.196179E-2</v>
      </c>
      <c r="O6228">
        <v>-7.8457040000000006E-2</v>
      </c>
      <c r="P6228">
        <v>0.98859079999999999</v>
      </c>
      <c r="Q6228">
        <v>0.1471382</v>
      </c>
      <c r="R6228">
        <v>3.2232740000000003E-2</v>
      </c>
      <c r="S6228">
        <v>3.0555110000000001</v>
      </c>
      <c r="T6228">
        <v>-0.1183203</v>
      </c>
      <c r="U6228">
        <v>-0.1108398</v>
      </c>
      <c r="V6228">
        <v>-0.1100003</v>
      </c>
      <c r="W6228">
        <v>0.1586795</v>
      </c>
      <c r="X6228">
        <v>0.98118340000000004</v>
      </c>
      <c r="Y6228">
        <v>-4.220206E-2</v>
      </c>
      <c r="Z6228">
        <v>3.1627069999999998E-3</v>
      </c>
      <c r="AA6228">
        <v>0.99910410000000005</v>
      </c>
      <c r="AB6228">
        <v>30</v>
      </c>
      <c r="AC6228">
        <v>28.5369999999999</v>
      </c>
      <c r="AD6228">
        <v>-1.11072160120319</v>
      </c>
      <c r="AE6228">
        <v>-1.0293599999999901</v>
      </c>
      <c r="AF6228">
        <v>-1.21106996582576</v>
      </c>
      <c r="AG6228">
        <v>-1.11072160120319</v>
      </c>
      <c r="AH6228">
        <v>28.486688890967802</v>
      </c>
      <c r="AI6228">
        <v>92.230869761498795</v>
      </c>
      <c r="AJ6228">
        <v>92.4343804426113</v>
      </c>
      <c r="AK6228">
        <v>28.534046977396901</v>
      </c>
      <c r="AL6228">
        <v>80.869742532004096</v>
      </c>
      <c r="AM6228">
        <v>96.396709835030705</v>
      </c>
      <c r="AN6228">
        <v>1.0000000570779399</v>
      </c>
    </row>
    <row r="6229" spans="1:40" x14ac:dyDescent="0.25">
      <c r="A6229" t="str">
        <f>"20190304155758232"</f>
        <v>20190304155758232</v>
      </c>
      <c r="B6229" t="str">
        <f>"1551686278220385"</f>
        <v>1551686278220385</v>
      </c>
      <c r="C6229" t="s">
        <v>40</v>
      </c>
      <c r="D6229">
        <v>4.8065530000000001</v>
      </c>
      <c r="E6229">
        <v>0.52138850000000003</v>
      </c>
      <c r="F6229" t="s">
        <v>96</v>
      </c>
      <c r="G6229">
        <v>-231.56200000000001</v>
      </c>
      <c r="H6229" s="1">
        <v>-5.2487769999999899E-7</v>
      </c>
      <c r="I6229">
        <v>-63.644590000000001</v>
      </c>
      <c r="J6229">
        <v>-260.08929999999998</v>
      </c>
      <c r="K6229">
        <v>1.1107229999999999</v>
      </c>
      <c r="L6229">
        <v>-62.684570000000001</v>
      </c>
      <c r="M6229">
        <v>0.99688399999999999</v>
      </c>
      <c r="N6229">
        <v>-1.1976819999999999E-2</v>
      </c>
      <c r="O6229">
        <v>-7.7968399999999993E-2</v>
      </c>
      <c r="P6229">
        <v>0.98855119999999996</v>
      </c>
      <c r="Q6229">
        <v>0.14720259999999999</v>
      </c>
      <c r="R6229">
        <v>3.3136720000000001E-2</v>
      </c>
      <c r="S6229">
        <v>3.055634</v>
      </c>
      <c r="T6229">
        <v>-0.11834260000000001</v>
      </c>
      <c r="U6229">
        <v>-0.1035156</v>
      </c>
      <c r="V6229">
        <v>-0.11041570000000001</v>
      </c>
      <c r="W6229">
        <v>0.1587577</v>
      </c>
      <c r="X6229">
        <v>0.981124</v>
      </c>
      <c r="Y6229">
        <v>-4.410385E-2</v>
      </c>
      <c r="Z6229">
        <v>3.1978319999999998E-3</v>
      </c>
      <c r="AA6229">
        <v>0.99902179999999996</v>
      </c>
      <c r="AB6229">
        <v>30</v>
      </c>
      <c r="AC6229">
        <v>28.527299999999901</v>
      </c>
      <c r="AD6229">
        <v>-1.1107235248777001</v>
      </c>
      <c r="AE6229">
        <v>-0.96002000000000698</v>
      </c>
      <c r="AF6229">
        <v>-1.26537401395889</v>
      </c>
      <c r="AG6229">
        <v>-1.1107235248777001</v>
      </c>
      <c r="AH6229">
        <v>28.472188042788101</v>
      </c>
      <c r="AI6229">
        <v>92.231822014999096</v>
      </c>
      <c r="AJ6229">
        <v>92.544690774633693</v>
      </c>
      <c r="AK6229">
        <v>28.521927881680899</v>
      </c>
      <c r="AL6229">
        <v>80.865203663491599</v>
      </c>
      <c r="AM6229">
        <v>96.421050198537003</v>
      </c>
      <c r="AN6229">
        <v>0.99999996874588903</v>
      </c>
    </row>
    <row r="6230" spans="1:40" x14ac:dyDescent="0.25">
      <c r="A6230" t="str">
        <f>"20190304155758243"</f>
        <v>20190304155758243</v>
      </c>
      <c r="B6230" t="str">
        <f>"1551686278241224"</f>
        <v>1551686278241224</v>
      </c>
      <c r="C6230" t="s">
        <v>40</v>
      </c>
      <c r="D6230">
        <v>4.7388170000000001</v>
      </c>
      <c r="E6230">
        <v>0.52126320000000004</v>
      </c>
      <c r="F6230" t="s">
        <v>96</v>
      </c>
      <c r="G6230">
        <v>-231.6447</v>
      </c>
      <c r="H6230" s="1">
        <v>-5.4497979999999996E-7</v>
      </c>
      <c r="I6230">
        <v>-63.586730000000003</v>
      </c>
      <c r="J6230">
        <v>-259.94150000000002</v>
      </c>
      <c r="K6230">
        <v>1.1107180000000001</v>
      </c>
      <c r="L6230">
        <v>-62.695619999999998</v>
      </c>
      <c r="M6230">
        <v>0.99692049999999999</v>
      </c>
      <c r="N6230">
        <v>-1.1992910000000001E-2</v>
      </c>
      <c r="O6230">
        <v>-7.7496339999999997E-2</v>
      </c>
      <c r="P6230">
        <v>0.98846319999999999</v>
      </c>
      <c r="Q6230">
        <v>0.14758199999999999</v>
      </c>
      <c r="R6230">
        <v>3.4060510000000002E-2</v>
      </c>
      <c r="S6230">
        <v>3.0557249999999998</v>
      </c>
      <c r="T6230">
        <v>-0.11932189999999999</v>
      </c>
      <c r="U6230">
        <v>-9.6923830000000002E-2</v>
      </c>
      <c r="V6230">
        <v>-0.1108638</v>
      </c>
      <c r="W6230">
        <v>0.15915170000000001</v>
      </c>
      <c r="X6230">
        <v>0.98100969999999998</v>
      </c>
      <c r="Y6230">
        <v>-4.5781750000000003E-2</v>
      </c>
      <c r="Z6230">
        <v>3.2590990000000001E-3</v>
      </c>
      <c r="AA6230">
        <v>0.99894609999999995</v>
      </c>
      <c r="AB6230">
        <v>30</v>
      </c>
      <c r="AC6230">
        <v>28.296800000000001</v>
      </c>
      <c r="AD6230">
        <v>-1.1107185449798</v>
      </c>
      <c r="AE6230">
        <v>-0.89111000000000395</v>
      </c>
      <c r="AF6230">
        <v>-1.30262140399014</v>
      </c>
      <c r="AG6230">
        <v>-1.1107185449798</v>
      </c>
      <c r="AH6230">
        <v>28.237288087292601</v>
      </c>
      <c r="AI6230">
        <v>92.250187404118194</v>
      </c>
      <c r="AJ6230">
        <v>92.641253396496694</v>
      </c>
      <c r="AK6230">
        <v>28.289131424153901</v>
      </c>
      <c r="AL6230">
        <v>80.842339059356107</v>
      </c>
      <c r="AM6230">
        <v>96.4476346120953</v>
      </c>
      <c r="AN6230">
        <v>1.0000000386287</v>
      </c>
    </row>
    <row r="6231" spans="1:40" x14ac:dyDescent="0.25">
      <c r="A6231" t="str">
        <f>"20190304155758254"</f>
        <v>20190304155758254</v>
      </c>
      <c r="B6231" t="str">
        <f>"1551686278250985"</f>
        <v>1551686278250985</v>
      </c>
      <c r="C6231" t="s">
        <v>40</v>
      </c>
      <c r="D6231">
        <v>4.7565030000000004</v>
      </c>
      <c r="E6231">
        <v>0.52159990000000001</v>
      </c>
      <c r="F6231" t="s">
        <v>96</v>
      </c>
      <c r="G6231">
        <v>-231.58250000000001</v>
      </c>
      <c r="H6231" s="1">
        <v>-5.1090709999999998E-7</v>
      </c>
      <c r="I6231">
        <v>-63.559010000000001</v>
      </c>
      <c r="J6231">
        <v>-259.79020000000003</v>
      </c>
      <c r="K6231">
        <v>1.110717</v>
      </c>
      <c r="L6231">
        <v>-62.706910000000001</v>
      </c>
      <c r="M6231">
        <v>0.99695769999999995</v>
      </c>
      <c r="N6231">
        <v>-1.200913E-2</v>
      </c>
      <c r="O6231">
        <v>-7.7015829999999993E-2</v>
      </c>
      <c r="P6231">
        <v>0.988375</v>
      </c>
      <c r="Q6231">
        <v>0.14798220000000001</v>
      </c>
      <c r="R6231">
        <v>3.4874769999999999E-2</v>
      </c>
      <c r="S6231">
        <v>3.0560610000000001</v>
      </c>
      <c r="T6231">
        <v>-0.1196945</v>
      </c>
      <c r="U6231">
        <v>-9.3048099999999995E-2</v>
      </c>
      <c r="V6231">
        <v>-0.111193899999999</v>
      </c>
      <c r="W6231">
        <v>0.15956689999999901</v>
      </c>
      <c r="X6231">
        <v>0.98090480000000002</v>
      </c>
      <c r="Y6231">
        <v>-4.65683E-2</v>
      </c>
      <c r="Z6231">
        <v>3.2772470000000001E-3</v>
      </c>
      <c r="AA6231">
        <v>0.99890970000000001</v>
      </c>
      <c r="AB6231">
        <v>30</v>
      </c>
      <c r="AC6231">
        <v>28.207699999999999</v>
      </c>
      <c r="AD6231">
        <v>-1.1107175109070999</v>
      </c>
      <c r="AE6231">
        <v>-0.85209999999999997</v>
      </c>
      <c r="AF6231">
        <v>-1.32098065739702</v>
      </c>
      <c r="AG6231">
        <v>-1.1107175109070999</v>
      </c>
      <c r="AH6231">
        <v>28.145936802677198</v>
      </c>
      <c r="AI6231">
        <v>92.257397058080699</v>
      </c>
      <c r="AJ6231">
        <v>92.687106061713195</v>
      </c>
      <c r="AK6231">
        <v>28.198802133894802</v>
      </c>
      <c r="AL6231">
        <v>80.818241111818693</v>
      </c>
      <c r="AM6231">
        <v>96.467355938850602</v>
      </c>
      <c r="AN6231">
        <v>0.99999995281792897</v>
      </c>
    </row>
    <row r="6232" spans="1:40" x14ac:dyDescent="0.25">
      <c r="A6232" t="str">
        <f>"20190304155758265"</f>
        <v>20190304155758265</v>
      </c>
      <c r="B6232" t="str">
        <f>"1551686278260745"</f>
        <v>1551686278260745</v>
      </c>
      <c r="C6232" t="s">
        <v>40</v>
      </c>
      <c r="D6232">
        <v>4.795763</v>
      </c>
      <c r="E6232">
        <v>0.52188829999999997</v>
      </c>
      <c r="F6232" t="s">
        <v>96</v>
      </c>
      <c r="G6232">
        <v>-231.06659999999999</v>
      </c>
      <c r="H6232" s="1">
        <v>-2.9601099999999999E-7</v>
      </c>
      <c r="I6232">
        <v>-63.583060000000003</v>
      </c>
      <c r="J6232">
        <v>-259.63639999999998</v>
      </c>
      <c r="K6232">
        <v>1.110714</v>
      </c>
      <c r="L6232">
        <v>-62.718260000000001</v>
      </c>
      <c r="M6232">
        <v>0.99699470000000001</v>
      </c>
      <c r="N6232">
        <v>-1.2025279999999999E-2</v>
      </c>
      <c r="O6232">
        <v>-7.6531399999999999E-2</v>
      </c>
      <c r="P6232">
        <v>0.98827739999999997</v>
      </c>
      <c r="Q6232">
        <v>0.14838850000000001</v>
      </c>
      <c r="R6232">
        <v>3.5899859999999999E-2</v>
      </c>
      <c r="S6232">
        <v>3.0562740000000002</v>
      </c>
      <c r="T6232">
        <v>-0.1181836</v>
      </c>
      <c r="U6232">
        <v>-9.32312E-2</v>
      </c>
      <c r="V6232">
        <v>-0.1117298</v>
      </c>
      <c r="W6232">
        <v>0.1599882</v>
      </c>
      <c r="X6232">
        <v>0.98077530000000002</v>
      </c>
      <c r="Y6232">
        <v>-4.6028060000000003E-2</v>
      </c>
      <c r="Z6232">
        <v>3.200095E-3</v>
      </c>
      <c r="AA6232">
        <v>0.99893500000000002</v>
      </c>
      <c r="AB6232">
        <v>30</v>
      </c>
      <c r="AC6232">
        <v>28.569799999999901</v>
      </c>
      <c r="AD6232">
        <v>-1.1107142960109999</v>
      </c>
      <c r="AE6232">
        <v>-0.86479999999999502</v>
      </c>
      <c r="AF6232">
        <v>-1.32238460115191</v>
      </c>
      <c r="AG6232">
        <v>-1.1107142960109999</v>
      </c>
      <c r="AH6232">
        <v>28.5091363446959</v>
      </c>
      <c r="AI6232">
        <v>92.228717978722599</v>
      </c>
      <c r="AJ6232">
        <v>92.655737700804295</v>
      </c>
      <c r="AK6232">
        <v>28.561394265707399</v>
      </c>
      <c r="AL6232">
        <v>80.793788512873803</v>
      </c>
      <c r="AM6232">
        <v>96.499110122992803</v>
      </c>
      <c r="AN6232">
        <v>0.99999998071868401</v>
      </c>
    </row>
    <row r="6233" spans="1:40" x14ac:dyDescent="0.25">
      <c r="A6233" t="str">
        <f>"20190304155758276"</f>
        <v>20190304155758276</v>
      </c>
      <c r="B6233" t="str">
        <f>"1551686278270504"</f>
        <v>1551686278270504</v>
      </c>
      <c r="C6233" t="s">
        <v>40</v>
      </c>
      <c r="D6233">
        <v>4.7637080000000003</v>
      </c>
      <c r="E6233">
        <v>0.52209729999999999</v>
      </c>
      <c r="F6233" t="s">
        <v>96</v>
      </c>
      <c r="G6233">
        <v>-230.62569999999999</v>
      </c>
      <c r="H6233" s="1">
        <v>-1.099739E-7</v>
      </c>
      <c r="I6233">
        <v>-63.59469</v>
      </c>
      <c r="J6233">
        <v>-259.49520000000001</v>
      </c>
      <c r="K6233">
        <v>1.110714</v>
      </c>
      <c r="L6233">
        <v>-62.728639999999999</v>
      </c>
      <c r="M6233">
        <v>0.99702809999999997</v>
      </c>
      <c r="N6233">
        <v>-1.2041079999999999E-2</v>
      </c>
      <c r="O6233">
        <v>-7.609204E-2</v>
      </c>
      <c r="P6233">
        <v>0.98821340000000002</v>
      </c>
      <c r="Q6233">
        <v>0.14859149999999999</v>
      </c>
      <c r="R6233">
        <v>3.6809000000000001E-2</v>
      </c>
      <c r="S6233">
        <v>3.056549</v>
      </c>
      <c r="T6233">
        <v>-0.1170244</v>
      </c>
      <c r="U6233">
        <v>-9.2346189999999995E-2</v>
      </c>
      <c r="V6233">
        <v>-0.112196699999999</v>
      </c>
      <c r="W6233">
        <v>0.1602066</v>
      </c>
      <c r="X6233">
        <v>0.98068639999999996</v>
      </c>
      <c r="Y6233">
        <v>-4.5881440000000002E-2</v>
      </c>
      <c r="Z6233">
        <v>3.1460949999999998E-3</v>
      </c>
      <c r="AA6233">
        <v>0.998942</v>
      </c>
      <c r="AB6233">
        <v>30</v>
      </c>
      <c r="AC6233">
        <v>28.869499999999999</v>
      </c>
      <c r="AD6233">
        <v>-1.1107141099739</v>
      </c>
      <c r="AE6233">
        <v>-0.86604999999999399</v>
      </c>
      <c r="AF6233">
        <v>-1.33139063621845</v>
      </c>
      <c r="AG6233">
        <v>-1.1107141099739</v>
      </c>
      <c r="AH6233">
        <v>28.809088198624199</v>
      </c>
      <c r="AI6233">
        <v>92.205553221401004</v>
      </c>
      <c r="AJ6233">
        <v>92.645999273566304</v>
      </c>
      <c r="AK6233">
        <v>28.861217051545299</v>
      </c>
      <c r="AL6233">
        <v>80.781112099250294</v>
      </c>
      <c r="AM6233">
        <v>96.526621490851198</v>
      </c>
      <c r="AN6233">
        <v>1.0000000346597</v>
      </c>
    </row>
    <row r="6234" spans="1:40" x14ac:dyDescent="0.25">
      <c r="A6234" t="str">
        <f>"20190304155758287"</f>
        <v>20190304155758287</v>
      </c>
      <c r="B6234" t="str">
        <f>"1551686278281240"</f>
        <v>1551686278281240</v>
      </c>
      <c r="C6234" t="s">
        <v>40</v>
      </c>
      <c r="D6234">
        <v>4.8553709999999999</v>
      </c>
      <c r="E6234">
        <v>0.52233479999999999</v>
      </c>
      <c r="F6234" t="s">
        <v>96</v>
      </c>
      <c r="G6234">
        <v>-230.3475</v>
      </c>
      <c r="H6234" s="1">
        <v>8.1150799999999992E-9</v>
      </c>
      <c r="I6234">
        <v>-63.5995699999999</v>
      </c>
      <c r="J6234">
        <v>-259.34910000000002</v>
      </c>
      <c r="K6234">
        <v>1.1107119999999999</v>
      </c>
      <c r="L6234">
        <v>-62.7393199999999</v>
      </c>
      <c r="M6234">
        <v>0.99706229999999996</v>
      </c>
      <c r="N6234">
        <v>-1.2057969999999999E-2</v>
      </c>
      <c r="O6234">
        <v>-7.5640059999999995E-2</v>
      </c>
      <c r="P6234">
        <v>0.98809199999999997</v>
      </c>
      <c r="Q6234">
        <v>0.14921470000000001</v>
      </c>
      <c r="R6234">
        <v>3.7536409999999999E-2</v>
      </c>
      <c r="S6234">
        <v>3.0566710000000001</v>
      </c>
      <c r="T6234">
        <v>-0.116478399999999</v>
      </c>
      <c r="U6234">
        <v>-9.1339110000000001E-2</v>
      </c>
      <c r="V6234">
        <v>-0.1124658</v>
      </c>
      <c r="W6234">
        <v>0.16084619999999999</v>
      </c>
      <c r="X6234">
        <v>0.98055079999999994</v>
      </c>
      <c r="Y6234">
        <v>-4.5759660000000001E-2</v>
      </c>
      <c r="Z6234">
        <v>3.112657E-3</v>
      </c>
      <c r="AA6234">
        <v>0.99894760000000005</v>
      </c>
      <c r="AB6234">
        <v>30</v>
      </c>
      <c r="AC6234">
        <v>29.0016</v>
      </c>
      <c r="AD6234">
        <v>-1.11071199188492</v>
      </c>
      <c r="AE6234">
        <v>-0.86024999999999996</v>
      </c>
      <c r="AF6234">
        <v>-1.3341019358766999</v>
      </c>
      <c r="AG6234">
        <v>-1.11071199188492</v>
      </c>
      <c r="AH6234">
        <v>28.941165415037599</v>
      </c>
      <c r="AI6234">
        <v>92.195505390226302</v>
      </c>
      <c r="AJ6234">
        <v>92.639297206386601</v>
      </c>
      <c r="AK6234">
        <v>28.993181348117002</v>
      </c>
      <c r="AL6234">
        <v>80.743983566615199</v>
      </c>
      <c r="AM6234">
        <v>96.543036693902096</v>
      </c>
      <c r="AN6234">
        <v>0.999999963802359</v>
      </c>
    </row>
    <row r="6235" spans="1:40" x14ac:dyDescent="0.25">
      <c r="A6235" t="str">
        <f>"20190304155758298"</f>
        <v>20190304155758298</v>
      </c>
      <c r="B6235" t="str">
        <f>"1551686278291001"</f>
        <v>1551686278291001</v>
      </c>
      <c r="C6235" t="s">
        <v>40</v>
      </c>
      <c r="D6235">
        <v>4.8716059999999999</v>
      </c>
      <c r="E6235">
        <v>0.52259949999999999</v>
      </c>
      <c r="F6235" t="s">
        <v>95</v>
      </c>
      <c r="G6235">
        <v>-229.3442</v>
      </c>
      <c r="H6235" s="1">
        <v>-3.6224069999999998E-6</v>
      </c>
      <c r="I6235">
        <v>-63.62903</v>
      </c>
      <c r="J6235">
        <v>-259.20139999999998</v>
      </c>
      <c r="K6235">
        <v>1.110708</v>
      </c>
      <c r="L6235">
        <v>-62.750059999999998</v>
      </c>
      <c r="M6235">
        <v>0.99709619999999999</v>
      </c>
      <c r="N6235">
        <v>-1.2075829999999999E-2</v>
      </c>
      <c r="O6235">
        <v>-7.5189870000000006E-2</v>
      </c>
      <c r="P6235">
        <v>0.98802939999999995</v>
      </c>
      <c r="Q6235">
        <v>0.14937220000000001</v>
      </c>
      <c r="R6235">
        <v>3.8551240000000001E-2</v>
      </c>
      <c r="S6235">
        <v>3.0566710000000001</v>
      </c>
      <c r="T6235">
        <v>-0.1131513</v>
      </c>
      <c r="U6235">
        <v>-9.0637209999999996E-2</v>
      </c>
      <c r="V6235">
        <v>-0.1130269</v>
      </c>
      <c r="W6235">
        <v>0.16102130000000001</v>
      </c>
      <c r="X6235">
        <v>0.98045760000000004</v>
      </c>
      <c r="Y6235">
        <v>-4.554242E-2</v>
      </c>
      <c r="Z6235">
        <v>2.9881980000000001E-3</v>
      </c>
      <c r="AA6235">
        <v>0.99895789999999995</v>
      </c>
      <c r="AB6235">
        <v>30</v>
      </c>
      <c r="AC6235">
        <v>29.857199999999899</v>
      </c>
      <c r="AD6235">
        <v>-1.1107116224069999</v>
      </c>
      <c r="AE6235">
        <v>-0.87897000000000902</v>
      </c>
      <c r="AF6235">
        <v>-1.3667512073531101</v>
      </c>
      <c r="AG6235">
        <v>-1.1107116224069999</v>
      </c>
      <c r="AH6235">
        <v>29.797562293521398</v>
      </c>
      <c r="AI6235">
        <v>92.132486273323494</v>
      </c>
      <c r="AJ6235">
        <v>92.626195629169004</v>
      </c>
      <c r="AK6235">
        <v>29.849562941645299</v>
      </c>
      <c r="AL6235">
        <v>80.7338191234482</v>
      </c>
      <c r="AM6235">
        <v>96.576014777701999</v>
      </c>
      <c r="AN6235">
        <v>1.0000000222875201</v>
      </c>
    </row>
    <row r="6236" spans="1:40" x14ac:dyDescent="0.25">
      <c r="A6236" t="str">
        <f>"20190304155758310"</f>
        <v>20190304155758310</v>
      </c>
      <c r="B6236" t="str">
        <f>"1551686278300761"</f>
        <v>1551686278300761</v>
      </c>
      <c r="C6236" t="s">
        <v>40</v>
      </c>
      <c r="D6236">
        <v>4.8299059999999896</v>
      </c>
      <c r="E6236">
        <v>0.5227328</v>
      </c>
      <c r="F6236" t="s">
        <v>95</v>
      </c>
      <c r="G6236">
        <v>-228.7534</v>
      </c>
      <c r="H6236" s="1">
        <v>-3.42298E-6</v>
      </c>
      <c r="I6236">
        <v>-63.641359999999999</v>
      </c>
      <c r="J6236">
        <v>-259.05309999999997</v>
      </c>
      <c r="K6236">
        <v>1.1107070000000001</v>
      </c>
      <c r="L6236">
        <v>-62.760770000000001</v>
      </c>
      <c r="M6236">
        <v>0.99712970000000001</v>
      </c>
      <c r="N6236">
        <v>-1.2093970000000001E-2</v>
      </c>
      <c r="O6236">
        <v>-7.473958E-2</v>
      </c>
      <c r="P6236">
        <v>0.98796090000000003</v>
      </c>
      <c r="Q6236">
        <v>0.1496025</v>
      </c>
      <c r="R6236">
        <v>3.9400579999999998E-2</v>
      </c>
      <c r="S6236">
        <v>3.056702</v>
      </c>
      <c r="T6236">
        <v>-0.111505199999999</v>
      </c>
      <c r="U6236">
        <v>-8.9477539999999994E-2</v>
      </c>
      <c r="V6236">
        <v>-0.11342240000000001</v>
      </c>
      <c r="W6236">
        <v>0.1612693</v>
      </c>
      <c r="X6236">
        <v>0.98037110000000005</v>
      </c>
      <c r="Y6236">
        <v>-4.5472510000000001E-2</v>
      </c>
      <c r="Z6236">
        <v>2.9219620000000002E-3</v>
      </c>
      <c r="AA6236">
        <v>0.99896130000000005</v>
      </c>
      <c r="AB6236">
        <v>30</v>
      </c>
      <c r="AC6236">
        <v>30.299699999999898</v>
      </c>
      <c r="AD6236">
        <v>-1.11071042297999</v>
      </c>
      <c r="AE6236">
        <v>-0.88059000000000498</v>
      </c>
      <c r="AF6236">
        <v>-1.3847666463068999</v>
      </c>
      <c r="AG6236">
        <v>-1.11071042297999</v>
      </c>
      <c r="AH6236">
        <v>30.240160137575</v>
      </c>
      <c r="AI6236">
        <v>92.101308179059203</v>
      </c>
      <c r="AJ6236">
        <v>92.621874219876702</v>
      </c>
      <c r="AK6236">
        <v>30.292219156981801</v>
      </c>
      <c r="AL6236">
        <v>80.719421029414093</v>
      </c>
      <c r="AM6236">
        <v>96.599399849693896</v>
      </c>
      <c r="AN6236">
        <v>0.99999996082972897</v>
      </c>
    </row>
    <row r="6237" spans="1:40" x14ac:dyDescent="0.25">
      <c r="A6237" t="str">
        <f>"20190304155758321"</f>
        <v>20190304155758321</v>
      </c>
      <c r="B6237" t="str">
        <f>"1551686278310522"</f>
        <v>1551686278310522</v>
      </c>
      <c r="C6237" t="s">
        <v>40</v>
      </c>
      <c r="D6237">
        <v>4.8640939999999997</v>
      </c>
      <c r="E6237">
        <v>0.52290079999999906</v>
      </c>
      <c r="F6237" t="s">
        <v>95</v>
      </c>
      <c r="G6237">
        <v>-228.2216</v>
      </c>
      <c r="H6237" s="1">
        <v>-3.2426160000000001E-6</v>
      </c>
      <c r="I6237">
        <v>-63.64573</v>
      </c>
      <c r="J6237">
        <v>-258.8974</v>
      </c>
      <c r="K6237">
        <v>1.1107020000000001</v>
      </c>
      <c r="L6237">
        <v>-62.771940000000001</v>
      </c>
      <c r="M6237">
        <v>0.99716419999999995</v>
      </c>
      <c r="N6237">
        <v>-1.2115000000000001E-2</v>
      </c>
      <c r="O6237">
        <v>-7.4274629999999994E-2</v>
      </c>
      <c r="P6237">
        <v>0.98784439999999996</v>
      </c>
      <c r="Q6237">
        <v>0.15014330000000001</v>
      </c>
      <c r="R6237">
        <v>4.0253230000000001E-2</v>
      </c>
      <c r="S6237">
        <v>3.0567319999999998</v>
      </c>
      <c r="T6237">
        <v>-0.1101193</v>
      </c>
      <c r="U6237">
        <v>-8.7738040000000003E-2</v>
      </c>
      <c r="V6237">
        <v>-0.1138045</v>
      </c>
      <c r="W6237">
        <v>0.16183069999999999</v>
      </c>
      <c r="X6237">
        <v>0.9802343</v>
      </c>
      <c r="Y6237">
        <v>-4.5576789999999999E-2</v>
      </c>
      <c r="Z6237">
        <v>2.8682130000000001E-3</v>
      </c>
      <c r="AA6237">
        <v>0.99895670000000003</v>
      </c>
      <c r="AB6237">
        <v>30</v>
      </c>
      <c r="AC6237">
        <v>30.675799999999999</v>
      </c>
      <c r="AD6237">
        <v>-1.110705242616</v>
      </c>
      <c r="AE6237">
        <v>-0.87379000000000595</v>
      </c>
      <c r="AF6237">
        <v>-1.40538393117701</v>
      </c>
      <c r="AG6237">
        <v>-1.110705242616</v>
      </c>
      <c r="AH6237">
        <v>30.615855663280598</v>
      </c>
      <c r="AI6237">
        <v>92.075524895334894</v>
      </c>
      <c r="AJ6237">
        <v>92.628248650076102</v>
      </c>
      <c r="AK6237">
        <v>30.668214622387399</v>
      </c>
      <c r="AL6237">
        <v>80.686827043928204</v>
      </c>
      <c r="AM6237">
        <v>96.622350837366398</v>
      </c>
      <c r="AN6237">
        <v>0.99999996128961399</v>
      </c>
    </row>
    <row r="6238" spans="1:40" x14ac:dyDescent="0.25">
      <c r="A6238" t="str">
        <f>"20190304155758332"</f>
        <v>20190304155758332</v>
      </c>
      <c r="B6238" t="str">
        <f>"1551686278331016"</f>
        <v>1551686278331016</v>
      </c>
      <c r="C6238" t="s">
        <v>40</v>
      </c>
      <c r="D6238">
        <v>4.8698610000000002</v>
      </c>
      <c r="E6238">
        <v>0.52325480000000002</v>
      </c>
      <c r="F6238" t="s">
        <v>95</v>
      </c>
      <c r="G6238">
        <v>-227.34100000000001</v>
      </c>
      <c r="H6238" s="1">
        <v>-2.945394E-6</v>
      </c>
      <c r="I6238">
        <v>-63.664140000000003</v>
      </c>
      <c r="J6238">
        <v>-258.74579999999997</v>
      </c>
      <c r="K6238">
        <v>1.1106990000000001</v>
      </c>
      <c r="L6238">
        <v>-62.782780000000002</v>
      </c>
      <c r="M6238">
        <v>0.99719760000000002</v>
      </c>
      <c r="N6238">
        <v>-1.213646E-2</v>
      </c>
      <c r="O6238">
        <v>-7.3824100000000004E-2</v>
      </c>
      <c r="P6238">
        <v>0.98773180000000005</v>
      </c>
      <c r="Q6238">
        <v>0.1506432</v>
      </c>
      <c r="R6238">
        <v>4.1143100000000002E-2</v>
      </c>
      <c r="S6238">
        <v>3.0568240000000002</v>
      </c>
      <c r="T6238">
        <v>-0.1075923</v>
      </c>
      <c r="U6238">
        <v>-8.6425779999999994E-2</v>
      </c>
      <c r="V6238">
        <v>-0.1142377</v>
      </c>
      <c r="W6238">
        <v>0.1623511</v>
      </c>
      <c r="X6238">
        <v>0.98009789999999997</v>
      </c>
      <c r="Y6238">
        <v>-4.5557979999999998E-2</v>
      </c>
      <c r="Z6238">
        <v>2.776153E-3</v>
      </c>
      <c r="AA6238">
        <v>0.99895780000000001</v>
      </c>
      <c r="AB6238">
        <v>30</v>
      </c>
      <c r="AC6238">
        <v>31.404799999999899</v>
      </c>
      <c r="AD6238">
        <v>-1.1107019453939999</v>
      </c>
      <c r="AE6238">
        <v>-0.88136000000000003</v>
      </c>
      <c r="AF6238">
        <v>-1.4378496904143201</v>
      </c>
      <c r="AG6238">
        <v>-1.1107019453939999</v>
      </c>
      <c r="AH6238">
        <v>31.344985996759899</v>
      </c>
      <c r="AI6238">
        <v>92.027282865808203</v>
      </c>
      <c r="AJ6238">
        <v>92.626417122763002</v>
      </c>
      <c r="AK6238">
        <v>31.397598915853401</v>
      </c>
      <c r="AL6238">
        <v>80.656611217549894</v>
      </c>
      <c r="AM6238">
        <v>96.6482506536248</v>
      </c>
      <c r="AN6238">
        <v>1.0000000126784501</v>
      </c>
    </row>
    <row r="6239" spans="1:40" x14ac:dyDescent="0.25">
      <c r="A6239" t="str">
        <f>"20190304155758343"</f>
        <v>20190304155758343</v>
      </c>
      <c r="B6239" t="str">
        <f>"1551686278340777"</f>
        <v>1551686278340777</v>
      </c>
      <c r="C6239" t="s">
        <v>40</v>
      </c>
      <c r="D6239">
        <v>4.8867469999999997</v>
      </c>
      <c r="E6239">
        <v>0.52346090000000001</v>
      </c>
      <c r="F6239" t="s">
        <v>95</v>
      </c>
      <c r="G6239">
        <v>-226.40559999999999</v>
      </c>
      <c r="H6239" s="1">
        <v>-2.6026010000000001E-6</v>
      </c>
      <c r="I6239">
        <v>-63.696150000000003</v>
      </c>
      <c r="J6239">
        <v>-258.60660000000001</v>
      </c>
      <c r="K6239">
        <v>1.110689</v>
      </c>
      <c r="L6239">
        <v>-62.792630000000003</v>
      </c>
      <c r="M6239">
        <v>0.99722739999999999</v>
      </c>
      <c r="N6239">
        <v>-1.2158459999999999E-2</v>
      </c>
      <c r="O6239">
        <v>-7.341433E-2</v>
      </c>
      <c r="P6239">
        <v>0.98763869999999998</v>
      </c>
      <c r="Q6239">
        <v>0.15095120000000001</v>
      </c>
      <c r="R6239">
        <v>4.2231690000000002E-2</v>
      </c>
      <c r="S6239">
        <v>3.05687</v>
      </c>
      <c r="T6239">
        <v>-0.1049858</v>
      </c>
      <c r="U6239">
        <v>-8.6334229999999998E-2</v>
      </c>
      <c r="V6239">
        <v>-0.1149114</v>
      </c>
      <c r="W6239">
        <v>0.1626795</v>
      </c>
      <c r="X6239">
        <v>0.97996470000000002</v>
      </c>
      <c r="Y6239">
        <v>-4.5181239999999998E-2</v>
      </c>
      <c r="Z6239">
        <v>2.6749500000000002E-3</v>
      </c>
      <c r="AA6239">
        <v>0.99897519999999995</v>
      </c>
      <c r="AB6239">
        <v>30</v>
      </c>
      <c r="AC6239">
        <v>32.201000000000001</v>
      </c>
      <c r="AD6239">
        <v>-1.1106916026010001</v>
      </c>
      <c r="AE6239">
        <v>-0.90351999999999999</v>
      </c>
      <c r="AF6239">
        <v>-1.4613708349308701</v>
      </c>
      <c r="AG6239">
        <v>-1.1106916026010001</v>
      </c>
      <c r="AH6239">
        <v>32.142219364149</v>
      </c>
      <c r="AI6239">
        <v>91.977058110537399</v>
      </c>
      <c r="AJ6239">
        <v>92.603204141160006</v>
      </c>
      <c r="AK6239">
        <v>32.194588150904401</v>
      </c>
      <c r="AL6239">
        <v>80.637541951925698</v>
      </c>
      <c r="AM6239">
        <v>96.688004381994105</v>
      </c>
      <c r="AN6239">
        <v>1.0000000314081401</v>
      </c>
    </row>
    <row r="6240" spans="1:40" x14ac:dyDescent="0.25">
      <c r="A6240" t="str">
        <f>"20190304155758356"</f>
        <v>20190304155758356</v>
      </c>
      <c r="B6240" t="str">
        <f>"1551686278351513"</f>
        <v>1551686278351513</v>
      </c>
      <c r="C6240" t="s">
        <v>40</v>
      </c>
      <c r="D6240">
        <v>4.7693859999999999</v>
      </c>
      <c r="E6240">
        <v>0.52366789999999996</v>
      </c>
      <c r="F6240" t="s">
        <v>95</v>
      </c>
      <c r="G6240">
        <v>-225.81200000000001</v>
      </c>
      <c r="H6240" s="1">
        <v>-2.3485340000000001E-6</v>
      </c>
      <c r="I6240">
        <v>-63.698839999999997</v>
      </c>
      <c r="J6240">
        <v>-258.44220000000001</v>
      </c>
      <c r="K6240">
        <v>1.1106910000000001</v>
      </c>
      <c r="L6240">
        <v>-62.804229999999997</v>
      </c>
      <c r="M6240">
        <v>0.99726239999999999</v>
      </c>
      <c r="N6240">
        <v>-1.2186300000000001E-2</v>
      </c>
      <c r="O6240">
        <v>-7.2933310000000001E-2</v>
      </c>
      <c r="P6240">
        <v>0.9876336</v>
      </c>
      <c r="Q6240">
        <v>0.15069060000000001</v>
      </c>
      <c r="R6240">
        <v>4.3271660000000003E-2</v>
      </c>
      <c r="S6240">
        <v>3.0569920000000002</v>
      </c>
      <c r="T6240">
        <v>-0.1035343</v>
      </c>
      <c r="U6240">
        <v>-8.4472660000000005E-2</v>
      </c>
      <c r="V6240">
        <v>-0.1154719</v>
      </c>
      <c r="W6240">
        <v>0.1624466</v>
      </c>
      <c r="X6240">
        <v>0.97993739999999996</v>
      </c>
      <c r="Y6240">
        <v>-4.5310049999999998E-2</v>
      </c>
      <c r="Z6240">
        <v>2.6205249999999999E-3</v>
      </c>
      <c r="AA6240">
        <v>0.99896960000000001</v>
      </c>
      <c r="AB6240">
        <v>30</v>
      </c>
      <c r="AC6240">
        <v>32.630200000000002</v>
      </c>
      <c r="AD6240">
        <v>-1.110693348534</v>
      </c>
      <c r="AE6240">
        <v>-0.89461000000000002</v>
      </c>
      <c r="AF6240">
        <v>-1.4860574878850299</v>
      </c>
      <c r="AG6240">
        <v>-1.110693348534</v>
      </c>
      <c r="AH6240">
        <v>32.5708291422958</v>
      </c>
      <c r="AI6240">
        <v>91.951050541823193</v>
      </c>
      <c r="AJ6240">
        <v>92.612331854012993</v>
      </c>
      <c r="AK6240">
        <v>32.623625144799597</v>
      </c>
      <c r="AL6240">
        <v>80.651065574607401</v>
      </c>
      <c r="AM6240">
        <v>96.720514116784599</v>
      </c>
      <c r="AN6240">
        <v>0.99999998272996404</v>
      </c>
    </row>
    <row r="6241" spans="1:40" x14ac:dyDescent="0.25">
      <c r="A6241" t="str">
        <f>"20190304155758367"</f>
        <v>20190304155758367</v>
      </c>
      <c r="B6241" t="str">
        <f>"1551686278361272"</f>
        <v>1551686278361272</v>
      </c>
      <c r="C6241" t="s">
        <v>40</v>
      </c>
      <c r="D6241">
        <v>4.8729180000000003</v>
      </c>
      <c r="E6241">
        <v>0.52386769999999905</v>
      </c>
      <c r="F6241" t="s">
        <v>95</v>
      </c>
      <c r="G6241">
        <v>-226.2047</v>
      </c>
      <c r="H6241" s="1">
        <v>-2.512774E-6</v>
      </c>
      <c r="I6241">
        <v>-63.679839999999999</v>
      </c>
      <c r="J6241">
        <v>-258.29700000000003</v>
      </c>
      <c r="K6241">
        <v>1.110689</v>
      </c>
      <c r="L6241">
        <v>-62.814419999999998</v>
      </c>
      <c r="M6241">
        <v>0.99729299999999999</v>
      </c>
      <c r="N6241">
        <v>-1.221265E-2</v>
      </c>
      <c r="O6241">
        <v>-7.2511510000000001E-2</v>
      </c>
      <c r="P6241">
        <v>0.98755740000000003</v>
      </c>
      <c r="Q6241">
        <v>0.15091689999999999</v>
      </c>
      <c r="R6241">
        <v>4.4212010000000003E-2</v>
      </c>
      <c r="S6241">
        <v>3.0572509999999999</v>
      </c>
      <c r="T6241">
        <v>-0.1053327</v>
      </c>
      <c r="U6241">
        <v>-8.3038329999999994E-2</v>
      </c>
      <c r="V6241">
        <v>-0.1159876</v>
      </c>
      <c r="W6241">
        <v>0.16269790000000001</v>
      </c>
      <c r="X6241">
        <v>0.97983489999999995</v>
      </c>
      <c r="Y6241">
        <v>-4.5356300000000002E-2</v>
      </c>
      <c r="Z6241">
        <v>2.6668450000000002E-3</v>
      </c>
      <c r="AA6241">
        <v>0.9989673</v>
      </c>
      <c r="AB6241">
        <v>30</v>
      </c>
      <c r="AC6241">
        <v>32.092300000000002</v>
      </c>
      <c r="AD6241">
        <v>-1.110691512774</v>
      </c>
      <c r="AE6241">
        <v>-0.86542000000000696</v>
      </c>
      <c r="AF6241">
        <v>-1.46234239793761</v>
      </c>
      <c r="AG6241">
        <v>-1.110691512774</v>
      </c>
      <c r="AH6241">
        <v>32.032224043608103</v>
      </c>
      <c r="AI6241">
        <v>91.983824742562405</v>
      </c>
      <c r="AJ6241">
        <v>92.613865127740496</v>
      </c>
      <c r="AK6241">
        <v>32.084816628824001</v>
      </c>
      <c r="AL6241">
        <v>80.636473939888305</v>
      </c>
      <c r="AM6241">
        <v>96.750951345221793</v>
      </c>
      <c r="AN6241">
        <v>1.00000008063808</v>
      </c>
    </row>
    <row r="6242" spans="1:40" x14ac:dyDescent="0.25">
      <c r="A6242" t="str">
        <f>"20190304155758378"</f>
        <v>20190304155758378</v>
      </c>
      <c r="B6242" t="str">
        <f>"1551686278371033"</f>
        <v>1551686278371033</v>
      </c>
      <c r="C6242" t="s">
        <v>40</v>
      </c>
      <c r="D6242">
        <v>4.7831809999999999</v>
      </c>
      <c r="E6242">
        <v>0.52410879999999904</v>
      </c>
      <c r="F6242" t="s">
        <v>95</v>
      </c>
      <c r="G6242">
        <v>-225.58609999999999</v>
      </c>
      <c r="H6242" s="1">
        <v>-2.249492E-6</v>
      </c>
      <c r="I6242">
        <v>-63.689160000000001</v>
      </c>
      <c r="J6242">
        <v>-258.14580000000001</v>
      </c>
      <c r="K6242">
        <v>1.1106910000000001</v>
      </c>
      <c r="L6242">
        <v>-62.824950000000001</v>
      </c>
      <c r="M6242">
        <v>0.99732430000000005</v>
      </c>
      <c r="N6242">
        <v>-1.2240620000000001E-2</v>
      </c>
      <c r="O6242">
        <v>-7.2074440000000004E-2</v>
      </c>
      <c r="P6242">
        <v>0.98753869999999999</v>
      </c>
      <c r="Q6242">
        <v>0.15078839999999999</v>
      </c>
      <c r="R6242">
        <v>4.5060459999999997E-2</v>
      </c>
      <c r="S6242">
        <v>3.0573269999999999</v>
      </c>
      <c r="T6242">
        <v>-0.1038109</v>
      </c>
      <c r="U6242">
        <v>-8.1756590000000004E-2</v>
      </c>
      <c r="V6242">
        <v>-0.1164007</v>
      </c>
      <c r="W6242">
        <v>0.1625972</v>
      </c>
      <c r="X6242">
        <v>0.97980250000000002</v>
      </c>
      <c r="Y6242">
        <v>-4.5339549999999999E-2</v>
      </c>
      <c r="Z6242">
        <v>2.6082620000000001E-3</v>
      </c>
      <c r="AA6242">
        <v>0.99896819999999997</v>
      </c>
      <c r="AB6242">
        <v>30</v>
      </c>
      <c r="AC6242">
        <v>32.559699999999999</v>
      </c>
      <c r="AD6242">
        <v>-1.1106932494920001</v>
      </c>
      <c r="AE6242">
        <v>-0.86420999999999903</v>
      </c>
      <c r="AF6242">
        <v>-1.4832107820953999</v>
      </c>
      <c r="AG6242">
        <v>-1.1106932494920001</v>
      </c>
      <c r="AH6242">
        <v>32.499508099826699</v>
      </c>
      <c r="AI6242">
        <v>91.955327565226</v>
      </c>
      <c r="AJ6242">
        <v>92.613048502310406</v>
      </c>
      <c r="AK6242">
        <v>32.552289941712097</v>
      </c>
      <c r="AL6242">
        <v>80.642320309446305</v>
      </c>
      <c r="AM6242">
        <v>96.774994301375301</v>
      </c>
      <c r="AN6242">
        <v>0.99999995570728895</v>
      </c>
    </row>
    <row r="6243" spans="1:40" x14ac:dyDescent="0.25">
      <c r="A6243" t="str">
        <f>"20190304155758388"</f>
        <v>20190304155758388</v>
      </c>
      <c r="B6243" t="str">
        <f>"1551686278380793"</f>
        <v>1551686278380793</v>
      </c>
      <c r="C6243" t="s">
        <v>40</v>
      </c>
      <c r="D6243">
        <v>4.7922159999999998</v>
      </c>
      <c r="E6243">
        <v>0.52438989999999996</v>
      </c>
      <c r="F6243" t="s">
        <v>95</v>
      </c>
      <c r="G6243">
        <v>-225.73140000000001</v>
      </c>
      <c r="H6243" s="1">
        <v>-2.3102069999999999E-6</v>
      </c>
      <c r="I6243">
        <v>-63.682000000000002</v>
      </c>
      <c r="J6243">
        <v>-257.99680000000001</v>
      </c>
      <c r="K6243">
        <v>1.1106929999999999</v>
      </c>
      <c r="L6243">
        <v>-62.835299999999997</v>
      </c>
      <c r="M6243">
        <v>0.99735490000000004</v>
      </c>
      <c r="N6243">
        <v>-1.2268380000000001E-2</v>
      </c>
      <c r="O6243">
        <v>-7.1644529999999998E-2</v>
      </c>
      <c r="P6243">
        <v>0.98751230000000001</v>
      </c>
      <c r="Q6243">
        <v>0.15074419999999999</v>
      </c>
      <c r="R6243">
        <v>4.577912E-2</v>
      </c>
      <c r="S6243">
        <v>3.0575100000000002</v>
      </c>
      <c r="T6243">
        <v>-0.104767</v>
      </c>
      <c r="U6243">
        <v>-8.0841060000000006E-2</v>
      </c>
      <c r="V6243">
        <v>-0.11669110000000001</v>
      </c>
      <c r="W6243">
        <v>0.16258020000000001</v>
      </c>
      <c r="X6243">
        <v>0.97977080000000005</v>
      </c>
      <c r="Y6243">
        <v>-4.5208659999999998E-2</v>
      </c>
      <c r="Z6243">
        <v>2.6238469999999999E-3</v>
      </c>
      <c r="AA6243">
        <v>0.99897409999999998</v>
      </c>
      <c r="AB6243">
        <v>30</v>
      </c>
      <c r="AC6243">
        <v>32.2654</v>
      </c>
      <c r="AD6243">
        <v>-1.1106953102070001</v>
      </c>
      <c r="AE6243">
        <v>-0.84669999999999801</v>
      </c>
      <c r="AF6243">
        <v>-1.4655537936880001</v>
      </c>
      <c r="AG6243">
        <v>-1.1106953102070001</v>
      </c>
      <c r="AH6243">
        <v>32.205002369737798</v>
      </c>
      <c r="AI6243">
        <v>91.973209814911797</v>
      </c>
      <c r="AJ6243">
        <v>92.605562755751293</v>
      </c>
      <c r="AK6243">
        <v>32.257459131635301</v>
      </c>
      <c r="AL6243">
        <v>80.643307677728004</v>
      </c>
      <c r="AM6243">
        <v>96.791956756875194</v>
      </c>
      <c r="AN6243">
        <v>0.99999997739194402</v>
      </c>
    </row>
    <row r="6244" spans="1:40" x14ac:dyDescent="0.25">
      <c r="A6244" t="str">
        <f>"20190304155758399"</f>
        <v>20190304155758399</v>
      </c>
      <c r="B6244" t="str">
        <f>"1551686278391528"</f>
        <v>1551686278391528</v>
      </c>
      <c r="C6244" t="s">
        <v>40</v>
      </c>
      <c r="D6244">
        <v>4.8772949999999904</v>
      </c>
      <c r="E6244">
        <v>0.52458079999999996</v>
      </c>
      <c r="F6244" t="s">
        <v>95</v>
      </c>
      <c r="G6244">
        <v>-226.11150000000001</v>
      </c>
      <c r="H6244" s="1">
        <v>-2.4718659999999999E-6</v>
      </c>
      <c r="I6244">
        <v>-63.675690000000003</v>
      </c>
      <c r="J6244">
        <v>-257.86160000000001</v>
      </c>
      <c r="K6244">
        <v>1.110695</v>
      </c>
      <c r="L6244">
        <v>-62.844569999999997</v>
      </c>
      <c r="M6244">
        <v>0.99738230000000005</v>
      </c>
      <c r="N6244">
        <v>-1.2294619999999999E-2</v>
      </c>
      <c r="O6244">
        <v>-7.1256429999999996E-2</v>
      </c>
      <c r="P6244">
        <v>0.98743720000000001</v>
      </c>
      <c r="Q6244">
        <v>0.15095600000000001</v>
      </c>
      <c r="R6244">
        <v>4.6689130000000002E-2</v>
      </c>
      <c r="S6244">
        <v>3.057938</v>
      </c>
      <c r="T6244">
        <v>-0.1065204</v>
      </c>
      <c r="U6244">
        <v>-8.0596920000000002E-2</v>
      </c>
      <c r="V6244">
        <v>-0.1172111</v>
      </c>
      <c r="W6244">
        <v>0.16281590000000001</v>
      </c>
      <c r="X6244">
        <v>0.97966960000000003</v>
      </c>
      <c r="Y6244">
        <v>-4.4901749999999997E-2</v>
      </c>
      <c r="Z6244">
        <v>2.6601429999999998E-3</v>
      </c>
      <c r="AA6244">
        <v>0.99898790000000004</v>
      </c>
      <c r="AB6244">
        <v>30</v>
      </c>
      <c r="AC6244">
        <v>31.7501</v>
      </c>
      <c r="AD6244">
        <v>-1.1106974718660001</v>
      </c>
      <c r="AE6244">
        <v>-0.83112000000000497</v>
      </c>
      <c r="AF6244">
        <v>-1.43181167372334</v>
      </c>
      <c r="AG6244">
        <v>-1.1106974718660001</v>
      </c>
      <c r="AH6244">
        <v>31.6898524247277</v>
      </c>
      <c r="AI6244">
        <v>92.005293683882797</v>
      </c>
      <c r="AJ6244">
        <v>92.586979877226298</v>
      </c>
      <c r="AK6244">
        <v>31.741620630397001</v>
      </c>
      <c r="AL6244">
        <v>80.629620835621097</v>
      </c>
      <c r="AM6244">
        <v>96.822636589300799</v>
      </c>
      <c r="AN6244">
        <v>0.99999999221008995</v>
      </c>
    </row>
    <row r="6245" spans="1:40" x14ac:dyDescent="0.25">
      <c r="A6245" t="str">
        <f>"20190304155758411"</f>
        <v>20190304155758411</v>
      </c>
      <c r="B6245" t="str">
        <f>"1551686278401288"</f>
        <v>1551686278401288</v>
      </c>
      <c r="C6245" t="s">
        <v>40</v>
      </c>
      <c r="D6245">
        <v>4.938415</v>
      </c>
      <c r="E6245">
        <v>0.52458079999999996</v>
      </c>
      <c r="F6245" t="s">
        <v>95</v>
      </c>
      <c r="G6245">
        <v>-225.5256</v>
      </c>
      <c r="H6245" s="1">
        <v>-2.2216640000000001E-6</v>
      </c>
      <c r="I6245">
        <v>-63.680700000000002</v>
      </c>
      <c r="J6245">
        <v>-257.71170000000001</v>
      </c>
      <c r="K6245">
        <v>1.110703</v>
      </c>
      <c r="L6245">
        <v>-62.854860000000002</v>
      </c>
      <c r="M6245">
        <v>0.99741259999999998</v>
      </c>
      <c r="N6245">
        <v>-1.232398E-2</v>
      </c>
      <c r="O6245">
        <v>-7.0826269999999997E-2</v>
      </c>
      <c r="P6245">
        <v>0.98735070000000003</v>
      </c>
      <c r="Q6245">
        <v>0.15127070000000001</v>
      </c>
      <c r="R6245">
        <v>4.7495049999999997E-2</v>
      </c>
      <c r="S6245">
        <v>3.0579679999999998</v>
      </c>
      <c r="T6245">
        <v>-0.10503709999999999</v>
      </c>
      <c r="U6245">
        <v>-7.9071039999999995E-2</v>
      </c>
      <c r="V6245">
        <v>-0.1175851</v>
      </c>
      <c r="W6245">
        <v>0.16315839999999901</v>
      </c>
      <c r="X6245">
        <v>0.97956779999999999</v>
      </c>
      <c r="Y6245">
        <v>-4.4971070000000002E-2</v>
      </c>
      <c r="Z6245">
        <v>2.6055169999999999E-3</v>
      </c>
      <c r="AA6245">
        <v>0.99898489999999995</v>
      </c>
      <c r="AB6245">
        <v>30</v>
      </c>
      <c r="AC6245">
        <v>32.186100000000003</v>
      </c>
      <c r="AD6245">
        <v>-1.1107052216640001</v>
      </c>
      <c r="AE6245">
        <v>-0.82584000000000601</v>
      </c>
      <c r="AF6245">
        <v>-1.4542979372254301</v>
      </c>
      <c r="AG6245">
        <v>-1.1107052216640001</v>
      </c>
      <c r="AH6245">
        <v>32.125521439211496</v>
      </c>
      <c r="AI6245">
        <v>91.9781267351715</v>
      </c>
      <c r="AJ6245">
        <v>92.5919667790522</v>
      </c>
      <c r="AK6245">
        <v>32.177597429281199</v>
      </c>
      <c r="AL6245">
        <v>80.6097311142519</v>
      </c>
      <c r="AM6245">
        <v>96.844904768228403</v>
      </c>
      <c r="AN6245">
        <v>0.99999999701470499</v>
      </c>
    </row>
    <row r="6246" spans="1:40" x14ac:dyDescent="0.25">
      <c r="A6246" t="str">
        <f>"20190304155758421"</f>
        <v>20190304155758421</v>
      </c>
      <c r="B6246" t="str">
        <f>"1551686278411049"</f>
        <v>1551686278411049</v>
      </c>
      <c r="C6246" t="s">
        <v>40</v>
      </c>
      <c r="D6246">
        <v>5.0539440000000004</v>
      </c>
      <c r="E6246">
        <v>0.50309490000000001</v>
      </c>
      <c r="F6246" t="s">
        <v>95</v>
      </c>
      <c r="G6246">
        <v>-225.09530000000001</v>
      </c>
      <c r="H6246" s="1">
        <v>-2.0345740000000001E-6</v>
      </c>
      <c r="I6246">
        <v>-63.669569999999901</v>
      </c>
      <c r="J6246">
        <v>-257.55770000000001</v>
      </c>
      <c r="K6246">
        <v>1.110708</v>
      </c>
      <c r="L6246">
        <v>-62.865299999999998</v>
      </c>
      <c r="M6246">
        <v>0.99744330000000003</v>
      </c>
      <c r="N6246">
        <v>-1.235671E-2</v>
      </c>
      <c r="O6246">
        <v>-7.0385399999999904E-2</v>
      </c>
      <c r="P6246">
        <v>0.98729869999999997</v>
      </c>
      <c r="Q6246">
        <v>0.15124209999999999</v>
      </c>
      <c r="R6246">
        <v>4.8651460000000001E-2</v>
      </c>
      <c r="S6246">
        <v>3.0580599999999998</v>
      </c>
      <c r="T6246">
        <v>-0.1041378</v>
      </c>
      <c r="U6246">
        <v>-7.6385499999999995E-2</v>
      </c>
      <c r="V6246">
        <v>-0.11830060000000001</v>
      </c>
      <c r="W6246">
        <v>0.16316029999999901</v>
      </c>
      <c r="X6246">
        <v>0.9794813</v>
      </c>
      <c r="Y6246">
        <v>-4.540781E-2</v>
      </c>
      <c r="Z6246">
        <v>2.5771050000000001E-3</v>
      </c>
      <c r="AA6246">
        <v>0.9989652</v>
      </c>
      <c r="AB6246">
        <v>30</v>
      </c>
      <c r="AC6246">
        <v>32.462400000000002</v>
      </c>
      <c r="AD6246">
        <v>-1.110710034574</v>
      </c>
      <c r="AE6246">
        <v>-0.80426999999999504</v>
      </c>
      <c r="AF6246">
        <v>-1.48104576929376</v>
      </c>
      <c r="AG6246">
        <v>-1.110710034574</v>
      </c>
      <c r="AH6246">
        <v>32.4005823589508</v>
      </c>
      <c r="AI6246">
        <v>91.961316071321207</v>
      </c>
      <c r="AJ6246">
        <v>92.617195056113005</v>
      </c>
      <c r="AK6246">
        <v>32.453426792109298</v>
      </c>
      <c r="AL6246">
        <v>80.609620482199105</v>
      </c>
      <c r="AM6246">
        <v>96.886759251769405</v>
      </c>
      <c r="AN6246">
        <v>0.99999996625306897</v>
      </c>
    </row>
    <row r="6247" spans="1:40" x14ac:dyDescent="0.25">
      <c r="A6247" t="str">
        <f>"20190304155758434"</f>
        <v>20190304155758434</v>
      </c>
      <c r="B6247" t="str">
        <f>"1551686278431545"</f>
        <v>1551686278431545</v>
      </c>
      <c r="C6247" t="s">
        <v>40</v>
      </c>
      <c r="D6247">
        <v>4.8630829999999996</v>
      </c>
      <c r="E6247">
        <v>0.50002440000000004</v>
      </c>
      <c r="F6247" t="s">
        <v>96</v>
      </c>
      <c r="G6247">
        <v>-236.17060000000001</v>
      </c>
      <c r="H6247" s="1">
        <v>-2.1152780000000001E-6</v>
      </c>
      <c r="I6247">
        <v>-62.191249999999997</v>
      </c>
      <c r="J6247">
        <v>-257.41000000000003</v>
      </c>
      <c r="K6247">
        <v>1.110711</v>
      </c>
      <c r="L6247">
        <v>-62.875309999999999</v>
      </c>
      <c r="M6247">
        <v>0.99747280000000005</v>
      </c>
      <c r="N6247">
        <v>-1.238821E-2</v>
      </c>
      <c r="O6247">
        <v>-6.9962399999999994E-2</v>
      </c>
      <c r="P6247">
        <v>0.98723859999999997</v>
      </c>
      <c r="Q6247">
        <v>0.15139540000000001</v>
      </c>
      <c r="R6247">
        <v>4.9389250000000003E-2</v>
      </c>
      <c r="S6247">
        <v>3.058182</v>
      </c>
      <c r="T6247">
        <v>-0.1588224</v>
      </c>
      <c r="U6247">
        <v>9.6374509999999997E-2</v>
      </c>
      <c r="V6247">
        <v>-0.1186155</v>
      </c>
      <c r="W6247">
        <v>0.1633433</v>
      </c>
      <c r="X6247">
        <v>0.97941270000000002</v>
      </c>
      <c r="Y6247">
        <v>-0.1011306</v>
      </c>
      <c r="Z6247">
        <v>6.0131849999999999E-3</v>
      </c>
      <c r="AA6247">
        <v>0.99485500000000004</v>
      </c>
      <c r="AB6247">
        <v>30</v>
      </c>
      <c r="AC6247">
        <v>21.2394</v>
      </c>
      <c r="AD6247">
        <v>-1.1107131152779901</v>
      </c>
      <c r="AE6247">
        <v>0.684060000000002</v>
      </c>
      <c r="AF6247">
        <v>-2.1625489092880898</v>
      </c>
      <c r="AG6247">
        <v>-1.1107131152779901</v>
      </c>
      <c r="AH6247">
        <v>21.081891274382901</v>
      </c>
      <c r="AI6247">
        <v>93.000162810866698</v>
      </c>
      <c r="AJ6247">
        <v>95.856830246021502</v>
      </c>
      <c r="AK6247">
        <v>21.221603170222998</v>
      </c>
      <c r="AL6247">
        <v>80.598992658514305</v>
      </c>
      <c r="AM6247">
        <v>96.905393079606299</v>
      </c>
      <c r="AN6247">
        <v>0.99999995370821404</v>
      </c>
    </row>
    <row r="6248" spans="1:40" x14ac:dyDescent="0.25">
      <c r="A6248" t="str">
        <f>"20190304155758443"</f>
        <v>20190304155758443</v>
      </c>
      <c r="B6248" t="str">
        <f>"1551686278441305"</f>
        <v>1551686278441305</v>
      </c>
      <c r="C6248" t="s">
        <v>40</v>
      </c>
      <c r="D6248">
        <v>4.9499320000000004</v>
      </c>
      <c r="E6248">
        <v>0.50019550000000002</v>
      </c>
      <c r="F6248" t="s">
        <v>96</v>
      </c>
      <c r="G6248">
        <v>-233.30510000000001</v>
      </c>
      <c r="H6248" s="1">
        <v>-8.0784230000000004E-7</v>
      </c>
      <c r="I6248">
        <v>-61.897590000000001</v>
      </c>
      <c r="J6248">
        <v>-257.267</v>
      </c>
      <c r="K6248">
        <v>1.110717</v>
      </c>
      <c r="L6248">
        <v>-62.884920000000001</v>
      </c>
      <c r="M6248">
        <v>0.99750110000000003</v>
      </c>
      <c r="N6248">
        <v>-1.241891E-2</v>
      </c>
      <c r="O6248">
        <v>-6.9551420000000003E-2</v>
      </c>
      <c r="P6248">
        <v>0.9871991</v>
      </c>
      <c r="Q6248">
        <v>0.1512976</v>
      </c>
      <c r="R6248">
        <v>5.047107E-2</v>
      </c>
      <c r="S6248">
        <v>3.0541689999999999</v>
      </c>
      <c r="T6248">
        <v>-0.14073060000000001</v>
      </c>
      <c r="U6248">
        <v>0.1238708</v>
      </c>
      <c r="V6248">
        <v>-0.1192875</v>
      </c>
      <c r="W6248">
        <v>0.16327459999999999</v>
      </c>
      <c r="X6248">
        <v>0.97934259999999995</v>
      </c>
      <c r="Y6248">
        <v>-0.1097392</v>
      </c>
      <c r="Z6248">
        <v>5.5457609999999997E-3</v>
      </c>
      <c r="AA6248">
        <v>0.99394490000000002</v>
      </c>
      <c r="AB6248">
        <v>30</v>
      </c>
      <c r="AC6248">
        <v>23.961899999999901</v>
      </c>
      <c r="AD6248">
        <v>-1.1107178078422999</v>
      </c>
      <c r="AE6248">
        <v>0.98732999999999205</v>
      </c>
      <c r="AF6248">
        <v>-2.6459756927440399</v>
      </c>
      <c r="AG6248">
        <v>-1.1107178078422999</v>
      </c>
      <c r="AH6248">
        <v>23.784171477461499</v>
      </c>
      <c r="AI6248">
        <v>92.657392846325394</v>
      </c>
      <c r="AJ6248">
        <v>96.348020479468602</v>
      </c>
      <c r="AK6248">
        <v>23.956662836975902</v>
      </c>
      <c r="AL6248">
        <v>80.602983026827204</v>
      </c>
      <c r="AM6248">
        <v>96.944625923698894</v>
      </c>
      <c r="AN6248">
        <v>1.0000000154180799</v>
      </c>
    </row>
    <row r="6249" spans="1:40" x14ac:dyDescent="0.25">
      <c r="A6249" t="str">
        <f>"20190304155758455"</f>
        <v>20190304155758455</v>
      </c>
      <c r="B6249" t="str">
        <f>"1551686278451065"</f>
        <v>1551686278451065</v>
      </c>
      <c r="C6249" t="s">
        <v>40</v>
      </c>
      <c r="D6249">
        <v>4.9122859999999999</v>
      </c>
      <c r="E6249">
        <v>0.50019619999999998</v>
      </c>
      <c r="F6249" t="s">
        <v>96</v>
      </c>
      <c r="G6249">
        <v>-232.27019999999999</v>
      </c>
      <c r="H6249" s="1">
        <v>-3.517034E-7</v>
      </c>
      <c r="I6249">
        <v>-61.851750000000003</v>
      </c>
      <c r="J6249">
        <v>-257.11329999999998</v>
      </c>
      <c r="K6249">
        <v>1.1107209999999901</v>
      </c>
      <c r="L6249">
        <v>-62.895139999999998</v>
      </c>
      <c r="M6249">
        <v>0.99753150000000002</v>
      </c>
      <c r="N6249">
        <v>-1.2451E-2</v>
      </c>
      <c r="O6249">
        <v>-6.9107429999999997E-2</v>
      </c>
      <c r="P6249">
        <v>0.98716999999999999</v>
      </c>
      <c r="Q6249">
        <v>0.15112970000000001</v>
      </c>
      <c r="R6249">
        <v>5.152992E-2</v>
      </c>
      <c r="S6249">
        <v>3.0532680000000001</v>
      </c>
      <c r="T6249">
        <v>-0.1356705</v>
      </c>
      <c r="U6249">
        <v>0.1261902</v>
      </c>
      <c r="V6249">
        <v>-0.11990480000000001</v>
      </c>
      <c r="W6249">
        <v>0.16313629999999901</v>
      </c>
      <c r="X6249">
        <v>0.9792902</v>
      </c>
      <c r="Y6249">
        <v>-0.1100752</v>
      </c>
      <c r="Z6249">
        <v>5.3365139999999997E-3</v>
      </c>
      <c r="AA6249">
        <v>0.99390889999999998</v>
      </c>
      <c r="AB6249">
        <v>30</v>
      </c>
      <c r="AC6249">
        <v>24.8431</v>
      </c>
      <c r="AD6249">
        <v>-1.11072135170339</v>
      </c>
      <c r="AE6249">
        <v>1.04339</v>
      </c>
      <c r="AF6249">
        <v>-2.7523788866703098</v>
      </c>
      <c r="AG6249">
        <v>-1.11072135170339</v>
      </c>
      <c r="AH6249">
        <v>24.662373214408799</v>
      </c>
      <c r="AI6249">
        <v>92.562803071626405</v>
      </c>
      <c r="AJ6249">
        <v>96.367993099100005</v>
      </c>
      <c r="AK6249">
        <v>24.8403289838059</v>
      </c>
      <c r="AL6249">
        <v>80.611014145213602</v>
      </c>
      <c r="AM6249">
        <v>96.980579791506599</v>
      </c>
      <c r="AN6249">
        <v>0.99999995462838398</v>
      </c>
    </row>
    <row r="6250" spans="1:40" x14ac:dyDescent="0.25">
      <c r="A6250" t="str">
        <f>"20190304155758466"</f>
        <v>20190304155758466</v>
      </c>
      <c r="B6250" t="str">
        <f>"1551686278460824"</f>
        <v>1551686278460824</v>
      </c>
      <c r="C6250" t="s">
        <v>40</v>
      </c>
      <c r="D6250">
        <v>4.8772859999999998</v>
      </c>
      <c r="E6250">
        <v>0.50001260000000003</v>
      </c>
      <c r="F6250" t="s">
        <v>96</v>
      </c>
      <c r="G6250">
        <v>-232.2302</v>
      </c>
      <c r="H6250" s="1">
        <v>-3.3141420000000002E-7</v>
      </c>
      <c r="I6250">
        <v>-61.840009999999999</v>
      </c>
      <c r="J6250">
        <v>-256.96159999999998</v>
      </c>
      <c r="K6250">
        <v>1.1107279999999999</v>
      </c>
      <c r="L6250">
        <v>-62.905209999999997</v>
      </c>
      <c r="M6250">
        <v>0.99756180000000005</v>
      </c>
      <c r="N6250">
        <v>-1.2481829999999999E-2</v>
      </c>
      <c r="O6250">
        <v>-6.8666030000000003E-2</v>
      </c>
      <c r="P6250">
        <v>0.98710850000000006</v>
      </c>
      <c r="Q6250">
        <v>0.15109739999999999</v>
      </c>
      <c r="R6250">
        <v>5.279039E-2</v>
      </c>
      <c r="S6250">
        <v>3.053131</v>
      </c>
      <c r="T6250">
        <v>-0.1362844</v>
      </c>
      <c r="U6250">
        <v>0.1294556</v>
      </c>
      <c r="V6250">
        <v>-0.1207239</v>
      </c>
      <c r="W6250">
        <v>0.1631311</v>
      </c>
      <c r="X6250">
        <v>0.97919049999999996</v>
      </c>
      <c r="Y6250">
        <v>-0.1106963</v>
      </c>
      <c r="Z6250">
        <v>5.3647670000000003E-3</v>
      </c>
      <c r="AA6250">
        <v>0.99383980000000005</v>
      </c>
      <c r="AB6250">
        <v>30</v>
      </c>
      <c r="AC6250">
        <v>24.731399999999901</v>
      </c>
      <c r="AD6250">
        <v>-1.1107283314142</v>
      </c>
      <c r="AE6250">
        <v>1.0651999999999899</v>
      </c>
      <c r="AF6250">
        <v>-2.7554768031787602</v>
      </c>
      <c r="AG6250">
        <v>-1.1107283314142</v>
      </c>
      <c r="AH6250">
        <v>24.550440757661601</v>
      </c>
      <c r="AI6250">
        <v>92.5743076348394</v>
      </c>
      <c r="AJ6250">
        <v>96.403926542274803</v>
      </c>
      <c r="AK6250">
        <v>24.729547331775301</v>
      </c>
      <c r="AL6250">
        <v>80.611316800586096</v>
      </c>
      <c r="AM6250">
        <v>97.028499038667803</v>
      </c>
      <c r="AN6250">
        <v>1.00000002555433</v>
      </c>
    </row>
    <row r="6251" spans="1:40" x14ac:dyDescent="0.25">
      <c r="A6251" t="str">
        <f>"20190304155758478"</f>
        <v>20190304155758478</v>
      </c>
      <c r="B6251" t="str">
        <f>"1551686278471561"</f>
        <v>1551686278471561</v>
      </c>
      <c r="C6251" t="s">
        <v>40</v>
      </c>
      <c r="D6251">
        <v>5.0624399999999996</v>
      </c>
      <c r="E6251">
        <v>0.50051049999999997</v>
      </c>
      <c r="F6251" t="s">
        <v>96</v>
      </c>
      <c r="G6251">
        <v>-230.9479</v>
      </c>
      <c r="H6251" s="1">
        <v>2.4178290000000002E-7</v>
      </c>
      <c r="I6251">
        <v>-61.753309999999999</v>
      </c>
      <c r="J6251">
        <v>-256.81569999999999</v>
      </c>
      <c r="K6251">
        <v>1.1107359999999999</v>
      </c>
      <c r="L6251">
        <v>-62.914790000000004</v>
      </c>
      <c r="M6251">
        <v>0.99759089999999995</v>
      </c>
      <c r="N6251">
        <v>-1.2511660000000001E-2</v>
      </c>
      <c r="O6251">
        <v>-6.8234370000000003E-2</v>
      </c>
      <c r="P6251">
        <v>0.9870314</v>
      </c>
      <c r="Q6251">
        <v>0.15114669999999999</v>
      </c>
      <c r="R6251">
        <v>5.4071519999999998E-2</v>
      </c>
      <c r="S6251">
        <v>3.051895</v>
      </c>
      <c r="T6251">
        <v>-0.13030899999999901</v>
      </c>
      <c r="U6251">
        <v>0.1351318</v>
      </c>
      <c r="V6251">
        <v>-0.121574</v>
      </c>
      <c r="W6251">
        <v>0.1632055</v>
      </c>
      <c r="X6251">
        <v>0.97907290000000002</v>
      </c>
      <c r="Y6251">
        <v>-0.11214150000000001</v>
      </c>
      <c r="Z6251">
        <v>5.1510159999999996E-3</v>
      </c>
      <c r="AA6251">
        <v>0.99367890000000003</v>
      </c>
      <c r="AB6251">
        <v>30</v>
      </c>
      <c r="AC6251">
        <v>25.8677999999999</v>
      </c>
      <c r="AD6251">
        <v>-1.1107357582171</v>
      </c>
      <c r="AE6251">
        <v>1.1614800000000001</v>
      </c>
      <c r="AF6251">
        <v>-2.9186133049588801</v>
      </c>
      <c r="AG6251">
        <v>-1.1107357582171</v>
      </c>
      <c r="AH6251">
        <v>25.680987809183801</v>
      </c>
      <c r="AI6251">
        <v>92.460751702522202</v>
      </c>
      <c r="AJ6251">
        <v>96.483776845452297</v>
      </c>
      <c r="AK6251">
        <v>25.870159883617099</v>
      </c>
      <c r="AL6251">
        <v>80.606995924275097</v>
      </c>
      <c r="AM6251">
        <v>97.078332819026897</v>
      </c>
      <c r="AN6251">
        <v>1.00000000811033</v>
      </c>
    </row>
    <row r="6252" spans="1:40" x14ac:dyDescent="0.25">
      <c r="A6252" t="str">
        <f>"20190304155758488"</f>
        <v>20190304155758488</v>
      </c>
      <c r="B6252" t="str">
        <f>"1551686278481321"</f>
        <v>1551686278481321</v>
      </c>
      <c r="C6252" t="s">
        <v>40</v>
      </c>
      <c r="D6252">
        <v>4.879467</v>
      </c>
      <c r="E6252">
        <v>0.50099689999999997</v>
      </c>
      <c r="F6252" t="s">
        <v>96</v>
      </c>
      <c r="G6252">
        <v>-230.05879999999999</v>
      </c>
      <c r="H6252" s="1">
        <v>6.300758E-7</v>
      </c>
      <c r="I6252">
        <v>-61.72739</v>
      </c>
      <c r="J6252">
        <v>-256.67489999999998</v>
      </c>
      <c r="K6252">
        <v>1.1107450000000001</v>
      </c>
      <c r="L6252">
        <v>-62.924010000000003</v>
      </c>
      <c r="M6252">
        <v>0.99761920000000004</v>
      </c>
      <c r="N6252">
        <v>-1.2540539999999999E-2</v>
      </c>
      <c r="O6252">
        <v>-6.7815449999999999E-2</v>
      </c>
      <c r="P6252">
        <v>0.98696669999999997</v>
      </c>
      <c r="Q6252">
        <v>0.15113389999999999</v>
      </c>
      <c r="R6252">
        <v>5.5280559999999999E-2</v>
      </c>
      <c r="S6252">
        <v>3.0513919999999999</v>
      </c>
      <c r="T6252">
        <v>-0.12666959999999999</v>
      </c>
      <c r="U6252">
        <v>0.13540650000000001</v>
      </c>
      <c r="V6252">
        <v>-0.122366</v>
      </c>
      <c r="W6252">
        <v>0.16321729999999901</v>
      </c>
      <c r="X6252">
        <v>0.97897230000000002</v>
      </c>
      <c r="Y6252">
        <v>-0.1118301</v>
      </c>
      <c r="Z6252">
        <v>4.9830120000000002E-3</v>
      </c>
      <c r="AA6252">
        <v>0.99371489999999996</v>
      </c>
      <c r="AB6252">
        <v>30</v>
      </c>
      <c r="AC6252">
        <v>26.6160999999999</v>
      </c>
      <c r="AD6252">
        <v>-1.1107443699241999</v>
      </c>
      <c r="AE6252">
        <v>1.19661999999999</v>
      </c>
      <c r="AF6252">
        <v>-2.9937859585066602</v>
      </c>
      <c r="AG6252">
        <v>-1.1107443699241999</v>
      </c>
      <c r="AH6252">
        <v>26.4277285489948</v>
      </c>
      <c r="AI6252">
        <v>92.391419361977498</v>
      </c>
      <c r="AJ6252">
        <v>96.463028225566305</v>
      </c>
      <c r="AK6252">
        <v>26.619942593477202</v>
      </c>
      <c r="AL6252">
        <v>80.606310990863804</v>
      </c>
      <c r="AM6252">
        <v>97.1246972444318</v>
      </c>
      <c r="AN6252">
        <v>1.00000004457128</v>
      </c>
    </row>
    <row r="6253" spans="1:40" x14ac:dyDescent="0.25">
      <c r="A6253" t="str">
        <f>"20190304155758499"</f>
        <v>20190304155758499</v>
      </c>
      <c r="B6253" t="str">
        <f>"1551686278491080"</f>
        <v>1551686278491080</v>
      </c>
      <c r="C6253" t="s">
        <v>40</v>
      </c>
      <c r="D6253">
        <v>4.8821640000000004</v>
      </c>
      <c r="E6253">
        <v>0.50083370000000005</v>
      </c>
      <c r="F6253" t="s">
        <v>96</v>
      </c>
      <c r="G6253">
        <v>-230.5444</v>
      </c>
      <c r="H6253" s="1">
        <v>4.110901E-7</v>
      </c>
      <c r="I6253">
        <v>-61.767479999999999</v>
      </c>
      <c r="J6253">
        <v>-256.52440000000001</v>
      </c>
      <c r="K6253">
        <v>1.1107610000000001</v>
      </c>
      <c r="L6253">
        <v>-62.933750000000003</v>
      </c>
      <c r="M6253">
        <v>0.99765020000000004</v>
      </c>
      <c r="N6253">
        <v>-1.25735E-2</v>
      </c>
      <c r="O6253">
        <v>-6.7351649999999999E-2</v>
      </c>
      <c r="P6253">
        <v>0.98692849999999999</v>
      </c>
      <c r="Q6253">
        <v>0.1510126</v>
      </c>
      <c r="R6253">
        <v>5.6279160000000002E-2</v>
      </c>
      <c r="S6253">
        <v>3.0519259999999999</v>
      </c>
      <c r="T6253">
        <v>-0.12973019999999999</v>
      </c>
      <c r="U6253">
        <v>0.13507079999999999</v>
      </c>
      <c r="V6253">
        <v>-0.1229075</v>
      </c>
      <c r="W6253">
        <v>0.16312360000000001</v>
      </c>
      <c r="X6253">
        <v>0.97892000000000001</v>
      </c>
      <c r="Y6253">
        <v>-0.11124489999999899</v>
      </c>
      <c r="Z6253">
        <v>5.0756530000000003E-3</v>
      </c>
      <c r="AA6253">
        <v>0.99378010000000006</v>
      </c>
      <c r="AB6253">
        <v>30</v>
      </c>
      <c r="AC6253">
        <v>25.98</v>
      </c>
      <c r="AD6253">
        <v>-1.1107605889098999</v>
      </c>
      <c r="AE6253">
        <v>1.1662699999999899</v>
      </c>
      <c r="AF6253">
        <v>-2.9082498801564598</v>
      </c>
      <c r="AG6253">
        <v>-1.1107605889098999</v>
      </c>
      <c r="AH6253">
        <v>25.795383813193599</v>
      </c>
      <c r="AI6253">
        <v>92.450154633685003</v>
      </c>
      <c r="AJ6253">
        <v>96.432537248362607</v>
      </c>
      <c r="AK6253">
        <v>25.982562085392502</v>
      </c>
      <c r="AL6253">
        <v>80.611751773969601</v>
      </c>
      <c r="AM6253">
        <v>97.156278015474001</v>
      </c>
      <c r="AN6253">
        <v>0.99999996441660399</v>
      </c>
    </row>
    <row r="6254" spans="1:40" x14ac:dyDescent="0.25">
      <c r="A6254" t="str">
        <f>"20190304155758511"</f>
        <v>20190304155758511</v>
      </c>
      <c r="B6254" t="str">
        <f>"1551686278500841"</f>
        <v>1551686278500841</v>
      </c>
      <c r="C6254" t="s">
        <v>40</v>
      </c>
      <c r="D6254">
        <v>4.9102480000000002</v>
      </c>
      <c r="E6254">
        <v>0.50081149999999997</v>
      </c>
      <c r="F6254" t="s">
        <v>95</v>
      </c>
      <c r="G6254">
        <v>-229.4239</v>
      </c>
      <c r="H6254" s="1">
        <v>-3.3906019999999998E-6</v>
      </c>
      <c r="I6254">
        <v>-61.692189999999997</v>
      </c>
      <c r="J6254">
        <v>-256.3664</v>
      </c>
      <c r="K6254">
        <v>1.110781</v>
      </c>
      <c r="L6254">
        <v>-62.943910000000002</v>
      </c>
      <c r="M6254">
        <v>0.99768290000000004</v>
      </c>
      <c r="N6254">
        <v>-1.2608390000000001E-2</v>
      </c>
      <c r="O6254">
        <v>-6.685779E-2</v>
      </c>
      <c r="P6254">
        <v>0.98685250000000002</v>
      </c>
      <c r="Q6254">
        <v>0.1510087</v>
      </c>
      <c r="R6254">
        <v>5.7609239999999999E-2</v>
      </c>
      <c r="S6254">
        <v>3.0509029999999999</v>
      </c>
      <c r="T6254">
        <v>-0.12504699999999999</v>
      </c>
      <c r="U6254">
        <v>0.13977049999999999</v>
      </c>
      <c r="V6254">
        <v>-0.1237496</v>
      </c>
      <c r="W6254">
        <v>0.16314719999999999</v>
      </c>
      <c r="X6254">
        <v>0.97880999999999996</v>
      </c>
      <c r="Y6254">
        <v>-0.1123055</v>
      </c>
      <c r="Z6254">
        <v>4.9028939999999997E-3</v>
      </c>
      <c r="AA6254">
        <v>0.99366160000000003</v>
      </c>
      <c r="AB6254">
        <v>30</v>
      </c>
      <c r="AC6254">
        <v>26.9424999999999</v>
      </c>
      <c r="AD6254">
        <v>-1.1107843906020001</v>
      </c>
      <c r="AE6254">
        <v>1.25171999999999</v>
      </c>
      <c r="AF6254">
        <v>-3.0452130212217501</v>
      </c>
      <c r="AG6254">
        <v>-1.1107843906020001</v>
      </c>
      <c r="AH6254">
        <v>26.753137514512499</v>
      </c>
      <c r="AI6254">
        <v>92.362305749171099</v>
      </c>
      <c r="AJ6254">
        <v>96.493822277843407</v>
      </c>
      <c r="AK6254">
        <v>26.948794614554501</v>
      </c>
      <c r="AL6254">
        <v>80.610381515844097</v>
      </c>
      <c r="AM6254">
        <v>97.205596874722104</v>
      </c>
      <c r="AN6254">
        <v>0.99999999423399899</v>
      </c>
    </row>
    <row r="6255" spans="1:40" x14ac:dyDescent="0.25">
      <c r="A6255" t="str">
        <f>"20190304155758522"</f>
        <v>20190304155758522</v>
      </c>
      <c r="B6255" t="str">
        <f>"1551686278511577"</f>
        <v>1551686278511577</v>
      </c>
      <c r="C6255" t="s">
        <v>40</v>
      </c>
      <c r="D6255">
        <v>4.8791440000000001</v>
      </c>
      <c r="E6255">
        <v>0.5008804</v>
      </c>
      <c r="F6255" t="s">
        <v>95</v>
      </c>
      <c r="G6255">
        <v>-228.60130000000001</v>
      </c>
      <c r="H6255" s="1">
        <v>-3.0848519999999998E-6</v>
      </c>
      <c r="I6255">
        <v>-61.628839999999997</v>
      </c>
      <c r="J6255">
        <v>-256.2226</v>
      </c>
      <c r="K6255">
        <v>1.110806</v>
      </c>
      <c r="L6255">
        <v>-62.953060000000001</v>
      </c>
      <c r="M6255">
        <v>0.99771399999999999</v>
      </c>
      <c r="N6255">
        <v>-1.264027E-2</v>
      </c>
      <c r="O6255">
        <v>-6.6384819999999997E-2</v>
      </c>
      <c r="P6255">
        <v>0.98671469999999994</v>
      </c>
      <c r="Q6255">
        <v>0.15147459999999999</v>
      </c>
      <c r="R6255">
        <v>5.8736110000000001E-2</v>
      </c>
      <c r="S6255">
        <v>3.0502009999999999</v>
      </c>
      <c r="T6255">
        <v>-0.12202789999999999</v>
      </c>
      <c r="U6255">
        <v>0.14447019999999999</v>
      </c>
      <c r="V6255">
        <v>-0.124408199999999</v>
      </c>
      <c r="W6255">
        <v>0.16363539999999999</v>
      </c>
      <c r="X6255">
        <v>0.97864499999999999</v>
      </c>
      <c r="Y6255">
        <v>-0.1133786</v>
      </c>
      <c r="Z6255">
        <v>4.7974020000000001E-3</v>
      </c>
      <c r="AA6255">
        <v>0.99354030000000004</v>
      </c>
      <c r="AB6255">
        <v>30</v>
      </c>
      <c r="AC6255">
        <v>27.621299999999898</v>
      </c>
      <c r="AD6255">
        <v>-1.110809084852</v>
      </c>
      <c r="AE6255">
        <v>1.32421999999999</v>
      </c>
      <c r="AF6255">
        <v>-3.1499972015241302</v>
      </c>
      <c r="AG6255">
        <v>-1.110809084852</v>
      </c>
      <c r="AH6255">
        <v>27.428187261899499</v>
      </c>
      <c r="AI6255">
        <v>92.304015742825499</v>
      </c>
      <c r="AJ6255">
        <v>96.551445822074299</v>
      </c>
      <c r="AK6255">
        <v>27.630813156083999</v>
      </c>
      <c r="AL6255">
        <v>80.5820286535223</v>
      </c>
      <c r="AM6255">
        <v>97.244747370609204</v>
      </c>
      <c r="AN6255">
        <v>0.99999999019269903</v>
      </c>
    </row>
    <row r="6256" spans="1:40" x14ac:dyDescent="0.25">
      <c r="A6256" t="str">
        <f>"20190304155758534"</f>
        <v>20190304155758534</v>
      </c>
      <c r="B6256" t="str">
        <f>"1551686278531096"</f>
        <v>1551686278531096</v>
      </c>
      <c r="C6256" t="s">
        <v>40</v>
      </c>
      <c r="D6256">
        <v>4.9244019999999997</v>
      </c>
      <c r="E6256">
        <v>0.5006313</v>
      </c>
      <c r="F6256" t="s">
        <v>95</v>
      </c>
      <c r="G6256">
        <v>-227.86160000000001</v>
      </c>
      <c r="H6256" s="1">
        <v>-2.7565129999999999E-6</v>
      </c>
      <c r="I6256">
        <v>-61.579300000000003</v>
      </c>
      <c r="J6256">
        <v>-256.07639999999998</v>
      </c>
      <c r="K6256">
        <v>1.110833</v>
      </c>
      <c r="L6256">
        <v>-62.962310000000002</v>
      </c>
      <c r="M6256">
        <v>0.99774629999999997</v>
      </c>
      <c r="N6256">
        <v>-1.2672869999999999E-2</v>
      </c>
      <c r="O6256">
        <v>-6.5893460000000001E-2</v>
      </c>
      <c r="P6256">
        <v>0.98653009999999997</v>
      </c>
      <c r="Q6256">
        <v>0.15221899999999999</v>
      </c>
      <c r="R6256">
        <v>5.9901429999999999E-2</v>
      </c>
      <c r="S6256">
        <v>3.049973</v>
      </c>
      <c r="T6256">
        <v>-0.1194576</v>
      </c>
      <c r="U6256">
        <v>0.14773559999999999</v>
      </c>
      <c r="V6256">
        <v>-0.1250859</v>
      </c>
      <c r="W6256">
        <v>0.16440170000000001</v>
      </c>
      <c r="X6256">
        <v>0.97843020000000003</v>
      </c>
      <c r="Y6256">
        <v>-0.11395950000000001</v>
      </c>
      <c r="Z6256">
        <v>4.6959200000000001E-3</v>
      </c>
      <c r="AA6256">
        <v>0.99347430000000003</v>
      </c>
      <c r="AB6256">
        <v>30</v>
      </c>
      <c r="AC6256">
        <v>28.214799999999901</v>
      </c>
      <c r="AD6256">
        <v>-1.110835756513</v>
      </c>
      <c r="AE6256">
        <v>1.3830099999999901</v>
      </c>
      <c r="AF6256">
        <v>-3.2343223204911302</v>
      </c>
      <c r="AG6256">
        <v>-1.110835756513</v>
      </c>
      <c r="AH6256">
        <v>28.019004536555101</v>
      </c>
      <c r="AI6256">
        <v>92.255386858444595</v>
      </c>
      <c r="AJ6256">
        <v>96.584689672747004</v>
      </c>
      <c r="AK6256">
        <v>28.2269270762914</v>
      </c>
      <c r="AL6256">
        <v>80.537520497166597</v>
      </c>
      <c r="AM6256">
        <v>97.285371510835802</v>
      </c>
      <c r="AN6256">
        <v>1.00000002880686</v>
      </c>
    </row>
    <row r="6257" spans="1:40" x14ac:dyDescent="0.25">
      <c r="A6257" t="str">
        <f>"20190304155758544"</f>
        <v>20190304155758544</v>
      </c>
      <c r="B6257" t="str">
        <f>"1551686278540857"</f>
        <v>1551686278540857</v>
      </c>
      <c r="C6257" t="s">
        <v>40</v>
      </c>
      <c r="D6257">
        <v>4.9319040000000003</v>
      </c>
      <c r="E6257">
        <v>0.50074549999999995</v>
      </c>
      <c r="F6257" t="s">
        <v>95</v>
      </c>
      <c r="G6257">
        <v>-226.9127</v>
      </c>
      <c r="H6257" s="1">
        <v>-2.3307829999999999E-6</v>
      </c>
      <c r="I6257">
        <v>-61.495489999999997</v>
      </c>
      <c r="J6257">
        <v>-255.92679999999999</v>
      </c>
      <c r="K6257">
        <v>1.1108549999999999</v>
      </c>
      <c r="L6257">
        <v>-62.971679999999999</v>
      </c>
      <c r="M6257">
        <v>0.99778040000000001</v>
      </c>
      <c r="N6257">
        <v>-1.270666E-2</v>
      </c>
      <c r="O6257">
        <v>-6.5369269999999993E-2</v>
      </c>
      <c r="P6257">
        <v>0.98644259999999995</v>
      </c>
      <c r="Q6257">
        <v>0.15240580000000001</v>
      </c>
      <c r="R6257">
        <v>6.0856929999999997E-2</v>
      </c>
      <c r="S6257">
        <v>3.0495760000000001</v>
      </c>
      <c r="T6257">
        <v>-0.1161571</v>
      </c>
      <c r="U6257">
        <v>0.1533813</v>
      </c>
      <c r="V6257">
        <v>-0.12552930000000001</v>
      </c>
      <c r="W6257">
        <v>0.16461149999999999</v>
      </c>
      <c r="X6257">
        <v>0.97833809999999999</v>
      </c>
      <c r="Y6257">
        <v>-0.1152847</v>
      </c>
      <c r="Z6257">
        <v>4.583747E-3</v>
      </c>
      <c r="AA6257">
        <v>0.99332189999999998</v>
      </c>
      <c r="AB6257">
        <v>30</v>
      </c>
      <c r="AC6257">
        <v>29.0140999999999</v>
      </c>
      <c r="AD6257">
        <v>-1.1108573307830001</v>
      </c>
      <c r="AE6257">
        <v>1.4761899999999999</v>
      </c>
      <c r="AF6257">
        <v>-3.3648956914980901</v>
      </c>
      <c r="AG6257">
        <v>-1.1108573307830001</v>
      </c>
      <c r="AH6257">
        <v>28.813399779503602</v>
      </c>
      <c r="AI6257">
        <v>92.192970567387604</v>
      </c>
      <c r="AJ6257">
        <v>96.660962460294797</v>
      </c>
      <c r="AK6257">
        <v>29.030475949896399</v>
      </c>
      <c r="AL6257">
        <v>80.525333483302703</v>
      </c>
      <c r="AM6257">
        <v>97.311598312095001</v>
      </c>
      <c r="AN6257">
        <v>0.99999999450117405</v>
      </c>
    </row>
    <row r="6258" spans="1:40" x14ac:dyDescent="0.25">
      <c r="A6258" t="str">
        <f>"20190304155758555"</f>
        <v>20190304155758555</v>
      </c>
      <c r="B6258" t="str">
        <f>"1551686278550617"</f>
        <v>1551686278550617</v>
      </c>
      <c r="C6258" t="s">
        <v>40</v>
      </c>
      <c r="D6258">
        <v>5.0395979999999998</v>
      </c>
      <c r="E6258">
        <v>0.50112219999999996</v>
      </c>
      <c r="F6258" t="s">
        <v>95</v>
      </c>
      <c r="G6258">
        <v>-226.0488</v>
      </c>
      <c r="H6258" s="1">
        <v>-1.9489140000000001E-6</v>
      </c>
      <c r="I6258">
        <v>-61.444789999999998</v>
      </c>
      <c r="J6258">
        <v>-255.7809</v>
      </c>
      <c r="K6258">
        <v>1.1108910000000001</v>
      </c>
      <c r="L6258">
        <v>-62.98068</v>
      </c>
      <c r="M6258">
        <v>0.99781470000000005</v>
      </c>
      <c r="N6258">
        <v>-1.2740710000000001E-2</v>
      </c>
      <c r="O6258">
        <v>-6.4835030000000002E-2</v>
      </c>
      <c r="P6258">
        <v>0.98632529999999996</v>
      </c>
      <c r="Q6258">
        <v>0.15276039999999999</v>
      </c>
      <c r="R6258">
        <v>6.186038E-2</v>
      </c>
      <c r="S6258">
        <v>3.049118</v>
      </c>
      <c r="T6258">
        <v>-0.1133657</v>
      </c>
      <c r="U6258">
        <v>0.15582279999999901</v>
      </c>
      <c r="V6258">
        <v>-0.12601010000000001</v>
      </c>
      <c r="W6258">
        <v>0.16498769999999999</v>
      </c>
      <c r="X6258">
        <v>0.97821290000000005</v>
      </c>
      <c r="Y6258">
        <v>-0.1155597</v>
      </c>
      <c r="Z6258">
        <v>4.4655459999999999E-3</v>
      </c>
      <c r="AA6258">
        <v>0.99329049999999997</v>
      </c>
      <c r="AB6258">
        <v>30</v>
      </c>
      <c r="AC6258">
        <v>29.732099999999999</v>
      </c>
      <c r="AD6258">
        <v>-1.110892948914</v>
      </c>
      <c r="AE6258">
        <v>1.53589</v>
      </c>
      <c r="AF6258">
        <v>-3.45568456423447</v>
      </c>
      <c r="AG6258">
        <v>-1.110892948914</v>
      </c>
      <c r="AH6258">
        <v>29.5288325460427</v>
      </c>
      <c r="AI6258">
        <v>92.139896777038103</v>
      </c>
      <c r="AJ6258">
        <v>96.6748191077412</v>
      </c>
      <c r="AK6258">
        <v>29.751097298816799</v>
      </c>
      <c r="AL6258">
        <v>80.503479890848695</v>
      </c>
      <c r="AM6258">
        <v>97.340227398434294</v>
      </c>
      <c r="AN6258">
        <v>0.99999998208985497</v>
      </c>
    </row>
    <row r="6259" spans="1:40" x14ac:dyDescent="0.25">
      <c r="A6259" t="str">
        <f>"20190304155758568"</f>
        <v>20190304155758568</v>
      </c>
      <c r="B6259" t="str">
        <f>"1551686278561352"</f>
        <v>1551686278561352</v>
      </c>
      <c r="C6259" t="s">
        <v>40</v>
      </c>
      <c r="D6259">
        <v>4.94177</v>
      </c>
      <c r="E6259">
        <v>0.50078679999999998</v>
      </c>
      <c r="F6259" t="s">
        <v>95</v>
      </c>
      <c r="G6259">
        <v>-225.64879999999999</v>
      </c>
      <c r="H6259" s="1">
        <v>-1.77557E-6</v>
      </c>
      <c r="I6259">
        <v>-61.43694</v>
      </c>
      <c r="J6259">
        <v>-255.61859999999999</v>
      </c>
      <c r="K6259">
        <v>1.1109329999999999</v>
      </c>
      <c r="L6259">
        <v>-62.990630000000003</v>
      </c>
      <c r="M6259">
        <v>0.99785400000000002</v>
      </c>
      <c r="N6259">
        <v>-1.277959E-2</v>
      </c>
      <c r="O6259">
        <v>-6.4220250000000006E-2</v>
      </c>
      <c r="P6259">
        <v>0.9861742</v>
      </c>
      <c r="Q6259">
        <v>0.15333869999999999</v>
      </c>
      <c r="R6259">
        <v>6.2830570000000002E-2</v>
      </c>
      <c r="S6259">
        <v>3.0492249999999999</v>
      </c>
      <c r="T6259">
        <v>-0.11241710000000001</v>
      </c>
      <c r="U6259">
        <v>0.15621949999999901</v>
      </c>
      <c r="V6259">
        <v>-0.1263811</v>
      </c>
      <c r="W6259">
        <v>0.1655906</v>
      </c>
      <c r="X6259">
        <v>0.97806320000000002</v>
      </c>
      <c r="Y6259">
        <v>-0.1150775</v>
      </c>
      <c r="Z6259">
        <v>4.4002900000000003E-3</v>
      </c>
      <c r="AA6259">
        <v>0.99334679999999997</v>
      </c>
      <c r="AB6259">
        <v>30</v>
      </c>
      <c r="AC6259">
        <v>29.9697999999999</v>
      </c>
      <c r="AD6259">
        <v>-1.1109347755700001</v>
      </c>
      <c r="AE6259">
        <v>1.55369</v>
      </c>
      <c r="AF6259">
        <v>-3.4705513420485201</v>
      </c>
      <c r="AG6259">
        <v>-1.1109347755700001</v>
      </c>
      <c r="AH6259">
        <v>29.7673453726605</v>
      </c>
      <c r="AI6259">
        <v>92.122953428561004</v>
      </c>
      <c r="AJ6259">
        <v>96.650046777356195</v>
      </c>
      <c r="AK6259">
        <v>29.989560737506999</v>
      </c>
      <c r="AL6259">
        <v>80.468454919665305</v>
      </c>
      <c r="AM6259">
        <v>97.362716229843301</v>
      </c>
      <c r="AN6259">
        <v>1.0000000262199</v>
      </c>
    </row>
    <row r="6260" spans="1:40" x14ac:dyDescent="0.25">
      <c r="A6260" t="str">
        <f>"20190304155758579"</f>
        <v>20190304155758579</v>
      </c>
      <c r="B6260" t="str">
        <f>"1551686278571113"</f>
        <v>1551686278571113</v>
      </c>
      <c r="C6260" t="s">
        <v>40</v>
      </c>
      <c r="D6260">
        <v>4.9296230000000003</v>
      </c>
      <c r="E6260">
        <v>0.50090500000000004</v>
      </c>
      <c r="F6260" t="s">
        <v>95</v>
      </c>
      <c r="G6260">
        <v>-225.26300000000001</v>
      </c>
      <c r="H6260" s="1">
        <v>-1.596552E-6</v>
      </c>
      <c r="I6260">
        <v>-61.376109999999997</v>
      </c>
      <c r="J6260">
        <v>-255.46960000000001</v>
      </c>
      <c r="K6260">
        <v>1.1109819999999999</v>
      </c>
      <c r="L6260">
        <v>-62.999600000000001</v>
      </c>
      <c r="M6260">
        <v>0.99789260000000002</v>
      </c>
      <c r="N6260">
        <v>-1.28153E-2</v>
      </c>
      <c r="O6260">
        <v>-6.360971E-2</v>
      </c>
      <c r="P6260">
        <v>0.98607420000000001</v>
      </c>
      <c r="Q6260">
        <v>0.1536305</v>
      </c>
      <c r="R6260">
        <v>6.3681689999999999E-2</v>
      </c>
      <c r="S6260">
        <v>3.0490719999999998</v>
      </c>
      <c r="T6260">
        <v>-0.1115881</v>
      </c>
      <c r="U6260">
        <v>0.16217039999999999</v>
      </c>
      <c r="V6260">
        <v>-0.12664059999999999</v>
      </c>
      <c r="W6260">
        <v>0.16590379999999999</v>
      </c>
      <c r="X6260">
        <v>0.97797650000000003</v>
      </c>
      <c r="Y6260">
        <v>-0.1164063</v>
      </c>
      <c r="Z6260">
        <v>4.3854609999999898E-3</v>
      </c>
      <c r="AA6260">
        <v>0.99319199999999996</v>
      </c>
      <c r="AB6260">
        <v>30</v>
      </c>
      <c r="AC6260">
        <v>30.206600000000002</v>
      </c>
      <c r="AD6260">
        <v>-1.1109835965520001</v>
      </c>
      <c r="AE6260">
        <v>1.6234900000000001</v>
      </c>
      <c r="AF6260">
        <v>-3.53702159282305</v>
      </c>
      <c r="AG6260">
        <v>-1.1109835965520001</v>
      </c>
      <c r="AH6260">
        <v>30.0016715877697</v>
      </c>
      <c r="AI6260">
        <v>92.106162112685297</v>
      </c>
      <c r="AJ6260">
        <v>96.723800457403499</v>
      </c>
      <c r="AK6260">
        <v>30.229871060927302</v>
      </c>
      <c r="AL6260">
        <v>80.450257681455</v>
      </c>
      <c r="AM6260">
        <v>97.378314648838796</v>
      </c>
      <c r="AN6260">
        <v>0.99999997348752401</v>
      </c>
    </row>
    <row r="6261" spans="1:40" x14ac:dyDescent="0.25">
      <c r="A6261" t="str">
        <f>"20190304155758592"</f>
        <v>20190304155758592</v>
      </c>
      <c r="B6261" t="str">
        <f>"1551686278580873"</f>
        <v>1551686278580873</v>
      </c>
      <c r="C6261" t="s">
        <v>40</v>
      </c>
      <c r="D6261">
        <v>4.9266319999999997</v>
      </c>
      <c r="E6261">
        <v>0.50065760000000004</v>
      </c>
      <c r="F6261" t="s">
        <v>95</v>
      </c>
      <c r="G6261">
        <v>-224.3657</v>
      </c>
      <c r="H6261" s="1">
        <v>-1.1999060000000001E-6</v>
      </c>
      <c r="I6261">
        <v>-61.323599999999999</v>
      </c>
      <c r="J6261">
        <v>-255.30359999999999</v>
      </c>
      <c r="K6261">
        <v>1.1110359999999999</v>
      </c>
      <c r="L6261">
        <v>-63.009520000000002</v>
      </c>
      <c r="M6261">
        <v>0.9979365</v>
      </c>
      <c r="N6261">
        <v>-1.2855170000000001E-2</v>
      </c>
      <c r="O6261">
        <v>-6.2908749999999999E-2</v>
      </c>
      <c r="P6261">
        <v>0.98593070000000005</v>
      </c>
      <c r="Q6261">
        <v>0.15425449999999999</v>
      </c>
      <c r="R6261">
        <v>6.4390139999999998E-2</v>
      </c>
      <c r="S6261">
        <v>3.048721</v>
      </c>
      <c r="T6261">
        <v>-0.1088953</v>
      </c>
      <c r="U6261">
        <v>0.16427610000000001</v>
      </c>
      <c r="V6261">
        <v>-0.126670899999999</v>
      </c>
      <c r="W6261">
        <v>0.166550799999999</v>
      </c>
      <c r="X6261">
        <v>0.97786260000000003</v>
      </c>
      <c r="Y6261">
        <v>-0.1164046</v>
      </c>
      <c r="Z6261">
        <v>4.262269E-3</v>
      </c>
      <c r="AA6261">
        <v>0.99319270000000004</v>
      </c>
      <c r="AB6261">
        <v>30</v>
      </c>
      <c r="AC6261">
        <v>30.9378999999999</v>
      </c>
      <c r="AD6261">
        <v>-1.111037199906</v>
      </c>
      <c r="AE6261">
        <v>1.6859199999999901</v>
      </c>
      <c r="AF6261">
        <v>-3.6243452082556602</v>
      </c>
      <c r="AG6261">
        <v>-1.111037199906</v>
      </c>
      <c r="AH6261">
        <v>30.7310274924887</v>
      </c>
      <c r="AI6261">
        <v>92.056307601033197</v>
      </c>
      <c r="AJ6261">
        <v>96.726258682952505</v>
      </c>
      <c r="AK6261">
        <v>30.9639521474936</v>
      </c>
      <c r="AL6261">
        <v>80.412664307351605</v>
      </c>
      <c r="AM6261">
        <v>97.380910664253605</v>
      </c>
      <c r="AN6261">
        <v>0.99999997518310402</v>
      </c>
    </row>
    <row r="6262" spans="1:40" x14ac:dyDescent="0.25">
      <c r="A6262" t="str">
        <f>"20190304155758604"</f>
        <v>20190304155758604</v>
      </c>
      <c r="B6262" t="str">
        <f>"1551686278601369"</f>
        <v>1551686278601369</v>
      </c>
      <c r="C6262" t="s">
        <v>40</v>
      </c>
      <c r="D6262">
        <v>5.0475830000000004</v>
      </c>
      <c r="E6262">
        <v>0.50053159999999997</v>
      </c>
      <c r="F6262" t="s">
        <v>95</v>
      </c>
      <c r="G6262">
        <v>-223.7801</v>
      </c>
      <c r="H6262" s="1">
        <v>-9.3542839999999997E-7</v>
      </c>
      <c r="I6262">
        <v>-61.263829999999999</v>
      </c>
      <c r="J6262">
        <v>-255.14240000000001</v>
      </c>
      <c r="K6262">
        <v>1.1110930000000001</v>
      </c>
      <c r="L6262">
        <v>-63.018920000000001</v>
      </c>
      <c r="M6262">
        <v>0.99798209999999998</v>
      </c>
      <c r="N6262">
        <v>-1.289452E-2</v>
      </c>
      <c r="O6262">
        <v>-6.2170990000000002E-2</v>
      </c>
      <c r="P6262">
        <v>0.98578619999999995</v>
      </c>
      <c r="Q6262">
        <v>0.15486559999999999</v>
      </c>
      <c r="R6262">
        <v>6.5132120000000002E-2</v>
      </c>
      <c r="S6262">
        <v>3.0485989999999998</v>
      </c>
      <c r="T6262">
        <v>-0.1074469</v>
      </c>
      <c r="U6262">
        <v>0.16882320000000001</v>
      </c>
      <c r="V6262">
        <v>-0.12670100000000001</v>
      </c>
      <c r="W6262">
        <v>0.16718269999999999</v>
      </c>
      <c r="X6262">
        <v>0.97775089999999998</v>
      </c>
      <c r="Y6262">
        <v>-0.11715200000000001</v>
      </c>
      <c r="Z6262">
        <v>4.2062660000000002E-3</v>
      </c>
      <c r="AA6262">
        <v>0.99310509999999996</v>
      </c>
      <c r="AB6262">
        <v>30</v>
      </c>
      <c r="AC6262">
        <v>31.362300000000001</v>
      </c>
      <c r="AD6262">
        <v>-1.1110939354284</v>
      </c>
      <c r="AE6262">
        <v>1.7550899999999801</v>
      </c>
      <c r="AF6262">
        <v>-3.6970560464935098</v>
      </c>
      <c r="AG6262">
        <v>-1.1110939354284</v>
      </c>
      <c r="AH6262">
        <v>31.153515781430801</v>
      </c>
      <c r="AI6262">
        <v>92.028374250712304</v>
      </c>
      <c r="AJ6262">
        <v>96.767763920545704</v>
      </c>
      <c r="AK6262">
        <v>31.391787121604199</v>
      </c>
      <c r="AL6262">
        <v>80.375944611026995</v>
      </c>
      <c r="AM6262">
        <v>97.383479297622102</v>
      </c>
      <c r="AN6262">
        <v>1.00000001051555</v>
      </c>
    </row>
    <row r="6263" spans="1:40" x14ac:dyDescent="0.25">
      <c r="A6263" t="str">
        <f>"20190304155758615"</f>
        <v>20190304155758615</v>
      </c>
      <c r="B6263" t="str">
        <f>"1551686278611129"</f>
        <v>1551686278611129</v>
      </c>
      <c r="C6263" t="s">
        <v>40</v>
      </c>
      <c r="D6263">
        <v>4.8983449999999999</v>
      </c>
      <c r="E6263">
        <v>0.50076719999999997</v>
      </c>
      <c r="F6263" t="s">
        <v>95</v>
      </c>
      <c r="G6263">
        <v>-223.7517</v>
      </c>
      <c r="H6263" s="1">
        <v>-9.1873200000000002E-7</v>
      </c>
      <c r="I6263">
        <v>-61.243630000000003</v>
      </c>
      <c r="J6263">
        <v>-255.0069</v>
      </c>
      <c r="K6263">
        <v>1.111145</v>
      </c>
      <c r="L6263">
        <v>-63.026730000000001</v>
      </c>
      <c r="M6263">
        <v>0.99802170000000001</v>
      </c>
      <c r="N6263">
        <v>-1.2927299999999999E-2</v>
      </c>
      <c r="O6263">
        <v>-6.1527350000000001E-2</v>
      </c>
      <c r="P6263">
        <v>0.98563270000000003</v>
      </c>
      <c r="Q6263">
        <v>0.1555348</v>
      </c>
      <c r="R6263">
        <v>6.585539E-2</v>
      </c>
      <c r="S6263">
        <v>3.048813</v>
      </c>
      <c r="T6263">
        <v>-0.1079147</v>
      </c>
      <c r="U6263">
        <v>0.1724243</v>
      </c>
      <c r="V6263">
        <v>-0.12680159999999999</v>
      </c>
      <c r="W6263">
        <v>0.16786860000000001</v>
      </c>
      <c r="X6263">
        <v>0.9776203</v>
      </c>
      <c r="Y6263">
        <v>-0.1176758</v>
      </c>
      <c r="Z6263">
        <v>4.2225140000000001E-3</v>
      </c>
      <c r="AA6263">
        <v>0.99304309999999996</v>
      </c>
      <c r="AB6263">
        <v>30</v>
      </c>
      <c r="AC6263">
        <v>31.255199999999999</v>
      </c>
      <c r="AD6263">
        <v>-1.1111459187320001</v>
      </c>
      <c r="AE6263">
        <v>1.7830999999999999</v>
      </c>
      <c r="AF6263">
        <v>-3.69827254208775</v>
      </c>
      <c r="AG6263">
        <v>-1.1111459187320001</v>
      </c>
      <c r="AH6263">
        <v>31.047143517225301</v>
      </c>
      <c r="AI6263">
        <v>92.035306799070497</v>
      </c>
      <c r="AJ6263">
        <v>96.792948720867201</v>
      </c>
      <c r="AK6263">
        <v>31.286370604904899</v>
      </c>
      <c r="AL6263">
        <v>80.336081806811904</v>
      </c>
      <c r="AM6263">
        <v>97.390253201576797</v>
      </c>
      <c r="AN6263">
        <v>0.99999998180030403</v>
      </c>
    </row>
    <row r="6264" spans="1:40" x14ac:dyDescent="0.25">
      <c r="A6264" t="str">
        <f>"20190304155758624"</f>
        <v>20190304155758624</v>
      </c>
      <c r="B6264" t="str">
        <f>"1551686278620889"</f>
        <v>1551686278620889</v>
      </c>
      <c r="C6264" t="s">
        <v>40</v>
      </c>
      <c r="D6264">
        <v>4.8911680000000004</v>
      </c>
      <c r="E6264">
        <v>0.50094189999999905</v>
      </c>
      <c r="F6264" t="s">
        <v>95</v>
      </c>
      <c r="G6264">
        <v>-222.6437</v>
      </c>
      <c r="H6264" s="1">
        <v>-4.3129819999999999E-7</v>
      </c>
      <c r="I6264">
        <v>-61.189239999999998</v>
      </c>
      <c r="J6264">
        <v>-254.86500000000001</v>
      </c>
      <c r="K6264">
        <v>1.1112040000000001</v>
      </c>
      <c r="L6264">
        <v>-63.034790000000001</v>
      </c>
      <c r="M6264">
        <v>0.99806470000000003</v>
      </c>
      <c r="N6264">
        <v>-1.296131E-2</v>
      </c>
      <c r="O6264">
        <v>-6.08205E-2</v>
      </c>
      <c r="P6264">
        <v>0.98547850000000004</v>
      </c>
      <c r="Q6264">
        <v>0.15615509999999999</v>
      </c>
      <c r="R6264">
        <v>6.6694119999999996E-2</v>
      </c>
      <c r="S6264">
        <v>3.0486909999999998</v>
      </c>
      <c r="T6264">
        <v>-0.1046723</v>
      </c>
      <c r="U6264">
        <v>0.17309569999999999</v>
      </c>
      <c r="V6264">
        <v>-0.1269573</v>
      </c>
      <c r="W6264">
        <v>0.16850499999999999</v>
      </c>
      <c r="X6264">
        <v>0.97749059999999999</v>
      </c>
      <c r="Y6264">
        <v>-0.11719980000000001</v>
      </c>
      <c r="Z6264">
        <v>4.0684440000000001E-3</v>
      </c>
      <c r="AA6264">
        <v>0.99309999999999998</v>
      </c>
      <c r="AB6264">
        <v>30</v>
      </c>
      <c r="AC6264">
        <v>32.221299999999999</v>
      </c>
      <c r="AD6264">
        <v>-1.1112044312981999</v>
      </c>
      <c r="AE6264">
        <v>1.84554999999999</v>
      </c>
      <c r="AF6264">
        <v>-3.7975110173595099</v>
      </c>
      <c r="AG6264">
        <v>-1.1112044312981999</v>
      </c>
      <c r="AH6264">
        <v>32.011435024262902</v>
      </c>
      <c r="AI6264">
        <v>91.974262550962607</v>
      </c>
      <c r="AJ6264">
        <v>96.765370242207993</v>
      </c>
      <c r="AK6264">
        <v>32.255043598291898</v>
      </c>
      <c r="AL6264">
        <v>80.299091857375103</v>
      </c>
      <c r="AM6264">
        <v>97.400198113387901</v>
      </c>
      <c r="AN6264">
        <v>0.99999998206832397</v>
      </c>
    </row>
    <row r="6265" spans="1:40" x14ac:dyDescent="0.25">
      <c r="A6265" t="str">
        <f>"20190304155758635"</f>
        <v>20190304155758635</v>
      </c>
      <c r="B6265" t="str">
        <f>"1551686278630649"</f>
        <v>1551686278630649</v>
      </c>
      <c r="C6265" t="s">
        <v>40</v>
      </c>
      <c r="D6265">
        <v>4.9366770000000004</v>
      </c>
      <c r="E6265">
        <v>0.5005695</v>
      </c>
      <c r="F6265" t="s">
        <v>95</v>
      </c>
      <c r="G6265">
        <v>-221.50909999999999</v>
      </c>
      <c r="H6265" s="1">
        <v>6.9822019999999995E-8</v>
      </c>
      <c r="I6265">
        <v>-61.12444</v>
      </c>
      <c r="J6265">
        <v>-254.73509999999999</v>
      </c>
      <c r="K6265">
        <v>1.1112580000000001</v>
      </c>
      <c r="L6265">
        <v>-63.042079999999999</v>
      </c>
      <c r="M6265">
        <v>0.99810529999999997</v>
      </c>
      <c r="N6265">
        <v>-1.299148E-2</v>
      </c>
      <c r="O6265">
        <v>-6.0143469999999997E-2</v>
      </c>
      <c r="P6265">
        <v>0.98522480000000001</v>
      </c>
      <c r="Q6265">
        <v>0.15748679999999901</v>
      </c>
      <c r="R6265">
        <v>6.7306500000000005E-2</v>
      </c>
      <c r="S6265">
        <v>3.0484770000000001</v>
      </c>
      <c r="T6265">
        <v>-0.1015556</v>
      </c>
      <c r="U6265">
        <v>0.1745911</v>
      </c>
      <c r="V6265">
        <v>-0.12691169999999999</v>
      </c>
      <c r="W6265">
        <v>0.1698491</v>
      </c>
      <c r="X6265">
        <v>0.97726389999999996</v>
      </c>
      <c r="Y6265">
        <v>-0.1170221</v>
      </c>
      <c r="Z6265">
        <v>3.9288880000000002E-3</v>
      </c>
      <c r="AA6265">
        <v>0.99312160000000005</v>
      </c>
      <c r="AB6265">
        <v>30</v>
      </c>
      <c r="AC6265">
        <v>33.225999999999999</v>
      </c>
      <c r="AD6265">
        <v>-1.1112579301779799</v>
      </c>
      <c r="AE6265">
        <v>1.91764</v>
      </c>
      <c r="AF6265">
        <v>-3.9083060756641301</v>
      </c>
      <c r="AG6265">
        <v>-1.1112579301779799</v>
      </c>
      <c r="AH6265">
        <v>33.0136925921813</v>
      </c>
      <c r="AI6265">
        <v>91.914518485612703</v>
      </c>
      <c r="AJ6265">
        <v>96.751502833801794</v>
      </c>
      <c r="AK6265">
        <v>33.2627967726633</v>
      </c>
      <c r="AL6265">
        <v>80.220954600542498</v>
      </c>
      <c r="AM6265">
        <v>97.399266617628399</v>
      </c>
      <c r="AN6265">
        <v>1.0000000133054501</v>
      </c>
    </row>
    <row r="6266" spans="1:40" x14ac:dyDescent="0.25">
      <c r="A6266" t="str">
        <f>"20190304155758644"</f>
        <v>20190304155758644</v>
      </c>
      <c r="B6266" t="str">
        <f>"1551686278640995"</f>
        <v>1551686278640995</v>
      </c>
      <c r="C6266" t="s">
        <v>40</v>
      </c>
      <c r="D6266">
        <v>4.8772060000000002</v>
      </c>
      <c r="E6266">
        <v>0.50058840000000004</v>
      </c>
      <c r="F6266" t="s">
        <v>95</v>
      </c>
      <c r="G6266">
        <v>-221.12280000000001</v>
      </c>
      <c r="H6266" s="1">
        <v>2.4918880000000001E-7</v>
      </c>
      <c r="I6266">
        <v>-61.063130000000001</v>
      </c>
      <c r="J6266">
        <v>-254.60079999999999</v>
      </c>
      <c r="K6266">
        <v>1.1113170000000001</v>
      </c>
      <c r="L6266">
        <v>-63.0494699999999</v>
      </c>
      <c r="M6266">
        <v>0.99814860000000005</v>
      </c>
      <c r="N6266">
        <v>-1.3021710000000001E-2</v>
      </c>
      <c r="O6266">
        <v>-5.941432E-2</v>
      </c>
      <c r="P6266">
        <v>0.98500540000000003</v>
      </c>
      <c r="Q6266">
        <v>0.15856439999999999</v>
      </c>
      <c r="R6266">
        <v>6.7984559999999999E-2</v>
      </c>
      <c r="S6266">
        <v>3.0488590000000002</v>
      </c>
      <c r="T6266">
        <v>-0.1007984</v>
      </c>
      <c r="U6266">
        <v>0.17950439999999901</v>
      </c>
      <c r="V6266">
        <v>-0.12688379999999999</v>
      </c>
      <c r="W6266">
        <v>0.1709387</v>
      </c>
      <c r="X6266">
        <v>0.97707750000000004</v>
      </c>
      <c r="Y6266">
        <v>-0.1178855</v>
      </c>
      <c r="Z6266">
        <v>3.9041530000000001E-3</v>
      </c>
      <c r="AA6266">
        <v>0.99301950000000005</v>
      </c>
      <c r="AB6266">
        <v>30</v>
      </c>
      <c r="AC6266">
        <v>33.477999999999902</v>
      </c>
      <c r="AD6266">
        <v>-1.1113167508112001</v>
      </c>
      <c r="AE6266">
        <v>1.98633999999998</v>
      </c>
      <c r="AF6266">
        <v>-3.9677145335627402</v>
      </c>
      <c r="AG6266">
        <v>-1.1113167508112001</v>
      </c>
      <c r="AH6266">
        <v>33.264294440467701</v>
      </c>
      <c r="AI6266">
        <v>91.900007350401594</v>
      </c>
      <c r="AJ6266">
        <v>96.802016828540005</v>
      </c>
      <c r="AK6266">
        <v>33.518518287099297</v>
      </c>
      <c r="AL6266">
        <v>80.157598362974895</v>
      </c>
      <c r="AM6266">
        <v>97.399053634890393</v>
      </c>
      <c r="AN6266">
        <v>0.99999998943318902</v>
      </c>
    </row>
    <row r="6267" spans="1:40" x14ac:dyDescent="0.25">
      <c r="A6267" t="str">
        <f>"20190304155758657"</f>
        <v>20190304155758657</v>
      </c>
      <c r="B6267" t="str">
        <f>"1551686278650755"</f>
        <v>1551686278650755</v>
      </c>
      <c r="C6267" t="s">
        <v>40</v>
      </c>
      <c r="D6267">
        <v>4.854533</v>
      </c>
      <c r="E6267">
        <v>0.5006678</v>
      </c>
      <c r="F6267" t="s">
        <v>95</v>
      </c>
      <c r="G6267">
        <v>-220.2979</v>
      </c>
      <c r="H6267" s="1">
        <v>6.155564E-7</v>
      </c>
      <c r="I6267">
        <v>-61.006979999999999</v>
      </c>
      <c r="J6267">
        <v>-254.44390000000001</v>
      </c>
      <c r="K6267">
        <v>1.111386</v>
      </c>
      <c r="L6267">
        <v>-63.05789</v>
      </c>
      <c r="M6267">
        <v>0.9982008</v>
      </c>
      <c r="N6267">
        <v>-1.3056989999999999E-2</v>
      </c>
      <c r="O6267">
        <v>-5.8519750000000002E-2</v>
      </c>
      <c r="P6267">
        <v>0.98477360000000003</v>
      </c>
      <c r="Q6267">
        <v>0.15959899999999999</v>
      </c>
      <c r="R6267">
        <v>6.891274E-2</v>
      </c>
      <c r="S6267">
        <v>3.0490569999999999</v>
      </c>
      <c r="T6267">
        <v>-9.878075E-2</v>
      </c>
      <c r="U6267">
        <v>0.18154909999999999</v>
      </c>
      <c r="V6267">
        <v>-0.126946</v>
      </c>
      <c r="W6267">
        <v>0.17198769999999999</v>
      </c>
      <c r="X6267">
        <v>0.97688529999999996</v>
      </c>
      <c r="Y6267">
        <v>-0.1176595</v>
      </c>
      <c r="Z6267">
        <v>3.8032539999999998E-3</v>
      </c>
      <c r="AA6267">
        <v>0.99304669999999895</v>
      </c>
      <c r="AB6267">
        <v>30</v>
      </c>
      <c r="AC6267">
        <v>34.146000000000001</v>
      </c>
      <c r="AD6267">
        <v>-1.1113853844435999</v>
      </c>
      <c r="AE6267">
        <v>2.0509099999999898</v>
      </c>
      <c r="AF6267">
        <v>-4.0415144206660596</v>
      </c>
      <c r="AG6267">
        <v>-1.1113853844435999</v>
      </c>
      <c r="AH6267">
        <v>33.931626250590199</v>
      </c>
      <c r="AI6267">
        <v>91.862818915092305</v>
      </c>
      <c r="AJ6267">
        <v>96.792362937875595</v>
      </c>
      <c r="AK6267">
        <v>34.189534601906303</v>
      </c>
      <c r="AL6267">
        <v>80.096591440255395</v>
      </c>
      <c r="AM6267">
        <v>97.404080816132407</v>
      </c>
      <c r="AN6267">
        <v>0.99999997261168905</v>
      </c>
    </row>
    <row r="6268" spans="1:40" x14ac:dyDescent="0.25">
      <c r="A6268" t="str">
        <f>"20190304155758667"</f>
        <v>20190304155758667</v>
      </c>
      <c r="B6268" t="str">
        <f>"1551686278660515"</f>
        <v>1551686278660515</v>
      </c>
      <c r="C6268" t="s">
        <v>40</v>
      </c>
      <c r="D6268">
        <v>4.9264720000000004</v>
      </c>
      <c r="E6268">
        <v>0.50065059999999995</v>
      </c>
      <c r="F6268" t="s">
        <v>97</v>
      </c>
      <c r="G6268">
        <v>-219.6251</v>
      </c>
      <c r="H6268" s="1">
        <v>-3.236773E-6</v>
      </c>
      <c r="I6268">
        <v>-60.95655</v>
      </c>
      <c r="J6268">
        <v>-254.29900000000001</v>
      </c>
      <c r="K6268">
        <v>1.11144</v>
      </c>
      <c r="L6268">
        <v>-63.065579999999997</v>
      </c>
      <c r="M6268">
        <v>0.99825010000000003</v>
      </c>
      <c r="N6268">
        <v>-1.308951E-2</v>
      </c>
      <c r="O6268">
        <v>-5.7666700000000001E-2</v>
      </c>
      <c r="P6268">
        <v>0.98448610000000003</v>
      </c>
      <c r="Q6268">
        <v>0.16107199999999999</v>
      </c>
      <c r="R6268">
        <v>6.9590719999999995E-2</v>
      </c>
      <c r="S6268">
        <v>3.0492710000000001</v>
      </c>
      <c r="T6268">
        <v>-9.733021E-2</v>
      </c>
      <c r="U6268">
        <v>0.18402099999999999</v>
      </c>
      <c r="V6268">
        <v>-0.1267974</v>
      </c>
      <c r="W6268">
        <v>0.17347279999999901</v>
      </c>
      <c r="X6268">
        <v>0.97664200000000001</v>
      </c>
      <c r="Y6268">
        <v>-0.1176118</v>
      </c>
      <c r="Z6268">
        <v>3.7301220000000002E-3</v>
      </c>
      <c r="AA6268">
        <v>0.99305270000000001</v>
      </c>
      <c r="AB6268">
        <v>30</v>
      </c>
      <c r="AC6268">
        <v>34.673900000000003</v>
      </c>
      <c r="AD6268">
        <v>-1.1114432367730001</v>
      </c>
      <c r="AE6268">
        <v>2.1090300000000002</v>
      </c>
      <c r="AF6268">
        <v>-4.1010222572166901</v>
      </c>
      <c r="AG6268">
        <v>-1.1114432367730001</v>
      </c>
      <c r="AH6268">
        <v>34.459282371706301</v>
      </c>
      <c r="AI6268">
        <v>91.834430504757805</v>
      </c>
      <c r="AJ6268">
        <v>96.786887082904599</v>
      </c>
      <c r="AK6268">
        <v>34.7202510243769</v>
      </c>
      <c r="AL6268">
        <v>80.010203198018303</v>
      </c>
      <c r="AM6268">
        <v>97.397331732558101</v>
      </c>
      <c r="AN6268">
        <v>0.99999999457529998</v>
      </c>
    </row>
    <row r="6269" spans="1:40" x14ac:dyDescent="0.25">
      <c r="A6269" t="str">
        <f>"20190304155758679"</f>
        <v>20190304155758679</v>
      </c>
      <c r="B6269" t="str">
        <f>"1551686278671251"</f>
        <v>1551686278671251</v>
      </c>
      <c r="C6269" t="s">
        <v>40</v>
      </c>
      <c r="D6269">
        <v>4.9077580000000003</v>
      </c>
      <c r="E6269">
        <v>0.5007876</v>
      </c>
      <c r="F6269" t="s">
        <v>97</v>
      </c>
      <c r="G6269">
        <v>-217.75229999999999</v>
      </c>
      <c r="H6269" s="1">
        <v>-2.4136000000000001E-6</v>
      </c>
      <c r="I6269">
        <v>-60.83034</v>
      </c>
      <c r="J6269">
        <v>-254.15899999999999</v>
      </c>
      <c r="K6269">
        <v>1.1115010000000001</v>
      </c>
      <c r="L6269">
        <v>-63.072780000000002</v>
      </c>
      <c r="M6269">
        <v>0.99829990000000002</v>
      </c>
      <c r="N6269">
        <v>-1.312051E-2</v>
      </c>
      <c r="O6269">
        <v>-5.6791380000000002E-2</v>
      </c>
      <c r="P6269">
        <v>0.98422619999999905</v>
      </c>
      <c r="Q6269">
        <v>0.16241810000000001</v>
      </c>
      <c r="R6269">
        <v>7.0138240000000004E-2</v>
      </c>
      <c r="S6269">
        <v>3.0492710000000001</v>
      </c>
      <c r="T6269">
        <v>-9.2733140000000006E-2</v>
      </c>
      <c r="U6269">
        <v>0.18649289999999999</v>
      </c>
      <c r="V6269">
        <v>-0.12649779999999999</v>
      </c>
      <c r="W6269">
        <v>0.17483219999999999</v>
      </c>
      <c r="X6269">
        <v>0.97643849999999999</v>
      </c>
      <c r="Y6269">
        <v>-0.1175515</v>
      </c>
      <c r="Z6269">
        <v>3.538369E-3</v>
      </c>
      <c r="AA6269">
        <v>0.99306050000000001</v>
      </c>
      <c r="AB6269">
        <v>30</v>
      </c>
      <c r="AC6269">
        <v>36.406700000000001</v>
      </c>
      <c r="AD6269">
        <v>-1.1115034135999999</v>
      </c>
      <c r="AE6269">
        <v>2.2424400000000002</v>
      </c>
      <c r="AF6269">
        <v>-4.3025895956039202</v>
      </c>
      <c r="AG6269">
        <v>-1.1115034135999999</v>
      </c>
      <c r="AH6269">
        <v>36.1869675775404</v>
      </c>
      <c r="AI6269">
        <v>91.747021785809395</v>
      </c>
      <c r="AJ6269">
        <v>96.780570899112405</v>
      </c>
      <c r="AK6269">
        <v>36.458803319974798</v>
      </c>
      <c r="AL6269">
        <v>79.931107355201306</v>
      </c>
      <c r="AM6269">
        <v>97.381567162596994</v>
      </c>
      <c r="AN6269">
        <v>1.0000000679219601</v>
      </c>
    </row>
    <row r="6270" spans="1:40" x14ac:dyDescent="0.25">
      <c r="A6270" t="str">
        <f>"20190304155758688"</f>
        <v>20190304155758688</v>
      </c>
      <c r="B6270" t="str">
        <f>"1551686278681011"</f>
        <v>1551686278681011</v>
      </c>
      <c r="C6270" t="s">
        <v>40</v>
      </c>
      <c r="D6270">
        <v>4.9330829999999999</v>
      </c>
      <c r="E6270">
        <v>0.50089879999999998</v>
      </c>
      <c r="F6270" t="s">
        <v>97</v>
      </c>
      <c r="G6270">
        <v>-215.55189999999999</v>
      </c>
      <c r="H6270" s="1">
        <v>-1.43483E-6</v>
      </c>
      <c r="I6270">
        <v>-60.6995</v>
      </c>
      <c r="J6270">
        <v>-254.01150000000001</v>
      </c>
      <c r="K6270">
        <v>1.1115630000000001</v>
      </c>
      <c r="L6270">
        <v>-63.080350000000003</v>
      </c>
      <c r="M6270">
        <v>0.99835220000000002</v>
      </c>
      <c r="N6270">
        <v>-1.315297E-2</v>
      </c>
      <c r="O6270">
        <v>-5.5856919999999997E-2</v>
      </c>
      <c r="P6270">
        <v>0.9839483</v>
      </c>
      <c r="Q6270">
        <v>0.16389889999999999</v>
      </c>
      <c r="R6270">
        <v>7.0588890000000001E-2</v>
      </c>
      <c r="S6270">
        <v>3.04921</v>
      </c>
      <c r="T6270">
        <v>-8.7787149999999994E-2</v>
      </c>
      <c r="U6270">
        <v>0.18743899999999999</v>
      </c>
      <c r="V6270">
        <v>-0.12604460000000001</v>
      </c>
      <c r="W6270">
        <v>0.17632679999999901</v>
      </c>
      <c r="X6270">
        <v>0.97622819999999999</v>
      </c>
      <c r="Y6270">
        <v>-0.116939</v>
      </c>
      <c r="Z6270">
        <v>3.3238769999999998E-3</v>
      </c>
      <c r="AA6270">
        <v>0.9931335</v>
      </c>
      <c r="AB6270">
        <v>30</v>
      </c>
      <c r="AC6270">
        <v>38.459600000000002</v>
      </c>
      <c r="AD6270">
        <v>-1.11156443482999</v>
      </c>
      <c r="AE6270">
        <v>2.3808500000000001</v>
      </c>
      <c r="AF6270">
        <v>-4.5217900808353297</v>
      </c>
      <c r="AG6270">
        <v>-1.11156443482999</v>
      </c>
      <c r="AH6270">
        <v>38.234730592408901</v>
      </c>
      <c r="AI6270">
        <v>91.653722220575702</v>
      </c>
      <c r="AJ6270">
        <v>96.744696764480395</v>
      </c>
      <c r="AK6270">
        <v>38.517227113358103</v>
      </c>
      <c r="AL6270">
        <v>79.844120468848104</v>
      </c>
      <c r="AM6270">
        <v>97.356978701854302</v>
      </c>
      <c r="AN6270">
        <v>0.99999994003131798</v>
      </c>
    </row>
    <row r="6271" spans="1:40" x14ac:dyDescent="0.25">
      <c r="A6271" t="str">
        <f>"20190304155758701"</f>
        <v>20190304155758701</v>
      </c>
      <c r="B6271" t="str">
        <f>"1551686278690772"</f>
        <v>1551686278690772</v>
      </c>
      <c r="C6271" t="s">
        <v>40</v>
      </c>
      <c r="D6271">
        <v>4.9558809999999998</v>
      </c>
      <c r="E6271">
        <v>0.50101209999999996</v>
      </c>
      <c r="F6271" t="s">
        <v>97</v>
      </c>
      <c r="G6271">
        <v>-213.09639999999999</v>
      </c>
      <c r="H6271" s="1">
        <v>-3.4240510000000002E-7</v>
      </c>
      <c r="I6271">
        <v>-60.552909999999997</v>
      </c>
      <c r="J6271">
        <v>-253.8663</v>
      </c>
      <c r="K6271">
        <v>1.111631</v>
      </c>
      <c r="L6271">
        <v>-63.087429999999998</v>
      </c>
      <c r="M6271">
        <v>0.99840629999999997</v>
      </c>
      <c r="N6271">
        <v>-1.318301E-2</v>
      </c>
      <c r="O6271">
        <v>-5.4876340000000003E-2</v>
      </c>
      <c r="P6271">
        <v>0.98369930000000005</v>
      </c>
      <c r="Q6271">
        <v>0.16520760000000001</v>
      </c>
      <c r="R6271">
        <v>7.1010039999999996E-2</v>
      </c>
      <c r="S6271">
        <v>3.04921</v>
      </c>
      <c r="T6271">
        <v>-8.2839609999999994E-2</v>
      </c>
      <c r="U6271">
        <v>0.18835450000000001</v>
      </c>
      <c r="V6271">
        <v>-0.12551760000000001</v>
      </c>
      <c r="W6271">
        <v>0.17764839999999901</v>
      </c>
      <c r="X6271">
        <v>0.97605660000000005</v>
      </c>
      <c r="Y6271">
        <v>-0.116268899999999</v>
      </c>
      <c r="Z6271">
        <v>3.1114939999999998E-3</v>
      </c>
      <c r="AA6271">
        <v>0.99321289999999995</v>
      </c>
      <c r="AB6271">
        <v>30</v>
      </c>
      <c r="AC6271">
        <v>40.7699</v>
      </c>
      <c r="AD6271">
        <v>-1.1116313424051001</v>
      </c>
      <c r="AE6271">
        <v>2.5345200000000001</v>
      </c>
      <c r="AF6271">
        <v>-4.7646685846859196</v>
      </c>
      <c r="AG6271">
        <v>-1.1116313424051001</v>
      </c>
      <c r="AH6271">
        <v>40.539336022614201</v>
      </c>
      <c r="AI6271">
        <v>91.559984772131102</v>
      </c>
      <c r="AJ6271">
        <v>96.703333418886601</v>
      </c>
      <c r="AK6271">
        <v>40.833510210582403</v>
      </c>
      <c r="AL6271">
        <v>79.767184942700794</v>
      </c>
      <c r="AM6271">
        <v>97.327827719420299</v>
      </c>
      <c r="AN6271">
        <v>1.0000000541679299</v>
      </c>
    </row>
    <row r="6272" spans="1:40" x14ac:dyDescent="0.25">
      <c r="A6272" t="str">
        <f>"20190304155758713"</f>
        <v>20190304155758713</v>
      </c>
      <c r="B6272" t="str">
        <f>"1551686278711267"</f>
        <v>1551686278711267</v>
      </c>
      <c r="C6272" t="s">
        <v>40</v>
      </c>
      <c r="D6272">
        <v>4.9512519999999904</v>
      </c>
      <c r="E6272">
        <v>0.5011139</v>
      </c>
      <c r="F6272" t="s">
        <v>97</v>
      </c>
      <c r="G6272">
        <v>-210.62960000000001</v>
      </c>
      <c r="H6272" s="1">
        <v>7.5592299999999898E-7</v>
      </c>
      <c r="I6272">
        <v>-60.40231</v>
      </c>
      <c r="J6272">
        <v>-253.70949999999999</v>
      </c>
      <c r="K6272">
        <v>1.1116980000000001</v>
      </c>
      <c r="L6272">
        <v>-63.095059999999997</v>
      </c>
      <c r="M6272">
        <v>0.99846420000000002</v>
      </c>
      <c r="N6272">
        <v>-1.321461E-2</v>
      </c>
      <c r="O6272">
        <v>-5.380265E-2</v>
      </c>
      <c r="P6272">
        <v>0.98347720000000005</v>
      </c>
      <c r="Q6272">
        <v>0.1663541</v>
      </c>
      <c r="R6272">
        <v>7.1408200000000005E-2</v>
      </c>
      <c r="S6272">
        <v>3.0492249999999999</v>
      </c>
      <c r="T6272">
        <v>-7.8396560000000004E-2</v>
      </c>
      <c r="U6272">
        <v>0.18936159999999999</v>
      </c>
      <c r="V6272">
        <v>-0.1248798</v>
      </c>
      <c r="W6272">
        <v>0.1788092</v>
      </c>
      <c r="X6272">
        <v>0.97592639999999997</v>
      </c>
      <c r="Y6272">
        <v>-0.1155344</v>
      </c>
      <c r="Z6272">
        <v>2.9194379999999999E-3</v>
      </c>
      <c r="AA6272">
        <v>0.99329920000000005</v>
      </c>
      <c r="AB6272">
        <v>30</v>
      </c>
      <c r="AC6272">
        <v>43.079899999999903</v>
      </c>
      <c r="AD6272">
        <v>-1.1116972440770001</v>
      </c>
      <c r="AE6272">
        <v>2.69274999999999</v>
      </c>
      <c r="AF6272">
        <v>-5.0035451587937896</v>
      </c>
      <c r="AG6272">
        <v>-1.1116972440770001</v>
      </c>
      <c r="AH6272">
        <v>42.844182079854498</v>
      </c>
      <c r="AI6272">
        <v>91.476316908288794</v>
      </c>
      <c r="AJ6272">
        <v>96.661097228085296</v>
      </c>
      <c r="AK6272">
        <v>43.149684506497898</v>
      </c>
      <c r="AL6272">
        <v>79.699593410565598</v>
      </c>
      <c r="AM6272">
        <v>97.291956304690203</v>
      </c>
      <c r="AN6272">
        <v>1.0000000163348099</v>
      </c>
    </row>
    <row r="6273" spans="1:40" x14ac:dyDescent="0.25">
      <c r="A6273" t="str">
        <f>"20190304155758723"</f>
        <v>20190304155758723</v>
      </c>
      <c r="B6273" t="str">
        <f>"1551686278721027"</f>
        <v>1551686278721027</v>
      </c>
      <c r="C6273" t="s">
        <v>40</v>
      </c>
      <c r="D6273">
        <v>4.8961220000000001</v>
      </c>
      <c r="E6273">
        <v>0.50109789999999998</v>
      </c>
      <c r="F6273" t="s">
        <v>84</v>
      </c>
      <c r="G6273">
        <v>-209.10140000000001</v>
      </c>
      <c r="H6273" s="1">
        <v>-5.6176960000000001E-7</v>
      </c>
      <c r="I6273">
        <v>-60.312089999999998</v>
      </c>
      <c r="J6273">
        <v>-253.56</v>
      </c>
      <c r="K6273">
        <v>1.1117570000000001</v>
      </c>
      <c r="L6273">
        <v>-63.102020000000003</v>
      </c>
      <c r="M6273">
        <v>0.99852070000000004</v>
      </c>
      <c r="N6273">
        <v>-1.324257E-2</v>
      </c>
      <c r="O6273">
        <v>-5.273543E-2</v>
      </c>
      <c r="P6273">
        <v>0.98313390000000001</v>
      </c>
      <c r="Q6273">
        <v>0.1681762</v>
      </c>
      <c r="R6273">
        <v>7.1864109999999995E-2</v>
      </c>
      <c r="S6273">
        <v>3.0494379999999999</v>
      </c>
      <c r="T6273">
        <v>-7.5996519999999998E-2</v>
      </c>
      <c r="U6273">
        <v>0.19024659999999999</v>
      </c>
      <c r="V6273">
        <v>-0.1242999</v>
      </c>
      <c r="W6273">
        <v>0.18064279999999999</v>
      </c>
      <c r="X6273">
        <v>0.97566269999999999</v>
      </c>
      <c r="Y6273">
        <v>-0.1147594</v>
      </c>
      <c r="Z6273">
        <v>2.8044210000000001E-3</v>
      </c>
      <c r="AA6273">
        <v>0.99338939999999998</v>
      </c>
      <c r="AB6273">
        <v>30</v>
      </c>
      <c r="AC6273">
        <v>44.458599999999898</v>
      </c>
      <c r="AD6273">
        <v>-1.1117575617695901</v>
      </c>
      <c r="AE6273">
        <v>2.7899299999999898</v>
      </c>
      <c r="AF6273">
        <v>-5.1276023382345803</v>
      </c>
      <c r="AG6273">
        <v>-1.1117575617695901</v>
      </c>
      <c r="AH6273">
        <v>44.222039930230203</v>
      </c>
      <c r="AI6273">
        <v>91.430552054926494</v>
      </c>
      <c r="AJ6273">
        <v>96.613983756159897</v>
      </c>
      <c r="AK6273">
        <v>44.532203248953401</v>
      </c>
      <c r="AL6273">
        <v>79.592796633110495</v>
      </c>
      <c r="AM6273">
        <v>97.260397726515507</v>
      </c>
      <c r="AN6273">
        <v>0.99999999525157002</v>
      </c>
    </row>
    <row r="6274" spans="1:40" x14ac:dyDescent="0.25">
      <c r="A6274" t="str">
        <f>"20190304155758734"</f>
        <v>20190304155758734</v>
      </c>
      <c r="B6274" t="str">
        <f>"1551686278730787"</f>
        <v>1551686278730787</v>
      </c>
      <c r="C6274" t="s">
        <v>40</v>
      </c>
      <c r="D6274">
        <v>4.9375169999999997</v>
      </c>
      <c r="E6274">
        <v>0.5011466</v>
      </c>
      <c r="F6274" t="s">
        <v>84</v>
      </c>
      <c r="G6274">
        <v>-206.21719999999999</v>
      </c>
      <c r="H6274" s="1">
        <v>-2.4464719999999999E-6</v>
      </c>
      <c r="I6274">
        <v>-60.1188</v>
      </c>
      <c r="J6274">
        <v>-253.42150000000001</v>
      </c>
      <c r="K6274">
        <v>1.1118079999999999</v>
      </c>
      <c r="L6274">
        <v>-63.108370000000001</v>
      </c>
      <c r="M6274">
        <v>0.99857320000000005</v>
      </c>
      <c r="N6274">
        <v>-1.3267330000000001E-2</v>
      </c>
      <c r="O6274">
        <v>-5.1726929999999997E-2</v>
      </c>
      <c r="P6274">
        <v>0.98284070000000001</v>
      </c>
      <c r="Q6274">
        <v>0.16962060000000001</v>
      </c>
      <c r="R6274">
        <v>7.2479290000000002E-2</v>
      </c>
      <c r="S6274">
        <v>3.0496669999999999</v>
      </c>
      <c r="T6274">
        <v>-7.1615929999999994E-2</v>
      </c>
      <c r="U6274">
        <v>0.19216920000000001</v>
      </c>
      <c r="V6274">
        <v>-0.1239368</v>
      </c>
      <c r="W6274">
        <v>0.18209649999999999</v>
      </c>
      <c r="X6274">
        <v>0.97543869999999999</v>
      </c>
      <c r="Y6274">
        <v>-0.11438139999999899</v>
      </c>
      <c r="Z6274">
        <v>2.629115E-3</v>
      </c>
      <c r="AA6274">
        <v>0.99343340000000002</v>
      </c>
      <c r="AB6274">
        <v>30</v>
      </c>
      <c r="AC6274">
        <v>47.204300000000003</v>
      </c>
      <c r="AD6274">
        <v>-1.111810446472</v>
      </c>
      <c r="AE6274">
        <v>2.9895699999999898</v>
      </c>
      <c r="AF6274">
        <v>-5.4245181074692104</v>
      </c>
      <c r="AG6274">
        <v>-1.111810446472</v>
      </c>
      <c r="AH6274">
        <v>46.960492684102697</v>
      </c>
      <c r="AI6274">
        <v>91.347294143316205</v>
      </c>
      <c r="AJ6274">
        <v>96.589168540377401</v>
      </c>
      <c r="AK6274">
        <v>47.285826547717399</v>
      </c>
      <c r="AL6274">
        <v>79.508101777100094</v>
      </c>
      <c r="AM6274">
        <v>97.241059087367901</v>
      </c>
      <c r="AN6274">
        <v>1.0000000615820801</v>
      </c>
    </row>
    <row r="6275" spans="1:40" x14ac:dyDescent="0.25">
      <c r="A6275" t="str">
        <f>"20190304155758746"</f>
        <v>20190304155758746</v>
      </c>
      <c r="B6275" t="str">
        <f>"1551686278740547"</f>
        <v>1551686278740547</v>
      </c>
      <c r="C6275" t="s">
        <v>40</v>
      </c>
      <c r="D6275">
        <v>4.9215960000000001</v>
      </c>
      <c r="E6275">
        <v>0.5010753</v>
      </c>
      <c r="F6275" t="s">
        <v>84</v>
      </c>
      <c r="G6275">
        <v>-203.4315</v>
      </c>
      <c r="H6275" s="1">
        <v>-4.0543040000000004E-6</v>
      </c>
      <c r="I6275">
        <v>-59.932429999999997</v>
      </c>
      <c r="J6275">
        <v>-253.2681</v>
      </c>
      <c r="K6275">
        <v>1.111861</v>
      </c>
      <c r="L6275">
        <v>-63.1151699999999</v>
      </c>
      <c r="M6275">
        <v>0.99863139999999995</v>
      </c>
      <c r="N6275">
        <v>-1.329322E-2</v>
      </c>
      <c r="O6275">
        <v>-5.058265E-2</v>
      </c>
      <c r="P6275">
        <v>0.98246520000000004</v>
      </c>
      <c r="Q6275">
        <v>0.171431</v>
      </c>
      <c r="R6275">
        <v>7.3304240000000007E-2</v>
      </c>
      <c r="S6275">
        <v>3.0497740000000002</v>
      </c>
      <c r="T6275">
        <v>-6.7829009999999995E-2</v>
      </c>
      <c r="U6275">
        <v>0.19375609999999999</v>
      </c>
      <c r="V6275">
        <v>-0.123649</v>
      </c>
      <c r="W6275">
        <v>0.18391579999999999</v>
      </c>
      <c r="X6275">
        <v>0.97513380000000005</v>
      </c>
      <c r="Y6275">
        <v>-0.1137608</v>
      </c>
      <c r="Z6275">
        <v>2.472836E-3</v>
      </c>
      <c r="AA6275">
        <v>0.99350510000000003</v>
      </c>
      <c r="AB6275">
        <v>30</v>
      </c>
      <c r="AC6275">
        <v>49.836599999999997</v>
      </c>
      <c r="AD6275">
        <v>-1.1118650543040001</v>
      </c>
      <c r="AE6275">
        <v>3.1827399999999799</v>
      </c>
      <c r="AF6275">
        <v>-5.6969309530731698</v>
      </c>
      <c r="AG6275">
        <v>-1.1118650543040001</v>
      </c>
      <c r="AH6275">
        <v>49.587204606402501</v>
      </c>
      <c r="AI6275">
        <v>91.276103443977505</v>
      </c>
      <c r="AJ6275">
        <v>96.553812990831503</v>
      </c>
      <c r="AK6275">
        <v>49.925766161975801</v>
      </c>
      <c r="AL6275">
        <v>79.402072387315997</v>
      </c>
      <c r="AM6275">
        <v>97.2266571316175</v>
      </c>
      <c r="AN6275">
        <v>1.00000001229654</v>
      </c>
    </row>
    <row r="6276" spans="1:40" x14ac:dyDescent="0.25">
      <c r="A6276" t="str">
        <f>"20190304155758758"</f>
        <v>20190304155758758</v>
      </c>
      <c r="B6276" t="str">
        <f>"1551686278751284"</f>
        <v>1551686278751284</v>
      </c>
      <c r="C6276" t="s">
        <v>40</v>
      </c>
      <c r="D6276">
        <v>4.954275</v>
      </c>
      <c r="E6276">
        <v>0.50103509999999996</v>
      </c>
      <c r="F6276" t="s">
        <v>84</v>
      </c>
      <c r="G6276">
        <v>-200.3938</v>
      </c>
      <c r="H6276" s="1">
        <v>-5.6512539999999996E-6</v>
      </c>
      <c r="I6276">
        <v>-59.710839999999997</v>
      </c>
      <c r="J6276">
        <v>-253.12190000000001</v>
      </c>
      <c r="K6276">
        <v>1.11191</v>
      </c>
      <c r="L6276">
        <v>-63.121490000000001</v>
      </c>
      <c r="M6276">
        <v>0.99868710000000005</v>
      </c>
      <c r="N6276">
        <v>-1.331624E-2</v>
      </c>
      <c r="O6276">
        <v>-4.9467280000000002E-2</v>
      </c>
      <c r="P6276">
        <v>0.98201039999999995</v>
      </c>
      <c r="Q6276">
        <v>0.17350779999999999</v>
      </c>
      <c r="R6276">
        <v>7.4503899999999998E-2</v>
      </c>
      <c r="S6276">
        <v>3.0500790000000002</v>
      </c>
      <c r="T6276">
        <v>-6.4138529999999999E-2</v>
      </c>
      <c r="U6276">
        <v>0.19638059999999999</v>
      </c>
      <c r="V6276">
        <v>-0.1237587</v>
      </c>
      <c r="W6276">
        <v>0.18599740000000001</v>
      </c>
      <c r="X6276">
        <v>0.97472490000000001</v>
      </c>
      <c r="Y6276">
        <v>-0.1135008</v>
      </c>
      <c r="Z6276">
        <v>2.3298099999999999E-3</v>
      </c>
      <c r="AA6276">
        <v>0.99353519999999895</v>
      </c>
      <c r="AB6276">
        <v>30</v>
      </c>
      <c r="AC6276">
        <v>52.728099999999998</v>
      </c>
      <c r="AD6276">
        <v>-1.111915651254</v>
      </c>
      <c r="AE6276">
        <v>3.4106499999999902</v>
      </c>
      <c r="AF6276">
        <v>-6.0123578827244497</v>
      </c>
      <c r="AG6276">
        <v>-1.111915651254</v>
      </c>
      <c r="AH6276">
        <v>52.471568915402699</v>
      </c>
      <c r="AI6276">
        <v>91.206073669582807</v>
      </c>
      <c r="AJ6276">
        <v>96.536623529618197</v>
      </c>
      <c r="AK6276">
        <v>52.826606441918202</v>
      </c>
      <c r="AL6276">
        <v>79.280710806245693</v>
      </c>
      <c r="AM6276">
        <v>97.236002781033307</v>
      </c>
      <c r="AN6276">
        <v>0.99999993965622802</v>
      </c>
    </row>
    <row r="6277" spans="1:40" x14ac:dyDescent="0.25">
      <c r="A6277" t="str">
        <f>"20190304155758768"</f>
        <v>20190304155758768</v>
      </c>
      <c r="B6277" t="str">
        <f>"1551686278761043"</f>
        <v>1551686278761043</v>
      </c>
      <c r="C6277" t="s">
        <v>40</v>
      </c>
      <c r="D6277">
        <v>4.9487750000000004</v>
      </c>
      <c r="E6277">
        <v>0.50110909999999997</v>
      </c>
      <c r="F6277" t="s">
        <v>84</v>
      </c>
      <c r="G6277">
        <v>-194.82480000000001</v>
      </c>
      <c r="H6277" s="1">
        <v>-7.0896050000000002E-6</v>
      </c>
      <c r="I6277">
        <v>-59.300919999999998</v>
      </c>
      <c r="J6277">
        <v>-252.96850000000001</v>
      </c>
      <c r="K6277">
        <v>1.11196299999999</v>
      </c>
      <c r="L6277">
        <v>-63.127960000000002</v>
      </c>
      <c r="M6277">
        <v>0.99874470000000004</v>
      </c>
      <c r="N6277">
        <v>-1.333953E-2</v>
      </c>
      <c r="O6277">
        <v>-4.8282190000000003E-2</v>
      </c>
      <c r="P6277">
        <v>0.98138329999999996</v>
      </c>
      <c r="Q6277">
        <v>0.17659659999999999</v>
      </c>
      <c r="R6277">
        <v>7.5503280000000006E-2</v>
      </c>
      <c r="S6277">
        <v>3.0500790000000002</v>
      </c>
      <c r="T6277">
        <v>-5.8174969999999999E-2</v>
      </c>
      <c r="U6277">
        <v>0.19989009999999999</v>
      </c>
      <c r="V6277">
        <v>-0.1235975</v>
      </c>
      <c r="W6277">
        <v>0.18909100000000001</v>
      </c>
      <c r="X6277">
        <v>0.97414999999999996</v>
      </c>
      <c r="Y6277">
        <v>-0.11346680000000001</v>
      </c>
      <c r="Z6277">
        <v>2.1152010000000001E-3</v>
      </c>
      <c r="AA6277">
        <v>0.99353950000000002</v>
      </c>
      <c r="AB6277">
        <v>30</v>
      </c>
      <c r="AC6277">
        <v>58.143700000000003</v>
      </c>
      <c r="AD6277">
        <v>-1.11197008960499</v>
      </c>
      <c r="AE6277">
        <v>3.82703999999999</v>
      </c>
      <c r="AF6277">
        <v>-6.6277171006936797</v>
      </c>
      <c r="AG6277">
        <v>-1.11197008960499</v>
      </c>
      <c r="AH6277">
        <v>57.870008174619699</v>
      </c>
      <c r="AI6277">
        <v>91.093653462725399</v>
      </c>
      <c r="AJ6277">
        <v>96.533485589143993</v>
      </c>
      <c r="AK6277">
        <v>58.258913117029202</v>
      </c>
      <c r="AL6277">
        <v>79.100259080354306</v>
      </c>
      <c r="AM6277">
        <v>97.230897079094404</v>
      </c>
      <c r="AN6277">
        <v>0.999999985393624</v>
      </c>
    </row>
    <row r="6278" spans="1:40" x14ac:dyDescent="0.25">
      <c r="A6278" t="str">
        <f>"20190304155758781"</f>
        <v>20190304155758781</v>
      </c>
      <c r="B6278" t="str">
        <f>"1551686278770803"</f>
        <v>1551686278770803</v>
      </c>
      <c r="C6278" t="s">
        <v>40</v>
      </c>
      <c r="D6278">
        <v>4.9270040000000002</v>
      </c>
      <c r="E6278">
        <v>0.50105829999999996</v>
      </c>
      <c r="F6278" t="s">
        <v>84</v>
      </c>
      <c r="G6278">
        <v>-184.3536</v>
      </c>
      <c r="H6278" s="1">
        <v>-1.3557630000000001E-5</v>
      </c>
      <c r="I6278">
        <v>-58.577249999999999</v>
      </c>
      <c r="J6278">
        <v>-252.8167</v>
      </c>
      <c r="K6278">
        <v>1.112017</v>
      </c>
      <c r="L6278">
        <v>-63.134030000000003</v>
      </c>
      <c r="M6278">
        <v>0.99880170000000001</v>
      </c>
      <c r="N6278">
        <v>-1.336028E-2</v>
      </c>
      <c r="O6278">
        <v>-4.708072E-2</v>
      </c>
      <c r="P6278">
        <v>0.9805777</v>
      </c>
      <c r="Q6278">
        <v>0.18062600000000001</v>
      </c>
      <c r="R6278">
        <v>7.6429810000000001E-2</v>
      </c>
      <c r="S6278">
        <v>3.050262</v>
      </c>
      <c r="T6278">
        <v>-4.9432749999999998E-2</v>
      </c>
      <c r="U6278">
        <v>0.20230100000000001</v>
      </c>
      <c r="V6278">
        <v>-0.1233417</v>
      </c>
      <c r="W6278">
        <v>0.1931233</v>
      </c>
      <c r="X6278">
        <v>0.97339109999999995</v>
      </c>
      <c r="Y6278">
        <v>-0.1130583</v>
      </c>
      <c r="Z6278">
        <v>1.805168E-3</v>
      </c>
      <c r="AA6278">
        <v>0.99358670000000004</v>
      </c>
      <c r="AB6278">
        <v>30</v>
      </c>
      <c r="AC6278">
        <v>68.463099999999997</v>
      </c>
      <c r="AD6278">
        <v>-1.11203055763</v>
      </c>
      <c r="AE6278">
        <v>4.5567799999999998</v>
      </c>
      <c r="AF6278">
        <v>-7.7732641435708798</v>
      </c>
      <c r="AG6278">
        <v>-1.11203055763</v>
      </c>
      <c r="AH6278">
        <v>68.154709450703805</v>
      </c>
      <c r="AI6278">
        <v>90.928750319158894</v>
      </c>
      <c r="AJ6278">
        <v>96.506652270487507</v>
      </c>
      <c r="AK6278">
        <v>68.605573153474097</v>
      </c>
      <c r="AL6278">
        <v>78.864887287968003</v>
      </c>
      <c r="AM6278">
        <v>97.221656392398998</v>
      </c>
      <c r="AN6278">
        <v>1.0000000087604899</v>
      </c>
    </row>
    <row r="6279" spans="1:40" x14ac:dyDescent="0.25">
      <c r="A6279" t="str">
        <f>"20190304155758793"</f>
        <v>20190304155758793</v>
      </c>
      <c r="B6279" t="str">
        <f>"1551686278780563"</f>
        <v>1551686278780563</v>
      </c>
      <c r="C6279" t="s">
        <v>40</v>
      </c>
      <c r="D6279">
        <v>5.0600680000000002</v>
      </c>
      <c r="E6279">
        <v>0.50116590000000005</v>
      </c>
      <c r="F6279" t="s">
        <v>44</v>
      </c>
      <c r="G6279">
        <v>-159.9365</v>
      </c>
      <c r="H6279">
        <v>-0.05</v>
      </c>
      <c r="I6279">
        <v>-56.875819999999997</v>
      </c>
      <c r="J6279">
        <v>-252.6591</v>
      </c>
      <c r="K6279">
        <v>1.112063</v>
      </c>
      <c r="L6279">
        <v>-63.14029</v>
      </c>
      <c r="M6279">
        <v>0.99885990000000002</v>
      </c>
      <c r="N6279">
        <v>-1.338105E-2</v>
      </c>
      <c r="O6279">
        <v>-4.5824780000000002E-2</v>
      </c>
      <c r="P6279">
        <v>0.97973299999999997</v>
      </c>
      <c r="Q6279">
        <v>0.1848216</v>
      </c>
      <c r="R6279">
        <v>7.7229859999999997E-2</v>
      </c>
      <c r="S6279">
        <v>3.05043</v>
      </c>
      <c r="T6279">
        <v>-3.8163660000000002E-2</v>
      </c>
      <c r="U6279">
        <v>0.20553589999999999</v>
      </c>
      <c r="V6279">
        <v>-0.1229074</v>
      </c>
      <c r="W6279">
        <v>0.19732150000000001</v>
      </c>
      <c r="X6279">
        <v>0.97260369999999996</v>
      </c>
      <c r="Y6279">
        <v>-0.1128632</v>
      </c>
      <c r="Z6279">
        <v>1.4215129999999999E-3</v>
      </c>
      <c r="AA6279">
        <v>0.99360950000000003</v>
      </c>
      <c r="AB6279">
        <v>30</v>
      </c>
      <c r="AC6279">
        <v>92.7226</v>
      </c>
      <c r="AD6279">
        <v>-1.1620629999999901</v>
      </c>
      <c r="AE6279">
        <v>6.2644700000000002</v>
      </c>
      <c r="AF6279">
        <v>-10.505618411275</v>
      </c>
      <c r="AG6279">
        <v>-1.1620629999999901</v>
      </c>
      <c r="AH6279">
        <v>92.323647942400697</v>
      </c>
      <c r="AI6279">
        <v>90.716511293897597</v>
      </c>
      <c r="AJ6279">
        <v>96.491831742658107</v>
      </c>
      <c r="AK6279">
        <v>92.926715093193906</v>
      </c>
      <c r="AL6279">
        <v>78.619628598541496</v>
      </c>
      <c r="AM6279">
        <v>97.202260165178103</v>
      </c>
      <c r="AN6279">
        <v>0.99999998029534898</v>
      </c>
    </row>
    <row r="6280" spans="1:40" x14ac:dyDescent="0.25">
      <c r="A6280" t="str">
        <f>"20190304155758803"</f>
        <v>20190304155758803</v>
      </c>
      <c r="B6280" t="str">
        <f>"1551686278801059"</f>
        <v>1551686278801059</v>
      </c>
      <c r="C6280" t="s">
        <v>40</v>
      </c>
      <c r="D6280">
        <v>4.9337260000000001</v>
      </c>
      <c r="E6280">
        <v>0.50110909999999997</v>
      </c>
      <c r="F6280" t="s">
        <v>73</v>
      </c>
      <c r="G6280">
        <v>-157.3501</v>
      </c>
      <c r="H6280">
        <v>0.40363739999999998</v>
      </c>
      <c r="I6280">
        <v>-56.649749999999997</v>
      </c>
      <c r="J6280">
        <v>-252.51009999999999</v>
      </c>
      <c r="K6280">
        <v>1.112101</v>
      </c>
      <c r="L6280">
        <v>-63.145899999999997</v>
      </c>
      <c r="M6280">
        <v>0.99891419999999997</v>
      </c>
      <c r="N6280">
        <v>-1.339892E-2</v>
      </c>
      <c r="O6280">
        <v>-4.4621010000000003E-2</v>
      </c>
      <c r="P6280">
        <v>0.97902299999999998</v>
      </c>
      <c r="Q6280">
        <v>0.18846660000000001</v>
      </c>
      <c r="R6280">
        <v>7.7422870000000005E-2</v>
      </c>
      <c r="S6280">
        <v>3.049973</v>
      </c>
      <c r="T6280">
        <v>-2.2670869999999999E-2</v>
      </c>
      <c r="U6280">
        <v>0.20770259999999999</v>
      </c>
      <c r="V6280">
        <v>-0.121919899999999</v>
      </c>
      <c r="W6280">
        <v>0.20097380000000001</v>
      </c>
      <c r="X6280">
        <v>0.97197999999999996</v>
      </c>
      <c r="Y6280">
        <v>-0.11238720000000001</v>
      </c>
      <c r="Z6280">
        <v>9.0526560000000003E-4</v>
      </c>
      <c r="AA6280">
        <v>0.99366410000000005</v>
      </c>
      <c r="AB6280">
        <v>29</v>
      </c>
      <c r="AC6280">
        <v>95.16</v>
      </c>
      <c r="AD6280">
        <v>-0.70846359999999997</v>
      </c>
      <c r="AE6280">
        <v>6.4961500000000001</v>
      </c>
      <c r="AF6280">
        <v>-10.7356025106488</v>
      </c>
      <c r="AG6280">
        <v>-0.70846359999999997</v>
      </c>
      <c r="AH6280">
        <v>94.770083070968894</v>
      </c>
      <c r="AI6280">
        <v>90.425590688038099</v>
      </c>
      <c r="AJ6280">
        <v>96.462943411780202</v>
      </c>
      <c r="AK6280">
        <v>95.378843184521401</v>
      </c>
      <c r="AL6280">
        <v>78.406090322378901</v>
      </c>
      <c r="AM6280">
        <v>97.149531387186897</v>
      </c>
      <c r="AN6280">
        <v>1.00000002535122</v>
      </c>
    </row>
    <row r="6281" spans="1:40" x14ac:dyDescent="0.25">
      <c r="A6281" t="str">
        <f>"20190304155758814"</f>
        <v>20190304155758814</v>
      </c>
      <c r="B6281" t="str">
        <f>"1551686278810820"</f>
        <v>1551686278810820</v>
      </c>
      <c r="C6281" t="s">
        <v>40</v>
      </c>
      <c r="D6281">
        <v>4.9898720000000001</v>
      </c>
      <c r="E6281">
        <v>0.50111709999999998</v>
      </c>
      <c r="F6281" t="s">
        <v>73</v>
      </c>
      <c r="G6281">
        <v>-157.3501</v>
      </c>
      <c r="H6281">
        <v>0.68280099999999999</v>
      </c>
      <c r="I6281">
        <v>-56.615929999999999</v>
      </c>
      <c r="J6281">
        <v>-252.37360000000001</v>
      </c>
      <c r="K6281">
        <v>1.1121369999999999</v>
      </c>
      <c r="L6281">
        <v>-63.150939999999999</v>
      </c>
      <c r="M6281">
        <v>0.99896289999999999</v>
      </c>
      <c r="N6281">
        <v>-1.34144E-2</v>
      </c>
      <c r="O6281">
        <v>-4.3513950000000003E-2</v>
      </c>
      <c r="P6281">
        <v>0.97855590000000003</v>
      </c>
      <c r="Q6281">
        <v>0.19092719999999999</v>
      </c>
      <c r="R6281">
        <v>7.7302170000000003E-2</v>
      </c>
      <c r="S6281">
        <v>3.0503849999999999</v>
      </c>
      <c r="T6281">
        <v>-1.3762E-2</v>
      </c>
      <c r="U6281">
        <v>0.20932010000000001</v>
      </c>
      <c r="V6281">
        <v>-0.1207186</v>
      </c>
      <c r="W6281">
        <v>0.20344509999999999</v>
      </c>
      <c r="X6281">
        <v>0.97161569999999997</v>
      </c>
      <c r="Y6281">
        <v>-0.1118046</v>
      </c>
      <c r="Z6281">
        <v>6.1586479999999999E-4</v>
      </c>
      <c r="AA6281">
        <v>0.99373</v>
      </c>
      <c r="AB6281">
        <v>29</v>
      </c>
      <c r="AC6281">
        <v>95.023499999999999</v>
      </c>
      <c r="AD6281">
        <v>-0.429336</v>
      </c>
      <c r="AE6281">
        <v>6.5350099999999998</v>
      </c>
      <c r="AF6281">
        <v>-10.663821696919101</v>
      </c>
      <c r="AG6281">
        <v>-0.429336</v>
      </c>
      <c r="AH6281">
        <v>94.647166715121401</v>
      </c>
      <c r="AI6281">
        <v>90.258267753656597</v>
      </c>
      <c r="AJ6281">
        <v>96.428360516196605</v>
      </c>
      <c r="AK6281">
        <v>95.246982050795495</v>
      </c>
      <c r="AL6281">
        <v>78.261507941373296</v>
      </c>
      <c r="AM6281">
        <v>97.082431639176903</v>
      </c>
      <c r="AN6281">
        <v>0.99999997879322899</v>
      </c>
    </row>
    <row r="6282" spans="1:40" x14ac:dyDescent="0.25">
      <c r="A6282" t="str">
        <f>"20190304155758825"</f>
        <v>20190304155758825</v>
      </c>
      <c r="B6282" t="str">
        <f>"1551686278820580"</f>
        <v>1551686278820580</v>
      </c>
      <c r="C6282" t="s">
        <v>40</v>
      </c>
      <c r="D6282">
        <v>4.9634749999999999</v>
      </c>
      <c r="E6282">
        <v>0.50108829999999904</v>
      </c>
      <c r="F6282" t="s">
        <v>73</v>
      </c>
      <c r="G6282">
        <v>-157.3501</v>
      </c>
      <c r="H6282">
        <v>0.8779593</v>
      </c>
      <c r="I6282">
        <v>-56.614629999999998</v>
      </c>
      <c r="J6282">
        <v>-252.2216</v>
      </c>
      <c r="K6282">
        <v>1.1121570000000001</v>
      </c>
      <c r="L6282">
        <v>-63.156309999999998</v>
      </c>
      <c r="M6282">
        <v>0.99901600000000002</v>
      </c>
      <c r="N6282">
        <v>-1.343039E-2</v>
      </c>
      <c r="O6282">
        <v>-4.2272810000000001E-2</v>
      </c>
      <c r="P6282">
        <v>0.97790410000000005</v>
      </c>
      <c r="Q6282">
        <v>0.1943927</v>
      </c>
      <c r="R6282">
        <v>7.6912079999999994E-2</v>
      </c>
      <c r="S6282">
        <v>3.0505979999999999</v>
      </c>
      <c r="T6282">
        <v>-7.5185299999999998E-3</v>
      </c>
      <c r="U6282">
        <v>0.20983889999999999</v>
      </c>
      <c r="V6282">
        <v>-0.11911380000000001</v>
      </c>
      <c r="W6282">
        <v>0.20692189999999999</v>
      </c>
      <c r="X6282">
        <v>0.97107940000000004</v>
      </c>
      <c r="Y6282">
        <v>-0.1107349</v>
      </c>
      <c r="Z6282">
        <v>4.1787950000000002E-4</v>
      </c>
      <c r="AA6282">
        <v>0.99384989999999995</v>
      </c>
      <c r="AB6282">
        <v>29</v>
      </c>
      <c r="AC6282">
        <v>94.871499999999997</v>
      </c>
      <c r="AD6282">
        <v>-0.23419769999999901</v>
      </c>
      <c r="AE6282">
        <v>6.5416799999999897</v>
      </c>
      <c r="AF6282">
        <v>-10.5466133765265</v>
      </c>
      <c r="AG6282">
        <v>-0.23419769999999901</v>
      </c>
      <c r="AH6282">
        <v>94.509546288356802</v>
      </c>
      <c r="AI6282">
        <v>90.141104629146</v>
      </c>
      <c r="AJ6282">
        <v>96.367469526122903</v>
      </c>
      <c r="AK6282">
        <v>95.0964785988823</v>
      </c>
      <c r="AL6282">
        <v>78.0579713916092</v>
      </c>
      <c r="AM6282">
        <v>96.993038876389306</v>
      </c>
      <c r="AN6282">
        <v>0.99999998557720404</v>
      </c>
    </row>
    <row r="6283" spans="1:40" x14ac:dyDescent="0.25">
      <c r="A6283" t="str">
        <f>"20190304155758836"</f>
        <v>20190304155758836</v>
      </c>
      <c r="B6283" t="str">
        <f>"1551686278831316"</f>
        <v>1551686278831316</v>
      </c>
      <c r="C6283" t="s">
        <v>40</v>
      </c>
      <c r="D6283">
        <v>4.9810919999999896</v>
      </c>
      <c r="E6283">
        <v>0.50110480000000002</v>
      </c>
      <c r="F6283" t="s">
        <v>73</v>
      </c>
      <c r="G6283">
        <v>-157.3501</v>
      </c>
      <c r="H6283">
        <v>1.173055</v>
      </c>
      <c r="I6283">
        <v>-56.611960000000003</v>
      </c>
      <c r="J6283">
        <v>-252.0967</v>
      </c>
      <c r="K6283">
        <v>1.112163</v>
      </c>
      <c r="L6283">
        <v>-63.160580000000003</v>
      </c>
      <c r="M6283">
        <v>0.99905869999999997</v>
      </c>
      <c r="N6283">
        <v>-1.3442559999999999E-2</v>
      </c>
      <c r="O6283">
        <v>-4.1249260000000003E-2</v>
      </c>
      <c r="P6283">
        <v>0.97771269999999999</v>
      </c>
      <c r="Q6283">
        <v>0.1955933</v>
      </c>
      <c r="R6283">
        <v>7.6298099999999994E-2</v>
      </c>
      <c r="S6283">
        <v>3.050827</v>
      </c>
      <c r="T6283">
        <v>1.957655E-3</v>
      </c>
      <c r="U6283">
        <v>0.2104492</v>
      </c>
      <c r="V6283">
        <v>-0.1175051</v>
      </c>
      <c r="W6283">
        <v>0.20813799999999999</v>
      </c>
      <c r="X6283">
        <v>0.97101550000000003</v>
      </c>
      <c r="Y6283">
        <v>-0.10991049999999999</v>
      </c>
      <c r="Z6283">
        <v>1.2420270000000001E-4</v>
      </c>
      <c r="AA6283">
        <v>0.99394150000000003</v>
      </c>
      <c r="AB6283">
        <v>29</v>
      </c>
      <c r="AC6283">
        <v>94.746600000000001</v>
      </c>
      <c r="AD6283">
        <v>6.0891999999999898E-2</v>
      </c>
      <c r="AE6283">
        <v>6.5486199999999997</v>
      </c>
      <c r="AF6283">
        <v>-10.4516204242491</v>
      </c>
      <c r="AG6283">
        <v>6.0891999999999898E-2</v>
      </c>
      <c r="AH6283">
        <v>94.395756527002106</v>
      </c>
      <c r="AI6283">
        <v>89.963264625404193</v>
      </c>
      <c r="AJ6283">
        <v>96.318128372338705</v>
      </c>
      <c r="AK6283">
        <v>94.972621989883507</v>
      </c>
      <c r="AL6283">
        <v>77.986743290843293</v>
      </c>
      <c r="AM6283">
        <v>96.899960055763799</v>
      </c>
      <c r="AN6283">
        <v>0.99999998840512905</v>
      </c>
    </row>
    <row r="6284" spans="1:40" x14ac:dyDescent="0.25">
      <c r="A6284" t="str">
        <f>"20190304155758845"</f>
        <v>20190304155758845</v>
      </c>
      <c r="B6284" t="str">
        <f>"1551686278841075"</f>
        <v>1551686278841075</v>
      </c>
      <c r="C6284" t="s">
        <v>40</v>
      </c>
      <c r="D6284">
        <v>4.9857050000000003</v>
      </c>
      <c r="E6284">
        <v>0.50111530000000004</v>
      </c>
      <c r="F6284" t="s">
        <v>73</v>
      </c>
      <c r="G6284">
        <v>-157.3501</v>
      </c>
      <c r="H6284">
        <v>1.2445619999999999</v>
      </c>
      <c r="I6284">
        <v>-56.640740000000001</v>
      </c>
      <c r="J6284">
        <v>-251.9522</v>
      </c>
      <c r="K6284">
        <v>1.112171</v>
      </c>
      <c r="L6284">
        <v>-63.165370000000003</v>
      </c>
      <c r="M6284">
        <v>0.99910659999999896</v>
      </c>
      <c r="N6284">
        <v>-1.345586E-2</v>
      </c>
      <c r="O6284">
        <v>-4.0062779999999999E-2</v>
      </c>
      <c r="P6284">
        <v>0.97754010000000002</v>
      </c>
      <c r="Q6284">
        <v>0.1966929</v>
      </c>
      <c r="R6284">
        <v>7.5678759999999998E-2</v>
      </c>
      <c r="S6284">
        <v>3.0511629999999998</v>
      </c>
      <c r="T6284">
        <v>4.2630430000000002E-3</v>
      </c>
      <c r="U6284">
        <v>0.20996090000000001</v>
      </c>
      <c r="V6284">
        <v>-0.1157329</v>
      </c>
      <c r="W6284">
        <v>0.20925569999999999</v>
      </c>
      <c r="X6284">
        <v>0.97098810000000002</v>
      </c>
      <c r="Y6284">
        <v>-0.10856440000000001</v>
      </c>
      <c r="Z6284" s="1">
        <v>6.1249650000000001E-5</v>
      </c>
      <c r="AA6284">
        <v>0.99408940000000001</v>
      </c>
      <c r="AB6284">
        <v>29</v>
      </c>
      <c r="AC6284">
        <v>94.602099999999993</v>
      </c>
      <c r="AD6284">
        <v>0.13239100000000001</v>
      </c>
      <c r="AE6284">
        <v>6.5246299999999904</v>
      </c>
      <c r="AF6284">
        <v>-10.3097368686454</v>
      </c>
      <c r="AG6284">
        <v>0.13239100000000001</v>
      </c>
      <c r="AH6284">
        <v>94.264534115938403</v>
      </c>
      <c r="AI6284">
        <v>89.920007288867794</v>
      </c>
      <c r="AJ6284">
        <v>96.2416461341125</v>
      </c>
      <c r="AK6284">
        <v>94.826739866835595</v>
      </c>
      <c r="AL6284">
        <v>77.921261707901607</v>
      </c>
      <c r="AM6284">
        <v>96.797066462782794</v>
      </c>
      <c r="AN6284">
        <v>0.99999997123325401</v>
      </c>
    </row>
    <row r="6285" spans="1:40" x14ac:dyDescent="0.25">
      <c r="A6285" t="str">
        <f>"20190304155758857"</f>
        <v>20190304155758857</v>
      </c>
      <c r="B6285" t="str">
        <f>"1551686278850837"</f>
        <v>1551686278850837</v>
      </c>
      <c r="C6285" t="s">
        <v>40</v>
      </c>
      <c r="D6285">
        <v>5.0085790000000001</v>
      </c>
      <c r="E6285">
        <v>0.50101049999999903</v>
      </c>
      <c r="F6285" t="s">
        <v>73</v>
      </c>
      <c r="G6285">
        <v>-157.3501</v>
      </c>
      <c r="H6285">
        <v>1.3018099999999999</v>
      </c>
      <c r="I6285">
        <v>-56.686489999999999</v>
      </c>
      <c r="J6285">
        <v>-251.8056</v>
      </c>
      <c r="K6285">
        <v>1.1121760000000001</v>
      </c>
      <c r="L6285">
        <v>-63.170009999999998</v>
      </c>
      <c r="M6285">
        <v>0.99915399999999999</v>
      </c>
      <c r="N6285">
        <v>-1.346808E-2</v>
      </c>
      <c r="O6285">
        <v>-3.8857610000000001E-2</v>
      </c>
      <c r="P6285">
        <v>0.97740170000000004</v>
      </c>
      <c r="Q6285">
        <v>0.19742899999999999</v>
      </c>
      <c r="R6285">
        <v>7.5551569999999998E-2</v>
      </c>
      <c r="S6285">
        <v>3.0515140000000001</v>
      </c>
      <c r="T6285">
        <v>6.1163900000000002E-3</v>
      </c>
      <c r="U6285">
        <v>0.20898439999999999</v>
      </c>
      <c r="V6285">
        <v>-0.1144323</v>
      </c>
      <c r="W6285">
        <v>0.21000779999999999</v>
      </c>
      <c r="X6285">
        <v>0.97097990000000001</v>
      </c>
      <c r="Y6285">
        <v>-0.1070407</v>
      </c>
      <c r="Z6285" s="1">
        <v>1.4063899999999999E-5</v>
      </c>
      <c r="AA6285">
        <v>0.99425459999999999</v>
      </c>
      <c r="AB6285">
        <v>29</v>
      </c>
      <c r="AC6285">
        <v>94.455500000000001</v>
      </c>
      <c r="AD6285">
        <v>0.189634</v>
      </c>
      <c r="AE6285">
        <v>6.4835199999999897</v>
      </c>
      <c r="AF6285">
        <v>-10.149229637511899</v>
      </c>
      <c r="AG6285">
        <v>0.189634</v>
      </c>
      <c r="AH6285">
        <v>94.131815705054393</v>
      </c>
      <c r="AI6285">
        <v>89.885239602713995</v>
      </c>
      <c r="AJ6285">
        <v>96.153820168870993</v>
      </c>
      <c r="AK6285">
        <v>94.6775662510356</v>
      </c>
      <c r="AL6285">
        <v>77.877190615345995</v>
      </c>
      <c r="AM6285">
        <v>96.721440423849998</v>
      </c>
      <c r="AN6285">
        <v>0.99999999677406903</v>
      </c>
    </row>
    <row r="6286" spans="1:40" x14ac:dyDescent="0.25">
      <c r="A6286" t="str">
        <f>"20190304155758867"</f>
        <v>20190304155758867</v>
      </c>
      <c r="B6286" t="str">
        <f>"1551686278860596"</f>
        <v>1551686278860596</v>
      </c>
      <c r="C6286" t="s">
        <v>40</v>
      </c>
      <c r="D6286">
        <v>5.0980949999999998</v>
      </c>
      <c r="E6286">
        <v>0.5010192</v>
      </c>
      <c r="F6286" t="s">
        <v>73</v>
      </c>
      <c r="G6286">
        <v>-157.3501</v>
      </c>
      <c r="H6286">
        <v>1.308994</v>
      </c>
      <c r="I6286">
        <v>-56.695399999999999</v>
      </c>
      <c r="J6286">
        <v>-251.67019999999999</v>
      </c>
      <c r="K6286">
        <v>1.1121840000000001</v>
      </c>
      <c r="L6286">
        <v>-63.174219999999998</v>
      </c>
      <c r="M6286">
        <v>0.99919659999999999</v>
      </c>
      <c r="N6286">
        <v>-1.347887E-2</v>
      </c>
      <c r="O6286">
        <v>-3.7743760000000001E-2</v>
      </c>
      <c r="P6286">
        <v>0.97725949999999995</v>
      </c>
      <c r="Q6286">
        <v>0.19801260000000001</v>
      </c>
      <c r="R6286">
        <v>7.5864340000000002E-2</v>
      </c>
      <c r="S6286">
        <v>3.0519099999999999</v>
      </c>
      <c r="T6286">
        <v>6.3586240000000002E-3</v>
      </c>
      <c r="U6286">
        <v>0.209198</v>
      </c>
      <c r="V6286">
        <v>-0.113659</v>
      </c>
      <c r="W6286">
        <v>0.21060409999999999</v>
      </c>
      <c r="X6286">
        <v>0.97094159999999996</v>
      </c>
      <c r="Y6286">
        <v>-0.1059929</v>
      </c>
      <c r="Z6286" s="1">
        <v>1.8259569999999998E-5</v>
      </c>
      <c r="AA6286">
        <v>0.99436690000000005</v>
      </c>
      <c r="AB6286">
        <v>29</v>
      </c>
      <c r="AC6286">
        <v>94.320099999999996</v>
      </c>
      <c r="AD6286">
        <v>0.19680999999999901</v>
      </c>
      <c r="AE6286">
        <v>6.47881999999999</v>
      </c>
      <c r="AF6286">
        <v>-10.034477639788999</v>
      </c>
      <c r="AG6286">
        <v>0.19680999999999901</v>
      </c>
      <c r="AH6286">
        <v>94.007915428703797</v>
      </c>
      <c r="AI6286">
        <v>89.880726312887106</v>
      </c>
      <c r="AJ6286">
        <v>96.092726382659507</v>
      </c>
      <c r="AK6286">
        <v>94.542147420766</v>
      </c>
      <c r="AL6286">
        <v>77.842243895051794</v>
      </c>
      <c r="AM6286">
        <v>96.676691301030502</v>
      </c>
      <c r="AN6286">
        <v>1.0000000229141801</v>
      </c>
    </row>
    <row r="6287" spans="1:40" x14ac:dyDescent="0.25">
      <c r="A6287" t="str">
        <f>"20190304155758879"</f>
        <v>20190304155758879</v>
      </c>
      <c r="B6287" t="str">
        <f>"1551686278871333"</f>
        <v>1551686278871333</v>
      </c>
      <c r="C6287" t="s">
        <v>40</v>
      </c>
      <c r="D6287">
        <v>4.9726699999999999</v>
      </c>
      <c r="E6287">
        <v>0.50091850000000004</v>
      </c>
      <c r="F6287" t="s">
        <v>73</v>
      </c>
      <c r="G6287">
        <v>-157.3501</v>
      </c>
      <c r="H6287">
        <v>1.3258730000000001</v>
      </c>
      <c r="I6287">
        <v>-56.705669999999998</v>
      </c>
      <c r="J6287">
        <v>-251.52420000000001</v>
      </c>
      <c r="K6287">
        <v>1.1121920000000001</v>
      </c>
      <c r="L6287">
        <v>-63.1785</v>
      </c>
      <c r="M6287">
        <v>0.99924109999999999</v>
      </c>
      <c r="N6287">
        <v>-1.3489279999999999E-2</v>
      </c>
      <c r="O6287">
        <v>-3.6543260000000001E-2</v>
      </c>
      <c r="P6287">
        <v>0.97703139999999999</v>
      </c>
      <c r="Q6287">
        <v>0.19875290000000001</v>
      </c>
      <c r="R6287">
        <v>7.6856320000000006E-2</v>
      </c>
      <c r="S6287">
        <v>3.0521699999999998</v>
      </c>
      <c r="T6287">
        <v>6.9142580000000004E-3</v>
      </c>
      <c r="U6287">
        <v>0.20932010000000001</v>
      </c>
      <c r="V6287">
        <v>-0.1134763</v>
      </c>
      <c r="W6287">
        <v>0.2113526</v>
      </c>
      <c r="X6287">
        <v>0.97080029999999995</v>
      </c>
      <c r="Y6287">
        <v>-0.1048321</v>
      </c>
      <c r="Z6287" s="1">
        <v>1.4301799999999999E-5</v>
      </c>
      <c r="AA6287">
        <v>0.99448990000000004</v>
      </c>
      <c r="AB6287">
        <v>29</v>
      </c>
      <c r="AC6287">
        <v>94.174099999999996</v>
      </c>
      <c r="AD6287">
        <v>0.21368099999999901</v>
      </c>
      <c r="AE6287">
        <v>6.4728300000000001</v>
      </c>
      <c r="AF6287">
        <v>-9.9101965624205608</v>
      </c>
      <c r="AG6287">
        <v>0.21368099999999901</v>
      </c>
      <c r="AH6287">
        <v>93.874146199448603</v>
      </c>
      <c r="AI6287">
        <v>89.870301450174196</v>
      </c>
      <c r="AJ6287">
        <v>96.026334910895898</v>
      </c>
      <c r="AK6287">
        <v>94.396043244147805</v>
      </c>
      <c r="AL6287">
        <v>77.798370251748096</v>
      </c>
      <c r="AM6287">
        <v>96.667017096745894</v>
      </c>
      <c r="AN6287">
        <v>1.0000000073342601</v>
      </c>
    </row>
    <row r="6288" spans="1:40" x14ac:dyDescent="0.25">
      <c r="A6288" t="str">
        <f>"20190304155758890"</f>
        <v>20190304155758890</v>
      </c>
      <c r="B6288" t="str">
        <f>"1551686278881091"</f>
        <v>1551686278881091</v>
      </c>
      <c r="C6288" t="s">
        <v>40</v>
      </c>
      <c r="D6288">
        <v>4.9874409999999996</v>
      </c>
      <c r="E6288">
        <v>0.50059039999999999</v>
      </c>
      <c r="F6288" t="s">
        <v>73</v>
      </c>
      <c r="G6288">
        <v>-157.3501</v>
      </c>
      <c r="H6288">
        <v>1.332802</v>
      </c>
      <c r="I6288">
        <v>-56.61486</v>
      </c>
      <c r="J6288">
        <v>-251.37209999999999</v>
      </c>
      <c r="K6288">
        <v>1.112204</v>
      </c>
      <c r="L6288">
        <v>-63.182859999999998</v>
      </c>
      <c r="M6288">
        <v>0.99928600000000001</v>
      </c>
      <c r="N6288">
        <v>-1.349975E-2</v>
      </c>
      <c r="O6288">
        <v>-3.5293430000000001E-2</v>
      </c>
      <c r="P6288">
        <v>0.97691830000000002</v>
      </c>
      <c r="Q6288">
        <v>0.19890089999999999</v>
      </c>
      <c r="R6288">
        <v>7.7905499999999905E-2</v>
      </c>
      <c r="S6288">
        <v>3.0523380000000002</v>
      </c>
      <c r="T6288">
        <v>7.1496959999999997E-3</v>
      </c>
      <c r="U6288">
        <v>0.21273800000000001</v>
      </c>
      <c r="V6288">
        <v>-0.1133053</v>
      </c>
      <c r="W6288">
        <v>0.21151110000000001</v>
      </c>
      <c r="X6288">
        <v>0.97078569999999997</v>
      </c>
      <c r="Y6288">
        <v>-0.10469290000000001</v>
      </c>
      <c r="Z6288" s="1">
        <v>2.667954E-5</v>
      </c>
      <c r="AA6288">
        <v>0.99450459999999996</v>
      </c>
      <c r="AB6288">
        <v>29</v>
      </c>
      <c r="AC6288">
        <v>94.022000000000006</v>
      </c>
      <c r="AD6288">
        <v>0.22059799999999899</v>
      </c>
      <c r="AE6288">
        <v>6.5679999999999898</v>
      </c>
      <c r="AF6288">
        <v>-9.8825138686009009</v>
      </c>
      <c r="AG6288">
        <v>0.22059799999999899</v>
      </c>
      <c r="AH6288">
        <v>93.731071163629807</v>
      </c>
      <c r="AI6288">
        <v>89.865896771616804</v>
      </c>
      <c r="AJ6288">
        <v>96.018730640824501</v>
      </c>
      <c r="AK6288">
        <v>94.250869732444002</v>
      </c>
      <c r="AL6288">
        <v>77.789078178873098</v>
      </c>
      <c r="AM6288">
        <v>96.657159877863506</v>
      </c>
      <c r="AN6288">
        <v>0.99999995587789403</v>
      </c>
    </row>
    <row r="6289" spans="1:40" x14ac:dyDescent="0.25">
      <c r="A6289" t="str">
        <f>"20190304155758901"</f>
        <v>20190304155758901</v>
      </c>
      <c r="B6289" t="str">
        <f>"1551686278890851"</f>
        <v>1551686278890851</v>
      </c>
      <c r="C6289" t="s">
        <v>40</v>
      </c>
      <c r="D6289">
        <v>5.014742</v>
      </c>
      <c r="E6289">
        <v>0.50045669999999998</v>
      </c>
      <c r="F6289" t="s">
        <v>73</v>
      </c>
      <c r="G6289">
        <v>-157.3501</v>
      </c>
      <c r="H6289">
        <v>1.3216380000000001</v>
      </c>
      <c r="I6289">
        <v>-56.457189999999997</v>
      </c>
      <c r="J6289">
        <v>-251.22280000000001</v>
      </c>
      <c r="K6289">
        <v>1.1122129999999999</v>
      </c>
      <c r="L6289">
        <v>-63.18683</v>
      </c>
      <c r="M6289">
        <v>0.99932829999999995</v>
      </c>
      <c r="N6289">
        <v>-1.350872E-2</v>
      </c>
      <c r="O6289">
        <v>-3.406899E-2</v>
      </c>
      <c r="P6289">
        <v>0.97673659999999995</v>
      </c>
      <c r="Q6289">
        <v>0.19930629999999999</v>
      </c>
      <c r="R6289">
        <v>7.9138669999999994E-2</v>
      </c>
      <c r="S6289">
        <v>3.052063</v>
      </c>
      <c r="T6289">
        <v>6.7977910000000001E-3</v>
      </c>
      <c r="U6289">
        <v>0.21832280000000001</v>
      </c>
      <c r="V6289">
        <v>-0.1133407</v>
      </c>
      <c r="W6289">
        <v>0.2119231</v>
      </c>
      <c r="X6289">
        <v>0.97069170000000005</v>
      </c>
      <c r="Y6289">
        <v>-0.1052915</v>
      </c>
      <c r="Z6289" s="1">
        <v>5.962414E-5</v>
      </c>
      <c r="AA6289">
        <v>0.99444140000000003</v>
      </c>
      <c r="AB6289">
        <v>29</v>
      </c>
      <c r="AC6289">
        <v>93.872699999999995</v>
      </c>
      <c r="AD6289">
        <v>0.209425</v>
      </c>
      <c r="AE6289">
        <v>6.7296399999999998</v>
      </c>
      <c r="AF6289">
        <v>-9.9241230323406793</v>
      </c>
      <c r="AG6289">
        <v>0.209425</v>
      </c>
      <c r="AH6289">
        <v>93.588439055520197</v>
      </c>
      <c r="AI6289">
        <v>89.872502945638601</v>
      </c>
      <c r="AJ6289">
        <v>96.053027384107594</v>
      </c>
      <c r="AK6289">
        <v>94.113378441327299</v>
      </c>
      <c r="AL6289">
        <v>77.764924654220096</v>
      </c>
      <c r="AM6289">
        <v>96.659860172772099</v>
      </c>
      <c r="AN6289">
        <v>0.99999994551949301</v>
      </c>
    </row>
    <row r="6290" spans="1:40" x14ac:dyDescent="0.25">
      <c r="A6290" t="str">
        <f>"20190304155758913"</f>
        <v>20190304155758913</v>
      </c>
      <c r="B6290" t="str">
        <f>"1551686278911347"</f>
        <v>1551686278911347</v>
      </c>
      <c r="C6290" t="s">
        <v>40</v>
      </c>
      <c r="D6290">
        <v>5.0312979999999996</v>
      </c>
      <c r="E6290">
        <v>0.50075389999999997</v>
      </c>
      <c r="F6290" t="s">
        <v>73</v>
      </c>
      <c r="G6290">
        <v>-157.3501</v>
      </c>
      <c r="H6290">
        <v>1.2957209999999999</v>
      </c>
      <c r="I6290">
        <v>-56.310560000000002</v>
      </c>
      <c r="J6290">
        <v>-251.08179999999999</v>
      </c>
      <c r="K6290">
        <v>1.1122129999999999</v>
      </c>
      <c r="L6290">
        <v>-63.1905199999999</v>
      </c>
      <c r="M6290">
        <v>0.9993668</v>
      </c>
      <c r="N6290">
        <v>-1.351684E-2</v>
      </c>
      <c r="O6290">
        <v>-3.2912860000000002E-2</v>
      </c>
      <c r="P6290">
        <v>0.97642680000000004</v>
      </c>
      <c r="Q6290">
        <v>0.20050480000000001</v>
      </c>
      <c r="R6290">
        <v>7.9928650000000004E-2</v>
      </c>
      <c r="S6290">
        <v>3.0521389999999999</v>
      </c>
      <c r="T6290">
        <v>5.9658289999999998E-3</v>
      </c>
      <c r="U6290">
        <v>0.22357179999999999</v>
      </c>
      <c r="V6290">
        <v>-0.1129994</v>
      </c>
      <c r="W6290">
        <v>0.2131285</v>
      </c>
      <c r="X6290">
        <v>0.97046759999999999</v>
      </c>
      <c r="Y6290">
        <v>-0.1058407</v>
      </c>
      <c r="Z6290">
        <v>1.045169E-4</v>
      </c>
      <c r="AA6290">
        <v>0.99438309999999996</v>
      </c>
      <c r="AB6290">
        <v>29</v>
      </c>
      <c r="AC6290">
        <v>93.731700000000004</v>
      </c>
      <c r="AD6290">
        <v>0.183508</v>
      </c>
      <c r="AE6290">
        <v>6.8799599999999899</v>
      </c>
      <c r="AF6290">
        <v>-9.9614541880994292</v>
      </c>
      <c r="AG6290">
        <v>0.183508</v>
      </c>
      <c r="AH6290">
        <v>93.454093088334105</v>
      </c>
      <c r="AI6290">
        <v>89.888126951465793</v>
      </c>
      <c r="AJ6290">
        <v>96.084295434187396</v>
      </c>
      <c r="AK6290">
        <v>93.9836781557877</v>
      </c>
      <c r="AL6290">
        <v>77.694246268225001</v>
      </c>
      <c r="AM6290">
        <v>96.6415044559172</v>
      </c>
      <c r="AN6290">
        <v>0.99999999228118397</v>
      </c>
    </row>
    <row r="6291" spans="1:40" x14ac:dyDescent="0.25">
      <c r="A6291" t="str">
        <f>"20190304155758924"</f>
        <v>20190304155758924</v>
      </c>
      <c r="B6291" t="str">
        <f>"1551686278921107"</f>
        <v>1551686278921107</v>
      </c>
      <c r="C6291" t="s">
        <v>40</v>
      </c>
      <c r="D6291">
        <v>4.9794429999999998</v>
      </c>
      <c r="E6291">
        <v>0.50075389999999997</v>
      </c>
      <c r="F6291" t="s">
        <v>73</v>
      </c>
      <c r="G6291">
        <v>-157.3501</v>
      </c>
      <c r="H6291">
        <v>1.4076169999999999</v>
      </c>
      <c r="I6291">
        <v>-56.30574</v>
      </c>
      <c r="J6291">
        <v>-250.93360000000001</v>
      </c>
      <c r="K6291">
        <v>1.1122110000000001</v>
      </c>
      <c r="L6291">
        <v>-63.194119999999998</v>
      </c>
      <c r="M6291">
        <v>0.99940589999999996</v>
      </c>
      <c r="N6291">
        <v>-1.352456E-2</v>
      </c>
      <c r="O6291">
        <v>-3.1699270000000002E-2</v>
      </c>
      <c r="P6291">
        <v>0.97613950000000005</v>
      </c>
      <c r="Q6291">
        <v>0.20164850000000001</v>
      </c>
      <c r="R6291">
        <v>8.0557379999999998E-2</v>
      </c>
      <c r="S6291">
        <v>3.0520939999999999</v>
      </c>
      <c r="T6291">
        <v>9.6182820000000006E-3</v>
      </c>
      <c r="U6291">
        <v>0.2241821</v>
      </c>
      <c r="V6291">
        <v>-0.112441899999999</v>
      </c>
      <c r="W6291">
        <v>0.21428</v>
      </c>
      <c r="X6291">
        <v>0.9702788</v>
      </c>
      <c r="Y6291">
        <v>-0.1048321</v>
      </c>
      <c r="Z6291" s="1">
        <v>1.7061129999999899E-5</v>
      </c>
      <c r="AA6291">
        <v>0.99448990000000004</v>
      </c>
      <c r="AB6291">
        <v>29</v>
      </c>
      <c r="AC6291">
        <v>93.583500000000001</v>
      </c>
      <c r="AD6291">
        <v>0.295406</v>
      </c>
      <c r="AE6291">
        <v>6.88837999999999</v>
      </c>
      <c r="AF6291">
        <v>-9.8516201032940494</v>
      </c>
      <c r="AG6291">
        <v>0.295406</v>
      </c>
      <c r="AH6291">
        <v>93.317159760676205</v>
      </c>
      <c r="AI6291">
        <v>89.819626716536604</v>
      </c>
      <c r="AJ6291">
        <v>96.026470942866496</v>
      </c>
      <c r="AK6291">
        <v>93.836208305557804</v>
      </c>
      <c r="AL6291">
        <v>77.626710382164404</v>
      </c>
      <c r="AM6291">
        <v>96.6103027817324</v>
      </c>
      <c r="AN6291">
        <v>1.00000002450252</v>
      </c>
    </row>
    <row r="6292" spans="1:40" x14ac:dyDescent="0.25">
      <c r="A6292" t="str">
        <f>"20190304155758935"</f>
        <v>20190304155758935</v>
      </c>
      <c r="B6292" t="str">
        <f>"1551686278930868"</f>
        <v>1551686278930868</v>
      </c>
      <c r="C6292" t="s">
        <v>40</v>
      </c>
      <c r="D6292">
        <v>4.9661790000000003</v>
      </c>
      <c r="E6292">
        <v>0.53154279999999998</v>
      </c>
      <c r="F6292" t="s">
        <v>73</v>
      </c>
      <c r="G6292">
        <v>-157.3501</v>
      </c>
      <c r="H6292">
        <v>1.5159739999999999</v>
      </c>
      <c r="I6292">
        <v>-56.238370000000003</v>
      </c>
      <c r="J6292">
        <v>-250.79</v>
      </c>
      <c r="K6292">
        <v>1.1122129999999999</v>
      </c>
      <c r="L6292">
        <v>-63.197510000000001</v>
      </c>
      <c r="M6292">
        <v>0.99944250000000001</v>
      </c>
      <c r="N6292">
        <v>-1.353152E-2</v>
      </c>
      <c r="O6292">
        <v>-3.0525150000000001E-2</v>
      </c>
      <c r="P6292">
        <v>0.97590480000000002</v>
      </c>
      <c r="Q6292">
        <v>0.202519</v>
      </c>
      <c r="R6292">
        <v>8.1217159999999997E-2</v>
      </c>
      <c r="S6292">
        <v>3.051895</v>
      </c>
      <c r="T6292">
        <v>1.316667E-2</v>
      </c>
      <c r="U6292">
        <v>0.22683719999999999</v>
      </c>
      <c r="V6292">
        <v>-0.11195430000000001</v>
      </c>
      <c r="W6292">
        <v>0.21515780000000001</v>
      </c>
      <c r="X6292">
        <v>0.97014089999999997</v>
      </c>
      <c r="Y6292">
        <v>-0.10452889999999999</v>
      </c>
      <c r="Z6292" s="1">
        <v>-6.0912400000000003E-5</v>
      </c>
      <c r="AA6292">
        <v>0.99452189999999996</v>
      </c>
      <c r="AB6292">
        <v>29</v>
      </c>
      <c r="AC6292">
        <v>93.439899999999994</v>
      </c>
      <c r="AD6292">
        <v>0.40376099999999998</v>
      </c>
      <c r="AE6292">
        <v>6.9591399999999997</v>
      </c>
      <c r="AF6292">
        <v>-9.8082421596016705</v>
      </c>
      <c r="AG6292">
        <v>0.40376099999999998</v>
      </c>
      <c r="AH6292">
        <v>93.182170453789695</v>
      </c>
      <c r="AI6292">
        <v>89.753101270065102</v>
      </c>
      <c r="AJ6292">
        <v>96.008758224016603</v>
      </c>
      <c r="AK6292">
        <v>93.697820293140296</v>
      </c>
      <c r="AL6292">
        <v>77.575214817868101</v>
      </c>
      <c r="AM6292">
        <v>96.582816885263298</v>
      </c>
      <c r="AN6292">
        <v>1.00000000502107</v>
      </c>
    </row>
    <row r="6293" spans="1:40" x14ac:dyDescent="0.25">
      <c r="A6293" t="str">
        <f>"20190304155758946"</f>
        <v>20190304155758946</v>
      </c>
      <c r="B6293" t="str">
        <f>"1551686278940628"</f>
        <v>1551686278940628</v>
      </c>
      <c r="C6293" t="s">
        <v>40</v>
      </c>
      <c r="D6293">
        <v>5.0209219999999997</v>
      </c>
      <c r="E6293">
        <v>0.53154279999999998</v>
      </c>
      <c r="F6293" t="s">
        <v>73</v>
      </c>
      <c r="G6293">
        <v>-157.3501</v>
      </c>
      <c r="H6293">
        <v>0.4760838</v>
      </c>
      <c r="I6293">
        <v>-63.667869999999901</v>
      </c>
      <c r="J6293">
        <v>-250.64009999999999</v>
      </c>
      <c r="K6293">
        <v>1.112217</v>
      </c>
      <c r="L6293">
        <v>-63.200870000000002</v>
      </c>
      <c r="M6293">
        <v>0.99947900000000001</v>
      </c>
      <c r="N6293">
        <v>-1.353823E-2</v>
      </c>
      <c r="O6293">
        <v>-2.9300240000000002E-2</v>
      </c>
      <c r="P6293">
        <v>0.97559010000000002</v>
      </c>
      <c r="Q6293">
        <v>0.20369880000000001</v>
      </c>
      <c r="R6293">
        <v>8.204293E-2</v>
      </c>
      <c r="S6293">
        <v>3.0796969999999999</v>
      </c>
      <c r="T6293">
        <v>-2.0966889999999998E-2</v>
      </c>
      <c r="U6293">
        <v>-1.550293E-2</v>
      </c>
      <c r="V6293">
        <v>-0.111583</v>
      </c>
      <c r="W6293">
        <v>0.21634329999999999</v>
      </c>
      <c r="X6293">
        <v>0.96992</v>
      </c>
      <c r="Y6293">
        <v>-2.4268519999999998E-2</v>
      </c>
      <c r="Z6293" s="1">
        <v>4.9607220000000003E-5</v>
      </c>
      <c r="AA6293">
        <v>0.99970550000000002</v>
      </c>
      <c r="AB6293">
        <v>29</v>
      </c>
      <c r="AC6293">
        <v>93.29</v>
      </c>
      <c r="AD6293">
        <v>-0.63613319999999995</v>
      </c>
      <c r="AE6293">
        <v>-0.46699999999999797</v>
      </c>
      <c r="AF6293">
        <v>-2.2667649838294501</v>
      </c>
      <c r="AG6293">
        <v>-0.63613319999999995</v>
      </c>
      <c r="AH6293">
        <v>93.259287425189996</v>
      </c>
      <c r="AI6293">
        <v>90.390700188758004</v>
      </c>
      <c r="AJ6293">
        <v>91.392359979686205</v>
      </c>
      <c r="AK6293">
        <v>93.289000316190894</v>
      </c>
      <c r="AL6293">
        <v>77.505652276981806</v>
      </c>
      <c r="AM6293">
        <v>96.562656717907899</v>
      </c>
      <c r="AN6293">
        <v>0.99999999787194405</v>
      </c>
    </row>
    <row r="6294" spans="1:40" x14ac:dyDescent="0.25">
      <c r="A6294" t="str">
        <f>"20190304155758958"</f>
        <v>20190304155758958</v>
      </c>
      <c r="B6294" t="str">
        <f>"1551686278951363"</f>
        <v>1551686278951363</v>
      </c>
      <c r="C6294" t="s">
        <v>40</v>
      </c>
      <c r="D6294">
        <v>4.9847070000000002</v>
      </c>
      <c r="E6294">
        <v>0.53287659999999903</v>
      </c>
      <c r="F6294" t="s">
        <v>73</v>
      </c>
      <c r="G6294">
        <v>-157.3501</v>
      </c>
      <c r="H6294">
        <v>0.58562179999999997</v>
      </c>
      <c r="I6294">
        <v>-63.579880000000003</v>
      </c>
      <c r="J6294">
        <v>-250.49789999999999</v>
      </c>
      <c r="K6294">
        <v>1.1122240000000001</v>
      </c>
      <c r="L6294">
        <v>-63.203800000000001</v>
      </c>
      <c r="M6294">
        <v>0.99951219999999996</v>
      </c>
      <c r="N6294">
        <v>-1.3545939999999999E-2</v>
      </c>
      <c r="O6294">
        <v>-2.8140310000000002E-2</v>
      </c>
      <c r="P6294">
        <v>0.97514239999999996</v>
      </c>
      <c r="Q6294">
        <v>0.20543839999999999</v>
      </c>
      <c r="R6294">
        <v>8.3019670000000004E-2</v>
      </c>
      <c r="S6294">
        <v>3.079742</v>
      </c>
      <c r="T6294">
        <v>-1.738489E-2</v>
      </c>
      <c r="U6294">
        <v>-1.2512209999999999E-2</v>
      </c>
      <c r="V6294">
        <v>-0.11142440000000001</v>
      </c>
      <c r="W6294">
        <v>0.2180869</v>
      </c>
      <c r="X6294">
        <v>0.96954770000000001</v>
      </c>
      <c r="Y6294">
        <v>-2.4079369999999999E-2</v>
      </c>
      <c r="Z6294" s="1">
        <v>8.6431170000000001E-6</v>
      </c>
      <c r="AA6294">
        <v>0.99970999999999999</v>
      </c>
      <c r="AB6294">
        <v>29</v>
      </c>
      <c r="AC6294">
        <v>93.147800000000004</v>
      </c>
      <c r="AD6294">
        <v>-0.52660219999999902</v>
      </c>
      <c r="AE6294">
        <v>-0.37608000000000102</v>
      </c>
      <c r="AF6294">
        <v>-2.2454456729990202</v>
      </c>
      <c r="AG6294">
        <v>-0.52660219999999902</v>
      </c>
      <c r="AH6294">
        <v>93.118512990541404</v>
      </c>
      <c r="AI6294">
        <v>90.323920484145603</v>
      </c>
      <c r="AJ6294">
        <v>91.381354020480401</v>
      </c>
      <c r="AK6294">
        <v>93.147070795152004</v>
      </c>
      <c r="AL6294">
        <v>77.403307991996499</v>
      </c>
      <c r="AM6294">
        <v>96.555904560398702</v>
      </c>
      <c r="AN6294">
        <v>1.0000000177211299</v>
      </c>
    </row>
    <row r="6295" spans="1:40" x14ac:dyDescent="0.25">
      <c r="A6295" t="str">
        <f>"20190304155758968"</f>
        <v>20190304155758968</v>
      </c>
      <c r="B6295" t="str">
        <f>"1551686278961124"</f>
        <v>1551686278961124</v>
      </c>
      <c r="C6295" t="s">
        <v>40</v>
      </c>
      <c r="D6295">
        <v>4.9058979999999996</v>
      </c>
      <c r="E6295">
        <v>0.53287659999999903</v>
      </c>
      <c r="F6295" t="s">
        <v>73</v>
      </c>
      <c r="G6295">
        <v>-157.3501</v>
      </c>
      <c r="H6295">
        <v>0.70644949999999995</v>
      </c>
      <c r="I6295">
        <v>-63.831169999999901</v>
      </c>
      <c r="J6295">
        <v>-250.35040000000001</v>
      </c>
      <c r="K6295">
        <v>1.1122320000000001</v>
      </c>
      <c r="L6295">
        <v>-63.206789999999998</v>
      </c>
      <c r="M6295">
        <v>0.99954529999999997</v>
      </c>
      <c r="N6295">
        <v>-1.3554439999999999E-2</v>
      </c>
      <c r="O6295">
        <v>-2.6937590000000001E-2</v>
      </c>
      <c r="P6295">
        <v>0.97453190000000001</v>
      </c>
      <c r="Q6295">
        <v>0.20783499999999999</v>
      </c>
      <c r="R6295">
        <v>8.421497E-2</v>
      </c>
      <c r="S6295">
        <v>3.0810849999999999</v>
      </c>
      <c r="T6295">
        <v>-1.342261E-2</v>
      </c>
      <c r="U6295">
        <v>-2.0751950000000002E-2</v>
      </c>
      <c r="V6295">
        <v>-0.11144279999999999</v>
      </c>
      <c r="W6295">
        <v>0.2204846</v>
      </c>
      <c r="X6295">
        <v>0.96900310000000001</v>
      </c>
      <c r="Y6295">
        <v>-2.020485E-2</v>
      </c>
      <c r="Z6295" s="1">
        <v>-6.6891239999999997E-5</v>
      </c>
      <c r="AA6295">
        <v>0.99979589999999996</v>
      </c>
      <c r="AB6295">
        <v>29</v>
      </c>
      <c r="AC6295">
        <v>93.000299999999996</v>
      </c>
      <c r="AD6295">
        <v>-0.40578249999999899</v>
      </c>
      <c r="AE6295">
        <v>-0.62437999999998794</v>
      </c>
      <c r="AF6295">
        <v>-1.88124471499443</v>
      </c>
      <c r="AG6295">
        <v>-0.40578249999999899</v>
      </c>
      <c r="AH6295">
        <v>92.981596347479993</v>
      </c>
      <c r="AI6295">
        <v>90.249992696180598</v>
      </c>
      <c r="AJ6295">
        <v>91.159075371860794</v>
      </c>
      <c r="AK6295">
        <v>93.001510742786905</v>
      </c>
      <c r="AL6295">
        <v>77.262502299844996</v>
      </c>
      <c r="AM6295">
        <v>96.560630779133106</v>
      </c>
      <c r="AN6295">
        <v>0.99999998215930397</v>
      </c>
    </row>
    <row r="6296" spans="1:40" x14ac:dyDescent="0.25">
      <c r="A6296" t="str">
        <f>"20190304155758981"</f>
        <v>20190304155758981</v>
      </c>
      <c r="B6296" t="str">
        <f>"1551686278970884"</f>
        <v>1551686278970884</v>
      </c>
      <c r="C6296" t="s">
        <v>40</v>
      </c>
      <c r="D6296">
        <v>5.0223209999999998</v>
      </c>
      <c r="E6296">
        <v>0.52290020000000004</v>
      </c>
      <c r="F6296" t="s">
        <v>73</v>
      </c>
      <c r="G6296">
        <v>-157.3501</v>
      </c>
      <c r="H6296">
        <v>0.94133659999999997</v>
      </c>
      <c r="I6296">
        <v>-63.730910000000002</v>
      </c>
      <c r="J6296">
        <v>-250.19839999999999</v>
      </c>
      <c r="K6296">
        <v>1.112244</v>
      </c>
      <c r="L6296">
        <v>-63.209589999999999</v>
      </c>
      <c r="M6296">
        <v>0.99957770000000001</v>
      </c>
      <c r="N6296">
        <v>-1.3564349999999999E-2</v>
      </c>
      <c r="O6296">
        <v>-2.5703070000000001E-2</v>
      </c>
      <c r="P6296">
        <v>0.9736437</v>
      </c>
      <c r="Q6296">
        <v>0.21106469999999999</v>
      </c>
      <c r="R6296">
        <v>8.6427980000000001E-2</v>
      </c>
      <c r="S6296">
        <v>3.0811160000000002</v>
      </c>
      <c r="T6296">
        <v>-5.6624409999999998E-3</v>
      </c>
      <c r="U6296">
        <v>-1.7364500000000001E-2</v>
      </c>
      <c r="V6296">
        <v>-0.1124453</v>
      </c>
      <c r="W6296">
        <v>0.22370889999999999</v>
      </c>
      <c r="X6296">
        <v>0.96814789999999995</v>
      </c>
      <c r="Y6296">
        <v>-2.0069139999999999E-2</v>
      </c>
      <c r="Z6296">
        <v>-1.469021E-4</v>
      </c>
      <c r="AA6296">
        <v>0.99979859999999998</v>
      </c>
      <c r="AB6296">
        <v>29</v>
      </c>
      <c r="AC6296">
        <v>92.848299999999995</v>
      </c>
      <c r="AD6296">
        <v>-0.17090739999999999</v>
      </c>
      <c r="AE6296">
        <v>-0.52131999999998802</v>
      </c>
      <c r="AF6296">
        <v>-1.86555161524811</v>
      </c>
      <c r="AG6296">
        <v>-0.17090739999999999</v>
      </c>
      <c r="AH6296">
        <v>92.830705513969804</v>
      </c>
      <c r="AI6296">
        <v>90.105463863919397</v>
      </c>
      <c r="AJ6296">
        <v>91.151276914296702</v>
      </c>
      <c r="AK6296">
        <v>92.849606237128995</v>
      </c>
      <c r="AL6296">
        <v>77.073031371293894</v>
      </c>
      <c r="AM6296">
        <v>96.624921454640202</v>
      </c>
      <c r="AN6296">
        <v>0.99999998685285396</v>
      </c>
    </row>
    <row r="6297" spans="1:40" x14ac:dyDescent="0.25">
      <c r="A6297" t="str">
        <f>"20190304155758992"</f>
        <v>20190304155758992</v>
      </c>
      <c r="B6297" t="str">
        <f>"1551686278980644"</f>
        <v>1551686278980644</v>
      </c>
      <c r="C6297" t="s">
        <v>40</v>
      </c>
      <c r="D6297">
        <v>4.9357300000000004</v>
      </c>
      <c r="E6297">
        <v>0.524011</v>
      </c>
      <c r="F6297" t="s">
        <v>73</v>
      </c>
      <c r="G6297">
        <v>-157.3501</v>
      </c>
      <c r="H6297">
        <v>5.5143300000000002</v>
      </c>
      <c r="I6297">
        <v>-61.0563</v>
      </c>
      <c r="J6297">
        <v>-250.0557</v>
      </c>
      <c r="K6297">
        <v>1.1122570000000001</v>
      </c>
      <c r="L6297">
        <v>-63.2121</v>
      </c>
      <c r="M6297">
        <v>0.99960669999999996</v>
      </c>
      <c r="N6297">
        <v>-1.357366E-2</v>
      </c>
      <c r="O6297">
        <v>-2.4545319999999999E-2</v>
      </c>
      <c r="P6297">
        <v>0.97264519999999999</v>
      </c>
      <c r="Q6297">
        <v>0.21489140000000001</v>
      </c>
      <c r="R6297">
        <v>8.8224570000000002E-2</v>
      </c>
      <c r="S6297">
        <v>3.0436709999999998</v>
      </c>
      <c r="T6297">
        <v>0.1443045</v>
      </c>
      <c r="U6297">
        <v>7.0587159999999996E-2</v>
      </c>
      <c r="V6297">
        <v>-0.1131069</v>
      </c>
      <c r="W6297">
        <v>0.22753029999999999</v>
      </c>
      <c r="X6297">
        <v>0.96717980000000003</v>
      </c>
      <c r="Y6297">
        <v>-4.7635459999999998E-2</v>
      </c>
      <c r="Z6297">
        <v>-2.3007769999999999E-3</v>
      </c>
      <c r="AA6297">
        <v>0.99886209999999997</v>
      </c>
      <c r="AB6297">
        <v>29</v>
      </c>
      <c r="AC6297">
        <v>92.705600000000004</v>
      </c>
      <c r="AD6297">
        <v>4.4020729999999997</v>
      </c>
      <c r="AE6297">
        <v>2.1558000000000002</v>
      </c>
      <c r="AF6297">
        <v>-4.4208856380674098</v>
      </c>
      <c r="AG6297">
        <v>4.4020729999999997</v>
      </c>
      <c r="AH6297">
        <v>92.416479260727797</v>
      </c>
      <c r="AI6297">
        <v>87.276002347893694</v>
      </c>
      <c r="AJ6297">
        <v>92.738744705427706</v>
      </c>
      <c r="AK6297">
        <v>92.626821792992203</v>
      </c>
      <c r="AL6297">
        <v>76.848286166059594</v>
      </c>
      <c r="AM6297">
        <v>96.670161127299494</v>
      </c>
      <c r="AN6297">
        <v>0.99999998688686997</v>
      </c>
    </row>
    <row r="6298" spans="1:40" x14ac:dyDescent="0.25">
      <c r="A6298" t="str">
        <f>"20190304155759003"</f>
        <v>20190304155759003</v>
      </c>
      <c r="B6298" t="str">
        <f>"1551686279001140"</f>
        <v>1551686279001140</v>
      </c>
      <c r="C6298" t="s">
        <v>40</v>
      </c>
      <c r="D6298">
        <v>4.94604</v>
      </c>
      <c r="E6298">
        <v>0.52610429999999997</v>
      </c>
      <c r="F6298" t="s">
        <v>73</v>
      </c>
      <c r="G6298">
        <v>-157.3501</v>
      </c>
      <c r="H6298">
        <v>5.2194339999999997</v>
      </c>
      <c r="I6298">
        <v>-61.142449999999997</v>
      </c>
      <c r="J6298">
        <v>-249.90190000000001</v>
      </c>
      <c r="K6298">
        <v>1.112258</v>
      </c>
      <c r="L6298">
        <v>-63.214570000000002</v>
      </c>
      <c r="M6298">
        <v>0.99963619999999997</v>
      </c>
      <c r="N6298">
        <v>-1.358326E-2</v>
      </c>
      <c r="O6298">
        <v>-2.330368E-2</v>
      </c>
      <c r="P6298">
        <v>0.97182259999999998</v>
      </c>
      <c r="Q6298">
        <v>0.21797259999999999</v>
      </c>
      <c r="R6298">
        <v>8.9715939999999994E-2</v>
      </c>
      <c r="S6298">
        <v>3.0483549999999999</v>
      </c>
      <c r="T6298">
        <v>0.135051799999999</v>
      </c>
      <c r="U6298">
        <v>6.8054199999999995E-2</v>
      </c>
      <c r="V6298">
        <v>-0.1133835</v>
      </c>
      <c r="W6298">
        <v>0.23061139999999999</v>
      </c>
      <c r="X6298">
        <v>0.96641739999999998</v>
      </c>
      <c r="Y6298">
        <v>-4.5543340000000002E-2</v>
      </c>
      <c r="Z6298">
        <v>-2.0468690000000002E-3</v>
      </c>
      <c r="AA6298">
        <v>0.99896030000000002</v>
      </c>
      <c r="AB6298">
        <v>29</v>
      </c>
      <c r="AC6298">
        <v>92.5518</v>
      </c>
      <c r="AD6298">
        <v>4.1071759999999999</v>
      </c>
      <c r="AE6298">
        <v>2.0721199999999902</v>
      </c>
      <c r="AF6298">
        <v>-4.2202467331435498</v>
      </c>
      <c r="AG6298">
        <v>4.1071759999999999</v>
      </c>
      <c r="AH6298">
        <v>92.296697897785407</v>
      </c>
      <c r="AI6298">
        <v>87.454691484470501</v>
      </c>
      <c r="AJ6298">
        <v>92.618013713821995</v>
      </c>
      <c r="AK6298">
        <v>92.484376086010599</v>
      </c>
      <c r="AL6298">
        <v>76.666930099823404</v>
      </c>
      <c r="AM6298">
        <v>96.691552300363696</v>
      </c>
      <c r="AN6298">
        <v>1.00000001345248</v>
      </c>
    </row>
    <row r="6299" spans="1:40" x14ac:dyDescent="0.25">
      <c r="A6299" t="str">
        <f>"20190304155759014"</f>
        <v>20190304155759014</v>
      </c>
      <c r="B6299" t="str">
        <f>"1551686279010900"</f>
        <v>1551686279010900</v>
      </c>
      <c r="C6299" t="s">
        <v>40</v>
      </c>
      <c r="D6299">
        <v>4.9136319999999998</v>
      </c>
      <c r="E6299">
        <v>0.52478760000000002</v>
      </c>
      <c r="F6299" t="s">
        <v>73</v>
      </c>
      <c r="G6299">
        <v>-157.3501</v>
      </c>
      <c r="H6299">
        <v>4.2375280000000002</v>
      </c>
      <c r="I6299">
        <v>-61.47289</v>
      </c>
      <c r="J6299">
        <v>-249.768</v>
      </c>
      <c r="K6299">
        <v>1.112263</v>
      </c>
      <c r="L6299">
        <v>-63.216610000000003</v>
      </c>
      <c r="M6299">
        <v>0.99966080000000002</v>
      </c>
      <c r="N6299">
        <v>-1.3591239999999999E-2</v>
      </c>
      <c r="O6299">
        <v>-2.222642E-2</v>
      </c>
      <c r="P6299">
        <v>0.97120759999999995</v>
      </c>
      <c r="Q6299">
        <v>0.22013379999999999</v>
      </c>
      <c r="R6299">
        <v>9.1090199999999996E-2</v>
      </c>
      <c r="S6299">
        <v>3.0585019999999998</v>
      </c>
      <c r="T6299">
        <v>0.1032782</v>
      </c>
      <c r="U6299">
        <v>5.755615E-2</v>
      </c>
      <c r="V6299">
        <v>-0.1137049</v>
      </c>
      <c r="W6299">
        <v>0.2327729</v>
      </c>
      <c r="X6299">
        <v>0.96586130000000003</v>
      </c>
      <c r="Y6299">
        <v>-4.0996100000000001E-2</v>
      </c>
      <c r="Z6299">
        <v>-1.46543E-3</v>
      </c>
      <c r="AA6299">
        <v>0.9991582</v>
      </c>
      <c r="AB6299">
        <v>29</v>
      </c>
      <c r="AC6299">
        <v>92.417900000000003</v>
      </c>
      <c r="AD6299">
        <v>3.1252650000000002</v>
      </c>
      <c r="AE6299">
        <v>1.7437199999999899</v>
      </c>
      <c r="AF6299">
        <v>-3.7932611975932402</v>
      </c>
      <c r="AG6299">
        <v>3.1252650000000002</v>
      </c>
      <c r="AH6299">
        <v>92.250847434591606</v>
      </c>
      <c r="AI6299">
        <v>88.061318372858807</v>
      </c>
      <c r="AJ6299">
        <v>92.354617847481293</v>
      </c>
      <c r="AK6299">
        <v>92.381680890930397</v>
      </c>
      <c r="AL6299">
        <v>76.539621409258004</v>
      </c>
      <c r="AM6299">
        <v>96.714175881697898</v>
      </c>
      <c r="AN6299">
        <v>1.0000000390480499</v>
      </c>
    </row>
    <row r="6300" spans="1:40" x14ac:dyDescent="0.25">
      <c r="A6300" t="str">
        <f>"20190304155759024"</f>
        <v>20190304155759024</v>
      </c>
      <c r="B6300" t="str">
        <f>"1551686279020659"</f>
        <v>1551686279020659</v>
      </c>
      <c r="C6300" t="s">
        <v>40</v>
      </c>
      <c r="D6300">
        <v>4.9305139999999996</v>
      </c>
      <c r="E6300">
        <v>0.52514839999999996</v>
      </c>
      <c r="F6300" t="s">
        <v>73</v>
      </c>
      <c r="G6300">
        <v>-157.3501</v>
      </c>
      <c r="H6300">
        <v>4.6945169999999896</v>
      </c>
      <c r="I6300">
        <v>-60.971490000000003</v>
      </c>
      <c r="J6300">
        <v>-249.62219999999999</v>
      </c>
      <c r="K6300">
        <v>1.1122609999999999</v>
      </c>
      <c r="L6300">
        <v>-63.218629999999997</v>
      </c>
      <c r="M6300">
        <v>0.99968579999999996</v>
      </c>
      <c r="N6300">
        <v>-1.359927E-2</v>
      </c>
      <c r="O6300">
        <v>-2.1058830000000001E-2</v>
      </c>
      <c r="P6300">
        <v>0.97072899999999995</v>
      </c>
      <c r="Q6300">
        <v>0.22173390000000001</v>
      </c>
      <c r="R6300">
        <v>9.2300809999999997E-2</v>
      </c>
      <c r="S6300">
        <v>3.0551300000000001</v>
      </c>
      <c r="T6300">
        <v>0.1184206</v>
      </c>
      <c r="U6300">
        <v>7.421875E-2</v>
      </c>
      <c r="V6300">
        <v>-0.113775399999999</v>
      </c>
      <c r="W6300">
        <v>0.23437810000000001</v>
      </c>
      <c r="X6300">
        <v>0.96546469999999995</v>
      </c>
      <c r="Y6300">
        <v>-4.5284270000000001E-2</v>
      </c>
      <c r="Z6300">
        <v>-1.671182E-3</v>
      </c>
      <c r="AA6300">
        <v>0.99897270000000005</v>
      </c>
      <c r="AB6300">
        <v>29</v>
      </c>
      <c r="AC6300">
        <v>92.272099999999995</v>
      </c>
      <c r="AD6300">
        <v>3.5822559999999899</v>
      </c>
      <c r="AE6300">
        <v>2.2471399999999999</v>
      </c>
      <c r="AF6300">
        <v>-4.1836617434709096</v>
      </c>
      <c r="AG6300">
        <v>3.5822559999999899</v>
      </c>
      <c r="AH6300">
        <v>92.065627723739794</v>
      </c>
      <c r="AI6300">
        <v>87.774050985834506</v>
      </c>
      <c r="AJ6300">
        <v>92.601854501719203</v>
      </c>
      <c r="AK6300">
        <v>92.230230357511104</v>
      </c>
      <c r="AL6300">
        <v>76.445033411164204</v>
      </c>
      <c r="AM6300">
        <v>96.721035350048496</v>
      </c>
      <c r="AN6300">
        <v>1.0000000111754299</v>
      </c>
    </row>
    <row r="6301" spans="1:40" x14ac:dyDescent="0.25">
      <c r="A6301" t="str">
        <f>"20190304155759037"</f>
        <v>20190304155759037</v>
      </c>
      <c r="B6301" t="str">
        <f>"1551686279031396"</f>
        <v>1551686279031396</v>
      </c>
      <c r="C6301" t="s">
        <v>40</v>
      </c>
      <c r="D6301">
        <v>5.0580230000000004</v>
      </c>
      <c r="E6301">
        <v>0.52698610000000001</v>
      </c>
      <c r="F6301" t="s">
        <v>73</v>
      </c>
      <c r="G6301">
        <v>-157.3501</v>
      </c>
      <c r="H6301">
        <v>4.9565229999999998</v>
      </c>
      <c r="I6301">
        <v>-60.904369999999901</v>
      </c>
      <c r="J6301">
        <v>-249.4665</v>
      </c>
      <c r="K6301">
        <v>1.1122570000000001</v>
      </c>
      <c r="L6301">
        <v>-63.220610000000001</v>
      </c>
      <c r="M6301">
        <v>0.99971100000000002</v>
      </c>
      <c r="N6301">
        <v>-1.360724E-2</v>
      </c>
      <c r="O6301">
        <v>-1.9821060000000001E-2</v>
      </c>
      <c r="P6301">
        <v>0.97041169999999999</v>
      </c>
      <c r="Q6301">
        <v>0.2227915</v>
      </c>
      <c r="R6301">
        <v>9.3087400000000001E-2</v>
      </c>
      <c r="S6301">
        <v>3.0541079999999998</v>
      </c>
      <c r="T6301">
        <v>0.1272402</v>
      </c>
      <c r="U6301">
        <v>7.6599120000000007E-2</v>
      </c>
      <c r="V6301">
        <v>-0.113354</v>
      </c>
      <c r="W6301">
        <v>0.2354455</v>
      </c>
      <c r="X6301">
        <v>0.96525450000000002</v>
      </c>
      <c r="Y6301">
        <v>-4.4828130000000001E-2</v>
      </c>
      <c r="Z6301">
        <v>-1.7229470000000001E-3</v>
      </c>
      <c r="AA6301">
        <v>0.99899320000000003</v>
      </c>
      <c r="AB6301">
        <v>29</v>
      </c>
      <c r="AC6301">
        <v>92.116399999999999</v>
      </c>
      <c r="AD6301">
        <v>3.8442660000000002</v>
      </c>
      <c r="AE6301">
        <v>2.3162400000000001</v>
      </c>
      <c r="AF6301">
        <v>-4.1346021708826104</v>
      </c>
      <c r="AG6301">
        <v>3.8442660000000002</v>
      </c>
      <c r="AH6301">
        <v>91.892444775624</v>
      </c>
      <c r="AI6301">
        <v>87.606880175718899</v>
      </c>
      <c r="AJ6301">
        <v>92.576224712240702</v>
      </c>
      <c r="AK6301">
        <v>92.065708724971699</v>
      </c>
      <c r="AL6301">
        <v>76.382114819417694</v>
      </c>
      <c r="AM6301">
        <v>96.697813536024398</v>
      </c>
      <c r="AN6301">
        <v>0.99999998127824896</v>
      </c>
    </row>
    <row r="6302" spans="1:40" x14ac:dyDescent="0.25">
      <c r="A6302" t="str">
        <f>"20190304155759047"</f>
        <v>20190304155759047</v>
      </c>
      <c r="B6302" t="str">
        <f>"1551686279041156"</f>
        <v>1551686279041156</v>
      </c>
      <c r="C6302" t="s">
        <v>40</v>
      </c>
      <c r="D6302">
        <v>4.9266930000000002</v>
      </c>
      <c r="E6302">
        <v>0.52669239999999995</v>
      </c>
      <c r="F6302" t="s">
        <v>73</v>
      </c>
      <c r="G6302">
        <v>-157.3501</v>
      </c>
      <c r="H6302">
        <v>4.7147489999999896</v>
      </c>
      <c r="I6302">
        <v>-61.273449999999997</v>
      </c>
      <c r="J6302">
        <v>-249.33250000000001</v>
      </c>
      <c r="K6302">
        <v>1.1122479999999999</v>
      </c>
      <c r="L6302">
        <v>-63.222230000000003</v>
      </c>
      <c r="M6302">
        <v>0.99973129999999999</v>
      </c>
      <c r="N6302">
        <v>-1.3613750000000001E-2</v>
      </c>
      <c r="O6302">
        <v>-1.876077E-2</v>
      </c>
      <c r="P6302">
        <v>0.97018669999999996</v>
      </c>
      <c r="Q6302">
        <v>0.22336639999999999</v>
      </c>
      <c r="R6302">
        <v>9.4048590000000001E-2</v>
      </c>
      <c r="S6302">
        <v>3.0578310000000002</v>
      </c>
      <c r="T6302">
        <v>0.119585</v>
      </c>
      <c r="U6302">
        <v>6.4636230000000003E-2</v>
      </c>
      <c r="V6302">
        <v>-0.1132799</v>
      </c>
      <c r="W6302">
        <v>0.23602890000000001</v>
      </c>
      <c r="X6302">
        <v>0.96512070000000005</v>
      </c>
      <c r="Y6302">
        <v>-3.9841939999999999E-2</v>
      </c>
      <c r="Z6302">
        <v>-1.4959610000000001E-3</v>
      </c>
      <c r="AA6302">
        <v>0.99920489999999995</v>
      </c>
      <c r="AB6302">
        <v>29</v>
      </c>
      <c r="AC6302">
        <v>91.982399999999998</v>
      </c>
      <c r="AD6302">
        <v>3.6025010000000002</v>
      </c>
      <c r="AE6302">
        <v>1.94878</v>
      </c>
      <c r="AF6302">
        <v>-3.6686327486404702</v>
      </c>
      <c r="AG6302">
        <v>3.6025010000000002</v>
      </c>
      <c r="AH6302">
        <v>91.788911817594794</v>
      </c>
      <c r="AI6302">
        <v>87.754218879090402</v>
      </c>
      <c r="AJ6302">
        <v>92.288787930799998</v>
      </c>
      <c r="AK6302">
        <v>91.932808139192602</v>
      </c>
      <c r="AL6302">
        <v>76.347718943355105</v>
      </c>
      <c r="AM6302">
        <v>96.694394418722695</v>
      </c>
      <c r="AN6302">
        <v>0.999999971473854</v>
      </c>
    </row>
    <row r="6303" spans="1:40" x14ac:dyDescent="0.25">
      <c r="A6303" t="str">
        <f>"20190304155759058"</f>
        <v>20190304155759058</v>
      </c>
      <c r="B6303" t="str">
        <f>"1551686279050916"</f>
        <v>1551686279050916</v>
      </c>
      <c r="C6303" t="s">
        <v>40</v>
      </c>
      <c r="D6303">
        <v>5.0429349999999999</v>
      </c>
      <c r="E6303">
        <v>0.52756369999999997</v>
      </c>
      <c r="F6303" t="s">
        <v>73</v>
      </c>
      <c r="G6303">
        <v>-157.3501</v>
      </c>
      <c r="H6303">
        <v>4.7505839999999999</v>
      </c>
      <c r="I6303">
        <v>-61.128120000000003</v>
      </c>
      <c r="J6303">
        <v>-249.18860000000001</v>
      </c>
      <c r="K6303">
        <v>1.1122339999999999</v>
      </c>
      <c r="L6303">
        <v>-63.223719999999901</v>
      </c>
      <c r="M6303">
        <v>0.99975170000000002</v>
      </c>
      <c r="N6303">
        <v>-1.3622230000000001E-2</v>
      </c>
      <c r="O6303">
        <v>-1.7638910000000001E-2</v>
      </c>
      <c r="P6303">
        <v>0.96991159999999998</v>
      </c>
      <c r="Q6303">
        <v>0.2242441</v>
      </c>
      <c r="R6303">
        <v>9.4795870000000004E-2</v>
      </c>
      <c r="S6303">
        <v>3.0576020000000002</v>
      </c>
      <c r="T6303">
        <v>0.1209418</v>
      </c>
      <c r="U6303">
        <v>6.9610599999999995E-2</v>
      </c>
      <c r="V6303">
        <v>-0.1129299</v>
      </c>
      <c r="W6303">
        <v>0.23691799999999999</v>
      </c>
      <c r="X6303">
        <v>0.96494389999999997</v>
      </c>
      <c r="Y6303">
        <v>-4.034737E-2</v>
      </c>
      <c r="Z6303">
        <v>-1.46009E-3</v>
      </c>
      <c r="AA6303">
        <v>0.99918470000000004</v>
      </c>
      <c r="AB6303">
        <v>29</v>
      </c>
      <c r="AC6303">
        <v>91.838499999999996</v>
      </c>
      <c r="AD6303">
        <v>3.63835</v>
      </c>
      <c r="AE6303">
        <v>2.0955999999999899</v>
      </c>
      <c r="AF6303">
        <v>-3.7095360802132</v>
      </c>
      <c r="AG6303">
        <v>3.63835</v>
      </c>
      <c r="AH6303">
        <v>91.643482848887501</v>
      </c>
      <c r="AI6303">
        <v>87.7283449832522</v>
      </c>
      <c r="AJ6303">
        <v>92.317947647031005</v>
      </c>
      <c r="AK6303">
        <v>91.790665088162598</v>
      </c>
      <c r="AL6303">
        <v>76.295290894200804</v>
      </c>
      <c r="AM6303">
        <v>96.675109447577597</v>
      </c>
      <c r="AN6303">
        <v>1.0000000155926001</v>
      </c>
    </row>
    <row r="6304" spans="1:40" x14ac:dyDescent="0.25">
      <c r="A6304" t="str">
        <f>"20190304155759069"</f>
        <v>20190304155759069</v>
      </c>
      <c r="B6304" t="str">
        <f>"1551686279060676"</f>
        <v>1551686279060676</v>
      </c>
      <c r="C6304" t="s">
        <v>40</v>
      </c>
      <c r="D6304">
        <v>4.9494290000000003</v>
      </c>
      <c r="E6304">
        <v>0.52738600000000002</v>
      </c>
      <c r="F6304" t="s">
        <v>73</v>
      </c>
      <c r="G6304">
        <v>-157.3501</v>
      </c>
      <c r="H6304">
        <v>4.4624750000000004</v>
      </c>
      <c r="I6304">
        <v>-61.273400000000002</v>
      </c>
      <c r="J6304">
        <v>-249.0462</v>
      </c>
      <c r="K6304">
        <v>1.1122240000000001</v>
      </c>
      <c r="L6304">
        <v>-63.225160000000002</v>
      </c>
      <c r="M6304">
        <v>0.99977050000000001</v>
      </c>
      <c r="N6304">
        <v>-1.363107E-2</v>
      </c>
      <c r="O6304">
        <v>-1.6532089999999999E-2</v>
      </c>
      <c r="P6304">
        <v>0.96987239999999997</v>
      </c>
      <c r="Q6304">
        <v>0.22428219999999999</v>
      </c>
      <c r="R6304">
        <v>9.5104999999999995E-2</v>
      </c>
      <c r="S6304">
        <v>3.0608979999999999</v>
      </c>
      <c r="T6304">
        <v>0.11165990000000001</v>
      </c>
      <c r="U6304">
        <v>6.5002439999999995E-2</v>
      </c>
      <c r="V6304">
        <v>-0.11215749999999999</v>
      </c>
      <c r="W6304">
        <v>0.23697399999999999</v>
      </c>
      <c r="X6304">
        <v>0.96502019999999999</v>
      </c>
      <c r="Y6304">
        <v>-3.7722169999999999E-2</v>
      </c>
      <c r="Z6304">
        <v>-1.258594E-3</v>
      </c>
      <c r="AA6304">
        <v>0.9992875</v>
      </c>
      <c r="AB6304">
        <v>29</v>
      </c>
      <c r="AC6304">
        <v>91.696100000000001</v>
      </c>
      <c r="AD6304">
        <v>3.3502510000000001</v>
      </c>
      <c r="AE6304">
        <v>1.9517599999999899</v>
      </c>
      <c r="AF6304">
        <v>-3.4629414861571401</v>
      </c>
      <c r="AG6304">
        <v>3.3502510000000001</v>
      </c>
      <c r="AH6304">
        <v>91.529168273330995</v>
      </c>
      <c r="AI6304">
        <v>87.905230278920001</v>
      </c>
      <c r="AJ6304">
        <v>92.166711941577603</v>
      </c>
      <c r="AK6304">
        <v>91.655904285033799</v>
      </c>
      <c r="AL6304">
        <v>76.291987839214897</v>
      </c>
      <c r="AM6304">
        <v>96.629342389031294</v>
      </c>
      <c r="AN6304">
        <v>0.999999983945144</v>
      </c>
    </row>
    <row r="6305" spans="1:40" x14ac:dyDescent="0.25">
      <c r="A6305" t="str">
        <f>"20190304155759081"</f>
        <v>20190304155759081</v>
      </c>
      <c r="B6305" t="str">
        <f>"1551686279071411"</f>
        <v>1551686279071411</v>
      </c>
      <c r="C6305" t="s">
        <v>40</v>
      </c>
      <c r="D6305">
        <v>4.9940980000000001</v>
      </c>
      <c r="E6305">
        <v>0.52811180000000002</v>
      </c>
      <c r="F6305" t="s">
        <v>73</v>
      </c>
      <c r="G6305">
        <v>-157.3501</v>
      </c>
      <c r="H6305">
        <v>4.5587790000000004</v>
      </c>
      <c r="I6305">
        <v>-61.20778</v>
      </c>
      <c r="J6305">
        <v>-248.90129999999999</v>
      </c>
      <c r="K6305">
        <v>1.1122110000000001</v>
      </c>
      <c r="L6305">
        <v>-63.226379999999999</v>
      </c>
      <c r="M6305">
        <v>0.99978789999999995</v>
      </c>
      <c r="N6305">
        <v>-1.364367E-2</v>
      </c>
      <c r="O6305">
        <v>-1.543394E-2</v>
      </c>
      <c r="P6305">
        <v>0.96981969999999995</v>
      </c>
      <c r="Q6305">
        <v>0.22447230000000001</v>
      </c>
      <c r="R6305">
        <v>9.5195810000000006E-2</v>
      </c>
      <c r="S6305">
        <v>3.0599820000000002</v>
      </c>
      <c r="T6305">
        <v>0.11501400000000001</v>
      </c>
      <c r="U6305">
        <v>6.7321779999999998E-2</v>
      </c>
      <c r="V6305">
        <v>-0.1111719</v>
      </c>
      <c r="W6305">
        <v>0.23718719999999999</v>
      </c>
      <c r="X6305">
        <v>0.96508190000000005</v>
      </c>
      <c r="Y6305">
        <v>-3.7387370000000003E-2</v>
      </c>
      <c r="Z6305">
        <v>-1.2374420000000001E-3</v>
      </c>
      <c r="AA6305">
        <v>0.99930010000000002</v>
      </c>
      <c r="AB6305">
        <v>29</v>
      </c>
      <c r="AC6305">
        <v>91.551199999999994</v>
      </c>
      <c r="AD6305">
        <v>3.4465680000000001</v>
      </c>
      <c r="AE6305">
        <v>2.0186000000000002</v>
      </c>
      <c r="AF6305">
        <v>-3.42663261159126</v>
      </c>
      <c r="AG6305">
        <v>3.4465680000000001</v>
      </c>
      <c r="AH6305">
        <v>91.379690743568403</v>
      </c>
      <c r="AI6305">
        <v>87.841514442230903</v>
      </c>
      <c r="AJ6305">
        <v>92.147519189477606</v>
      </c>
      <c r="AK6305">
        <v>91.508843957421007</v>
      </c>
      <c r="AL6305">
        <v>76.279414350167002</v>
      </c>
      <c r="AM6305">
        <v>96.571181434524505</v>
      </c>
      <c r="AN6305">
        <v>1.0000000164505201</v>
      </c>
    </row>
    <row r="6306" spans="1:40" x14ac:dyDescent="0.25">
      <c r="A6306" t="str">
        <f>"20190304155759091"</f>
        <v>20190304155759091</v>
      </c>
      <c r="B6306" t="str">
        <f>"1551686279081171"</f>
        <v>1551686279081171</v>
      </c>
      <c r="C6306" t="s">
        <v>40</v>
      </c>
      <c r="D6306">
        <v>5.144647</v>
      </c>
      <c r="E6306">
        <v>0.52843640000000003</v>
      </c>
      <c r="F6306" t="s">
        <v>73</v>
      </c>
      <c r="G6306">
        <v>-157.3501</v>
      </c>
      <c r="H6306">
        <v>4.2905540000000002</v>
      </c>
      <c r="I6306">
        <v>-61.376330000000003</v>
      </c>
      <c r="J6306">
        <v>-248.75569999999999</v>
      </c>
      <c r="K6306">
        <v>1.112196</v>
      </c>
      <c r="L6306">
        <v>-63.227510000000002</v>
      </c>
      <c r="M6306">
        <v>0.99980409999999997</v>
      </c>
      <c r="N6306">
        <v>-1.3656740000000001E-2</v>
      </c>
      <c r="O6306">
        <v>-1.433795E-2</v>
      </c>
      <c r="P6306">
        <v>0.96968240000000006</v>
      </c>
      <c r="Q6306">
        <v>0.2250045</v>
      </c>
      <c r="R6306">
        <v>9.5337409999999997E-2</v>
      </c>
      <c r="S6306">
        <v>3.0626679999999999</v>
      </c>
      <c r="T6306">
        <v>0.10632460000000001</v>
      </c>
      <c r="U6306">
        <v>6.1889649999999997E-2</v>
      </c>
      <c r="V6306">
        <v>-0.1102383</v>
      </c>
      <c r="W6306">
        <v>0.2377426</v>
      </c>
      <c r="X6306">
        <v>0.96505229999999997</v>
      </c>
      <c r="Y6306">
        <v>-3.4508549999999999E-2</v>
      </c>
      <c r="Z6306">
        <v>-1.056328E-3</v>
      </c>
      <c r="AA6306">
        <v>0.99940379999999995</v>
      </c>
      <c r="AB6306">
        <v>29</v>
      </c>
      <c r="AC6306">
        <v>91.405600000000007</v>
      </c>
      <c r="AD6306">
        <v>3.1783579999999998</v>
      </c>
      <c r="AE6306">
        <v>1.8511799999999901</v>
      </c>
      <c r="AF6306">
        <v>-3.1578640298868099</v>
      </c>
      <c r="AG6306">
        <v>3.1783579999999998</v>
      </c>
      <c r="AH6306">
        <v>91.259361837910902</v>
      </c>
      <c r="AI6306">
        <v>88.006515458914805</v>
      </c>
      <c r="AJ6306">
        <v>91.981825365476993</v>
      </c>
      <c r="AK6306">
        <v>91.369279234708699</v>
      </c>
      <c r="AL6306">
        <v>76.246654784066806</v>
      </c>
      <c r="AM6306">
        <v>96.516672717234101</v>
      </c>
      <c r="AN6306">
        <v>0.99999998418846903</v>
      </c>
    </row>
    <row r="6307" spans="1:40" x14ac:dyDescent="0.25">
      <c r="A6307" t="str">
        <f>"20190304155759103"</f>
        <v>20190304155759103</v>
      </c>
      <c r="B6307" t="str">
        <f>"1551686279100692"</f>
        <v>1551686279100692</v>
      </c>
      <c r="C6307" t="s">
        <v>40</v>
      </c>
      <c r="D6307">
        <v>5.0677349999999999</v>
      </c>
      <c r="E6307">
        <v>0.52853749999999999</v>
      </c>
      <c r="F6307" t="s">
        <v>73</v>
      </c>
      <c r="G6307">
        <v>-157.3501</v>
      </c>
      <c r="H6307">
        <v>4.9145089999999998</v>
      </c>
      <c r="I6307">
        <v>-61.449890000000003</v>
      </c>
      <c r="J6307">
        <v>-248.60409999999999</v>
      </c>
      <c r="K6307">
        <v>1.1121799999999999</v>
      </c>
      <c r="L6307">
        <v>-63.228490000000001</v>
      </c>
      <c r="M6307">
        <v>0.99981909999999896</v>
      </c>
      <c r="N6307">
        <v>-1.3671579999999999E-2</v>
      </c>
      <c r="O6307">
        <v>-1.322476E-2</v>
      </c>
      <c r="P6307">
        <v>0.96949439999999998</v>
      </c>
      <c r="Q6307">
        <v>0.22589339999999999</v>
      </c>
      <c r="R6307">
        <v>9.5145900000000005E-2</v>
      </c>
      <c r="S6307">
        <v>3.0584259999999999</v>
      </c>
      <c r="T6307">
        <v>0.12722429999999901</v>
      </c>
      <c r="U6307">
        <v>5.9478759999999999E-2</v>
      </c>
      <c r="V6307">
        <v>-0.1089526</v>
      </c>
      <c r="W6307">
        <v>0.23865810000000001</v>
      </c>
      <c r="X6307">
        <v>0.96497230000000001</v>
      </c>
      <c r="Y6307">
        <v>-3.2626509999999997E-2</v>
      </c>
      <c r="Z6307">
        <v>-1.1856449999999999E-3</v>
      </c>
      <c r="AA6307">
        <v>0.99946690000000005</v>
      </c>
      <c r="AB6307">
        <v>29</v>
      </c>
      <c r="AC6307">
        <v>91.254000000000005</v>
      </c>
      <c r="AD6307">
        <v>3.8023289999999998</v>
      </c>
      <c r="AE6307">
        <v>1.77859999999999</v>
      </c>
      <c r="AF6307">
        <v>-2.9801972520835398</v>
      </c>
      <c r="AG6307">
        <v>3.8023289999999998</v>
      </c>
      <c r="AH6307">
        <v>91.0644499677162</v>
      </c>
      <c r="AI6307">
        <v>87.610323635331994</v>
      </c>
      <c r="AJ6307">
        <v>91.874406585079996</v>
      </c>
      <c r="AK6307">
        <v>91.192506980608101</v>
      </c>
      <c r="AL6307">
        <v>76.1926454063167</v>
      </c>
      <c r="AM6307">
        <v>96.441841326005999</v>
      </c>
      <c r="AN6307">
        <v>0.99999994875482801</v>
      </c>
    </row>
    <row r="6308" spans="1:40" x14ac:dyDescent="0.25">
      <c r="A6308" t="str">
        <f>"20190304155759114"</f>
        <v>20190304155759114</v>
      </c>
      <c r="B6308" t="str">
        <f>"1551686279111429"</f>
        <v>1551686279111429</v>
      </c>
      <c r="C6308" t="s">
        <v>40</v>
      </c>
      <c r="D6308">
        <v>5.0635159999999999</v>
      </c>
      <c r="E6308">
        <v>0.52812399999999904</v>
      </c>
      <c r="F6308" t="s">
        <v>73</v>
      </c>
      <c r="G6308">
        <v>-157.3501</v>
      </c>
      <c r="H6308">
        <v>5.6965139999999996</v>
      </c>
      <c r="I6308">
        <v>-61.510890000000003</v>
      </c>
      <c r="J6308">
        <v>-248.4691</v>
      </c>
      <c r="K6308">
        <v>1.1121529999999999</v>
      </c>
      <c r="L6308">
        <v>-63.229280000000003</v>
      </c>
      <c r="M6308">
        <v>0.99983140000000004</v>
      </c>
      <c r="N6308">
        <v>-1.368452E-2</v>
      </c>
      <c r="O6308">
        <v>-1.2246959999999999E-2</v>
      </c>
      <c r="P6308">
        <v>0.96925159999999999</v>
      </c>
      <c r="Q6308">
        <v>0.22701760000000001</v>
      </c>
      <c r="R6308">
        <v>9.4944000000000001E-2</v>
      </c>
      <c r="S6308">
        <v>3.0530400000000002</v>
      </c>
      <c r="T6308">
        <v>0.15337500000000001</v>
      </c>
      <c r="U6308">
        <v>5.7464599999999998E-2</v>
      </c>
      <c r="V6308">
        <v>-0.1077888</v>
      </c>
      <c r="W6308">
        <v>0.23980489999999999</v>
      </c>
      <c r="X6308">
        <v>0.96481870000000003</v>
      </c>
      <c r="Y6308">
        <v>-3.100986E-2</v>
      </c>
      <c r="Z6308">
        <v>-1.3483189999999999E-3</v>
      </c>
      <c r="AA6308">
        <v>0.99951820000000002</v>
      </c>
      <c r="AB6308">
        <v>29</v>
      </c>
      <c r="AC6308">
        <v>91.119</v>
      </c>
      <c r="AD6308">
        <v>4.5843610000000004</v>
      </c>
      <c r="AE6308">
        <v>1.7183899999999901</v>
      </c>
      <c r="AF6308">
        <v>-2.8271425692781902</v>
      </c>
      <c r="AG6308">
        <v>4.5843610000000004</v>
      </c>
      <c r="AH6308">
        <v>90.861204922568405</v>
      </c>
      <c r="AI6308">
        <v>87.113011447243494</v>
      </c>
      <c r="AJ6308">
        <v>91.782180784066995</v>
      </c>
      <c r="AK6308">
        <v>91.020699079200199</v>
      </c>
      <c r="AL6308">
        <v>76.124973877614394</v>
      </c>
      <c r="AM6308">
        <v>96.374607048001593</v>
      </c>
      <c r="AN6308">
        <v>0.99999996966956906</v>
      </c>
    </row>
    <row r="6309" spans="1:40" x14ac:dyDescent="0.25">
      <c r="A6309" t="str">
        <f>"20190304155759125"</f>
        <v>20190304155759125</v>
      </c>
      <c r="B6309" t="str">
        <f>"1551686279121188"</f>
        <v>1551686279121188</v>
      </c>
      <c r="C6309" t="s">
        <v>40</v>
      </c>
      <c r="D6309">
        <v>4.969214</v>
      </c>
      <c r="E6309">
        <v>0.52840690000000001</v>
      </c>
      <c r="F6309" t="s">
        <v>73</v>
      </c>
      <c r="G6309">
        <v>-157.3501</v>
      </c>
      <c r="H6309">
        <v>6.2694269999999896</v>
      </c>
      <c r="I6309">
        <v>-61.447139999999997</v>
      </c>
      <c r="J6309">
        <v>-248.32169999999999</v>
      </c>
      <c r="K6309">
        <v>1.112123</v>
      </c>
      <c r="L6309">
        <v>-63.229979999999998</v>
      </c>
      <c r="M6309">
        <v>0.9998435</v>
      </c>
      <c r="N6309">
        <v>-1.3698139999999999E-2</v>
      </c>
      <c r="O6309">
        <v>-1.120175E-2</v>
      </c>
      <c r="P6309">
        <v>0.96914270000000002</v>
      </c>
      <c r="Q6309">
        <v>0.22758819999999999</v>
      </c>
      <c r="R6309">
        <v>9.4690700000000003E-2</v>
      </c>
      <c r="S6309">
        <v>3.0489039999999998</v>
      </c>
      <c r="T6309">
        <v>0.1725652</v>
      </c>
      <c r="U6309">
        <v>5.963135E-2</v>
      </c>
      <c r="V6309">
        <v>-0.1065059</v>
      </c>
      <c r="W6309">
        <v>0.24040210000000001</v>
      </c>
      <c r="X6309">
        <v>0.96481260000000002</v>
      </c>
      <c r="Y6309">
        <v>-3.068914E-2</v>
      </c>
      <c r="Z6309">
        <v>-1.4440929999999901E-3</v>
      </c>
      <c r="AA6309">
        <v>0.99952790000000002</v>
      </c>
      <c r="AB6309">
        <v>29</v>
      </c>
      <c r="AC6309">
        <v>90.971599999999995</v>
      </c>
      <c r="AD6309">
        <v>5.1573039999999999</v>
      </c>
      <c r="AE6309">
        <v>1.78284</v>
      </c>
      <c r="AF6309">
        <v>-2.7928921282213501</v>
      </c>
      <c r="AG6309">
        <v>5.1573039999999999</v>
      </c>
      <c r="AH6309">
        <v>90.654674264701001</v>
      </c>
      <c r="AI6309">
        <v>86.745519025078906</v>
      </c>
      <c r="AJ6309">
        <v>91.764612079232407</v>
      </c>
      <c r="AK6309">
        <v>90.844196275972095</v>
      </c>
      <c r="AL6309">
        <v>76.089726372707602</v>
      </c>
      <c r="AM6309">
        <v>96.299389670349996</v>
      </c>
      <c r="AN6309">
        <v>1.00000001476899</v>
      </c>
    </row>
    <row r="6310" spans="1:40" x14ac:dyDescent="0.25">
      <c r="A6310" t="str">
        <f>"20190304155759137"</f>
        <v>20190304155759137</v>
      </c>
      <c r="B6310" t="str">
        <f>"1551686279130947"</f>
        <v>1551686279130947</v>
      </c>
      <c r="C6310" t="s">
        <v>40</v>
      </c>
      <c r="D6310">
        <v>4.7337160000000003</v>
      </c>
      <c r="E6310">
        <v>0.52863099999999996</v>
      </c>
      <c r="F6310" t="s">
        <v>73</v>
      </c>
      <c r="G6310">
        <v>-157.3501</v>
      </c>
      <c r="H6310">
        <v>6.0803820000000002</v>
      </c>
      <c r="I6310">
        <v>-61.557459999999999</v>
      </c>
      <c r="J6310">
        <v>-248.1669</v>
      </c>
      <c r="K6310">
        <v>1.11208</v>
      </c>
      <c r="L6310">
        <v>-63.230589999999999</v>
      </c>
      <c r="M6310">
        <v>0.99985469999999999</v>
      </c>
      <c r="N6310">
        <v>-1.3711610000000001E-2</v>
      </c>
      <c r="O6310">
        <v>-1.0132270000000001E-2</v>
      </c>
      <c r="P6310">
        <v>0.96894179999999996</v>
      </c>
      <c r="Q6310">
        <v>0.22831119999999999</v>
      </c>
      <c r="R6310">
        <v>9.5007400000000006E-2</v>
      </c>
      <c r="S6310">
        <v>3.0509189999999999</v>
      </c>
      <c r="T6310">
        <v>0.16661999999999999</v>
      </c>
      <c r="U6310">
        <v>5.6091309999999998E-2</v>
      </c>
      <c r="V6310">
        <v>-0.1057666</v>
      </c>
      <c r="W6310">
        <v>0.24114910000000001</v>
      </c>
      <c r="X6310">
        <v>0.96470750000000005</v>
      </c>
      <c r="Y6310">
        <v>-2.8457159999999999E-2</v>
      </c>
      <c r="Z6310">
        <v>-1.272886E-3</v>
      </c>
      <c r="AA6310">
        <v>0.99959419999999999</v>
      </c>
      <c r="AB6310">
        <v>29</v>
      </c>
      <c r="AC6310">
        <v>90.816800000000001</v>
      </c>
      <c r="AD6310">
        <v>4.9683019999999898</v>
      </c>
      <c r="AE6310">
        <v>1.67313</v>
      </c>
      <c r="AF6310">
        <v>-2.58557531692299</v>
      </c>
      <c r="AG6310">
        <v>4.9683019999999898</v>
      </c>
      <c r="AH6310">
        <v>90.524350024462706</v>
      </c>
      <c r="AI6310">
        <v>86.859831243790097</v>
      </c>
      <c r="AJ6310">
        <v>91.636049174118995</v>
      </c>
      <c r="AK6310">
        <v>90.697448540927098</v>
      </c>
      <c r="AL6310">
        <v>76.045629070453799</v>
      </c>
      <c r="AM6310">
        <v>96.256687153735896</v>
      </c>
      <c r="AN6310">
        <v>1.0000000113313099</v>
      </c>
    </row>
    <row r="6311" spans="1:40" x14ac:dyDescent="0.25">
      <c r="A6311" t="str">
        <f>"20190304155759147"</f>
        <v>20190304155759147</v>
      </c>
      <c r="B6311" t="str">
        <f>"1551686279140708"</f>
        <v>1551686279140708</v>
      </c>
      <c r="C6311" t="s">
        <v>40</v>
      </c>
      <c r="D6311">
        <v>5.0305910000000003</v>
      </c>
      <c r="E6311">
        <v>0.52877819999999998</v>
      </c>
      <c r="F6311" t="s">
        <v>73</v>
      </c>
      <c r="G6311">
        <v>-157.3501</v>
      </c>
      <c r="H6311">
        <v>6.524349</v>
      </c>
      <c r="I6311">
        <v>-61.592939999999999</v>
      </c>
      <c r="J6311">
        <v>-248.03270000000001</v>
      </c>
      <c r="K6311">
        <v>1.112047</v>
      </c>
      <c r="L6311">
        <v>-63.231050000000003</v>
      </c>
      <c r="M6311">
        <v>0.99986339999999996</v>
      </c>
      <c r="N6311">
        <v>-1.3722899999999901E-2</v>
      </c>
      <c r="O6311">
        <v>-9.2193699999999993E-3</v>
      </c>
      <c r="P6311">
        <v>0.96888850000000004</v>
      </c>
      <c r="Q6311">
        <v>0.2285951</v>
      </c>
      <c r="R6311">
        <v>9.4865779999999997E-2</v>
      </c>
      <c r="S6311">
        <v>3.0479579999999999</v>
      </c>
      <c r="T6311">
        <v>0.18164359999999999</v>
      </c>
      <c r="U6311">
        <v>5.4962160000000003E-2</v>
      </c>
      <c r="V6311">
        <v>-0.10472239999999999</v>
      </c>
      <c r="W6311">
        <v>0.24145730000000001</v>
      </c>
      <c r="X6311">
        <v>0.9647443</v>
      </c>
      <c r="Y6311">
        <v>-2.718564E-2</v>
      </c>
      <c r="Z6311">
        <v>-1.2978760000000001E-3</v>
      </c>
      <c r="AA6311">
        <v>0.99962960000000001</v>
      </c>
      <c r="AB6311">
        <v>29</v>
      </c>
      <c r="AC6311">
        <v>90.682599999999994</v>
      </c>
      <c r="AD6311">
        <v>5.4123019999999897</v>
      </c>
      <c r="AE6311">
        <v>1.63810999999999</v>
      </c>
      <c r="AF6311">
        <v>-2.46537623175433</v>
      </c>
      <c r="AG6311">
        <v>5.4123019999999897</v>
      </c>
      <c r="AH6311">
        <v>90.341932130402199</v>
      </c>
      <c r="AI6311">
        <v>86.572833180340893</v>
      </c>
      <c r="AJ6311">
        <v>91.5631789186925</v>
      </c>
      <c r="AK6311">
        <v>90.537482812134201</v>
      </c>
      <c r="AL6311">
        <v>76.027432454863202</v>
      </c>
      <c r="AM6311">
        <v>96.195165110816504</v>
      </c>
      <c r="AN6311">
        <v>0.99999998658376998</v>
      </c>
    </row>
    <row r="6312" spans="1:40" x14ac:dyDescent="0.25">
      <c r="A6312" t="str">
        <f>"20190304155759158"</f>
        <v>20190304155759158</v>
      </c>
      <c r="B6312" t="str">
        <f>"1551686279151444"</f>
        <v>1551686279151444</v>
      </c>
      <c r="C6312" t="s">
        <v>40</v>
      </c>
      <c r="D6312">
        <v>5.0209609999999998</v>
      </c>
      <c r="E6312">
        <v>0.52902879999999997</v>
      </c>
      <c r="F6312" t="s">
        <v>73</v>
      </c>
      <c r="G6312">
        <v>-161.20660000000001</v>
      </c>
      <c r="H6312">
        <v>6.6740880000000002</v>
      </c>
      <c r="I6312">
        <v>-61.710850000000001</v>
      </c>
      <c r="J6312">
        <v>-247.893</v>
      </c>
      <c r="K6312">
        <v>1.112009</v>
      </c>
      <c r="L6312">
        <v>-63.231319999999997</v>
      </c>
      <c r="M6312">
        <v>0.99987119999999996</v>
      </c>
      <c r="N6312">
        <v>-1.373371E-2</v>
      </c>
      <c r="O6312">
        <v>-8.3067660000000001E-3</v>
      </c>
      <c r="P6312">
        <v>0.96909069999999997</v>
      </c>
      <c r="Q6312">
        <v>0.22765389999999999</v>
      </c>
      <c r="R6312">
        <v>9.5063149999999999E-2</v>
      </c>
      <c r="S6312">
        <v>3.0450740000000001</v>
      </c>
      <c r="T6312">
        <v>0.1950653</v>
      </c>
      <c r="U6312">
        <v>5.3314210000000001E-2</v>
      </c>
      <c r="V6312">
        <v>-0.10401249999999999</v>
      </c>
      <c r="W6312">
        <v>0.24054229999999999</v>
      </c>
      <c r="X6312">
        <v>0.96504959999999995</v>
      </c>
      <c r="Y6312">
        <v>-2.574481E-2</v>
      </c>
      <c r="Z6312">
        <v>-1.292222E-3</v>
      </c>
      <c r="AA6312">
        <v>0.99966770000000005</v>
      </c>
      <c r="AB6312">
        <v>29</v>
      </c>
      <c r="AC6312">
        <v>86.686399999999907</v>
      </c>
      <c r="AD6312">
        <v>5.5620789999999998</v>
      </c>
      <c r="AE6312">
        <v>1.52046999999999</v>
      </c>
      <c r="AF6312">
        <v>-2.2313854690960002</v>
      </c>
      <c r="AG6312">
        <v>5.5620789999999998</v>
      </c>
      <c r="AH6312">
        <v>86.315532416655799</v>
      </c>
      <c r="AI6312">
        <v>86.314247897079795</v>
      </c>
      <c r="AJ6312">
        <v>91.480851675290495</v>
      </c>
      <c r="AK6312">
        <v>86.523331768284905</v>
      </c>
      <c r="AL6312">
        <v>76.081449946450903</v>
      </c>
      <c r="AM6312">
        <v>96.151560371664999</v>
      </c>
      <c r="AN6312">
        <v>0.99999996435284899</v>
      </c>
    </row>
    <row r="6313" spans="1:40" x14ac:dyDescent="0.25">
      <c r="A6313" t="str">
        <f>"20190304155759169"</f>
        <v>20190304155759169</v>
      </c>
      <c r="B6313" t="str">
        <f>"1551686279161203"</f>
        <v>1551686279161203</v>
      </c>
      <c r="C6313" t="s">
        <v>40</v>
      </c>
      <c r="D6313">
        <v>4.7306309999999998</v>
      </c>
      <c r="E6313">
        <v>0.52923359999999997</v>
      </c>
      <c r="F6313" t="s">
        <v>73</v>
      </c>
      <c r="G6313">
        <v>-157.3501</v>
      </c>
      <c r="H6313">
        <v>6.612514</v>
      </c>
      <c r="I6313">
        <v>-61.691560000000003</v>
      </c>
      <c r="J6313">
        <v>-247.74539999999999</v>
      </c>
      <c r="K6313">
        <v>1.1119730000000001</v>
      </c>
      <c r="L6313">
        <v>-63.2316</v>
      </c>
      <c r="M6313">
        <v>0.9998785</v>
      </c>
      <c r="N6313">
        <v>-1.3744950000000001E-2</v>
      </c>
      <c r="O6313">
        <v>-7.3527219999999999E-3</v>
      </c>
      <c r="P6313">
        <v>0.96935530000000003</v>
      </c>
      <c r="Q6313">
        <v>0.226408</v>
      </c>
      <c r="R6313">
        <v>9.5340380000000002E-2</v>
      </c>
      <c r="S6313">
        <v>3.0471189999999999</v>
      </c>
      <c r="T6313">
        <v>0.18511240000000001</v>
      </c>
      <c r="U6313">
        <v>5.181885E-2</v>
      </c>
      <c r="V6313">
        <v>-0.1033395</v>
      </c>
      <c r="W6313">
        <v>0.23932529999999999</v>
      </c>
      <c r="X6313">
        <v>0.96542439999999996</v>
      </c>
      <c r="Y6313">
        <v>-2.4300269999999999E-2</v>
      </c>
      <c r="Z6313">
        <v>-1.1174290000000001E-3</v>
      </c>
      <c r="AA6313">
        <v>0.99970409999999998</v>
      </c>
      <c r="AB6313">
        <v>29</v>
      </c>
      <c r="AC6313">
        <v>90.395300000000006</v>
      </c>
      <c r="AD6313">
        <v>5.5005410000000001</v>
      </c>
      <c r="AE6313">
        <v>1.5400400000000001</v>
      </c>
      <c r="AF6313">
        <v>-2.1965817319985002</v>
      </c>
      <c r="AG6313">
        <v>5.5005410000000001</v>
      </c>
      <c r="AH6313">
        <v>90.048206255472294</v>
      </c>
      <c r="AI6313">
        <v>86.505501728759995</v>
      </c>
      <c r="AJ6313">
        <v>91.397361634807694</v>
      </c>
      <c r="AK6313">
        <v>90.242785708477001</v>
      </c>
      <c r="AL6313">
        <v>76.153277005249706</v>
      </c>
      <c r="AM6313">
        <v>96.109704815259704</v>
      </c>
      <c r="AN6313">
        <v>0.999999961797849</v>
      </c>
    </row>
    <row r="6314" spans="1:40" x14ac:dyDescent="0.25">
      <c r="A6314" t="str">
        <f>"20190304155759181"</f>
        <v>20190304155759181</v>
      </c>
      <c r="B6314" t="str">
        <f>"1551686279170964"</f>
        <v>1551686279170964</v>
      </c>
      <c r="C6314" t="s">
        <v>40</v>
      </c>
      <c r="D6314">
        <v>4.9922279999999999</v>
      </c>
      <c r="E6314">
        <v>0.52934989999999904</v>
      </c>
      <c r="F6314" t="s">
        <v>73</v>
      </c>
      <c r="G6314">
        <v>-160.79900000000001</v>
      </c>
      <c r="H6314">
        <v>6.6740880000000002</v>
      </c>
      <c r="I6314">
        <v>-61.778660000000002</v>
      </c>
      <c r="J6314">
        <v>-247.59880000000001</v>
      </c>
      <c r="K6314">
        <v>1.1119270000000001</v>
      </c>
      <c r="L6314">
        <v>-63.231659999999998</v>
      </c>
      <c r="M6314">
        <v>0.99988460000000001</v>
      </c>
      <c r="N6314">
        <v>-1.375494E-2</v>
      </c>
      <c r="O6314">
        <v>-6.4602430000000001E-3</v>
      </c>
      <c r="P6314">
        <v>0.96978220000000004</v>
      </c>
      <c r="Q6314">
        <v>0.22445760000000001</v>
      </c>
      <c r="R6314">
        <v>9.5610630000000002E-2</v>
      </c>
      <c r="S6314">
        <v>3.0443570000000002</v>
      </c>
      <c r="T6314">
        <v>0.19475200000000001</v>
      </c>
      <c r="U6314">
        <v>5.0872800000000003E-2</v>
      </c>
      <c r="V6314">
        <v>-0.1027154</v>
      </c>
      <c r="W6314">
        <v>0.2374049</v>
      </c>
      <c r="X6314">
        <v>0.96596499999999996</v>
      </c>
      <c r="Y6314">
        <v>-2.311125E-2</v>
      </c>
      <c r="Z6314">
        <v>-1.0809019999999999E-3</v>
      </c>
      <c r="AA6314">
        <v>0.99973230000000002</v>
      </c>
      <c r="AB6314">
        <v>29</v>
      </c>
      <c r="AC6314">
        <v>86.799800000000005</v>
      </c>
      <c r="AD6314">
        <v>5.5621609999999997</v>
      </c>
      <c r="AE6314">
        <v>1.4530000000000001</v>
      </c>
      <c r="AF6314">
        <v>-2.00553747446178</v>
      </c>
      <c r="AG6314">
        <v>5.5621609999999997</v>
      </c>
      <c r="AH6314">
        <v>86.433777967062099</v>
      </c>
      <c r="AI6314">
        <v>86.318983900822005</v>
      </c>
      <c r="AJ6314">
        <v>91.329205091985699</v>
      </c>
      <c r="AK6314">
        <v>86.635776612267904</v>
      </c>
      <c r="AL6314">
        <v>76.266573531800802</v>
      </c>
      <c r="AM6314">
        <v>96.069709540096198</v>
      </c>
      <c r="AN6314">
        <v>0.99999996058308405</v>
      </c>
    </row>
    <row r="6315" spans="1:40" x14ac:dyDescent="0.25">
      <c r="A6315" t="str">
        <f>"20190304155759193"</f>
        <v>20190304155759193</v>
      </c>
      <c r="B6315" t="str">
        <f>"1551686279191460"</f>
        <v>1551686279191460</v>
      </c>
      <c r="C6315" t="s">
        <v>40</v>
      </c>
      <c r="D6315">
        <v>5.0507350000000004</v>
      </c>
      <c r="E6315">
        <v>0.52955649999999999</v>
      </c>
      <c r="F6315" t="s">
        <v>73</v>
      </c>
      <c r="G6315">
        <v>-157.3501</v>
      </c>
      <c r="H6315">
        <v>6.5235570000000003</v>
      </c>
      <c r="I6315">
        <v>-61.756160000000001</v>
      </c>
      <c r="J6315">
        <v>-247.44489999999999</v>
      </c>
      <c r="K6315">
        <v>1.1118749999999999</v>
      </c>
      <c r="L6315">
        <v>-63.23169</v>
      </c>
      <c r="M6315">
        <v>0.99988999999999995</v>
      </c>
      <c r="N6315">
        <v>-1.3765990000000001E-2</v>
      </c>
      <c r="O6315">
        <v>-5.5392039999999998E-3</v>
      </c>
      <c r="P6315">
        <v>0.97020289999999998</v>
      </c>
      <c r="Q6315">
        <v>0.22252</v>
      </c>
      <c r="R6315">
        <v>9.5871810000000002E-2</v>
      </c>
      <c r="S6315">
        <v>3.0463100000000001</v>
      </c>
      <c r="T6315">
        <v>0.18266669999999999</v>
      </c>
      <c r="U6315">
        <v>4.9804689999999999E-2</v>
      </c>
      <c r="V6315">
        <v>-0.1020524</v>
      </c>
      <c r="W6315">
        <v>0.23549880000000001</v>
      </c>
      <c r="X6315">
        <v>0.96650179999999997</v>
      </c>
      <c r="Y6315">
        <v>-2.1840499999999999E-2</v>
      </c>
      <c r="Z6315">
        <v>-9.1173070000000005E-4</v>
      </c>
      <c r="AA6315">
        <v>0.99976100000000001</v>
      </c>
      <c r="AB6315">
        <v>29</v>
      </c>
      <c r="AC6315">
        <v>90.094800000000006</v>
      </c>
      <c r="AD6315">
        <v>5.4116819999999999</v>
      </c>
      <c r="AE6315">
        <v>1.47553</v>
      </c>
      <c r="AF6315">
        <v>-1.9675112254118401</v>
      </c>
      <c r="AG6315">
        <v>5.4116819999999999</v>
      </c>
      <c r="AH6315">
        <v>89.761472040358996</v>
      </c>
      <c r="AI6315">
        <v>86.550663906292996</v>
      </c>
      <c r="AJ6315">
        <v>91.255683959001004</v>
      </c>
      <c r="AK6315">
        <v>89.945979706396002</v>
      </c>
      <c r="AL6315">
        <v>76.378973598078105</v>
      </c>
      <c r="AM6315">
        <v>96.027495992707102</v>
      </c>
      <c r="AN6315">
        <v>1.00000005327521</v>
      </c>
    </row>
    <row r="6316" spans="1:40" x14ac:dyDescent="0.25">
      <c r="A6316" t="str">
        <f>"20190304155759205"</f>
        <v>20190304155759205</v>
      </c>
      <c r="B6316" t="str">
        <f>"1551686279201219"</f>
        <v>1551686279201219</v>
      </c>
      <c r="C6316" t="s">
        <v>40</v>
      </c>
      <c r="D6316">
        <v>5.0313299999999996</v>
      </c>
      <c r="E6316">
        <v>0.52995579999999998</v>
      </c>
      <c r="F6316" t="s">
        <v>73</v>
      </c>
      <c r="G6316">
        <v>-161.3931</v>
      </c>
      <c r="H6316">
        <v>6.6740869999999903</v>
      </c>
      <c r="I6316">
        <v>-61.860900000000001</v>
      </c>
      <c r="J6316">
        <v>-247.29499999999999</v>
      </c>
      <c r="K6316">
        <v>1.11182</v>
      </c>
      <c r="L6316">
        <v>-63.2316</v>
      </c>
      <c r="M6316">
        <v>0.99989410000000001</v>
      </c>
      <c r="N6316">
        <v>-1.377797E-2</v>
      </c>
      <c r="O6316">
        <v>-4.6812390000000002E-3</v>
      </c>
      <c r="P6316">
        <v>0.97037490000000004</v>
      </c>
      <c r="Q6316">
        <v>0.2217442</v>
      </c>
      <c r="R6316">
        <v>9.5927120000000005E-2</v>
      </c>
      <c r="S6316">
        <v>3.0422359999999999</v>
      </c>
      <c r="T6316">
        <v>0.19664300000000001</v>
      </c>
      <c r="U6316">
        <v>4.8461909999999997E-2</v>
      </c>
      <c r="V6316">
        <v>-0.1012467</v>
      </c>
      <c r="W6316">
        <v>0.23475309999999999</v>
      </c>
      <c r="X6316">
        <v>0.96676779999999995</v>
      </c>
      <c r="Y6316">
        <v>-2.0560490000000001E-2</v>
      </c>
      <c r="Z6316">
        <v>-8.8865020000000001E-4</v>
      </c>
      <c r="AA6316">
        <v>0.99978820000000002</v>
      </c>
      <c r="AB6316">
        <v>29</v>
      </c>
      <c r="AC6316">
        <v>85.901899999999898</v>
      </c>
      <c r="AD6316">
        <v>5.5622669999999896</v>
      </c>
      <c r="AE6316">
        <v>1.37069999999999</v>
      </c>
      <c r="AF6316">
        <v>-1.76545029195576</v>
      </c>
      <c r="AG6316">
        <v>5.5622669999999896</v>
      </c>
      <c r="AH6316">
        <v>85.536002316409196</v>
      </c>
      <c r="AI6316">
        <v>86.280177277743803</v>
      </c>
      <c r="AJ6316">
        <v>91.182408433645406</v>
      </c>
      <c r="AK6316">
        <v>85.734843098855805</v>
      </c>
      <c r="AL6316">
        <v>76.422929932223497</v>
      </c>
      <c r="AM6316">
        <v>95.978621837461105</v>
      </c>
      <c r="AN6316">
        <v>0.99999994566866801</v>
      </c>
    </row>
    <row r="6317" spans="1:40" x14ac:dyDescent="0.25">
      <c r="A6317" t="str">
        <f>"20190304155759215"</f>
        <v>20190304155759215</v>
      </c>
      <c r="B6317" t="str">
        <f>"1551686279210980"</f>
        <v>1551686279210980</v>
      </c>
      <c r="C6317" t="s">
        <v>40</v>
      </c>
      <c r="D6317">
        <v>5.1013830000000002</v>
      </c>
      <c r="E6317">
        <v>0.53028560000000002</v>
      </c>
      <c r="F6317" t="s">
        <v>73</v>
      </c>
      <c r="G6317">
        <v>-157.3501</v>
      </c>
      <c r="H6317">
        <v>6.6538469999999998</v>
      </c>
      <c r="I6317">
        <v>-61.897129999999997</v>
      </c>
      <c r="J6317">
        <v>-247.16309999999999</v>
      </c>
      <c r="K6317">
        <v>1.1117699999999999</v>
      </c>
      <c r="L6317">
        <v>-63.231409999999997</v>
      </c>
      <c r="M6317">
        <v>0.99989709999999998</v>
      </c>
      <c r="N6317">
        <v>-1.378894E-2</v>
      </c>
      <c r="O6317">
        <v>-3.9516000000000004E-3</v>
      </c>
      <c r="P6317">
        <v>0.97062519999999997</v>
      </c>
      <c r="Q6317">
        <v>0.22066559999999999</v>
      </c>
      <c r="R6317">
        <v>9.5881460000000002E-2</v>
      </c>
      <c r="S6317">
        <v>3.0442659999999999</v>
      </c>
      <c r="T6317">
        <v>0.18757389999999999</v>
      </c>
      <c r="U6317">
        <v>4.5166020000000001E-2</v>
      </c>
      <c r="V6317">
        <v>-0.1004661</v>
      </c>
      <c r="W6317">
        <v>0.2337022</v>
      </c>
      <c r="X6317">
        <v>0.96710379999999996</v>
      </c>
      <c r="Y6317">
        <v>-1.8747420000000001E-2</v>
      </c>
      <c r="Z6317">
        <v>-7.4528690000000004E-4</v>
      </c>
      <c r="AA6317">
        <v>0.99982400000000005</v>
      </c>
      <c r="AB6317">
        <v>29</v>
      </c>
      <c r="AC6317">
        <v>89.812999999999903</v>
      </c>
      <c r="AD6317">
        <v>5.5420769999999999</v>
      </c>
      <c r="AE6317">
        <v>1.3342799999999899</v>
      </c>
      <c r="AF6317">
        <v>-1.68280213250527</v>
      </c>
      <c r="AG6317">
        <v>5.5420769999999999</v>
      </c>
      <c r="AH6317">
        <v>89.466436298817499</v>
      </c>
      <c r="AI6317">
        <v>86.455917272504607</v>
      </c>
      <c r="AJ6317">
        <v>91.077567139490398</v>
      </c>
      <c r="AK6317">
        <v>89.653720862558004</v>
      </c>
      <c r="AL6317">
        <v>76.484865163690202</v>
      </c>
      <c r="AM6317">
        <v>95.930810867749301</v>
      </c>
      <c r="AN6317">
        <v>0.999999957754244</v>
      </c>
    </row>
    <row r="6318" spans="1:40" x14ac:dyDescent="0.25">
      <c r="A6318" t="str">
        <f>"20190304155759225"</f>
        <v>20190304155759225</v>
      </c>
      <c r="B6318" t="str">
        <f>"1551686279220740"</f>
        <v>1551686279220740</v>
      </c>
      <c r="C6318" t="s">
        <v>40</v>
      </c>
      <c r="D6318">
        <v>4.7123379999999999</v>
      </c>
      <c r="E6318">
        <v>0.5303715</v>
      </c>
      <c r="F6318" t="s">
        <v>73</v>
      </c>
      <c r="G6318">
        <v>-158.84440000000001</v>
      </c>
      <c r="H6318">
        <v>6.6740880000000002</v>
      </c>
      <c r="I6318">
        <v>-61.994059999999998</v>
      </c>
      <c r="J6318">
        <v>-247.02189999999999</v>
      </c>
      <c r="K6318">
        <v>1.1117170000000001</v>
      </c>
      <c r="L6318">
        <v>-63.231169999999999</v>
      </c>
      <c r="M6318">
        <v>0.99989969999999995</v>
      </c>
      <c r="N6318">
        <v>-1.380112E-2</v>
      </c>
      <c r="O6318">
        <v>-3.195682E-3</v>
      </c>
      <c r="P6318">
        <v>0.97092339999999999</v>
      </c>
      <c r="Q6318">
        <v>0.21934219999999999</v>
      </c>
      <c r="R6318">
        <v>9.5900299999999994E-2</v>
      </c>
      <c r="S6318">
        <v>3.043015</v>
      </c>
      <c r="T6318">
        <v>0.1916484</v>
      </c>
      <c r="U6318">
        <v>4.263306E-2</v>
      </c>
      <c r="V6318">
        <v>-9.9722119999999997E-2</v>
      </c>
      <c r="W6318">
        <v>0.23240930000000001</v>
      </c>
      <c r="X6318">
        <v>0.96749229999999997</v>
      </c>
      <c r="Y6318">
        <v>-1.716842E-2</v>
      </c>
      <c r="Z6318">
        <v>-6.6660119999999905E-4</v>
      </c>
      <c r="AA6318">
        <v>0.99985239999999997</v>
      </c>
      <c r="AB6318">
        <v>29</v>
      </c>
      <c r="AC6318">
        <v>88.177499999999895</v>
      </c>
      <c r="AD6318">
        <v>5.5623709999999997</v>
      </c>
      <c r="AE6318">
        <v>1.2371099999999999</v>
      </c>
      <c r="AF6318">
        <v>-1.51289869764898</v>
      </c>
      <c r="AG6318">
        <v>5.5623709999999997</v>
      </c>
      <c r="AH6318">
        <v>87.823689725631098</v>
      </c>
      <c r="AI6318">
        <v>86.376511027373397</v>
      </c>
      <c r="AJ6318">
        <v>90.986910678971995</v>
      </c>
      <c r="AK6318">
        <v>88.012665626232007</v>
      </c>
      <c r="AL6318">
        <v>76.561040628312099</v>
      </c>
      <c r="AM6318">
        <v>95.884853709269606</v>
      </c>
      <c r="AN6318">
        <v>0.99999996725153595</v>
      </c>
    </row>
    <row r="6319" spans="1:40" x14ac:dyDescent="0.25">
      <c r="A6319" t="str">
        <f>"20190304155759238"</f>
        <v>20190304155759238</v>
      </c>
      <c r="B6319" t="str">
        <f>"1551686279231476"</f>
        <v>1551686279231476</v>
      </c>
      <c r="C6319" t="s">
        <v>40</v>
      </c>
      <c r="D6319">
        <v>4.6999040000000001</v>
      </c>
      <c r="E6319">
        <v>0.53048119999999999</v>
      </c>
      <c r="F6319" t="s">
        <v>73</v>
      </c>
      <c r="G6319">
        <v>-160.52699999999999</v>
      </c>
      <c r="H6319">
        <v>6.6740880000000002</v>
      </c>
      <c r="I6319">
        <v>-62.028289999999998</v>
      </c>
      <c r="J6319">
        <v>-246.86850000000001</v>
      </c>
      <c r="K6319">
        <v>1.1116619999999999</v>
      </c>
      <c r="L6319">
        <v>-63.2307699999999</v>
      </c>
      <c r="M6319">
        <v>0.99990179999999995</v>
      </c>
      <c r="N6319">
        <v>-1.3813829999999999E-2</v>
      </c>
      <c r="O6319">
        <v>-2.4180370000000001E-3</v>
      </c>
      <c r="P6319">
        <v>0.97110010000000002</v>
      </c>
      <c r="Q6319">
        <v>0.2184807</v>
      </c>
      <c r="R6319">
        <v>9.6076780000000001E-2</v>
      </c>
      <c r="S6319">
        <v>3.041458</v>
      </c>
      <c r="T6319">
        <v>0.1955913</v>
      </c>
      <c r="U6319">
        <v>4.2297359999999999E-2</v>
      </c>
      <c r="V6319">
        <v>-9.9111630000000006E-2</v>
      </c>
      <c r="W6319">
        <v>0.2315786</v>
      </c>
      <c r="X6319">
        <v>0.96775420000000001</v>
      </c>
      <c r="Y6319">
        <v>-1.6289809999999998E-2</v>
      </c>
      <c r="Z6319">
        <v>-5.992991E-4</v>
      </c>
      <c r="AA6319">
        <v>0.99986710000000001</v>
      </c>
      <c r="AB6319">
        <v>29</v>
      </c>
      <c r="AC6319">
        <v>86.341499999999996</v>
      </c>
      <c r="AD6319">
        <v>5.5624260000000003</v>
      </c>
      <c r="AE6319">
        <v>1.20247999999998</v>
      </c>
      <c r="AF6319">
        <v>-1.40544131510419</v>
      </c>
      <c r="AG6319">
        <v>5.5624260000000003</v>
      </c>
      <c r="AH6319">
        <v>85.981551516206594</v>
      </c>
      <c r="AI6319">
        <v>86.299000936757906</v>
      </c>
      <c r="AJ6319">
        <v>90.9364646674222</v>
      </c>
      <c r="AK6319">
        <v>86.172751200305498</v>
      </c>
      <c r="AL6319">
        <v>76.609971335607099</v>
      </c>
      <c r="AM6319">
        <v>95.847505749266404</v>
      </c>
      <c r="AN6319">
        <v>0.99999997739842805</v>
      </c>
    </row>
    <row r="6320" spans="1:40" x14ac:dyDescent="0.25">
      <c r="A6320" t="str">
        <f>"20190304155759248"</f>
        <v>20190304155759248</v>
      </c>
      <c r="B6320" t="str">
        <f>"1551686279241237"</f>
        <v>1551686279241237</v>
      </c>
      <c r="C6320" t="s">
        <v>40</v>
      </c>
      <c r="D6320">
        <v>5.1446489999999896</v>
      </c>
      <c r="E6320">
        <v>0.53073970000000004</v>
      </c>
      <c r="F6320" t="s">
        <v>73</v>
      </c>
      <c r="G6320">
        <v>-166.96350000000001</v>
      </c>
      <c r="H6320">
        <v>6.6740880000000002</v>
      </c>
      <c r="I6320">
        <v>-62.126930000000002</v>
      </c>
      <c r="J6320">
        <v>-246.73869999999999</v>
      </c>
      <c r="K6320">
        <v>1.111615</v>
      </c>
      <c r="L6320">
        <v>-63.230440000000002</v>
      </c>
      <c r="M6320">
        <v>0.99990299999999999</v>
      </c>
      <c r="N6320">
        <v>-1.382443E-2</v>
      </c>
      <c r="O6320">
        <v>-1.7764229999999901E-3</v>
      </c>
      <c r="P6320">
        <v>0.97107259999999995</v>
      </c>
      <c r="Q6320">
        <v>0.21836949999999999</v>
      </c>
      <c r="R6320">
        <v>9.6608399999999997E-2</v>
      </c>
      <c r="S6320">
        <v>3.0375369999999999</v>
      </c>
      <c r="T6320">
        <v>0.21145120000000001</v>
      </c>
      <c r="U6320">
        <v>4.196167E-2</v>
      </c>
      <c r="V6320">
        <v>-9.8994760000000001E-2</v>
      </c>
      <c r="W6320">
        <v>0.2314891</v>
      </c>
      <c r="X6320">
        <v>0.96778759999999997</v>
      </c>
      <c r="Y6320">
        <v>-1.555314E-2</v>
      </c>
      <c r="Z6320">
        <v>-5.8107639999999995E-4</v>
      </c>
      <c r="AA6320">
        <v>0.99987890000000001</v>
      </c>
      <c r="AB6320">
        <v>29</v>
      </c>
      <c r="AC6320">
        <v>79.775199999999899</v>
      </c>
      <c r="AD6320">
        <v>5.5624729999999998</v>
      </c>
      <c r="AE6320">
        <v>1.10351</v>
      </c>
      <c r="AF6320">
        <v>-1.2392125906406699</v>
      </c>
      <c r="AG6320">
        <v>5.5624729999999998</v>
      </c>
      <c r="AH6320">
        <v>79.387220055884001</v>
      </c>
      <c r="AI6320">
        <v>85.992458661234096</v>
      </c>
      <c r="AJ6320">
        <v>90.894298670738493</v>
      </c>
      <c r="AK6320">
        <v>79.591503704364598</v>
      </c>
      <c r="AL6320">
        <v>76.6152428830991</v>
      </c>
      <c r="AM6320">
        <v>95.840458033019601</v>
      </c>
      <c r="AN6320">
        <v>1.00000000232001</v>
      </c>
    </row>
    <row r="6321" spans="1:40" x14ac:dyDescent="0.25">
      <c r="A6321" t="str">
        <f>"20190304155759259"</f>
        <v>20190304155759259</v>
      </c>
      <c r="B6321" t="str">
        <f>"1551686279250996"</f>
        <v>1551686279250996</v>
      </c>
      <c r="C6321" t="s">
        <v>40</v>
      </c>
      <c r="D6321">
        <v>5.095879</v>
      </c>
      <c r="E6321">
        <v>0.53094730000000001</v>
      </c>
      <c r="F6321" t="s">
        <v>73</v>
      </c>
      <c r="G6321">
        <v>-169.244</v>
      </c>
      <c r="H6321">
        <v>6.6837039999999996</v>
      </c>
      <c r="I6321">
        <v>-62.173430000000003</v>
      </c>
      <c r="J6321">
        <v>-246.59719999999999</v>
      </c>
      <c r="K6321">
        <v>1.111564</v>
      </c>
      <c r="L6321">
        <v>-63.229950000000002</v>
      </c>
      <c r="M6321">
        <v>0.99990369999999995</v>
      </c>
      <c r="N6321">
        <v>-1.383698E-2</v>
      </c>
      <c r="O6321">
        <v>-1.1278739999999901E-3</v>
      </c>
      <c r="P6321">
        <v>0.97095690000000001</v>
      </c>
      <c r="Q6321">
        <v>0.21850739999999999</v>
      </c>
      <c r="R6321">
        <v>9.7453600000000001E-2</v>
      </c>
      <c r="S6321">
        <v>3.0361630000000002</v>
      </c>
      <c r="T6321">
        <v>0.21830769999999999</v>
      </c>
      <c r="U6321">
        <v>4.1412350000000001E-2</v>
      </c>
      <c r="V6321">
        <v>-9.9181439999999996E-2</v>
      </c>
      <c r="W6321">
        <v>0.23165050000000001</v>
      </c>
      <c r="X6321">
        <v>0.96772990000000003</v>
      </c>
      <c r="Y6321">
        <v>-1.473147E-2</v>
      </c>
      <c r="Z6321">
        <v>-5.2344360000000005E-4</v>
      </c>
      <c r="AA6321">
        <v>0.99989130000000004</v>
      </c>
      <c r="AB6321">
        <v>29</v>
      </c>
      <c r="AC6321">
        <v>77.353199999999902</v>
      </c>
      <c r="AD6321">
        <v>5.5721399999999903</v>
      </c>
      <c r="AE6321">
        <v>1.0565199999999899</v>
      </c>
      <c r="AF6321">
        <v>-1.1378689853936499</v>
      </c>
      <c r="AG6321">
        <v>5.5721399999999903</v>
      </c>
      <c r="AH6321">
        <v>76.952722363378399</v>
      </c>
      <c r="AI6321">
        <v>85.858896885422595</v>
      </c>
      <c r="AJ6321">
        <v>90.847147932250294</v>
      </c>
      <c r="AK6321">
        <v>77.162587885209803</v>
      </c>
      <c r="AL6321">
        <v>76.605737413394905</v>
      </c>
      <c r="AM6321">
        <v>95.851741827827098</v>
      </c>
      <c r="AN6321">
        <v>1.00000003577236</v>
      </c>
    </row>
    <row r="6322" spans="1:40" x14ac:dyDescent="0.25">
      <c r="A6322" t="str">
        <f>"20190304155759270"</f>
        <v>20190304155759270</v>
      </c>
      <c r="B6322" t="str">
        <f>"1551686279260756"</f>
        <v>1551686279260756</v>
      </c>
      <c r="C6322" t="s">
        <v>40</v>
      </c>
      <c r="D6322">
        <v>5.413888</v>
      </c>
      <c r="E6322">
        <v>0.53094730000000001</v>
      </c>
      <c r="F6322" t="s">
        <v>73</v>
      </c>
      <c r="G6322">
        <v>-169.244</v>
      </c>
      <c r="H6322">
        <v>6.8332560000000004</v>
      </c>
      <c r="I6322">
        <v>-62.153460000000003</v>
      </c>
      <c r="J6322">
        <v>-246.4513</v>
      </c>
      <c r="K6322">
        <v>1.1115139999999999</v>
      </c>
      <c r="L6322">
        <v>-63.229399999999998</v>
      </c>
      <c r="M6322">
        <v>0.99990400000000002</v>
      </c>
      <c r="N6322">
        <v>-1.385023E-2</v>
      </c>
      <c r="O6322">
        <v>-4.72452E-4</v>
      </c>
      <c r="P6322">
        <v>0.97088509999999995</v>
      </c>
      <c r="Q6322">
        <v>0.21823890000000001</v>
      </c>
      <c r="R6322">
        <v>9.8763149999999994E-2</v>
      </c>
      <c r="S6322">
        <v>3.0349729999999999</v>
      </c>
      <c r="T6322">
        <v>0.2244911</v>
      </c>
      <c r="U6322">
        <v>4.2236330000000002E-2</v>
      </c>
      <c r="V6322">
        <v>-9.9824200000000002E-2</v>
      </c>
      <c r="W6322">
        <v>0.2314051</v>
      </c>
      <c r="X6322">
        <v>0.96772250000000004</v>
      </c>
      <c r="Y6322">
        <v>-1.4353980000000001E-2</v>
      </c>
      <c r="Z6322">
        <v>-4.7202570000000002E-4</v>
      </c>
      <c r="AA6322">
        <v>0.99989689999999998</v>
      </c>
      <c r="AB6322">
        <v>29</v>
      </c>
      <c r="AC6322">
        <v>77.207299999999904</v>
      </c>
      <c r="AD6322">
        <v>5.7217419999999999</v>
      </c>
      <c r="AE6322">
        <v>1.0759399999999999</v>
      </c>
      <c r="AF6322">
        <v>-1.1063451237183599</v>
      </c>
      <c r="AG6322">
        <v>5.7217419999999999</v>
      </c>
      <c r="AH6322">
        <v>76.785151817411901</v>
      </c>
      <c r="AI6322">
        <v>85.7388497964739</v>
      </c>
      <c r="AJ6322">
        <v>90.825478869464504</v>
      </c>
      <c r="AK6322">
        <v>77.005985940512005</v>
      </c>
      <c r="AL6322">
        <v>76.620190217412201</v>
      </c>
      <c r="AM6322">
        <v>95.889443916247799</v>
      </c>
      <c r="AN6322">
        <v>1.00000001410895</v>
      </c>
    </row>
    <row r="6323" spans="1:40" x14ac:dyDescent="0.25">
      <c r="A6323" t="str">
        <f>"20190304155759281"</f>
        <v>20190304155759281</v>
      </c>
      <c r="B6323" t="str">
        <f>"1551686279271492"</f>
        <v>1551686279271492</v>
      </c>
      <c r="C6323" t="s">
        <v>40</v>
      </c>
      <c r="D6323">
        <v>5.5084339999999896</v>
      </c>
      <c r="E6323">
        <v>0.54775969999999996</v>
      </c>
      <c r="F6323" t="s">
        <v>73</v>
      </c>
      <c r="G6323">
        <v>-169.244</v>
      </c>
      <c r="H6323">
        <v>6.8044929999999901</v>
      </c>
      <c r="I6323">
        <v>-62.056330000000003</v>
      </c>
      <c r="J6323">
        <v>-246.30770000000001</v>
      </c>
      <c r="K6323">
        <v>1.111469</v>
      </c>
      <c r="L6323">
        <v>-63.228789999999996</v>
      </c>
      <c r="M6323">
        <v>0.99990389999999996</v>
      </c>
      <c r="N6323">
        <v>-1.3864049999999999E-2</v>
      </c>
      <c r="O6323">
        <v>1.135629E-4</v>
      </c>
      <c r="P6323">
        <v>0.97087060000000003</v>
      </c>
      <c r="Q6323">
        <v>0.21769150000000001</v>
      </c>
      <c r="R6323">
        <v>0.10010570000000001</v>
      </c>
      <c r="S6323">
        <v>3.034958</v>
      </c>
      <c r="T6323">
        <v>0.2237854</v>
      </c>
      <c r="U6323">
        <v>4.6112060000000003E-2</v>
      </c>
      <c r="V6323">
        <v>-0.100566</v>
      </c>
      <c r="W6323">
        <v>0.2308837</v>
      </c>
      <c r="X6323">
        <v>0.96777020000000002</v>
      </c>
      <c r="Y6323">
        <v>-1.5045630000000001E-2</v>
      </c>
      <c r="Z6323">
        <v>-4.3956170000000001E-4</v>
      </c>
      <c r="AA6323">
        <v>0.99988670000000002</v>
      </c>
      <c r="AB6323">
        <v>29</v>
      </c>
      <c r="AC6323">
        <v>77.063699999999898</v>
      </c>
      <c r="AD6323">
        <v>5.6930239999999896</v>
      </c>
      <c r="AE6323">
        <v>1.1724600000000001</v>
      </c>
      <c r="AF6323">
        <v>-1.15739267336906</v>
      </c>
      <c r="AG6323">
        <v>5.6930239999999896</v>
      </c>
      <c r="AH6323">
        <v>76.645643020225904</v>
      </c>
      <c r="AI6323">
        <v>85.752512915749506</v>
      </c>
      <c r="AJ6323">
        <v>90.865133007670494</v>
      </c>
      <c r="AK6323">
        <v>76.865497292666106</v>
      </c>
      <c r="AL6323">
        <v>76.650895318252196</v>
      </c>
      <c r="AM6323">
        <v>95.932607379830102</v>
      </c>
      <c r="AN6323">
        <v>0.99999998164486403</v>
      </c>
    </row>
    <row r="6324" spans="1:40" x14ac:dyDescent="0.25">
      <c r="A6324" t="str">
        <f>"20190304155759292"</f>
        <v>20190304155759292</v>
      </c>
      <c r="B6324" t="str">
        <f>"1551686279291013"</f>
        <v>1551686279291013</v>
      </c>
      <c r="C6324" t="s">
        <v>40</v>
      </c>
      <c r="D6324">
        <v>4.8802599999999998</v>
      </c>
      <c r="E6324">
        <v>0.54903809999999997</v>
      </c>
      <c r="F6324" t="s">
        <v>73</v>
      </c>
      <c r="G6324">
        <v>-157.3501</v>
      </c>
      <c r="H6324">
        <v>29.12201</v>
      </c>
      <c r="I6324">
        <v>-65.567759999999893</v>
      </c>
      <c r="J6324">
        <v>-246.1574</v>
      </c>
      <c r="K6324">
        <v>1.111423</v>
      </c>
      <c r="L6324">
        <v>-63.228119999999997</v>
      </c>
      <c r="M6324">
        <v>0.99990349999999995</v>
      </c>
      <c r="N6324">
        <v>-1.3878369999999999E-2</v>
      </c>
      <c r="O6324">
        <v>7.0912779999999999E-4</v>
      </c>
      <c r="P6324">
        <v>0.97080359999999999</v>
      </c>
      <c r="Q6324">
        <v>0.21754789999999999</v>
      </c>
      <c r="R6324">
        <v>0.1010597</v>
      </c>
      <c r="S6324">
        <v>2.8935550000000001</v>
      </c>
      <c r="T6324">
        <v>0.91110679999999999</v>
      </c>
      <c r="U6324">
        <v>-7.6080320000000007E-2</v>
      </c>
      <c r="V6324">
        <v>-0.1009095</v>
      </c>
      <c r="W6324">
        <v>0.23076630000000001</v>
      </c>
      <c r="X6324">
        <v>0.96776249999999997</v>
      </c>
      <c r="Y6324">
        <v>2.5766750000000001E-2</v>
      </c>
      <c r="Z6324">
        <v>4.0048619999999997E-3</v>
      </c>
      <c r="AA6324">
        <v>0.99965999999999999</v>
      </c>
      <c r="AB6324">
        <v>29</v>
      </c>
      <c r="AC6324">
        <v>88.807299999999998</v>
      </c>
      <c r="AD6324">
        <v>28.010587000000001</v>
      </c>
      <c r="AE6324">
        <v>-2.3396399999999899</v>
      </c>
      <c r="AF6324">
        <v>2.18536610588944</v>
      </c>
      <c r="AG6324">
        <v>28.010587000000001</v>
      </c>
      <c r="AH6324">
        <v>80.775441658278098</v>
      </c>
      <c r="AI6324">
        <v>70.881420985133403</v>
      </c>
      <c r="AJ6324">
        <v>88.450250285101305</v>
      </c>
      <c r="AK6324">
        <v>85.522165455460893</v>
      </c>
      <c r="AL6324">
        <v>76.657809249252594</v>
      </c>
      <c r="AM6324">
        <v>95.952772955274199</v>
      </c>
      <c r="AN6324">
        <v>1.00000003440609</v>
      </c>
    </row>
    <row r="6325" spans="1:40" x14ac:dyDescent="0.25">
      <c r="A6325" t="str">
        <f>"20190304155759303"</f>
        <v>20190304155759303</v>
      </c>
      <c r="B6325" t="str">
        <f>"1551686279300772"</f>
        <v>1551686279300772</v>
      </c>
      <c r="C6325" t="s">
        <v>40</v>
      </c>
      <c r="D6325">
        <v>5.018999</v>
      </c>
      <c r="E6325">
        <v>0.52491049999999995</v>
      </c>
      <c r="F6325" t="s">
        <v>73</v>
      </c>
      <c r="G6325">
        <v>-157.3501</v>
      </c>
      <c r="H6325">
        <v>29.365100000000002</v>
      </c>
      <c r="I6325">
        <v>-65.784959999999998</v>
      </c>
      <c r="J6325">
        <v>-246.01900000000001</v>
      </c>
      <c r="K6325">
        <v>1.1113879999999901</v>
      </c>
      <c r="L6325">
        <v>-63.22748</v>
      </c>
      <c r="M6325">
        <v>0.99990279999999998</v>
      </c>
      <c r="N6325">
        <v>-1.389112E-2</v>
      </c>
      <c r="O6325">
        <v>1.218876E-3</v>
      </c>
      <c r="P6325">
        <v>0.97046739999999998</v>
      </c>
      <c r="Q6325">
        <v>0.21850530000000001</v>
      </c>
      <c r="R6325">
        <v>0.10221719999999999</v>
      </c>
      <c r="S6325">
        <v>2.8926699999999999</v>
      </c>
      <c r="T6325">
        <v>0.92028920000000003</v>
      </c>
      <c r="U6325">
        <v>-8.3282469999999997E-2</v>
      </c>
      <c r="V6325">
        <v>-0.1015451</v>
      </c>
      <c r="W6325">
        <v>0.23174330000000001</v>
      </c>
      <c r="X6325">
        <v>0.9674625</v>
      </c>
      <c r="Y6325">
        <v>2.8585820000000001E-2</v>
      </c>
      <c r="Z6325">
        <v>4.628493E-3</v>
      </c>
      <c r="AA6325">
        <v>0.99958060000000004</v>
      </c>
      <c r="AB6325">
        <v>29</v>
      </c>
      <c r="AC6325">
        <v>88.668899999999994</v>
      </c>
      <c r="AD6325">
        <v>28.253712</v>
      </c>
      <c r="AE6325">
        <v>-2.5574799999999902</v>
      </c>
      <c r="AF6325">
        <v>2.4200532396503802</v>
      </c>
      <c r="AG6325">
        <v>28.253712</v>
      </c>
      <c r="AH6325">
        <v>80.499166626875805</v>
      </c>
      <c r="AI6325">
        <v>70.667960086394899</v>
      </c>
      <c r="AJ6325">
        <v>88.278030785959004</v>
      </c>
      <c r="AK6325">
        <v>85.347786890365299</v>
      </c>
      <c r="AL6325">
        <v>76.600271506245903</v>
      </c>
      <c r="AM6325">
        <v>95.991839924684896</v>
      </c>
      <c r="AN6325">
        <v>1.0000000266675699</v>
      </c>
    </row>
    <row r="6326" spans="1:40" x14ac:dyDescent="0.25">
      <c r="A6326" t="str">
        <f>"20190304155759315"</f>
        <v>20190304155759315</v>
      </c>
      <c r="B6326" t="str">
        <f>"1551686279310532"</f>
        <v>1551686279310532</v>
      </c>
      <c r="C6326" t="s">
        <v>40</v>
      </c>
      <c r="D6326">
        <v>4.9511029999999998</v>
      </c>
      <c r="E6326">
        <v>0.52659259999999997</v>
      </c>
      <c r="F6326" t="s">
        <v>73</v>
      </c>
      <c r="G6326">
        <v>-157.3501</v>
      </c>
      <c r="H6326">
        <v>5.6268649999999996</v>
      </c>
      <c r="I6326">
        <v>-60.195790000000002</v>
      </c>
      <c r="J6326">
        <v>-245.87780000000001</v>
      </c>
      <c r="K6326">
        <v>1.111351</v>
      </c>
      <c r="L6326">
        <v>-63.226719999999901</v>
      </c>
      <c r="M6326">
        <v>0.99990199999999996</v>
      </c>
      <c r="N6326">
        <v>-1.3903520000000001E-2</v>
      </c>
      <c r="O6326">
        <v>1.7109650000000001E-3</v>
      </c>
      <c r="P6326">
        <v>0.97009679999999998</v>
      </c>
      <c r="Q6326">
        <v>0.21979899999999999</v>
      </c>
      <c r="R6326">
        <v>0.1029605</v>
      </c>
      <c r="S6326">
        <v>3.0454249999999998</v>
      </c>
      <c r="T6326">
        <v>0.1550878</v>
      </c>
      <c r="U6326">
        <v>0.104126</v>
      </c>
      <c r="V6326">
        <v>-0.1017849</v>
      </c>
      <c r="W6326">
        <v>0.23305719999999999</v>
      </c>
      <c r="X6326">
        <v>0.96712160000000003</v>
      </c>
      <c r="Y6326">
        <v>-3.2433900000000002E-2</v>
      </c>
      <c r="Z6326">
        <v>-4.8860359999999999E-4</v>
      </c>
      <c r="AA6326">
        <v>0.99947379999999997</v>
      </c>
      <c r="AB6326">
        <v>29</v>
      </c>
      <c r="AC6326">
        <v>88.527699999999996</v>
      </c>
      <c r="AD6326">
        <v>4.5155139999999996</v>
      </c>
      <c r="AE6326">
        <v>3.0309299999999899</v>
      </c>
      <c r="AF6326">
        <v>-2.8719798817408</v>
      </c>
      <c r="AG6326">
        <v>4.5155139999999996</v>
      </c>
      <c r="AH6326">
        <v>88.303287658754201</v>
      </c>
      <c r="AI6326">
        <v>87.074193170129703</v>
      </c>
      <c r="AJ6326">
        <v>91.862833710359098</v>
      </c>
      <c r="AK6326">
        <v>88.465296848368794</v>
      </c>
      <c r="AL6326">
        <v>76.522871106464805</v>
      </c>
      <c r="AM6326">
        <v>96.007987955515304</v>
      </c>
      <c r="AN6326">
        <v>1.0000000067632</v>
      </c>
    </row>
    <row r="6327" spans="1:40" x14ac:dyDescent="0.25">
      <c r="A6327" t="str">
        <f>"20190304155759326"</f>
        <v>20190304155759326</v>
      </c>
      <c r="B6327" t="str">
        <f>"1551686279321268"</f>
        <v>1551686279321268</v>
      </c>
      <c r="C6327" t="s">
        <v>40</v>
      </c>
      <c r="D6327">
        <v>5.3285839999999904</v>
      </c>
      <c r="E6327">
        <v>0.52659259999999997</v>
      </c>
      <c r="F6327" t="s">
        <v>73</v>
      </c>
      <c r="G6327">
        <v>-157.3501</v>
      </c>
      <c r="H6327">
        <v>4.7438710000000004</v>
      </c>
      <c r="I6327">
        <v>-60.520789999999998</v>
      </c>
      <c r="J6327">
        <v>-245.72919999999999</v>
      </c>
      <c r="K6327">
        <v>1.1113090000000001</v>
      </c>
      <c r="L6327">
        <v>-63.225920000000002</v>
      </c>
      <c r="M6327">
        <v>0.99990080000000003</v>
      </c>
      <c r="N6327">
        <v>-1.391588E-2</v>
      </c>
      <c r="O6327">
        <v>2.1976489999999999E-3</v>
      </c>
      <c r="P6327">
        <v>0.96978260000000005</v>
      </c>
      <c r="Q6327">
        <v>0.2208408</v>
      </c>
      <c r="R6327">
        <v>0.1036871</v>
      </c>
      <c r="S6327">
        <v>3.0541689999999999</v>
      </c>
      <c r="T6327">
        <v>0.1253196</v>
      </c>
      <c r="U6327">
        <v>9.3353270000000002E-2</v>
      </c>
      <c r="V6327">
        <v>-0.1020117</v>
      </c>
      <c r="W6327">
        <v>0.23411989999999999</v>
      </c>
      <c r="X6327">
        <v>0.96684099999999995</v>
      </c>
      <c r="Y6327">
        <v>-2.8342249999999999E-2</v>
      </c>
      <c r="Z6327">
        <v>-2.631054E-4</v>
      </c>
      <c r="AA6327">
        <v>0.99959830000000005</v>
      </c>
      <c r="AB6327">
        <v>29</v>
      </c>
      <c r="AC6327">
        <v>88.379099999999994</v>
      </c>
      <c r="AD6327">
        <v>3.6325619999999899</v>
      </c>
      <c r="AE6327">
        <v>2.7051299999999898</v>
      </c>
      <c r="AF6327">
        <v>-2.5066477128231202</v>
      </c>
      <c r="AG6327">
        <v>3.6325619999999899</v>
      </c>
      <c r="AH6327">
        <v>88.235907730217093</v>
      </c>
      <c r="AI6327">
        <v>87.643485293312594</v>
      </c>
      <c r="AJ6327">
        <v>91.627248148780396</v>
      </c>
      <c r="AK6327">
        <v>88.346217816131997</v>
      </c>
      <c r="AL6327">
        <v>76.460250652958294</v>
      </c>
      <c r="AM6327">
        <v>96.023011556123095</v>
      </c>
      <c r="AN6327">
        <v>1.0000000168969401</v>
      </c>
    </row>
    <row r="6328" spans="1:40" x14ac:dyDescent="0.25">
      <c r="A6328" t="str">
        <f>"20190304155759337"</f>
        <v>20190304155759337</v>
      </c>
      <c r="B6328" t="str">
        <f>"1551686279331028"</f>
        <v>1551686279331028</v>
      </c>
      <c r="C6328" t="s">
        <v>40</v>
      </c>
      <c r="D6328">
        <v>5.382568</v>
      </c>
      <c r="E6328">
        <v>0.54212209999999905</v>
      </c>
      <c r="F6328" t="s">
        <v>73</v>
      </c>
      <c r="G6328">
        <v>-157.3501</v>
      </c>
      <c r="H6328">
        <v>4.8307370000000001</v>
      </c>
      <c r="I6328">
        <v>-60.453710000000001</v>
      </c>
      <c r="J6328">
        <v>-245.59010000000001</v>
      </c>
      <c r="K6328">
        <v>1.1112629999999999</v>
      </c>
      <c r="L6328">
        <v>-63.22513</v>
      </c>
      <c r="M6328">
        <v>0.9998996</v>
      </c>
      <c r="N6328">
        <v>-1.392725E-2</v>
      </c>
      <c r="O6328">
        <v>2.6103570000000002E-3</v>
      </c>
      <c r="P6328">
        <v>0.96968069999999895</v>
      </c>
      <c r="Q6328">
        <v>0.22115180000000001</v>
      </c>
      <c r="R6328">
        <v>0.10397729999999999</v>
      </c>
      <c r="S6328">
        <v>3.0539700000000001</v>
      </c>
      <c r="T6328">
        <v>0.12852539999999901</v>
      </c>
      <c r="U6328">
        <v>9.5794679999999993E-2</v>
      </c>
      <c r="V6328">
        <v>-0.1018733</v>
      </c>
      <c r="W6328">
        <v>0.23445360000000001</v>
      </c>
      <c r="X6328">
        <v>0.96677469999999999</v>
      </c>
      <c r="Y6328">
        <v>-2.872951E-2</v>
      </c>
      <c r="Z6328">
        <v>-2.5783479999999997E-4</v>
      </c>
      <c r="AA6328">
        <v>0.99958720000000001</v>
      </c>
      <c r="AB6328">
        <v>29</v>
      </c>
      <c r="AC6328">
        <v>88.24</v>
      </c>
      <c r="AD6328">
        <v>3.7194739999999999</v>
      </c>
      <c r="AE6328">
        <v>2.77142</v>
      </c>
      <c r="AF6328">
        <v>-2.5365478815175502</v>
      </c>
      <c r="AG6328">
        <v>3.7194739999999999</v>
      </c>
      <c r="AH6328">
        <v>88.090571661193295</v>
      </c>
      <c r="AI6328">
        <v>87.583220181496102</v>
      </c>
      <c r="AJ6328">
        <v>91.649363128880907</v>
      </c>
      <c r="AK6328">
        <v>88.205540515251897</v>
      </c>
      <c r="AL6328">
        <v>76.440583301863199</v>
      </c>
      <c r="AM6328">
        <v>96.015309507407395</v>
      </c>
      <c r="AN6328">
        <v>0.99999999018296903</v>
      </c>
    </row>
    <row r="6329" spans="1:40" x14ac:dyDescent="0.25">
      <c r="A6329" t="str">
        <f>"20190304155759347"</f>
        <v>20190304155759347</v>
      </c>
      <c r="B6329" t="str">
        <f>"1551686279340788"</f>
        <v>1551686279340788</v>
      </c>
      <c r="C6329" t="s">
        <v>40</v>
      </c>
      <c r="D6329">
        <v>4.9779140000000002</v>
      </c>
      <c r="E6329">
        <v>0.54212209999999905</v>
      </c>
      <c r="F6329" t="s">
        <v>73</v>
      </c>
      <c r="G6329">
        <v>-157.3501</v>
      </c>
      <c r="H6329">
        <v>30.74858</v>
      </c>
      <c r="I6329">
        <v>-63.831940000000003</v>
      </c>
      <c r="J6329">
        <v>-245.45310000000001</v>
      </c>
      <c r="K6329">
        <v>1.1112150000000001</v>
      </c>
      <c r="L6329">
        <v>-63.224330000000002</v>
      </c>
      <c r="M6329">
        <v>0.99989839999999997</v>
      </c>
      <c r="N6329">
        <v>-1.393841E-2</v>
      </c>
      <c r="O6329">
        <v>3.000777E-3</v>
      </c>
      <c r="P6329">
        <v>0.96985949999999999</v>
      </c>
      <c r="Q6329">
        <v>0.2202895</v>
      </c>
      <c r="R6329">
        <v>0.1041407</v>
      </c>
      <c r="S6329">
        <v>2.8756560000000002</v>
      </c>
      <c r="T6329">
        <v>0.96584899999999996</v>
      </c>
      <c r="U6329">
        <v>-1.977539E-2</v>
      </c>
      <c r="V6329">
        <v>-0.10162789999999999</v>
      </c>
      <c r="W6329">
        <v>0.23361779999999999</v>
      </c>
      <c r="X6329">
        <v>0.9670029</v>
      </c>
      <c r="Y6329">
        <v>9.2152039999999994E-3</v>
      </c>
      <c r="Z6329">
        <v>2.4619339999999998E-3</v>
      </c>
      <c r="AA6329">
        <v>0.99995449999999997</v>
      </c>
      <c r="AB6329">
        <v>29</v>
      </c>
      <c r="AC6329">
        <v>88.102999999999994</v>
      </c>
      <c r="AD6329">
        <v>29.637364999999999</v>
      </c>
      <c r="AE6329">
        <v>-0.60761000000000098</v>
      </c>
      <c r="AF6329">
        <v>0.78336772772846797</v>
      </c>
      <c r="AG6329">
        <v>29.637364999999999</v>
      </c>
      <c r="AH6329">
        <v>79.145051762095207</v>
      </c>
      <c r="AI6329">
        <v>69.471556396522899</v>
      </c>
      <c r="AJ6329">
        <v>89.432912128137303</v>
      </c>
      <c r="AK6329">
        <v>84.515834537468706</v>
      </c>
      <c r="AL6329">
        <v>76.489839974672705</v>
      </c>
      <c r="AM6329">
        <v>95.999519433050196</v>
      </c>
      <c r="AN6329">
        <v>1.00000005757182</v>
      </c>
    </row>
    <row r="6330" spans="1:40" x14ac:dyDescent="0.25">
      <c r="A6330" t="str">
        <f>"20190304155759360"</f>
        <v>20190304155759360</v>
      </c>
      <c r="B6330" t="str">
        <f>"1551686279350548"</f>
        <v>1551686279350548</v>
      </c>
      <c r="C6330" t="s">
        <v>40</v>
      </c>
      <c r="D6330">
        <v>4.9508679999999998</v>
      </c>
      <c r="E6330">
        <v>0.53071459999999904</v>
      </c>
      <c r="F6330" t="s">
        <v>73</v>
      </c>
      <c r="G6330">
        <v>-157.3501</v>
      </c>
      <c r="H6330">
        <v>30.61665</v>
      </c>
      <c r="I6330">
        <v>-63.813200000000002</v>
      </c>
      <c r="J6330">
        <v>-245.3004</v>
      </c>
      <c r="K6330">
        <v>1.1111530000000001</v>
      </c>
      <c r="L6330">
        <v>-63.223419999999997</v>
      </c>
      <c r="M6330">
        <v>0.99989700000000004</v>
      </c>
      <c r="N6330">
        <v>-1.3950590000000001E-2</v>
      </c>
      <c r="O6330">
        <v>3.37821E-3</v>
      </c>
      <c r="P6330">
        <v>0.9702402</v>
      </c>
      <c r="Q6330">
        <v>0.21859219999999999</v>
      </c>
      <c r="R6330">
        <v>0.1041704</v>
      </c>
      <c r="S6330">
        <v>2.8765109999999998</v>
      </c>
      <c r="T6330">
        <v>0.96333290000000005</v>
      </c>
      <c r="U6330">
        <v>-1.9226070000000001E-2</v>
      </c>
      <c r="V6330">
        <v>-0.10125530000000001</v>
      </c>
      <c r="W6330">
        <v>0.23195299999999999</v>
      </c>
      <c r="X6330">
        <v>0.96744260000000004</v>
      </c>
      <c r="Y6330">
        <v>9.372844E-3</v>
      </c>
      <c r="Z6330">
        <v>2.6078160000000002E-3</v>
      </c>
      <c r="AA6330">
        <v>0.99995270000000003</v>
      </c>
      <c r="AB6330">
        <v>29</v>
      </c>
      <c r="AC6330">
        <v>87.950299999999999</v>
      </c>
      <c r="AD6330">
        <v>29.505496999999998</v>
      </c>
      <c r="AE6330">
        <v>-0.58978000000000397</v>
      </c>
      <c r="AF6330">
        <v>0.79720202401437401</v>
      </c>
      <c r="AG6330">
        <v>29.505496999999998</v>
      </c>
      <c r="AH6330">
        <v>79.051276859962798</v>
      </c>
      <c r="AI6330">
        <v>69.533115007800703</v>
      </c>
      <c r="AJ6330">
        <v>89.422213468472094</v>
      </c>
      <c r="AK6330">
        <v>84.381954572494905</v>
      </c>
      <c r="AL6330">
        <v>76.587919761626296</v>
      </c>
      <c r="AM6330">
        <v>95.974985675189302</v>
      </c>
      <c r="AN6330">
        <v>1.0000000071409201</v>
      </c>
    </row>
    <row r="6331" spans="1:40" x14ac:dyDescent="0.25">
      <c r="A6331" t="str">
        <f>"20190304155759371"</f>
        <v>20190304155759371</v>
      </c>
      <c r="B6331" t="str">
        <f>"1551686279361284"</f>
        <v>1551686279361284</v>
      </c>
      <c r="C6331" t="s">
        <v>40</v>
      </c>
      <c r="D6331">
        <v>4.8683930000000002</v>
      </c>
      <c r="E6331">
        <v>0.53071459999999904</v>
      </c>
      <c r="F6331" t="s">
        <v>73</v>
      </c>
      <c r="G6331">
        <v>-167.99870000000001</v>
      </c>
      <c r="H6331">
        <v>12.391679999999999</v>
      </c>
      <c r="I6331">
        <v>-61.493600000000001</v>
      </c>
      <c r="J6331">
        <v>-245.16120000000001</v>
      </c>
      <c r="K6331">
        <v>1.1110960000000001</v>
      </c>
      <c r="L6331">
        <v>-63.2226</v>
      </c>
      <c r="M6331">
        <v>0.99989570000000005</v>
      </c>
      <c r="N6331">
        <v>-1.3961589999999999E-2</v>
      </c>
      <c r="O6331">
        <v>3.7077329999999999E-3</v>
      </c>
      <c r="P6331">
        <v>0.97074709999999997</v>
      </c>
      <c r="Q6331">
        <v>0.2163281</v>
      </c>
      <c r="R6331">
        <v>0.10417510000000001</v>
      </c>
      <c r="S6331">
        <v>2.9866489999999999</v>
      </c>
      <c r="T6331">
        <v>0.43583569999999999</v>
      </c>
      <c r="U6331">
        <v>6.6833500000000004E-2</v>
      </c>
      <c r="V6331">
        <v>-0.1009061</v>
      </c>
      <c r="W6331">
        <v>0.22972039999999999</v>
      </c>
      <c r="X6331">
        <v>0.96801159999999997</v>
      </c>
      <c r="Y6331">
        <v>-1.853438E-2</v>
      </c>
      <c r="Z6331">
        <v>-6.254279E-4</v>
      </c>
      <c r="AA6331">
        <v>0.99982800000000005</v>
      </c>
      <c r="AB6331">
        <v>29</v>
      </c>
      <c r="AC6331">
        <v>77.162499999999994</v>
      </c>
      <c r="AD6331">
        <v>11.280583999999999</v>
      </c>
      <c r="AE6331">
        <v>1.7289999999999901</v>
      </c>
      <c r="AF6331">
        <v>-1.41268515687503</v>
      </c>
      <c r="AG6331">
        <v>11.280583999999999</v>
      </c>
      <c r="AH6331">
        <v>75.554421882507796</v>
      </c>
      <c r="AI6331">
        <v>81.5096961684185</v>
      </c>
      <c r="AJ6331">
        <v>91.071167840718104</v>
      </c>
      <c r="AK6331">
        <v>76.404960053215703</v>
      </c>
      <c r="AL6331">
        <v>76.719388644767605</v>
      </c>
      <c r="AM6331">
        <v>95.951053034116399</v>
      </c>
      <c r="AN6331">
        <v>0.99999998046396399</v>
      </c>
    </row>
    <row r="6332" spans="1:40" x14ac:dyDescent="0.25">
      <c r="A6332" t="str">
        <f>"20190304155759382"</f>
        <v>20190304155759382</v>
      </c>
      <c r="B6332" t="str">
        <f>"1551686279371044"</f>
        <v>1551686279371044</v>
      </c>
      <c r="C6332" t="s">
        <v>40</v>
      </c>
      <c r="D6332">
        <v>4.8372539999999997</v>
      </c>
      <c r="E6332">
        <v>0.52574219999999905</v>
      </c>
      <c r="F6332" t="s">
        <v>73</v>
      </c>
      <c r="G6332">
        <v>-167.99870000000001</v>
      </c>
      <c r="H6332">
        <v>12.19378</v>
      </c>
      <c r="I6332">
        <v>-61.502769999999998</v>
      </c>
      <c r="J6332">
        <v>-245.01339999999999</v>
      </c>
      <c r="K6332">
        <v>1.11103</v>
      </c>
      <c r="L6332">
        <v>-63.221649999999997</v>
      </c>
      <c r="M6332">
        <v>0.99989450000000002</v>
      </c>
      <c r="N6332">
        <v>-1.3972389999999999E-2</v>
      </c>
      <c r="O6332">
        <v>4.0030959999999898E-3</v>
      </c>
      <c r="P6332">
        <v>0.97126610000000002</v>
      </c>
      <c r="Q6332">
        <v>0.21387349999999999</v>
      </c>
      <c r="R6332">
        <v>0.1044051</v>
      </c>
      <c r="S6332">
        <v>2.9876399999999999</v>
      </c>
      <c r="T6332">
        <v>0.42910700000000002</v>
      </c>
      <c r="U6332">
        <v>6.658936E-2</v>
      </c>
      <c r="V6332">
        <v>-0.1008131</v>
      </c>
      <c r="W6332">
        <v>0.22729759999999999</v>
      </c>
      <c r="X6332">
        <v>0.96859309999999998</v>
      </c>
      <c r="Y6332">
        <v>-1.816154E-2</v>
      </c>
      <c r="Z6332">
        <v>-5.4238729999999996E-4</v>
      </c>
      <c r="AA6332">
        <v>0.99983489999999997</v>
      </c>
      <c r="AB6332">
        <v>29</v>
      </c>
      <c r="AC6332">
        <v>77.014699999999905</v>
      </c>
      <c r="AD6332">
        <v>11.082750000000001</v>
      </c>
      <c r="AE6332">
        <v>1.71887999999999</v>
      </c>
      <c r="AF6332">
        <v>-1.3819354225382501</v>
      </c>
      <c r="AG6332">
        <v>11.082750000000001</v>
      </c>
      <c r="AH6332">
        <v>75.459100516529304</v>
      </c>
      <c r="AI6332">
        <v>81.646031525966606</v>
      </c>
      <c r="AJ6332">
        <v>91.049180503221194</v>
      </c>
      <c r="AK6332">
        <v>76.281144091041497</v>
      </c>
      <c r="AL6332">
        <v>76.861978302191105</v>
      </c>
      <c r="AM6332">
        <v>95.942063629972495</v>
      </c>
      <c r="AN6332">
        <v>1.0000000367324799</v>
      </c>
    </row>
    <row r="6333" spans="1:40" x14ac:dyDescent="0.25">
      <c r="A6333" t="str">
        <f>"20190304155759395"</f>
        <v>20190304155759395</v>
      </c>
      <c r="B6333" t="str">
        <f>"1551686279390564"</f>
        <v>1551686279390564</v>
      </c>
      <c r="C6333" t="s">
        <v>40</v>
      </c>
      <c r="D6333">
        <v>4.3626300000000002</v>
      </c>
      <c r="E6333">
        <v>0.52554699999999999</v>
      </c>
      <c r="F6333" t="s">
        <v>73</v>
      </c>
      <c r="G6333">
        <v>-157.3501</v>
      </c>
      <c r="H6333">
        <v>3.3337569999999999</v>
      </c>
      <c r="I6333">
        <v>-60.273310000000002</v>
      </c>
      <c r="J6333">
        <v>-244.8647</v>
      </c>
      <c r="K6333">
        <v>1.110957</v>
      </c>
      <c r="L6333">
        <v>-63.220730000000003</v>
      </c>
      <c r="M6333">
        <v>0.99989309999999998</v>
      </c>
      <c r="N6333">
        <v>-1.39828E-2</v>
      </c>
      <c r="O6333">
        <v>4.2787329999999998E-3</v>
      </c>
      <c r="P6333">
        <v>0.97185829999999995</v>
      </c>
      <c r="Q6333">
        <v>0.21126600000000001</v>
      </c>
      <c r="R6333">
        <v>0.1042039</v>
      </c>
      <c r="S6333">
        <v>3.0606080000000002</v>
      </c>
      <c r="T6333">
        <v>7.7601790000000004E-2</v>
      </c>
      <c r="U6333">
        <v>0.10293579999999999</v>
      </c>
      <c r="V6333">
        <v>-0.10030790000000001</v>
      </c>
      <c r="W6333">
        <v>0.22472339999999999</v>
      </c>
      <c r="X6333">
        <v>0.96924600000000005</v>
      </c>
      <c r="Y6333">
        <v>-2.9335509999999999E-2</v>
      </c>
      <c r="Z6333" s="1">
        <v>1.6805719999999999E-6</v>
      </c>
      <c r="AA6333">
        <v>0.99956959999999995</v>
      </c>
      <c r="AB6333">
        <v>29</v>
      </c>
      <c r="AC6333">
        <v>87.514600000000002</v>
      </c>
      <c r="AD6333">
        <v>2.2227999999999999</v>
      </c>
      <c r="AE6333">
        <v>2.9474200000000002</v>
      </c>
      <c r="AF6333">
        <v>-2.5712479219139901</v>
      </c>
      <c r="AG6333">
        <v>2.2227999999999999</v>
      </c>
      <c r="AH6333">
        <v>87.470046561744198</v>
      </c>
      <c r="AI6333">
        <v>88.544933889544595</v>
      </c>
      <c r="AJ6333">
        <v>91.683767732267896</v>
      </c>
      <c r="AK6333">
        <v>87.536056578016101</v>
      </c>
      <c r="AL6333">
        <v>77.013386966784296</v>
      </c>
      <c r="AM6333">
        <v>95.908543340682002</v>
      </c>
      <c r="AN6333">
        <v>1.00000004491298</v>
      </c>
    </row>
    <row r="6334" spans="1:40" x14ac:dyDescent="0.25">
      <c r="A6334" t="str">
        <f>"20190304155759406"</f>
        <v>20190304155759406</v>
      </c>
      <c r="B6334" t="str">
        <f>"1551686279401301"</f>
        <v>1551686279401301</v>
      </c>
      <c r="C6334" t="s">
        <v>40</v>
      </c>
      <c r="D6334">
        <v>4.8101269999999996</v>
      </c>
      <c r="E6334">
        <v>0.53263499999999997</v>
      </c>
      <c r="F6334" t="s">
        <v>73</v>
      </c>
      <c r="G6334">
        <v>-157.3501</v>
      </c>
      <c r="H6334">
        <v>3.995762</v>
      </c>
      <c r="I6334">
        <v>-60.24991</v>
      </c>
      <c r="J6334">
        <v>-244.72130000000001</v>
      </c>
      <c r="K6334">
        <v>1.110884</v>
      </c>
      <c r="L6334">
        <v>-63.219819999999999</v>
      </c>
      <c r="M6334">
        <v>0.99989209999999995</v>
      </c>
      <c r="N6334">
        <v>-1.399211E-2</v>
      </c>
      <c r="O6334">
        <v>4.511864E-3</v>
      </c>
      <c r="P6334">
        <v>0.97233769999999997</v>
      </c>
      <c r="Q6334">
        <v>0.20909949999999999</v>
      </c>
      <c r="R6334">
        <v>0.10410079999999999</v>
      </c>
      <c r="S6334">
        <v>3.0538639999999999</v>
      </c>
      <c r="T6334">
        <v>0.1006659</v>
      </c>
      <c r="U6334">
        <v>0.1036682</v>
      </c>
      <c r="V6334">
        <v>-9.9945870000000006E-2</v>
      </c>
      <c r="W6334">
        <v>0.2225859</v>
      </c>
      <c r="X6334">
        <v>0.96977650000000004</v>
      </c>
      <c r="Y6334">
        <v>-2.9412770000000001E-2</v>
      </c>
      <c r="Z6334" s="1">
        <v>-6.6894919999999997E-5</v>
      </c>
      <c r="AA6334">
        <v>0.99956730000000005</v>
      </c>
      <c r="AB6334">
        <v>29</v>
      </c>
      <c r="AC6334">
        <v>87.371200000000002</v>
      </c>
      <c r="AD6334">
        <v>2.8848780000000001</v>
      </c>
      <c r="AE6334">
        <v>2.9699099999999898</v>
      </c>
      <c r="AF6334">
        <v>-2.5728325239883598</v>
      </c>
      <c r="AG6334">
        <v>2.8848780000000001</v>
      </c>
      <c r="AH6334">
        <v>87.288656737631399</v>
      </c>
      <c r="AI6334">
        <v>88.107892575187293</v>
      </c>
      <c r="AJ6334">
        <v>91.688303879791107</v>
      </c>
      <c r="AK6334">
        <v>87.374204335898995</v>
      </c>
      <c r="AL6334">
        <v>77.139039891657205</v>
      </c>
      <c r="AM6334">
        <v>95.884170374715296</v>
      </c>
      <c r="AN6334">
        <v>1.0000000598805501</v>
      </c>
    </row>
    <row r="6335" spans="1:40" x14ac:dyDescent="0.25">
      <c r="A6335" t="str">
        <f>"20190304155759416"</f>
        <v>20190304155759416</v>
      </c>
      <c r="B6335" t="str">
        <f>"1551686279411060"</f>
        <v>1551686279411060</v>
      </c>
      <c r="C6335" t="s">
        <v>40</v>
      </c>
      <c r="D6335">
        <v>4.7682370000000001</v>
      </c>
      <c r="E6335">
        <v>0.53263499999999997</v>
      </c>
      <c r="F6335" t="s">
        <v>73</v>
      </c>
      <c r="G6335">
        <v>-169.244</v>
      </c>
      <c r="H6335">
        <v>12.770580000000001</v>
      </c>
      <c r="I6335">
        <v>-61.92239</v>
      </c>
      <c r="J6335">
        <v>-244.58410000000001</v>
      </c>
      <c r="K6335">
        <v>1.1108089999999999</v>
      </c>
      <c r="L6335">
        <v>-63.218960000000003</v>
      </c>
      <c r="M6335">
        <v>0.99989090000000003</v>
      </c>
      <c r="N6335">
        <v>-1.400039E-2</v>
      </c>
      <c r="O6335">
        <v>4.7053030000000001E-3</v>
      </c>
      <c r="P6335">
        <v>0.97295600000000004</v>
      </c>
      <c r="Q6335">
        <v>0.20616110000000001</v>
      </c>
      <c r="R6335">
        <v>0.10418470000000001</v>
      </c>
      <c r="S6335">
        <v>2.98082</v>
      </c>
      <c r="T6335">
        <v>0.46047379999999999</v>
      </c>
      <c r="U6335">
        <v>5.1239010000000001E-2</v>
      </c>
      <c r="V6335">
        <v>-9.9810360000000001E-2</v>
      </c>
      <c r="W6335">
        <v>0.2196767</v>
      </c>
      <c r="X6335">
        <v>0.97045349999999997</v>
      </c>
      <c r="Y6335">
        <v>-1.2414420000000001E-2</v>
      </c>
      <c r="Z6335" s="1">
        <v>-7.7806880000000001E-5</v>
      </c>
      <c r="AA6335">
        <v>0.99992289999999995</v>
      </c>
      <c r="AB6335">
        <v>29</v>
      </c>
      <c r="AC6335">
        <v>75.340099999999893</v>
      </c>
      <c r="AD6335">
        <v>11.659770999999999</v>
      </c>
      <c r="AE6335">
        <v>1.29656999999999</v>
      </c>
      <c r="AF6335">
        <v>-0.91999442553377997</v>
      </c>
      <c r="AG6335">
        <v>11.659770999999999</v>
      </c>
      <c r="AH6335">
        <v>73.583474925979999</v>
      </c>
      <c r="AI6335">
        <v>80.996671259928604</v>
      </c>
      <c r="AJ6335">
        <v>90.7163164210871</v>
      </c>
      <c r="AK6335">
        <v>74.507210602046996</v>
      </c>
      <c r="AL6335">
        <v>77.309954970880298</v>
      </c>
      <c r="AM6335">
        <v>95.872177595708294</v>
      </c>
      <c r="AN6335">
        <v>0.99999997807423402</v>
      </c>
    </row>
    <row r="6336" spans="1:40" x14ac:dyDescent="0.25">
      <c r="A6336" t="str">
        <f>"20190304155759427"</f>
        <v>20190304155759427</v>
      </c>
      <c r="B6336" t="str">
        <f>"1551686279420820"</f>
        <v>1551686279420820</v>
      </c>
      <c r="C6336" t="s">
        <v>40</v>
      </c>
      <c r="D6336">
        <v>4.8530009999999999</v>
      </c>
      <c r="E6336">
        <v>0.52651689999999995</v>
      </c>
      <c r="F6336" t="s">
        <v>73</v>
      </c>
      <c r="G6336">
        <v>-168.40389999999999</v>
      </c>
      <c r="H6336">
        <v>12.64978</v>
      </c>
      <c r="I6336">
        <v>-61.90616</v>
      </c>
      <c r="J6336">
        <v>-244.43969999999999</v>
      </c>
      <c r="K6336">
        <v>1.1107290000000001</v>
      </c>
      <c r="L6336">
        <v>-63.21808</v>
      </c>
      <c r="M6336">
        <v>0.99988999999999995</v>
      </c>
      <c r="N6336">
        <v>-1.4008690000000001E-2</v>
      </c>
      <c r="O6336">
        <v>4.8885819999999998E-3</v>
      </c>
      <c r="P6336">
        <v>0.97378480000000001</v>
      </c>
      <c r="Q6336">
        <v>0.2021558</v>
      </c>
      <c r="R6336">
        <v>0.1042883</v>
      </c>
      <c r="S6336">
        <v>2.9821780000000002</v>
      </c>
      <c r="T6336">
        <v>0.45170700000000003</v>
      </c>
      <c r="U6336">
        <v>5.1391600000000003E-2</v>
      </c>
      <c r="V6336">
        <v>-9.9701860000000003E-2</v>
      </c>
      <c r="W6336">
        <v>0.21570310000000001</v>
      </c>
      <c r="X6336">
        <v>0.97135559999999999</v>
      </c>
      <c r="Y6336">
        <v>-1.22814E-2</v>
      </c>
      <c r="Z6336" s="1">
        <v>-3.4043800000000001E-5</v>
      </c>
      <c r="AA6336">
        <v>0.99992460000000005</v>
      </c>
      <c r="AB6336">
        <v>29</v>
      </c>
      <c r="AC6336">
        <v>76.035799999999995</v>
      </c>
      <c r="AD6336">
        <v>11.539050999999899</v>
      </c>
      <c r="AE6336">
        <v>1.31192</v>
      </c>
      <c r="AF6336">
        <v>-0.91900182711970901</v>
      </c>
      <c r="AG6336">
        <v>11.539050999999899</v>
      </c>
      <c r="AH6336">
        <v>74.329956434991004</v>
      </c>
      <c r="AI6336">
        <v>81.176451287116706</v>
      </c>
      <c r="AJ6336">
        <v>90.708358323041196</v>
      </c>
      <c r="AK6336">
        <v>75.225904354593894</v>
      </c>
      <c r="AL6336">
        <v>77.543220041059001</v>
      </c>
      <c r="AM6336">
        <v>95.860429028769104</v>
      </c>
      <c r="AN6336">
        <v>0.99999999494421399</v>
      </c>
    </row>
    <row r="6337" spans="1:40" x14ac:dyDescent="0.25">
      <c r="A6337" t="str">
        <f>"20190304155759438"</f>
        <v>20190304155759438</v>
      </c>
      <c r="B6337" t="str">
        <f>"1551686279430580"</f>
        <v>1551686279430580</v>
      </c>
      <c r="C6337" t="s">
        <v>40</v>
      </c>
      <c r="D6337">
        <v>4.910361</v>
      </c>
      <c r="E6337">
        <v>0.53037380000000001</v>
      </c>
      <c r="F6337" t="s">
        <v>73</v>
      </c>
      <c r="G6337">
        <v>-157.3501</v>
      </c>
      <c r="H6337">
        <v>3.416696</v>
      </c>
      <c r="I6337">
        <v>-60.513170000000002</v>
      </c>
      <c r="J6337">
        <v>-244.30520000000001</v>
      </c>
      <c r="K6337">
        <v>1.1106560000000001</v>
      </c>
      <c r="L6337">
        <v>-63.217219999999998</v>
      </c>
      <c r="M6337">
        <v>0.99988920000000003</v>
      </c>
      <c r="N6337">
        <v>-1.4015690000000001E-2</v>
      </c>
      <c r="O6337">
        <v>5.0212299999999998E-3</v>
      </c>
      <c r="P6337">
        <v>0.97476300000000005</v>
      </c>
      <c r="Q6337">
        <v>0.19739709999999999</v>
      </c>
      <c r="R6337">
        <v>0.104267</v>
      </c>
      <c r="S6337">
        <v>3.053833</v>
      </c>
      <c r="T6337">
        <v>8.0858949999999999E-2</v>
      </c>
      <c r="U6337">
        <v>9.4848630000000003E-2</v>
      </c>
      <c r="V6337">
        <v>-9.9520709999999998E-2</v>
      </c>
      <c r="W6337">
        <v>0.210976</v>
      </c>
      <c r="X6337">
        <v>0.97241180000000005</v>
      </c>
      <c r="Y6337">
        <v>-2.602405E-2</v>
      </c>
      <c r="Z6337" s="1">
        <v>4.1291580000000002E-5</v>
      </c>
      <c r="AA6337">
        <v>0.99966129999999997</v>
      </c>
      <c r="AB6337">
        <v>29</v>
      </c>
      <c r="AC6337">
        <v>86.955100000000002</v>
      </c>
      <c r="AD6337">
        <v>2.3060399999999999</v>
      </c>
      <c r="AE6337">
        <v>2.7040500000000001</v>
      </c>
      <c r="AF6337">
        <v>-2.2657594910219898</v>
      </c>
      <c r="AG6337">
        <v>2.3060399999999999</v>
      </c>
      <c r="AH6337">
        <v>86.906519860087002</v>
      </c>
      <c r="AI6337">
        <v>88.480545375155302</v>
      </c>
      <c r="AJ6337">
        <v>91.493432892143105</v>
      </c>
      <c r="AK6337">
        <v>86.966629696363697</v>
      </c>
      <c r="AL6337">
        <v>77.820445248384502</v>
      </c>
      <c r="AM6337">
        <v>95.843545109483699</v>
      </c>
      <c r="AN6337">
        <v>0.99999997653707096</v>
      </c>
    </row>
    <row r="6338" spans="1:40" x14ac:dyDescent="0.25">
      <c r="A6338" t="str">
        <f>"20190304155759449"</f>
        <v>20190304155759449</v>
      </c>
      <c r="B6338" t="str">
        <f>"1551686279441315"</f>
        <v>1551686279441315</v>
      </c>
      <c r="C6338" t="s">
        <v>40</v>
      </c>
      <c r="D6338">
        <v>4.7480060000000002</v>
      </c>
      <c r="E6338">
        <v>0.52980439999999995</v>
      </c>
      <c r="F6338" t="s">
        <v>73</v>
      </c>
      <c r="G6338">
        <v>-157.3501</v>
      </c>
      <c r="H6338">
        <v>2.1305329999999998</v>
      </c>
      <c r="I6338">
        <v>-61.427709999999998</v>
      </c>
      <c r="J6338">
        <v>-244.16120000000001</v>
      </c>
      <c r="K6338">
        <v>1.110592</v>
      </c>
      <c r="L6338">
        <v>-63.216340000000002</v>
      </c>
      <c r="M6338">
        <v>0.99988840000000001</v>
      </c>
      <c r="N6338">
        <v>-1.4023000000000001E-2</v>
      </c>
      <c r="O6338">
        <v>5.1534119999999996E-3</v>
      </c>
      <c r="P6338">
        <v>0.97534480000000001</v>
      </c>
      <c r="Q6338">
        <v>0.19440470000000001</v>
      </c>
      <c r="R6338">
        <v>0.10444870000000001</v>
      </c>
      <c r="S6338">
        <v>3.0636749999999999</v>
      </c>
      <c r="T6338">
        <v>3.593242E-2</v>
      </c>
      <c r="U6338">
        <v>6.3049320000000006E-2</v>
      </c>
      <c r="V6338">
        <v>-9.9545499999999995E-2</v>
      </c>
      <c r="W6338">
        <v>0.20801059999999999</v>
      </c>
      <c r="X6338">
        <v>0.97304789999999997</v>
      </c>
      <c r="Y6338">
        <v>-1.54241E-2</v>
      </c>
      <c r="Z6338">
        <v>1.5041419999999999E-4</v>
      </c>
      <c r="AA6338">
        <v>0.99988100000000002</v>
      </c>
      <c r="AB6338">
        <v>29</v>
      </c>
      <c r="AC6338">
        <v>86.811099999999996</v>
      </c>
      <c r="AD6338">
        <v>1.019941</v>
      </c>
      <c r="AE6338">
        <v>1.7886299999999999</v>
      </c>
      <c r="AF6338">
        <v>-1.3410038584773101</v>
      </c>
      <c r="AG6338">
        <v>1.019941</v>
      </c>
      <c r="AH6338">
        <v>86.807187838247302</v>
      </c>
      <c r="AI6338">
        <v>89.326914551176202</v>
      </c>
      <c r="AJ6338">
        <v>90.885039041531201</v>
      </c>
      <c r="AK6338">
        <v>86.823536160287105</v>
      </c>
      <c r="AL6338">
        <v>77.994205838700694</v>
      </c>
      <c r="AM6338">
        <v>95.841196071151799</v>
      </c>
      <c r="AN6338">
        <v>0.99999996598850904</v>
      </c>
    </row>
    <row r="6339" spans="1:40" x14ac:dyDescent="0.25">
      <c r="A6339" t="str">
        <f>"20190304155759460"</f>
        <v>20190304155759460</v>
      </c>
      <c r="B6339" t="str">
        <f>"1551686279451076"</f>
        <v>1551686279451076</v>
      </c>
      <c r="C6339" t="s">
        <v>40</v>
      </c>
      <c r="D6339">
        <v>4.7353500000000004</v>
      </c>
      <c r="E6339">
        <v>0.52873990000000004</v>
      </c>
      <c r="F6339" t="s">
        <v>73</v>
      </c>
      <c r="G6339">
        <v>-157.3501</v>
      </c>
      <c r="H6339">
        <v>2.4135040000000001</v>
      </c>
      <c r="I6339">
        <v>-61.2757199999999</v>
      </c>
      <c r="J6339">
        <v>-244.0232</v>
      </c>
      <c r="K6339">
        <v>1.1105400000000001</v>
      </c>
      <c r="L6339">
        <v>-63.215519999999998</v>
      </c>
      <c r="M6339">
        <v>0.999888</v>
      </c>
      <c r="N6339">
        <v>-1.4029150000000001E-2</v>
      </c>
      <c r="O6339">
        <v>5.2347679999999999E-3</v>
      </c>
      <c r="P6339">
        <v>0.97573949999999998</v>
      </c>
      <c r="Q6339">
        <v>0.19251080000000001</v>
      </c>
      <c r="R6339">
        <v>0.10426829999999999</v>
      </c>
      <c r="S6339">
        <v>3.0593409999999999</v>
      </c>
      <c r="T6339">
        <v>4.5915600000000001E-2</v>
      </c>
      <c r="U6339">
        <v>6.8389889999999995E-2</v>
      </c>
      <c r="V6339">
        <v>-9.9261810000000006E-2</v>
      </c>
      <c r="W6339">
        <v>0.20613860000000001</v>
      </c>
      <c r="X6339">
        <v>0.97347519999999998</v>
      </c>
      <c r="Y6339">
        <v>-1.711667E-2</v>
      </c>
      <c r="Z6339">
        <v>1.4364099999999999E-4</v>
      </c>
      <c r="AA6339">
        <v>0.99985349999999995</v>
      </c>
      <c r="AB6339">
        <v>29</v>
      </c>
      <c r="AC6339">
        <v>86.673100000000005</v>
      </c>
      <c r="AD6339">
        <v>1.302964</v>
      </c>
      <c r="AE6339">
        <v>1.9398</v>
      </c>
      <c r="AF6339">
        <v>-1.48567965711238</v>
      </c>
      <c r="AG6339">
        <v>1.302964</v>
      </c>
      <c r="AH6339">
        <v>86.662492252020996</v>
      </c>
      <c r="AI6339">
        <v>89.138753727985801</v>
      </c>
      <c r="AJ6339">
        <v>90.982141573685396</v>
      </c>
      <c r="AK6339">
        <v>86.685019020361594</v>
      </c>
      <c r="AL6339">
        <v>78.103840237113999</v>
      </c>
      <c r="AM6339">
        <v>95.822125011816098</v>
      </c>
      <c r="AN6339">
        <v>0.99999999717473798</v>
      </c>
    </row>
    <row r="6340" spans="1:40" x14ac:dyDescent="0.25">
      <c r="A6340" t="str">
        <f>"20190304155759472"</f>
        <v>20190304155759472</v>
      </c>
      <c r="B6340" t="str">
        <f>"1551686279460836"</f>
        <v>1551686279460836</v>
      </c>
      <c r="C6340" t="s">
        <v>40</v>
      </c>
      <c r="D6340">
        <v>4.7619790000000002</v>
      </c>
      <c r="E6340">
        <v>0.52823089999999995</v>
      </c>
      <c r="F6340" t="s">
        <v>73</v>
      </c>
      <c r="G6340">
        <v>-157.3501</v>
      </c>
      <c r="H6340">
        <v>2.9030879999999999</v>
      </c>
      <c r="I6340">
        <v>-61.038960000000003</v>
      </c>
      <c r="J6340">
        <v>-243.87219999999999</v>
      </c>
      <c r="K6340">
        <v>1.110501</v>
      </c>
      <c r="L6340">
        <v>-63.214599999999997</v>
      </c>
      <c r="M6340">
        <v>0.99988750000000004</v>
      </c>
      <c r="N6340">
        <v>-1.403567E-2</v>
      </c>
      <c r="O6340">
        <v>5.3143390000000004E-3</v>
      </c>
      <c r="P6340">
        <v>0.97584939999999998</v>
      </c>
      <c r="Q6340">
        <v>0.1920364</v>
      </c>
      <c r="R6340">
        <v>0.1041154</v>
      </c>
      <c r="S6340">
        <v>3.053925</v>
      </c>
      <c r="T6340">
        <v>6.3159580000000007E-2</v>
      </c>
      <c r="U6340">
        <v>7.6690670000000002E-2</v>
      </c>
      <c r="V6340">
        <v>-9.9007869999999998E-2</v>
      </c>
      <c r="W6340">
        <v>0.2056827</v>
      </c>
      <c r="X6340">
        <v>0.9735975</v>
      </c>
      <c r="Y6340">
        <v>-1.9792560000000001E-2</v>
      </c>
      <c r="Z6340">
        <v>1.187664E-4</v>
      </c>
      <c r="AA6340">
        <v>0.99980409999999997</v>
      </c>
      <c r="AB6340">
        <v>28</v>
      </c>
      <c r="AC6340">
        <v>86.522099999999995</v>
      </c>
      <c r="AD6340">
        <v>1.7925869999999999</v>
      </c>
      <c r="AE6340">
        <v>2.17564</v>
      </c>
      <c r="AF6340">
        <v>-1.7150205610206799</v>
      </c>
      <c r="AG6340">
        <v>1.7925869999999999</v>
      </c>
      <c r="AH6340">
        <v>86.495336862679494</v>
      </c>
      <c r="AI6340">
        <v>88.812967295217106</v>
      </c>
      <c r="AJ6340">
        <v>91.135905925680206</v>
      </c>
      <c r="AK6340">
        <v>86.530907557159594</v>
      </c>
      <c r="AL6340">
        <v>78.130533571438093</v>
      </c>
      <c r="AM6340">
        <v>95.806607775233005</v>
      </c>
      <c r="AN6340">
        <v>1.00000001170373</v>
      </c>
    </row>
    <row r="6341" spans="1:40" x14ac:dyDescent="0.25">
      <c r="A6341" t="str">
        <f>"20190304155759483"</f>
        <v>20190304155759483</v>
      </c>
      <c r="B6341" t="str">
        <f>"1551686279481332"</f>
        <v>1551686279481332</v>
      </c>
      <c r="C6341" t="s">
        <v>40</v>
      </c>
      <c r="D6341">
        <v>5.8235089999999996</v>
      </c>
      <c r="E6341">
        <v>0.52885369999999998</v>
      </c>
      <c r="F6341" t="s">
        <v>73</v>
      </c>
      <c r="G6341">
        <v>-157.3501</v>
      </c>
      <c r="H6341">
        <v>3.2848579999999998</v>
      </c>
      <c r="I6341">
        <v>-60.924300000000002</v>
      </c>
      <c r="J6341">
        <v>-243.72900000000001</v>
      </c>
      <c r="K6341">
        <v>1.1104769999999999</v>
      </c>
      <c r="L6341">
        <v>-63.213749999999997</v>
      </c>
      <c r="M6341">
        <v>0.99988719999999998</v>
      </c>
      <c r="N6341">
        <v>-1.404117E-2</v>
      </c>
      <c r="O6341">
        <v>5.3584260000000003E-3</v>
      </c>
      <c r="P6341">
        <v>0.97568520000000003</v>
      </c>
      <c r="Q6341">
        <v>0.19314519999999999</v>
      </c>
      <c r="R6341">
        <v>0.1036038</v>
      </c>
      <c r="S6341">
        <v>3.0505369999999998</v>
      </c>
      <c r="T6341">
        <v>7.6661229999999997E-2</v>
      </c>
      <c r="U6341">
        <v>8.0749509999999997E-2</v>
      </c>
      <c r="V6341">
        <v>-9.8435339999999996E-2</v>
      </c>
      <c r="W6341">
        <v>0.20680390000000001</v>
      </c>
      <c r="X6341">
        <v>0.97341800000000001</v>
      </c>
      <c r="Y6341">
        <v>-2.1105039999999999E-2</v>
      </c>
      <c r="Z6341" s="1">
        <v>9.2936239999999996E-5</v>
      </c>
      <c r="AA6341">
        <v>0.99977729999999998</v>
      </c>
      <c r="AB6341">
        <v>28</v>
      </c>
      <c r="AC6341">
        <v>86.378900000000002</v>
      </c>
      <c r="AD6341">
        <v>2.1743809999999999</v>
      </c>
      <c r="AE6341">
        <v>2.2894499999999902</v>
      </c>
      <c r="AF6341">
        <v>-1.8253607673846901</v>
      </c>
      <c r="AG6341">
        <v>2.1743809999999999</v>
      </c>
      <c r="AH6341">
        <v>86.335259963280606</v>
      </c>
      <c r="AI6341">
        <v>88.557614753375304</v>
      </c>
      <c r="AJ6341">
        <v>91.211207200437201</v>
      </c>
      <c r="AK6341">
        <v>86.381925120892703</v>
      </c>
      <c r="AL6341">
        <v>78.064881770254004</v>
      </c>
      <c r="AM6341">
        <v>95.7743149436821</v>
      </c>
      <c r="AN6341">
        <v>0.99999998597006201</v>
      </c>
    </row>
    <row r="6342" spans="1:40" x14ac:dyDescent="0.25">
      <c r="A6342" t="str">
        <f>"20190304155759494"</f>
        <v>20190304155759494</v>
      </c>
      <c r="B6342" t="str">
        <f>"1551686279491092"</f>
        <v>1551686279491092</v>
      </c>
      <c r="C6342" t="s">
        <v>40</v>
      </c>
      <c r="D6342">
        <v>4.8944859999999997</v>
      </c>
      <c r="E6342">
        <v>0.53007660000000001</v>
      </c>
      <c r="F6342" t="s">
        <v>73</v>
      </c>
      <c r="G6342">
        <v>-157.3501</v>
      </c>
      <c r="H6342">
        <v>3.1826089999999998</v>
      </c>
      <c r="I6342">
        <v>-61.09525</v>
      </c>
      <c r="J6342">
        <v>-243.59030000000001</v>
      </c>
      <c r="K6342">
        <v>1.1104540000000001</v>
      </c>
      <c r="L6342">
        <v>-63.212949999999999</v>
      </c>
      <c r="M6342">
        <v>0.99988690000000002</v>
      </c>
      <c r="N6342">
        <v>-1.404618E-2</v>
      </c>
      <c r="O6342">
        <v>5.389886E-3</v>
      </c>
      <c r="P6342">
        <v>0.97549180000000002</v>
      </c>
      <c r="Q6342">
        <v>0.19448099999999999</v>
      </c>
      <c r="R6342">
        <v>0.102923</v>
      </c>
      <c r="S6342">
        <v>3.0523220000000002</v>
      </c>
      <c r="T6342">
        <v>7.3220969999999996E-2</v>
      </c>
      <c r="U6342">
        <v>7.4859620000000002E-2</v>
      </c>
      <c r="V6342">
        <v>-9.7708660000000003E-2</v>
      </c>
      <c r="W6342">
        <v>0.20815059999999999</v>
      </c>
      <c r="X6342">
        <v>0.97320419999999996</v>
      </c>
      <c r="Y6342">
        <v>-1.9130560000000001E-2</v>
      </c>
      <c r="Z6342">
        <v>1.099393E-4</v>
      </c>
      <c r="AA6342">
        <v>0.99981699999999996</v>
      </c>
      <c r="AB6342">
        <v>28</v>
      </c>
      <c r="AC6342">
        <v>86.240200000000002</v>
      </c>
      <c r="AD6342">
        <v>2.0721549999999902</v>
      </c>
      <c r="AE6342">
        <v>2.1176999999999899</v>
      </c>
      <c r="AF6342">
        <v>-1.65184547577652</v>
      </c>
      <c r="AG6342">
        <v>2.0721549999999902</v>
      </c>
      <c r="AH6342">
        <v>86.200626040936797</v>
      </c>
      <c r="AI6342">
        <v>88.623199155961899</v>
      </c>
      <c r="AJ6342">
        <v>91.097813278872195</v>
      </c>
      <c r="AK6342">
        <v>86.241349419343507</v>
      </c>
      <c r="AL6342">
        <v>77.986005762994694</v>
      </c>
      <c r="AM6342">
        <v>95.733222920340395</v>
      </c>
      <c r="AN6342">
        <v>1.0000000347084901</v>
      </c>
    </row>
    <row r="6343" spans="1:40" x14ac:dyDescent="0.25">
      <c r="A6343" t="str">
        <f>"20190304155759505"</f>
        <v>20190304155759505</v>
      </c>
      <c r="B6343" t="str">
        <f>"1551686279500852"</f>
        <v>1551686279500852</v>
      </c>
      <c r="C6343" t="s">
        <v>40</v>
      </c>
      <c r="D6343">
        <v>4.8734590000000004</v>
      </c>
      <c r="E6343">
        <v>0.53091529999999998</v>
      </c>
      <c r="F6343" t="s">
        <v>73</v>
      </c>
      <c r="G6343">
        <v>-157.3501</v>
      </c>
      <c r="H6343">
        <v>2.9242189999999999</v>
      </c>
      <c r="I6343">
        <v>-61.417259999999999</v>
      </c>
      <c r="J6343">
        <v>-243.45050000000001</v>
      </c>
      <c r="K6343">
        <v>1.1104430000000001</v>
      </c>
      <c r="L6343">
        <v>-63.212159999999997</v>
      </c>
      <c r="M6343">
        <v>0.99988679999999996</v>
      </c>
      <c r="N6343">
        <v>-1.405081E-2</v>
      </c>
      <c r="O6343">
        <v>5.4061519999999896E-3</v>
      </c>
      <c r="P6343">
        <v>0.9751763</v>
      </c>
      <c r="Q6343">
        <v>0.19638</v>
      </c>
      <c r="R6343">
        <v>0.1023056</v>
      </c>
      <c r="S6343">
        <v>3.0558779999999999</v>
      </c>
      <c r="T6343">
        <v>6.4269069999999998E-2</v>
      </c>
      <c r="U6343">
        <v>6.3629149999999995E-2</v>
      </c>
      <c r="V6343">
        <v>-9.7062129999999996E-2</v>
      </c>
      <c r="W6343">
        <v>0.2100563</v>
      </c>
      <c r="X6343">
        <v>0.97285929999999998</v>
      </c>
      <c r="Y6343">
        <v>-1.541376E-2</v>
      </c>
      <c r="Z6343">
        <v>1.3587399999999999E-4</v>
      </c>
      <c r="AA6343">
        <v>0.99988120000000003</v>
      </c>
      <c r="AB6343">
        <v>28</v>
      </c>
      <c r="AC6343">
        <v>86.100399999999993</v>
      </c>
      <c r="AD6343">
        <v>1.8137760000000001</v>
      </c>
      <c r="AE6343">
        <v>1.7948999999999899</v>
      </c>
      <c r="AF6343">
        <v>-1.32876661321588</v>
      </c>
      <c r="AG6343">
        <v>1.8137760000000001</v>
      </c>
      <c r="AH6343">
        <v>86.0706670935148</v>
      </c>
      <c r="AI6343">
        <v>88.7929226298141</v>
      </c>
      <c r="AJ6343">
        <v>90.884467077776605</v>
      </c>
      <c r="AK6343">
        <v>86.100029837470004</v>
      </c>
      <c r="AL6343">
        <v>77.874347943369202</v>
      </c>
      <c r="AM6343">
        <v>95.697542816616505</v>
      </c>
      <c r="AN6343">
        <v>0.99999996192315699</v>
      </c>
    </row>
    <row r="6344" spans="1:40" x14ac:dyDescent="0.25">
      <c r="A6344" t="str">
        <f>"20190304155759517"</f>
        <v>20190304155759517</v>
      </c>
      <c r="B6344" t="str">
        <f>"1551686279510612"</f>
        <v>1551686279510612</v>
      </c>
      <c r="C6344" t="s">
        <v>40</v>
      </c>
      <c r="D6344">
        <v>5.0999379999999999</v>
      </c>
      <c r="E6344">
        <v>0.53090039999999905</v>
      </c>
      <c r="F6344" t="s">
        <v>73</v>
      </c>
      <c r="G6344">
        <v>-157.3501</v>
      </c>
      <c r="H6344">
        <v>2.880687</v>
      </c>
      <c r="I6344">
        <v>-61.639659999999999</v>
      </c>
      <c r="J6344">
        <v>-243.30680000000001</v>
      </c>
      <c r="K6344">
        <v>1.11043799999999</v>
      </c>
      <c r="L6344">
        <v>-63.211329999999997</v>
      </c>
      <c r="M6344">
        <v>0.99988670000000002</v>
      </c>
      <c r="N6344">
        <v>-1.4055120000000001E-2</v>
      </c>
      <c r="O6344">
        <v>5.4111100000000002E-3</v>
      </c>
      <c r="P6344">
        <v>0.97490759999999999</v>
      </c>
      <c r="Q6344">
        <v>0.19820109999999999</v>
      </c>
      <c r="R6344">
        <v>0.1013498</v>
      </c>
      <c r="S6344">
        <v>3.0578609999999999</v>
      </c>
      <c r="T6344">
        <v>6.2869549999999996E-2</v>
      </c>
      <c r="U6344">
        <v>5.5847170000000002E-2</v>
      </c>
      <c r="V6344">
        <v>-9.6089499999999994E-2</v>
      </c>
      <c r="W6344">
        <v>0.2118835</v>
      </c>
      <c r="X6344">
        <v>0.97255959999999997</v>
      </c>
      <c r="Y6344">
        <v>-1.28518E-2</v>
      </c>
      <c r="Z6344">
        <v>1.455087E-4</v>
      </c>
      <c r="AA6344">
        <v>0.99991739999999996</v>
      </c>
      <c r="AB6344">
        <v>28</v>
      </c>
      <c r="AC6344">
        <v>85.956699999999998</v>
      </c>
      <c r="AD6344">
        <v>1.770249</v>
      </c>
      <c r="AE6344">
        <v>1.5716699999999999</v>
      </c>
      <c r="AF6344">
        <v>-1.1060109876452999</v>
      </c>
      <c r="AG6344">
        <v>1.770249</v>
      </c>
      <c r="AH6344">
        <v>85.927513533393807</v>
      </c>
      <c r="AI6344">
        <v>88.819876790359302</v>
      </c>
      <c r="AJ6344">
        <v>90.737438567172404</v>
      </c>
      <c r="AK6344">
        <v>85.952862801993803</v>
      </c>
      <c r="AL6344">
        <v>77.767246874519103</v>
      </c>
      <c r="AM6344">
        <v>95.642546564894005</v>
      </c>
      <c r="AN6344">
        <v>0.99999999256732897</v>
      </c>
    </row>
    <row r="6345" spans="1:40" x14ac:dyDescent="0.25">
      <c r="A6345" t="str">
        <f>"20190304155759527"</f>
        <v>20190304155759527</v>
      </c>
      <c r="B6345" t="str">
        <f>"1551686279521348"</f>
        <v>1551686279521348</v>
      </c>
      <c r="C6345" t="s">
        <v>40</v>
      </c>
      <c r="D6345">
        <v>4.8055919999999999</v>
      </c>
      <c r="E6345">
        <v>0.53131010000000001</v>
      </c>
      <c r="F6345" t="s">
        <v>73</v>
      </c>
      <c r="G6345">
        <v>-157.3501</v>
      </c>
      <c r="H6345">
        <v>3.1265000000000001</v>
      </c>
      <c r="I6345">
        <v>-61.703699999999998</v>
      </c>
      <c r="J6345">
        <v>-243.16839999999999</v>
      </c>
      <c r="K6345">
        <v>1.1104339999999999</v>
      </c>
      <c r="L6345">
        <v>-63.210569999999997</v>
      </c>
      <c r="M6345">
        <v>0.99988659999999996</v>
      </c>
      <c r="N6345">
        <v>-1.405899E-2</v>
      </c>
      <c r="O6345">
        <v>5.4090459999999998E-3</v>
      </c>
      <c r="P6345">
        <v>0.97458889999999998</v>
      </c>
      <c r="Q6345">
        <v>0.2003211</v>
      </c>
      <c r="R6345">
        <v>0.1002396</v>
      </c>
      <c r="S6345">
        <v>3.0570680000000001</v>
      </c>
      <c r="T6345">
        <v>7.1700929999999996E-2</v>
      </c>
      <c r="U6345">
        <v>5.3619380000000001E-2</v>
      </c>
      <c r="V6345">
        <v>-9.4972210000000001E-2</v>
      </c>
      <c r="W6345">
        <v>0.2140079</v>
      </c>
      <c r="X6345">
        <v>0.97220410000000002</v>
      </c>
      <c r="Y6345">
        <v>-1.213025E-2</v>
      </c>
      <c r="Z6345">
        <v>1.4592669999999999E-4</v>
      </c>
      <c r="AA6345">
        <v>0.99992639999999999</v>
      </c>
      <c r="AB6345">
        <v>28</v>
      </c>
      <c r="AC6345">
        <v>85.818299999999994</v>
      </c>
      <c r="AD6345">
        <v>2.0160659999999999</v>
      </c>
      <c r="AE6345">
        <v>1.5068699999999899</v>
      </c>
      <c r="AF6345">
        <v>-1.0420320603789399</v>
      </c>
      <c r="AG6345">
        <v>2.0160659999999999</v>
      </c>
      <c r="AH6345">
        <v>85.777870802923204</v>
      </c>
      <c r="AI6345">
        <v>88.653705303861699</v>
      </c>
      <c r="AJ6345">
        <v>90.695996554179203</v>
      </c>
      <c r="AK6345">
        <v>85.807887005881895</v>
      </c>
      <c r="AL6345">
        <v>77.6426699642779</v>
      </c>
      <c r="AM6345">
        <v>95.579379963433894</v>
      </c>
      <c r="AN6345">
        <v>0.99999995699575095</v>
      </c>
    </row>
    <row r="6346" spans="1:40" x14ac:dyDescent="0.25">
      <c r="A6346" t="str">
        <f>"20190304155759538"</f>
        <v>20190304155759538</v>
      </c>
      <c r="B6346" t="str">
        <f>"1551686279531108"</f>
        <v>1551686279531108</v>
      </c>
      <c r="C6346" t="s">
        <v>40</v>
      </c>
      <c r="D6346">
        <v>4.8591889999999998</v>
      </c>
      <c r="E6346">
        <v>0.53183199999999997</v>
      </c>
      <c r="F6346" t="s">
        <v>73</v>
      </c>
      <c r="G6346">
        <v>-157.3501</v>
      </c>
      <c r="H6346">
        <v>3.2187920000000001</v>
      </c>
      <c r="I6346">
        <v>-61.872770000000003</v>
      </c>
      <c r="J6346">
        <v>-243.02889999999999</v>
      </c>
      <c r="K6346">
        <v>1.11043799999999</v>
      </c>
      <c r="L6346">
        <v>-63.20984</v>
      </c>
      <c r="M6346">
        <v>0.99988659999999996</v>
      </c>
      <c r="N6346">
        <v>-1.406234E-2</v>
      </c>
      <c r="O6346">
        <v>5.3942590000000002E-3</v>
      </c>
      <c r="P6346">
        <v>0.97428930000000002</v>
      </c>
      <c r="Q6346">
        <v>0.20232449999999999</v>
      </c>
      <c r="R6346">
        <v>9.9123870000000003E-2</v>
      </c>
      <c r="S6346">
        <v>3.057877</v>
      </c>
      <c r="T6346">
        <v>7.5124259999999998E-2</v>
      </c>
      <c r="U6346">
        <v>4.7668460000000003E-2</v>
      </c>
      <c r="V6346">
        <v>-9.3863920000000003E-2</v>
      </c>
      <c r="W6346">
        <v>0.2160136</v>
      </c>
      <c r="X6346">
        <v>0.97186819999999896</v>
      </c>
      <c r="Y6346">
        <v>-1.01952E-2</v>
      </c>
      <c r="Z6346">
        <v>1.5481959999999901E-4</v>
      </c>
      <c r="AA6346">
        <v>0.99994799999999995</v>
      </c>
      <c r="AB6346">
        <v>28</v>
      </c>
      <c r="AC6346">
        <v>85.678799999999995</v>
      </c>
      <c r="AD6346">
        <v>2.1083539999999998</v>
      </c>
      <c r="AE6346">
        <v>1.33707</v>
      </c>
      <c r="AF6346">
        <v>-0.87430192201969303</v>
      </c>
      <c r="AG6346">
        <v>2.1083539999999998</v>
      </c>
      <c r="AH6346">
        <v>85.632925182030206</v>
      </c>
      <c r="AI6346">
        <v>88.589688561568195</v>
      </c>
      <c r="AJ6346">
        <v>90.584962729390398</v>
      </c>
      <c r="AK6346">
        <v>85.663337757008605</v>
      </c>
      <c r="AL6346">
        <v>77.525000917160895</v>
      </c>
      <c r="AM6346">
        <v>95.516568651358597</v>
      </c>
      <c r="AN6346">
        <v>1.00000005451698</v>
      </c>
    </row>
    <row r="6347" spans="1:40" x14ac:dyDescent="0.25">
      <c r="A6347" t="str">
        <f>"20190304155759548"</f>
        <v>20190304155759548</v>
      </c>
      <c r="B6347" t="str">
        <f>"1551686279540869"</f>
        <v>1551686279540869</v>
      </c>
      <c r="C6347" t="s">
        <v>40</v>
      </c>
      <c r="D6347">
        <v>4.9385750000000002</v>
      </c>
      <c r="E6347">
        <v>0.53248779999999996</v>
      </c>
      <c r="F6347" t="s">
        <v>73</v>
      </c>
      <c r="G6347">
        <v>-157.3501</v>
      </c>
      <c r="H6347">
        <v>3.2967780000000002</v>
      </c>
      <c r="I6347">
        <v>-62.070369999999997</v>
      </c>
      <c r="J6347">
        <v>-242.89259999999999</v>
      </c>
      <c r="K6347">
        <v>1.11043799999999</v>
      </c>
      <c r="L6347">
        <v>-63.209110000000003</v>
      </c>
      <c r="M6347">
        <v>0.99988670000000002</v>
      </c>
      <c r="N6347">
        <v>-1.406549E-2</v>
      </c>
      <c r="O6347">
        <v>5.3769959999999898E-3</v>
      </c>
      <c r="P6347">
        <v>0.97388160000000001</v>
      </c>
      <c r="Q6347">
        <v>0.20492569999999999</v>
      </c>
      <c r="R6347">
        <v>9.7776639999999998E-2</v>
      </c>
      <c r="S6347">
        <v>3.0588069999999998</v>
      </c>
      <c r="T6347">
        <v>7.805347E-2</v>
      </c>
      <c r="U6347">
        <v>4.0679930000000003E-2</v>
      </c>
      <c r="V6347">
        <v>-9.2528029999999997E-2</v>
      </c>
      <c r="W6347">
        <v>0.21861549999999999</v>
      </c>
      <c r="X6347">
        <v>0.97141429999999995</v>
      </c>
      <c r="Y6347">
        <v>-7.9239140000000007E-3</v>
      </c>
      <c r="Z6347">
        <v>1.6744770000000001E-4</v>
      </c>
      <c r="AA6347">
        <v>0.99996859999999999</v>
      </c>
      <c r="AB6347">
        <v>28</v>
      </c>
      <c r="AC6347">
        <v>85.542499999999905</v>
      </c>
      <c r="AD6347">
        <v>2.18634</v>
      </c>
      <c r="AE6347">
        <v>1.1387399999999901</v>
      </c>
      <c r="AF6347">
        <v>-0.67827339086470095</v>
      </c>
      <c r="AG6347">
        <v>2.18634</v>
      </c>
      <c r="AH6347">
        <v>85.491550300839705</v>
      </c>
      <c r="AI6347">
        <v>88.535097141726993</v>
      </c>
      <c r="AJ6347">
        <v>90.454564072697195</v>
      </c>
      <c r="AK6347">
        <v>85.522191916656098</v>
      </c>
      <c r="AL6347">
        <v>77.372271795839396</v>
      </c>
      <c r="AM6347">
        <v>95.441055800637997</v>
      </c>
      <c r="AN6347">
        <v>0.999999957710209</v>
      </c>
    </row>
    <row r="6348" spans="1:40" x14ac:dyDescent="0.25">
      <c r="A6348" t="str">
        <f>"20190304155759561"</f>
        <v>20190304155759561</v>
      </c>
      <c r="B6348" t="str">
        <f>"1551686279550628"</f>
        <v>1551686279550628</v>
      </c>
      <c r="C6348" t="s">
        <v>40</v>
      </c>
      <c r="D6348">
        <v>5.0119800000000003</v>
      </c>
      <c r="E6348">
        <v>0.53248779999999996</v>
      </c>
      <c r="F6348" t="s">
        <v>73</v>
      </c>
      <c r="G6348">
        <v>-157.3501</v>
      </c>
      <c r="H6348">
        <v>3.2409319999999999</v>
      </c>
      <c r="I6348">
        <v>-62.320500000000003</v>
      </c>
      <c r="J6348">
        <v>-242.7458</v>
      </c>
      <c r="K6348">
        <v>1.110441</v>
      </c>
      <c r="L6348">
        <v>-63.20834</v>
      </c>
      <c r="M6348">
        <v>0.99988690000000002</v>
      </c>
      <c r="N6348">
        <v>-1.406835E-2</v>
      </c>
      <c r="O6348">
        <v>5.3453609999999999E-3</v>
      </c>
      <c r="P6348">
        <v>0.97354620000000003</v>
      </c>
      <c r="Q6348">
        <v>0.20698510000000001</v>
      </c>
      <c r="R6348">
        <v>9.6773919999999999E-2</v>
      </c>
      <c r="S6348">
        <v>3.0612180000000002</v>
      </c>
      <c r="T6348">
        <v>7.62409E-2</v>
      </c>
      <c r="U6348">
        <v>3.1799319999999999E-2</v>
      </c>
      <c r="V6348">
        <v>-9.1551560000000004E-2</v>
      </c>
      <c r="W6348">
        <v>0.22067529999999999</v>
      </c>
      <c r="X6348">
        <v>0.97104100000000004</v>
      </c>
      <c r="Y6348">
        <v>-5.0448659999999899E-3</v>
      </c>
      <c r="Z6348">
        <v>1.8096820000000001E-4</v>
      </c>
      <c r="AA6348">
        <v>0.99998719999999996</v>
      </c>
      <c r="AB6348">
        <v>28</v>
      </c>
      <c r="AC6348">
        <v>85.395700000000005</v>
      </c>
      <c r="AD6348">
        <v>2.1304910000000001</v>
      </c>
      <c r="AE6348">
        <v>0.88783999999999696</v>
      </c>
      <c r="AF6348">
        <v>-0.43104309647225603</v>
      </c>
      <c r="AG6348">
        <v>2.1304910000000001</v>
      </c>
      <c r="AH6348">
        <v>85.346110186773601</v>
      </c>
      <c r="AI6348">
        <v>88.570043316547199</v>
      </c>
      <c r="AJ6348">
        <v>90.289371597329193</v>
      </c>
      <c r="AK6348">
        <v>85.373785871688895</v>
      </c>
      <c r="AL6348">
        <v>77.251299653354806</v>
      </c>
      <c r="AM6348">
        <v>95.386031872098201</v>
      </c>
      <c r="AN6348">
        <v>0.99999994992476005</v>
      </c>
    </row>
    <row r="6349" spans="1:40" x14ac:dyDescent="0.25">
      <c r="A6349" t="str">
        <f>"20190304155759572"</f>
        <v>20190304155759572</v>
      </c>
      <c r="B6349" t="str">
        <f>"1551686279561364"</f>
        <v>1551686279561364</v>
      </c>
      <c r="C6349" t="s">
        <v>40</v>
      </c>
      <c r="D6349">
        <v>4.763458</v>
      </c>
      <c r="E6349">
        <v>0.53235109999999997</v>
      </c>
      <c r="F6349" t="s">
        <v>73</v>
      </c>
      <c r="G6349">
        <v>-157.3501</v>
      </c>
      <c r="H6349">
        <v>3.4121429999999999</v>
      </c>
      <c r="I6349">
        <v>-62.396999999999998</v>
      </c>
      <c r="J6349">
        <v>-242.60230000000001</v>
      </c>
      <c r="K6349">
        <v>1.1104400000000001</v>
      </c>
      <c r="L6349">
        <v>-63.20758</v>
      </c>
      <c r="M6349">
        <v>0.99988690000000002</v>
      </c>
      <c r="N6349">
        <v>-1.407102E-2</v>
      </c>
      <c r="O6349">
        <v>5.3124899999999996E-3</v>
      </c>
      <c r="P6349">
        <v>0.97331259999999997</v>
      </c>
      <c r="Q6349">
        <v>0.20853869999999999</v>
      </c>
      <c r="R6349">
        <v>9.5782709999999993E-2</v>
      </c>
      <c r="S6349">
        <v>3.0610810000000002</v>
      </c>
      <c r="T6349">
        <v>8.2505700000000001E-2</v>
      </c>
      <c r="U6349">
        <v>2.9083250000000001E-2</v>
      </c>
      <c r="V6349">
        <v>-9.0587089999999995E-2</v>
      </c>
      <c r="W6349">
        <v>0.22223029999999999</v>
      </c>
      <c r="X6349">
        <v>0.97077690000000005</v>
      </c>
      <c r="Y6349">
        <v>-4.1913769999999996E-3</v>
      </c>
      <c r="Z6349">
        <v>1.909112E-4</v>
      </c>
      <c r="AA6349">
        <v>0.99999119999999997</v>
      </c>
      <c r="AB6349">
        <v>28</v>
      </c>
      <c r="AC6349">
        <v>85.252200000000002</v>
      </c>
      <c r="AD6349">
        <v>2.3017029999999998</v>
      </c>
      <c r="AE6349">
        <v>0.81058000000000796</v>
      </c>
      <c r="AF6349">
        <v>-0.35736179434364201</v>
      </c>
      <c r="AG6349">
        <v>2.3017029999999998</v>
      </c>
      <c r="AH6349">
        <v>85.193208866240198</v>
      </c>
      <c r="AI6349">
        <v>88.452404408015397</v>
      </c>
      <c r="AJ6349">
        <v>90.240338434910399</v>
      </c>
      <c r="AK6349">
        <v>85.225045503532002</v>
      </c>
      <c r="AL6349">
        <v>77.159937662829194</v>
      </c>
      <c r="AM6349">
        <v>95.331061567250401</v>
      </c>
      <c r="AN6349">
        <v>1.0000000583431801</v>
      </c>
    </row>
    <row r="6350" spans="1:40" x14ac:dyDescent="0.25">
      <c r="A6350" t="str">
        <f>"20190304155759583"</f>
        <v>20190304155759583</v>
      </c>
      <c r="B6350" t="str">
        <f>"1551686279580885"</f>
        <v>1551686279580885</v>
      </c>
      <c r="C6350" t="s">
        <v>40</v>
      </c>
      <c r="D6350">
        <v>4.8831470000000001</v>
      </c>
      <c r="E6350">
        <v>0.53041450000000001</v>
      </c>
      <c r="F6350" t="s">
        <v>73</v>
      </c>
      <c r="G6350">
        <v>-157.3501</v>
      </c>
      <c r="H6350">
        <v>3.651805</v>
      </c>
      <c r="I6350">
        <v>-62.448340000000002</v>
      </c>
      <c r="J6350">
        <v>-242.46129999999999</v>
      </c>
      <c r="K6350">
        <v>1.1104320000000001</v>
      </c>
      <c r="L6350">
        <v>-63.206879999999998</v>
      </c>
      <c r="M6350">
        <v>0.99988719999999998</v>
      </c>
      <c r="N6350">
        <v>-1.4073280000000001E-2</v>
      </c>
      <c r="O6350">
        <v>5.2739930000000003E-3</v>
      </c>
      <c r="P6350">
        <v>0.97314679999999998</v>
      </c>
      <c r="Q6350">
        <v>0.2096152</v>
      </c>
      <c r="R6350">
        <v>9.5115400000000003E-2</v>
      </c>
      <c r="S6350">
        <v>3.0600589999999999</v>
      </c>
      <c r="T6350">
        <v>9.1219430000000004E-2</v>
      </c>
      <c r="U6350">
        <v>2.7252200000000001E-2</v>
      </c>
      <c r="V6350">
        <v>-8.9953309999999995E-2</v>
      </c>
      <c r="W6350">
        <v>0.22330829999999999</v>
      </c>
      <c r="X6350">
        <v>0.97058840000000002</v>
      </c>
      <c r="Y6350">
        <v>-3.635218E-3</v>
      </c>
      <c r="Z6350">
        <v>2.0279289999999999E-4</v>
      </c>
      <c r="AA6350">
        <v>0.99999340000000003</v>
      </c>
      <c r="AB6350">
        <v>28</v>
      </c>
      <c r="AC6350">
        <v>85.111199999999997</v>
      </c>
      <c r="AD6350">
        <v>2.5413730000000001</v>
      </c>
      <c r="AE6350">
        <v>0.75854000000000299</v>
      </c>
      <c r="AF6350">
        <v>-0.30933340570857298</v>
      </c>
      <c r="AG6350">
        <v>2.5413730000000001</v>
      </c>
      <c r="AH6350">
        <v>85.038204126257796</v>
      </c>
      <c r="AI6350">
        <v>88.2882322086231</v>
      </c>
      <c r="AJ6350">
        <v>90.208417153440493</v>
      </c>
      <c r="AK6350">
        <v>85.076732570662998</v>
      </c>
      <c r="AL6350">
        <v>77.096580205658697</v>
      </c>
      <c r="AM6350">
        <v>95.294998505422896</v>
      </c>
      <c r="AN6350">
        <v>1.0000000185217</v>
      </c>
    </row>
    <row r="6351" spans="1:40" x14ac:dyDescent="0.25">
      <c r="A6351" t="str">
        <f>"20190304155759595"</f>
        <v>20190304155759595</v>
      </c>
      <c r="B6351" t="str">
        <f>"1551686279590645"</f>
        <v>1551686279590645</v>
      </c>
      <c r="C6351" t="s">
        <v>40</v>
      </c>
      <c r="D6351">
        <v>5.2500799999999996</v>
      </c>
      <c r="E6351">
        <v>0.53041450000000001</v>
      </c>
      <c r="F6351" t="s">
        <v>73</v>
      </c>
      <c r="G6351">
        <v>-157.3501</v>
      </c>
      <c r="H6351">
        <v>3.7166779999999999</v>
      </c>
      <c r="I6351">
        <v>-62.073189999999997</v>
      </c>
      <c r="J6351">
        <v>-242.31460000000001</v>
      </c>
      <c r="K6351">
        <v>1.110425</v>
      </c>
      <c r="L6351">
        <v>-63.206150000000001</v>
      </c>
      <c r="M6351">
        <v>0.99988730000000003</v>
      </c>
      <c r="N6351">
        <v>-1.407541E-2</v>
      </c>
      <c r="O6351">
        <v>5.232647E-3</v>
      </c>
      <c r="P6351">
        <v>0.97329109999999996</v>
      </c>
      <c r="Q6351">
        <v>0.2091684</v>
      </c>
      <c r="R6351">
        <v>9.4620120000000002E-2</v>
      </c>
      <c r="S6351">
        <v>3.058624</v>
      </c>
      <c r="T6351">
        <v>9.3659279999999998E-2</v>
      </c>
      <c r="U6351">
        <v>4.0740970000000001E-2</v>
      </c>
      <c r="V6351">
        <v>-8.9492799999999997E-2</v>
      </c>
      <c r="W6351">
        <v>0.22286710000000001</v>
      </c>
      <c r="X6351">
        <v>0.97073229999999999</v>
      </c>
      <c r="Y6351">
        <v>-8.0891419999999901E-3</v>
      </c>
      <c r="Z6351">
        <v>1.66937799999999E-4</v>
      </c>
      <c r="AA6351">
        <v>0.9999673</v>
      </c>
      <c r="AB6351">
        <v>28</v>
      </c>
      <c r="AC6351">
        <v>84.964500000000001</v>
      </c>
      <c r="AD6351">
        <v>2.6062530000000002</v>
      </c>
      <c r="AE6351">
        <v>1.13295999999999</v>
      </c>
      <c r="AF6351">
        <v>-0.68766429771430904</v>
      </c>
      <c r="AG6351">
        <v>2.6062530000000002</v>
      </c>
      <c r="AH6351">
        <v>84.889404601455695</v>
      </c>
      <c r="AI6351">
        <v>88.2415295374322</v>
      </c>
      <c r="AJ6351">
        <v>90.464126240080802</v>
      </c>
      <c r="AK6351">
        <v>84.9321873642496</v>
      </c>
      <c r="AL6351">
        <v>77.122511769999605</v>
      </c>
      <c r="AM6351">
        <v>95.267267482317706</v>
      </c>
      <c r="AN6351">
        <v>0.999999951888768</v>
      </c>
    </row>
    <row r="6352" spans="1:40" x14ac:dyDescent="0.25">
      <c r="A6352" t="str">
        <f>"20190304155759606"</f>
        <v>20190304155759606</v>
      </c>
      <c r="B6352" t="str">
        <f>"1551686279601380"</f>
        <v>1551686279601380</v>
      </c>
      <c r="C6352" t="s">
        <v>40</v>
      </c>
      <c r="D6352">
        <v>4.9099969999999997</v>
      </c>
      <c r="E6352">
        <v>0.53091369999999904</v>
      </c>
      <c r="F6352" t="s">
        <v>73</v>
      </c>
      <c r="G6352">
        <v>-157.3501</v>
      </c>
      <c r="H6352">
        <v>3.6727599999999998</v>
      </c>
      <c r="I6352">
        <v>-62.116819999999997</v>
      </c>
      <c r="J6352">
        <v>-242.17060000000001</v>
      </c>
      <c r="K6352">
        <v>1.110406</v>
      </c>
      <c r="L6352">
        <v>-63.205410000000001</v>
      </c>
      <c r="M6352">
        <v>0.99988739999999998</v>
      </c>
      <c r="N6352">
        <v>-1.4077249999999999E-2</v>
      </c>
      <c r="O6352">
        <v>5.1904899999999999E-3</v>
      </c>
      <c r="P6352">
        <v>0.97336339999999999</v>
      </c>
      <c r="Q6352">
        <v>0.2089453</v>
      </c>
      <c r="R6352">
        <v>9.4369519999999998E-2</v>
      </c>
      <c r="S6352">
        <v>3.0586850000000001</v>
      </c>
      <c r="T6352">
        <v>9.2242119999999997E-2</v>
      </c>
      <c r="U6352">
        <v>3.9215090000000001E-2</v>
      </c>
      <c r="V6352">
        <v>-8.9279380000000005E-2</v>
      </c>
      <c r="W6352">
        <v>0.22264819999999999</v>
      </c>
      <c r="X6352">
        <v>0.97080219999999995</v>
      </c>
      <c r="Y6352">
        <v>-7.63232199999999E-3</v>
      </c>
      <c r="Z6352">
        <v>1.6821070000000001E-4</v>
      </c>
      <c r="AA6352">
        <v>0.9999709</v>
      </c>
      <c r="AB6352">
        <v>28</v>
      </c>
      <c r="AC6352">
        <v>84.820499999999996</v>
      </c>
      <c r="AD6352">
        <v>2.562354</v>
      </c>
      <c r="AE6352">
        <v>1.0885899999999999</v>
      </c>
      <c r="AF6352">
        <v>-0.64768075872526598</v>
      </c>
      <c r="AG6352">
        <v>2.562354</v>
      </c>
      <c r="AH6352">
        <v>84.747680750145506</v>
      </c>
      <c r="AI6352">
        <v>88.268234917004094</v>
      </c>
      <c r="AJ6352">
        <v>90.437872177253993</v>
      </c>
      <c r="AK6352">
        <v>84.788882177530397</v>
      </c>
      <c r="AL6352">
        <v>77.135377310452</v>
      </c>
      <c r="AM6352">
        <v>95.254400410083704</v>
      </c>
      <c r="AN6352">
        <v>0.99999997009063102</v>
      </c>
    </row>
    <row r="6353" spans="1:40" x14ac:dyDescent="0.25">
      <c r="A6353" t="str">
        <f>"20190304155759617"</f>
        <v>20190304155759617</v>
      </c>
      <c r="B6353" t="str">
        <f>"1551686279611140"</f>
        <v>1551686279611140</v>
      </c>
      <c r="C6353" t="s">
        <v>40</v>
      </c>
      <c r="D6353">
        <v>4.8630170000000001</v>
      </c>
      <c r="E6353">
        <v>0.53067889999999995</v>
      </c>
      <c r="F6353" t="s">
        <v>73</v>
      </c>
      <c r="G6353">
        <v>-157.3501</v>
      </c>
      <c r="H6353">
        <v>3.4958689999999999</v>
      </c>
      <c r="I6353">
        <v>-62.249600000000001</v>
      </c>
      <c r="J6353">
        <v>-242.03100000000001</v>
      </c>
      <c r="K6353">
        <v>1.1103959999999999</v>
      </c>
      <c r="L6353">
        <v>-63.204740000000001</v>
      </c>
      <c r="M6353">
        <v>0.99988779999999999</v>
      </c>
      <c r="N6353">
        <v>-1.4078759999999999E-2</v>
      </c>
      <c r="O6353">
        <v>5.1486630000000004E-3</v>
      </c>
      <c r="P6353">
        <v>0.9732904</v>
      </c>
      <c r="Q6353">
        <v>0.20955799999999999</v>
      </c>
      <c r="R6353">
        <v>9.3763250000000006E-2</v>
      </c>
      <c r="S6353">
        <v>3.0602719999999999</v>
      </c>
      <c r="T6353">
        <v>8.6065290000000003E-2</v>
      </c>
      <c r="U6353">
        <v>3.4484859999999999E-2</v>
      </c>
      <c r="V6353">
        <v>-8.8710609999999995E-2</v>
      </c>
      <c r="W6353">
        <v>0.22326270000000001</v>
      </c>
      <c r="X6353">
        <v>0.9707133</v>
      </c>
      <c r="Y6353">
        <v>-6.1222250000000002E-3</v>
      </c>
      <c r="Z6353">
        <v>1.742658E-4</v>
      </c>
      <c r="AA6353">
        <v>0.99998120000000001</v>
      </c>
      <c r="AB6353">
        <v>28</v>
      </c>
      <c r="AC6353">
        <v>84.680899999999895</v>
      </c>
      <c r="AD6353">
        <v>2.3854730000000002</v>
      </c>
      <c r="AE6353">
        <v>0.95513999999999999</v>
      </c>
      <c r="AF6353">
        <v>-0.51867922856495097</v>
      </c>
      <c r="AG6353">
        <v>2.3854730000000002</v>
      </c>
      <c r="AH6353">
        <v>84.617555255061006</v>
      </c>
      <c r="AI6353">
        <v>88.385219493175697</v>
      </c>
      <c r="AJ6353">
        <v>90.351200864125005</v>
      </c>
      <c r="AK6353">
        <v>84.652762311215696</v>
      </c>
      <c r="AL6353">
        <v>77.099261084199497</v>
      </c>
      <c r="AM6353">
        <v>95.221587435263103</v>
      </c>
      <c r="AN6353">
        <v>1.00000005816737</v>
      </c>
    </row>
    <row r="6354" spans="1:40" x14ac:dyDescent="0.25">
      <c r="A6354" t="str">
        <f>"20190304155759627"</f>
        <v>20190304155759627</v>
      </c>
      <c r="B6354" t="str">
        <f>"1551686279620900"</f>
        <v>1551686279620900</v>
      </c>
      <c r="C6354" t="s">
        <v>40</v>
      </c>
      <c r="D6354">
        <v>4.9347760000000003</v>
      </c>
      <c r="E6354">
        <v>0.53063680000000002</v>
      </c>
      <c r="F6354" t="s">
        <v>73</v>
      </c>
      <c r="G6354">
        <v>-157.3501</v>
      </c>
      <c r="H6354">
        <v>3.8962240000000001</v>
      </c>
      <c r="I6354">
        <v>-62.240290000000002</v>
      </c>
      <c r="J6354">
        <v>-241.899</v>
      </c>
      <c r="K6354">
        <v>1.1103889999999901</v>
      </c>
      <c r="L6354">
        <v>-63.204099999999997</v>
      </c>
      <c r="M6354">
        <v>0.99988790000000005</v>
      </c>
      <c r="N6354">
        <v>-1.408009E-2</v>
      </c>
      <c r="O6354">
        <v>5.109237E-3</v>
      </c>
      <c r="P6354">
        <v>0.97321340000000001</v>
      </c>
      <c r="Q6354">
        <v>0.21014050000000001</v>
      </c>
      <c r="R6354">
        <v>9.3258659999999993E-2</v>
      </c>
      <c r="S6354">
        <v>3.057312</v>
      </c>
      <c r="T6354">
        <v>0.1005785</v>
      </c>
      <c r="U6354">
        <v>3.482056E-2</v>
      </c>
      <c r="V6354">
        <v>-8.8242570000000006E-2</v>
      </c>
      <c r="W6354">
        <v>0.22384560000000001</v>
      </c>
      <c r="X6354">
        <v>0.97062159999999997</v>
      </c>
      <c r="Y6354">
        <v>-6.2826669999999996E-3</v>
      </c>
      <c r="Z6354">
        <v>1.8087149999999999E-4</v>
      </c>
      <c r="AA6354">
        <v>0.99998030000000004</v>
      </c>
      <c r="AB6354">
        <v>28</v>
      </c>
      <c r="AC6354">
        <v>84.548900000000003</v>
      </c>
      <c r="AD6354">
        <v>2.7858350000000001</v>
      </c>
      <c r="AE6354">
        <v>0.96380999999999495</v>
      </c>
      <c r="AF6354">
        <v>-0.53119763262743203</v>
      </c>
      <c r="AG6354">
        <v>2.7858350000000001</v>
      </c>
      <c r="AH6354">
        <v>84.461036780110106</v>
      </c>
      <c r="AI6354">
        <v>88.110897107295699</v>
      </c>
      <c r="AJ6354">
        <v>90.360343447321497</v>
      </c>
      <c r="AK6354">
        <v>84.508637319171399</v>
      </c>
      <c r="AL6354">
        <v>77.064994721256198</v>
      </c>
      <c r="AM6354">
        <v>95.194677302915096</v>
      </c>
      <c r="AN6354">
        <v>0.99999994709306095</v>
      </c>
    </row>
    <row r="6355" spans="1:40" x14ac:dyDescent="0.25">
      <c r="A6355" t="str">
        <f>"20190304155759639"</f>
        <v>20190304155759639</v>
      </c>
      <c r="B6355" t="str">
        <f>"1551686279630661"</f>
        <v>1551686279630661</v>
      </c>
      <c r="C6355" t="s">
        <v>40</v>
      </c>
      <c r="D6355">
        <v>4.8000299999999996</v>
      </c>
      <c r="E6355">
        <v>0.53069319999999998</v>
      </c>
      <c r="F6355" t="s">
        <v>73</v>
      </c>
      <c r="G6355">
        <v>-157.3501</v>
      </c>
      <c r="H6355">
        <v>4.266025</v>
      </c>
      <c r="I6355">
        <v>-62.26144</v>
      </c>
      <c r="J6355">
        <v>-241.76329999999999</v>
      </c>
      <c r="K6355">
        <v>1.110382</v>
      </c>
      <c r="L6355">
        <v>-63.20346</v>
      </c>
      <c r="M6355">
        <v>0.99988809999999995</v>
      </c>
      <c r="N6355">
        <v>-1.4081150000000001E-2</v>
      </c>
      <c r="O6355">
        <v>5.0686489999999997E-3</v>
      </c>
      <c r="P6355">
        <v>0.97311259999999999</v>
      </c>
      <c r="Q6355">
        <v>0.21077460000000001</v>
      </c>
      <c r="R6355">
        <v>9.2877199999999993E-2</v>
      </c>
      <c r="S6355">
        <v>3.0546880000000001</v>
      </c>
      <c r="T6355">
        <v>0.1140099</v>
      </c>
      <c r="U6355">
        <v>3.4057619999999997E-2</v>
      </c>
      <c r="V6355">
        <v>-8.7899409999999997E-2</v>
      </c>
      <c r="W6355">
        <v>0.22447990000000001</v>
      </c>
      <c r="X6355">
        <v>0.97050630000000004</v>
      </c>
      <c r="Y6355">
        <v>-6.0836830000000003E-3</v>
      </c>
      <c r="Z6355">
        <v>1.898014E-4</v>
      </c>
      <c r="AA6355">
        <v>0.99998149999999997</v>
      </c>
      <c r="AB6355">
        <v>28</v>
      </c>
      <c r="AC6355">
        <v>84.413199999999904</v>
      </c>
      <c r="AD6355">
        <v>3.155643</v>
      </c>
      <c r="AE6355">
        <v>0.94201999999999897</v>
      </c>
      <c r="AF6355">
        <v>-0.51338725521139605</v>
      </c>
      <c r="AG6355">
        <v>3.155643</v>
      </c>
      <c r="AH6355">
        <v>84.299096499844893</v>
      </c>
      <c r="AI6355">
        <v>87.856236874964594</v>
      </c>
      <c r="AJ6355">
        <v>90.348930896685701</v>
      </c>
      <c r="AK6355">
        <v>84.359701990389993</v>
      </c>
      <c r="AL6355">
        <v>77.027703760482893</v>
      </c>
      <c r="AM6355">
        <v>95.175197411172604</v>
      </c>
      <c r="AN6355">
        <v>1.00000000506102</v>
      </c>
    </row>
    <row r="6356" spans="1:40" x14ac:dyDescent="0.25">
      <c r="A6356" t="str">
        <f>"20190304155759651"</f>
        <v>20190304155759651</v>
      </c>
      <c r="B6356" t="str">
        <f>"1551686279641396"</f>
        <v>1551686279641396</v>
      </c>
      <c r="C6356" t="s">
        <v>40</v>
      </c>
      <c r="D6356">
        <v>5.2959389999999997</v>
      </c>
      <c r="E6356">
        <v>0.53069319999999998</v>
      </c>
      <c r="F6356" t="s">
        <v>73</v>
      </c>
      <c r="G6356">
        <v>-157.3501</v>
      </c>
      <c r="H6356">
        <v>4.2703800000000003</v>
      </c>
      <c r="I6356">
        <v>-62.299509999999998</v>
      </c>
      <c r="J6356">
        <v>-241.62119999999999</v>
      </c>
      <c r="K6356">
        <v>1.1103780000000001</v>
      </c>
      <c r="L6356">
        <v>-63.20279</v>
      </c>
      <c r="M6356">
        <v>0.9998882</v>
      </c>
      <c r="N6356">
        <v>-1.408221E-2</v>
      </c>
      <c r="O6356">
        <v>5.0260390000000004E-3</v>
      </c>
      <c r="P6356">
        <v>0.97319279999999997</v>
      </c>
      <c r="Q6356">
        <v>0.2106798</v>
      </c>
      <c r="R6356">
        <v>9.2249620000000004E-2</v>
      </c>
      <c r="S6356">
        <v>3.0549930000000001</v>
      </c>
      <c r="T6356">
        <v>0.11436250000000001</v>
      </c>
      <c r="U6356">
        <v>3.2714840000000002E-2</v>
      </c>
      <c r="V6356">
        <v>-8.7311710000000001E-2</v>
      </c>
      <c r="W6356">
        <v>0.22438739999999999</v>
      </c>
      <c r="X6356">
        <v>0.97058080000000002</v>
      </c>
      <c r="Y6356">
        <v>-5.6858339999999999E-3</v>
      </c>
      <c r="Z6356">
        <v>1.9248369999999999E-4</v>
      </c>
      <c r="AA6356">
        <v>0.99998379999999998</v>
      </c>
      <c r="AB6356">
        <v>28</v>
      </c>
      <c r="AC6356">
        <v>84.271099999999905</v>
      </c>
      <c r="AD6356">
        <v>3.160002</v>
      </c>
      <c r="AE6356">
        <v>0.90328000000000197</v>
      </c>
      <c r="AF6356">
        <v>-0.479003295778688</v>
      </c>
      <c r="AG6356">
        <v>3.160002</v>
      </c>
      <c r="AH6356">
        <v>84.156256923069904</v>
      </c>
      <c r="AI6356">
        <v>87.849633106327403</v>
      </c>
      <c r="AJ6356">
        <v>90.326114442983396</v>
      </c>
      <c r="AK6356">
        <v>84.216926066552205</v>
      </c>
      <c r="AL6356">
        <v>77.0331431484245</v>
      </c>
      <c r="AM6356">
        <v>95.1403893134854</v>
      </c>
      <c r="AN6356">
        <v>1.00000006465526</v>
      </c>
    </row>
    <row r="6357" spans="1:40" x14ac:dyDescent="0.25">
      <c r="A6357" t="str">
        <f>"20190304155759660"</f>
        <v>20190304155759660</v>
      </c>
      <c r="B6357" t="str">
        <f>"1551686279651156"</f>
        <v>1551686279651156</v>
      </c>
      <c r="C6357" t="s">
        <v>40</v>
      </c>
      <c r="D6357">
        <v>4.8104360000000002</v>
      </c>
      <c r="E6357">
        <v>0.53068760000000004</v>
      </c>
      <c r="F6357" t="s">
        <v>73</v>
      </c>
      <c r="G6357">
        <v>-157.3501</v>
      </c>
      <c r="H6357">
        <v>4.255566</v>
      </c>
      <c r="I6357">
        <v>-62.352559999999997</v>
      </c>
      <c r="J6357">
        <v>-241.4812</v>
      </c>
      <c r="K6357">
        <v>1.1103749999999999</v>
      </c>
      <c r="L6357">
        <v>-63.202150000000003</v>
      </c>
      <c r="M6357">
        <v>0.99988840000000001</v>
      </c>
      <c r="N6357">
        <v>-1.408297E-2</v>
      </c>
      <c r="O6357">
        <v>4.9839990000000002E-3</v>
      </c>
      <c r="P6357">
        <v>0.97324940000000004</v>
      </c>
      <c r="Q6357">
        <v>0.2107213</v>
      </c>
      <c r="R6357">
        <v>9.1554570000000002E-2</v>
      </c>
      <c r="S6357">
        <v>3.0550540000000002</v>
      </c>
      <c r="T6357">
        <v>0.1140206</v>
      </c>
      <c r="U6357">
        <v>3.0822749999999999E-2</v>
      </c>
      <c r="V6357">
        <v>-8.6656410000000003E-2</v>
      </c>
      <c r="W6357">
        <v>0.22443060000000001</v>
      </c>
      <c r="X6357">
        <v>0.97062950000000003</v>
      </c>
      <c r="Y6357">
        <v>-5.1085929999999998E-3</v>
      </c>
      <c r="Z6357">
        <v>1.9678640000000001E-4</v>
      </c>
      <c r="AA6357">
        <v>0.99998690000000001</v>
      </c>
      <c r="AB6357">
        <v>28</v>
      </c>
      <c r="AC6357">
        <v>84.131100000000004</v>
      </c>
      <c r="AD6357">
        <v>3.1451910000000001</v>
      </c>
      <c r="AE6357">
        <v>0.84959000000000595</v>
      </c>
      <c r="AF6357">
        <v>-0.429628152591854</v>
      </c>
      <c r="AG6357">
        <v>3.1451910000000001</v>
      </c>
      <c r="AH6357">
        <v>84.016880159562803</v>
      </c>
      <c r="AI6357">
        <v>87.856148578701806</v>
      </c>
      <c r="AJ6357">
        <v>90.292984758553999</v>
      </c>
      <c r="AK6357">
        <v>84.076827714432198</v>
      </c>
      <c r="AL6357">
        <v>77.030602691718599</v>
      </c>
      <c r="AM6357">
        <v>95.1017589319016</v>
      </c>
      <c r="AN6357">
        <v>1.00000002694034</v>
      </c>
    </row>
    <row r="6358" spans="1:40" x14ac:dyDescent="0.25">
      <c r="A6358" t="str">
        <f>"20190304155759673"</f>
        <v>20190304155759673</v>
      </c>
      <c r="B6358" t="str">
        <f>"1551686279670677"</f>
        <v>1551686279670677</v>
      </c>
      <c r="C6358" t="s">
        <v>40</v>
      </c>
      <c r="D6358">
        <v>4.8676599999999999</v>
      </c>
      <c r="E6358">
        <v>0.52855439999999998</v>
      </c>
      <c r="F6358" t="s">
        <v>73</v>
      </c>
      <c r="G6358">
        <v>-157.3501</v>
      </c>
      <c r="H6358">
        <v>4.1985970000000004</v>
      </c>
      <c r="I6358">
        <v>-62.413960000000003</v>
      </c>
      <c r="J6358">
        <v>-241.3356</v>
      </c>
      <c r="K6358">
        <v>1.1103769999999999</v>
      </c>
      <c r="L6358">
        <v>-63.201479999999997</v>
      </c>
      <c r="M6358">
        <v>0.99988869999999996</v>
      </c>
      <c r="N6358">
        <v>-1.408365E-2</v>
      </c>
      <c r="O6358">
        <v>4.9399379999999996E-3</v>
      </c>
      <c r="P6358">
        <v>0.97348970000000001</v>
      </c>
      <c r="Q6358">
        <v>0.2099155</v>
      </c>
      <c r="R6358">
        <v>9.0849429999999995E-2</v>
      </c>
      <c r="S6358">
        <v>3.0554960000000002</v>
      </c>
      <c r="T6358">
        <v>0.1121581</v>
      </c>
      <c r="U6358">
        <v>2.862549E-2</v>
      </c>
      <c r="V6358">
        <v>-8.599321E-2</v>
      </c>
      <c r="W6358">
        <v>0.22362899999999999</v>
      </c>
      <c r="X6358">
        <v>0.9708734</v>
      </c>
      <c r="Y6358">
        <v>-4.4323169999999999E-3</v>
      </c>
      <c r="Z6358">
        <v>2.0070710000000001E-4</v>
      </c>
      <c r="AA6358">
        <v>0.99999020000000005</v>
      </c>
      <c r="AB6358">
        <v>28</v>
      </c>
      <c r="AC6358">
        <v>83.985500000000002</v>
      </c>
      <c r="AD6358">
        <v>3.0882200000000002</v>
      </c>
      <c r="AE6358">
        <v>0.78752000000000699</v>
      </c>
      <c r="AF6358">
        <v>-0.37208306022739701</v>
      </c>
      <c r="AG6358">
        <v>3.0882200000000002</v>
      </c>
      <c r="AH6358">
        <v>83.874968607506503</v>
      </c>
      <c r="AI6358">
        <v>87.891381140978794</v>
      </c>
      <c r="AJ6358">
        <v>90.254171768847101</v>
      </c>
      <c r="AK6358">
        <v>83.9326271927807</v>
      </c>
      <c r="AL6358">
        <v>77.077727951181103</v>
      </c>
      <c r="AM6358">
        <v>95.061652506593603</v>
      </c>
      <c r="AN6358">
        <v>0.99999996031733096</v>
      </c>
    </row>
    <row r="6359" spans="1:40" x14ac:dyDescent="0.25">
      <c r="A6359" t="str">
        <f>"20190304155759684"</f>
        <v>20190304155759684</v>
      </c>
      <c r="B6359" t="str">
        <f>"1551686279681412"</f>
        <v>1551686279681412</v>
      </c>
      <c r="C6359" t="s">
        <v>40</v>
      </c>
      <c r="D6359">
        <v>4.9232170000000002</v>
      </c>
      <c r="E6359">
        <v>0.5307191</v>
      </c>
      <c r="F6359" t="s">
        <v>73</v>
      </c>
      <c r="G6359">
        <v>-167.99870000000001</v>
      </c>
      <c r="H6359">
        <v>9.8584800000000001</v>
      </c>
      <c r="I6359">
        <v>-62.114649999999997</v>
      </c>
      <c r="J6359">
        <v>-241.19880000000001</v>
      </c>
      <c r="K6359">
        <v>1.110384</v>
      </c>
      <c r="L6359">
        <v>-63.200809999999997</v>
      </c>
      <c r="M6359">
        <v>0.99988880000000002</v>
      </c>
      <c r="N6359">
        <v>-1.4084030000000001E-2</v>
      </c>
      <c r="O6359">
        <v>4.8992339999999997E-3</v>
      </c>
      <c r="P6359">
        <v>0.97366280000000005</v>
      </c>
      <c r="Q6359">
        <v>0.20944019999999999</v>
      </c>
      <c r="R6359">
        <v>9.0086330000000006E-2</v>
      </c>
      <c r="S6359">
        <v>3.0003660000000001</v>
      </c>
      <c r="T6359">
        <v>0.3579021</v>
      </c>
      <c r="U6359">
        <v>4.4464110000000001E-2</v>
      </c>
      <c r="V6359">
        <v>-8.5268880000000005E-2</v>
      </c>
      <c r="W6359">
        <v>0.2231563</v>
      </c>
      <c r="X6359">
        <v>0.97104610000000002</v>
      </c>
      <c r="Y6359">
        <v>-9.9001560000000002E-3</v>
      </c>
      <c r="Z6359">
        <v>1.3261990000000001E-4</v>
      </c>
      <c r="AA6359">
        <v>0.99995100000000003</v>
      </c>
      <c r="AB6359">
        <v>28</v>
      </c>
      <c r="AC6359">
        <v>73.200099999999907</v>
      </c>
      <c r="AD6359">
        <v>8.7480960000000003</v>
      </c>
      <c r="AE6359">
        <v>1.08615999999999</v>
      </c>
      <c r="AF6359">
        <v>-0.71724517769728202</v>
      </c>
      <c r="AG6359">
        <v>8.7480960000000003</v>
      </c>
      <c r="AH6359">
        <v>72.173946909682002</v>
      </c>
      <c r="AI6359">
        <v>83.089315170752599</v>
      </c>
      <c r="AJ6359">
        <v>90.569371228364005</v>
      </c>
      <c r="AK6359">
        <v>72.705723549055904</v>
      </c>
      <c r="AL6359">
        <v>77.1055146701013</v>
      </c>
      <c r="AM6359">
        <v>95.018348263732406</v>
      </c>
      <c r="AN6359">
        <v>1.00000002222567</v>
      </c>
    </row>
    <row r="6360" spans="1:40" x14ac:dyDescent="0.25">
      <c r="A6360" t="str">
        <f>"20190304155759695"</f>
        <v>20190304155759695</v>
      </c>
      <c r="B6360" t="str">
        <f>"1551686279691172"</f>
        <v>1551686279691172</v>
      </c>
      <c r="C6360" t="s">
        <v>40</v>
      </c>
      <c r="D6360">
        <v>4.8844329999999996</v>
      </c>
      <c r="E6360">
        <v>0.53161429999999998</v>
      </c>
      <c r="F6360" t="s">
        <v>73</v>
      </c>
      <c r="G6360">
        <v>-169.244</v>
      </c>
      <c r="H6360">
        <v>6.7459789999999904</v>
      </c>
      <c r="I6360">
        <v>-62.622799999999998</v>
      </c>
      <c r="J6360">
        <v>-241.05879999999999</v>
      </c>
      <c r="K6360">
        <v>1.1103889999999901</v>
      </c>
      <c r="L6360">
        <v>-63.200200000000002</v>
      </c>
      <c r="M6360">
        <v>0.99988909999999998</v>
      </c>
      <c r="N6360">
        <v>-1.4084350000000001E-2</v>
      </c>
      <c r="O6360">
        <v>4.8574009999999999E-3</v>
      </c>
      <c r="P6360">
        <v>0.97375529999999999</v>
      </c>
      <c r="Q6360">
        <v>0.20936779999999999</v>
      </c>
      <c r="R6360">
        <v>8.9252659999999998E-2</v>
      </c>
      <c r="S6360">
        <v>3.0278930000000002</v>
      </c>
      <c r="T6360">
        <v>0.23714759999999999</v>
      </c>
      <c r="U6360">
        <v>2.4322509999999999E-2</v>
      </c>
      <c r="V6360">
        <v>-8.4475709999999996E-2</v>
      </c>
      <c r="W6360">
        <v>0.22308520000000001</v>
      </c>
      <c r="X6360">
        <v>0.97113170000000004</v>
      </c>
      <c r="Y6360">
        <v>-3.1874400000000002E-3</v>
      </c>
      <c r="Z6360">
        <v>3.4598570000000001E-4</v>
      </c>
      <c r="AA6360">
        <v>0.99999490000000002</v>
      </c>
      <c r="AB6360">
        <v>28</v>
      </c>
      <c r="AC6360">
        <v>71.814799999999906</v>
      </c>
      <c r="AD6360">
        <v>5.6355899999999997</v>
      </c>
      <c r="AE6360">
        <v>0.57740000000000402</v>
      </c>
      <c r="AF6360">
        <v>-0.227126740152965</v>
      </c>
      <c r="AG6360">
        <v>5.6355899999999997</v>
      </c>
      <c r="AH6360">
        <v>71.377233644739803</v>
      </c>
      <c r="AI6360">
        <v>85.485599341287895</v>
      </c>
      <c r="AJ6360">
        <v>90.182318073125302</v>
      </c>
      <c r="AK6360">
        <v>71.599727261910502</v>
      </c>
      <c r="AL6360">
        <v>77.109693005942802</v>
      </c>
      <c r="AM6360">
        <v>94.971466680628197</v>
      </c>
      <c r="AN6360">
        <v>0.99999996539196601</v>
      </c>
    </row>
    <row r="6361" spans="1:40" x14ac:dyDescent="0.25">
      <c r="A6361" t="str">
        <f>"20190304155759705"</f>
        <v>20190304155759705</v>
      </c>
      <c r="B6361" t="str">
        <f>"1551686279700932"</f>
        <v>1551686279700932</v>
      </c>
      <c r="C6361" t="s">
        <v>40</v>
      </c>
      <c r="D6361">
        <v>4.8797449999999998</v>
      </c>
      <c r="E6361">
        <v>0.53161429999999998</v>
      </c>
      <c r="F6361" t="s">
        <v>73</v>
      </c>
      <c r="G6361">
        <v>-157.3501</v>
      </c>
      <c r="H6361">
        <v>6.0007109999999999</v>
      </c>
      <c r="I6361">
        <v>-62.806249999999999</v>
      </c>
      <c r="J6361">
        <v>-240.91499999999999</v>
      </c>
      <c r="K6361">
        <v>1.110395</v>
      </c>
      <c r="L6361">
        <v>-63.199550000000002</v>
      </c>
      <c r="M6361">
        <v>0.99988940000000004</v>
      </c>
      <c r="N6361">
        <v>-1.4084589999999999E-2</v>
      </c>
      <c r="O6361">
        <v>4.8148610000000001E-3</v>
      </c>
      <c r="P6361">
        <v>0.97383799999999998</v>
      </c>
      <c r="Q6361">
        <v>0.20925920000000001</v>
      </c>
      <c r="R6361">
        <v>8.8603790000000002E-2</v>
      </c>
      <c r="S6361">
        <v>3.0413359999999998</v>
      </c>
      <c r="T6361">
        <v>0.17767620000000001</v>
      </c>
      <c r="U6361">
        <v>1.4312739999999999E-2</v>
      </c>
      <c r="V6361">
        <v>-8.3868410000000004E-2</v>
      </c>
      <c r="W6361">
        <v>0.22297739999999999</v>
      </c>
      <c r="X6361">
        <v>0.97120910000000005</v>
      </c>
      <c r="Y6361" s="1">
        <v>9.6550109999999996E-5</v>
      </c>
      <c r="Z6361">
        <v>3.5092789999999999E-4</v>
      </c>
      <c r="AA6361">
        <v>0.99999990000000005</v>
      </c>
      <c r="AB6361">
        <v>28</v>
      </c>
      <c r="AC6361">
        <v>83.564899999999994</v>
      </c>
      <c r="AD6361">
        <v>4.8903160000000003</v>
      </c>
      <c r="AE6361">
        <v>0.39330000000000298</v>
      </c>
      <c r="AF6361">
        <v>9.0667273209981691E-3</v>
      </c>
      <c r="AG6361">
        <v>4.8903160000000003</v>
      </c>
      <c r="AH6361">
        <v>83.280617913125198</v>
      </c>
      <c r="AI6361">
        <v>86.639397178141706</v>
      </c>
      <c r="AJ6361">
        <v>89.993762231591703</v>
      </c>
      <c r="AK6361">
        <v>83.424076817051699</v>
      </c>
      <c r="AL6361">
        <v>77.116029195454203</v>
      </c>
      <c r="AM6361">
        <v>94.935512343614405</v>
      </c>
      <c r="AN6361">
        <v>0.99999997351474801</v>
      </c>
    </row>
    <row r="6362" spans="1:40" x14ac:dyDescent="0.25">
      <c r="A6362" t="str">
        <f>"20190304155759718"</f>
        <v>20190304155759718</v>
      </c>
      <c r="B6362" t="str">
        <f>"1551686279710693"</f>
        <v>1551686279710693</v>
      </c>
      <c r="C6362" t="s">
        <v>40</v>
      </c>
      <c r="D6362">
        <v>5.150995</v>
      </c>
      <c r="E6362">
        <v>0.53169089999999997</v>
      </c>
      <c r="F6362" t="s">
        <v>73</v>
      </c>
      <c r="G6362">
        <v>-157.3501</v>
      </c>
      <c r="H6362">
        <v>5.9811110000000003</v>
      </c>
      <c r="I6362">
        <v>-62.857439999999997</v>
      </c>
      <c r="J6362">
        <v>-240.7731</v>
      </c>
      <c r="K6362">
        <v>1.1104039999999999</v>
      </c>
      <c r="L6362">
        <v>-63.198909999999998</v>
      </c>
      <c r="M6362">
        <v>0.99988960000000005</v>
      </c>
      <c r="N6362">
        <v>-1.408475E-2</v>
      </c>
      <c r="O6362">
        <v>4.7736319999999999E-3</v>
      </c>
      <c r="P6362">
        <v>0.97390620000000006</v>
      </c>
      <c r="Q6362">
        <v>0.20919099999999999</v>
      </c>
      <c r="R6362">
        <v>8.8012320000000005E-2</v>
      </c>
      <c r="S6362">
        <v>3.041382</v>
      </c>
      <c r="T6362">
        <v>0.17727089999999901</v>
      </c>
      <c r="U6362">
        <v>1.2451169999999999E-2</v>
      </c>
      <c r="V6362">
        <v>-8.3317240000000001E-2</v>
      </c>
      <c r="W6362">
        <v>0.22290989999999999</v>
      </c>
      <c r="X6362">
        <v>0.97127209999999997</v>
      </c>
      <c r="Y6362">
        <v>6.6687840000000001E-4</v>
      </c>
      <c r="Z6362">
        <v>3.5988559999999999E-4</v>
      </c>
      <c r="AA6362">
        <v>0.99999970000000005</v>
      </c>
      <c r="AB6362">
        <v>28</v>
      </c>
      <c r="AC6362">
        <v>83.422999999999902</v>
      </c>
      <c r="AD6362">
        <v>4.8707070000000003</v>
      </c>
      <c r="AE6362">
        <v>0.341469999999993</v>
      </c>
      <c r="AF6362">
        <v>5.6611047168215502E-2</v>
      </c>
      <c r="AG6362">
        <v>4.8707070000000003</v>
      </c>
      <c r="AH6362">
        <v>83.140268615901107</v>
      </c>
      <c r="AI6362">
        <v>86.6472049828199</v>
      </c>
      <c r="AJ6362">
        <v>89.960986732070097</v>
      </c>
      <c r="AK6362">
        <v>83.282838910634496</v>
      </c>
      <c r="AL6362">
        <v>77.1199973722739</v>
      </c>
      <c r="AM6362">
        <v>94.902919090823005</v>
      </c>
      <c r="AN6362">
        <v>1.00000003911881</v>
      </c>
    </row>
    <row r="6363" spans="1:40" x14ac:dyDescent="0.25">
      <c r="A6363" t="str">
        <f>"20190304155759739"</f>
        <v>20190304155759739</v>
      </c>
      <c r="B6363" t="str">
        <f>"1551686279731189"</f>
        <v>1551686279731189</v>
      </c>
      <c r="C6363" t="s">
        <v>40</v>
      </c>
      <c r="D6363">
        <v>4.4977199999999904</v>
      </c>
      <c r="E6363">
        <v>0.53169089999999997</v>
      </c>
      <c r="F6363" t="s">
        <v>73</v>
      </c>
      <c r="G6363">
        <v>-157.3501</v>
      </c>
      <c r="H6363">
        <v>6.5565709999999999</v>
      </c>
      <c r="I6363">
        <v>-62.919750000000001</v>
      </c>
      <c r="J6363">
        <v>-240.4974</v>
      </c>
      <c r="K6363">
        <v>1.1104050000000001</v>
      </c>
      <c r="L6363">
        <v>-63.197659999999999</v>
      </c>
      <c r="M6363">
        <v>0.99988980000000005</v>
      </c>
      <c r="N6363">
        <v>-1.4084859999999999E-2</v>
      </c>
      <c r="O6363">
        <v>4.6954630000000004E-3</v>
      </c>
      <c r="P6363">
        <v>0.97368440000000001</v>
      </c>
      <c r="Q6363">
        <v>0.21044779999999999</v>
      </c>
      <c r="R6363">
        <v>8.7467550000000005E-2</v>
      </c>
      <c r="S6363">
        <v>3.03688</v>
      </c>
      <c r="T6363">
        <v>0.19825799999999999</v>
      </c>
      <c r="U6363">
        <v>1.0162350000000001E-2</v>
      </c>
      <c r="V6363">
        <v>-8.2850489999999999E-2</v>
      </c>
      <c r="W6363">
        <v>0.22416349999999999</v>
      </c>
      <c r="X6363">
        <v>0.97102339999999998</v>
      </c>
      <c r="Y6363">
        <v>1.332649E-3</v>
      </c>
      <c r="Z6363">
        <v>4.0632089999999998E-4</v>
      </c>
      <c r="AA6363">
        <v>0.99999899999999997</v>
      </c>
      <c r="AB6363">
        <v>28</v>
      </c>
      <c r="AC6363">
        <v>83.147300000000001</v>
      </c>
      <c r="AD6363">
        <v>5.4461659999999998</v>
      </c>
      <c r="AE6363">
        <v>0.27790999999999799</v>
      </c>
      <c r="AF6363">
        <v>0.112066069001484</v>
      </c>
      <c r="AG6363">
        <v>5.4461659999999998</v>
      </c>
      <c r="AH6363">
        <v>82.792489430856406</v>
      </c>
      <c r="AI6363">
        <v>86.236456636441105</v>
      </c>
      <c r="AJ6363">
        <v>89.922445756817496</v>
      </c>
      <c r="AK6363">
        <v>82.971498655031297</v>
      </c>
      <c r="AL6363">
        <v>77.046305644014097</v>
      </c>
      <c r="AM6363">
        <v>94.876828028567601</v>
      </c>
      <c r="AN6363">
        <v>0.99999996088652399</v>
      </c>
    </row>
    <row r="6364" spans="1:40" x14ac:dyDescent="0.25">
      <c r="A6364" t="str">
        <f>"20190304155759751"</f>
        <v>20190304155759751</v>
      </c>
      <c r="B6364" t="str">
        <f>"1551686279740949"</f>
        <v>1551686279740949</v>
      </c>
      <c r="C6364" t="s">
        <v>40</v>
      </c>
      <c r="D6364">
        <v>4.1829859999999996</v>
      </c>
      <c r="E6364">
        <v>0.4849445</v>
      </c>
      <c r="F6364" t="s">
        <v>73</v>
      </c>
      <c r="G6364">
        <v>-157.3501</v>
      </c>
      <c r="H6364">
        <v>6.6471410000000004</v>
      </c>
      <c r="I6364">
        <v>-62.967030000000001</v>
      </c>
      <c r="J6364">
        <v>-240.35550000000001</v>
      </c>
      <c r="K6364">
        <v>1.1104050000000001</v>
      </c>
      <c r="L6364">
        <v>-63.197049999999997</v>
      </c>
      <c r="M6364">
        <v>0.9998901</v>
      </c>
      <c r="N6364">
        <v>-1.408481E-2</v>
      </c>
      <c r="O6364">
        <v>4.6557819999999998E-3</v>
      </c>
      <c r="P6364">
        <v>0.97365409999999997</v>
      </c>
      <c r="Q6364">
        <v>0.21053530000000001</v>
      </c>
      <c r="R6364">
        <v>8.7593749999999998E-2</v>
      </c>
      <c r="S6364">
        <v>3.0366059999999999</v>
      </c>
      <c r="T6364">
        <v>0.2022051</v>
      </c>
      <c r="U6364">
        <v>8.4228519999999998E-3</v>
      </c>
      <c r="V6364">
        <v>-8.3015939999999996E-2</v>
      </c>
      <c r="W6364">
        <v>0.2242499</v>
      </c>
      <c r="X6364">
        <v>0.97098930000000006</v>
      </c>
      <c r="Y6364">
        <v>1.864108E-3</v>
      </c>
      <c r="Z6364">
        <v>4.2402720000000001E-4</v>
      </c>
      <c r="AA6364">
        <v>0.99999819999999995</v>
      </c>
      <c r="AB6364">
        <v>28</v>
      </c>
      <c r="AC6364">
        <v>83.005399999999995</v>
      </c>
      <c r="AD6364">
        <v>5.5367360000000003</v>
      </c>
      <c r="AE6364">
        <v>0.23001999999999601</v>
      </c>
      <c r="AF6364">
        <v>0.15578270318371401</v>
      </c>
      <c r="AG6364">
        <v>5.5367360000000003</v>
      </c>
      <c r="AH6364">
        <v>82.637890527038707</v>
      </c>
      <c r="AI6364">
        <v>86.166920131125906</v>
      </c>
      <c r="AJ6364">
        <v>89.891990456392193</v>
      </c>
      <c r="AK6364">
        <v>82.823309910575006</v>
      </c>
      <c r="AL6364">
        <v>77.0412257234386</v>
      </c>
      <c r="AM6364">
        <v>94.886690579306006</v>
      </c>
      <c r="AN6364">
        <v>0.99999994232929001</v>
      </c>
    </row>
    <row r="6365" spans="1:40" x14ac:dyDescent="0.25">
      <c r="A6365" t="str">
        <f>"20190304155759763"</f>
        <v>20190304155759763</v>
      </c>
      <c r="B6365" t="str">
        <f>"1551686279750709"</f>
        <v>1551686279750709</v>
      </c>
      <c r="C6365" t="s">
        <v>40</v>
      </c>
      <c r="D6365">
        <v>4.3122920000000002</v>
      </c>
      <c r="E6365">
        <v>0.49672749999999999</v>
      </c>
      <c r="F6365" t="s">
        <v>73</v>
      </c>
      <c r="G6365">
        <v>-167.99870000000001</v>
      </c>
      <c r="H6365">
        <v>11.3165</v>
      </c>
      <c r="I6365">
        <v>-53.868360000000003</v>
      </c>
      <c r="J6365">
        <v>-240.20599999999999</v>
      </c>
      <c r="K6365">
        <v>1.1104039999999999</v>
      </c>
      <c r="L6365">
        <v>-63.19641</v>
      </c>
      <c r="M6365">
        <v>0.9998901</v>
      </c>
      <c r="N6365">
        <v>-1.4084579999999999E-2</v>
      </c>
      <c r="O6365">
        <v>4.6149659999999999E-3</v>
      </c>
      <c r="P6365">
        <v>0.97357760000000004</v>
      </c>
      <c r="Q6365">
        <v>0.21082390000000001</v>
      </c>
      <c r="R6365">
        <v>8.7749160000000007E-2</v>
      </c>
      <c r="S6365">
        <v>2.956696</v>
      </c>
      <c r="T6365">
        <v>0.41704740000000001</v>
      </c>
      <c r="U6365">
        <v>0.38119510000000001</v>
      </c>
      <c r="V6365">
        <v>-8.3211709999999994E-2</v>
      </c>
      <c r="W6365">
        <v>0.22453699999999999</v>
      </c>
      <c r="X6365">
        <v>0.9709063</v>
      </c>
      <c r="Y6365">
        <v>-0.1222741</v>
      </c>
      <c r="Z6365">
        <v>-6.9682909999999997E-3</v>
      </c>
      <c r="AA6365">
        <v>0.99247189999999996</v>
      </c>
      <c r="AB6365">
        <v>28</v>
      </c>
      <c r="AC6365">
        <v>72.207299999999904</v>
      </c>
      <c r="AD6365">
        <v>10.206096000000001</v>
      </c>
      <c r="AE6365">
        <v>9.3280499999999993</v>
      </c>
      <c r="AF6365">
        <v>-8.8213413492259907</v>
      </c>
      <c r="AG6365">
        <v>10.206096000000001</v>
      </c>
      <c r="AH6365">
        <v>70.857218368724901</v>
      </c>
      <c r="AI6365">
        <v>81.865577145304997</v>
      </c>
      <c r="AJ6365">
        <v>97.0965030193328</v>
      </c>
      <c r="AK6365">
        <v>72.129923427894695</v>
      </c>
      <c r="AL6365">
        <v>77.024347036701499</v>
      </c>
      <c r="AM6365">
        <v>94.898575171888396</v>
      </c>
      <c r="AN6365">
        <v>1.0000000482149001</v>
      </c>
    </row>
    <row r="6366" spans="1:40" x14ac:dyDescent="0.25">
      <c r="A6366" t="str">
        <f>"20190304155759774"</f>
        <v>20190304155759774</v>
      </c>
      <c r="B6366" t="str">
        <f>"1551686279771205"</f>
        <v>1551686279771205</v>
      </c>
      <c r="C6366" t="s">
        <v>40</v>
      </c>
      <c r="D6366">
        <v>4.8002269999999996</v>
      </c>
      <c r="E6366">
        <v>0.52947909999999998</v>
      </c>
      <c r="F6366" t="s">
        <v>73</v>
      </c>
      <c r="G6366">
        <v>-167.99870000000001</v>
      </c>
      <c r="H6366">
        <v>12.234159999999999</v>
      </c>
      <c r="I6366">
        <v>-56.158140000000003</v>
      </c>
      <c r="J6366">
        <v>-240.0754</v>
      </c>
      <c r="K6366">
        <v>1.110406</v>
      </c>
      <c r="L6366">
        <v>-63.195830000000001</v>
      </c>
      <c r="M6366">
        <v>0.99989039999999996</v>
      </c>
      <c r="N6366">
        <v>-1.4084330000000001E-2</v>
      </c>
      <c r="O6366">
        <v>4.5789740000000004E-3</v>
      </c>
      <c r="P6366">
        <v>0.97345029999999999</v>
      </c>
      <c r="Q6366">
        <v>0.2112927</v>
      </c>
      <c r="R6366">
        <v>8.8033330000000007E-2</v>
      </c>
      <c r="S6366">
        <v>2.9568020000000002</v>
      </c>
      <c r="T6366">
        <v>0.45550289999999999</v>
      </c>
      <c r="U6366">
        <v>0.28820800000000002</v>
      </c>
      <c r="V6366">
        <v>-8.3531629999999996E-2</v>
      </c>
      <c r="W6366">
        <v>0.2250035</v>
      </c>
      <c r="X6366">
        <v>0.97077080000000004</v>
      </c>
      <c r="Y6366">
        <v>-9.1547859999999995E-2</v>
      </c>
      <c r="Z6366">
        <v>-5.580776E-3</v>
      </c>
      <c r="AA6366">
        <v>0.99578509999999998</v>
      </c>
      <c r="AB6366">
        <v>28</v>
      </c>
      <c r="AC6366">
        <v>72.076699999999903</v>
      </c>
      <c r="AD6366">
        <v>11.123754</v>
      </c>
      <c r="AE6366">
        <v>7.0376899999999996</v>
      </c>
      <c r="AF6366">
        <v>-6.5529394891303898</v>
      </c>
      <c r="AG6366">
        <v>11.123754</v>
      </c>
      <c r="AH6366">
        <v>70.446103875598794</v>
      </c>
      <c r="AI6366">
        <v>81.064777724031302</v>
      </c>
      <c r="AJ6366">
        <v>95.314395323656299</v>
      </c>
      <c r="AK6366">
        <v>71.619358208883497</v>
      </c>
      <c r="AL6366">
        <v>76.996916384073302</v>
      </c>
      <c r="AM6366">
        <v>94.917999308640304</v>
      </c>
      <c r="AN6366">
        <v>1.0000000271776699</v>
      </c>
    </row>
    <row r="6367" spans="1:40" x14ac:dyDescent="0.25">
      <c r="A6367" t="str">
        <f>"20190304155759783"</f>
        <v>20190304155759783</v>
      </c>
      <c r="B6367" t="str">
        <f>"1551686279780964"</f>
        <v>1551686279780964</v>
      </c>
      <c r="C6367" t="s">
        <v>40</v>
      </c>
      <c r="D6367">
        <v>4.8473680000000003</v>
      </c>
      <c r="E6367">
        <v>0.52946789999999999</v>
      </c>
      <c r="F6367" t="s">
        <v>73</v>
      </c>
      <c r="G6367">
        <v>-157.3501</v>
      </c>
      <c r="H6367">
        <v>24.870170000000002</v>
      </c>
      <c r="I6367">
        <v>-62.3065</v>
      </c>
      <c r="J6367">
        <v>-239.9425</v>
      </c>
      <c r="K6367">
        <v>1.1104099999999999</v>
      </c>
      <c r="L6367">
        <v>-63.195279999999997</v>
      </c>
      <c r="M6367">
        <v>0.99989050000000002</v>
      </c>
      <c r="N6367">
        <v>-1.4083989999999999E-2</v>
      </c>
      <c r="O6367">
        <v>4.5426219999999996E-3</v>
      </c>
      <c r="P6367">
        <v>0.97328440000000005</v>
      </c>
      <c r="Q6367">
        <v>0.21187839999999999</v>
      </c>
      <c r="R6367">
        <v>8.8460040000000004E-2</v>
      </c>
      <c r="S6367">
        <v>2.8983310000000002</v>
      </c>
      <c r="T6367">
        <v>0.83243639999999997</v>
      </c>
      <c r="U6367">
        <v>3.1158450000000001E-2</v>
      </c>
      <c r="V6367">
        <v>-8.3994920000000001E-2</v>
      </c>
      <c r="W6367">
        <v>0.2255866</v>
      </c>
      <c r="X6367">
        <v>0.97059550000000006</v>
      </c>
      <c r="Y6367">
        <v>-6.1722249999999999E-3</v>
      </c>
      <c r="Z6367">
        <v>5.1695249999999995E-4</v>
      </c>
      <c r="AA6367">
        <v>0.9999808</v>
      </c>
      <c r="AB6367">
        <v>28</v>
      </c>
      <c r="AC6367">
        <v>82.592399999999998</v>
      </c>
      <c r="AD6367">
        <v>23.75976</v>
      </c>
      <c r="AE6367">
        <v>0.88878000000000401</v>
      </c>
      <c r="AF6367">
        <v>-0.47430049198969298</v>
      </c>
      <c r="AG6367">
        <v>23.75976</v>
      </c>
      <c r="AH6367">
        <v>76.283347249416593</v>
      </c>
      <c r="AI6367">
        <v>72.7002164254516</v>
      </c>
      <c r="AJ6367">
        <v>90.356238513527202</v>
      </c>
      <c r="AK6367">
        <v>79.899313037030396</v>
      </c>
      <c r="AL6367">
        <v>76.962625825177497</v>
      </c>
      <c r="AM6367">
        <v>94.946029748423101</v>
      </c>
      <c r="AN6367">
        <v>1.0000000426528</v>
      </c>
    </row>
    <row r="6368" spans="1:40" x14ac:dyDescent="0.25">
      <c r="A6368" t="str">
        <f>"20190304155759796"</f>
        <v>20190304155759796</v>
      </c>
      <c r="B6368" t="str">
        <f>"1551686279790724"</f>
        <v>1551686279790724</v>
      </c>
      <c r="C6368" t="s">
        <v>40</v>
      </c>
      <c r="D6368">
        <v>4.8678140000000001</v>
      </c>
      <c r="E6368">
        <v>0.53089940000000002</v>
      </c>
      <c r="F6368" t="s">
        <v>73</v>
      </c>
      <c r="G6368">
        <v>-157.3501</v>
      </c>
      <c r="H6368">
        <v>24.198399999999999</v>
      </c>
      <c r="I6368">
        <v>-62.273989999999998</v>
      </c>
      <c r="J6368">
        <v>-239.7936</v>
      </c>
      <c r="K6368">
        <v>1.110414</v>
      </c>
      <c r="L6368">
        <v>-63.19464</v>
      </c>
      <c r="M6368">
        <v>0.99989070000000002</v>
      </c>
      <c r="N6368">
        <v>-1.408351E-2</v>
      </c>
      <c r="O6368">
        <v>4.5009630000000002E-3</v>
      </c>
      <c r="P6368">
        <v>0.97314230000000002</v>
      </c>
      <c r="Q6368">
        <v>0.2124009</v>
      </c>
      <c r="R6368">
        <v>8.8770390000000005E-2</v>
      </c>
      <c r="S6368">
        <v>2.9027560000000001</v>
      </c>
      <c r="T6368">
        <v>0.8114384</v>
      </c>
      <c r="U6368">
        <v>3.2379150000000002E-2</v>
      </c>
      <c r="V6368">
        <v>-8.4345939999999994E-2</v>
      </c>
      <c r="W6368">
        <v>0.2261068</v>
      </c>
      <c r="X6368">
        <v>0.97044399999999997</v>
      </c>
      <c r="Y6368">
        <v>-6.603154E-3</v>
      </c>
      <c r="Z6368">
        <v>4.3842030000000001E-4</v>
      </c>
      <c r="AA6368">
        <v>0.99997809999999998</v>
      </c>
      <c r="AB6368">
        <v>28</v>
      </c>
      <c r="AC6368">
        <v>82.4435</v>
      </c>
      <c r="AD6368">
        <v>23.087985999999901</v>
      </c>
      <c r="AE6368">
        <v>0.92064999999999397</v>
      </c>
      <c r="AF6368">
        <v>-0.50957022873371804</v>
      </c>
      <c r="AG6368">
        <v>23.087985999999901</v>
      </c>
      <c r="AH6368">
        <v>76.451761806310799</v>
      </c>
      <c r="AI6368">
        <v>73.196342422012805</v>
      </c>
      <c r="AJ6368">
        <v>90.381885131756704</v>
      </c>
      <c r="AK6368">
        <v>79.863550150510306</v>
      </c>
      <c r="AL6368">
        <v>76.932030017201996</v>
      </c>
      <c r="AM6368">
        <v>94.967367818190894</v>
      </c>
      <c r="AN6368">
        <v>1.0000000398683599</v>
      </c>
    </row>
    <row r="6369" spans="1:40" x14ac:dyDescent="0.25">
      <c r="A6369" t="str">
        <f>"20190304155759807"</f>
        <v>20190304155759807</v>
      </c>
      <c r="B6369" t="str">
        <f>"1551686279800484"</f>
        <v>1551686279800484</v>
      </c>
      <c r="C6369" t="s">
        <v>40</v>
      </c>
      <c r="D6369">
        <v>4.931902</v>
      </c>
      <c r="E6369">
        <v>0.53089940000000002</v>
      </c>
      <c r="F6369" t="s">
        <v>73</v>
      </c>
      <c r="G6369">
        <v>-157.3501</v>
      </c>
      <c r="H6369">
        <v>22.487290000000002</v>
      </c>
      <c r="I6369">
        <v>-62.582859999999997</v>
      </c>
      <c r="J6369">
        <v>-239.65459999999999</v>
      </c>
      <c r="K6369">
        <v>1.1104179999999999</v>
      </c>
      <c r="L6369">
        <v>-63.19406</v>
      </c>
      <c r="M6369">
        <v>0.99989090000000003</v>
      </c>
      <c r="N6369">
        <v>-1.408301E-2</v>
      </c>
      <c r="O6369">
        <v>4.4619229999999996E-3</v>
      </c>
      <c r="P6369">
        <v>0.97302560000000005</v>
      </c>
      <c r="Q6369">
        <v>0.21267420000000001</v>
      </c>
      <c r="R6369">
        <v>8.9393059999999996E-2</v>
      </c>
      <c r="S6369">
        <v>2.9158170000000001</v>
      </c>
      <c r="T6369">
        <v>0.75604450000000001</v>
      </c>
      <c r="U6369">
        <v>2.163696E-2</v>
      </c>
      <c r="V6369">
        <v>-8.5006780000000004E-2</v>
      </c>
      <c r="W6369">
        <v>0.2263781</v>
      </c>
      <c r="X6369">
        <v>0.97032300000000005</v>
      </c>
      <c r="Y6369">
        <v>-3.027526E-3</v>
      </c>
      <c r="Z6369">
        <v>8.3538880000000001E-4</v>
      </c>
      <c r="AA6369">
        <v>0.99999510000000003</v>
      </c>
      <c r="AB6369">
        <v>28</v>
      </c>
      <c r="AC6369">
        <v>82.304499999999905</v>
      </c>
      <c r="AD6369">
        <v>21.376871999999999</v>
      </c>
      <c r="AE6369">
        <v>0.61120000000000296</v>
      </c>
      <c r="AF6369">
        <v>-0.22850710477700201</v>
      </c>
      <c r="AG6369">
        <v>21.376871999999999</v>
      </c>
      <c r="AH6369">
        <v>77.105237545097495</v>
      </c>
      <c r="AI6369">
        <v>74.504413939997406</v>
      </c>
      <c r="AJ6369">
        <v>90.169799805824496</v>
      </c>
      <c r="AK6369">
        <v>80.0140020801812</v>
      </c>
      <c r="AL6369">
        <v>76.916070839008995</v>
      </c>
      <c r="AM6369">
        <v>95.006710614987895</v>
      </c>
      <c r="AN6369">
        <v>0.99999996056728802</v>
      </c>
    </row>
    <row r="6370" spans="1:40" x14ac:dyDescent="0.25">
      <c r="A6370" t="str">
        <f>"20190304155759820"</f>
        <v>20190304155759820</v>
      </c>
      <c r="B6370" t="str">
        <f>"1551686279811220"</f>
        <v>1551686279811220</v>
      </c>
      <c r="C6370" t="s">
        <v>40</v>
      </c>
      <c r="D6370">
        <v>4.7768259999999998</v>
      </c>
      <c r="E6370">
        <v>0.52619680000000002</v>
      </c>
      <c r="F6370" t="s">
        <v>73</v>
      </c>
      <c r="G6370">
        <v>-157.3501</v>
      </c>
      <c r="H6370">
        <v>22.475729999999999</v>
      </c>
      <c r="I6370">
        <v>-62.529850000000003</v>
      </c>
      <c r="J6370">
        <v>-239.50970000000001</v>
      </c>
      <c r="K6370">
        <v>1.1104179999999999</v>
      </c>
      <c r="L6370">
        <v>-63.193480000000001</v>
      </c>
      <c r="M6370">
        <v>0.99989110000000003</v>
      </c>
      <c r="N6370">
        <v>-1.408239E-2</v>
      </c>
      <c r="O6370">
        <v>4.4183390000000003E-3</v>
      </c>
      <c r="P6370">
        <v>0.97289789999999998</v>
      </c>
      <c r="Q6370">
        <v>0.21309919999999999</v>
      </c>
      <c r="R6370">
        <v>8.976924E-2</v>
      </c>
      <c r="S6370">
        <v>2.9155880000000001</v>
      </c>
      <c r="T6370">
        <v>0.75685249999999904</v>
      </c>
      <c r="U6370">
        <v>2.3529049999999999E-2</v>
      </c>
      <c r="V6370">
        <v>-8.5425650000000006E-2</v>
      </c>
      <c r="W6370">
        <v>0.22680069999999999</v>
      </c>
      <c r="X6370">
        <v>0.97018749999999998</v>
      </c>
      <c r="Y6370">
        <v>-3.6981560000000002E-3</v>
      </c>
      <c r="Z6370">
        <v>7.4365539999999902E-4</v>
      </c>
      <c r="AA6370">
        <v>0.99999289999999996</v>
      </c>
      <c r="AB6370">
        <v>28</v>
      </c>
      <c r="AC6370">
        <v>82.159599999999998</v>
      </c>
      <c r="AD6370">
        <v>21.365311999999999</v>
      </c>
      <c r="AE6370">
        <v>0.66363000000000405</v>
      </c>
      <c r="AF6370">
        <v>-0.281540845147565</v>
      </c>
      <c r="AG6370">
        <v>21.365311999999999</v>
      </c>
      <c r="AH6370">
        <v>76.9578596717175</v>
      </c>
      <c r="AI6370">
        <v>74.484193285345498</v>
      </c>
      <c r="AJ6370">
        <v>90.2096086129756</v>
      </c>
      <c r="AK6370">
        <v>79.869067775682694</v>
      </c>
      <c r="AL6370">
        <v>76.891210802049599</v>
      </c>
      <c r="AM6370">
        <v>95.031953885848495</v>
      </c>
      <c r="AN6370">
        <v>0.99999994217732902</v>
      </c>
    </row>
    <row r="6371" spans="1:40" x14ac:dyDescent="0.25">
      <c r="A6371" t="str">
        <f>"20190304155759830"</f>
        <v>20190304155759830</v>
      </c>
      <c r="B6371" t="str">
        <f>"1551686279820980"</f>
        <v>1551686279820980</v>
      </c>
      <c r="C6371" t="s">
        <v>40</v>
      </c>
      <c r="D6371">
        <v>4.8161569999999996</v>
      </c>
      <c r="E6371">
        <v>0.52646459999999995</v>
      </c>
      <c r="F6371" t="s">
        <v>73</v>
      </c>
      <c r="G6371">
        <v>-157.3501</v>
      </c>
      <c r="H6371">
        <v>3.4692539999999998</v>
      </c>
      <c r="I6371">
        <v>-61.642699999999998</v>
      </c>
      <c r="J6371">
        <v>-239.36429999999999</v>
      </c>
      <c r="K6371">
        <v>1.11042</v>
      </c>
      <c r="L6371">
        <v>-63.1928699999999</v>
      </c>
      <c r="M6371">
        <v>0.99989150000000004</v>
      </c>
      <c r="N6371">
        <v>-1.4081750000000001E-2</v>
      </c>
      <c r="O6371">
        <v>4.3739149999999999E-3</v>
      </c>
      <c r="P6371">
        <v>0.97275880000000003</v>
      </c>
      <c r="Q6371">
        <v>0.21356169999999999</v>
      </c>
      <c r="R6371">
        <v>9.0178220000000003E-2</v>
      </c>
      <c r="S6371">
        <v>3.0590060000000001</v>
      </c>
      <c r="T6371">
        <v>8.7824459999999993E-2</v>
      </c>
      <c r="U6371">
        <v>5.7739260000000001E-2</v>
      </c>
      <c r="V6371">
        <v>-8.5877899999999993E-2</v>
      </c>
      <c r="W6371">
        <v>0.22726099999999999</v>
      </c>
      <c r="X6371">
        <v>0.97003989999999995</v>
      </c>
      <c r="Y6371">
        <v>-1.449903E-2</v>
      </c>
      <c r="Z6371" s="1">
        <v>8.1146399999999999E-5</v>
      </c>
      <c r="AA6371">
        <v>0.99989490000000003</v>
      </c>
      <c r="AB6371">
        <v>28</v>
      </c>
      <c r="AC6371">
        <v>82.014199999999903</v>
      </c>
      <c r="AD6371">
        <v>2.3588339999999999</v>
      </c>
      <c r="AE6371">
        <v>1.5501699999999901</v>
      </c>
      <c r="AF6371">
        <v>-1.19041216476131</v>
      </c>
      <c r="AG6371">
        <v>2.3588339999999999</v>
      </c>
      <c r="AH6371">
        <v>81.952428516752903</v>
      </c>
      <c r="AI6371">
        <v>88.351486498849098</v>
      </c>
      <c r="AJ6371">
        <v>90.832199823270599</v>
      </c>
      <c r="AK6371">
        <v>81.995010328403893</v>
      </c>
      <c r="AL6371">
        <v>76.864131080444693</v>
      </c>
      <c r="AM6371">
        <v>95.059221280550801</v>
      </c>
      <c r="AN6371">
        <v>0.99999999171070897</v>
      </c>
    </row>
    <row r="6372" spans="1:40" x14ac:dyDescent="0.25">
      <c r="A6372" t="str">
        <f>"20190304155759839"</f>
        <v>20190304155759839</v>
      </c>
      <c r="B6372" t="str">
        <f>"1551686279830741"</f>
        <v>1551686279830741</v>
      </c>
      <c r="C6372" t="s">
        <v>40</v>
      </c>
      <c r="D6372">
        <v>4.835941</v>
      </c>
      <c r="E6372">
        <v>0.52558859999999996</v>
      </c>
      <c r="F6372" t="s">
        <v>73</v>
      </c>
      <c r="G6372">
        <v>-157.3501</v>
      </c>
      <c r="H6372">
        <v>3.5117820000000002</v>
      </c>
      <c r="I6372">
        <v>-61.66451</v>
      </c>
      <c r="J6372">
        <v>-239.24549999999999</v>
      </c>
      <c r="K6372">
        <v>1.1104179999999999</v>
      </c>
      <c r="L6372">
        <v>-63.19238</v>
      </c>
      <c r="M6372">
        <v>0.99989150000000004</v>
      </c>
      <c r="N6372">
        <v>-1.4081140000000001E-2</v>
      </c>
      <c r="O6372">
        <v>4.3343649999999997E-3</v>
      </c>
      <c r="P6372">
        <v>0.97266900000000001</v>
      </c>
      <c r="Q6372">
        <v>0.21384420000000001</v>
      </c>
      <c r="R6372">
        <v>9.0476420000000002E-2</v>
      </c>
      <c r="S6372">
        <v>3.0590820000000001</v>
      </c>
      <c r="T6372">
        <v>8.9568499999999995E-2</v>
      </c>
      <c r="U6372">
        <v>5.7006840000000003E-2</v>
      </c>
      <c r="V6372">
        <v>-8.6213419999999999E-2</v>
      </c>
      <c r="W6372">
        <v>0.2275423</v>
      </c>
      <c r="X6372">
        <v>0.96994420000000003</v>
      </c>
      <c r="Y6372">
        <v>-1.4298719999999999E-2</v>
      </c>
      <c r="Z6372" s="1">
        <v>7.9309419999999903E-5</v>
      </c>
      <c r="AA6372">
        <v>0.99989779999999995</v>
      </c>
      <c r="AB6372">
        <v>28</v>
      </c>
      <c r="AC6372">
        <v>81.895399999999995</v>
      </c>
      <c r="AD6372">
        <v>2.4013640000000001</v>
      </c>
      <c r="AE6372">
        <v>1.5278700000000001</v>
      </c>
      <c r="AF6372">
        <v>-1.17184870348252</v>
      </c>
      <c r="AG6372">
        <v>2.4013640000000001</v>
      </c>
      <c r="AH6372">
        <v>81.830919904494294</v>
      </c>
      <c r="AI6372">
        <v>88.319285002589496</v>
      </c>
      <c r="AJ6372">
        <v>90.820440438819304</v>
      </c>
      <c r="AK6372">
        <v>81.874533469572299</v>
      </c>
      <c r="AL6372">
        <v>76.847580293125901</v>
      </c>
      <c r="AM6372">
        <v>95.079382674455502</v>
      </c>
      <c r="AN6372">
        <v>1.0000000015955099</v>
      </c>
    </row>
    <row r="6373" spans="1:40" x14ac:dyDescent="0.25">
      <c r="A6373" t="str">
        <f>"20190304155759852"</f>
        <v>20190304155759852</v>
      </c>
      <c r="B6373" t="str">
        <f>"1551686279840500"</f>
        <v>1551686279840500</v>
      </c>
      <c r="C6373" t="s">
        <v>40</v>
      </c>
      <c r="D6373">
        <v>4.8426519999999904</v>
      </c>
      <c r="E6373">
        <v>0.52105590000000002</v>
      </c>
      <c r="F6373" t="s">
        <v>73</v>
      </c>
      <c r="G6373">
        <v>-157.3501</v>
      </c>
      <c r="H6373">
        <v>3.285933</v>
      </c>
      <c r="I6373">
        <v>-61.45129</v>
      </c>
      <c r="J6373">
        <v>-239.101</v>
      </c>
      <c r="K6373">
        <v>1.1104210000000001</v>
      </c>
      <c r="L6373">
        <v>-63.191800000000001</v>
      </c>
      <c r="M6373">
        <v>0.9998918</v>
      </c>
      <c r="N6373">
        <v>-1.408038E-2</v>
      </c>
      <c r="O6373">
        <v>4.285329E-3</v>
      </c>
      <c r="P6373">
        <v>0.97254130000000005</v>
      </c>
      <c r="Q6373">
        <v>0.21430979999999999</v>
      </c>
      <c r="R6373">
        <v>9.0746080000000007E-2</v>
      </c>
      <c r="S6373">
        <v>3.0603790000000002</v>
      </c>
      <c r="T6373">
        <v>8.1296800000000002E-2</v>
      </c>
      <c r="U6373">
        <v>6.5063480000000007E-2</v>
      </c>
      <c r="V6373">
        <v>-8.6529399999999895E-2</v>
      </c>
      <c r="W6373">
        <v>0.22800570000000001</v>
      </c>
      <c r="X6373">
        <v>0.96980719999999998</v>
      </c>
      <c r="Y6373">
        <v>-1.6970880000000001E-2</v>
      </c>
      <c r="Z6373" s="1">
        <v>6.828498E-5</v>
      </c>
      <c r="AA6373">
        <v>0.99985599999999997</v>
      </c>
      <c r="AB6373">
        <v>28</v>
      </c>
      <c r="AC6373">
        <v>81.750900000000001</v>
      </c>
      <c r="AD6373">
        <v>2.1755119999999999</v>
      </c>
      <c r="AE6373">
        <v>1.74051</v>
      </c>
      <c r="AF6373">
        <v>-1.38914651381373</v>
      </c>
      <c r="AG6373">
        <v>2.1755119999999999</v>
      </c>
      <c r="AH6373">
        <v>81.699777440802706</v>
      </c>
      <c r="AI6373">
        <v>88.474901522003705</v>
      </c>
      <c r="AJ6373">
        <v>90.974109918547597</v>
      </c>
      <c r="AK6373">
        <v>81.740542048457698</v>
      </c>
      <c r="AL6373">
        <v>76.820312258628107</v>
      </c>
      <c r="AM6373">
        <v>95.098617513776404</v>
      </c>
      <c r="AN6373">
        <v>0.99999997073434399</v>
      </c>
    </row>
    <row r="6374" spans="1:40" x14ac:dyDescent="0.25">
      <c r="A6374" t="str">
        <f>"20190304155759862"</f>
        <v>20190304155759862</v>
      </c>
      <c r="B6374" t="str">
        <f>"1551686279860996"</f>
        <v>1551686279860996</v>
      </c>
      <c r="C6374" t="s">
        <v>40</v>
      </c>
      <c r="D6374">
        <v>4.7674050000000001</v>
      </c>
      <c r="E6374">
        <v>0.51571619999999996</v>
      </c>
      <c r="F6374" t="s">
        <v>73</v>
      </c>
      <c r="G6374">
        <v>-157.3501</v>
      </c>
      <c r="H6374">
        <v>2.9861330000000001</v>
      </c>
      <c r="I6374">
        <v>-60.468420000000002</v>
      </c>
      <c r="J6374">
        <v>-238.96250000000001</v>
      </c>
      <c r="K6374">
        <v>1.110422</v>
      </c>
      <c r="L6374">
        <v>-63.191249999999997</v>
      </c>
      <c r="M6374">
        <v>0.999892</v>
      </c>
      <c r="N6374">
        <v>-1.407958E-2</v>
      </c>
      <c r="O6374">
        <v>4.2348530000000002E-3</v>
      </c>
      <c r="P6374">
        <v>0.97244750000000002</v>
      </c>
      <c r="Q6374">
        <v>0.21481220000000001</v>
      </c>
      <c r="R6374">
        <v>9.0563340000000006E-2</v>
      </c>
      <c r="S6374">
        <v>3.059723</v>
      </c>
      <c r="T6374">
        <v>7.0202230000000004E-2</v>
      </c>
      <c r="U6374">
        <v>0.1019287</v>
      </c>
      <c r="V6374">
        <v>-8.6394109999999996E-2</v>
      </c>
      <c r="W6374">
        <v>0.2285066</v>
      </c>
      <c r="X6374">
        <v>0.96970140000000005</v>
      </c>
      <c r="Y6374">
        <v>-2.9061320000000002E-2</v>
      </c>
      <c r="Z6374" s="1">
        <v>2.8130600000000001E-5</v>
      </c>
      <c r="AA6374">
        <v>0.99957759999999996</v>
      </c>
      <c r="AB6374">
        <v>28</v>
      </c>
      <c r="AC6374">
        <v>81.612399999999994</v>
      </c>
      <c r="AD6374">
        <v>1.8757109999999999</v>
      </c>
      <c r="AE6374">
        <v>2.7228300000000001</v>
      </c>
      <c r="AF6374">
        <v>-2.3759012152047498</v>
      </c>
      <c r="AG6374">
        <v>1.8757109999999999</v>
      </c>
      <c r="AH6374">
        <v>81.580155136624697</v>
      </c>
      <c r="AI6374">
        <v>88.683431431841797</v>
      </c>
      <c r="AJ6374">
        <v>91.668183202353006</v>
      </c>
      <c r="AK6374">
        <v>81.636296525844998</v>
      </c>
      <c r="AL6374">
        <v>76.790835110075605</v>
      </c>
      <c r="AM6374">
        <v>95.091240174137496</v>
      </c>
      <c r="AN6374">
        <v>1.0000000068241</v>
      </c>
    </row>
    <row r="6375" spans="1:40" x14ac:dyDescent="0.25">
      <c r="A6375" t="str">
        <f>"20190304155759874"</f>
        <v>20190304155759874</v>
      </c>
      <c r="B6375" t="str">
        <f>"1551686279870757"</f>
        <v>1551686279870757</v>
      </c>
      <c r="C6375" t="s">
        <v>40</v>
      </c>
      <c r="D6375">
        <v>5.1187589999999998</v>
      </c>
      <c r="E6375">
        <v>0.5131076</v>
      </c>
      <c r="F6375" t="s">
        <v>73</v>
      </c>
      <c r="G6375">
        <v>-157.3501</v>
      </c>
      <c r="H6375">
        <v>4.2965989999999996</v>
      </c>
      <c r="I6375">
        <v>-59.328519999999997</v>
      </c>
      <c r="J6375">
        <v>-238.82380000000001</v>
      </c>
      <c r="K6375">
        <v>1.110428</v>
      </c>
      <c r="L6375">
        <v>-63.190730000000002</v>
      </c>
      <c r="M6375">
        <v>0.99989229999999996</v>
      </c>
      <c r="N6375">
        <v>-1.4078749999999999E-2</v>
      </c>
      <c r="O6375">
        <v>4.1818059999999997E-3</v>
      </c>
      <c r="P6375">
        <v>0.97223870000000001</v>
      </c>
      <c r="Q6375">
        <v>0.2156401</v>
      </c>
      <c r="R6375">
        <v>9.0839450000000002E-2</v>
      </c>
      <c r="S6375">
        <v>3.0453030000000001</v>
      </c>
      <c r="T6375">
        <v>0.11888890000000001</v>
      </c>
      <c r="U6375">
        <v>0.1441345</v>
      </c>
      <c r="V6375">
        <v>-8.672038E-2</v>
      </c>
      <c r="W6375">
        <v>0.22933149999999999</v>
      </c>
      <c r="X6375">
        <v>0.96947749999999999</v>
      </c>
      <c r="Y6375">
        <v>-4.3084200000000003E-2</v>
      </c>
      <c r="Z6375">
        <v>-3.14755E-4</v>
      </c>
      <c r="AA6375">
        <v>0.99907140000000005</v>
      </c>
      <c r="AB6375">
        <v>28</v>
      </c>
      <c r="AC6375">
        <v>81.473699999999994</v>
      </c>
      <c r="AD6375">
        <v>3.1861709999999999</v>
      </c>
      <c r="AE6375">
        <v>3.8622100000000001</v>
      </c>
      <c r="AF6375">
        <v>-3.5160700967144698</v>
      </c>
      <c r="AG6375">
        <v>3.1861709999999999</v>
      </c>
      <c r="AH6375">
        <v>81.364984574586998</v>
      </c>
      <c r="AI6375">
        <v>87.759589415968705</v>
      </c>
      <c r="AJ6375">
        <v>92.474414737519695</v>
      </c>
      <c r="AK6375">
        <v>81.503221711715298</v>
      </c>
      <c r="AL6375">
        <v>76.742282330183002</v>
      </c>
      <c r="AM6375">
        <v>95.111539760708496</v>
      </c>
      <c r="AN6375">
        <v>0.99999999210292201</v>
      </c>
    </row>
    <row r="6376" spans="1:40" x14ac:dyDescent="0.25">
      <c r="A6376" t="str">
        <f>"20190304155759885"</f>
        <v>20190304155759885</v>
      </c>
      <c r="B6376" t="str">
        <f>"1551686279880516"</f>
        <v>1551686279880516</v>
      </c>
      <c r="C6376" t="s">
        <v>40</v>
      </c>
      <c r="D6376">
        <v>4.7857710000000004</v>
      </c>
      <c r="E6376">
        <v>0.5096695</v>
      </c>
      <c r="F6376" t="s">
        <v>73</v>
      </c>
      <c r="G6376">
        <v>-157.3501</v>
      </c>
      <c r="H6376">
        <v>5.316732</v>
      </c>
      <c r="I6376">
        <v>-58.741210000000002</v>
      </c>
      <c r="J6376">
        <v>-238.68799999999999</v>
      </c>
      <c r="K6376">
        <v>1.110425</v>
      </c>
      <c r="L6376">
        <v>-63.190219999999997</v>
      </c>
      <c r="M6376">
        <v>0.99989249999999996</v>
      </c>
      <c r="N6376">
        <v>-1.4077879999999999E-2</v>
      </c>
      <c r="O6376">
        <v>4.1261859999999996E-3</v>
      </c>
      <c r="P6376">
        <v>0.97202319999999998</v>
      </c>
      <c r="Q6376">
        <v>0.21665519999999999</v>
      </c>
      <c r="R6376">
        <v>9.0727619999999995E-2</v>
      </c>
      <c r="S6376">
        <v>3.0353850000000002</v>
      </c>
      <c r="T6376">
        <v>0.15670919999999999</v>
      </c>
      <c r="U6376">
        <v>0.16577149999999999</v>
      </c>
      <c r="V6376">
        <v>-8.6661199999999994E-2</v>
      </c>
      <c r="W6376">
        <v>0.23034360000000001</v>
      </c>
      <c r="X6376">
        <v>0.96924279999999996</v>
      </c>
      <c r="Y6376">
        <v>-5.0371109999999997E-2</v>
      </c>
      <c r="Z6376">
        <v>-6.7270539999999895E-4</v>
      </c>
      <c r="AA6376">
        <v>0.99873040000000002</v>
      </c>
      <c r="AB6376">
        <v>28</v>
      </c>
      <c r="AC6376">
        <v>81.337899999999905</v>
      </c>
      <c r="AD6376">
        <v>4.2063069999999998</v>
      </c>
      <c r="AE6376">
        <v>4.4490100000000004</v>
      </c>
      <c r="AF6376">
        <v>-4.1023851589280804</v>
      </c>
      <c r="AG6376">
        <v>4.2063069999999998</v>
      </c>
      <c r="AH6376">
        <v>81.139220427464494</v>
      </c>
      <c r="AI6376">
        <v>87.036187141536701</v>
      </c>
      <c r="AJ6376">
        <v>92.894400213217807</v>
      </c>
      <c r="AK6376">
        <v>81.351678987880206</v>
      </c>
      <c r="AL6376">
        <v>76.682697860852699</v>
      </c>
      <c r="AM6376">
        <v>95.1093003494409</v>
      </c>
      <c r="AN6376">
        <v>0.99999997149911901</v>
      </c>
    </row>
    <row r="6377" spans="1:40" x14ac:dyDescent="0.25">
      <c r="A6377" t="str">
        <f>"20190304155759896"</f>
        <v>20190304155759896</v>
      </c>
      <c r="B6377" t="str">
        <f>"1551686279891252"</f>
        <v>1551686279891252</v>
      </c>
      <c r="C6377" t="s">
        <v>40</v>
      </c>
      <c r="D6377">
        <v>5.2149519999999896</v>
      </c>
      <c r="E6377">
        <v>0.50776549999999998</v>
      </c>
      <c r="F6377" t="s">
        <v>73</v>
      </c>
      <c r="G6377">
        <v>-157.3501</v>
      </c>
      <c r="H6377">
        <v>4.9048150000000001</v>
      </c>
      <c r="I6377">
        <v>-58.031669999999998</v>
      </c>
      <c r="J6377">
        <v>-238.54920000000001</v>
      </c>
      <c r="K6377">
        <v>1.1104240000000001</v>
      </c>
      <c r="L6377">
        <v>-63.189700000000002</v>
      </c>
      <c r="M6377">
        <v>0.99989280000000003</v>
      </c>
      <c r="N6377">
        <v>-1.407691E-2</v>
      </c>
      <c r="O6377">
        <v>4.0640509999999999E-3</v>
      </c>
      <c r="P6377">
        <v>0.9719006</v>
      </c>
      <c r="Q6377">
        <v>0.21727389999999999</v>
      </c>
      <c r="R6377">
        <v>9.0563370000000004E-2</v>
      </c>
      <c r="S6377">
        <v>3.0367890000000002</v>
      </c>
      <c r="T6377">
        <v>0.1416644</v>
      </c>
      <c r="U6377">
        <v>0.1925964</v>
      </c>
      <c r="V6377">
        <v>-8.6554350000000002E-2</v>
      </c>
      <c r="W6377">
        <v>0.23096069999999999</v>
      </c>
      <c r="X6377">
        <v>0.96910549999999995</v>
      </c>
      <c r="Y6377">
        <v>-5.9199849999999998E-2</v>
      </c>
      <c r="Z6377">
        <v>-7.1501159999999998E-4</v>
      </c>
      <c r="AA6377">
        <v>0.99824590000000002</v>
      </c>
      <c r="AB6377">
        <v>28</v>
      </c>
      <c r="AC6377">
        <v>81.199100000000001</v>
      </c>
      <c r="AD6377">
        <v>3.7943910000000001</v>
      </c>
      <c r="AE6377">
        <v>5.1580300000000001</v>
      </c>
      <c r="AF6377">
        <v>-4.8174800774756896</v>
      </c>
      <c r="AG6377">
        <v>3.7943910000000001</v>
      </c>
      <c r="AH6377">
        <v>81.043135795320694</v>
      </c>
      <c r="AI6377">
        <v>87.324120087353805</v>
      </c>
      <c r="AJ6377">
        <v>93.401853252384498</v>
      </c>
      <c r="AK6377">
        <v>81.274813914868702</v>
      </c>
      <c r="AL6377">
        <v>76.646361039884795</v>
      </c>
      <c r="AM6377">
        <v>95.103753220839707</v>
      </c>
      <c r="AN6377">
        <v>0.99999998528933098</v>
      </c>
    </row>
    <row r="6378" spans="1:40" x14ac:dyDescent="0.25">
      <c r="A6378" t="str">
        <f>"20190304155759906"</f>
        <v>20190304155759906</v>
      </c>
      <c r="B6378" t="str">
        <f>"1551686279901012"</f>
        <v>1551686279901012</v>
      </c>
      <c r="C6378" t="s">
        <v>40</v>
      </c>
      <c r="D6378">
        <v>5.1835209999999998</v>
      </c>
      <c r="E6378">
        <v>0.50631780000000004</v>
      </c>
      <c r="F6378" t="s">
        <v>73</v>
      </c>
      <c r="G6378">
        <v>-157.3501</v>
      </c>
      <c r="H6378">
        <v>5.3229939999999996</v>
      </c>
      <c r="I6378">
        <v>-57.644109999999998</v>
      </c>
      <c r="J6378">
        <v>-238.41229999999999</v>
      </c>
      <c r="K6378">
        <v>1.110422</v>
      </c>
      <c r="L6378">
        <v>-63.18918</v>
      </c>
      <c r="M6378">
        <v>0.99989300000000003</v>
      </c>
      <c r="N6378">
        <v>-1.4075910000000001E-2</v>
      </c>
      <c r="O6378">
        <v>3.9989860000000004E-3</v>
      </c>
      <c r="P6378">
        <v>0.97172760000000002</v>
      </c>
      <c r="Q6378">
        <v>0.2180166</v>
      </c>
      <c r="R6378">
        <v>9.0634199999999998E-2</v>
      </c>
      <c r="S6378">
        <v>3.0322719999999999</v>
      </c>
      <c r="T6378">
        <v>0.1573119</v>
      </c>
      <c r="U6378">
        <v>0.20709230000000001</v>
      </c>
      <c r="V6378">
        <v>-8.6685609999999996E-2</v>
      </c>
      <c r="W6378">
        <v>0.23170109999999999</v>
      </c>
      <c r="X6378">
        <v>0.96891700000000003</v>
      </c>
      <c r="Y6378">
        <v>-6.4092960000000004E-2</v>
      </c>
      <c r="Z6378">
        <v>-9.4439250000000001E-4</v>
      </c>
      <c r="AA6378">
        <v>0.99794349999999998</v>
      </c>
      <c r="AB6378">
        <v>28</v>
      </c>
      <c r="AC6378">
        <v>81.062199999999905</v>
      </c>
      <c r="AD6378">
        <v>4.2125719999999998</v>
      </c>
      <c r="AE6378">
        <v>5.5450700000000097</v>
      </c>
      <c r="AF6378">
        <v>-5.2068309530718802</v>
      </c>
      <c r="AG6378">
        <v>4.2125719999999998</v>
      </c>
      <c r="AH6378">
        <v>80.866359179360998</v>
      </c>
      <c r="AI6378">
        <v>87.024137103819697</v>
      </c>
      <c r="AJ6378">
        <v>93.684080620124803</v>
      </c>
      <c r="AK6378">
        <v>81.143236923076103</v>
      </c>
      <c r="AL6378">
        <v>76.602756317909396</v>
      </c>
      <c r="AM6378">
        <v>95.112441260672796</v>
      </c>
      <c r="AN6378">
        <v>0.99999997380563999</v>
      </c>
    </row>
    <row r="6379" spans="1:40" x14ac:dyDescent="0.25">
      <c r="A6379" t="str">
        <f>"20190304155759918"</f>
        <v>20190304155759918</v>
      </c>
      <c r="B6379" t="str">
        <f>"1551686279910772"</f>
        <v>1551686279910772</v>
      </c>
      <c r="C6379" t="s">
        <v>40</v>
      </c>
      <c r="D6379">
        <v>5.2120300000000004</v>
      </c>
      <c r="E6379">
        <v>0.50492170000000003</v>
      </c>
      <c r="F6379" t="s">
        <v>73</v>
      </c>
      <c r="G6379">
        <v>-157.3501</v>
      </c>
      <c r="H6379">
        <v>5.6538559999999896</v>
      </c>
      <c r="I6379">
        <v>-57.335329999999999</v>
      </c>
      <c r="J6379">
        <v>-238.27799999999999</v>
      </c>
      <c r="K6379">
        <v>1.11042</v>
      </c>
      <c r="L6379">
        <v>-63.188720000000004</v>
      </c>
      <c r="M6379">
        <v>0.99989340000000004</v>
      </c>
      <c r="N6379">
        <v>-1.407489E-2</v>
      </c>
      <c r="O6379">
        <v>3.9266860000000004E-3</v>
      </c>
      <c r="P6379">
        <v>0.97144989999999998</v>
      </c>
      <c r="Q6379">
        <v>0.21926860000000001</v>
      </c>
      <c r="R6379">
        <v>9.0590400000000001E-2</v>
      </c>
      <c r="S6379">
        <v>3.0287630000000001</v>
      </c>
      <c r="T6379">
        <v>0.169757399999999</v>
      </c>
      <c r="U6379">
        <v>0.21871950000000001</v>
      </c>
      <c r="V6379">
        <v>-8.6708460000000001E-2</v>
      </c>
      <c r="W6379">
        <v>0.2329492</v>
      </c>
      <c r="X6379">
        <v>0.96861569999999997</v>
      </c>
      <c r="Y6379">
        <v>-6.8039329999999995E-2</v>
      </c>
      <c r="Z6379">
        <v>-1.148268E-3</v>
      </c>
      <c r="AA6379">
        <v>0.99768199999999996</v>
      </c>
      <c r="AB6379">
        <v>28</v>
      </c>
      <c r="AC6379">
        <v>80.927899999999994</v>
      </c>
      <c r="AD6379">
        <v>4.5434359999999998</v>
      </c>
      <c r="AE6379">
        <v>5.8533899999999903</v>
      </c>
      <c r="AF6379">
        <v>-5.5182325887635404</v>
      </c>
      <c r="AG6379">
        <v>4.5434359999999998</v>
      </c>
      <c r="AH6379">
        <v>80.697236807440802</v>
      </c>
      <c r="AI6379">
        <v>86.785013059844601</v>
      </c>
      <c r="AJ6379">
        <v>93.911905947572706</v>
      </c>
      <c r="AK6379">
        <v>81.013194789157495</v>
      </c>
      <c r="AL6379">
        <v>76.529234514760006</v>
      </c>
      <c r="AM6379">
        <v>95.115364003973696</v>
      </c>
      <c r="AN6379">
        <v>1.0000000305513499</v>
      </c>
    </row>
    <row r="6380" spans="1:40" x14ac:dyDescent="0.25">
      <c r="A6380" t="str">
        <f>"20190304155759929"</f>
        <v>20190304155759929</v>
      </c>
      <c r="B6380" t="str">
        <f>"1551686279920532"</f>
        <v>1551686279920532</v>
      </c>
      <c r="C6380" t="s">
        <v>40</v>
      </c>
      <c r="D6380">
        <v>4.8637379999999997</v>
      </c>
      <c r="E6380">
        <v>0.50407029999999997</v>
      </c>
      <c r="F6380" t="s">
        <v>73</v>
      </c>
      <c r="G6380">
        <v>-157.3501</v>
      </c>
      <c r="H6380">
        <v>5.9609220000000001</v>
      </c>
      <c r="I6380">
        <v>-57.060619999999901</v>
      </c>
      <c r="J6380">
        <v>-238.14250000000001</v>
      </c>
      <c r="K6380">
        <v>1.1104130000000001</v>
      </c>
      <c r="L6380">
        <v>-63.18826</v>
      </c>
      <c r="M6380">
        <v>0.9998937</v>
      </c>
      <c r="N6380">
        <v>-1.4073840000000001E-2</v>
      </c>
      <c r="O6380">
        <v>3.8515160000000001E-3</v>
      </c>
      <c r="P6380">
        <v>0.97111840000000005</v>
      </c>
      <c r="Q6380">
        <v>0.2205413</v>
      </c>
      <c r="R6380">
        <v>9.1055090000000005E-2</v>
      </c>
      <c r="S6380">
        <v>3.0258479999999999</v>
      </c>
      <c r="T6380">
        <v>0.1813565</v>
      </c>
      <c r="U6380">
        <v>0.229126</v>
      </c>
      <c r="V6380">
        <v>-8.7242730000000004E-2</v>
      </c>
      <c r="W6380">
        <v>0.23421810000000001</v>
      </c>
      <c r="X6380">
        <v>0.96826159999999994</v>
      </c>
      <c r="Y6380">
        <v>-7.1578180000000005E-2</v>
      </c>
      <c r="Z6380">
        <v>-1.3509189999999999E-3</v>
      </c>
      <c r="AA6380">
        <v>0.99743409999999999</v>
      </c>
      <c r="AB6380">
        <v>28</v>
      </c>
      <c r="AC6380">
        <v>80.792400000000001</v>
      </c>
      <c r="AD6380">
        <v>4.8505089999999997</v>
      </c>
      <c r="AE6380">
        <v>6.1276400000000004</v>
      </c>
      <c r="AF6380">
        <v>-5.7956202618369703</v>
      </c>
      <c r="AG6380">
        <v>4.8505089999999997</v>
      </c>
      <c r="AH6380">
        <v>80.526812486691597</v>
      </c>
      <c r="AI6380">
        <v>86.561841999937201</v>
      </c>
      <c r="AJ6380">
        <v>94.116554416844394</v>
      </c>
      <c r="AK6380">
        <v>80.880678663357401</v>
      </c>
      <c r="AL6380">
        <v>76.454462636463205</v>
      </c>
      <c r="AM6380">
        <v>95.148586564734202</v>
      </c>
      <c r="AN6380">
        <v>0.99999996917000999</v>
      </c>
    </row>
    <row r="6381" spans="1:40" x14ac:dyDescent="0.25">
      <c r="A6381" t="str">
        <f>"20190304155759940"</f>
        <v>20190304155759940</v>
      </c>
      <c r="B6381" t="str">
        <f>"1551686279931268"</f>
        <v>1551686279931268</v>
      </c>
      <c r="C6381" t="s">
        <v>40</v>
      </c>
      <c r="D6381">
        <v>4.7542849999999897</v>
      </c>
      <c r="E6381">
        <v>0.50324170000000001</v>
      </c>
      <c r="F6381" t="s">
        <v>73</v>
      </c>
      <c r="G6381">
        <v>-157.3501</v>
      </c>
      <c r="H6381">
        <v>6.615081</v>
      </c>
      <c r="I6381">
        <v>-56.845230000000001</v>
      </c>
      <c r="J6381">
        <v>-238.00579999999999</v>
      </c>
      <c r="K6381">
        <v>1.110401</v>
      </c>
      <c r="L6381">
        <v>-63.187809999999999</v>
      </c>
      <c r="M6381">
        <v>0.9998939</v>
      </c>
      <c r="N6381">
        <v>-1.407278E-2</v>
      </c>
      <c r="O6381">
        <v>3.76458E-3</v>
      </c>
      <c r="P6381">
        <v>0.97083969999999997</v>
      </c>
      <c r="Q6381">
        <v>0.22153909999999999</v>
      </c>
      <c r="R6381">
        <v>9.1601100000000005E-2</v>
      </c>
      <c r="S6381">
        <v>3.0202640000000001</v>
      </c>
      <c r="T6381">
        <v>0.2057803</v>
      </c>
      <c r="U6381">
        <v>0.23712159999999999</v>
      </c>
      <c r="V6381">
        <v>-8.7868299999999996E-2</v>
      </c>
      <c r="W6381">
        <v>0.23521329999999999</v>
      </c>
      <c r="X6381">
        <v>0.96796380000000004</v>
      </c>
      <c r="Y6381">
        <v>-7.4392269999999996E-2</v>
      </c>
      <c r="Z6381">
        <v>-1.6941009999999999E-3</v>
      </c>
      <c r="AA6381">
        <v>0.99722759999999999</v>
      </c>
      <c r="AB6381">
        <v>28</v>
      </c>
      <c r="AC6381">
        <v>80.655699999999996</v>
      </c>
      <c r="AD6381">
        <v>5.5046799999999996</v>
      </c>
      <c r="AE6381">
        <v>6.3425799999999901</v>
      </c>
      <c r="AF6381">
        <v>-6.0110431374230702</v>
      </c>
      <c r="AG6381">
        <v>5.5046799999999996</v>
      </c>
      <c r="AH6381">
        <v>80.307240415198507</v>
      </c>
      <c r="AI6381">
        <v>86.089684529265895</v>
      </c>
      <c r="AJ6381">
        <v>94.280639711901102</v>
      </c>
      <c r="AK6381">
        <v>80.719805528797295</v>
      </c>
      <c r="AL6381">
        <v>76.395803957725704</v>
      </c>
      <c r="AM6381">
        <v>95.186890319546194</v>
      </c>
      <c r="AN6381">
        <v>1.0000000263761</v>
      </c>
    </row>
    <row r="6382" spans="1:40" x14ac:dyDescent="0.25">
      <c r="A6382" t="str">
        <f>"20190304155759951"</f>
        <v>20190304155759951</v>
      </c>
      <c r="B6382" t="str">
        <f>"1551686279941029"</f>
        <v>1551686279941029</v>
      </c>
      <c r="C6382" t="s">
        <v>40</v>
      </c>
      <c r="D6382">
        <v>4.7640500000000001</v>
      </c>
      <c r="E6382">
        <v>0.50241179999999996</v>
      </c>
      <c r="F6382" t="s">
        <v>73</v>
      </c>
      <c r="G6382">
        <v>-157.3501</v>
      </c>
      <c r="H6382">
        <v>6.4410610000000004</v>
      </c>
      <c r="I6382">
        <v>-56.646090000000001</v>
      </c>
      <c r="J6382">
        <v>-237.85759999999999</v>
      </c>
      <c r="K6382">
        <v>1.1103829999999999</v>
      </c>
      <c r="L6382">
        <v>-63.187350000000002</v>
      </c>
      <c r="M6382">
        <v>0.99989439999999996</v>
      </c>
      <c r="N6382">
        <v>-1.407162E-2</v>
      </c>
      <c r="O6382">
        <v>3.6671379999999999E-3</v>
      </c>
      <c r="P6382">
        <v>0.97068410000000005</v>
      </c>
      <c r="Q6382">
        <v>0.22189449999999999</v>
      </c>
      <c r="R6382">
        <v>9.2387520000000001E-2</v>
      </c>
      <c r="S6382">
        <v>3.0214080000000001</v>
      </c>
      <c r="T6382">
        <v>0.1996887</v>
      </c>
      <c r="U6382">
        <v>0.2450562</v>
      </c>
      <c r="V6382">
        <v>-8.8744310000000007E-2</v>
      </c>
      <c r="W6382">
        <v>0.2355679</v>
      </c>
      <c r="X6382">
        <v>0.96779760000000004</v>
      </c>
      <c r="Y6382">
        <v>-7.7065560000000005E-2</v>
      </c>
      <c r="Z6382">
        <v>-1.7030019999999999E-3</v>
      </c>
      <c r="AA6382">
        <v>0.99702460000000004</v>
      </c>
      <c r="AB6382">
        <v>28</v>
      </c>
      <c r="AC6382">
        <v>80.507499999999993</v>
      </c>
      <c r="AD6382">
        <v>5.3306779999999998</v>
      </c>
      <c r="AE6382">
        <v>6.5412600000000003</v>
      </c>
      <c r="AF6382">
        <v>-6.2188686325691496</v>
      </c>
      <c r="AG6382">
        <v>5.3306779999999998</v>
      </c>
      <c r="AH6382">
        <v>80.181719908915994</v>
      </c>
      <c r="AI6382">
        <v>86.207788398316893</v>
      </c>
      <c r="AJ6382">
        <v>94.434963764884102</v>
      </c>
      <c r="AK6382">
        <v>80.598999141184706</v>
      </c>
      <c r="AL6382">
        <v>76.3748989897298</v>
      </c>
      <c r="AM6382">
        <v>95.239209736279406</v>
      </c>
      <c r="AN6382">
        <v>0.99999999131677297</v>
      </c>
    </row>
    <row r="6383" spans="1:40" x14ac:dyDescent="0.25">
      <c r="A6383" t="str">
        <f>"20190304155759963"</f>
        <v>20190304155759963</v>
      </c>
      <c r="B6383" t="str">
        <f>"1551686279960548"</f>
        <v>1551686279960548</v>
      </c>
      <c r="C6383" t="s">
        <v>40</v>
      </c>
      <c r="D6383">
        <v>4.8353820000000001</v>
      </c>
      <c r="E6383">
        <v>0.50058879999999994</v>
      </c>
      <c r="F6383" t="s">
        <v>73</v>
      </c>
      <c r="G6383">
        <v>-157.3501</v>
      </c>
      <c r="H6383">
        <v>6.1919589999999998</v>
      </c>
      <c r="I6383">
        <v>-56.43235</v>
      </c>
      <c r="J6383">
        <v>-237.72239999999999</v>
      </c>
      <c r="K6383">
        <v>1.1103639999999999</v>
      </c>
      <c r="L6383">
        <v>-63.186919999999901</v>
      </c>
      <c r="M6383">
        <v>0.99989459999999997</v>
      </c>
      <c r="N6383">
        <v>-1.4070529999999999E-2</v>
      </c>
      <c r="O6383">
        <v>3.5695280000000002E-3</v>
      </c>
      <c r="P6383">
        <v>0.97070009999999995</v>
      </c>
      <c r="Q6383">
        <v>0.2213106</v>
      </c>
      <c r="R6383">
        <v>9.3610959999999993E-2</v>
      </c>
      <c r="S6383">
        <v>3.0228419999999998</v>
      </c>
      <c r="T6383">
        <v>0.19079860000000001</v>
      </c>
      <c r="U6383">
        <v>0.25363160000000001</v>
      </c>
      <c r="V6383">
        <v>-9.0057280000000003E-2</v>
      </c>
      <c r="W6383">
        <v>0.23498530000000001</v>
      </c>
      <c r="X6383">
        <v>0.96781799999999996</v>
      </c>
      <c r="Y6383">
        <v>-7.9941330000000005E-2</v>
      </c>
      <c r="Z6383">
        <v>-1.6773789999999999E-3</v>
      </c>
      <c r="AA6383">
        <v>0.99679819999999997</v>
      </c>
      <c r="AB6383">
        <v>28</v>
      </c>
      <c r="AC6383">
        <v>80.372299999999996</v>
      </c>
      <c r="AD6383">
        <v>5.0815950000000001</v>
      </c>
      <c r="AE6383">
        <v>6.7545699999999904</v>
      </c>
      <c r="AF6383">
        <v>-6.4420360091180102</v>
      </c>
      <c r="AG6383">
        <v>5.0815950000000001</v>
      </c>
      <c r="AH6383">
        <v>80.078034848488898</v>
      </c>
      <c r="AI6383">
        <v>86.380652515310501</v>
      </c>
      <c r="AJ6383">
        <v>94.599367517722399</v>
      </c>
      <c r="AK6383">
        <v>80.497292506534606</v>
      </c>
      <c r="AL6383">
        <v>76.409244334602406</v>
      </c>
      <c r="AM6383">
        <v>95.316171382491305</v>
      </c>
      <c r="AN6383">
        <v>1.00000004301054</v>
      </c>
    </row>
    <row r="6384" spans="1:40" x14ac:dyDescent="0.25">
      <c r="A6384" t="str">
        <f>"20190304155759974"</f>
        <v>20190304155759974</v>
      </c>
      <c r="B6384" t="str">
        <f>"1551686279971285"</f>
        <v>1551686279971285</v>
      </c>
      <c r="C6384" t="s">
        <v>40</v>
      </c>
      <c r="D6384">
        <v>4.7165749999999997</v>
      </c>
      <c r="E6384">
        <v>0.50021789999999999</v>
      </c>
      <c r="F6384" t="s">
        <v>73</v>
      </c>
      <c r="G6384">
        <v>-157.3501</v>
      </c>
      <c r="H6384">
        <v>5.5679790000000002</v>
      </c>
      <c r="I6384">
        <v>-55.986960000000003</v>
      </c>
      <c r="J6384">
        <v>-237.58959999999999</v>
      </c>
      <c r="K6384">
        <v>1.1103400000000001</v>
      </c>
      <c r="L6384">
        <v>-63.186549999999997</v>
      </c>
      <c r="M6384">
        <v>0.99989499999999998</v>
      </c>
      <c r="N6384">
        <v>-1.4069430000000001E-2</v>
      </c>
      <c r="O6384">
        <v>3.4702600000000002E-3</v>
      </c>
      <c r="P6384">
        <v>0.97087100000000004</v>
      </c>
      <c r="Q6384">
        <v>0.2200754</v>
      </c>
      <c r="R6384">
        <v>9.4744620000000002E-2</v>
      </c>
      <c r="S6384">
        <v>3.0261230000000001</v>
      </c>
      <c r="T6384">
        <v>0.16783419999999999</v>
      </c>
      <c r="U6384">
        <v>0.27108759999999998</v>
      </c>
      <c r="V6384">
        <v>-9.128174E-2</v>
      </c>
      <c r="W6384">
        <v>0.23375409999999999</v>
      </c>
      <c r="X6384">
        <v>0.96800140000000001</v>
      </c>
      <c r="Y6384">
        <v>-8.5678950000000004E-2</v>
      </c>
      <c r="Z6384">
        <v>-1.5244799999999999E-3</v>
      </c>
      <c r="AA6384">
        <v>0.99632160000000003</v>
      </c>
      <c r="AB6384">
        <v>28</v>
      </c>
      <c r="AC6384">
        <v>80.239499999999893</v>
      </c>
      <c r="AD6384">
        <v>4.4576390000000004</v>
      </c>
      <c r="AE6384">
        <v>7.1995899999999997</v>
      </c>
      <c r="AF6384">
        <v>-6.8999421652038304</v>
      </c>
      <c r="AG6384">
        <v>4.4576390000000004</v>
      </c>
      <c r="AH6384">
        <v>80.019016049150395</v>
      </c>
      <c r="AI6384">
        <v>86.823269466381902</v>
      </c>
      <c r="AJ6384">
        <v>94.928354549799096</v>
      </c>
      <c r="AK6384">
        <v>80.439559153513898</v>
      </c>
      <c r="AL6384">
        <v>76.481807698914395</v>
      </c>
      <c r="AM6384">
        <v>95.387015101776001</v>
      </c>
      <c r="AN6384">
        <v>1.0000000228630901</v>
      </c>
    </row>
    <row r="6385" spans="1:40" x14ac:dyDescent="0.25">
      <c r="A6385" t="str">
        <f>"20190304155759984"</f>
        <v>20190304155759984</v>
      </c>
      <c r="B6385" t="str">
        <f>"1551686279981045"</f>
        <v>1551686279981045</v>
      </c>
      <c r="C6385" t="s">
        <v>40</v>
      </c>
      <c r="D6385">
        <v>4.774076</v>
      </c>
      <c r="E6385">
        <v>0.49958580000000002</v>
      </c>
      <c r="F6385" t="s">
        <v>73</v>
      </c>
      <c r="G6385">
        <v>-157.3501</v>
      </c>
      <c r="H6385">
        <v>5.4037689999999996</v>
      </c>
      <c r="I6385">
        <v>-55.839410000000001</v>
      </c>
      <c r="J6385">
        <v>-237.4452</v>
      </c>
      <c r="K6385">
        <v>1.110322</v>
      </c>
      <c r="L6385">
        <v>-63.186160000000001</v>
      </c>
      <c r="M6385">
        <v>0.99989550000000005</v>
      </c>
      <c r="N6385">
        <v>-1.4068219999999999E-2</v>
      </c>
      <c r="O6385">
        <v>3.3565119999999999E-3</v>
      </c>
      <c r="P6385">
        <v>0.97105969999999997</v>
      </c>
      <c r="Q6385">
        <v>0.2187201</v>
      </c>
      <c r="R6385">
        <v>9.594068E-2</v>
      </c>
      <c r="S6385">
        <v>3.0262600000000002</v>
      </c>
      <c r="T6385">
        <v>0.16192719999999999</v>
      </c>
      <c r="U6385">
        <v>0.277099599999999</v>
      </c>
      <c r="V6385">
        <v>-9.2583219999999994E-2</v>
      </c>
      <c r="W6385">
        <v>0.23240279999999999</v>
      </c>
      <c r="X6385">
        <v>0.96820309999999998</v>
      </c>
      <c r="Y6385">
        <v>-8.7756280000000006E-2</v>
      </c>
      <c r="Z6385">
        <v>-1.4961379999999999E-3</v>
      </c>
      <c r="AA6385">
        <v>0.99614080000000005</v>
      </c>
      <c r="AB6385">
        <v>28</v>
      </c>
      <c r="AC6385">
        <v>80.095100000000002</v>
      </c>
      <c r="AD6385">
        <v>4.2934469999999996</v>
      </c>
      <c r="AE6385">
        <v>7.3467500000000001</v>
      </c>
      <c r="AF6385">
        <v>-7.0577311803672904</v>
      </c>
      <c r="AG6385">
        <v>4.2934469999999996</v>
      </c>
      <c r="AH6385">
        <v>79.891663001523</v>
      </c>
      <c r="AI6385">
        <v>86.935745314655506</v>
      </c>
      <c r="AJ6385">
        <v>95.0484762244064</v>
      </c>
      <c r="AK6385">
        <v>80.317638621320597</v>
      </c>
      <c r="AL6385">
        <v>76.561423688796793</v>
      </c>
      <c r="AM6385">
        <v>95.4622295208857</v>
      </c>
      <c r="AN6385">
        <v>0.99999997846150801</v>
      </c>
    </row>
    <row r="6386" spans="1:40" x14ac:dyDescent="0.25">
      <c r="A6386" t="str">
        <f>"20190304155759997"</f>
        <v>20190304155759997</v>
      </c>
      <c r="B6386" t="str">
        <f>"1551686279990804"</f>
        <v>1551686279990804</v>
      </c>
      <c r="C6386" t="s">
        <v>40</v>
      </c>
      <c r="D6386">
        <v>4.8161459999999998</v>
      </c>
      <c r="E6386">
        <v>0.49914140000000001</v>
      </c>
      <c r="F6386" t="s">
        <v>73</v>
      </c>
      <c r="G6386">
        <v>-157.3501</v>
      </c>
      <c r="H6386">
        <v>5.0382569999999998</v>
      </c>
      <c r="I6386">
        <v>-55.635429999999999</v>
      </c>
      <c r="J6386">
        <v>-237.30789999999999</v>
      </c>
      <c r="K6386">
        <v>1.110304</v>
      </c>
      <c r="L6386">
        <v>-63.1858199999999</v>
      </c>
      <c r="M6386">
        <v>0.99989589999999995</v>
      </c>
      <c r="N6386">
        <v>-1.406702E-2</v>
      </c>
      <c r="O6386">
        <v>3.2439880000000002E-3</v>
      </c>
      <c r="P6386">
        <v>0.97128599999999998</v>
      </c>
      <c r="Q6386">
        <v>0.2171022</v>
      </c>
      <c r="R6386">
        <v>9.7314330000000004E-2</v>
      </c>
      <c r="S6386">
        <v>3.0277400000000001</v>
      </c>
      <c r="T6386">
        <v>0.14848220000000001</v>
      </c>
      <c r="U6386">
        <v>0.28543089999999999</v>
      </c>
      <c r="V6386">
        <v>-9.4062080000000006E-2</v>
      </c>
      <c r="W6386">
        <v>0.2307891</v>
      </c>
      <c r="X6386">
        <v>0.96844660000000005</v>
      </c>
      <c r="Y6386">
        <v>-9.0554999999999997E-2</v>
      </c>
      <c r="Z6386">
        <v>-1.3714370000000001E-3</v>
      </c>
      <c r="AA6386">
        <v>0.99589050000000001</v>
      </c>
      <c r="AB6386">
        <v>28</v>
      </c>
      <c r="AC6386">
        <v>79.957799999999907</v>
      </c>
      <c r="AD6386">
        <v>3.927953</v>
      </c>
      <c r="AE6386">
        <v>7.5503899999999797</v>
      </c>
      <c r="AF6386">
        <v>-7.2735443914190201</v>
      </c>
      <c r="AG6386">
        <v>3.927953</v>
      </c>
      <c r="AH6386">
        <v>79.791017389838402</v>
      </c>
      <c r="AI6386">
        <v>87.193336318003702</v>
      </c>
      <c r="AJ6386">
        <v>95.208540964016393</v>
      </c>
      <c r="AK6386">
        <v>80.218076010894507</v>
      </c>
      <c r="AL6386">
        <v>76.656466880632806</v>
      </c>
      <c r="AM6386">
        <v>95.547552587296707</v>
      </c>
      <c r="AN6386">
        <v>1.00000005031214</v>
      </c>
    </row>
    <row r="6387" spans="1:40" x14ac:dyDescent="0.25">
      <c r="A6387" t="str">
        <f>"20190304155800008"</f>
        <v>20190304155800008</v>
      </c>
      <c r="B6387" t="str">
        <f>"1551686280000565"</f>
        <v>1551686280000565</v>
      </c>
      <c r="C6387" t="s">
        <v>40</v>
      </c>
      <c r="D6387">
        <v>4.7939290000000003</v>
      </c>
      <c r="E6387">
        <v>0.49878220000000001</v>
      </c>
      <c r="F6387" t="s">
        <v>73</v>
      </c>
      <c r="G6387">
        <v>-157.3501</v>
      </c>
      <c r="H6387">
        <v>4.7402939999999996</v>
      </c>
      <c r="I6387">
        <v>-55.447119999999998</v>
      </c>
      <c r="J6387">
        <v>-237.1653</v>
      </c>
      <c r="K6387">
        <v>1.1102909999999999</v>
      </c>
      <c r="L6387">
        <v>-63.185490000000001</v>
      </c>
      <c r="M6387">
        <v>0.99989629999999996</v>
      </c>
      <c r="N6387">
        <v>-1.406576E-2</v>
      </c>
      <c r="O6387">
        <v>3.1243830000000001E-3</v>
      </c>
      <c r="P6387">
        <v>0.97147260000000002</v>
      </c>
      <c r="Q6387">
        <v>0.21559310000000001</v>
      </c>
      <c r="R6387">
        <v>9.8796019999999998E-2</v>
      </c>
      <c r="S6387">
        <v>3.0285950000000001</v>
      </c>
      <c r="T6387">
        <v>0.1374937</v>
      </c>
      <c r="U6387">
        <v>0.29312129999999997</v>
      </c>
      <c r="V6387">
        <v>-9.5656829999999998E-2</v>
      </c>
      <c r="W6387">
        <v>0.22928409999999999</v>
      </c>
      <c r="X6387">
        <v>0.96864779999999995</v>
      </c>
      <c r="Y6387">
        <v>-9.3163910000000003E-2</v>
      </c>
      <c r="Z6387">
        <v>-1.2664919999999999E-3</v>
      </c>
      <c r="AA6387">
        <v>0.99565000000000003</v>
      </c>
      <c r="AB6387">
        <v>28</v>
      </c>
      <c r="AC6387">
        <v>79.815200000000004</v>
      </c>
      <c r="AD6387">
        <v>3.6300029999999999</v>
      </c>
      <c r="AE6387">
        <v>7.7383699999999997</v>
      </c>
      <c r="AF6387">
        <v>-7.4736195544701802</v>
      </c>
      <c r="AG6387">
        <v>3.6300029999999999</v>
      </c>
      <c r="AH6387">
        <v>79.675720726349297</v>
      </c>
      <c r="AI6387">
        <v>87.402809560899399</v>
      </c>
      <c r="AJ6387">
        <v>95.358691198881999</v>
      </c>
      <c r="AK6387">
        <v>80.107754832401696</v>
      </c>
      <c r="AL6387">
        <v>76.745072523216905</v>
      </c>
      <c r="AM6387">
        <v>95.639841299698503</v>
      </c>
      <c r="AN6387">
        <v>0.99999999404164897</v>
      </c>
    </row>
    <row r="6388" spans="1:40" x14ac:dyDescent="0.25">
      <c r="A6388" t="str">
        <f>"20190304155800021"</f>
        <v>20190304155800021</v>
      </c>
      <c r="B6388" t="str">
        <f>"1551686280011300"</f>
        <v>1551686280011300</v>
      </c>
      <c r="C6388" t="s">
        <v>40</v>
      </c>
      <c r="D6388">
        <v>4.7440429999999996</v>
      </c>
      <c r="E6388">
        <v>0.49871460000000001</v>
      </c>
      <c r="F6388" t="s">
        <v>73</v>
      </c>
      <c r="G6388">
        <v>-157.3501</v>
      </c>
      <c r="H6388">
        <v>4.4057309999999896</v>
      </c>
      <c r="I6388">
        <v>-55.2690699999999</v>
      </c>
      <c r="J6388">
        <v>-237.0206</v>
      </c>
      <c r="K6388">
        <v>1.1102810000000001</v>
      </c>
      <c r="L6388">
        <v>-63.18515</v>
      </c>
      <c r="M6388">
        <v>0.99989660000000002</v>
      </c>
      <c r="N6388">
        <v>-1.4064429999999999E-2</v>
      </c>
      <c r="O6388">
        <v>2.9984370000000001E-3</v>
      </c>
      <c r="P6388">
        <v>0.97151330000000002</v>
      </c>
      <c r="Q6388">
        <v>0.21481439999999999</v>
      </c>
      <c r="R6388">
        <v>0.1000838</v>
      </c>
      <c r="S6388">
        <v>3.029785</v>
      </c>
      <c r="T6388">
        <v>0.12509389999999901</v>
      </c>
      <c r="U6388">
        <v>0.30050660000000001</v>
      </c>
      <c r="V6388">
        <v>-9.7064800000000007E-2</v>
      </c>
      <c r="W6388">
        <v>0.22850609999999999</v>
      </c>
      <c r="X6388">
        <v>0.96869159999999999</v>
      </c>
      <c r="Y6388">
        <v>-9.5666849999999998E-2</v>
      </c>
      <c r="Z6388">
        <v>-1.1291789999999999E-3</v>
      </c>
      <c r="AA6388">
        <v>0.99541279999999999</v>
      </c>
      <c r="AB6388">
        <v>28</v>
      </c>
      <c r="AC6388">
        <v>79.670500000000004</v>
      </c>
      <c r="AD6388">
        <v>3.2954500000000002</v>
      </c>
      <c r="AE6388">
        <v>7.91608</v>
      </c>
      <c r="AF6388">
        <v>-7.66414910736707</v>
      </c>
      <c r="AG6388">
        <v>3.2954500000000002</v>
      </c>
      <c r="AH6388">
        <v>79.559090007601</v>
      </c>
      <c r="AI6388">
        <v>87.639000995125599</v>
      </c>
      <c r="AJ6388">
        <v>95.502483185050707</v>
      </c>
      <c r="AK6388">
        <v>79.9952997061704</v>
      </c>
      <c r="AL6388">
        <v>76.790864640059496</v>
      </c>
      <c r="AM6388">
        <v>95.722049973304607</v>
      </c>
      <c r="AN6388">
        <v>1.0000000145234</v>
      </c>
    </row>
    <row r="6389" spans="1:40" x14ac:dyDescent="0.25">
      <c r="A6389" t="str">
        <f>"20190304155800033"</f>
        <v>20190304155800033</v>
      </c>
      <c r="B6389" t="str">
        <f>"1551686280030821"</f>
        <v>1551686280030821</v>
      </c>
      <c r="C6389" t="s">
        <v>40</v>
      </c>
      <c r="D6389">
        <v>4.7839900000000002</v>
      </c>
      <c r="E6389">
        <v>0.49824810000000003</v>
      </c>
      <c r="F6389" t="s">
        <v>73</v>
      </c>
      <c r="G6389">
        <v>-157.3501</v>
      </c>
      <c r="H6389">
        <v>4.1981120000000001</v>
      </c>
      <c r="I6389">
        <v>-55.164729999999999</v>
      </c>
      <c r="J6389">
        <v>-236.85910000000001</v>
      </c>
      <c r="K6389">
        <v>1.110276</v>
      </c>
      <c r="L6389">
        <v>-63.184780000000003</v>
      </c>
      <c r="M6389">
        <v>0.99989709999999998</v>
      </c>
      <c r="N6389">
        <v>-1.406293E-2</v>
      </c>
      <c r="O6389">
        <v>2.8561099999999998E-3</v>
      </c>
      <c r="P6389">
        <v>0.97136829999999996</v>
      </c>
      <c r="Q6389">
        <v>0.2148082</v>
      </c>
      <c r="R6389">
        <v>0.10149469999999999</v>
      </c>
      <c r="S6389">
        <v>3.030548</v>
      </c>
      <c r="T6389">
        <v>0.11745559999999999</v>
      </c>
      <c r="U6389">
        <v>0.30508420000000003</v>
      </c>
      <c r="V6389">
        <v>-9.8612249999999999E-2</v>
      </c>
      <c r="W6389">
        <v>0.2284978</v>
      </c>
      <c r="X6389">
        <v>0.96853719999999999</v>
      </c>
      <c r="Y6389">
        <v>-9.7279030000000002E-2</v>
      </c>
      <c r="Z6389">
        <v>-1.043329E-3</v>
      </c>
      <c r="AA6389">
        <v>0.99525660000000005</v>
      </c>
      <c r="AB6389">
        <v>28</v>
      </c>
      <c r="AC6389">
        <v>79.509</v>
      </c>
      <c r="AD6389">
        <v>3.0878359999999998</v>
      </c>
      <c r="AE6389">
        <v>8.0200499999999906</v>
      </c>
      <c r="AF6389">
        <v>-7.7812903989179203</v>
      </c>
      <c r="AG6389">
        <v>3.0878359999999998</v>
      </c>
      <c r="AH6389">
        <v>79.413015076418304</v>
      </c>
      <c r="AI6389">
        <v>87.783878219144697</v>
      </c>
      <c r="AJ6389">
        <v>95.596266934292103</v>
      </c>
      <c r="AK6389">
        <v>79.853053635804301</v>
      </c>
      <c r="AL6389">
        <v>76.791352440653597</v>
      </c>
      <c r="AM6389">
        <v>95.813573923318003</v>
      </c>
      <c r="AN6389">
        <v>0.99999996411936998</v>
      </c>
    </row>
    <row r="6390" spans="1:40" x14ac:dyDescent="0.25">
      <c r="A6390" t="str">
        <f>"20190304155800045"</f>
        <v>20190304155800045</v>
      </c>
      <c r="B6390" t="str">
        <f>"1551686280041557"</f>
        <v>1551686280041557</v>
      </c>
      <c r="C6390" t="s">
        <v>40</v>
      </c>
      <c r="D6390">
        <v>4.775201</v>
      </c>
      <c r="E6390">
        <v>0.49806400000000001</v>
      </c>
      <c r="F6390" t="s">
        <v>73</v>
      </c>
      <c r="G6390">
        <v>-157.3501</v>
      </c>
      <c r="H6390">
        <v>3.820414</v>
      </c>
      <c r="I6390">
        <v>-54.970610000000001</v>
      </c>
      <c r="J6390">
        <v>-236.7175</v>
      </c>
      <c r="K6390">
        <v>1.110274</v>
      </c>
      <c r="L6390">
        <v>-63.184539999999998</v>
      </c>
      <c r="M6390">
        <v>0.99989760000000005</v>
      </c>
      <c r="N6390">
        <v>-1.4061590000000001E-2</v>
      </c>
      <c r="O6390">
        <v>2.7288360000000001E-3</v>
      </c>
      <c r="P6390">
        <v>0.97126020000000002</v>
      </c>
      <c r="Q6390">
        <v>0.21465609999999999</v>
      </c>
      <c r="R6390">
        <v>0.1028423</v>
      </c>
      <c r="S6390">
        <v>3.0328219999999999</v>
      </c>
      <c r="T6390">
        <v>0.1033757</v>
      </c>
      <c r="U6390">
        <v>0.31332399999999999</v>
      </c>
      <c r="V6390">
        <v>-0.10008259999999999</v>
      </c>
      <c r="W6390">
        <v>0.22834370000000001</v>
      </c>
      <c r="X6390">
        <v>0.96842280000000003</v>
      </c>
      <c r="Y6390">
        <v>-0.1000186</v>
      </c>
      <c r="Z6390">
        <v>-8.6336140000000002E-4</v>
      </c>
      <c r="AA6390">
        <v>0.99498520000000001</v>
      </c>
      <c r="AB6390">
        <v>28</v>
      </c>
      <c r="AC6390">
        <v>79.367400000000004</v>
      </c>
      <c r="AD6390">
        <v>2.71014</v>
      </c>
      <c r="AE6390">
        <v>8.2139299999999995</v>
      </c>
      <c r="AF6390">
        <v>-7.9880820064671401</v>
      </c>
      <c r="AG6390">
        <v>2.71014</v>
      </c>
      <c r="AH6390">
        <v>79.298039307813298</v>
      </c>
      <c r="AI6390">
        <v>88.052433936704901</v>
      </c>
      <c r="AJ6390">
        <v>95.752281259936098</v>
      </c>
      <c r="AK6390">
        <v>79.745428402041597</v>
      </c>
      <c r="AL6390">
        <v>76.800422581738403</v>
      </c>
      <c r="AM6390">
        <v>95.900341796474606</v>
      </c>
      <c r="AN6390">
        <v>1.00000004585614</v>
      </c>
    </row>
    <row r="6391" spans="1:40" x14ac:dyDescent="0.25">
      <c r="A6391" t="str">
        <f>"20190304155800055"</f>
        <v>20190304155800055</v>
      </c>
      <c r="B6391" t="str">
        <f>"1551686280051317"</f>
        <v>1551686280051317</v>
      </c>
      <c r="C6391" t="s">
        <v>40</v>
      </c>
      <c r="D6391">
        <v>4.7768629999999996</v>
      </c>
      <c r="E6391">
        <v>0.49795089999999997</v>
      </c>
      <c r="F6391" t="s">
        <v>73</v>
      </c>
      <c r="G6391">
        <v>-157.3501</v>
      </c>
      <c r="H6391">
        <v>3.6636649999999999</v>
      </c>
      <c r="I6391">
        <v>-54.830910000000003</v>
      </c>
      <c r="J6391">
        <v>-236.5933</v>
      </c>
      <c r="K6391">
        <v>1.110279</v>
      </c>
      <c r="L6391">
        <v>-63.1843</v>
      </c>
      <c r="M6391">
        <v>0.99989779999999995</v>
      </c>
      <c r="N6391">
        <v>-1.4060400000000001E-2</v>
      </c>
      <c r="O6391">
        <v>2.6170709999999999E-3</v>
      </c>
      <c r="P6391">
        <v>0.9710394</v>
      </c>
      <c r="Q6391">
        <v>0.21502089999999999</v>
      </c>
      <c r="R6391">
        <v>0.10415720000000001</v>
      </c>
      <c r="S6391">
        <v>3.033417</v>
      </c>
      <c r="T6391">
        <v>9.7589609999999993E-2</v>
      </c>
      <c r="U6391">
        <v>0.31927489999999997</v>
      </c>
      <c r="V6391">
        <v>-0.1015057</v>
      </c>
      <c r="W6391">
        <v>0.2287053</v>
      </c>
      <c r="X6391">
        <v>0.96818930000000003</v>
      </c>
      <c r="Y6391">
        <v>-0.1020446</v>
      </c>
      <c r="Z6391">
        <v>-7.9639259999999905E-4</v>
      </c>
      <c r="AA6391">
        <v>0.99477950000000004</v>
      </c>
      <c r="AB6391">
        <v>28</v>
      </c>
      <c r="AC6391">
        <v>79.243200000000002</v>
      </c>
      <c r="AD6391">
        <v>2.5533860000000002</v>
      </c>
      <c r="AE6391">
        <v>8.3533899999999992</v>
      </c>
      <c r="AF6391">
        <v>-8.1375996771632799</v>
      </c>
      <c r="AG6391">
        <v>2.5533860000000002</v>
      </c>
      <c r="AH6391">
        <v>79.183482111232294</v>
      </c>
      <c r="AI6391">
        <v>88.162724624025202</v>
      </c>
      <c r="AJ6391">
        <v>95.867625453559697</v>
      </c>
      <c r="AK6391">
        <v>79.641472536804699</v>
      </c>
      <c r="AL6391">
        <v>76.779140952067095</v>
      </c>
      <c r="AM6391">
        <v>95.985068393605104</v>
      </c>
      <c r="AN6391">
        <v>1.0000000210075299</v>
      </c>
    </row>
    <row r="6392" spans="1:40" x14ac:dyDescent="0.25">
      <c r="A6392" t="str">
        <f>"20190304155800064"</f>
        <v>20190304155800064</v>
      </c>
      <c r="B6392" t="str">
        <f>"1551686280061076"</f>
        <v>1551686280061076</v>
      </c>
      <c r="C6392" t="s">
        <v>40</v>
      </c>
      <c r="D6392">
        <v>4.8138180000000004</v>
      </c>
      <c r="E6392">
        <v>0.49784129999999899</v>
      </c>
      <c r="F6392" t="s">
        <v>73</v>
      </c>
      <c r="G6392">
        <v>-157.3501</v>
      </c>
      <c r="H6392">
        <v>3.5766680000000002</v>
      </c>
      <c r="I6392">
        <v>-54.706000000000003</v>
      </c>
      <c r="J6392">
        <v>-236.4795</v>
      </c>
      <c r="K6392">
        <v>1.110284</v>
      </c>
      <c r="L6392">
        <v>-63.184109999999997</v>
      </c>
      <c r="M6392">
        <v>0.99989799999999995</v>
      </c>
      <c r="N6392">
        <v>-1.405929E-2</v>
      </c>
      <c r="O6392">
        <v>2.514198E-3</v>
      </c>
      <c r="P6392">
        <v>0.97082809999999997</v>
      </c>
      <c r="Q6392">
        <v>0.2153766</v>
      </c>
      <c r="R6392">
        <v>0.1053847</v>
      </c>
      <c r="S6392">
        <v>3.0337679999999998</v>
      </c>
      <c r="T6392">
        <v>9.4423060000000003E-2</v>
      </c>
      <c r="U6392">
        <v>0.32458500000000001</v>
      </c>
      <c r="V6392">
        <v>-0.1028338</v>
      </c>
      <c r="W6392">
        <v>0.22905710000000001</v>
      </c>
      <c r="X6392">
        <v>0.96796590000000005</v>
      </c>
      <c r="Y6392">
        <v>-0.10385850000000001</v>
      </c>
      <c r="Z6392">
        <v>-7.6571820000000004E-4</v>
      </c>
      <c r="AA6392">
        <v>0.99459180000000003</v>
      </c>
      <c r="AB6392">
        <v>27</v>
      </c>
      <c r="AC6392">
        <v>79.129400000000004</v>
      </c>
      <c r="AD6392">
        <v>2.4663840000000001</v>
      </c>
      <c r="AE6392">
        <v>8.4781099999999903</v>
      </c>
      <c r="AF6392">
        <v>-8.2711722539764807</v>
      </c>
      <c r="AG6392">
        <v>2.4663840000000001</v>
      </c>
      <c r="AH6392">
        <v>79.074518073393804</v>
      </c>
      <c r="AI6392">
        <v>88.223175257252805</v>
      </c>
      <c r="AJ6392">
        <v>95.971407606376303</v>
      </c>
      <c r="AK6392">
        <v>79.544168541948395</v>
      </c>
      <c r="AL6392">
        <v>76.7584338732117</v>
      </c>
      <c r="AM6392">
        <v>96.064186305134797</v>
      </c>
      <c r="AN6392">
        <v>0.99999996452282902</v>
      </c>
    </row>
    <row r="6393" spans="1:40" x14ac:dyDescent="0.25">
      <c r="A6393" t="str">
        <f>"20190304155800075"</f>
        <v>20190304155800075</v>
      </c>
      <c r="B6393" t="str">
        <f>"1551686280070837"</f>
        <v>1551686280070837</v>
      </c>
      <c r="C6393" t="s">
        <v>40</v>
      </c>
      <c r="D6393">
        <v>4.7264799999999996</v>
      </c>
      <c r="E6393">
        <v>0.49774869999999999</v>
      </c>
      <c r="F6393" t="s">
        <v>73</v>
      </c>
      <c r="G6393">
        <v>-157.45060000000001</v>
      </c>
      <c r="H6393">
        <v>3.5132150000000002</v>
      </c>
      <c r="I6393">
        <v>-54.603529999999999</v>
      </c>
      <c r="J6393">
        <v>-236.3459</v>
      </c>
      <c r="K6393">
        <v>1.11029</v>
      </c>
      <c r="L6393">
        <v>-63.183869999999999</v>
      </c>
      <c r="M6393">
        <v>0.99989839999999997</v>
      </c>
      <c r="N6393">
        <v>-1.4057989999999999E-2</v>
      </c>
      <c r="O6393">
        <v>2.393807E-3</v>
      </c>
      <c r="P6393">
        <v>0.97058089999999997</v>
      </c>
      <c r="Q6393">
        <v>0.21596270000000001</v>
      </c>
      <c r="R6393">
        <v>0.10645590000000001</v>
      </c>
      <c r="S6393">
        <v>3.0339049999999999</v>
      </c>
      <c r="T6393">
        <v>9.2247250000000003E-2</v>
      </c>
      <c r="U6393">
        <v>0.3294067</v>
      </c>
      <c r="V6393">
        <v>-0.1040219</v>
      </c>
      <c r="W6393">
        <v>0.2296396</v>
      </c>
      <c r="X6393">
        <v>0.96770089999999997</v>
      </c>
      <c r="Y6393">
        <v>-0.10553700000000001</v>
      </c>
      <c r="Z6393">
        <v>-7.4916640000000003E-4</v>
      </c>
      <c r="AA6393">
        <v>0.9944151</v>
      </c>
      <c r="AB6393">
        <v>27</v>
      </c>
      <c r="AC6393">
        <v>78.895299999999907</v>
      </c>
      <c r="AD6393">
        <v>2.4029250000000002</v>
      </c>
      <c r="AE6393">
        <v>8.5803399999999908</v>
      </c>
      <c r="AF6393">
        <v>-8.3837504728435004</v>
      </c>
      <c r="AG6393">
        <v>2.4029250000000002</v>
      </c>
      <c r="AH6393">
        <v>78.843332558585601</v>
      </c>
      <c r="AI6393">
        <v>88.264104959425097</v>
      </c>
      <c r="AJ6393">
        <v>96.069698444423693</v>
      </c>
      <c r="AK6393">
        <v>79.324223346278302</v>
      </c>
      <c r="AL6393">
        <v>76.724145121638998</v>
      </c>
      <c r="AM6393">
        <v>96.135385266322601</v>
      </c>
      <c r="AN6393">
        <v>0.99999996671428903</v>
      </c>
    </row>
    <row r="6394" spans="1:40" x14ac:dyDescent="0.25">
      <c r="A6394" t="str">
        <f>"20190304155800085"</f>
        <v>20190304155800085</v>
      </c>
      <c r="B6394" t="str">
        <f>"1551686280080597"</f>
        <v>1551686280080597</v>
      </c>
      <c r="C6394" t="s">
        <v>40</v>
      </c>
      <c r="D6394">
        <v>4.7511369999999999</v>
      </c>
      <c r="E6394">
        <v>0.49760769999999999</v>
      </c>
      <c r="F6394" t="s">
        <v>73</v>
      </c>
      <c r="G6394">
        <v>-157.9383</v>
      </c>
      <c r="H6394">
        <v>3.4452349999999998</v>
      </c>
      <c r="I6394">
        <v>-54.563679999999998</v>
      </c>
      <c r="J6394">
        <v>-236.2131</v>
      </c>
      <c r="K6394">
        <v>1.1103000000000001</v>
      </c>
      <c r="L6394">
        <v>-63.183689999999999</v>
      </c>
      <c r="M6394">
        <v>0.99989870000000003</v>
      </c>
      <c r="N6394">
        <v>-1.405667E-2</v>
      </c>
      <c r="O6394">
        <v>2.2742550000000002E-3</v>
      </c>
      <c r="P6394">
        <v>0.97035090000000002</v>
      </c>
      <c r="Q6394">
        <v>0.21660499999999999</v>
      </c>
      <c r="R6394">
        <v>0.1072452</v>
      </c>
      <c r="S6394">
        <v>3.0342560000000001</v>
      </c>
      <c r="T6394">
        <v>9.0357900000000005E-2</v>
      </c>
      <c r="U6394">
        <v>0.33358759999999998</v>
      </c>
      <c r="V6394">
        <v>-0.1049271</v>
      </c>
      <c r="W6394">
        <v>0.2302777</v>
      </c>
      <c r="X6394">
        <v>0.96745159999999997</v>
      </c>
      <c r="Y6394">
        <v>-0.1069985</v>
      </c>
      <c r="Z6394">
        <v>-7.3426109999999998E-4</v>
      </c>
      <c r="AA6394">
        <v>0.99425889999999995</v>
      </c>
      <c r="AB6394">
        <v>27</v>
      </c>
      <c r="AC6394">
        <v>78.274799999999999</v>
      </c>
      <c r="AD6394">
        <v>2.3349350000000002</v>
      </c>
      <c r="AE6394">
        <v>8.6200100000000006</v>
      </c>
      <c r="AF6394">
        <v>-8.4345379223295094</v>
      </c>
      <c r="AG6394">
        <v>2.3349350000000002</v>
      </c>
      <c r="AH6394">
        <v>78.225430501518602</v>
      </c>
      <c r="AI6394">
        <v>88.300144331308402</v>
      </c>
      <c r="AJ6394">
        <v>96.154054852931793</v>
      </c>
      <c r="AK6394">
        <v>78.713476156026502</v>
      </c>
      <c r="AL6394">
        <v>76.686579118670394</v>
      </c>
      <c r="AM6394">
        <v>96.189945272168501</v>
      </c>
      <c r="AN6394">
        <v>1.0000000568871199</v>
      </c>
    </row>
    <row r="6395" spans="1:40" x14ac:dyDescent="0.25">
      <c r="A6395" t="str">
        <f>"20190304155800097"</f>
        <v>20190304155800097</v>
      </c>
      <c r="B6395" t="str">
        <f>"1551686280091332"</f>
        <v>1551686280091332</v>
      </c>
      <c r="C6395" t="s">
        <v>40</v>
      </c>
      <c r="D6395">
        <v>4.7852079999999999</v>
      </c>
      <c r="E6395">
        <v>0.49757269999999998</v>
      </c>
      <c r="F6395" t="s">
        <v>73</v>
      </c>
      <c r="G6395">
        <v>-157.9383</v>
      </c>
      <c r="H6395">
        <v>3.3950300000000002</v>
      </c>
      <c r="I6395">
        <v>-54.485509999999998</v>
      </c>
      <c r="J6395">
        <v>-236.07570000000001</v>
      </c>
      <c r="K6395">
        <v>1.110301</v>
      </c>
      <c r="L6395">
        <v>-63.183500000000002</v>
      </c>
      <c r="M6395">
        <v>0.99989890000000003</v>
      </c>
      <c r="N6395">
        <v>-1.405529E-2</v>
      </c>
      <c r="O6395">
        <v>2.1514889999999999E-3</v>
      </c>
      <c r="P6395">
        <v>0.97009069999999997</v>
      </c>
      <c r="Q6395">
        <v>0.21763950000000001</v>
      </c>
      <c r="R6395">
        <v>0.10750469999999999</v>
      </c>
      <c r="S6395">
        <v>3.034637</v>
      </c>
      <c r="T6395">
        <v>8.8575840000000003E-2</v>
      </c>
      <c r="U6395">
        <v>0.3372192</v>
      </c>
      <c r="V6395">
        <v>-0.1053062</v>
      </c>
      <c r="W6395">
        <v>0.23130680000000001</v>
      </c>
      <c r="X6395">
        <v>0.96716480000000005</v>
      </c>
      <c r="Y6395">
        <v>-0.1082834</v>
      </c>
      <c r="Z6395">
        <v>-7.1895879999999996E-4</v>
      </c>
      <c r="AA6395">
        <v>0.9941198</v>
      </c>
      <c r="AB6395">
        <v>27</v>
      </c>
      <c r="AC6395">
        <v>78.1374</v>
      </c>
      <c r="AD6395">
        <v>2.284729</v>
      </c>
      <c r="AE6395">
        <v>8.6979900000000008</v>
      </c>
      <c r="AF6395">
        <v>-8.5226440707636808</v>
      </c>
      <c r="AG6395">
        <v>2.284729</v>
      </c>
      <c r="AH6395">
        <v>78.089987089892702</v>
      </c>
      <c r="AI6395">
        <v>88.334025525421794</v>
      </c>
      <c r="AJ6395">
        <v>96.228538252065604</v>
      </c>
      <c r="AK6395">
        <v>78.586904330556095</v>
      </c>
      <c r="AL6395">
        <v>76.625979143527601</v>
      </c>
      <c r="AM6395">
        <v>96.213962623409699</v>
      </c>
      <c r="AN6395">
        <v>0.99999999092185998</v>
      </c>
    </row>
    <row r="6396" spans="1:40" x14ac:dyDescent="0.25">
      <c r="A6396" t="str">
        <f>"20190304155800107"</f>
        <v>20190304155800107</v>
      </c>
      <c r="B6396" t="str">
        <f>"1551686280101092"</f>
        <v>1551686280101092</v>
      </c>
      <c r="C6396" t="s">
        <v>40</v>
      </c>
      <c r="D6396">
        <v>4.7737949999999998</v>
      </c>
      <c r="E6396">
        <v>0.4975773</v>
      </c>
      <c r="F6396" t="s">
        <v>73</v>
      </c>
      <c r="G6396">
        <v>-157.9383</v>
      </c>
      <c r="H6396">
        <v>3.3815119999999999</v>
      </c>
      <c r="I6396">
        <v>-54.473140000000001</v>
      </c>
      <c r="J6396">
        <v>-235.93729999999999</v>
      </c>
      <c r="K6396">
        <v>1.1103050000000001</v>
      </c>
      <c r="L6396">
        <v>-63.183320000000002</v>
      </c>
      <c r="M6396">
        <v>0.99989919999999999</v>
      </c>
      <c r="N6396">
        <v>-1.4053909999999999E-2</v>
      </c>
      <c r="O6396">
        <v>2.0284270000000002E-3</v>
      </c>
      <c r="P6396">
        <v>0.97034739999999997</v>
      </c>
      <c r="Q6396">
        <v>0.21613280000000001</v>
      </c>
      <c r="R6396">
        <v>0.1082254</v>
      </c>
      <c r="S6396">
        <v>3.035202</v>
      </c>
      <c r="T6396">
        <v>8.8222980000000006E-2</v>
      </c>
      <c r="U6396">
        <v>0.33834839999999999</v>
      </c>
      <c r="V6396">
        <v>-0.1061465</v>
      </c>
      <c r="W6396">
        <v>0.22980300000000001</v>
      </c>
      <c r="X6396">
        <v>0.96743140000000005</v>
      </c>
      <c r="Y6396">
        <v>-0.10875079999999999</v>
      </c>
      <c r="Z6396">
        <v>-7.2145599999999999E-4</v>
      </c>
      <c r="AA6396">
        <v>0.99406879999999997</v>
      </c>
      <c r="AB6396">
        <v>27</v>
      </c>
      <c r="AC6396">
        <v>77.998999999999995</v>
      </c>
      <c r="AD6396">
        <v>2.271207</v>
      </c>
      <c r="AE6396">
        <v>8.7101799999999905</v>
      </c>
      <c r="AF6396">
        <v>-8.5447754490923593</v>
      </c>
      <c r="AG6396">
        <v>2.271207</v>
      </c>
      <c r="AH6396">
        <v>77.951229828104402</v>
      </c>
      <c r="AI6396">
        <v>88.341019329088695</v>
      </c>
      <c r="AJ6396">
        <v>96.255612379588598</v>
      </c>
      <c r="AK6396">
        <v>78.451040786124807</v>
      </c>
      <c r="AL6396">
        <v>76.714526265729702</v>
      </c>
      <c r="AM6396">
        <v>96.261442702558796</v>
      </c>
      <c r="AN6396">
        <v>1.0000000059886001</v>
      </c>
    </row>
    <row r="6397" spans="1:40" x14ac:dyDescent="0.25">
      <c r="A6397" t="str">
        <f>"20190304155800119"</f>
        <v>20190304155800119</v>
      </c>
      <c r="B6397" t="str">
        <f>"1551686280110853"</f>
        <v>1551686280110853</v>
      </c>
      <c r="C6397" t="s">
        <v>40</v>
      </c>
      <c r="D6397">
        <v>4.690226</v>
      </c>
      <c r="E6397">
        <v>0.4976566</v>
      </c>
      <c r="F6397" t="s">
        <v>73</v>
      </c>
      <c r="G6397">
        <v>-157.9383</v>
      </c>
      <c r="H6397">
        <v>3.200377</v>
      </c>
      <c r="I6397">
        <v>-54.43938</v>
      </c>
      <c r="J6397">
        <v>-235.8014</v>
      </c>
      <c r="K6397">
        <v>1.110314</v>
      </c>
      <c r="L6397">
        <v>-63.183169999999997</v>
      </c>
      <c r="M6397">
        <v>0.9998996</v>
      </c>
      <c r="N6397">
        <v>-1.4052540000000001E-2</v>
      </c>
      <c r="O6397">
        <v>1.908704E-3</v>
      </c>
      <c r="P6397">
        <v>0.97059960000000001</v>
      </c>
      <c r="Q6397">
        <v>0.2147578</v>
      </c>
      <c r="R6397">
        <v>0.1087014</v>
      </c>
      <c r="S6397">
        <v>3.0356139999999998</v>
      </c>
      <c r="T6397">
        <v>8.1341860000000002E-2</v>
      </c>
      <c r="U6397">
        <v>0.34030149999999998</v>
      </c>
      <c r="V6397">
        <v>-0.10673920000000001</v>
      </c>
      <c r="W6397">
        <v>0.2284301</v>
      </c>
      <c r="X6397">
        <v>0.96769130000000003</v>
      </c>
      <c r="Y6397">
        <v>-0.1094913</v>
      </c>
      <c r="Z6397">
        <v>-6.1258790000000003E-4</v>
      </c>
      <c r="AA6397">
        <v>0.99398759999999997</v>
      </c>
      <c r="AB6397">
        <v>27</v>
      </c>
      <c r="AC6397">
        <v>77.863100000000003</v>
      </c>
      <c r="AD6397">
        <v>2.0900629999999998</v>
      </c>
      <c r="AE6397">
        <v>8.74378999999999</v>
      </c>
      <c r="AF6397">
        <v>-8.5890301773976798</v>
      </c>
      <c r="AG6397">
        <v>2.0900629999999998</v>
      </c>
      <c r="AH6397">
        <v>77.824272276366003</v>
      </c>
      <c r="AI6397">
        <v>88.470903563743903</v>
      </c>
      <c r="AJ6397">
        <v>96.2979274158198</v>
      </c>
      <c r="AK6397">
        <v>78.324690603143594</v>
      </c>
      <c r="AL6397">
        <v>76.795337353770606</v>
      </c>
      <c r="AM6397">
        <v>96.294447865805097</v>
      </c>
      <c r="AN6397">
        <v>1.0000000097491699</v>
      </c>
    </row>
    <row r="6398" spans="1:40" x14ac:dyDescent="0.25">
      <c r="A6398" t="str">
        <f>"20190304155800130"</f>
        <v>20190304155800130</v>
      </c>
      <c r="B6398" t="str">
        <f>"1551686280120613"</f>
        <v>1551686280120613</v>
      </c>
      <c r="C6398" t="s">
        <v>40</v>
      </c>
      <c r="D6398">
        <v>4.6858469999999999</v>
      </c>
      <c r="E6398">
        <v>0.49775530000000001</v>
      </c>
      <c r="F6398" t="s">
        <v>73</v>
      </c>
      <c r="G6398">
        <v>-157.9383</v>
      </c>
      <c r="H6398">
        <v>3.024035</v>
      </c>
      <c r="I6398">
        <v>-54.457129999999999</v>
      </c>
      <c r="J6398">
        <v>-235.66890000000001</v>
      </c>
      <c r="K6398">
        <v>1.110333</v>
      </c>
      <c r="L6398">
        <v>-63.183039999999998</v>
      </c>
      <c r="M6398">
        <v>0.99989969999999995</v>
      </c>
      <c r="N6398">
        <v>-1.405121E-2</v>
      </c>
      <c r="O6398">
        <v>1.79249799999999E-3</v>
      </c>
      <c r="P6398">
        <v>0.96992449999999997</v>
      </c>
      <c r="Q6398">
        <v>0.21734800000000001</v>
      </c>
      <c r="R6398">
        <v>0.1095739</v>
      </c>
      <c r="S6398">
        <v>3.03627</v>
      </c>
      <c r="T6398">
        <v>7.4624659999999995E-2</v>
      </c>
      <c r="U6398">
        <v>0.34027099999999999</v>
      </c>
      <c r="V6398">
        <v>-0.10772470000000001</v>
      </c>
      <c r="W6398">
        <v>0.23100950000000001</v>
      </c>
      <c r="X6398">
        <v>0.96696950000000004</v>
      </c>
      <c r="Y6398">
        <v>-0.1095773</v>
      </c>
      <c r="Z6398">
        <v>-5.0082900000000005E-4</v>
      </c>
      <c r="AA6398">
        <v>0.99397809999999998</v>
      </c>
      <c r="AB6398">
        <v>27</v>
      </c>
      <c r="AC6398">
        <v>77.730599999999995</v>
      </c>
      <c r="AD6398">
        <v>1.913702</v>
      </c>
      <c r="AE6398">
        <v>8.7259099999999901</v>
      </c>
      <c r="AF6398">
        <v>-8.5814135758998606</v>
      </c>
      <c r="AG6398">
        <v>1.913702</v>
      </c>
      <c r="AH6398">
        <v>77.699607999695004</v>
      </c>
      <c r="AI6398">
        <v>88.597642651463502</v>
      </c>
      <c r="AJ6398">
        <v>96.302401918777704</v>
      </c>
      <c r="AK6398">
        <v>78.195472999475598</v>
      </c>
      <c r="AL6398">
        <v>76.643487587279793</v>
      </c>
      <c r="AM6398">
        <v>96.356793015825403</v>
      </c>
      <c r="AN6398">
        <v>1.0000000070052899</v>
      </c>
    </row>
    <row r="6399" spans="1:40" x14ac:dyDescent="0.25">
      <c r="A6399" t="str">
        <f>"20190304155800142"</f>
        <v>20190304155800142</v>
      </c>
      <c r="B6399" t="str">
        <f>"1551686280131351"</f>
        <v>1551686280131351</v>
      </c>
      <c r="C6399" t="s">
        <v>40</v>
      </c>
      <c r="D6399">
        <v>4.5066459999999999</v>
      </c>
      <c r="E6399">
        <v>0.49690620000000002</v>
      </c>
      <c r="F6399" t="s">
        <v>73</v>
      </c>
      <c r="G6399">
        <v>-157.9383</v>
      </c>
      <c r="H6399">
        <v>3.2243849999999998</v>
      </c>
      <c r="I6399">
        <v>-54.438809999999997</v>
      </c>
      <c r="J6399">
        <v>-235.5258</v>
      </c>
      <c r="K6399">
        <v>1.1103559999999999</v>
      </c>
      <c r="L6399">
        <v>-63.18289</v>
      </c>
      <c r="M6399">
        <v>0.99990000000000001</v>
      </c>
      <c r="N6399">
        <v>-1.404976E-2</v>
      </c>
      <c r="O6399">
        <v>1.66807E-3</v>
      </c>
      <c r="P6399">
        <v>0.96870979999999995</v>
      </c>
      <c r="Q6399">
        <v>0.22232389999999999</v>
      </c>
      <c r="R6399">
        <v>0.11033419999999999</v>
      </c>
      <c r="S6399">
        <v>3.0359189999999998</v>
      </c>
      <c r="T6399">
        <v>8.2567450000000001E-2</v>
      </c>
      <c r="U6399">
        <v>0.3415222</v>
      </c>
      <c r="V6399">
        <v>-0.10860549999999999</v>
      </c>
      <c r="W6399">
        <v>0.23596639999999999</v>
      </c>
      <c r="X6399">
        <v>0.96567320000000001</v>
      </c>
      <c r="Y6399">
        <v>-0.110113</v>
      </c>
      <c r="Z6399">
        <v>-6.4774289999999996E-4</v>
      </c>
      <c r="AA6399">
        <v>0.99391890000000005</v>
      </c>
      <c r="AB6399">
        <v>27</v>
      </c>
      <c r="AC6399">
        <v>77.587500000000006</v>
      </c>
      <c r="AD6399">
        <v>2.1140289999999999</v>
      </c>
      <c r="AE6399">
        <v>8.7440800000000003</v>
      </c>
      <c r="AF6399">
        <v>-8.6083230163156905</v>
      </c>
      <c r="AG6399">
        <v>2.1140289999999999</v>
      </c>
      <c r="AH6399">
        <v>77.545131685437298</v>
      </c>
      <c r="AI6399">
        <v>88.447923350403201</v>
      </c>
      <c r="AJ6399">
        <v>96.334496789019497</v>
      </c>
      <c r="AK6399">
        <v>78.050110774283198</v>
      </c>
      <c r="AL6399">
        <v>76.351404595785894</v>
      </c>
      <c r="AM6399">
        <v>96.416868748858107</v>
      </c>
      <c r="AN6399">
        <v>1.0000000128787201</v>
      </c>
    </row>
    <row r="6400" spans="1:40" x14ac:dyDescent="0.25">
      <c r="A6400" t="str">
        <f>"20190304155800152"</f>
        <v>20190304155800152</v>
      </c>
      <c r="B6400" t="str">
        <f>"1551686280150872"</f>
        <v>1551686280150872</v>
      </c>
      <c r="C6400" t="s">
        <v>40</v>
      </c>
      <c r="D6400">
        <v>4.869739</v>
      </c>
      <c r="E6400">
        <v>0.4970868</v>
      </c>
      <c r="F6400" t="s">
        <v>73</v>
      </c>
      <c r="G6400">
        <v>-157.9383</v>
      </c>
      <c r="H6400">
        <v>3.562424</v>
      </c>
      <c r="I6400">
        <v>-54.2196</v>
      </c>
      <c r="J6400">
        <v>-235.39250000000001</v>
      </c>
      <c r="K6400">
        <v>1.110392</v>
      </c>
      <c r="L6400">
        <v>-63.1828</v>
      </c>
      <c r="M6400">
        <v>0.99990009999999996</v>
      </c>
      <c r="N6400">
        <v>-1.4048400000000001E-2</v>
      </c>
      <c r="O6400">
        <v>1.5527010000000001E-3</v>
      </c>
      <c r="P6400">
        <v>0.96689809999999998</v>
      </c>
      <c r="Q6400">
        <v>0.22965959999999999</v>
      </c>
      <c r="R6400">
        <v>0.1111959</v>
      </c>
      <c r="S6400">
        <v>3.0349879999999998</v>
      </c>
      <c r="T6400">
        <v>9.5916630000000003E-2</v>
      </c>
      <c r="U6400">
        <v>0.3506165</v>
      </c>
      <c r="V6400">
        <v>-0.1095791</v>
      </c>
      <c r="W6400">
        <v>0.24327489999999999</v>
      </c>
      <c r="X6400">
        <v>0.96374780000000004</v>
      </c>
      <c r="Y6400">
        <v>-0.1131897</v>
      </c>
      <c r="Z6400">
        <v>-9.1375389999999999E-4</v>
      </c>
      <c r="AA6400">
        <v>0.99357300000000004</v>
      </c>
      <c r="AB6400">
        <v>27</v>
      </c>
      <c r="AC6400">
        <v>77.4542</v>
      </c>
      <c r="AD6400">
        <v>2.4520319999999902</v>
      </c>
      <c r="AE6400">
        <v>8.9632000000000005</v>
      </c>
      <c r="AF6400">
        <v>-8.8341773353154007</v>
      </c>
      <c r="AG6400">
        <v>2.4520319999999902</v>
      </c>
      <c r="AH6400">
        <v>77.391486972685698</v>
      </c>
      <c r="AI6400">
        <v>88.196978016768895</v>
      </c>
      <c r="AJ6400">
        <v>96.512081522661404</v>
      </c>
      <c r="AK6400">
        <v>77.932646599253999</v>
      </c>
      <c r="AL6400">
        <v>75.9200919877063</v>
      </c>
      <c r="AM6400">
        <v>96.486730512813395</v>
      </c>
      <c r="AN6400">
        <v>1.0000000390658199</v>
      </c>
    </row>
    <row r="6401" spans="1:40" x14ac:dyDescent="0.25">
      <c r="A6401" t="str">
        <f>"20190304155800163"</f>
        <v>20190304155800163</v>
      </c>
      <c r="B6401" t="str">
        <f>"1551686280160629"</f>
        <v>1551686280160629</v>
      </c>
      <c r="C6401" t="s">
        <v>40</v>
      </c>
      <c r="D6401">
        <v>4.6926699999999997</v>
      </c>
      <c r="E6401">
        <v>0.50292340000000002</v>
      </c>
      <c r="F6401" t="s">
        <v>73</v>
      </c>
      <c r="G6401">
        <v>-157.9383</v>
      </c>
      <c r="H6401">
        <v>4.1569529999999997</v>
      </c>
      <c r="I6401">
        <v>-54.184730000000002</v>
      </c>
      <c r="J6401">
        <v>-235.25649999999999</v>
      </c>
      <c r="K6401">
        <v>1.1104149999999999</v>
      </c>
      <c r="L6401">
        <v>-63.18271</v>
      </c>
      <c r="M6401">
        <v>0.99990040000000002</v>
      </c>
      <c r="N6401">
        <v>-1.404702E-2</v>
      </c>
      <c r="O6401">
        <v>1.4346529999999999E-3</v>
      </c>
      <c r="P6401">
        <v>0.96523840000000005</v>
      </c>
      <c r="Q6401">
        <v>0.23612369999999999</v>
      </c>
      <c r="R6401">
        <v>0.1120752</v>
      </c>
      <c r="S6401">
        <v>3.0338289999999999</v>
      </c>
      <c r="T6401">
        <v>0.1193308</v>
      </c>
      <c r="U6401">
        <v>0.35244750000000002</v>
      </c>
      <c r="V6401">
        <v>-0.11057210000000001</v>
      </c>
      <c r="W6401">
        <v>0.24971360000000001</v>
      </c>
      <c r="X6401">
        <v>0.96198589999999995</v>
      </c>
      <c r="Y6401">
        <v>-0.11391759999999999</v>
      </c>
      <c r="Z6401">
        <v>-1.35270799999999E-3</v>
      </c>
      <c r="AA6401">
        <v>0.99348930000000002</v>
      </c>
      <c r="AB6401">
        <v>27</v>
      </c>
      <c r="AC6401">
        <v>77.318199999999905</v>
      </c>
      <c r="AD6401">
        <v>3.046538</v>
      </c>
      <c r="AE6401">
        <v>8.9979799999999894</v>
      </c>
      <c r="AF6401">
        <v>-8.8734425095844696</v>
      </c>
      <c r="AG6401">
        <v>3.046538</v>
      </c>
      <c r="AH6401">
        <v>77.212754717543106</v>
      </c>
      <c r="AI6401">
        <v>87.755245785538705</v>
      </c>
      <c r="AJ6401">
        <v>96.555784386448195</v>
      </c>
      <c r="AK6401">
        <v>77.780645837044901</v>
      </c>
      <c r="AL6401">
        <v>75.539434417335499</v>
      </c>
      <c r="AM6401">
        <v>96.556888187861801</v>
      </c>
      <c r="AN6401">
        <v>0.999999971561089</v>
      </c>
    </row>
    <row r="6402" spans="1:40" x14ac:dyDescent="0.25">
      <c r="A6402" t="str">
        <f>"20190304155800175"</f>
        <v>20190304155800175</v>
      </c>
      <c r="B6402" t="str">
        <f>"1551686280171364"</f>
        <v>1551686280171364</v>
      </c>
      <c r="C6402" t="s">
        <v>40</v>
      </c>
      <c r="D6402">
        <v>4.8070180000000002</v>
      </c>
      <c r="E6402">
        <v>0.50292340000000002</v>
      </c>
      <c r="F6402" t="s">
        <v>73</v>
      </c>
      <c r="G6402">
        <v>-169.244</v>
      </c>
      <c r="H6402">
        <v>12.678929999999999</v>
      </c>
      <c r="I6402">
        <v>-56.189520000000002</v>
      </c>
      <c r="J6402">
        <v>-235.1207</v>
      </c>
      <c r="K6402">
        <v>1.110422</v>
      </c>
      <c r="L6402">
        <v>-63.182619999999901</v>
      </c>
      <c r="M6402">
        <v>0.99990060000000003</v>
      </c>
      <c r="N6402">
        <v>-1.404564E-2</v>
      </c>
      <c r="O6402">
        <v>1.31744E-3</v>
      </c>
      <c r="P6402">
        <v>0.96433250000000004</v>
      </c>
      <c r="Q6402">
        <v>0.23922360000000001</v>
      </c>
      <c r="R6402">
        <v>0.1132923</v>
      </c>
      <c r="S6402">
        <v>2.945541</v>
      </c>
      <c r="T6402">
        <v>0.51619680000000001</v>
      </c>
      <c r="U6402">
        <v>0.31204219999999999</v>
      </c>
      <c r="V6402">
        <v>-0.11190269999999999</v>
      </c>
      <c r="W6402">
        <v>0.25280000000000002</v>
      </c>
      <c r="X6402">
        <v>0.96102549999999998</v>
      </c>
      <c r="Y6402">
        <v>-0.10264040000000001</v>
      </c>
      <c r="Z6402">
        <v>-7.9267160000000003E-3</v>
      </c>
      <c r="AA6402">
        <v>0.99468699999999999</v>
      </c>
      <c r="AB6402">
        <v>27</v>
      </c>
      <c r="AC6402">
        <v>65.8766999999999</v>
      </c>
      <c r="AD6402">
        <v>11.568508</v>
      </c>
      <c r="AE6402">
        <v>6.9930999999999903</v>
      </c>
      <c r="AF6402">
        <v>-6.7019235918858104</v>
      </c>
      <c r="AG6402">
        <v>11.568508</v>
      </c>
      <c r="AH6402">
        <v>63.936142869579101</v>
      </c>
      <c r="AI6402">
        <v>79.798660092264399</v>
      </c>
      <c r="AJ6402">
        <v>95.984013504120497</v>
      </c>
      <c r="AK6402">
        <v>65.319036445869003</v>
      </c>
      <c r="AL6402">
        <v>75.356736657947593</v>
      </c>
      <c r="AM6402">
        <v>96.641664460330702</v>
      </c>
      <c r="AN6402">
        <v>1.0000000329587599</v>
      </c>
    </row>
    <row r="6403" spans="1:40" x14ac:dyDescent="0.25">
      <c r="A6403" t="str">
        <f>"20190304155800186"</f>
        <v>20190304155800186</v>
      </c>
      <c r="B6403" t="str">
        <f>"1551686280181124"</f>
        <v>1551686280181124</v>
      </c>
      <c r="C6403" t="s">
        <v>40</v>
      </c>
      <c r="D6403">
        <v>4.7036499999999997</v>
      </c>
      <c r="E6403">
        <v>0.49516359999999898</v>
      </c>
      <c r="F6403" t="s">
        <v>73</v>
      </c>
      <c r="G6403">
        <v>-169.244</v>
      </c>
      <c r="H6403">
        <v>12.873469999999999</v>
      </c>
      <c r="I6403">
        <v>-56.109389999999998</v>
      </c>
      <c r="J6403">
        <v>-234.97919999999999</v>
      </c>
      <c r="K6403">
        <v>1.1104210000000001</v>
      </c>
      <c r="L6403">
        <v>-63.182589999999998</v>
      </c>
      <c r="M6403">
        <v>0.99990069999999998</v>
      </c>
      <c r="N6403">
        <v>-1.404419E-2</v>
      </c>
      <c r="O6403">
        <v>1.1953409999999999E-3</v>
      </c>
      <c r="P6403">
        <v>0.96401800000000004</v>
      </c>
      <c r="Q6403">
        <v>0.23992659999999999</v>
      </c>
      <c r="R6403">
        <v>0.1144754</v>
      </c>
      <c r="S6403">
        <v>2.943451</v>
      </c>
      <c r="T6403">
        <v>0.52558579999999999</v>
      </c>
      <c r="U6403">
        <v>0.31603999999999999</v>
      </c>
      <c r="V6403">
        <v>-0.11320379999999999</v>
      </c>
      <c r="W6403">
        <v>0.25349699999999997</v>
      </c>
      <c r="X6403">
        <v>0.96068940000000003</v>
      </c>
      <c r="Y6403">
        <v>-0.1040933</v>
      </c>
      <c r="Z6403">
        <v>-8.2287060000000006E-3</v>
      </c>
      <c r="AA6403">
        <v>0.99453349999999996</v>
      </c>
      <c r="AB6403">
        <v>27</v>
      </c>
      <c r="AC6403">
        <v>65.735199999999907</v>
      </c>
      <c r="AD6403">
        <v>11.763049000000001</v>
      </c>
      <c r="AE6403">
        <v>7.0731999999999999</v>
      </c>
      <c r="AF6403">
        <v>-6.7799896029908702</v>
      </c>
      <c r="AG6403">
        <v>11.763049000000001</v>
      </c>
      <c r="AH6403">
        <v>63.7263415830556</v>
      </c>
      <c r="AI6403">
        <v>79.599076498377201</v>
      </c>
      <c r="AJ6403">
        <v>96.072982323001398</v>
      </c>
      <c r="AK6403">
        <v>65.156612806017904</v>
      </c>
      <c r="AL6403">
        <v>75.315456062100793</v>
      </c>
      <c r="AM6403">
        <v>96.720514543837993</v>
      </c>
      <c r="AN6403">
        <v>0.99999997630789905</v>
      </c>
    </row>
    <row r="6404" spans="1:40" x14ac:dyDescent="0.25">
      <c r="A6404" t="str">
        <f>"20190304155800198"</f>
        <v>20190304155800198</v>
      </c>
      <c r="B6404" t="str">
        <f>"1551686280190884"</f>
        <v>1551686280190884</v>
      </c>
      <c r="C6404" t="s">
        <v>40</v>
      </c>
      <c r="D6404">
        <v>5.1378009999999996</v>
      </c>
      <c r="E6404">
        <v>0.49673240000000002</v>
      </c>
      <c r="F6404" t="s">
        <v>73</v>
      </c>
      <c r="G6404">
        <v>-157.9383</v>
      </c>
      <c r="H6404">
        <v>2.3158720000000002</v>
      </c>
      <c r="I6404">
        <v>-53.592469999999999</v>
      </c>
      <c r="J6404">
        <v>-234.84100000000001</v>
      </c>
      <c r="K6404">
        <v>1.1104080000000001</v>
      </c>
      <c r="L6404">
        <v>-63.182560000000002</v>
      </c>
      <c r="M6404">
        <v>0.99990089999999998</v>
      </c>
      <c r="N6404">
        <v>-1.4042779999999999E-2</v>
      </c>
      <c r="O6404">
        <v>1.0758639999999999E-3</v>
      </c>
      <c r="P6404">
        <v>0.96440380000000003</v>
      </c>
      <c r="Q6404">
        <v>0.23771039999999999</v>
      </c>
      <c r="R6404">
        <v>0.115840899999999</v>
      </c>
      <c r="S6404">
        <v>3.054932</v>
      </c>
      <c r="T6404">
        <v>4.7799349999999997E-2</v>
      </c>
      <c r="U6404">
        <v>0.38027949999999999</v>
      </c>
      <c r="V6404">
        <v>-0.1146857</v>
      </c>
      <c r="W6404">
        <v>0.25128549999999999</v>
      </c>
      <c r="X6404">
        <v>0.96109460000000002</v>
      </c>
      <c r="Y6404">
        <v>-0.122458399999999</v>
      </c>
      <c r="Z6404" s="1">
        <v>-5.9291720000000002E-5</v>
      </c>
      <c r="AA6404">
        <v>0.99247370000000001</v>
      </c>
      <c r="AB6404">
        <v>27</v>
      </c>
      <c r="AC6404">
        <v>76.902699999999896</v>
      </c>
      <c r="AD6404">
        <v>1.2054639999999901</v>
      </c>
      <c r="AE6404">
        <v>9.5900899999999893</v>
      </c>
      <c r="AF6404">
        <v>-9.5050397169601695</v>
      </c>
      <c r="AG6404">
        <v>1.2054639999999901</v>
      </c>
      <c r="AH6404">
        <v>76.894369631237694</v>
      </c>
      <c r="AI6404">
        <v>89.108637382611093</v>
      </c>
      <c r="AJ6404">
        <v>97.0466800717859</v>
      </c>
      <c r="AK6404">
        <v>77.488986342974499</v>
      </c>
      <c r="AL6404">
        <v>75.446405825007503</v>
      </c>
      <c r="AM6404">
        <v>96.804826171520602</v>
      </c>
      <c r="AN6404">
        <v>1.00000002122194</v>
      </c>
    </row>
    <row r="6405" spans="1:40" x14ac:dyDescent="0.25">
      <c r="A6405" t="str">
        <f>"20190304155800209"</f>
        <v>20190304155800209</v>
      </c>
      <c r="B6405" t="str">
        <f>"1551686280200645"</f>
        <v>1551686280200645</v>
      </c>
      <c r="C6405" t="s">
        <v>40</v>
      </c>
      <c r="D6405">
        <v>4.9461339999999998</v>
      </c>
      <c r="E6405">
        <v>0.49987209999999899</v>
      </c>
      <c r="F6405" t="s">
        <v>73</v>
      </c>
      <c r="G6405">
        <v>-157.9383</v>
      </c>
      <c r="H6405">
        <v>3.909405</v>
      </c>
      <c r="I6405">
        <v>-53.749220000000001</v>
      </c>
      <c r="J6405">
        <v>-234.7046</v>
      </c>
      <c r="K6405">
        <v>1.110393</v>
      </c>
      <c r="L6405">
        <v>-63.182499999999997</v>
      </c>
      <c r="M6405">
        <v>0.99990100000000004</v>
      </c>
      <c r="N6405">
        <v>-1.4041379999999999E-2</v>
      </c>
      <c r="O6405">
        <v>9.5811469999999995E-4</v>
      </c>
      <c r="P6405">
        <v>0.96507969999999998</v>
      </c>
      <c r="Q6405">
        <v>0.23439860000000001</v>
      </c>
      <c r="R6405">
        <v>0.1169562</v>
      </c>
      <c r="S6405">
        <v>3.038681</v>
      </c>
      <c r="T6405">
        <v>0.11059670000000001</v>
      </c>
      <c r="U6405">
        <v>0.37274170000000001</v>
      </c>
      <c r="V6405">
        <v>-0.1159163</v>
      </c>
      <c r="W6405">
        <v>0.2479817</v>
      </c>
      <c r="X6405">
        <v>0.96180480000000002</v>
      </c>
      <c r="Y6405">
        <v>-0.120755</v>
      </c>
      <c r="Z6405">
        <v>-1.289309E-3</v>
      </c>
      <c r="AA6405">
        <v>0.99268149999999999</v>
      </c>
      <c r="AB6405">
        <v>27</v>
      </c>
      <c r="AC6405">
        <v>76.766300000000001</v>
      </c>
      <c r="AD6405">
        <v>2.7990119999999998</v>
      </c>
      <c r="AE6405">
        <v>9.4332799999999999</v>
      </c>
      <c r="AF6405">
        <v>-9.3474754629955399</v>
      </c>
      <c r="AG6405">
        <v>2.7990119999999998</v>
      </c>
      <c r="AH6405">
        <v>76.674885596440006</v>
      </c>
      <c r="AI6405">
        <v>87.924700693429301</v>
      </c>
      <c r="AJ6405">
        <v>96.950659931640402</v>
      </c>
      <c r="AK6405">
        <v>77.293258741850295</v>
      </c>
      <c r="AL6405">
        <v>75.641888223489403</v>
      </c>
      <c r="AM6405">
        <v>96.872118129867005</v>
      </c>
      <c r="AN6405">
        <v>0.99999999272180995</v>
      </c>
    </row>
    <row r="6406" spans="1:40" x14ac:dyDescent="0.25">
      <c r="A6406" t="str">
        <f>"20190304155800220"</f>
        <v>20190304155800220</v>
      </c>
      <c r="B6406" t="str">
        <f>"1551686280211381"</f>
        <v>1551686280211381</v>
      </c>
      <c r="C6406" t="s">
        <v>40</v>
      </c>
      <c r="D6406">
        <v>5.1140990000000004</v>
      </c>
      <c r="E6406">
        <v>0.5006775</v>
      </c>
      <c r="F6406" t="s">
        <v>73</v>
      </c>
      <c r="G6406">
        <v>-157.9383</v>
      </c>
      <c r="H6406">
        <v>3.861192</v>
      </c>
      <c r="I6406">
        <v>-54.308030000000002</v>
      </c>
      <c r="J6406">
        <v>-234.5744</v>
      </c>
      <c r="K6406">
        <v>1.110385</v>
      </c>
      <c r="L6406">
        <v>-63.182499999999997</v>
      </c>
      <c r="M6406">
        <v>0.99990109999999999</v>
      </c>
      <c r="N6406">
        <v>-1.404004E-2</v>
      </c>
      <c r="O6406">
        <v>8.4596460000000004E-4</v>
      </c>
      <c r="P6406">
        <v>0.96556180000000003</v>
      </c>
      <c r="Q6406">
        <v>0.23187459999999999</v>
      </c>
      <c r="R6406">
        <v>0.1180022</v>
      </c>
      <c r="S6406">
        <v>3.03952</v>
      </c>
      <c r="T6406">
        <v>0.1089156</v>
      </c>
      <c r="U6406">
        <v>0.35137940000000001</v>
      </c>
      <c r="V6406">
        <v>-0.11707140000000001</v>
      </c>
      <c r="W6406">
        <v>0.24546419999999999</v>
      </c>
      <c r="X6406">
        <v>0.96231060000000002</v>
      </c>
      <c r="Y6406">
        <v>-0.11395569999999999</v>
      </c>
      <c r="Z6406">
        <v>-1.189418E-3</v>
      </c>
      <c r="AA6406">
        <v>0.99348510000000001</v>
      </c>
      <c r="AB6406">
        <v>27</v>
      </c>
      <c r="AC6406">
        <v>76.636099999999999</v>
      </c>
      <c r="AD6406">
        <v>2.750807</v>
      </c>
      <c r="AE6406">
        <v>8.8744699999999899</v>
      </c>
      <c r="AF6406">
        <v>-8.7984430218894101</v>
      </c>
      <c r="AG6406">
        <v>2.750807</v>
      </c>
      <c r="AH6406">
        <v>76.546262973024099</v>
      </c>
      <c r="AI6406">
        <v>87.955325338117703</v>
      </c>
      <c r="AJ6406">
        <v>96.556962743684295</v>
      </c>
      <c r="AK6406">
        <v>77.099350930445894</v>
      </c>
      <c r="AL6406">
        <v>75.790732402416296</v>
      </c>
      <c r="AM6406">
        <v>96.936321697151101</v>
      </c>
      <c r="AN6406">
        <v>1.00000003852597</v>
      </c>
    </row>
    <row r="6407" spans="1:40" x14ac:dyDescent="0.25">
      <c r="A6407" t="str">
        <f>"20190304155800231"</f>
        <v>20190304155800231</v>
      </c>
      <c r="B6407" t="str">
        <f>"1551686280221141"</f>
        <v>1551686280221141</v>
      </c>
      <c r="C6407" t="s">
        <v>40</v>
      </c>
      <c r="D6407">
        <v>5.3446910000000001</v>
      </c>
      <c r="E6407">
        <v>0.5006775</v>
      </c>
      <c r="F6407" t="s">
        <v>73</v>
      </c>
      <c r="G6407">
        <v>-157.9383</v>
      </c>
      <c r="H6407">
        <v>4.4410319999999999</v>
      </c>
      <c r="I6407">
        <v>-54.399299999999997</v>
      </c>
      <c r="J6407">
        <v>-234.4367</v>
      </c>
      <c r="K6407">
        <v>1.1103829999999999</v>
      </c>
      <c r="L6407">
        <v>-63.182499999999997</v>
      </c>
      <c r="M6407">
        <v>0.99990120000000005</v>
      </c>
      <c r="N6407">
        <v>-1.403863E-2</v>
      </c>
      <c r="O6407">
        <v>7.2714009999999996E-4</v>
      </c>
      <c r="P6407">
        <v>0.96579899999999996</v>
      </c>
      <c r="Q6407">
        <v>0.2302642</v>
      </c>
      <c r="R6407">
        <v>0.1192096</v>
      </c>
      <c r="S6407">
        <v>3.032883</v>
      </c>
      <c r="T6407">
        <v>0.1318097</v>
      </c>
      <c r="U6407">
        <v>0.34759519999999999</v>
      </c>
      <c r="V6407">
        <v>-0.1183942</v>
      </c>
      <c r="W6407">
        <v>0.24385570000000001</v>
      </c>
      <c r="X6407">
        <v>0.96255760000000001</v>
      </c>
      <c r="Y6407">
        <v>-0.1130712</v>
      </c>
      <c r="Z6407">
        <v>-1.6096769999999999E-3</v>
      </c>
      <c r="AA6407">
        <v>0.99358559999999996</v>
      </c>
      <c r="AB6407">
        <v>27</v>
      </c>
      <c r="AC6407">
        <v>76.498400000000004</v>
      </c>
      <c r="AD6407">
        <v>3.33064899999999</v>
      </c>
      <c r="AE6407">
        <v>8.7832000000000008</v>
      </c>
      <c r="AF6407">
        <v>-8.7112686761741305</v>
      </c>
      <c r="AG6407">
        <v>3.33064899999999</v>
      </c>
      <c r="AH6407">
        <v>76.361896698602806</v>
      </c>
      <c r="AI6407">
        <v>87.518607675227202</v>
      </c>
      <c r="AJ6407">
        <v>96.508095408549096</v>
      </c>
      <c r="AK6407">
        <v>76.929309707794602</v>
      </c>
      <c r="AL6407">
        <v>75.885780194492696</v>
      </c>
      <c r="AM6407">
        <v>97.012137539184096</v>
      </c>
      <c r="AN6407">
        <v>0.99999996116694401</v>
      </c>
    </row>
    <row r="6408" spans="1:40" x14ac:dyDescent="0.25">
      <c r="A6408" t="str">
        <f>"20190304155800242"</f>
        <v>20190304155800242</v>
      </c>
      <c r="B6408" t="str">
        <f>"1551686280230901"</f>
        <v>1551686280230901</v>
      </c>
      <c r="C6408" t="s">
        <v>40</v>
      </c>
      <c r="D6408">
        <v>4.8679459999999999</v>
      </c>
      <c r="E6408">
        <v>0.4986854</v>
      </c>
      <c r="F6408" t="s">
        <v>73</v>
      </c>
      <c r="G6408">
        <v>-157.9383</v>
      </c>
      <c r="H6408">
        <v>4.3084680000000004</v>
      </c>
      <c r="I6408">
        <v>-54.34319</v>
      </c>
      <c r="J6408">
        <v>-234.3006</v>
      </c>
      <c r="K6408">
        <v>1.110385</v>
      </c>
      <c r="L6408">
        <v>-63.18253</v>
      </c>
      <c r="M6408">
        <v>0.99990140000000005</v>
      </c>
      <c r="N6408">
        <v>-1.40372E-2</v>
      </c>
      <c r="O6408">
        <v>6.0974339999999997E-4</v>
      </c>
      <c r="P6408">
        <v>0.9658487</v>
      </c>
      <c r="Q6408">
        <v>0.22949030000000001</v>
      </c>
      <c r="R6408">
        <v>0.12029529999999999</v>
      </c>
      <c r="S6408">
        <v>3.0327760000000001</v>
      </c>
      <c r="T6408">
        <v>0.12678689999999901</v>
      </c>
      <c r="U6408">
        <v>0.3504333</v>
      </c>
      <c r="V6408">
        <v>-0.1195944</v>
      </c>
      <c r="W6408">
        <v>0.24308199999999999</v>
      </c>
      <c r="X6408">
        <v>0.96260489999999999</v>
      </c>
      <c r="Y6408">
        <v>-0.1141151</v>
      </c>
      <c r="Z6408">
        <v>-1.538614E-3</v>
      </c>
      <c r="AA6408">
        <v>0.99346630000000002</v>
      </c>
      <c r="AB6408">
        <v>27</v>
      </c>
      <c r="AC6408">
        <v>76.362300000000005</v>
      </c>
      <c r="AD6408">
        <v>3.198083</v>
      </c>
      <c r="AE6408">
        <v>8.83934</v>
      </c>
      <c r="AF6408">
        <v>-8.7775803398683507</v>
      </c>
      <c r="AG6408">
        <v>3.198083</v>
      </c>
      <c r="AH6408">
        <v>76.235729090890899</v>
      </c>
      <c r="AI6408">
        <v>87.613602157937095</v>
      </c>
      <c r="AJ6408">
        <v>96.567963521550396</v>
      </c>
      <c r="AK6408">
        <v>76.805989620064395</v>
      </c>
      <c r="AL6408">
        <v>75.931484910549102</v>
      </c>
      <c r="AM6408">
        <v>97.082158999034505</v>
      </c>
      <c r="AN6408">
        <v>0.99999993636968298</v>
      </c>
    </row>
    <row r="6409" spans="1:40" x14ac:dyDescent="0.25">
      <c r="A6409" t="str">
        <f>"20190304155800254"</f>
        <v>20190304155800254</v>
      </c>
      <c r="B6409" t="str">
        <f>"1551686280251100"</f>
        <v>1551686280251100</v>
      </c>
      <c r="C6409" t="s">
        <v>40</v>
      </c>
      <c r="D6409">
        <v>4.69998</v>
      </c>
      <c r="E6409">
        <v>0.49784600000000001</v>
      </c>
      <c r="F6409" t="s">
        <v>73</v>
      </c>
      <c r="G6409">
        <v>-157.93819999999999</v>
      </c>
      <c r="H6409">
        <v>3.5933039999999998</v>
      </c>
      <c r="I6409">
        <v>-53.919289999999997</v>
      </c>
      <c r="J6409">
        <v>-234.16659999999999</v>
      </c>
      <c r="K6409">
        <v>1.110398</v>
      </c>
      <c r="L6409">
        <v>-63.182560000000002</v>
      </c>
      <c r="M6409">
        <v>0.99990140000000005</v>
      </c>
      <c r="N6409">
        <v>-1.4035809999999999E-2</v>
      </c>
      <c r="O6409">
        <v>4.9431259999999999E-4</v>
      </c>
      <c r="P6409">
        <v>0.96565730000000005</v>
      </c>
      <c r="Q6409">
        <v>0.22997039999999999</v>
      </c>
      <c r="R6409">
        <v>0.12091150000000001</v>
      </c>
      <c r="S6409">
        <v>3.0367579999999998</v>
      </c>
      <c r="T6409">
        <v>9.8739270000000004E-2</v>
      </c>
      <c r="U6409">
        <v>0.36837769999999997</v>
      </c>
      <c r="V6409">
        <v>-0.12032180000000001</v>
      </c>
      <c r="W6409">
        <v>0.24355789999999999</v>
      </c>
      <c r="X6409">
        <v>0.96239399999999997</v>
      </c>
      <c r="Y6409">
        <v>-0.119898</v>
      </c>
      <c r="Z6409">
        <v>-1.0740070000000001E-3</v>
      </c>
      <c r="AA6409">
        <v>0.99278560000000005</v>
      </c>
      <c r="AB6409">
        <v>27</v>
      </c>
      <c r="AC6409">
        <v>76.228399999999993</v>
      </c>
      <c r="AD6409">
        <v>2.4829059999999998</v>
      </c>
      <c r="AE6409">
        <v>9.2632699999999897</v>
      </c>
      <c r="AF6409">
        <v>-9.2159493002793607</v>
      </c>
      <c r="AG6409">
        <v>2.4829059999999998</v>
      </c>
      <c r="AH6409">
        <v>76.153352392588303</v>
      </c>
      <c r="AI6409">
        <v>88.146104996019602</v>
      </c>
      <c r="AJ6409">
        <v>96.900282567048393</v>
      </c>
      <c r="AK6409">
        <v>76.749147385100599</v>
      </c>
      <c r="AL6409">
        <v>75.903373870174093</v>
      </c>
      <c r="AM6409">
        <v>97.1263381972622</v>
      </c>
      <c r="AN6409">
        <v>0.99999999872182499</v>
      </c>
    </row>
    <row r="6410" spans="1:40" x14ac:dyDescent="0.25">
      <c r="A6410" t="str">
        <f>"20190304155800264"</f>
        <v>20190304155800264</v>
      </c>
      <c r="B6410" t="str">
        <f>"1551686280260860"</f>
        <v>1551686280260860</v>
      </c>
      <c r="C6410" t="s">
        <v>40</v>
      </c>
      <c r="D6410">
        <v>4.8254760000000001</v>
      </c>
      <c r="E6410">
        <v>0.49757190000000001</v>
      </c>
      <c r="F6410" t="s">
        <v>73</v>
      </c>
      <c r="G6410">
        <v>-157.9383</v>
      </c>
      <c r="H6410">
        <v>3.3980709999999998</v>
      </c>
      <c r="I6410">
        <v>-53.728960000000001</v>
      </c>
      <c r="J6410">
        <v>-234.02930000000001</v>
      </c>
      <c r="K6410">
        <v>1.1103970000000001</v>
      </c>
      <c r="L6410">
        <v>-63.182619999999901</v>
      </c>
      <c r="M6410">
        <v>0.9999015</v>
      </c>
      <c r="N6410">
        <v>-1.4034380000000001E-2</v>
      </c>
      <c r="O6410">
        <v>3.7601980000000001E-4</v>
      </c>
      <c r="P6410">
        <v>0.96516690000000005</v>
      </c>
      <c r="Q6410">
        <v>0.23170550000000001</v>
      </c>
      <c r="R6410">
        <v>0.1215135</v>
      </c>
      <c r="S6410">
        <v>3.037811</v>
      </c>
      <c r="T6410">
        <v>9.1166259999999999E-2</v>
      </c>
      <c r="U6410">
        <v>0.3767395</v>
      </c>
      <c r="V6410">
        <v>-0.1210379</v>
      </c>
      <c r="W6410">
        <v>0.24528440000000001</v>
      </c>
      <c r="X6410">
        <v>0.96186559999999999</v>
      </c>
      <c r="Y6410">
        <v>-0.1226724</v>
      </c>
      <c r="Z6410">
        <v>-9.5256050000000004E-4</v>
      </c>
      <c r="AA6410">
        <v>0.99244679999999996</v>
      </c>
      <c r="AB6410">
        <v>27</v>
      </c>
      <c r="AC6410">
        <v>76.090999999999994</v>
      </c>
      <c r="AD6410">
        <v>2.287674</v>
      </c>
      <c r="AE6410">
        <v>9.4536599999999904</v>
      </c>
      <c r="AF6410">
        <v>-9.4166624353642998</v>
      </c>
      <c r="AG6410">
        <v>2.287674</v>
      </c>
      <c r="AH6410">
        <v>76.026873483056406</v>
      </c>
      <c r="AI6410">
        <v>88.289533447113797</v>
      </c>
      <c r="AJ6410">
        <v>97.060675659325895</v>
      </c>
      <c r="AK6410">
        <v>76.641975935909599</v>
      </c>
      <c r="AL6410">
        <v>75.801358806990095</v>
      </c>
      <c r="AM6410">
        <v>97.172207877436705</v>
      </c>
      <c r="AN6410">
        <v>1.0000000212915601</v>
      </c>
    </row>
    <row r="6411" spans="1:40" x14ac:dyDescent="0.25">
      <c r="A6411" t="str">
        <f>"20190304155800275"</f>
        <v>20190304155800275</v>
      </c>
      <c r="B6411" t="str">
        <f>"1551686280270620"</f>
        <v>1551686280270620</v>
      </c>
      <c r="C6411" t="s">
        <v>40</v>
      </c>
      <c r="D6411">
        <v>4.7860050000000003</v>
      </c>
      <c r="E6411">
        <v>0.49811620000000001</v>
      </c>
      <c r="F6411" t="s">
        <v>73</v>
      </c>
      <c r="G6411">
        <v>-157.9383</v>
      </c>
      <c r="H6411">
        <v>3.3778790000000001</v>
      </c>
      <c r="I6411">
        <v>-53.643810000000002</v>
      </c>
      <c r="J6411">
        <v>-233.90180000000001</v>
      </c>
      <c r="K6411">
        <v>1.110393</v>
      </c>
      <c r="L6411">
        <v>-63.182679999999998</v>
      </c>
      <c r="M6411">
        <v>0.9999017</v>
      </c>
      <c r="N6411">
        <v>-1.403306E-2</v>
      </c>
      <c r="O6411">
        <v>2.6577149999999999E-4</v>
      </c>
      <c r="P6411">
        <v>0.96508039999999995</v>
      </c>
      <c r="Q6411">
        <v>0.23178770000000001</v>
      </c>
      <c r="R6411">
        <v>0.1220435</v>
      </c>
      <c r="S6411">
        <v>3.038605</v>
      </c>
      <c r="T6411">
        <v>9.0548400000000001E-2</v>
      </c>
      <c r="U6411">
        <v>0.38092039999999999</v>
      </c>
      <c r="V6411">
        <v>-0.1216742</v>
      </c>
      <c r="W6411">
        <v>0.24536440000000001</v>
      </c>
      <c r="X6411">
        <v>0.96176490000000003</v>
      </c>
      <c r="Y6411">
        <v>-0.12409480000000001</v>
      </c>
      <c r="Z6411">
        <v>-9.5550699999999997E-4</v>
      </c>
      <c r="AA6411">
        <v>0.99226990000000004</v>
      </c>
      <c r="AB6411">
        <v>27</v>
      </c>
      <c r="AC6411">
        <v>75.963499999999996</v>
      </c>
      <c r="AD6411">
        <v>2.2674859999999999</v>
      </c>
      <c r="AE6411">
        <v>9.53887000000001</v>
      </c>
      <c r="AF6411">
        <v>-9.5103365467456698</v>
      </c>
      <c r="AG6411">
        <v>2.2674859999999999</v>
      </c>
      <c r="AH6411">
        <v>75.899455864219306</v>
      </c>
      <c r="AI6411">
        <v>88.302074676215199</v>
      </c>
      <c r="AJ6411">
        <v>97.142040147330405</v>
      </c>
      <c r="AK6411">
        <v>76.526566592766599</v>
      </c>
      <c r="AL6411">
        <v>75.796630512561194</v>
      </c>
      <c r="AM6411">
        <v>97.210263604744398</v>
      </c>
      <c r="AN6411">
        <v>1.0000000113025</v>
      </c>
    </row>
    <row r="6412" spans="1:40" x14ac:dyDescent="0.25">
      <c r="A6412" t="str">
        <f>"20190304155800287"</f>
        <v>20190304155800287</v>
      </c>
      <c r="B6412" t="str">
        <f>"1551686280281356"</f>
        <v>1551686280281356</v>
      </c>
      <c r="C6412" t="s">
        <v>40</v>
      </c>
      <c r="D6412">
        <v>4.6688970000000003</v>
      </c>
      <c r="E6412">
        <v>0.49820979999999998</v>
      </c>
      <c r="F6412" t="s">
        <v>73</v>
      </c>
      <c r="G6412">
        <v>-157.9383</v>
      </c>
      <c r="H6412">
        <v>3.3414359999999999</v>
      </c>
      <c r="I6412">
        <v>-53.72598</v>
      </c>
      <c r="J6412">
        <v>-233.7585</v>
      </c>
      <c r="K6412">
        <v>1.1103879999999999</v>
      </c>
      <c r="L6412">
        <v>-63.182769999999998</v>
      </c>
      <c r="M6412">
        <v>0.9999017</v>
      </c>
      <c r="N6412">
        <v>-1.403157E-2</v>
      </c>
      <c r="O6412">
        <v>1.4223330000000001E-4</v>
      </c>
      <c r="P6412">
        <v>0.96538670000000004</v>
      </c>
      <c r="Q6412">
        <v>0.2301917</v>
      </c>
      <c r="R6412">
        <v>0.1226394</v>
      </c>
      <c r="S6412">
        <v>3.0392610000000002</v>
      </c>
      <c r="T6412">
        <v>8.9262010000000003E-2</v>
      </c>
      <c r="U6412">
        <v>0.3783569</v>
      </c>
      <c r="V6412">
        <v>-0.1223904</v>
      </c>
      <c r="W6412">
        <v>0.24377109999999999</v>
      </c>
      <c r="X6412">
        <v>0.96207909999999996</v>
      </c>
      <c r="Y6412">
        <v>-0.12336809999999999</v>
      </c>
      <c r="Z6412">
        <v>-9.291519E-4</v>
      </c>
      <c r="AA6412">
        <v>0.99236049999999998</v>
      </c>
      <c r="AB6412">
        <v>27</v>
      </c>
      <c r="AC6412">
        <v>75.8202</v>
      </c>
      <c r="AD6412">
        <v>2.2310479999999999</v>
      </c>
      <c r="AE6412">
        <v>9.4567899999999891</v>
      </c>
      <c r="AF6412">
        <v>-9.4379579124223802</v>
      </c>
      <c r="AG6412">
        <v>2.2310479999999999</v>
      </c>
      <c r="AH6412">
        <v>75.756954283880503</v>
      </c>
      <c r="AI6412">
        <v>88.326055475202295</v>
      </c>
      <c r="AJ6412">
        <v>97.101437706060096</v>
      </c>
      <c r="AK6412">
        <v>76.375184105211204</v>
      </c>
      <c r="AL6412">
        <v>75.890778475134994</v>
      </c>
      <c r="AM6412">
        <v>97.249910907196295</v>
      </c>
      <c r="AN6412">
        <v>0.99999997693208897</v>
      </c>
    </row>
    <row r="6413" spans="1:40" x14ac:dyDescent="0.25">
      <c r="A6413" t="str">
        <f>"20190304155800297"</f>
        <v>20190304155800297</v>
      </c>
      <c r="B6413" t="str">
        <f>"1551686280291116"</f>
        <v>1551686280291116</v>
      </c>
      <c r="C6413" t="s">
        <v>40</v>
      </c>
      <c r="D6413">
        <v>4.661041</v>
      </c>
      <c r="E6413">
        <v>0.49680980000000002</v>
      </c>
      <c r="F6413" t="s">
        <v>73</v>
      </c>
      <c r="G6413">
        <v>-157.9383</v>
      </c>
      <c r="H6413">
        <v>3.260446</v>
      </c>
      <c r="I6413">
        <v>-53.724359999999997</v>
      </c>
      <c r="J6413">
        <v>-233.6328</v>
      </c>
      <c r="K6413">
        <v>1.110379</v>
      </c>
      <c r="L6413">
        <v>-63.182859999999998</v>
      </c>
      <c r="M6413">
        <v>0.99990159999999995</v>
      </c>
      <c r="N6413">
        <v>-1.4030259999999999E-2</v>
      </c>
      <c r="O6413" s="1">
        <v>3.3890419999999998E-5</v>
      </c>
      <c r="P6413">
        <v>0.96555060000000004</v>
      </c>
      <c r="Q6413">
        <v>0.22882060000000001</v>
      </c>
      <c r="R6413">
        <v>0.1239083</v>
      </c>
      <c r="S6413">
        <v>3.0388489999999999</v>
      </c>
      <c r="T6413">
        <v>8.6172699999999894E-2</v>
      </c>
      <c r="U6413">
        <v>0.37908940000000002</v>
      </c>
      <c r="V6413">
        <v>-0.123764899999999</v>
      </c>
      <c r="W6413">
        <v>0.24240149999999999</v>
      </c>
      <c r="X6413">
        <v>0.96224929999999997</v>
      </c>
      <c r="Y6413">
        <v>-0.1237301</v>
      </c>
      <c r="Z6413">
        <v>-8.7429679999999896E-4</v>
      </c>
      <c r="AA6413">
        <v>0.99231550000000002</v>
      </c>
      <c r="AB6413">
        <v>27</v>
      </c>
      <c r="AC6413">
        <v>75.694500000000005</v>
      </c>
      <c r="AD6413">
        <v>2.150067</v>
      </c>
      <c r="AE6413">
        <v>9.4585000000000008</v>
      </c>
      <c r="AF6413">
        <v>-9.4484284643025003</v>
      </c>
      <c r="AG6413">
        <v>2.150067</v>
      </c>
      <c r="AH6413">
        <v>75.634735283493796</v>
      </c>
      <c r="AI6413">
        <v>88.384244380850205</v>
      </c>
      <c r="AJ6413">
        <v>97.120605595457604</v>
      </c>
      <c r="AK6413">
        <v>76.252926304199704</v>
      </c>
      <c r="AL6413">
        <v>75.971677367963593</v>
      </c>
      <c r="AM6413">
        <v>97.329167464598498</v>
      </c>
      <c r="AN6413">
        <v>0.99999997651237404</v>
      </c>
    </row>
    <row r="6414" spans="1:40" x14ac:dyDescent="0.25">
      <c r="A6414" t="str">
        <f>"20190304155800308"</f>
        <v>20190304155800308</v>
      </c>
      <c r="B6414" t="str">
        <f>"1551686280300876"</f>
        <v>1551686280300876</v>
      </c>
      <c r="C6414" t="s">
        <v>40</v>
      </c>
      <c r="D6414">
        <v>4.8264100000000001</v>
      </c>
      <c r="E6414">
        <v>0.49700280000000002</v>
      </c>
      <c r="F6414" t="s">
        <v>73</v>
      </c>
      <c r="G6414">
        <v>-157.9383</v>
      </c>
      <c r="H6414">
        <v>3.5767150000000001</v>
      </c>
      <c r="I6414">
        <v>-53.351990000000001</v>
      </c>
      <c r="J6414">
        <v>-233.49600000000001</v>
      </c>
      <c r="K6414">
        <v>1.1103700000000001</v>
      </c>
      <c r="L6414">
        <v>-63.182980000000001</v>
      </c>
      <c r="M6414">
        <v>0.9999017</v>
      </c>
      <c r="N6414">
        <v>-1.4028830000000001E-2</v>
      </c>
      <c r="O6414" s="1">
        <v>-8.4285929999999994E-5</v>
      </c>
      <c r="P6414">
        <v>0.96562049999999999</v>
      </c>
      <c r="Q6414">
        <v>0.22794919999999999</v>
      </c>
      <c r="R6414">
        <v>0.12496640000000001</v>
      </c>
      <c r="S6414">
        <v>3.0330659999999998</v>
      </c>
      <c r="T6414">
        <v>9.8824739999999994E-2</v>
      </c>
      <c r="U6414">
        <v>0.39392090000000002</v>
      </c>
      <c r="V6414">
        <v>-0.12493750000000001</v>
      </c>
      <c r="W6414">
        <v>0.2415303</v>
      </c>
      <c r="X6414">
        <v>0.96231690000000003</v>
      </c>
      <c r="Y6414">
        <v>-0.12883939999999999</v>
      </c>
      <c r="Z6414">
        <v>-1.1858490000000001E-3</v>
      </c>
      <c r="AA6414">
        <v>0.99166480000000001</v>
      </c>
      <c r="AB6414">
        <v>27</v>
      </c>
      <c r="AC6414">
        <v>75.557699999999897</v>
      </c>
      <c r="AD6414">
        <v>2.466345</v>
      </c>
      <c r="AE6414">
        <v>9.8309899999999999</v>
      </c>
      <c r="AF6414">
        <v>-9.8270626945869797</v>
      </c>
      <c r="AG6414">
        <v>2.466345</v>
      </c>
      <c r="AH6414">
        <v>75.477788855360203</v>
      </c>
      <c r="AI6414">
        <v>88.144097166550196</v>
      </c>
      <c r="AJ6414">
        <v>97.418072009706705</v>
      </c>
      <c r="AK6414">
        <v>76.154780738681794</v>
      </c>
      <c r="AL6414">
        <v>76.0231230593768</v>
      </c>
      <c r="AM6414">
        <v>97.397327474644001</v>
      </c>
      <c r="AN6414">
        <v>1.00000004037497</v>
      </c>
    </row>
    <row r="6415" spans="1:40" x14ac:dyDescent="0.25">
      <c r="A6415" t="str">
        <f>"20190304155800320"</f>
        <v>20190304155800320</v>
      </c>
      <c r="B6415" t="str">
        <f>"1551686280310638"</f>
        <v>1551686280310638</v>
      </c>
      <c r="C6415" t="s">
        <v>40</v>
      </c>
      <c r="D6415">
        <v>5.4832660000000004</v>
      </c>
      <c r="E6415">
        <v>0.49700280000000002</v>
      </c>
      <c r="F6415" t="s">
        <v>73</v>
      </c>
      <c r="G6415">
        <v>-157.9383</v>
      </c>
      <c r="H6415">
        <v>3.0448629999999999</v>
      </c>
      <c r="I6415">
        <v>-53.357100000000003</v>
      </c>
      <c r="J6415">
        <v>-233.3603</v>
      </c>
      <c r="K6415">
        <v>1.1103670000000001</v>
      </c>
      <c r="L6415">
        <v>-63.183109999999999</v>
      </c>
      <c r="M6415">
        <v>0.9999017</v>
      </c>
      <c r="N6415">
        <v>-1.4027420000000001E-2</v>
      </c>
      <c r="O6415">
        <v>-2.0132780000000001E-4</v>
      </c>
      <c r="P6415">
        <v>0.96575370000000005</v>
      </c>
      <c r="Q6415">
        <v>0.22689570000000001</v>
      </c>
      <c r="R6415">
        <v>0.1258505</v>
      </c>
      <c r="S6415">
        <v>3.0373380000000001</v>
      </c>
      <c r="T6415">
        <v>7.7763559999999995E-2</v>
      </c>
      <c r="U6415">
        <v>0.39498899999999998</v>
      </c>
      <c r="V6415">
        <v>-0.12593499999999999</v>
      </c>
      <c r="W6415">
        <v>0.24047750000000001</v>
      </c>
      <c r="X6415">
        <v>0.96245049999999999</v>
      </c>
      <c r="Y6415">
        <v>-0.12913949999999999</v>
      </c>
      <c r="Z6415">
        <v>-7.4424300000000001E-4</v>
      </c>
      <c r="AA6415">
        <v>0.99162609999999995</v>
      </c>
      <c r="AB6415">
        <v>27</v>
      </c>
      <c r="AC6415">
        <v>75.421999999999997</v>
      </c>
      <c r="AD6415">
        <v>1.934496</v>
      </c>
      <c r="AE6415">
        <v>9.8260099999999895</v>
      </c>
      <c r="AF6415">
        <v>-9.8348337869987006</v>
      </c>
      <c r="AG6415">
        <v>1.934496</v>
      </c>
      <c r="AH6415">
        <v>75.371263141936296</v>
      </c>
      <c r="AI6415">
        <v>88.542109778850104</v>
      </c>
      <c r="AJ6415">
        <v>97.4342479151737</v>
      </c>
      <c r="AK6415">
        <v>76.034817932332203</v>
      </c>
      <c r="AL6415">
        <v>76.085275618788103</v>
      </c>
      <c r="AM6415">
        <v>97.454702499480902</v>
      </c>
      <c r="AN6415">
        <v>1.0000000085907499</v>
      </c>
    </row>
    <row r="6416" spans="1:40" x14ac:dyDescent="0.25">
      <c r="A6416" t="str">
        <f>"20190304155800332"</f>
        <v>20190304155800332</v>
      </c>
      <c r="B6416" t="str">
        <f>"1551686280321372"</f>
        <v>1551686280321372</v>
      </c>
      <c r="C6416" t="s">
        <v>40</v>
      </c>
      <c r="D6416">
        <v>4.3032779999999997</v>
      </c>
      <c r="E6416">
        <v>0.49734590000000001</v>
      </c>
      <c r="F6416" t="s">
        <v>73</v>
      </c>
      <c r="G6416">
        <v>-157.9383</v>
      </c>
      <c r="H6416">
        <v>2.959209</v>
      </c>
      <c r="I6416">
        <v>-53.318820000000002</v>
      </c>
      <c r="J6416">
        <v>-233.22290000000001</v>
      </c>
      <c r="K6416">
        <v>1.110363</v>
      </c>
      <c r="L6416">
        <v>-63.183259999999997</v>
      </c>
      <c r="M6416">
        <v>0.99990179999999995</v>
      </c>
      <c r="N6416">
        <v>-1.402599E-2</v>
      </c>
      <c r="O6416">
        <v>-3.1979980000000001E-4</v>
      </c>
      <c r="P6416">
        <v>0.9657251</v>
      </c>
      <c r="Q6416">
        <v>0.22635140000000001</v>
      </c>
      <c r="R6416">
        <v>0.1270452</v>
      </c>
      <c r="S6416">
        <v>3.0371090000000001</v>
      </c>
      <c r="T6416">
        <v>7.4448699999999896E-2</v>
      </c>
      <c r="U6416">
        <v>0.39721679999999998</v>
      </c>
      <c r="V6416">
        <v>-0.127245</v>
      </c>
      <c r="W6416">
        <v>0.2399318</v>
      </c>
      <c r="X6416">
        <v>0.9624144</v>
      </c>
      <c r="Y6416">
        <v>-0.12998409999999999</v>
      </c>
      <c r="Z6416">
        <v>-6.8288660000000005E-4</v>
      </c>
      <c r="AA6416">
        <v>0.99151590000000001</v>
      </c>
      <c r="AB6416">
        <v>27</v>
      </c>
      <c r="AC6416">
        <v>75.284599999999998</v>
      </c>
      <c r="AD6416">
        <v>1.848846</v>
      </c>
      <c r="AE6416">
        <v>9.8644400000000001</v>
      </c>
      <c r="AF6416">
        <v>-9.8826582306749007</v>
      </c>
      <c r="AG6416">
        <v>1.848846</v>
      </c>
      <c r="AH6416">
        <v>75.236831753593904</v>
      </c>
      <c r="AI6416">
        <v>88.604299345770499</v>
      </c>
      <c r="AJ6416">
        <v>97.483187653645203</v>
      </c>
      <c r="AK6416">
        <v>75.905638904857597</v>
      </c>
      <c r="AL6416">
        <v>76.117485074987499</v>
      </c>
      <c r="AM6416">
        <v>97.531641346083305</v>
      </c>
      <c r="AN6416">
        <v>1.0000000180017901</v>
      </c>
    </row>
    <row r="6417" spans="1:40" x14ac:dyDescent="0.25">
      <c r="A6417" t="str">
        <f>"20190304155800343"</f>
        <v>20190304155800343</v>
      </c>
      <c r="B6417" t="str">
        <f>"1551686280340893"</f>
        <v>1551686280340893</v>
      </c>
      <c r="C6417" t="s">
        <v>40</v>
      </c>
      <c r="D6417">
        <v>4.5801749999999997</v>
      </c>
      <c r="E6417">
        <v>0.4953979</v>
      </c>
      <c r="F6417" t="s">
        <v>73</v>
      </c>
      <c r="G6417">
        <v>-157.9383</v>
      </c>
      <c r="H6417">
        <v>3.592149</v>
      </c>
      <c r="I6417">
        <v>-53.291789999999999</v>
      </c>
      <c r="J6417">
        <v>-233.08590000000001</v>
      </c>
      <c r="K6417">
        <v>1.110358</v>
      </c>
      <c r="L6417">
        <v>-63.183439999999997</v>
      </c>
      <c r="M6417">
        <v>0.9999017</v>
      </c>
      <c r="N6417">
        <v>-1.402455E-2</v>
      </c>
      <c r="O6417">
        <v>-4.3779430000000002E-4</v>
      </c>
      <c r="P6417">
        <v>0.96565869999999998</v>
      </c>
      <c r="Q6417">
        <v>0.22583059999999999</v>
      </c>
      <c r="R6417">
        <v>0.12846930000000001</v>
      </c>
      <c r="S6417">
        <v>3.0306850000000001</v>
      </c>
      <c r="T6417">
        <v>9.9906679999999998E-2</v>
      </c>
      <c r="U6417">
        <v>0.39819339999999998</v>
      </c>
      <c r="V6417">
        <v>-0.1287837</v>
      </c>
      <c r="W6417">
        <v>0.23940910000000001</v>
      </c>
      <c r="X6417">
        <v>0.96233990000000003</v>
      </c>
      <c r="Y6417">
        <v>-0.13066159999999999</v>
      </c>
      <c r="Z6417">
        <v>-1.2439809999999999E-3</v>
      </c>
      <c r="AA6417">
        <v>0.99142620000000004</v>
      </c>
      <c r="AB6417">
        <v>27</v>
      </c>
      <c r="AC6417">
        <v>75.147599999999997</v>
      </c>
      <c r="AD6417">
        <v>2.4817909999999901</v>
      </c>
      <c r="AE6417">
        <v>9.8916500000000003</v>
      </c>
      <c r="AF6417">
        <v>-9.9139226452117306</v>
      </c>
      <c r="AG6417">
        <v>2.4817909999999901</v>
      </c>
      <c r="AH6417">
        <v>75.062786200446794</v>
      </c>
      <c r="AI6417">
        <v>88.122618765409896</v>
      </c>
      <c r="AJ6417">
        <v>97.523797745153601</v>
      </c>
      <c r="AK6417">
        <v>75.755310183226797</v>
      </c>
      <c r="AL6417">
        <v>76.148332693094105</v>
      </c>
      <c r="AM6417">
        <v>97.622235891181901</v>
      </c>
      <c r="AN6417">
        <v>1.00000002084025</v>
      </c>
    </row>
    <row r="6418" spans="1:40" x14ac:dyDescent="0.25">
      <c r="A6418" t="str">
        <f>"20190304155800354"</f>
        <v>20190304155800354</v>
      </c>
      <c r="B6418" t="str">
        <f>"1551686280351231"</f>
        <v>1551686280351231</v>
      </c>
      <c r="C6418" t="s">
        <v>40</v>
      </c>
      <c r="D6418">
        <v>5.2066369999999997</v>
      </c>
      <c r="E6418">
        <v>0.49510369999999998</v>
      </c>
      <c r="F6418" t="s">
        <v>73</v>
      </c>
      <c r="G6418">
        <v>-157.9383</v>
      </c>
      <c r="H6418">
        <v>3.7577470000000002</v>
      </c>
      <c r="I6418">
        <v>-52.804119999999998</v>
      </c>
      <c r="J6418">
        <v>-232.95339999999999</v>
      </c>
      <c r="K6418">
        <v>1.1103559999999999</v>
      </c>
      <c r="L6418">
        <v>-63.18356</v>
      </c>
      <c r="M6418">
        <v>0.9999015</v>
      </c>
      <c r="N6418">
        <v>-1.402315E-2</v>
      </c>
      <c r="O6418">
        <v>-5.5173629999999895E-4</v>
      </c>
      <c r="P6418">
        <v>0.96557530000000003</v>
      </c>
      <c r="Q6418">
        <v>0.2255704</v>
      </c>
      <c r="R6418">
        <v>0.12954660000000001</v>
      </c>
      <c r="S6418">
        <v>3.026154</v>
      </c>
      <c r="T6418">
        <v>0.10660790000000001</v>
      </c>
      <c r="U6418">
        <v>0.41796879999999997</v>
      </c>
      <c r="V6418">
        <v>-0.12997110000000001</v>
      </c>
      <c r="W6418">
        <v>0.23914659999999999</v>
      </c>
      <c r="X6418">
        <v>0.96224549999999998</v>
      </c>
      <c r="Y6418">
        <v>-0.13731599999999999</v>
      </c>
      <c r="Z6418">
        <v>-1.466045E-3</v>
      </c>
      <c r="AA6418">
        <v>0.99052620000000002</v>
      </c>
      <c r="AB6418">
        <v>27</v>
      </c>
      <c r="AC6418">
        <v>75.015099999999904</v>
      </c>
      <c r="AD6418">
        <v>2.6473909999999998</v>
      </c>
      <c r="AE6418">
        <v>10.379440000000001</v>
      </c>
      <c r="AF6418">
        <v>-10.408111403948601</v>
      </c>
      <c r="AG6418">
        <v>2.6473909999999998</v>
      </c>
      <c r="AH6418">
        <v>74.917805062614207</v>
      </c>
      <c r="AI6418">
        <v>87.995402181314503</v>
      </c>
      <c r="AJ6418">
        <v>97.909309099451704</v>
      </c>
      <c r="AK6418">
        <v>75.683650661842094</v>
      </c>
      <c r="AL6418">
        <v>76.163822407954498</v>
      </c>
      <c r="AM6418">
        <v>97.692421755734102</v>
      </c>
      <c r="AN6418">
        <v>0.99999999269851003</v>
      </c>
    </row>
    <row r="6419" spans="1:40" x14ac:dyDescent="0.25">
      <c r="A6419" t="str">
        <f>"20190304155800365"</f>
        <v>20190304155800365</v>
      </c>
      <c r="B6419" t="str">
        <f>"1551686280360991"</f>
        <v>1551686280360991</v>
      </c>
      <c r="C6419" t="s">
        <v>40</v>
      </c>
      <c r="D6419">
        <v>4.8390810000000002</v>
      </c>
      <c r="E6419">
        <v>0.49535279999999998</v>
      </c>
      <c r="F6419" t="s">
        <v>73</v>
      </c>
      <c r="G6419">
        <v>-157.9383</v>
      </c>
      <c r="H6419">
        <v>3.8924110000000001</v>
      </c>
      <c r="I6419">
        <v>-52.671770000000002</v>
      </c>
      <c r="J6419">
        <v>-232.81180000000001</v>
      </c>
      <c r="K6419">
        <v>1.110358</v>
      </c>
      <c r="L6419">
        <v>-63.183810000000001</v>
      </c>
      <c r="M6419">
        <v>0.99990159999999995</v>
      </c>
      <c r="N6419">
        <v>-1.402164E-2</v>
      </c>
      <c r="O6419">
        <v>-6.7378309999999999E-4</v>
      </c>
      <c r="P6419">
        <v>0.96558460000000002</v>
      </c>
      <c r="Q6419">
        <v>0.22507759999999999</v>
      </c>
      <c r="R6419">
        <v>0.13033330000000001</v>
      </c>
      <c r="S6419">
        <v>3.023911</v>
      </c>
      <c r="T6419">
        <v>0.1121455</v>
      </c>
      <c r="U6419">
        <v>0.42373660000000002</v>
      </c>
      <c r="V6419">
        <v>-0.1308762</v>
      </c>
      <c r="W6419">
        <v>0.238653</v>
      </c>
      <c r="X6419">
        <v>0.96224540000000003</v>
      </c>
      <c r="Y6419">
        <v>-0.13938130000000001</v>
      </c>
      <c r="Z6419">
        <v>-1.6232079999999999E-3</v>
      </c>
      <c r="AA6419">
        <v>0.99023749999999999</v>
      </c>
      <c r="AB6419">
        <v>27</v>
      </c>
      <c r="AC6419">
        <v>74.873500000000007</v>
      </c>
      <c r="AD6419">
        <v>2.7820529999999999</v>
      </c>
      <c r="AE6419">
        <v>10.512040000000001</v>
      </c>
      <c r="AF6419">
        <v>-10.548209494081799</v>
      </c>
      <c r="AG6419">
        <v>2.7820529999999999</v>
      </c>
      <c r="AH6419">
        <v>74.765172418903703</v>
      </c>
      <c r="AI6419">
        <v>87.889854279320602</v>
      </c>
      <c r="AJ6419">
        <v>98.030545989707903</v>
      </c>
      <c r="AK6419">
        <v>75.556836548748194</v>
      </c>
      <c r="AL6419">
        <v>76.192947340660595</v>
      </c>
      <c r="AM6419">
        <v>97.745343437225998</v>
      </c>
      <c r="AN6419">
        <v>1.0000000219782901</v>
      </c>
    </row>
    <row r="6420" spans="1:40" x14ac:dyDescent="0.25">
      <c r="A6420" t="str">
        <f>"20190304155800376"</f>
        <v>20190304155800376</v>
      </c>
      <c r="B6420" t="str">
        <f>"1551686280370751"</f>
        <v>1551686280370751</v>
      </c>
      <c r="C6420" t="s">
        <v>40</v>
      </c>
      <c r="D6420">
        <v>4.7610479999999997</v>
      </c>
      <c r="E6420">
        <v>0.49445830000000002</v>
      </c>
      <c r="F6420" t="s">
        <v>73</v>
      </c>
      <c r="G6420">
        <v>-157.9383</v>
      </c>
      <c r="H6420">
        <v>3.8168890000000002</v>
      </c>
      <c r="I6420">
        <v>-52.676029999999997</v>
      </c>
      <c r="J6420">
        <v>-232.6825</v>
      </c>
      <c r="K6420">
        <v>1.1103590000000001</v>
      </c>
      <c r="L6420">
        <v>-63.183990000000001</v>
      </c>
      <c r="M6420">
        <v>0.9999015</v>
      </c>
      <c r="N6420">
        <v>-1.402026E-2</v>
      </c>
      <c r="O6420">
        <v>-7.8498350000000001E-4</v>
      </c>
      <c r="P6420">
        <v>0.96556370000000002</v>
      </c>
      <c r="Q6420">
        <v>0.22458210000000001</v>
      </c>
      <c r="R6420">
        <v>0.13133889999999901</v>
      </c>
      <c r="S6420">
        <v>3.0241389999999999</v>
      </c>
      <c r="T6420">
        <v>0.1093158</v>
      </c>
      <c r="U6420">
        <v>0.42440800000000001</v>
      </c>
      <c r="V6420">
        <v>-0.131989299999999</v>
      </c>
      <c r="W6420">
        <v>0.2381557</v>
      </c>
      <c r="X6420">
        <v>0.96221659999999998</v>
      </c>
      <c r="Y6420">
        <v>-0.1397003</v>
      </c>
      <c r="Z6420">
        <v>-1.5666499999999999E-3</v>
      </c>
      <c r="AA6420">
        <v>0.99019259999999998</v>
      </c>
      <c r="AB6420">
        <v>27</v>
      </c>
      <c r="AC6420">
        <v>74.744200000000006</v>
      </c>
      <c r="AD6420">
        <v>2.7065299999999999</v>
      </c>
      <c r="AE6420">
        <v>10.507959999999899</v>
      </c>
      <c r="AF6420">
        <v>-10.5530664338454</v>
      </c>
      <c r="AG6420">
        <v>2.7065299999999999</v>
      </c>
      <c r="AH6420">
        <v>74.639956086956204</v>
      </c>
      <c r="AI6420">
        <v>87.943732480431393</v>
      </c>
      <c r="AJ6420">
        <v>98.047497181197798</v>
      </c>
      <c r="AK6420">
        <v>75.430866099103</v>
      </c>
      <c r="AL6420">
        <v>76.222286877418696</v>
      </c>
      <c r="AM6420">
        <v>97.810638670313693</v>
      </c>
      <c r="AN6420">
        <v>1.0000000490362599</v>
      </c>
    </row>
    <row r="6421" spans="1:40" x14ac:dyDescent="0.25">
      <c r="A6421" t="str">
        <f>"20190304155800387"</f>
        <v>20190304155800387</v>
      </c>
      <c r="B6421" t="str">
        <f>"1551686280380510"</f>
        <v>1551686280380510</v>
      </c>
      <c r="C6421" t="s">
        <v>40</v>
      </c>
      <c r="D6421">
        <v>4.3343489999999996</v>
      </c>
      <c r="E6421">
        <v>0.49445830000000002</v>
      </c>
      <c r="F6421" t="s">
        <v>73</v>
      </c>
      <c r="G6421">
        <v>-157.9383</v>
      </c>
      <c r="H6421">
        <v>3.6079979999999998</v>
      </c>
      <c r="I6421">
        <v>-52.439430000000002</v>
      </c>
      <c r="J6421">
        <v>-232.5419</v>
      </c>
      <c r="K6421">
        <v>1.1103620000000001</v>
      </c>
      <c r="L6421">
        <v>-63.184229999999999</v>
      </c>
      <c r="M6421">
        <v>0.99990140000000005</v>
      </c>
      <c r="N6421">
        <v>-1.401876E-2</v>
      </c>
      <c r="O6421">
        <v>-9.0595699999999999E-4</v>
      </c>
      <c r="P6421">
        <v>0.96558659999999996</v>
      </c>
      <c r="Q6421">
        <v>0.22408220000000001</v>
      </c>
      <c r="R6421">
        <v>0.13202239999999901</v>
      </c>
      <c r="S6421">
        <v>3.0243530000000001</v>
      </c>
      <c r="T6421">
        <v>0.10106030000000001</v>
      </c>
      <c r="U6421">
        <v>0.43475340000000001</v>
      </c>
      <c r="V6421">
        <v>-0.13279009999999999</v>
      </c>
      <c r="W6421">
        <v>0.23765500000000001</v>
      </c>
      <c r="X6421">
        <v>0.96223009999999998</v>
      </c>
      <c r="Y6421">
        <v>-0.14313899999999999</v>
      </c>
      <c r="Z6421">
        <v>-1.4127370000000001E-3</v>
      </c>
      <c r="AA6421">
        <v>0.98970159999999996</v>
      </c>
      <c r="AB6421">
        <v>27</v>
      </c>
      <c r="AC6421">
        <v>74.6036</v>
      </c>
      <c r="AD6421">
        <v>2.497636</v>
      </c>
      <c r="AE6421">
        <v>10.7448</v>
      </c>
      <c r="AF6421">
        <v>-10.800530355790499</v>
      </c>
      <c r="AG6421">
        <v>2.497636</v>
      </c>
      <c r="AH6421">
        <v>74.512016160717096</v>
      </c>
      <c r="AI6421">
        <v>88.100010876842504</v>
      </c>
      <c r="AJ6421">
        <v>98.247591664382199</v>
      </c>
      <c r="AK6421">
        <v>75.332132545745793</v>
      </c>
      <c r="AL6421">
        <v>76.251821337962994</v>
      </c>
      <c r="AM6421">
        <v>97.857328019580706</v>
      </c>
      <c r="AN6421">
        <v>0.999999937514508</v>
      </c>
    </row>
    <row r="6422" spans="1:40" x14ac:dyDescent="0.25">
      <c r="A6422" t="str">
        <f>"20190304155800399"</f>
        <v>20190304155800399</v>
      </c>
      <c r="B6422" t="str">
        <f>"1551686280391247"</f>
        <v>1551686280391247</v>
      </c>
      <c r="C6422" t="s">
        <v>40</v>
      </c>
      <c r="D6422">
        <v>4.7646610000000003</v>
      </c>
      <c r="E6422">
        <v>0.49312139999999999</v>
      </c>
      <c r="F6422" t="s">
        <v>73</v>
      </c>
      <c r="G6422">
        <v>-157.9383</v>
      </c>
      <c r="H6422">
        <v>3.5648689999999998</v>
      </c>
      <c r="I6422">
        <v>-52.407119999999999</v>
      </c>
      <c r="J6422">
        <v>-232.41739999999999</v>
      </c>
      <c r="K6422">
        <v>1.1103639999999999</v>
      </c>
      <c r="L6422">
        <v>-63.184480000000001</v>
      </c>
      <c r="M6422">
        <v>0.99990140000000005</v>
      </c>
      <c r="N6422">
        <v>-1.4017430000000001E-2</v>
      </c>
      <c r="O6422">
        <v>-1.0131070000000001E-3</v>
      </c>
      <c r="P6422">
        <v>0.96563220000000005</v>
      </c>
      <c r="Q6422">
        <v>0.22344339999999999</v>
      </c>
      <c r="R6422">
        <v>0.1327701</v>
      </c>
      <c r="S6422">
        <v>3.024124</v>
      </c>
      <c r="T6422">
        <v>9.9494700000000005E-2</v>
      </c>
      <c r="U6422">
        <v>0.4368591</v>
      </c>
      <c r="V6422">
        <v>-0.13364210000000001</v>
      </c>
      <c r="W6422">
        <v>0.23701530000000001</v>
      </c>
      <c r="X6422">
        <v>0.96226999999999996</v>
      </c>
      <c r="Y6422">
        <v>-0.14393230000000001</v>
      </c>
      <c r="Z6422">
        <v>-1.3879420000000001E-3</v>
      </c>
      <c r="AA6422">
        <v>0.98958659999999998</v>
      </c>
      <c r="AB6422">
        <v>27</v>
      </c>
      <c r="AC6422">
        <v>74.479099999999903</v>
      </c>
      <c r="AD6422">
        <v>2.4545049999999899</v>
      </c>
      <c r="AE6422">
        <v>10.77736</v>
      </c>
      <c r="AF6422">
        <v>-10.8412842300023</v>
      </c>
      <c r="AG6422">
        <v>2.4545049999999899</v>
      </c>
      <c r="AH6422">
        <v>74.389007196333196</v>
      </c>
      <c r="AI6422">
        <v>88.129921938857294</v>
      </c>
      <c r="AJ6422">
        <v>98.2917806834609</v>
      </c>
      <c r="AK6422">
        <v>75.214908297536596</v>
      </c>
      <c r="AL6422">
        <v>76.289552470351595</v>
      </c>
      <c r="AM6422">
        <v>97.906782352996601</v>
      </c>
      <c r="AN6422">
        <v>1.0000000081132401</v>
      </c>
    </row>
    <row r="6423" spans="1:40" x14ac:dyDescent="0.25">
      <c r="A6423" t="str">
        <f>"20190304155800410"</f>
        <v>20190304155800410</v>
      </c>
      <c r="B6423" t="str">
        <f>"1551686280401007"</f>
        <v>1551686280401007</v>
      </c>
      <c r="C6423" t="s">
        <v>40</v>
      </c>
      <c r="D6423">
        <v>4.7724129999999896</v>
      </c>
      <c r="E6423">
        <v>0.4917783</v>
      </c>
      <c r="F6423" t="s">
        <v>73</v>
      </c>
      <c r="G6423">
        <v>-157.9383</v>
      </c>
      <c r="H6423">
        <v>3.32376</v>
      </c>
      <c r="I6423">
        <v>-52.115110000000001</v>
      </c>
      <c r="J6423">
        <v>-232.27869999999999</v>
      </c>
      <c r="K6423">
        <v>1.1103780000000001</v>
      </c>
      <c r="L6423">
        <v>-63.184750000000001</v>
      </c>
      <c r="M6423">
        <v>0.99990129999999999</v>
      </c>
      <c r="N6423">
        <v>-1.4015949999999999E-2</v>
      </c>
      <c r="O6423">
        <v>-1.132175E-3</v>
      </c>
      <c r="P6423">
        <v>0.96575350000000004</v>
      </c>
      <c r="Q6423">
        <v>0.2221697</v>
      </c>
      <c r="R6423">
        <v>0.134018</v>
      </c>
      <c r="S6423">
        <v>3.0241699999999998</v>
      </c>
      <c r="T6423">
        <v>8.9872359999999998E-2</v>
      </c>
      <c r="U6423">
        <v>0.4494629</v>
      </c>
      <c r="V6423">
        <v>-0.1350055</v>
      </c>
      <c r="W6423">
        <v>0.23574210000000001</v>
      </c>
      <c r="X6423">
        <v>0.96239240000000004</v>
      </c>
      <c r="Y6423">
        <v>-0.14809430000000001</v>
      </c>
      <c r="Z6423">
        <v>-1.1935959999999999E-3</v>
      </c>
      <c r="AA6423">
        <v>0.98897250000000003</v>
      </c>
      <c r="AB6423">
        <v>27</v>
      </c>
      <c r="AC6423">
        <v>74.340399999999903</v>
      </c>
      <c r="AD6423">
        <v>2.2133820000000002</v>
      </c>
      <c r="AE6423">
        <v>11.06964</v>
      </c>
      <c r="AF6423">
        <v>-11.1441428670408</v>
      </c>
      <c r="AG6423">
        <v>2.2133820000000002</v>
      </c>
      <c r="AH6423">
        <v>74.2634142302594</v>
      </c>
      <c r="AI6423">
        <v>88.311726722862502</v>
      </c>
      <c r="AJ6423">
        <v>98.534259668070007</v>
      </c>
      <c r="AK6423">
        <v>75.127529396713399</v>
      </c>
      <c r="AL6423">
        <v>76.364628627100004</v>
      </c>
      <c r="AM6423">
        <v>97.985408094100805</v>
      </c>
      <c r="AN6423">
        <v>0.99999997716020905</v>
      </c>
    </row>
    <row r="6424" spans="1:40" x14ac:dyDescent="0.25">
      <c r="A6424" t="str">
        <f>"20190304155800421"</f>
        <v>20190304155800421</v>
      </c>
      <c r="B6424" t="str">
        <f>"1551686280410767"</f>
        <v>1551686280410767</v>
      </c>
      <c r="C6424" t="s">
        <v>40</v>
      </c>
      <c r="D6424">
        <v>4.659014</v>
      </c>
      <c r="E6424">
        <v>0.49076629999999899</v>
      </c>
      <c r="F6424" t="s">
        <v>73</v>
      </c>
      <c r="G6424">
        <v>-157.9383</v>
      </c>
      <c r="H6424">
        <v>3.0338889999999998</v>
      </c>
      <c r="I6424">
        <v>-51.784399999999998</v>
      </c>
      <c r="J6424">
        <v>-232.14269999999999</v>
      </c>
      <c r="K6424">
        <v>1.110379</v>
      </c>
      <c r="L6424">
        <v>-63.185000000000002</v>
      </c>
      <c r="M6424">
        <v>0.99990109999999999</v>
      </c>
      <c r="N6424">
        <v>-1.4014489999999999E-2</v>
      </c>
      <c r="O6424">
        <v>-1.24898E-3</v>
      </c>
      <c r="P6424">
        <v>0.96594769999999996</v>
      </c>
      <c r="Q6424">
        <v>0.2205483</v>
      </c>
      <c r="R6424">
        <v>0.1352912</v>
      </c>
      <c r="S6424">
        <v>3.0240330000000002</v>
      </c>
      <c r="T6424">
        <v>7.8243969999999996E-2</v>
      </c>
      <c r="U6424">
        <v>0.46374510000000002</v>
      </c>
      <c r="V6424">
        <v>-0.1363925</v>
      </c>
      <c r="W6424">
        <v>0.23412269999999999</v>
      </c>
      <c r="X6424">
        <v>0.96259220000000001</v>
      </c>
      <c r="Y6424">
        <v>-0.15279229999999899</v>
      </c>
      <c r="Z6424">
        <v>-9.3738320000000003E-4</v>
      </c>
      <c r="AA6424">
        <v>0.98825790000000002</v>
      </c>
      <c r="AB6424">
        <v>27</v>
      </c>
      <c r="AC6424">
        <v>74.204399999999893</v>
      </c>
      <c r="AD6424">
        <v>1.9235100000000001</v>
      </c>
      <c r="AE6424">
        <v>11.400600000000001</v>
      </c>
      <c r="AF6424">
        <v>-11.4857402724422</v>
      </c>
      <c r="AG6424">
        <v>1.9235100000000001</v>
      </c>
      <c r="AH6424">
        <v>74.141431929855997</v>
      </c>
      <c r="AI6424">
        <v>88.531374098158906</v>
      </c>
      <c r="AJ6424">
        <v>98.806067865439601</v>
      </c>
      <c r="AK6424">
        <v>75.050476673606596</v>
      </c>
      <c r="AL6424">
        <v>76.460086069215805</v>
      </c>
      <c r="AM6424">
        <v>98.064720794989199</v>
      </c>
      <c r="AN6424">
        <v>1.0000000481061799</v>
      </c>
    </row>
    <row r="6425" spans="1:40" x14ac:dyDescent="0.25">
      <c r="A6425" t="str">
        <f>"20190304155800434"</f>
        <v>20190304155800434</v>
      </c>
      <c r="B6425" t="str">
        <f>"1551686280431262"</f>
        <v>1551686280431262</v>
      </c>
      <c r="C6425" t="s">
        <v>40</v>
      </c>
      <c r="D6425">
        <v>5.3026109999999997</v>
      </c>
      <c r="E6425">
        <v>0.48286180000000001</v>
      </c>
      <c r="F6425" t="s">
        <v>73</v>
      </c>
      <c r="G6425">
        <v>-157.3501</v>
      </c>
      <c r="H6425">
        <v>3.3131539999999999</v>
      </c>
      <c r="I6425">
        <v>-51.392919999999997</v>
      </c>
      <c r="J6425">
        <v>-232.0017</v>
      </c>
      <c r="K6425">
        <v>1.1103730000000001</v>
      </c>
      <c r="L6425">
        <v>-63.185299999999998</v>
      </c>
      <c r="M6425">
        <v>0.99990109999999999</v>
      </c>
      <c r="N6425">
        <v>-1.4012989999999999E-2</v>
      </c>
      <c r="O6425">
        <v>-1.3703140000000001E-3</v>
      </c>
      <c r="P6425">
        <v>0.96606829999999999</v>
      </c>
      <c r="Q6425">
        <v>0.21912180000000001</v>
      </c>
      <c r="R6425">
        <v>0.13674040000000001</v>
      </c>
      <c r="S6425">
        <v>3.0187840000000001</v>
      </c>
      <c r="T6425">
        <v>8.8907719999999996E-2</v>
      </c>
      <c r="U6425">
        <v>0.47595209999999999</v>
      </c>
      <c r="V6425">
        <v>-0.13796020000000001</v>
      </c>
      <c r="W6425">
        <v>0.23269690000000001</v>
      </c>
      <c r="X6425">
        <v>0.96271450000000003</v>
      </c>
      <c r="Y6425">
        <v>-0.1570578</v>
      </c>
      <c r="Z6425">
        <v>-1.2499360000000001E-3</v>
      </c>
      <c r="AA6425">
        <v>0.98758860000000004</v>
      </c>
      <c r="AB6425">
        <v>27</v>
      </c>
      <c r="AC6425">
        <v>74.651600000000002</v>
      </c>
      <c r="AD6425">
        <v>2.2027809999999999</v>
      </c>
      <c r="AE6425">
        <v>11.7923799999999</v>
      </c>
      <c r="AF6425">
        <v>-11.884579200009799</v>
      </c>
      <c r="AG6425">
        <v>2.2027809999999999</v>
      </c>
      <c r="AH6425">
        <v>74.572020553711099</v>
      </c>
      <c r="AI6425">
        <v>88.329107658207306</v>
      </c>
      <c r="AJ6425">
        <v>99.055105313153405</v>
      </c>
      <c r="AK6425">
        <v>75.545229606894296</v>
      </c>
      <c r="AL6425">
        <v>76.5440987996285</v>
      </c>
      <c r="AM6425">
        <v>98.155154503048806</v>
      </c>
      <c r="AN6425">
        <v>1.0000000362819399</v>
      </c>
    </row>
    <row r="6426" spans="1:40" x14ac:dyDescent="0.25">
      <c r="A6426" t="str">
        <f>"20190304155800443"</f>
        <v>20190304155800443</v>
      </c>
      <c r="B6426" t="str">
        <f>"1551686280441023"</f>
        <v>1551686280441023</v>
      </c>
      <c r="C6426" t="s">
        <v>40</v>
      </c>
      <c r="D6426">
        <v>4.6635580000000001</v>
      </c>
      <c r="E6426">
        <v>0.47882980000000003</v>
      </c>
      <c r="F6426" t="s">
        <v>73</v>
      </c>
      <c r="G6426">
        <v>-167.99870000000001</v>
      </c>
      <c r="H6426">
        <v>11.533759999999999</v>
      </c>
      <c r="I6426">
        <v>-51.245379999999997</v>
      </c>
      <c r="J6426">
        <v>-231.87299999999999</v>
      </c>
      <c r="K6426">
        <v>1.110363</v>
      </c>
      <c r="L6426">
        <v>-63.185609999999997</v>
      </c>
      <c r="M6426">
        <v>0.99990089999999998</v>
      </c>
      <c r="N6426">
        <v>-1.4011610000000001E-2</v>
      </c>
      <c r="O6426">
        <v>-1.4808009999999999E-3</v>
      </c>
      <c r="P6426">
        <v>0.96624750000000004</v>
      </c>
      <c r="Q6426">
        <v>0.2176352</v>
      </c>
      <c r="R6426">
        <v>0.13784449999999901</v>
      </c>
      <c r="S6426">
        <v>2.9203640000000002</v>
      </c>
      <c r="T6426">
        <v>0.47560229999999998</v>
      </c>
      <c r="U6426">
        <v>0.54479979999999995</v>
      </c>
      <c r="V6426">
        <v>-0.13917170000000001</v>
      </c>
      <c r="W6426">
        <v>0.23121220000000001</v>
      </c>
      <c r="X6426">
        <v>0.96289780000000003</v>
      </c>
      <c r="Y6426">
        <v>-0.18270259999999999</v>
      </c>
      <c r="Z6426">
        <v>-1.3615520000000001E-2</v>
      </c>
      <c r="AA6426">
        <v>0.98307389999999995</v>
      </c>
      <c r="AB6426">
        <v>27</v>
      </c>
      <c r="AC6426">
        <v>63.874299999999899</v>
      </c>
      <c r="AD6426">
        <v>10.423397</v>
      </c>
      <c r="AE6426">
        <v>11.94023</v>
      </c>
      <c r="AF6426">
        <v>-11.7329166859439</v>
      </c>
      <c r="AG6426">
        <v>10.423397</v>
      </c>
      <c r="AH6426">
        <v>62.254698328573703</v>
      </c>
      <c r="AI6426">
        <v>80.656559701288103</v>
      </c>
      <c r="AJ6426">
        <v>100.673134080579</v>
      </c>
      <c r="AK6426">
        <v>64.202461035077405</v>
      </c>
      <c r="AL6426">
        <v>76.631550585641904</v>
      </c>
      <c r="AM6426">
        <v>98.224248840453896</v>
      </c>
      <c r="AN6426">
        <v>1.00000000837728</v>
      </c>
    </row>
    <row r="6427" spans="1:40" x14ac:dyDescent="0.25">
      <c r="A6427" t="str">
        <f>"20190304155800455"</f>
        <v>20190304155800455</v>
      </c>
      <c r="B6427" t="str">
        <f>"1551686280451423"</f>
        <v>1551686280451423</v>
      </c>
      <c r="C6427" t="s">
        <v>40</v>
      </c>
      <c r="D6427">
        <v>4.8468249999999999</v>
      </c>
      <c r="E6427">
        <v>0.47709550000000001</v>
      </c>
      <c r="F6427" t="s">
        <v>73</v>
      </c>
      <c r="G6427">
        <v>-167.99870000000001</v>
      </c>
      <c r="H6427">
        <v>10.77571</v>
      </c>
      <c r="I6427">
        <v>-50.509180000000001</v>
      </c>
      <c r="J6427">
        <v>-231.745</v>
      </c>
      <c r="K6427">
        <v>1.1103479999999999</v>
      </c>
      <c r="L6427">
        <v>-63.18591</v>
      </c>
      <c r="M6427">
        <v>0.99990060000000003</v>
      </c>
      <c r="N6427">
        <v>-1.401025E-2</v>
      </c>
      <c r="O6427">
        <v>-1.590454E-3</v>
      </c>
      <c r="P6427">
        <v>0.96651240000000005</v>
      </c>
      <c r="Q6427">
        <v>0.21591279999999999</v>
      </c>
      <c r="R6427">
        <v>0.13869279999999901</v>
      </c>
      <c r="S6427">
        <v>2.9224549999999998</v>
      </c>
      <c r="T6427">
        <v>0.44221890000000003</v>
      </c>
      <c r="U6427">
        <v>0.57998660000000002</v>
      </c>
      <c r="V6427">
        <v>-0.14012740000000001</v>
      </c>
      <c r="W6427">
        <v>0.22949249999999999</v>
      </c>
      <c r="X6427">
        <v>0.96317050000000004</v>
      </c>
      <c r="Y6427">
        <v>-0.1942777</v>
      </c>
      <c r="Z6427">
        <v>-1.3354939999999999E-2</v>
      </c>
      <c r="AA6427">
        <v>0.98085560000000005</v>
      </c>
      <c r="AB6427">
        <v>27</v>
      </c>
      <c r="AC6427">
        <v>63.746299999999898</v>
      </c>
      <c r="AD6427">
        <v>9.665362</v>
      </c>
      <c r="AE6427">
        <v>12.676729999999999</v>
      </c>
      <c r="AF6427">
        <v>-12.501638564999199</v>
      </c>
      <c r="AG6427">
        <v>9.665362</v>
      </c>
      <c r="AH6427">
        <v>62.347260081333303</v>
      </c>
      <c r="AI6427">
        <v>81.357249814250906</v>
      </c>
      <c r="AJ6427">
        <v>101.338370744598</v>
      </c>
      <c r="AK6427">
        <v>64.318667811533103</v>
      </c>
      <c r="AL6427">
        <v>76.732804426312498</v>
      </c>
      <c r="AM6427">
        <v>98.277633029965898</v>
      </c>
      <c r="AN6427">
        <v>0.99999995392862895</v>
      </c>
    </row>
    <row r="6428" spans="1:40" x14ac:dyDescent="0.25">
      <c r="A6428" t="str">
        <f>"20190304155800466"</f>
        <v>20190304155800466</v>
      </c>
      <c r="B6428" t="str">
        <f>"1551686280461186"</f>
        <v>1551686280461186</v>
      </c>
      <c r="C6428" t="s">
        <v>40</v>
      </c>
      <c r="D6428">
        <v>5.3619089999999998</v>
      </c>
      <c r="E6428">
        <v>0.47670230000000002</v>
      </c>
      <c r="F6428" t="s">
        <v>73</v>
      </c>
      <c r="G6428">
        <v>-167.99870000000001</v>
      </c>
      <c r="H6428">
        <v>10.2494</v>
      </c>
      <c r="I6428">
        <v>-50.192779999999999</v>
      </c>
      <c r="J6428">
        <v>-231.60730000000001</v>
      </c>
      <c r="K6428">
        <v>1.1103339999999999</v>
      </c>
      <c r="L6428">
        <v>-63.186279999999996</v>
      </c>
      <c r="M6428">
        <v>0.99990049999999997</v>
      </c>
      <c r="N6428">
        <v>-1.400879E-2</v>
      </c>
      <c r="O6428">
        <v>-1.708689E-3</v>
      </c>
      <c r="P6428">
        <v>0.96669470000000002</v>
      </c>
      <c r="Q6428">
        <v>0.2146721</v>
      </c>
      <c r="R6428">
        <v>0.1393472</v>
      </c>
      <c r="S6428">
        <v>2.9247130000000001</v>
      </c>
      <c r="T6428">
        <v>0.41930260000000003</v>
      </c>
      <c r="U6428">
        <v>0.59613039999999995</v>
      </c>
      <c r="V6428">
        <v>-0.14089749999999901</v>
      </c>
      <c r="W6428">
        <v>0.22825309999999999</v>
      </c>
      <c r="X6428">
        <v>0.96335269999999995</v>
      </c>
      <c r="Y6428">
        <v>-0.19961180000000001</v>
      </c>
      <c r="Z6428">
        <v>-1.293948E-2</v>
      </c>
      <c r="AA6428">
        <v>0.97978960000000004</v>
      </c>
      <c r="AB6428">
        <v>27</v>
      </c>
      <c r="AC6428">
        <v>63.608600000000003</v>
      </c>
      <c r="AD6428">
        <v>9.1390659999999997</v>
      </c>
      <c r="AE6428">
        <v>12.993499999999999</v>
      </c>
      <c r="AF6428">
        <v>-12.8475900418272</v>
      </c>
      <c r="AG6428">
        <v>9.1390659999999997</v>
      </c>
      <c r="AH6428">
        <v>62.3507551278283</v>
      </c>
      <c r="AI6428">
        <v>81.830485274324403</v>
      </c>
      <c r="AJ6428">
        <v>101.643039806404</v>
      </c>
      <c r="AK6428">
        <v>64.313293822083295</v>
      </c>
      <c r="AL6428">
        <v>76.805753821787306</v>
      </c>
      <c r="AM6428">
        <v>98.320937041125006</v>
      </c>
      <c r="AN6428">
        <v>1.00000000388157</v>
      </c>
    </row>
    <row r="6429" spans="1:40" x14ac:dyDescent="0.25">
      <c r="A6429" t="str">
        <f>"20190304155800476"</f>
        <v>20190304155800476</v>
      </c>
      <c r="B6429" t="str">
        <f>"1551686280470943"</f>
        <v>1551686280470943</v>
      </c>
      <c r="C6429" t="s">
        <v>40</v>
      </c>
      <c r="D6429">
        <v>5.307652</v>
      </c>
      <c r="E6429">
        <v>0.47657660000000002</v>
      </c>
      <c r="F6429" t="s">
        <v>73</v>
      </c>
      <c r="G6429">
        <v>-167.99870000000001</v>
      </c>
      <c r="H6429">
        <v>9.0844229999999992</v>
      </c>
      <c r="I6429">
        <v>-50.158169999999998</v>
      </c>
      <c r="J6429">
        <v>-231.4735</v>
      </c>
      <c r="K6429">
        <v>1.1103229999999999</v>
      </c>
      <c r="L6429">
        <v>-63.186610000000002</v>
      </c>
      <c r="M6429">
        <v>0.99990029999999996</v>
      </c>
      <c r="N6429">
        <v>-1.4007399999999901E-2</v>
      </c>
      <c r="O6429">
        <v>-1.8231059999999999E-3</v>
      </c>
      <c r="P6429">
        <v>0.96671799999999997</v>
      </c>
      <c r="Q6429">
        <v>0.21424869999999999</v>
      </c>
      <c r="R6429">
        <v>0.13983519999999999</v>
      </c>
      <c r="S6429">
        <v>2.9349980000000002</v>
      </c>
      <c r="T6429">
        <v>0.36793480000000001</v>
      </c>
      <c r="U6429">
        <v>0.60113530000000004</v>
      </c>
      <c r="V6429">
        <v>-0.14149619999999999</v>
      </c>
      <c r="W6429">
        <v>0.22782830000000001</v>
      </c>
      <c r="X6429">
        <v>0.96336549999999999</v>
      </c>
      <c r="Y6429">
        <v>-0.20108400000000001</v>
      </c>
      <c r="Z6429">
        <v>-1.1250420000000001E-2</v>
      </c>
      <c r="AA6429">
        <v>0.97950939999999997</v>
      </c>
      <c r="AB6429">
        <v>27</v>
      </c>
      <c r="AC6429">
        <v>63.474799999999902</v>
      </c>
      <c r="AD6429">
        <v>7.9740999999999902</v>
      </c>
      <c r="AE6429">
        <v>13.0284399999999</v>
      </c>
      <c r="AF6429">
        <v>-12.948066120529001</v>
      </c>
      <c r="AG6429">
        <v>7.9740999999999902</v>
      </c>
      <c r="AH6429">
        <v>62.504376814699697</v>
      </c>
      <c r="AI6429">
        <v>82.8792496874335</v>
      </c>
      <c r="AJ6429">
        <v>101.703543926582</v>
      </c>
      <c r="AK6429">
        <v>64.327566470880598</v>
      </c>
      <c r="AL6429">
        <v>76.830751641459997</v>
      </c>
      <c r="AM6429">
        <v>98.355686652854104</v>
      </c>
      <c r="AN6429">
        <v>0.99999999774278903</v>
      </c>
    </row>
    <row r="6430" spans="1:40" x14ac:dyDescent="0.25">
      <c r="A6430" t="str">
        <f>"20190304155800487"</f>
        <v>20190304155800487</v>
      </c>
      <c r="B6430" t="str">
        <f>"1551686280480703"</f>
        <v>1551686280480703</v>
      </c>
      <c r="C6430" t="s">
        <v>40</v>
      </c>
      <c r="D6430">
        <v>4.9763849999999996</v>
      </c>
      <c r="E6430">
        <v>0.47657660000000002</v>
      </c>
      <c r="F6430" t="s">
        <v>73</v>
      </c>
      <c r="G6430">
        <v>-169.244</v>
      </c>
      <c r="H6430">
        <v>8.2007600000000007</v>
      </c>
      <c r="I6430">
        <v>-50.421709999999997</v>
      </c>
      <c r="J6430">
        <v>-231.34049999999999</v>
      </c>
      <c r="K6430">
        <v>1.110314</v>
      </c>
      <c r="L6430">
        <v>-63.187010000000001</v>
      </c>
      <c r="M6430">
        <v>0.99990020000000002</v>
      </c>
      <c r="N6430">
        <v>-1.4006029999999999E-2</v>
      </c>
      <c r="O6430">
        <v>-1.936566E-3</v>
      </c>
      <c r="P6430">
        <v>0.96660840000000003</v>
      </c>
      <c r="Q6430">
        <v>0.2143496</v>
      </c>
      <c r="R6430">
        <v>0.14043629999999999</v>
      </c>
      <c r="S6430">
        <v>2.9417270000000002</v>
      </c>
      <c r="T6430">
        <v>0.33517920000000001</v>
      </c>
      <c r="U6430">
        <v>0.60342410000000002</v>
      </c>
      <c r="V6430">
        <v>-0.14220720000000001</v>
      </c>
      <c r="W6430">
        <v>0.2279263</v>
      </c>
      <c r="X6430">
        <v>0.96323760000000003</v>
      </c>
      <c r="Y6430">
        <v>-0.2017303</v>
      </c>
      <c r="Z6430">
        <v>-1.015185E-2</v>
      </c>
      <c r="AA6430">
        <v>0.9793885</v>
      </c>
      <c r="AB6430">
        <v>27</v>
      </c>
      <c r="AC6430">
        <v>62.096499999999899</v>
      </c>
      <c r="AD6430">
        <v>7.090446</v>
      </c>
      <c r="AE6430">
        <v>12.7653</v>
      </c>
      <c r="AF6430">
        <v>-12.726342754418599</v>
      </c>
      <c r="AG6430">
        <v>7.090446</v>
      </c>
      <c r="AH6430">
        <v>61.304773661887602</v>
      </c>
      <c r="AI6430">
        <v>83.539087570403595</v>
      </c>
      <c r="AJ6430">
        <v>101.727540613206</v>
      </c>
      <c r="AK6430">
        <v>63.011979004925102</v>
      </c>
      <c r="AL6430">
        <v>76.824984694244506</v>
      </c>
      <c r="AM6430">
        <v>98.398174795827302</v>
      </c>
      <c r="AN6430">
        <v>0.99999998000864398</v>
      </c>
    </row>
    <row r="6431" spans="1:40" x14ac:dyDescent="0.25">
      <c r="A6431" t="str">
        <f>"20190304155800499"</f>
        <v>20190304155800499</v>
      </c>
      <c r="B6431" t="str">
        <f>"1551686280491439"</f>
        <v>1551686280491439</v>
      </c>
      <c r="C6431" t="s">
        <v>40</v>
      </c>
      <c r="D6431">
        <v>4.774076</v>
      </c>
      <c r="E6431">
        <v>0.47624430000000001</v>
      </c>
      <c r="F6431" t="s">
        <v>73</v>
      </c>
      <c r="G6431">
        <v>-169.244</v>
      </c>
      <c r="H6431">
        <v>8.1922119999999996</v>
      </c>
      <c r="I6431">
        <v>-50.410229999999999</v>
      </c>
      <c r="J6431">
        <v>-231.2149</v>
      </c>
      <c r="K6431">
        <v>1.1103080000000001</v>
      </c>
      <c r="L6431">
        <v>-63.187350000000002</v>
      </c>
      <c r="M6431">
        <v>0.99989980000000001</v>
      </c>
      <c r="N6431">
        <v>-1.4004610000000001E-2</v>
      </c>
      <c r="O6431">
        <v>-2.0427499999999999E-3</v>
      </c>
      <c r="P6431">
        <v>0.9665956</v>
      </c>
      <c r="Q6431">
        <v>0.21423880000000001</v>
      </c>
      <c r="R6431">
        <v>0.14069300000000001</v>
      </c>
      <c r="S6431">
        <v>2.9413149999999999</v>
      </c>
      <c r="T6431">
        <v>0.3354454</v>
      </c>
      <c r="U6431">
        <v>0.60519409999999996</v>
      </c>
      <c r="V6431">
        <v>-0.142567</v>
      </c>
      <c r="W6431">
        <v>0.2278135</v>
      </c>
      <c r="X6431">
        <v>0.96321109999999999</v>
      </c>
      <c r="Y6431">
        <v>-0.20242019999999999</v>
      </c>
      <c r="Z6431">
        <v>-1.020924E-2</v>
      </c>
      <c r="AA6431">
        <v>0.97924549999999999</v>
      </c>
      <c r="AB6431">
        <v>27</v>
      </c>
      <c r="AC6431">
        <v>61.970899999999901</v>
      </c>
      <c r="AD6431">
        <v>7.0819039999999998</v>
      </c>
      <c r="AE6431">
        <v>12.77712</v>
      </c>
      <c r="AF6431">
        <v>-12.7440530944179</v>
      </c>
      <c r="AG6431">
        <v>7.0819039999999998</v>
      </c>
      <c r="AH6431">
        <v>61.178292151059601</v>
      </c>
      <c r="AI6431">
        <v>83.534495276969594</v>
      </c>
      <c r="AJ6431">
        <v>101.767010379491</v>
      </c>
      <c r="AK6431">
        <v>62.891554950239197</v>
      </c>
      <c r="AL6431">
        <v>76.831622305630106</v>
      </c>
      <c r="AM6431">
        <v>98.419347252888301</v>
      </c>
      <c r="AN6431">
        <v>0.99999998171722904</v>
      </c>
    </row>
    <row r="6432" spans="1:40" x14ac:dyDescent="0.25">
      <c r="A6432" t="str">
        <f>"20190304155800509"</f>
        <v>20190304155800509</v>
      </c>
      <c r="B6432" t="str">
        <f>"1551686280501199"</f>
        <v>1551686280501199</v>
      </c>
      <c r="C6432" t="s">
        <v>40</v>
      </c>
      <c r="D6432">
        <v>4.3081199999999997</v>
      </c>
      <c r="E6432">
        <v>0.47598699999999999</v>
      </c>
      <c r="F6432" t="s">
        <v>73</v>
      </c>
      <c r="G6432">
        <v>-169.244</v>
      </c>
      <c r="H6432">
        <v>8.3276289999999999</v>
      </c>
      <c r="I6432">
        <v>-50.357199999999999</v>
      </c>
      <c r="J6432">
        <v>-231.07990000000001</v>
      </c>
      <c r="K6432">
        <v>1.110314</v>
      </c>
      <c r="L6432">
        <v>-63.187739999999998</v>
      </c>
      <c r="M6432">
        <v>0.99989969999999995</v>
      </c>
      <c r="N6432">
        <v>-1.4003069999999999E-2</v>
      </c>
      <c r="O6432">
        <v>-2.1569169999999999E-3</v>
      </c>
      <c r="P6432">
        <v>0.96672610000000003</v>
      </c>
      <c r="Q6432">
        <v>0.21350530000000001</v>
      </c>
      <c r="R6432">
        <v>0.14091329999999999</v>
      </c>
      <c r="S6432">
        <v>2.9392239999999998</v>
      </c>
      <c r="T6432">
        <v>0.34230939999999999</v>
      </c>
      <c r="U6432">
        <v>0.60852050000000002</v>
      </c>
      <c r="V6432">
        <v>-0.1428989</v>
      </c>
      <c r="W6432">
        <v>0.2270798</v>
      </c>
      <c r="X6432">
        <v>0.96333519999999995</v>
      </c>
      <c r="Y6432">
        <v>-0.20367360000000001</v>
      </c>
      <c r="Z6432">
        <v>-1.052987E-2</v>
      </c>
      <c r="AA6432">
        <v>0.97898220000000002</v>
      </c>
      <c r="AB6432">
        <v>27</v>
      </c>
      <c r="AC6432">
        <v>61.835899999999903</v>
      </c>
      <c r="AD6432">
        <v>7.2173149999999904</v>
      </c>
      <c r="AE6432">
        <v>12.830539999999999</v>
      </c>
      <c r="AF6432">
        <v>-12.796764607042499</v>
      </c>
      <c r="AG6432">
        <v>7.2173149999999904</v>
      </c>
      <c r="AH6432">
        <v>61.011235242917699</v>
      </c>
      <c r="AI6432">
        <v>83.3959478518277</v>
      </c>
      <c r="AJ6432">
        <v>101.845751866363</v>
      </c>
      <c r="AK6432">
        <v>62.755220070396703</v>
      </c>
      <c r="AL6432">
        <v>76.874792169626005</v>
      </c>
      <c r="AM6432">
        <v>98.437594380868504</v>
      </c>
      <c r="AN6432">
        <v>1.0000000193741401</v>
      </c>
    </row>
    <row r="6433" spans="1:40" x14ac:dyDescent="0.25">
      <c r="A6433" t="str">
        <f>"20190304155800520"</f>
        <v>20190304155800520</v>
      </c>
      <c r="B6433" t="str">
        <f>"1551686280510958"</f>
        <v>1551686280510958</v>
      </c>
      <c r="C6433" t="s">
        <v>40</v>
      </c>
      <c r="D6433">
        <v>4.6236079999999999</v>
      </c>
      <c r="E6433">
        <v>0.47610710000000001</v>
      </c>
      <c r="F6433" t="s">
        <v>73</v>
      </c>
      <c r="G6433">
        <v>-167.99870000000001</v>
      </c>
      <c r="H6433">
        <v>8.7809849999999994</v>
      </c>
      <c r="I6433">
        <v>-50.050020000000004</v>
      </c>
      <c r="J6433">
        <v>-230.94560000000001</v>
      </c>
      <c r="K6433">
        <v>1.1103130000000001</v>
      </c>
      <c r="L6433">
        <v>-63.1881699999999</v>
      </c>
      <c r="M6433">
        <v>0.99989939999999999</v>
      </c>
      <c r="N6433">
        <v>-1.4001619999999999E-2</v>
      </c>
      <c r="O6433">
        <v>-2.2688130000000002E-3</v>
      </c>
      <c r="P6433">
        <v>0.96682849999999998</v>
      </c>
      <c r="Q6433">
        <v>0.21281459999999999</v>
      </c>
      <c r="R6433">
        <v>0.14125480000000001</v>
      </c>
      <c r="S6433">
        <v>2.9353180000000001</v>
      </c>
      <c r="T6433">
        <v>0.3569329</v>
      </c>
      <c r="U6433">
        <v>0.61132810000000004</v>
      </c>
      <c r="V6433">
        <v>-0.143349799999999</v>
      </c>
      <c r="W6433">
        <v>0.2263888</v>
      </c>
      <c r="X6433">
        <v>0.96343080000000003</v>
      </c>
      <c r="Y6433">
        <v>-0.2048188</v>
      </c>
      <c r="Z6433">
        <v>-1.112662E-2</v>
      </c>
      <c r="AA6433">
        <v>0.97873659999999996</v>
      </c>
      <c r="AB6433">
        <v>27</v>
      </c>
      <c r="AC6433">
        <v>62.946899999999999</v>
      </c>
      <c r="AD6433">
        <v>7.6706719999999997</v>
      </c>
      <c r="AE6433">
        <v>13.1381499999999</v>
      </c>
      <c r="AF6433">
        <v>-13.0946109803049</v>
      </c>
      <c r="AG6433">
        <v>7.6706719999999997</v>
      </c>
      <c r="AH6433">
        <v>62.034191708290997</v>
      </c>
      <c r="AI6433">
        <v>83.101526555285801</v>
      </c>
      <c r="AJ6433">
        <v>101.91941561731799</v>
      </c>
      <c r="AK6433">
        <v>63.863518432342097</v>
      </c>
      <c r="AL6433">
        <v>76.9154416945603</v>
      </c>
      <c r="AM6433">
        <v>98.463005447091703</v>
      </c>
      <c r="AN6433">
        <v>0.99999998015705904</v>
      </c>
    </row>
    <row r="6434" spans="1:40" x14ac:dyDescent="0.25">
      <c r="A6434" t="str">
        <f>"20190304155800533"</f>
        <v>20190304155800533</v>
      </c>
      <c r="B6434" t="str">
        <f>"1551686280530479"</f>
        <v>1551686280530479</v>
      </c>
      <c r="C6434" t="s">
        <v>40</v>
      </c>
      <c r="D6434">
        <v>5.4054789999999997</v>
      </c>
      <c r="E6434">
        <v>0.47591719999999998</v>
      </c>
      <c r="F6434" t="s">
        <v>73</v>
      </c>
      <c r="G6434">
        <v>-169.244</v>
      </c>
      <c r="H6434">
        <v>8.5207599999999992</v>
      </c>
      <c r="I6434">
        <v>-50.338729999999998</v>
      </c>
      <c r="J6434">
        <v>-230.80500000000001</v>
      </c>
      <c r="K6434">
        <v>1.1103190000000001</v>
      </c>
      <c r="L6434">
        <v>-63.188630000000003</v>
      </c>
      <c r="M6434">
        <v>0.99989930000000005</v>
      </c>
      <c r="N6434">
        <v>-1.400013E-2</v>
      </c>
      <c r="O6434">
        <v>-2.3854750000000002E-3</v>
      </c>
      <c r="P6434">
        <v>0.96698930000000005</v>
      </c>
      <c r="Q6434">
        <v>0.21204419999999999</v>
      </c>
      <c r="R6434">
        <v>0.1413132</v>
      </c>
      <c r="S6434">
        <v>2.9359739999999999</v>
      </c>
      <c r="T6434">
        <v>0.35261320000000002</v>
      </c>
      <c r="U6434">
        <v>0.61141969999999901</v>
      </c>
      <c r="V6434">
        <v>-0.1435227</v>
      </c>
      <c r="W6434">
        <v>0.2256186</v>
      </c>
      <c r="X6434">
        <v>0.96358569999999999</v>
      </c>
      <c r="Y6434">
        <v>-0.2049504</v>
      </c>
      <c r="Z6434">
        <v>-1.0995619999999999E-2</v>
      </c>
      <c r="AA6434">
        <v>0.97871059999999999</v>
      </c>
      <c r="AB6434">
        <v>27</v>
      </c>
      <c r="AC6434">
        <v>61.5609999999999</v>
      </c>
      <c r="AD6434">
        <v>7.4104409999999996</v>
      </c>
      <c r="AE6434">
        <v>12.8499</v>
      </c>
      <c r="AF6434">
        <v>-12.818738048245599</v>
      </c>
      <c r="AG6434">
        <v>7.4104409999999996</v>
      </c>
      <c r="AH6434">
        <v>60.6875046841607</v>
      </c>
      <c r="AI6434">
        <v>83.187046921651699</v>
      </c>
      <c r="AJ6434">
        <v>101.927003295265</v>
      </c>
      <c r="AK6434">
        <v>62.467654876376201</v>
      </c>
      <c r="AL6434">
        <v>76.960742740474004</v>
      </c>
      <c r="AM6434">
        <v>98.471722625822807</v>
      </c>
      <c r="AN6434">
        <v>0.99999995966286903</v>
      </c>
    </row>
    <row r="6435" spans="1:40" x14ac:dyDescent="0.25">
      <c r="A6435" t="str">
        <f>"20190304155800543"</f>
        <v>20190304155800543</v>
      </c>
      <c r="B6435" t="str">
        <f>"1551686280541215"</f>
        <v>1551686280541215</v>
      </c>
      <c r="C6435" t="s">
        <v>40</v>
      </c>
      <c r="D6435">
        <v>5.4981730000000004</v>
      </c>
      <c r="E6435">
        <v>0.47591719999999998</v>
      </c>
      <c r="F6435" t="s">
        <v>73</v>
      </c>
      <c r="G6435">
        <v>-169.244</v>
      </c>
      <c r="H6435">
        <v>7.9023509999999897</v>
      </c>
      <c r="I6435">
        <v>-50.358069999999998</v>
      </c>
      <c r="J6435">
        <v>-230.67619999999999</v>
      </c>
      <c r="K6435">
        <v>1.110322</v>
      </c>
      <c r="L6435">
        <v>-63.189059999999998</v>
      </c>
      <c r="M6435">
        <v>0.99989910000000004</v>
      </c>
      <c r="N6435">
        <v>-1.399885E-2</v>
      </c>
      <c r="O6435">
        <v>-2.4916489999999999E-3</v>
      </c>
      <c r="P6435">
        <v>0.9670185</v>
      </c>
      <c r="Q6435">
        <v>0.21181079999999999</v>
      </c>
      <c r="R6435">
        <v>0.14146359999999999</v>
      </c>
      <c r="S6435">
        <v>2.9416500000000001</v>
      </c>
      <c r="T6435">
        <v>0.32455109999999998</v>
      </c>
      <c r="U6435">
        <v>0.61309809999999998</v>
      </c>
      <c r="V6435">
        <v>-0.1437765</v>
      </c>
      <c r="W6435">
        <v>0.225384</v>
      </c>
      <c r="X6435">
        <v>0.96360279999999998</v>
      </c>
      <c r="Y6435">
        <v>-0.20541809999999999</v>
      </c>
      <c r="Z6435">
        <v>-1.0027350000000001E-2</v>
      </c>
      <c r="AA6435">
        <v>0.97862300000000002</v>
      </c>
      <c r="AB6435">
        <v>27</v>
      </c>
      <c r="AC6435">
        <v>61.432199999999902</v>
      </c>
      <c r="AD6435">
        <v>6.7920289999999897</v>
      </c>
      <c r="AE6435">
        <v>12.83099</v>
      </c>
      <c r="AF6435">
        <v>-12.8337131956155</v>
      </c>
      <c r="AG6435">
        <v>6.7920289999999897</v>
      </c>
      <c r="AH6435">
        <v>60.689192129187397</v>
      </c>
      <c r="AI6435">
        <v>83.751372066421496</v>
      </c>
      <c r="AJ6435">
        <v>101.940214506022</v>
      </c>
      <c r="AK6435">
        <v>62.402034370824701</v>
      </c>
      <c r="AL6435">
        <v>76.974540140168898</v>
      </c>
      <c r="AM6435">
        <v>98.486337323130996</v>
      </c>
      <c r="AN6435">
        <v>0.99999999278804497</v>
      </c>
    </row>
    <row r="6436" spans="1:40" x14ac:dyDescent="0.25">
      <c r="A6436" t="str">
        <f>"20190304155800555"</f>
        <v>20190304155800555</v>
      </c>
      <c r="B6436" t="str">
        <f>"1551686280550508"</f>
        <v>1551686280550508</v>
      </c>
      <c r="C6436" t="s">
        <v>40</v>
      </c>
      <c r="D6436">
        <v>5.0612539999999999</v>
      </c>
      <c r="E6436">
        <v>0.47538619999999998</v>
      </c>
      <c r="F6436" t="s">
        <v>73</v>
      </c>
      <c r="G6436">
        <v>-169.244</v>
      </c>
      <c r="H6436">
        <v>7.8752539999999902</v>
      </c>
      <c r="I6436">
        <v>-50.372970000000002</v>
      </c>
      <c r="J6436">
        <v>-230.54329999999999</v>
      </c>
      <c r="K6436">
        <v>1.1103350000000001</v>
      </c>
      <c r="L6436">
        <v>-63.189480000000003</v>
      </c>
      <c r="M6436">
        <v>0.99989879999999998</v>
      </c>
      <c r="N6436">
        <v>-1.3997539999999999E-2</v>
      </c>
      <c r="O6436">
        <v>-2.6004470000000001E-3</v>
      </c>
      <c r="P6436">
        <v>0.96691879999999997</v>
      </c>
      <c r="Q6436">
        <v>0.21230499999999999</v>
      </c>
      <c r="R6436">
        <v>0.141403799999999</v>
      </c>
      <c r="S6436">
        <v>2.941589</v>
      </c>
      <c r="T6436">
        <v>0.32392729999999997</v>
      </c>
      <c r="U6436">
        <v>0.61367799999999995</v>
      </c>
      <c r="V6436">
        <v>-0.14382220000000001</v>
      </c>
      <c r="W6436">
        <v>0.22587460000000001</v>
      </c>
      <c r="X6436">
        <v>0.96348109999999998</v>
      </c>
      <c r="Y6436">
        <v>-0.2057155</v>
      </c>
      <c r="Z6436">
        <v>-1.003296E-2</v>
      </c>
      <c r="AA6436">
        <v>0.9785604</v>
      </c>
      <c r="AB6436">
        <v>27</v>
      </c>
      <c r="AC6436">
        <v>61.299299999999903</v>
      </c>
      <c r="AD6436">
        <v>6.7649189999999901</v>
      </c>
      <c r="AE6436">
        <v>12.816509999999999</v>
      </c>
      <c r="AF6436">
        <v>-12.8262191328505</v>
      </c>
      <c r="AG6436">
        <v>6.7649189999999901</v>
      </c>
      <c r="AH6436">
        <v>60.559098791256702</v>
      </c>
      <c r="AI6436">
        <v>83.763266354187806</v>
      </c>
      <c r="AJ6436">
        <v>101.958340361266</v>
      </c>
      <c r="AK6436">
        <v>62.271024343025303</v>
      </c>
      <c r="AL6436">
        <v>76.945686826326707</v>
      </c>
      <c r="AM6436">
        <v>98.490052089623305</v>
      </c>
      <c r="AN6436">
        <v>0.99999999509760396</v>
      </c>
    </row>
    <row r="6437" spans="1:40" x14ac:dyDescent="0.25">
      <c r="A6437" t="str">
        <f>"20190304155800566"</f>
        <v>20190304155800566</v>
      </c>
      <c r="B6437" t="str">
        <f>"1551686280561243"</f>
        <v>1551686280561243</v>
      </c>
      <c r="C6437" t="s">
        <v>40</v>
      </c>
      <c r="D6437">
        <v>4.6320069999999998</v>
      </c>
      <c r="E6437">
        <v>0.47527839999999999</v>
      </c>
      <c r="F6437" t="s">
        <v>73</v>
      </c>
      <c r="G6437">
        <v>-169.244</v>
      </c>
      <c r="H6437">
        <v>7.7513149999999902</v>
      </c>
      <c r="I6437">
        <v>-50.316360000000003</v>
      </c>
      <c r="J6437">
        <v>-230.40889999999999</v>
      </c>
      <c r="K6437">
        <v>1.1103479999999999</v>
      </c>
      <c r="L6437">
        <v>-63.189970000000002</v>
      </c>
      <c r="M6437">
        <v>0.99989839999999997</v>
      </c>
      <c r="N6437">
        <v>-1.399622E-2</v>
      </c>
      <c r="O6437">
        <v>-2.7098420000000001E-3</v>
      </c>
      <c r="P6437">
        <v>0.96676569999999995</v>
      </c>
      <c r="Q6437">
        <v>0.21306079999999999</v>
      </c>
      <c r="R6437">
        <v>0.14131289999999999</v>
      </c>
      <c r="S6437">
        <v>2.9422760000000001</v>
      </c>
      <c r="T6437">
        <v>0.31875569999999998</v>
      </c>
      <c r="U6437">
        <v>0.61788940000000003</v>
      </c>
      <c r="V6437">
        <v>-0.14383689999999999</v>
      </c>
      <c r="W6437">
        <v>0.2266261</v>
      </c>
      <c r="X6437">
        <v>0.9633024</v>
      </c>
      <c r="Y6437">
        <v>-0.20714730000000001</v>
      </c>
      <c r="Z6437">
        <v>-9.9265429999999995E-3</v>
      </c>
      <c r="AA6437">
        <v>0.9782594</v>
      </c>
      <c r="AB6437">
        <v>27</v>
      </c>
      <c r="AC6437">
        <v>61.164899999999903</v>
      </c>
      <c r="AD6437">
        <v>6.6409669999999901</v>
      </c>
      <c r="AE6437">
        <v>12.873609999999999</v>
      </c>
      <c r="AF6437">
        <v>-12.8937758187</v>
      </c>
      <c r="AG6437">
        <v>6.6409669999999901</v>
      </c>
      <c r="AH6437">
        <v>60.447430550651497</v>
      </c>
      <c r="AI6437">
        <v>83.867306306354095</v>
      </c>
      <c r="AJ6437">
        <v>102.041055642111</v>
      </c>
      <c r="AK6437">
        <v>62.163041734891202</v>
      </c>
      <c r="AL6437">
        <v>76.901482577897895</v>
      </c>
      <c r="AM6437">
        <v>98.4924593670967</v>
      </c>
      <c r="AN6437">
        <v>0.999999978424289</v>
      </c>
    </row>
    <row r="6438" spans="1:40" x14ac:dyDescent="0.25">
      <c r="A6438" t="str">
        <f>"20190304155800577"</f>
        <v>20190304155800577</v>
      </c>
      <c r="B6438" t="str">
        <f>"1551686280571003"</f>
        <v>1551686280571003</v>
      </c>
      <c r="C6438" t="s">
        <v>40</v>
      </c>
      <c r="D6438">
        <v>4.7780889999999996</v>
      </c>
      <c r="E6438">
        <v>0.47485349999999998</v>
      </c>
      <c r="F6438" t="s">
        <v>73</v>
      </c>
      <c r="G6438">
        <v>-169.244</v>
      </c>
      <c r="H6438">
        <v>7.765987</v>
      </c>
      <c r="I6438">
        <v>-50.324109999999997</v>
      </c>
      <c r="J6438">
        <v>-230.27770000000001</v>
      </c>
      <c r="K6438">
        <v>1.110368</v>
      </c>
      <c r="L6438">
        <v>-63.190429999999999</v>
      </c>
      <c r="M6438">
        <v>0.99989810000000001</v>
      </c>
      <c r="N6438">
        <v>-1.3994889999999999E-2</v>
      </c>
      <c r="O6438">
        <v>-2.8160239999999999E-3</v>
      </c>
      <c r="P6438">
        <v>0.96655800000000003</v>
      </c>
      <c r="Q6438">
        <v>0.21396229999999999</v>
      </c>
      <c r="R6438">
        <v>0.14137069999999999</v>
      </c>
      <c r="S6438">
        <v>2.942123</v>
      </c>
      <c r="T6438">
        <v>0.3201447</v>
      </c>
      <c r="U6438">
        <v>0.61886600000000003</v>
      </c>
      <c r="V6438">
        <v>-0.14399700000000001</v>
      </c>
      <c r="W6438">
        <v>0.2275228</v>
      </c>
      <c r="X6438">
        <v>0.96306709999999995</v>
      </c>
      <c r="Y6438">
        <v>-0.20755999999999999</v>
      </c>
      <c r="Z6438">
        <v>-1.0008080000000001E-2</v>
      </c>
      <c r="AA6438">
        <v>0.97817109999999996</v>
      </c>
      <c r="AB6438">
        <v>27</v>
      </c>
      <c r="AC6438">
        <v>61.033699999999897</v>
      </c>
      <c r="AD6438">
        <v>6.6556189999999997</v>
      </c>
      <c r="AE6438">
        <v>12.86632</v>
      </c>
      <c r="AF6438">
        <v>-12.8913826240262</v>
      </c>
      <c r="AG6438">
        <v>6.6556189999999997</v>
      </c>
      <c r="AH6438">
        <v>60.310553402295099</v>
      </c>
      <c r="AI6438">
        <v>83.840592164994106</v>
      </c>
      <c r="AJ6438">
        <v>102.065408905935</v>
      </c>
      <c r="AK6438">
        <v>62.031023382846897</v>
      </c>
      <c r="AL6438">
        <v>76.848727631768995</v>
      </c>
      <c r="AM6438">
        <v>98.503820787368497</v>
      </c>
      <c r="AN6438">
        <v>0.99999999981562504</v>
      </c>
    </row>
    <row r="6439" spans="1:40" x14ac:dyDescent="0.25">
      <c r="A6439" t="str">
        <f>"20190304155800587"</f>
        <v>20190304155800587</v>
      </c>
      <c r="B6439" t="str">
        <f>"1551686280580763"</f>
        <v>1551686280580763</v>
      </c>
      <c r="C6439" t="s">
        <v>40</v>
      </c>
      <c r="D6439">
        <v>5.2523849999999896</v>
      </c>
      <c r="E6439">
        <v>0.47502080000000002</v>
      </c>
      <c r="F6439" t="s">
        <v>73</v>
      </c>
      <c r="G6439">
        <v>-169.244</v>
      </c>
      <c r="H6439">
        <v>7.3002619999999903</v>
      </c>
      <c r="I6439">
        <v>-50.289279999999998</v>
      </c>
      <c r="J6439">
        <v>-230.14920000000001</v>
      </c>
      <c r="K6439">
        <v>1.1103780000000001</v>
      </c>
      <c r="L6439">
        <v>-63.190890000000003</v>
      </c>
      <c r="M6439">
        <v>0.99989779999999995</v>
      </c>
      <c r="N6439">
        <v>-1.39936E-2</v>
      </c>
      <c r="O6439">
        <v>-2.9198240000000001E-3</v>
      </c>
      <c r="P6439">
        <v>0.96634969999999998</v>
      </c>
      <c r="Q6439">
        <v>0.2147828</v>
      </c>
      <c r="R6439">
        <v>0.14155110000000001</v>
      </c>
      <c r="S6439">
        <v>2.9465479999999999</v>
      </c>
      <c r="T6439">
        <v>0.2988307</v>
      </c>
      <c r="U6439">
        <v>0.62283330000000003</v>
      </c>
      <c r="V6439">
        <v>-0.1442773</v>
      </c>
      <c r="W6439">
        <v>0.2283386</v>
      </c>
      <c r="X6439">
        <v>0.96283200000000002</v>
      </c>
      <c r="Y6439">
        <v>-0.20876639999999999</v>
      </c>
      <c r="Z6439">
        <v>-9.2973359999999998E-3</v>
      </c>
      <c r="AA6439">
        <v>0.97792140000000005</v>
      </c>
      <c r="AB6439">
        <v>27</v>
      </c>
      <c r="AC6439">
        <v>60.905199999999901</v>
      </c>
      <c r="AD6439">
        <v>6.1898839999999904</v>
      </c>
      <c r="AE6439">
        <v>12.90161</v>
      </c>
      <c r="AF6439">
        <v>-12.951375707092</v>
      </c>
      <c r="AG6439">
        <v>6.1898839999999904</v>
      </c>
      <c r="AH6439">
        <v>60.271460390172997</v>
      </c>
      <c r="AI6439">
        <v>84.266258929595693</v>
      </c>
      <c r="AJ6439">
        <v>102.127530279653</v>
      </c>
      <c r="AK6439">
        <v>61.957257316668702</v>
      </c>
      <c r="AL6439">
        <v>76.800721537336699</v>
      </c>
      <c r="AM6439">
        <v>98.522181197468299</v>
      </c>
      <c r="AN6439">
        <v>0.99999995788462404</v>
      </c>
    </row>
    <row r="6440" spans="1:40" x14ac:dyDescent="0.25">
      <c r="A6440" t="str">
        <f>"20190304155800600"</f>
        <v>20190304155800600</v>
      </c>
      <c r="B6440" t="str">
        <f>"1551686280590523"</f>
        <v>1551686280590523</v>
      </c>
      <c r="C6440" t="s">
        <v>40</v>
      </c>
      <c r="D6440">
        <v>4.7640699999999896</v>
      </c>
      <c r="E6440">
        <v>0.47467579999999998</v>
      </c>
      <c r="F6440" t="s">
        <v>73</v>
      </c>
      <c r="G6440">
        <v>-169.244</v>
      </c>
      <c r="H6440">
        <v>7.2475610000000001</v>
      </c>
      <c r="I6440">
        <v>-50.328859999999999</v>
      </c>
      <c r="J6440">
        <v>-230.0164</v>
      </c>
      <c r="K6440">
        <v>1.1103889999999901</v>
      </c>
      <c r="L6440">
        <v>-63.191409999999998</v>
      </c>
      <c r="M6440">
        <v>0.99989760000000005</v>
      </c>
      <c r="N6440">
        <v>-1.399224E-2</v>
      </c>
      <c r="O6440">
        <v>-3.0261300000000001E-3</v>
      </c>
      <c r="P6440">
        <v>0.96612629999999999</v>
      </c>
      <c r="Q6440">
        <v>0.21536089999999999</v>
      </c>
      <c r="R6440">
        <v>0.14219679999999901</v>
      </c>
      <c r="S6440">
        <v>2.9472659999999999</v>
      </c>
      <c r="T6440">
        <v>0.29698350000000001</v>
      </c>
      <c r="U6440">
        <v>0.62240600000000001</v>
      </c>
      <c r="V6440">
        <v>-0.14502570000000001</v>
      </c>
      <c r="W6440">
        <v>0.22891230000000001</v>
      </c>
      <c r="X6440">
        <v>0.96258330000000003</v>
      </c>
      <c r="Y6440">
        <v>-0.20869840000000001</v>
      </c>
      <c r="Z6440">
        <v>-9.2382720000000005E-3</v>
      </c>
      <c r="AA6440">
        <v>0.97793640000000004</v>
      </c>
      <c r="AB6440">
        <v>27</v>
      </c>
      <c r="AC6440">
        <v>60.772399999999898</v>
      </c>
      <c r="AD6440">
        <v>6.1371719999999996</v>
      </c>
      <c r="AE6440">
        <v>12.862550000000001</v>
      </c>
      <c r="AF6440">
        <v>-12.920299829140699</v>
      </c>
      <c r="AG6440">
        <v>6.1371719999999996</v>
      </c>
      <c r="AH6440">
        <v>60.1461107677871</v>
      </c>
      <c r="AI6440">
        <v>84.302914604633301</v>
      </c>
      <c r="AJ6440">
        <v>102.123760268344</v>
      </c>
      <c r="AK6440">
        <v>61.823568874041797</v>
      </c>
      <c r="AL6440">
        <v>76.766956587752503</v>
      </c>
      <c r="AM6440">
        <v>98.567913905788203</v>
      </c>
      <c r="AN6440">
        <v>0.99999995209533299</v>
      </c>
    </row>
    <row r="6441" spans="1:40" x14ac:dyDescent="0.25">
      <c r="A6441" t="str">
        <f>"20190304155800611"</f>
        <v>20190304155800611</v>
      </c>
      <c r="B6441" t="str">
        <f>"1551686280601260"</f>
        <v>1551686280601260</v>
      </c>
      <c r="C6441" t="s">
        <v>40</v>
      </c>
      <c r="D6441">
        <v>4.7606039999999998</v>
      </c>
      <c r="E6441">
        <v>0.47432279999999999</v>
      </c>
      <c r="F6441" t="s">
        <v>73</v>
      </c>
      <c r="G6441">
        <v>-169.244</v>
      </c>
      <c r="H6441">
        <v>6.8193190000000001</v>
      </c>
      <c r="I6441">
        <v>-50.266970000000001</v>
      </c>
      <c r="J6441">
        <v>-229.87090000000001</v>
      </c>
      <c r="K6441">
        <v>1.1103909999999999</v>
      </c>
      <c r="L6441">
        <v>-63.191989999999997</v>
      </c>
      <c r="M6441">
        <v>0.99989729999999999</v>
      </c>
      <c r="N6441">
        <v>-1.399075E-2</v>
      </c>
      <c r="O6441">
        <v>-3.1422099999999999E-3</v>
      </c>
      <c r="P6441">
        <v>0.96581110000000003</v>
      </c>
      <c r="Q6441">
        <v>0.21631120000000001</v>
      </c>
      <c r="R6441">
        <v>0.14289279999999999</v>
      </c>
      <c r="S6441">
        <v>2.9510350000000001</v>
      </c>
      <c r="T6441">
        <v>0.2772174</v>
      </c>
      <c r="U6441">
        <v>0.62759399999999999</v>
      </c>
      <c r="V6441">
        <v>-0.1458323</v>
      </c>
      <c r="W6441">
        <v>0.22985639999999999</v>
      </c>
      <c r="X6441">
        <v>0.96223650000000005</v>
      </c>
      <c r="Y6441">
        <v>-0.21032290000000001</v>
      </c>
      <c r="Z6441">
        <v>-8.5932089999999992E-3</v>
      </c>
      <c r="AA6441">
        <v>0.97759419999999997</v>
      </c>
      <c r="AB6441">
        <v>27</v>
      </c>
      <c r="AC6441">
        <v>60.6268999999999</v>
      </c>
      <c r="AD6441">
        <v>5.7089280000000002</v>
      </c>
      <c r="AE6441">
        <v>12.92502</v>
      </c>
      <c r="AF6441">
        <v>-13.0051732282875</v>
      </c>
      <c r="AG6441">
        <v>5.7089280000000002</v>
      </c>
      <c r="AH6441">
        <v>60.076442186387197</v>
      </c>
      <c r="AI6441">
        <v>84.693794031392301</v>
      </c>
      <c r="AJ6441">
        <v>102.214747229677</v>
      </c>
      <c r="AK6441">
        <v>61.732530284941902</v>
      </c>
      <c r="AL6441">
        <v>76.711383153674902</v>
      </c>
      <c r="AM6441">
        <v>98.617911936907205</v>
      </c>
      <c r="AN6441">
        <v>1.00000005313824</v>
      </c>
    </row>
    <row r="6442" spans="1:40" x14ac:dyDescent="0.25">
      <c r="A6442" t="str">
        <f>"20190304155800622"</f>
        <v>20190304155800622</v>
      </c>
      <c r="B6442" t="str">
        <f>"1551686280611019"</f>
        <v>1551686280611019</v>
      </c>
      <c r="C6442" t="s">
        <v>40</v>
      </c>
      <c r="D6442">
        <v>4.756081</v>
      </c>
      <c r="E6442">
        <v>0.4740316</v>
      </c>
      <c r="F6442" t="s">
        <v>73</v>
      </c>
      <c r="G6442">
        <v>-167.1567</v>
      </c>
      <c r="H6442">
        <v>6.6740890000000004</v>
      </c>
      <c r="I6442">
        <v>-49.75403</v>
      </c>
      <c r="J6442">
        <v>-229.7346</v>
      </c>
      <c r="K6442">
        <v>1.1103860000000001</v>
      </c>
      <c r="L6442">
        <v>-63.192540000000001</v>
      </c>
      <c r="M6442">
        <v>0.99989709999999998</v>
      </c>
      <c r="N6442">
        <v>-1.3989369999999999E-2</v>
      </c>
      <c r="O6442">
        <v>-3.2504249999999999E-3</v>
      </c>
      <c r="P6442">
        <v>0.96555449999999998</v>
      </c>
      <c r="Q6442">
        <v>0.21695059999999999</v>
      </c>
      <c r="R6442">
        <v>0.1436566</v>
      </c>
      <c r="S6442">
        <v>2.9538730000000002</v>
      </c>
      <c r="T6442">
        <v>0.26205220000000001</v>
      </c>
      <c r="U6442">
        <v>0.63293459999999901</v>
      </c>
      <c r="V6442">
        <v>-0.1467002</v>
      </c>
      <c r="W6442">
        <v>0.23049069999999999</v>
      </c>
      <c r="X6442">
        <v>0.96195269999999999</v>
      </c>
      <c r="Y6442">
        <v>-0.2120119</v>
      </c>
      <c r="Z6442">
        <v>-8.1086159999999904E-3</v>
      </c>
      <c r="AA6442">
        <v>0.97723349999999998</v>
      </c>
      <c r="AB6442">
        <v>27</v>
      </c>
      <c r="AC6442">
        <v>62.5779</v>
      </c>
      <c r="AD6442">
        <v>5.5637030000000003</v>
      </c>
      <c r="AE6442">
        <v>13.438510000000001</v>
      </c>
      <c r="AF6442">
        <v>-13.539555507114599</v>
      </c>
      <c r="AG6442">
        <v>5.5637030000000003</v>
      </c>
      <c r="AH6442">
        <v>62.064906959174998</v>
      </c>
      <c r="AI6442">
        <v>84.994609411658203</v>
      </c>
      <c r="AJ6442">
        <v>102.306360242876</v>
      </c>
      <c r="AK6442">
        <v>63.767758548137003</v>
      </c>
      <c r="AL6442">
        <v>76.674036359511405</v>
      </c>
      <c r="AM6442">
        <v>98.6709419245867</v>
      </c>
      <c r="AN6442">
        <v>0.99999995425190902</v>
      </c>
    </row>
    <row r="6443" spans="1:40" x14ac:dyDescent="0.25">
      <c r="A6443" t="str">
        <f>"20190304155800635"</f>
        <v>20190304155800635</v>
      </c>
      <c r="B6443" t="str">
        <f>"1551686280630540"</f>
        <v>1551686280630540</v>
      </c>
      <c r="C6443" t="s">
        <v>40</v>
      </c>
      <c r="D6443">
        <v>4.2852459999999999</v>
      </c>
      <c r="E6443">
        <v>0.47382560000000001</v>
      </c>
      <c r="F6443" t="s">
        <v>73</v>
      </c>
      <c r="G6443">
        <v>-163.4126</v>
      </c>
      <c r="H6443">
        <v>6.6740890000000004</v>
      </c>
      <c r="I6443">
        <v>-48.887479999999996</v>
      </c>
      <c r="J6443">
        <v>-229.60210000000001</v>
      </c>
      <c r="K6443">
        <v>1.1103829999999999</v>
      </c>
      <c r="L6443">
        <v>-63.193049999999999</v>
      </c>
      <c r="M6443">
        <v>0.99989669999999997</v>
      </c>
      <c r="N6443">
        <v>-1.398803E-2</v>
      </c>
      <c r="O6443">
        <v>-3.3549439999999999E-3</v>
      </c>
      <c r="P6443">
        <v>0.96534609999999998</v>
      </c>
      <c r="Q6443">
        <v>0.21761610000000001</v>
      </c>
      <c r="R6443">
        <v>0.14404879999999901</v>
      </c>
      <c r="S6443">
        <v>2.9563899999999999</v>
      </c>
      <c r="T6443">
        <v>0.24800800000000001</v>
      </c>
      <c r="U6443">
        <v>0.63766480000000003</v>
      </c>
      <c r="V6443">
        <v>-0.14719209999999999</v>
      </c>
      <c r="W6443">
        <v>0.23115140000000001</v>
      </c>
      <c r="X6443">
        <v>0.96171899999999999</v>
      </c>
      <c r="Y6443">
        <v>-0.21351200000000001</v>
      </c>
      <c r="Z6443">
        <v>-7.6504999999999898E-3</v>
      </c>
      <c r="AA6443">
        <v>0.97691050000000001</v>
      </c>
      <c r="AB6443">
        <v>27</v>
      </c>
      <c r="AC6443">
        <v>66.189499999999995</v>
      </c>
      <c r="AD6443">
        <v>5.5637059999999998</v>
      </c>
      <c r="AE6443">
        <v>14.305569999999999</v>
      </c>
      <c r="AF6443">
        <v>-14.430165353332701</v>
      </c>
      <c r="AG6443">
        <v>5.5637059999999998</v>
      </c>
      <c r="AH6443">
        <v>65.697649806375793</v>
      </c>
      <c r="AI6443">
        <v>85.271555799275106</v>
      </c>
      <c r="AJ6443">
        <v>102.388020300268</v>
      </c>
      <c r="AK6443">
        <v>67.493449212943204</v>
      </c>
      <c r="AL6443">
        <v>76.635130499410195</v>
      </c>
      <c r="AM6443">
        <v>98.701654018071594</v>
      </c>
      <c r="AN6443">
        <v>0.99999995949268405</v>
      </c>
    </row>
    <row r="6444" spans="1:40" x14ac:dyDescent="0.25">
      <c r="A6444" t="str">
        <f>"20190304155800644"</f>
        <v>20190304155800644</v>
      </c>
      <c r="B6444" t="str">
        <f>"1551686280641275"</f>
        <v>1551686280641275</v>
      </c>
      <c r="C6444" t="s">
        <v>40</v>
      </c>
      <c r="D6444">
        <v>4.7520519999999999</v>
      </c>
      <c r="E6444">
        <v>0.47357650000000001</v>
      </c>
      <c r="F6444" t="s">
        <v>73</v>
      </c>
      <c r="G6444">
        <v>-162.98609999999999</v>
      </c>
      <c r="H6444">
        <v>6.6740890000000004</v>
      </c>
      <c r="I6444">
        <v>-48.758200000000002</v>
      </c>
      <c r="J6444">
        <v>-229.48060000000001</v>
      </c>
      <c r="K6444">
        <v>1.1103809999999901</v>
      </c>
      <c r="L6444">
        <v>-63.193570000000001</v>
      </c>
      <c r="M6444">
        <v>0.99989629999999996</v>
      </c>
      <c r="N6444">
        <v>-1.3986810000000001E-2</v>
      </c>
      <c r="O6444">
        <v>-3.4500429999999999E-3</v>
      </c>
      <c r="P6444">
        <v>0.96495419999999998</v>
      </c>
      <c r="Q6444">
        <v>0.21889230000000001</v>
      </c>
      <c r="R6444">
        <v>0.1447406</v>
      </c>
      <c r="S6444">
        <v>2.9564509999999999</v>
      </c>
      <c r="T6444">
        <v>0.24691920000000001</v>
      </c>
      <c r="U6444">
        <v>0.640625</v>
      </c>
      <c r="V6444">
        <v>-0.1479751</v>
      </c>
      <c r="W6444">
        <v>0.23242099999999999</v>
      </c>
      <c r="X6444">
        <v>0.96129279999999995</v>
      </c>
      <c r="Y6444">
        <v>-0.2145379</v>
      </c>
      <c r="Z6444">
        <v>-7.6536379999999999E-3</v>
      </c>
      <c r="AA6444">
        <v>0.97668569999999999</v>
      </c>
      <c r="AB6444">
        <v>27</v>
      </c>
      <c r="AC6444">
        <v>66.494500000000002</v>
      </c>
      <c r="AD6444">
        <v>5.5637080000000001</v>
      </c>
      <c r="AE6444">
        <v>14.435369999999899</v>
      </c>
      <c r="AF6444">
        <v>-14.567320337728299</v>
      </c>
      <c r="AG6444">
        <v>5.5637080000000001</v>
      </c>
      <c r="AH6444">
        <v>66.003009873134403</v>
      </c>
      <c r="AI6444">
        <v>85.294376214374395</v>
      </c>
      <c r="AJ6444">
        <v>102.446045889922</v>
      </c>
      <c r="AK6444">
        <v>67.820048516971298</v>
      </c>
      <c r="AL6444">
        <v>76.560351834263699</v>
      </c>
      <c r="AM6444">
        <v>98.751047254001307</v>
      </c>
      <c r="AN6444">
        <v>0.99999999939642403</v>
      </c>
    </row>
    <row r="6445" spans="1:40" x14ac:dyDescent="0.25">
      <c r="A6445" t="str">
        <f>"20190304155800655"</f>
        <v>20190304155800655</v>
      </c>
      <c r="B6445" t="str">
        <f>"1551686280651035"</f>
        <v>1551686280651035</v>
      </c>
      <c r="C6445" t="s">
        <v>40</v>
      </c>
      <c r="D6445">
        <v>4.7436720000000001</v>
      </c>
      <c r="E6445">
        <v>0.47334969999999998</v>
      </c>
      <c r="F6445" t="s">
        <v>73</v>
      </c>
      <c r="G6445">
        <v>-160.6541</v>
      </c>
      <c r="H6445">
        <v>6.6740909999999998</v>
      </c>
      <c r="I6445">
        <v>-48.184939999999997</v>
      </c>
      <c r="J6445">
        <v>-229.351</v>
      </c>
      <c r="K6445">
        <v>1.110385</v>
      </c>
      <c r="L6445">
        <v>-63.194119999999998</v>
      </c>
      <c r="M6445">
        <v>0.99989600000000001</v>
      </c>
      <c r="N6445">
        <v>-1.398549E-2</v>
      </c>
      <c r="O6445">
        <v>-3.5501389999999999E-3</v>
      </c>
      <c r="P6445">
        <v>0.96451739999999997</v>
      </c>
      <c r="Q6445">
        <v>0.22046009999999999</v>
      </c>
      <c r="R6445">
        <v>0.14527229999999999</v>
      </c>
      <c r="S6445">
        <v>2.957932</v>
      </c>
      <c r="T6445">
        <v>0.2391086</v>
      </c>
      <c r="U6445">
        <v>0.64501949999999997</v>
      </c>
      <c r="V6445">
        <v>-0.14860179999999901</v>
      </c>
      <c r="W6445">
        <v>0.2339803</v>
      </c>
      <c r="X6445">
        <v>0.96081780000000006</v>
      </c>
      <c r="Y6445">
        <v>-0.21595790000000001</v>
      </c>
      <c r="Z6445">
        <v>-7.4162280000000004E-3</v>
      </c>
      <c r="AA6445">
        <v>0.97637450000000003</v>
      </c>
      <c r="AB6445">
        <v>27</v>
      </c>
      <c r="AC6445">
        <v>68.696899999999999</v>
      </c>
      <c r="AD6445">
        <v>5.5637059999999998</v>
      </c>
      <c r="AE6445">
        <v>15.009179999999899</v>
      </c>
      <c r="AF6445">
        <v>-15.158096931227799</v>
      </c>
      <c r="AG6445">
        <v>5.5637059999999998</v>
      </c>
      <c r="AH6445">
        <v>68.216116545677593</v>
      </c>
      <c r="AI6445">
        <v>85.447823385231501</v>
      </c>
      <c r="AJ6445">
        <v>102.52797523754199</v>
      </c>
      <c r="AK6445">
        <v>70.101079047361296</v>
      </c>
      <c r="AL6445">
        <v>76.468478250479905</v>
      </c>
      <c r="AM6445">
        <v>98.791808599017003</v>
      </c>
      <c r="AN6445">
        <v>1.0000000602740799</v>
      </c>
    </row>
    <row r="6446" spans="1:40" x14ac:dyDescent="0.25">
      <c r="A6446" t="str">
        <f>"20190304155800666"</f>
        <v>20190304155800666</v>
      </c>
      <c r="B6446" t="str">
        <f>"1551686280660796"</f>
        <v>1551686280660796</v>
      </c>
      <c r="C6446" t="s">
        <v>40</v>
      </c>
      <c r="D6446">
        <v>4.751328</v>
      </c>
      <c r="E6446">
        <v>0.47319240000000001</v>
      </c>
      <c r="F6446" t="s">
        <v>73</v>
      </c>
      <c r="G6446">
        <v>-158.6808</v>
      </c>
      <c r="H6446">
        <v>6.6740880000000002</v>
      </c>
      <c r="I6446">
        <v>-47.700699999999998</v>
      </c>
      <c r="J6446">
        <v>-229.21530000000001</v>
      </c>
      <c r="K6446">
        <v>1.110387</v>
      </c>
      <c r="L6446">
        <v>-63.19473</v>
      </c>
      <c r="M6446">
        <v>0.99989550000000005</v>
      </c>
      <c r="N6446">
        <v>-1.3984119999999999E-2</v>
      </c>
      <c r="O6446">
        <v>-3.6532040000000002E-3</v>
      </c>
      <c r="P6446">
        <v>0.96401559999999997</v>
      </c>
      <c r="Q6446">
        <v>0.2223678</v>
      </c>
      <c r="R6446">
        <v>0.14569289999999999</v>
      </c>
      <c r="S6446">
        <v>2.9593959999999999</v>
      </c>
      <c r="T6446">
        <v>0.23298540000000001</v>
      </c>
      <c r="U6446">
        <v>0.64880369999999998</v>
      </c>
      <c r="V6446">
        <v>-0.14912059999999999</v>
      </c>
      <c r="W6446">
        <v>0.2358788</v>
      </c>
      <c r="X6446">
        <v>0.96027300000000004</v>
      </c>
      <c r="Y6446">
        <v>-0.21717819999999999</v>
      </c>
      <c r="Z6446">
        <v>-7.2319949999999997E-3</v>
      </c>
      <c r="AA6446">
        <v>0.97610520000000001</v>
      </c>
      <c r="AB6446">
        <v>26</v>
      </c>
      <c r="AC6446">
        <v>70.534499999999994</v>
      </c>
      <c r="AD6446">
        <v>5.563701</v>
      </c>
      <c r="AE6446">
        <v>15.49403</v>
      </c>
      <c r="AF6446">
        <v>-15.6586863908057</v>
      </c>
      <c r="AG6446">
        <v>5.563701</v>
      </c>
      <c r="AH6446">
        <v>70.061569536755002</v>
      </c>
      <c r="AI6446">
        <v>85.5684602696345</v>
      </c>
      <c r="AJ6446">
        <v>102.59849688979</v>
      </c>
      <c r="AK6446">
        <v>72.005366149034799</v>
      </c>
      <c r="AL6446">
        <v>76.356569295958707</v>
      </c>
      <c r="AM6446">
        <v>98.826946908432305</v>
      </c>
      <c r="AN6446">
        <v>0.99999999808140005</v>
      </c>
    </row>
    <row r="6447" spans="1:40" x14ac:dyDescent="0.25">
      <c r="A6447" t="str">
        <f>"20190304155800677"</f>
        <v>20190304155800677</v>
      </c>
      <c r="B6447" t="str">
        <f>"1551686280670555"</f>
        <v>1551686280670555</v>
      </c>
      <c r="C6447" t="s">
        <v>40</v>
      </c>
      <c r="D6447">
        <v>4.6667569999999996</v>
      </c>
      <c r="E6447">
        <v>0.47319240000000001</v>
      </c>
      <c r="F6447" t="s">
        <v>73</v>
      </c>
      <c r="G6447">
        <v>-157.3501</v>
      </c>
      <c r="H6447">
        <v>6.6585020000000004</v>
      </c>
      <c r="I6447">
        <v>-47.373809999999999</v>
      </c>
      <c r="J6447">
        <v>-229.08869999999999</v>
      </c>
      <c r="K6447">
        <v>1.1103909999999999</v>
      </c>
      <c r="L6447">
        <v>-63.195279999999997</v>
      </c>
      <c r="M6447">
        <v>0.99989519999999998</v>
      </c>
      <c r="N6447">
        <v>-1.398282E-2</v>
      </c>
      <c r="O6447">
        <v>-3.7463610000000001E-3</v>
      </c>
      <c r="P6447">
        <v>0.96363569999999998</v>
      </c>
      <c r="Q6447">
        <v>0.2236609</v>
      </c>
      <c r="R6447">
        <v>0.1462263</v>
      </c>
      <c r="S6447">
        <v>2.9607239999999999</v>
      </c>
      <c r="T6447">
        <v>0.22857179999999999</v>
      </c>
      <c r="U6447">
        <v>0.6517944</v>
      </c>
      <c r="V6447">
        <v>-0.14974309999999999</v>
      </c>
      <c r="W6447">
        <v>0.2371645</v>
      </c>
      <c r="X6447">
        <v>0.95985940000000003</v>
      </c>
      <c r="Y6447">
        <v>-0.21813850000000001</v>
      </c>
      <c r="Z6447">
        <v>-7.1008659999999999E-3</v>
      </c>
      <c r="AA6447">
        <v>0.97589199999999998</v>
      </c>
      <c r="AB6447">
        <v>26</v>
      </c>
      <c r="AC6447">
        <v>71.738599999999906</v>
      </c>
      <c r="AD6447">
        <v>5.5481109999999996</v>
      </c>
      <c r="AE6447">
        <v>15.82147</v>
      </c>
      <c r="AF6447">
        <v>-15.9988907030926</v>
      </c>
      <c r="AG6447">
        <v>5.5481109999999996</v>
      </c>
      <c r="AH6447">
        <v>71.272300359755803</v>
      </c>
      <c r="AI6447">
        <v>85.656510335590298</v>
      </c>
      <c r="AJ6447">
        <v>102.65178086704201</v>
      </c>
      <c r="AK6447">
        <v>73.256309202478107</v>
      </c>
      <c r="AL6447">
        <v>76.280753381385594</v>
      </c>
      <c r="AM6447">
        <v>98.866969370392795</v>
      </c>
      <c r="AN6447">
        <v>1.0000000319130999</v>
      </c>
    </row>
    <row r="6448" spans="1:40" x14ac:dyDescent="0.25">
      <c r="A6448" t="str">
        <f>"20190304155800689"</f>
        <v>20190304155800689</v>
      </c>
      <c r="B6448" t="str">
        <f>"1551686280681292"</f>
        <v>1551686280681292</v>
      </c>
      <c r="C6448" t="s">
        <v>40</v>
      </c>
      <c r="D6448">
        <v>5.0541479999999996</v>
      </c>
      <c r="E6448">
        <v>0.47010000000000002</v>
      </c>
      <c r="F6448" t="s">
        <v>73</v>
      </c>
      <c r="G6448">
        <v>-158.2859</v>
      </c>
      <c r="H6448">
        <v>6.6740890000000004</v>
      </c>
      <c r="I6448">
        <v>-47.563920000000003</v>
      </c>
      <c r="J6448">
        <v>-228.95480000000001</v>
      </c>
      <c r="K6448">
        <v>1.110393</v>
      </c>
      <c r="L6448">
        <v>-63.195920000000001</v>
      </c>
      <c r="M6448">
        <v>0.99989490000000003</v>
      </c>
      <c r="N6448">
        <v>-1.3981439999999999E-2</v>
      </c>
      <c r="O6448">
        <v>-3.8435600000000002E-3</v>
      </c>
      <c r="P6448">
        <v>0.96341880000000002</v>
      </c>
      <c r="Q6448">
        <v>0.22438920000000001</v>
      </c>
      <c r="R6448">
        <v>0.14653920000000001</v>
      </c>
      <c r="S6448">
        <v>2.9600680000000001</v>
      </c>
      <c r="T6448">
        <v>0.2326019</v>
      </c>
      <c r="U6448">
        <v>0.65350339999999996</v>
      </c>
      <c r="V6448">
        <v>-0.1501506</v>
      </c>
      <c r="W6448">
        <v>0.2378866</v>
      </c>
      <c r="X6448">
        <v>0.95961700000000005</v>
      </c>
      <c r="Y6448">
        <v>-0.2187935</v>
      </c>
      <c r="Z6448">
        <v>-7.282902E-3</v>
      </c>
      <c r="AA6448">
        <v>0.97574399999999994</v>
      </c>
      <c r="AB6448">
        <v>26</v>
      </c>
      <c r="AC6448">
        <v>70.668899999999994</v>
      </c>
      <c r="AD6448">
        <v>5.5636960000000002</v>
      </c>
      <c r="AE6448">
        <v>15.6319999999999</v>
      </c>
      <c r="AF6448">
        <v>-15.8101071904257</v>
      </c>
      <c r="AG6448">
        <v>5.5636960000000002</v>
      </c>
      <c r="AH6448">
        <v>70.193506752580902</v>
      </c>
      <c r="AI6448">
        <v>85.5783952684166</v>
      </c>
      <c r="AJ6448">
        <v>102.693255033664</v>
      </c>
      <c r="AK6448">
        <v>72.166769310935507</v>
      </c>
      <c r="AL6448">
        <v>76.238160884407094</v>
      </c>
      <c r="AM6448">
        <v>98.892924238470997</v>
      </c>
      <c r="AN6448">
        <v>1.0000000119144501</v>
      </c>
    </row>
    <row r="6449" spans="1:40" x14ac:dyDescent="0.25">
      <c r="A6449" t="str">
        <f>"20190304155800700"</f>
        <v>20190304155800700</v>
      </c>
      <c r="B6449" t="str">
        <f>"1551686280691052"</f>
        <v>1551686280691052</v>
      </c>
      <c r="C6449" t="s">
        <v>40</v>
      </c>
      <c r="D6449">
        <v>4.6762519999999999</v>
      </c>
      <c r="E6449">
        <v>0.47010000000000002</v>
      </c>
      <c r="F6449" t="s">
        <v>73</v>
      </c>
      <c r="G6449">
        <v>-157.3501</v>
      </c>
      <c r="H6449">
        <v>21.47392</v>
      </c>
      <c r="I6449">
        <v>-46.09892</v>
      </c>
      <c r="J6449">
        <v>-228.8203</v>
      </c>
      <c r="K6449">
        <v>1.1103989999999999</v>
      </c>
      <c r="L6449">
        <v>-63.196530000000003</v>
      </c>
      <c r="M6449">
        <v>0.99989459999999997</v>
      </c>
      <c r="N6449">
        <v>-1.3980050000000001E-2</v>
      </c>
      <c r="O6449">
        <v>-3.9356069999999998E-3</v>
      </c>
      <c r="P6449">
        <v>0.96352439999999995</v>
      </c>
      <c r="Q6449">
        <v>0.22385179999999999</v>
      </c>
      <c r="R6449">
        <v>0.14666709999999999</v>
      </c>
      <c r="S6449">
        <v>2.824265</v>
      </c>
      <c r="T6449">
        <v>0.8031857</v>
      </c>
      <c r="U6449">
        <v>0.67434689999999997</v>
      </c>
      <c r="V6449">
        <v>-0.15037049999999999</v>
      </c>
      <c r="W6449">
        <v>0.23734739999999999</v>
      </c>
      <c r="X6449">
        <v>0.95971609999999996</v>
      </c>
      <c r="Y6449">
        <v>-0.22780210000000001</v>
      </c>
      <c r="Z6449">
        <v>-3.0840530000000001E-2</v>
      </c>
      <c r="AA6449">
        <v>0.9732189</v>
      </c>
      <c r="AB6449">
        <v>26</v>
      </c>
      <c r="AC6449">
        <v>71.470200000000006</v>
      </c>
      <c r="AD6449">
        <v>20.363520999999999</v>
      </c>
      <c r="AE6449">
        <v>17.09761</v>
      </c>
      <c r="AF6449">
        <v>-16.139484664675599</v>
      </c>
      <c r="AG6449">
        <v>20.363520999999999</v>
      </c>
      <c r="AH6449">
        <v>66.310575095532897</v>
      </c>
      <c r="AI6449">
        <v>73.385832523670899</v>
      </c>
      <c r="AJ6449">
        <v>103.679371141467</v>
      </c>
      <c r="AK6449">
        <v>71.219718633669501</v>
      </c>
      <c r="AL6449">
        <v>76.269966002965205</v>
      </c>
      <c r="AM6449">
        <v>98.904834712029597</v>
      </c>
      <c r="AN6449">
        <v>1.0000000340780999</v>
      </c>
    </row>
    <row r="6450" spans="1:40" x14ac:dyDescent="0.25">
      <c r="A6450" t="str">
        <f>"20190304155800711"</f>
        <v>20190304155800711</v>
      </c>
      <c r="B6450" t="str">
        <f>"1551686280700811"</f>
        <v>1551686280700811</v>
      </c>
      <c r="C6450" t="s">
        <v>40</v>
      </c>
      <c r="D6450">
        <v>4.64154</v>
      </c>
      <c r="E6450">
        <v>0.44858179999999998</v>
      </c>
      <c r="F6450" t="s">
        <v>73</v>
      </c>
      <c r="G6450">
        <v>-157.3501</v>
      </c>
      <c r="H6450">
        <v>21.391919999999999</v>
      </c>
      <c r="I6450">
        <v>-46.124670000000002</v>
      </c>
      <c r="J6450">
        <v>-228.69040000000001</v>
      </c>
      <c r="K6450">
        <v>1.110401</v>
      </c>
      <c r="L6450">
        <v>-63.197139999999997</v>
      </c>
      <c r="M6450">
        <v>0.99989419999999996</v>
      </c>
      <c r="N6450">
        <v>-1.397868E-2</v>
      </c>
      <c r="O6450">
        <v>-4.022645E-3</v>
      </c>
      <c r="P6450">
        <v>0.96363699999999997</v>
      </c>
      <c r="Q6450">
        <v>0.22349920000000001</v>
      </c>
      <c r="R6450">
        <v>0.1464647</v>
      </c>
      <c r="S6450">
        <v>2.824646</v>
      </c>
      <c r="T6450">
        <v>0.80156470000000002</v>
      </c>
      <c r="U6450">
        <v>0.67471309999999995</v>
      </c>
      <c r="V6450">
        <v>-0.15025579999999999</v>
      </c>
      <c r="W6450">
        <v>0.23699310000000001</v>
      </c>
      <c r="X6450">
        <v>0.95982160000000005</v>
      </c>
      <c r="Y6450">
        <v>-0.2280016</v>
      </c>
      <c r="Z6450">
        <v>-3.0824230000000001E-2</v>
      </c>
      <c r="AA6450">
        <v>0.9731727</v>
      </c>
      <c r="AB6450">
        <v>26</v>
      </c>
      <c r="AC6450">
        <v>71.340299999999999</v>
      </c>
      <c r="AD6450">
        <v>20.281518999999999</v>
      </c>
      <c r="AE6450">
        <v>17.072469999999999</v>
      </c>
      <c r="AF6450">
        <v>-16.1265526702797</v>
      </c>
      <c r="AG6450">
        <v>20.281518999999999</v>
      </c>
      <c r="AH6450">
        <v>66.209682982211902</v>
      </c>
      <c r="AI6450">
        <v>73.425863403920303</v>
      </c>
      <c r="AJ6450">
        <v>103.688867536348</v>
      </c>
      <c r="AK6450">
        <v>71.099422181756694</v>
      </c>
      <c r="AL6450">
        <v>76.2908618966337</v>
      </c>
      <c r="AM6450">
        <v>98.897188587310097</v>
      </c>
      <c r="AN6450">
        <v>1.0000000193539</v>
      </c>
    </row>
    <row r="6451" spans="1:40" x14ac:dyDescent="0.25">
      <c r="A6451" t="str">
        <f>"20190304155800723"</f>
        <v>20190304155800723</v>
      </c>
      <c r="B6451" t="str">
        <f>"1551686280711547"</f>
        <v>1551686280711547</v>
      </c>
      <c r="C6451" t="s">
        <v>40</v>
      </c>
      <c r="D6451">
        <v>4.8089930000000001</v>
      </c>
      <c r="E6451">
        <v>0.44858179999999998</v>
      </c>
      <c r="F6451" t="s">
        <v>73</v>
      </c>
      <c r="G6451">
        <v>-157.3501</v>
      </c>
      <c r="H6451">
        <v>1.846949</v>
      </c>
      <c r="I6451">
        <v>-42.810740000000003</v>
      </c>
      <c r="J6451">
        <v>-228.55160000000001</v>
      </c>
      <c r="K6451">
        <v>1.1104069999999999</v>
      </c>
      <c r="L6451">
        <v>-63.197809999999997</v>
      </c>
      <c r="M6451">
        <v>0.99989380000000005</v>
      </c>
      <c r="N6451">
        <v>-1.3977170000000001E-2</v>
      </c>
      <c r="O6451">
        <v>-4.1089380000000003E-3</v>
      </c>
      <c r="P6451">
        <v>0.96371649999999998</v>
      </c>
      <c r="Q6451">
        <v>0.22351370000000001</v>
      </c>
      <c r="R6451">
        <v>0.14591760000000001</v>
      </c>
      <c r="S6451">
        <v>2.9767610000000002</v>
      </c>
      <c r="T6451">
        <v>3.0732510000000001E-2</v>
      </c>
      <c r="U6451">
        <v>0.85064699999999904</v>
      </c>
      <c r="V6451">
        <v>-0.14979579999999901</v>
      </c>
      <c r="W6451">
        <v>0.23700470000000001</v>
      </c>
      <c r="X6451">
        <v>0.95989060000000004</v>
      </c>
      <c r="Y6451">
        <v>-0.2787173</v>
      </c>
      <c r="Z6451">
        <v>4.777545E-4</v>
      </c>
      <c r="AA6451">
        <v>0.96037309999999998</v>
      </c>
      <c r="AB6451">
        <v>26</v>
      </c>
      <c r="AC6451">
        <v>71.201499999999996</v>
      </c>
      <c r="AD6451">
        <v>0.73654200000000003</v>
      </c>
      <c r="AE6451">
        <v>20.387069999999898</v>
      </c>
      <c r="AF6451">
        <v>-20.677444019741898</v>
      </c>
      <c r="AG6451">
        <v>0.73654200000000003</v>
      </c>
      <c r="AH6451">
        <v>71.1100886439216</v>
      </c>
      <c r="AI6451">
        <v>89.430164984910903</v>
      </c>
      <c r="AJ6451">
        <v>106.21341315797901</v>
      </c>
      <c r="AK6451">
        <v>74.059056787496999</v>
      </c>
      <c r="AL6451">
        <v>76.290177319113596</v>
      </c>
      <c r="AM6451">
        <v>98.869756638759995</v>
      </c>
      <c r="AN6451">
        <v>0.999999986744045</v>
      </c>
    </row>
    <row r="6452" spans="1:40" x14ac:dyDescent="0.25">
      <c r="A6452" t="str">
        <f>"20190304155800733"</f>
        <v>20190304155800733</v>
      </c>
      <c r="B6452" t="str">
        <f>"1551686280731068"</f>
        <v>1551686280731068</v>
      </c>
      <c r="C6452" t="s">
        <v>40</v>
      </c>
      <c r="D6452">
        <v>4.662617</v>
      </c>
      <c r="E6452">
        <v>0.44468790000000002</v>
      </c>
      <c r="F6452" t="s">
        <v>73</v>
      </c>
      <c r="G6452">
        <v>-157.3501</v>
      </c>
      <c r="H6452">
        <v>1.8491040000000001</v>
      </c>
      <c r="I6452">
        <v>-42.889209999999999</v>
      </c>
      <c r="J6452">
        <v>-228.42339999999999</v>
      </c>
      <c r="K6452">
        <v>1.1104160000000001</v>
      </c>
      <c r="L6452">
        <v>-63.198430000000002</v>
      </c>
      <c r="M6452">
        <v>0.99989360000000005</v>
      </c>
      <c r="N6452">
        <v>-1.397578E-2</v>
      </c>
      <c r="O6452">
        <v>-4.185701E-3</v>
      </c>
      <c r="P6452">
        <v>0.96374610000000005</v>
      </c>
      <c r="Q6452">
        <v>0.22371379999999999</v>
      </c>
      <c r="R6452">
        <v>0.14541589999999999</v>
      </c>
      <c r="S6452">
        <v>2.9772189999999998</v>
      </c>
      <c r="T6452">
        <v>3.0887009999999999E-2</v>
      </c>
      <c r="U6452">
        <v>0.84918209999999905</v>
      </c>
      <c r="V6452">
        <v>-0.14937230000000001</v>
      </c>
      <c r="W6452">
        <v>0.2372011</v>
      </c>
      <c r="X6452">
        <v>0.95990810000000004</v>
      </c>
      <c r="Y6452">
        <v>-0.27831499999999998</v>
      </c>
      <c r="Z6452">
        <v>4.6758699999999999E-4</v>
      </c>
      <c r="AA6452">
        <v>0.9604897</v>
      </c>
      <c r="AB6452">
        <v>26</v>
      </c>
      <c r="AC6452">
        <v>71.073299999999904</v>
      </c>
      <c r="AD6452">
        <v>0.73868800000000001</v>
      </c>
      <c r="AE6452">
        <v>20.30922</v>
      </c>
      <c r="AF6452">
        <v>-20.604504981639099</v>
      </c>
      <c r="AG6452">
        <v>0.73868800000000001</v>
      </c>
      <c r="AH6452">
        <v>70.980572045422804</v>
      </c>
      <c r="AI6452">
        <v>89.427385852317201</v>
      </c>
      <c r="AJ6452">
        <v>106.187153123687</v>
      </c>
      <c r="AK6452">
        <v>73.914361888574803</v>
      </c>
      <c r="AL6452">
        <v>76.278594357304996</v>
      </c>
      <c r="AM6452">
        <v>98.844918582782697</v>
      </c>
      <c r="AN6452">
        <v>1.00000000314705</v>
      </c>
    </row>
    <row r="6453" spans="1:40" x14ac:dyDescent="0.25">
      <c r="A6453" t="str">
        <f>"20190304155800745"</f>
        <v>20190304155800745</v>
      </c>
      <c r="B6453" t="str">
        <f>"1551686280740826"</f>
        <v>1551686280740826</v>
      </c>
      <c r="C6453" t="s">
        <v>40</v>
      </c>
      <c r="D6453">
        <v>4.9127989999999997</v>
      </c>
      <c r="E6453">
        <v>0.44557540000000001</v>
      </c>
      <c r="F6453" t="s">
        <v>73</v>
      </c>
      <c r="G6453">
        <v>-167.99870000000001</v>
      </c>
      <c r="H6453">
        <v>9.1897310000000001</v>
      </c>
      <c r="I6453">
        <v>-44.902610000000003</v>
      </c>
      <c r="J6453">
        <v>-228.2936</v>
      </c>
      <c r="K6453">
        <v>1.11043</v>
      </c>
      <c r="L6453">
        <v>-63.199069999999899</v>
      </c>
      <c r="M6453">
        <v>0.99989340000000004</v>
      </c>
      <c r="N6453">
        <v>-1.397437E-2</v>
      </c>
      <c r="O6453">
        <v>-4.2584010000000002E-3</v>
      </c>
      <c r="P6453">
        <v>0.96378520000000001</v>
      </c>
      <c r="Q6453">
        <v>0.22397400000000001</v>
      </c>
      <c r="R6453">
        <v>0.14475399999999999</v>
      </c>
      <c r="S6453">
        <v>2.8910369999999999</v>
      </c>
      <c r="T6453">
        <v>0.38655519999999999</v>
      </c>
      <c r="U6453">
        <v>0.87536619999999998</v>
      </c>
      <c r="V6453">
        <v>-0.14878420000000001</v>
      </c>
      <c r="W6453">
        <v>0.23745769999999999</v>
      </c>
      <c r="X6453">
        <v>0.95993600000000001</v>
      </c>
      <c r="Y6453">
        <v>-0.29171180000000002</v>
      </c>
      <c r="Z6453">
        <v>-1.7517629999999999E-2</v>
      </c>
      <c r="AA6453">
        <v>0.95634580000000002</v>
      </c>
      <c r="AB6453">
        <v>26</v>
      </c>
      <c r="AC6453">
        <v>60.294899999999899</v>
      </c>
      <c r="AD6453">
        <v>8.0793009999999992</v>
      </c>
      <c r="AE6453">
        <v>18.29646</v>
      </c>
      <c r="AF6453">
        <v>-18.252979608421601</v>
      </c>
      <c r="AG6453">
        <v>8.0793009999999992</v>
      </c>
      <c r="AH6453">
        <v>59.242420374282901</v>
      </c>
      <c r="AI6453">
        <v>82.574436298827393</v>
      </c>
      <c r="AJ6453">
        <v>107.12440971735801</v>
      </c>
      <c r="AK6453">
        <v>62.514884155993698</v>
      </c>
      <c r="AL6453">
        <v>76.263459962849595</v>
      </c>
      <c r="AM6453">
        <v>98.810390259613698</v>
      </c>
      <c r="AN6453">
        <v>1.00000001077746</v>
      </c>
    </row>
    <row r="6454" spans="1:40" x14ac:dyDescent="0.25">
      <c r="A6454" t="str">
        <f>"20190304155800756"</f>
        <v>20190304155800756</v>
      </c>
      <c r="B6454" t="str">
        <f>"1551686280751096"</f>
        <v>1551686280751096</v>
      </c>
      <c r="C6454" t="s">
        <v>40</v>
      </c>
      <c r="D6454">
        <v>4.8486479999999998</v>
      </c>
      <c r="E6454">
        <v>0.44466860000000002</v>
      </c>
      <c r="F6454" t="s">
        <v>73</v>
      </c>
      <c r="G6454">
        <v>-169.244</v>
      </c>
      <c r="H6454">
        <v>8.3490190000000002</v>
      </c>
      <c r="I6454">
        <v>-45.545699999999997</v>
      </c>
      <c r="J6454">
        <v>-228.16030000000001</v>
      </c>
      <c r="K6454">
        <v>1.1104430000000001</v>
      </c>
      <c r="L6454">
        <v>-63.199710000000003</v>
      </c>
      <c r="M6454">
        <v>0.99989300000000003</v>
      </c>
      <c r="N6454">
        <v>-1.397293E-2</v>
      </c>
      <c r="O6454">
        <v>-4.3276390000000003E-3</v>
      </c>
      <c r="P6454">
        <v>0.96369139999999998</v>
      </c>
      <c r="Q6454">
        <v>0.2248202</v>
      </c>
      <c r="R6454">
        <v>0.1440661</v>
      </c>
      <c r="S6454">
        <v>2.8998870000000001</v>
      </c>
      <c r="T6454">
        <v>0.35548069999999998</v>
      </c>
      <c r="U6454">
        <v>0.86694340000000003</v>
      </c>
      <c r="V6454">
        <v>-0.14816689999999999</v>
      </c>
      <c r="W6454">
        <v>0.2382978</v>
      </c>
      <c r="X6454">
        <v>0.95982330000000005</v>
      </c>
      <c r="Y6454">
        <v>-0.28879510000000003</v>
      </c>
      <c r="Z6454">
        <v>-1.5770889999999999E-2</v>
      </c>
      <c r="AA6454">
        <v>0.95726100000000003</v>
      </c>
      <c r="AB6454">
        <v>26</v>
      </c>
      <c r="AC6454">
        <v>58.9162999999999</v>
      </c>
      <c r="AD6454">
        <v>7.2385759999999904</v>
      </c>
      <c r="AE6454">
        <v>17.65401</v>
      </c>
      <c r="AF6454">
        <v>-17.664164692581899</v>
      </c>
      <c r="AG6454">
        <v>7.2385759999999904</v>
      </c>
      <c r="AH6454">
        <v>58.035468314833601</v>
      </c>
      <c r="AI6454">
        <v>83.195516288161699</v>
      </c>
      <c r="AJ6454">
        <v>106.928593783431</v>
      </c>
      <c r="AK6454">
        <v>61.094478304642998</v>
      </c>
      <c r="AL6454">
        <v>76.213903379466601</v>
      </c>
      <c r="AM6454">
        <v>98.775420520976695</v>
      </c>
      <c r="AN6454">
        <v>1.0000000194816601</v>
      </c>
    </row>
    <row r="6455" spans="1:40" x14ac:dyDescent="0.25">
      <c r="A6455" t="str">
        <f>"20190304155800767"</f>
        <v>20190304155800767</v>
      </c>
      <c r="B6455" t="str">
        <f>"1551686280760856"</f>
        <v>1551686280760856</v>
      </c>
      <c r="C6455" t="s">
        <v>40</v>
      </c>
      <c r="D6455">
        <v>4.8037239999999999</v>
      </c>
      <c r="E6455">
        <v>0.44479370000000001</v>
      </c>
      <c r="F6455" t="s">
        <v>73</v>
      </c>
      <c r="G6455">
        <v>-169.244</v>
      </c>
      <c r="H6455">
        <v>8.2911570000000001</v>
      </c>
      <c r="I6455">
        <v>-45.478639999999999</v>
      </c>
      <c r="J6455">
        <v>-228.02420000000001</v>
      </c>
      <c r="K6455">
        <v>1.1104579999999999</v>
      </c>
      <c r="L6455">
        <v>-63.20035</v>
      </c>
      <c r="M6455">
        <v>0.99989280000000003</v>
      </c>
      <c r="N6455">
        <v>-1.397148E-2</v>
      </c>
      <c r="O6455">
        <v>-4.3946089999999998E-3</v>
      </c>
      <c r="P6455">
        <v>0.96359589999999995</v>
      </c>
      <c r="Q6455">
        <v>0.22572990000000001</v>
      </c>
      <c r="R6455">
        <v>0.14327970000000001</v>
      </c>
      <c r="S6455">
        <v>2.9001459999999999</v>
      </c>
      <c r="T6455">
        <v>0.3534677</v>
      </c>
      <c r="U6455">
        <v>0.87231449999999999</v>
      </c>
      <c r="V6455">
        <v>-0.14744879999999999</v>
      </c>
      <c r="W6455">
        <v>0.2392022</v>
      </c>
      <c r="X6455">
        <v>0.95970889999999998</v>
      </c>
      <c r="Y6455">
        <v>-0.29047430000000002</v>
      </c>
      <c r="Z6455">
        <v>-1.5761250000000001E-2</v>
      </c>
      <c r="AA6455">
        <v>0.95675299999999996</v>
      </c>
      <c r="AB6455">
        <v>26</v>
      </c>
      <c r="AC6455">
        <v>58.780199999999901</v>
      </c>
      <c r="AD6455">
        <v>7.1806989999999997</v>
      </c>
      <c r="AE6455">
        <v>17.721709999999899</v>
      </c>
      <c r="AF6455">
        <v>-17.7372338292416</v>
      </c>
      <c r="AG6455">
        <v>7.1806989999999997</v>
      </c>
      <c r="AH6455">
        <v>57.909539439256498</v>
      </c>
      <c r="AI6455">
        <v>83.238474610443305</v>
      </c>
      <c r="AJ6455">
        <v>107.02941206982101</v>
      </c>
      <c r="AK6455">
        <v>60.989233968862102</v>
      </c>
      <c r="AL6455">
        <v>76.160541741524895</v>
      </c>
      <c r="AM6455">
        <v>98.734572206833505</v>
      </c>
      <c r="AN6455">
        <v>1.0000000069227399</v>
      </c>
    </row>
    <row r="6456" spans="1:40" x14ac:dyDescent="0.25">
      <c r="A6456" t="str">
        <f>"20190304155800779"</f>
        <v>20190304155800779</v>
      </c>
      <c r="B6456" t="str">
        <f>"1551686280771592"</f>
        <v>1551686280771592</v>
      </c>
      <c r="C6456" t="s">
        <v>40</v>
      </c>
      <c r="D6456">
        <v>4.5750089999999997</v>
      </c>
      <c r="E6456">
        <v>0.44502900000000001</v>
      </c>
      <c r="F6456" t="s">
        <v>73</v>
      </c>
      <c r="G6456">
        <v>-169.244</v>
      </c>
      <c r="H6456">
        <v>8.0650649999999899</v>
      </c>
      <c r="I6456">
        <v>-45.599220000000003</v>
      </c>
      <c r="J6456">
        <v>-227.89619999999999</v>
      </c>
      <c r="K6456">
        <v>1.110468</v>
      </c>
      <c r="L6456">
        <v>-63.200989999999997</v>
      </c>
      <c r="M6456">
        <v>0.99989269999999997</v>
      </c>
      <c r="N6456">
        <v>-1.3970110000000001E-2</v>
      </c>
      <c r="O6456">
        <v>-4.4499079999999998E-3</v>
      </c>
      <c r="P6456">
        <v>0.96345259999999999</v>
      </c>
      <c r="Q6456">
        <v>0.22677359999999999</v>
      </c>
      <c r="R6456">
        <v>0.14259379999999999</v>
      </c>
      <c r="S6456">
        <v>2.9035799999999998</v>
      </c>
      <c r="T6456">
        <v>0.34353689999999998</v>
      </c>
      <c r="U6456">
        <v>0.86944580000000005</v>
      </c>
      <c r="V6456">
        <v>-0.1468188</v>
      </c>
      <c r="W6456">
        <v>0.24023920000000001</v>
      </c>
      <c r="X6456">
        <v>0.95954640000000002</v>
      </c>
      <c r="Y6456">
        <v>-0.289460099999999</v>
      </c>
      <c r="Z6456">
        <v>-1.520475E-2</v>
      </c>
      <c r="AA6456">
        <v>0.95706930000000001</v>
      </c>
      <c r="AB6456">
        <v>26</v>
      </c>
      <c r="AC6456">
        <v>58.652199999999901</v>
      </c>
      <c r="AD6456">
        <v>6.9545969999999899</v>
      </c>
      <c r="AE6456">
        <v>17.601769999999998</v>
      </c>
      <c r="AF6456">
        <v>-17.635158920417901</v>
      </c>
      <c r="AG6456">
        <v>6.9545969999999899</v>
      </c>
      <c r="AH6456">
        <v>57.827424514459501</v>
      </c>
      <c r="AI6456">
        <v>83.437858941687693</v>
      </c>
      <c r="AJ6456">
        <v>106.95970657028801</v>
      </c>
      <c r="AK6456">
        <v>60.855371788826702</v>
      </c>
      <c r="AL6456">
        <v>76.0993409174812</v>
      </c>
      <c r="AM6456">
        <v>98.699274633928795</v>
      </c>
      <c r="AN6456">
        <v>0.99999996350151898</v>
      </c>
    </row>
    <row r="6457" spans="1:40" x14ac:dyDescent="0.25">
      <c r="A6457" t="str">
        <f>"20190304155800789"</f>
        <v>20190304155800789</v>
      </c>
      <c r="B6457" t="str">
        <f>"1551686280781352"</f>
        <v>1551686280781352</v>
      </c>
      <c r="C6457" t="s">
        <v>40</v>
      </c>
      <c r="D6457">
        <v>4.6473170000000001</v>
      </c>
      <c r="E6457">
        <v>0.445357</v>
      </c>
      <c r="F6457" t="s">
        <v>73</v>
      </c>
      <c r="G6457">
        <v>-169.244</v>
      </c>
      <c r="H6457">
        <v>7.3795279999999996</v>
      </c>
      <c r="I6457">
        <v>-45.75544</v>
      </c>
      <c r="J6457">
        <v>-227.7713</v>
      </c>
      <c r="K6457">
        <v>1.1104830000000001</v>
      </c>
      <c r="L6457">
        <v>-63.201630000000002</v>
      </c>
      <c r="M6457">
        <v>0.99989249999999996</v>
      </c>
      <c r="N6457">
        <v>-1.396879E-2</v>
      </c>
      <c r="O6457">
        <v>-4.5024669999999996E-3</v>
      </c>
      <c r="P6457">
        <v>0.96326049999999996</v>
      </c>
      <c r="Q6457">
        <v>0.22790389999999999</v>
      </c>
      <c r="R6457">
        <v>0.14208889999999999</v>
      </c>
      <c r="S6457">
        <v>2.9123230000000002</v>
      </c>
      <c r="T6457">
        <v>0.31128299999999998</v>
      </c>
      <c r="U6457">
        <v>0.8662415</v>
      </c>
      <c r="V6457">
        <v>-0.14636769999999999</v>
      </c>
      <c r="W6457">
        <v>0.2413633</v>
      </c>
      <c r="X6457">
        <v>0.9593332</v>
      </c>
      <c r="Y6457">
        <v>-0.28808099999999998</v>
      </c>
      <c r="Z6457">
        <v>-1.3501259999999999E-2</v>
      </c>
      <c r="AA6457">
        <v>0.95751090000000005</v>
      </c>
      <c r="AB6457">
        <v>26</v>
      </c>
      <c r="AC6457">
        <v>58.527299999999897</v>
      </c>
      <c r="AD6457">
        <v>6.2690449999999904</v>
      </c>
      <c r="AE6457">
        <v>17.446189999999898</v>
      </c>
      <c r="AF6457">
        <v>-17.5248967931187</v>
      </c>
      <c r="AG6457">
        <v>6.2690449999999904</v>
      </c>
      <c r="AH6457">
        <v>57.838703679311102</v>
      </c>
      <c r="AI6457">
        <v>84.077812781584896</v>
      </c>
      <c r="AJ6457">
        <v>106.856599478514</v>
      </c>
      <c r="AK6457">
        <v>60.759678867853196</v>
      </c>
      <c r="AL6457">
        <v>76.032982135138298</v>
      </c>
      <c r="AM6457">
        <v>98.674851333829594</v>
      </c>
      <c r="AN6457">
        <v>0.999999967406209</v>
      </c>
    </row>
    <row r="6458" spans="1:40" x14ac:dyDescent="0.25">
      <c r="A6458" t="str">
        <f>"20190304155800800"</f>
        <v>20190304155800800</v>
      </c>
      <c r="B6458" t="str">
        <f>"1551686280791112"</f>
        <v>1551686280791112</v>
      </c>
      <c r="C6458" t="s">
        <v>40</v>
      </c>
      <c r="D6458">
        <v>4.998278</v>
      </c>
      <c r="E6458">
        <v>0.44592710000000002</v>
      </c>
      <c r="F6458" t="s">
        <v>73</v>
      </c>
      <c r="G6458">
        <v>-169.1053</v>
      </c>
      <c r="H6458">
        <v>6.6740880000000002</v>
      </c>
      <c r="I6458">
        <v>-45.879089999999998</v>
      </c>
      <c r="J6458">
        <v>-227.6422</v>
      </c>
      <c r="K6458">
        <v>1.11049</v>
      </c>
      <c r="L6458">
        <v>-63.202269999999999</v>
      </c>
      <c r="M6458">
        <v>0.99989220000000001</v>
      </c>
      <c r="N6458">
        <v>-1.39674E-2</v>
      </c>
      <c r="O6458">
        <v>-4.5484729999999999E-3</v>
      </c>
      <c r="P6458">
        <v>0.96316579999999996</v>
      </c>
      <c r="Q6458">
        <v>0.2288615</v>
      </c>
      <c r="R6458">
        <v>0.14118849999999999</v>
      </c>
      <c r="S6458">
        <v>2.9216000000000002</v>
      </c>
      <c r="T6458">
        <v>0.27706920000000002</v>
      </c>
      <c r="U6458">
        <v>0.86267090000000002</v>
      </c>
      <c r="V6458">
        <v>-0.14551459999999999</v>
      </c>
      <c r="W6458">
        <v>0.24231510000000001</v>
      </c>
      <c r="X6458">
        <v>0.9592231</v>
      </c>
      <c r="Y6458">
        <v>-0.286524</v>
      </c>
      <c r="Z6458">
        <v>-1.1711549999999999E-2</v>
      </c>
      <c r="AA6458">
        <v>0.95800149999999995</v>
      </c>
      <c r="AB6458">
        <v>26</v>
      </c>
      <c r="AC6458">
        <v>58.536900000000003</v>
      </c>
      <c r="AD6458">
        <v>5.5635979999999998</v>
      </c>
      <c r="AE6458">
        <v>17.323179999999901</v>
      </c>
      <c r="AF6458">
        <v>-17.444387265712798</v>
      </c>
      <c r="AG6458">
        <v>5.5635979999999998</v>
      </c>
      <c r="AH6458">
        <v>57.9759448571536</v>
      </c>
      <c r="AI6458">
        <v>84.749595746319599</v>
      </c>
      <c r="AJ6458">
        <v>106.74602028757</v>
      </c>
      <c r="AK6458">
        <v>60.798605673662301</v>
      </c>
      <c r="AL6458">
        <v>75.976780624779593</v>
      </c>
      <c r="AM6458">
        <v>98.626027867298106</v>
      </c>
      <c r="AN6458">
        <v>1.00000003103738</v>
      </c>
    </row>
    <row r="6459" spans="1:40" x14ac:dyDescent="0.25">
      <c r="A6459" t="str">
        <f>"20190304155800814"</f>
        <v>20190304155800814</v>
      </c>
      <c r="B6459" t="str">
        <f>"1551686280810632"</f>
        <v>1551686280810632</v>
      </c>
      <c r="C6459" t="s">
        <v>40</v>
      </c>
      <c r="D6459">
        <v>4.8164420000000003</v>
      </c>
      <c r="E6459">
        <v>0.44545950000000001</v>
      </c>
      <c r="F6459" t="s">
        <v>73</v>
      </c>
      <c r="G6459">
        <v>-169.244</v>
      </c>
      <c r="H6459">
        <v>6.7367149999999896</v>
      </c>
      <c r="I6459">
        <v>-46.109310000000001</v>
      </c>
      <c r="J6459">
        <v>-227.49109999999999</v>
      </c>
      <c r="K6459">
        <v>1.110495</v>
      </c>
      <c r="L6459">
        <v>-63.203029999999998</v>
      </c>
      <c r="M6459">
        <v>0.999892</v>
      </c>
      <c r="N6459">
        <v>-1.3965770000000001E-2</v>
      </c>
      <c r="O6459">
        <v>-4.5995849999999998E-3</v>
      </c>
      <c r="P6459">
        <v>0.96311869999999999</v>
      </c>
      <c r="Q6459">
        <v>0.22942899999999999</v>
      </c>
      <c r="R6459">
        <v>0.14058709999999999</v>
      </c>
      <c r="S6459">
        <v>2.922409</v>
      </c>
      <c r="T6459">
        <v>0.28155029999999998</v>
      </c>
      <c r="U6459">
        <v>0.85537719999999995</v>
      </c>
      <c r="V6459">
        <v>-0.1449666</v>
      </c>
      <c r="W6459">
        <v>0.2428776</v>
      </c>
      <c r="X6459">
        <v>0.95916380000000001</v>
      </c>
      <c r="Y6459">
        <v>-0.28427049999999998</v>
      </c>
      <c r="Z6459">
        <v>-1.1849520000000001E-2</v>
      </c>
      <c r="AA6459">
        <v>0.95867089999999999</v>
      </c>
      <c r="AB6459">
        <v>26</v>
      </c>
      <c r="AC6459">
        <v>58.247099999999897</v>
      </c>
      <c r="AD6459">
        <v>5.6262199999999902</v>
      </c>
      <c r="AE6459">
        <v>17.093720000000001</v>
      </c>
      <c r="AF6459">
        <v>-17.213608682027999</v>
      </c>
      <c r="AG6459">
        <v>5.6262199999999902</v>
      </c>
      <c r="AH6459">
        <v>57.672431945354298</v>
      </c>
      <c r="AI6459">
        <v>84.659525812685899</v>
      </c>
      <c r="AJ6459">
        <v>106.618893621398</v>
      </c>
      <c r="AK6459">
        <v>60.448921262814203</v>
      </c>
      <c r="AL6459">
        <v>75.943559174403404</v>
      </c>
      <c r="AM6459">
        <v>98.594552054610702</v>
      </c>
      <c r="AN6459">
        <v>1.0000000194638701</v>
      </c>
    </row>
    <row r="6460" spans="1:40" x14ac:dyDescent="0.25">
      <c r="A6460" t="str">
        <f>"20190304155800827"</f>
        <v>20190304155800827</v>
      </c>
      <c r="B6460" t="str">
        <f>"1551686280821369"</f>
        <v>1551686280821369</v>
      </c>
      <c r="C6460" t="s">
        <v>40</v>
      </c>
      <c r="D6460">
        <v>4.6218300000000001</v>
      </c>
      <c r="E6460">
        <v>0.44574809999999998</v>
      </c>
      <c r="F6460" t="s">
        <v>73</v>
      </c>
      <c r="G6460">
        <v>-169.244</v>
      </c>
      <c r="H6460">
        <v>7.1435389999999996</v>
      </c>
      <c r="I6460">
        <v>-46.10136</v>
      </c>
      <c r="J6460">
        <v>-227.3306</v>
      </c>
      <c r="K6460">
        <v>1.1105</v>
      </c>
      <c r="L6460">
        <v>-63.203830000000004</v>
      </c>
      <c r="M6460">
        <v>0.99989170000000005</v>
      </c>
      <c r="N6460">
        <v>-1.3964020000000001E-2</v>
      </c>
      <c r="O6460">
        <v>-4.6464039999999998E-3</v>
      </c>
      <c r="P6460">
        <v>0.96323829999999999</v>
      </c>
      <c r="Q6460">
        <v>0.22943169999999999</v>
      </c>
      <c r="R6460">
        <v>0.13976069999999999</v>
      </c>
      <c r="S6460">
        <v>2.9178310000000001</v>
      </c>
      <c r="T6460">
        <v>0.30221779999999998</v>
      </c>
      <c r="U6460">
        <v>0.85668949999999999</v>
      </c>
      <c r="V6460">
        <v>-0.1441904</v>
      </c>
      <c r="W6460">
        <v>0.2428775</v>
      </c>
      <c r="X6460">
        <v>0.95928080000000004</v>
      </c>
      <c r="Y6460">
        <v>-0.2849372</v>
      </c>
      <c r="Z6460">
        <v>-1.2913849999999999E-2</v>
      </c>
      <c r="AA6460">
        <v>0.95845919999999896</v>
      </c>
      <c r="AB6460">
        <v>26</v>
      </c>
      <c r="AC6460">
        <v>58.086599999999898</v>
      </c>
      <c r="AD6460">
        <v>6.0330389999999996</v>
      </c>
      <c r="AE6460">
        <v>17.10247</v>
      </c>
      <c r="AF6460">
        <v>-17.201447916846401</v>
      </c>
      <c r="AG6460">
        <v>6.0330389999999996</v>
      </c>
      <c r="AH6460">
        <v>57.4363336834924</v>
      </c>
      <c r="AI6460">
        <v>84.254065070303497</v>
      </c>
      <c r="AJ6460">
        <v>106.672286197513</v>
      </c>
      <c r="AK6460">
        <v>60.259603359240501</v>
      </c>
      <c r="AL6460">
        <v>75.943564835383</v>
      </c>
      <c r="AM6460">
        <v>98.548188406878495</v>
      </c>
      <c r="AN6460">
        <v>1.00000000235352</v>
      </c>
    </row>
    <row r="6461" spans="1:40" x14ac:dyDescent="0.25">
      <c r="A6461" t="str">
        <f>"20190304155800837"</f>
        <v>20190304155800837</v>
      </c>
      <c r="B6461" t="str">
        <f>"1551686280831128"</f>
        <v>1551686280831128</v>
      </c>
      <c r="C6461" t="s">
        <v>40</v>
      </c>
      <c r="D6461">
        <v>5.3248259999999998</v>
      </c>
      <c r="E6461">
        <v>0.44651780000000002</v>
      </c>
      <c r="F6461" t="s">
        <v>73</v>
      </c>
      <c r="G6461">
        <v>-168.52099999999999</v>
      </c>
      <c r="H6461">
        <v>6.6740890000000004</v>
      </c>
      <c r="I6461">
        <v>-46.07349</v>
      </c>
      <c r="J6461">
        <v>-227.20419999999999</v>
      </c>
      <c r="K6461">
        <v>1.110503</v>
      </c>
      <c r="L6461">
        <v>-63.204469999999901</v>
      </c>
      <c r="M6461">
        <v>0.99989159999999999</v>
      </c>
      <c r="N6461">
        <v>-1.396261E-2</v>
      </c>
      <c r="O6461">
        <v>-4.6784790000000001E-3</v>
      </c>
      <c r="P6461">
        <v>0.96333749999999996</v>
      </c>
      <c r="Q6461">
        <v>0.22924530000000001</v>
      </c>
      <c r="R6461">
        <v>0.1393826</v>
      </c>
      <c r="S6461">
        <v>2.9249420000000002</v>
      </c>
      <c r="T6461">
        <v>0.27670800000000001</v>
      </c>
      <c r="U6461">
        <v>0.85198969999999896</v>
      </c>
      <c r="V6461">
        <v>-0.14384749999999999</v>
      </c>
      <c r="W6461">
        <v>0.24268880000000001</v>
      </c>
      <c r="X6461">
        <v>0.95938000000000001</v>
      </c>
      <c r="Y6461">
        <v>-0.28314250000000002</v>
      </c>
      <c r="Z6461">
        <v>-1.1569050000000001E-2</v>
      </c>
      <c r="AA6461">
        <v>0.95900810000000003</v>
      </c>
      <c r="AB6461">
        <v>26</v>
      </c>
      <c r="AC6461">
        <v>58.683199999999999</v>
      </c>
      <c r="AD6461">
        <v>5.5635859999999999</v>
      </c>
      <c r="AE6461">
        <v>17.130979999999902</v>
      </c>
      <c r="AF6461">
        <v>-17.2623905635648</v>
      </c>
      <c r="AG6461">
        <v>5.5635859999999999</v>
      </c>
      <c r="AH6461">
        <v>58.121012099268697</v>
      </c>
      <c r="AI6461">
        <v>84.757086982527198</v>
      </c>
      <c r="AJ6461">
        <v>106.541827136964</v>
      </c>
      <c r="AK6461">
        <v>60.885102156371502</v>
      </c>
      <c r="AL6461">
        <v>75.954709551537604</v>
      </c>
      <c r="AM6461">
        <v>98.527290331783604</v>
      </c>
      <c r="AN6461">
        <v>0.99999997065084401</v>
      </c>
    </row>
    <row r="6462" spans="1:40" x14ac:dyDescent="0.25">
      <c r="A6462" t="str">
        <f>"20190304155800848"</f>
        <v>20190304155800848</v>
      </c>
      <c r="B6462" t="str">
        <f>"1551686280840889"</f>
        <v>1551686280840889</v>
      </c>
      <c r="C6462" t="s">
        <v>40</v>
      </c>
      <c r="D6462">
        <v>4.5598150000000004</v>
      </c>
      <c r="E6462">
        <v>0.446876</v>
      </c>
      <c r="F6462" t="s">
        <v>73</v>
      </c>
      <c r="G6462">
        <v>-167.87610000000001</v>
      </c>
      <c r="H6462">
        <v>6.6740890000000004</v>
      </c>
      <c r="I6462">
        <v>-46.08034</v>
      </c>
      <c r="J6462">
        <v>-227.07419999999999</v>
      </c>
      <c r="K6462">
        <v>1.110506</v>
      </c>
      <c r="L6462">
        <v>-63.20514</v>
      </c>
      <c r="M6462">
        <v>0.99989159999999999</v>
      </c>
      <c r="N6462">
        <v>-1.396115E-2</v>
      </c>
      <c r="O6462">
        <v>-4.709838E-3</v>
      </c>
      <c r="P6462">
        <v>0.96312419999999999</v>
      </c>
      <c r="Q6462">
        <v>0.23020209999999999</v>
      </c>
      <c r="R6462">
        <v>0.1392803</v>
      </c>
      <c r="S6462">
        <v>2.9266359999999998</v>
      </c>
      <c r="T6462">
        <v>0.27444849999999998</v>
      </c>
      <c r="U6462">
        <v>0.84472659999999999</v>
      </c>
      <c r="V6462">
        <v>-0.1437774</v>
      </c>
      <c r="W6462">
        <v>0.24363879999999999</v>
      </c>
      <c r="X6462">
        <v>0.95914969999999999</v>
      </c>
      <c r="Y6462">
        <v>-0.28085280000000001</v>
      </c>
      <c r="Z6462">
        <v>-1.137178E-2</v>
      </c>
      <c r="AA6462">
        <v>0.95968350000000002</v>
      </c>
      <c r="AB6462">
        <v>26</v>
      </c>
      <c r="AC6462">
        <v>59.198099999999897</v>
      </c>
      <c r="AD6462">
        <v>5.5635830000000004</v>
      </c>
      <c r="AE6462">
        <v>17.1248</v>
      </c>
      <c r="AF6462">
        <v>-17.2627482479881</v>
      </c>
      <c r="AG6462">
        <v>5.5635830000000004</v>
      </c>
      <c r="AH6462">
        <v>58.638836607572003</v>
      </c>
      <c r="AI6462">
        <v>84.799455138725506</v>
      </c>
      <c r="AJ6462">
        <v>106.403956513016</v>
      </c>
      <c r="AK6462">
        <v>61.379712377631897</v>
      </c>
      <c r="AL6462">
        <v>75.898594351524395</v>
      </c>
      <c r="AM6462">
        <v>98.5252122707724</v>
      </c>
      <c r="AN6462">
        <v>0.99999997631314397</v>
      </c>
    </row>
    <row r="6463" spans="1:40" x14ac:dyDescent="0.25">
      <c r="A6463" t="str">
        <f>"20190304155800858"</f>
        <v>20190304155800858</v>
      </c>
      <c r="B6463" t="str">
        <f>"1551686280850648"</f>
        <v>1551686280850648</v>
      </c>
      <c r="C6463" t="s">
        <v>40</v>
      </c>
      <c r="D6463">
        <v>4.585566</v>
      </c>
      <c r="E6463">
        <v>0.4468164</v>
      </c>
      <c r="F6463" t="s">
        <v>73</v>
      </c>
      <c r="G6463">
        <v>-166.1643</v>
      </c>
      <c r="H6463">
        <v>6.6740909999999998</v>
      </c>
      <c r="I6463">
        <v>-45.704569999999997</v>
      </c>
      <c r="J6463">
        <v>-226.96010000000001</v>
      </c>
      <c r="K6463">
        <v>1.110514</v>
      </c>
      <c r="L6463">
        <v>-63.205689999999997</v>
      </c>
      <c r="M6463">
        <v>0.99989159999999999</v>
      </c>
      <c r="N6463">
        <v>-1.3959920000000001E-2</v>
      </c>
      <c r="O6463">
        <v>-4.7319149999999997E-3</v>
      </c>
      <c r="P6463">
        <v>0.96293969999999995</v>
      </c>
      <c r="Q6463">
        <v>0.23123879999999999</v>
      </c>
      <c r="R6463">
        <v>0.1388385</v>
      </c>
      <c r="S6463">
        <v>2.9291990000000001</v>
      </c>
      <c r="T6463">
        <v>0.2675555</v>
      </c>
      <c r="U6463">
        <v>0.84161379999999997</v>
      </c>
      <c r="V6463">
        <v>-0.1433595</v>
      </c>
      <c r="W6463">
        <v>0.24467</v>
      </c>
      <c r="X6463">
        <v>0.95894970000000002</v>
      </c>
      <c r="Y6463">
        <v>-0.27976580000000001</v>
      </c>
      <c r="Z6463">
        <v>-1.099195E-2</v>
      </c>
      <c r="AA6463">
        <v>0.96000529999999995</v>
      </c>
      <c r="AB6463">
        <v>26</v>
      </c>
      <c r="AC6463">
        <v>60.7958</v>
      </c>
      <c r="AD6463">
        <v>5.5635769999999898</v>
      </c>
      <c r="AE6463">
        <v>17.50112</v>
      </c>
      <c r="AF6463">
        <v>-17.6521168815006</v>
      </c>
      <c r="AG6463">
        <v>5.5635769999999898</v>
      </c>
      <c r="AH6463">
        <v>60.2463717257341</v>
      </c>
      <c r="AI6463">
        <v>84.935598131450703</v>
      </c>
      <c r="AJ6463">
        <v>106.33052316427801</v>
      </c>
      <c r="AK6463">
        <v>63.025200718033602</v>
      </c>
      <c r="AL6463">
        <v>75.837666549266302</v>
      </c>
      <c r="AM6463">
        <v>98.502542672879898</v>
      </c>
      <c r="AN6463">
        <v>0.99999994113516799</v>
      </c>
    </row>
    <row r="6464" spans="1:40" x14ac:dyDescent="0.25">
      <c r="A6464" t="str">
        <f>"20190304155800868"</f>
        <v>20190304155800868</v>
      </c>
      <c r="B6464" t="str">
        <f>"1551686280861384"</f>
        <v>1551686280861384</v>
      </c>
      <c r="C6464" t="s">
        <v>40</v>
      </c>
      <c r="D6464">
        <v>5.0116620000000003</v>
      </c>
      <c r="E6464">
        <v>0.4469612</v>
      </c>
      <c r="F6464" t="s">
        <v>73</v>
      </c>
      <c r="G6464">
        <v>-164.2381</v>
      </c>
      <c r="H6464">
        <v>6.6740890000000004</v>
      </c>
      <c r="I6464">
        <v>-45.215229999999998</v>
      </c>
      <c r="J6464">
        <v>-226.845</v>
      </c>
      <c r="K6464">
        <v>1.1105210000000001</v>
      </c>
      <c r="L6464">
        <v>-63.206270000000004</v>
      </c>
      <c r="M6464">
        <v>0.99989130000000004</v>
      </c>
      <c r="N6464">
        <v>-1.3958699999999999E-2</v>
      </c>
      <c r="O6464">
        <v>-4.7532770000000002E-3</v>
      </c>
      <c r="P6464">
        <v>0.96265299999999998</v>
      </c>
      <c r="Q6464">
        <v>0.23249059999999999</v>
      </c>
      <c r="R6464">
        <v>0.1387351</v>
      </c>
      <c r="S6464">
        <v>2.9317630000000001</v>
      </c>
      <c r="T6464">
        <v>0.26005240000000002</v>
      </c>
      <c r="U6464">
        <v>0.84091190000000005</v>
      </c>
      <c r="V6464">
        <v>-0.14327809999999999</v>
      </c>
      <c r="W6464">
        <v>0.24591489999999999</v>
      </c>
      <c r="X6464">
        <v>0.95864340000000003</v>
      </c>
      <c r="Y6464">
        <v>-0.27940930000000003</v>
      </c>
      <c r="Z6464">
        <v>-1.061054E-2</v>
      </c>
      <c r="AA6464">
        <v>0.96011349999999995</v>
      </c>
      <c r="AB6464">
        <v>26</v>
      </c>
      <c r="AC6464">
        <v>62.606900000000003</v>
      </c>
      <c r="AD6464">
        <v>5.5635680000000001</v>
      </c>
      <c r="AE6464">
        <v>17.991039999999899</v>
      </c>
      <c r="AF6464">
        <v>-18.156012359168098</v>
      </c>
      <c r="AG6464">
        <v>5.5635680000000001</v>
      </c>
      <c r="AH6464">
        <v>62.067905832294898</v>
      </c>
      <c r="AI6464">
        <v>85.082860156639597</v>
      </c>
      <c r="AJ6464">
        <v>106.30517583152</v>
      </c>
      <c r="AK6464">
        <v>64.907773094472503</v>
      </c>
      <c r="AL6464">
        <v>75.764091509789495</v>
      </c>
      <c r="AM6464">
        <v>98.500460908246296</v>
      </c>
      <c r="AN6464">
        <v>0.99999996017258896</v>
      </c>
    </row>
    <row r="6465" spans="1:40" x14ac:dyDescent="0.25">
      <c r="A6465" t="str">
        <f>"20190304155800879"</f>
        <v>20190304155800879</v>
      </c>
      <c r="B6465" t="str">
        <f>"1551686280871144"</f>
        <v>1551686280871144</v>
      </c>
      <c r="C6465" t="s">
        <v>40</v>
      </c>
      <c r="D6465">
        <v>4.5881889999999999</v>
      </c>
      <c r="E6465">
        <v>0.44697510000000001</v>
      </c>
      <c r="F6465" t="s">
        <v>73</v>
      </c>
      <c r="G6465">
        <v>-165.37270000000001</v>
      </c>
      <c r="H6465">
        <v>6.6740890000000004</v>
      </c>
      <c r="I6465">
        <v>-45.60125</v>
      </c>
      <c r="J6465">
        <v>-226.71879999999999</v>
      </c>
      <c r="K6465">
        <v>1.110535</v>
      </c>
      <c r="L6465">
        <v>-63.206910000000001</v>
      </c>
      <c r="M6465">
        <v>0.99989119999999998</v>
      </c>
      <c r="N6465">
        <v>-1.395735E-2</v>
      </c>
      <c r="O6465">
        <v>-4.7703310000000001E-3</v>
      </c>
      <c r="P6465">
        <v>0.96230950000000004</v>
      </c>
      <c r="Q6465">
        <v>0.23379130000000001</v>
      </c>
      <c r="R6465">
        <v>0.1389321</v>
      </c>
      <c r="S6465">
        <v>2.9313509999999998</v>
      </c>
      <c r="T6465">
        <v>0.26530179999999998</v>
      </c>
      <c r="U6465">
        <v>0.83950809999999998</v>
      </c>
      <c r="V6465">
        <v>-0.1434927</v>
      </c>
      <c r="W6465">
        <v>0.24720739999999999</v>
      </c>
      <c r="X6465">
        <v>0.95827879999999999</v>
      </c>
      <c r="Y6465">
        <v>-0.27899859999999999</v>
      </c>
      <c r="Z6465">
        <v>-1.085185E-2</v>
      </c>
      <c r="AA6465">
        <v>0.96023020000000003</v>
      </c>
      <c r="AB6465">
        <v>26</v>
      </c>
      <c r="AC6465">
        <v>61.3460999999999</v>
      </c>
      <c r="AD6465">
        <v>5.5635539999999999</v>
      </c>
      <c r="AE6465">
        <v>17.60566</v>
      </c>
      <c r="AF6465">
        <v>-17.763146760967601</v>
      </c>
      <c r="AG6465">
        <v>5.5635539999999999</v>
      </c>
      <c r="AH6465">
        <v>60.799392750157701</v>
      </c>
      <c r="AI6465">
        <v>84.980318417358006</v>
      </c>
      <c r="AJ6465">
        <v>106.286247801455</v>
      </c>
      <c r="AK6465">
        <v>63.584972082643198</v>
      </c>
      <c r="AL6465">
        <v>75.687677536067895</v>
      </c>
      <c r="AM6465">
        <v>98.5161978564485</v>
      </c>
      <c r="AN6465">
        <v>0.99999995604874403</v>
      </c>
    </row>
    <row r="6466" spans="1:40" x14ac:dyDescent="0.25">
      <c r="A6466" t="str">
        <f>"20190304155800890"</f>
        <v>20190304155800890</v>
      </c>
      <c r="B6466" t="str">
        <f>"1551686280880905"</f>
        <v>1551686280880905</v>
      </c>
      <c r="C6466" t="s">
        <v>40</v>
      </c>
      <c r="D6466">
        <v>5.0153970000000001</v>
      </c>
      <c r="E6466">
        <v>0.44697510000000001</v>
      </c>
      <c r="F6466" t="s">
        <v>73</v>
      </c>
      <c r="G6466">
        <v>-163.44049999999999</v>
      </c>
      <c r="H6466">
        <v>6.6740899999999996</v>
      </c>
      <c r="I6466">
        <v>-45.081679999999999</v>
      </c>
      <c r="J6466">
        <v>-226.59219999999999</v>
      </c>
      <c r="K6466">
        <v>1.1105449999999999</v>
      </c>
      <c r="L6466">
        <v>-63.207520000000002</v>
      </c>
      <c r="M6466">
        <v>0.99989110000000003</v>
      </c>
      <c r="N6466">
        <v>-1.3956E-2</v>
      </c>
      <c r="O6466">
        <v>-4.7863109999999997E-3</v>
      </c>
      <c r="P6466">
        <v>0.96207560000000003</v>
      </c>
      <c r="Q6466">
        <v>0.23467589999999999</v>
      </c>
      <c r="R6466">
        <v>0.13906019999999999</v>
      </c>
      <c r="S6466">
        <v>2.9335330000000002</v>
      </c>
      <c r="T6466">
        <v>0.25792100000000001</v>
      </c>
      <c r="U6466">
        <v>0.84027099999999899</v>
      </c>
      <c r="V6466">
        <v>-0.14363860000000001</v>
      </c>
      <c r="W6466">
        <v>0.24808520000000001</v>
      </c>
      <c r="X6466">
        <v>0.9580301</v>
      </c>
      <c r="Y6466">
        <v>-0.27911069999999999</v>
      </c>
      <c r="Z6466">
        <v>-1.0494440000000001E-2</v>
      </c>
      <c r="AA6466">
        <v>0.96020159999999999</v>
      </c>
      <c r="AB6466">
        <v>26</v>
      </c>
      <c r="AC6466">
        <v>63.151699999999998</v>
      </c>
      <c r="AD6466">
        <v>5.5635450000000004</v>
      </c>
      <c r="AE6466">
        <v>18.12584</v>
      </c>
      <c r="AF6466">
        <v>-18.296727702399799</v>
      </c>
      <c r="AG6466">
        <v>5.5635450000000004</v>
      </c>
      <c r="AH6466">
        <v>62.615225945806003</v>
      </c>
      <c r="AI6466">
        <v>85.125248447577107</v>
      </c>
      <c r="AJ6466">
        <v>106.288833693583</v>
      </c>
      <c r="AK6466">
        <v>65.470526176495099</v>
      </c>
      <c r="AL6466">
        <v>75.635766832397493</v>
      </c>
      <c r="AM6466">
        <v>98.526910215649906</v>
      </c>
      <c r="AN6466">
        <v>0.99999999318750499</v>
      </c>
    </row>
    <row r="6467" spans="1:40" x14ac:dyDescent="0.25">
      <c r="A6467" t="str">
        <f>"20190304155800902"</f>
        <v>20190304155800902</v>
      </c>
      <c r="B6467" t="str">
        <f>"1551686280890665"</f>
        <v>1551686280890665</v>
      </c>
      <c r="C6467" t="s">
        <v>40</v>
      </c>
      <c r="D6467">
        <v>5.3568069999999999</v>
      </c>
      <c r="E6467">
        <v>0.47399200000000002</v>
      </c>
      <c r="F6467" t="s">
        <v>73</v>
      </c>
      <c r="G6467">
        <v>-163.9873</v>
      </c>
      <c r="H6467">
        <v>6.6740890000000004</v>
      </c>
      <c r="I6467">
        <v>-45.263719999999999</v>
      </c>
      <c r="J6467">
        <v>-226.45359999999999</v>
      </c>
      <c r="K6467">
        <v>1.110555</v>
      </c>
      <c r="L6467">
        <v>-63.208219999999997</v>
      </c>
      <c r="M6467">
        <v>0.99989119999999998</v>
      </c>
      <c r="N6467">
        <v>-1.395452E-2</v>
      </c>
      <c r="O6467">
        <v>-4.7967959999999999E-3</v>
      </c>
      <c r="P6467">
        <v>0.96186919999999998</v>
      </c>
      <c r="Q6467">
        <v>0.2354627</v>
      </c>
      <c r="R6467">
        <v>0.13915829999999901</v>
      </c>
      <c r="S6467">
        <v>2.9331510000000001</v>
      </c>
      <c r="T6467">
        <v>0.26066099999999998</v>
      </c>
      <c r="U6467">
        <v>0.84069819999999995</v>
      </c>
      <c r="V6467">
        <v>-0.14374999999999999</v>
      </c>
      <c r="W6467">
        <v>0.24886539999999999</v>
      </c>
      <c r="X6467">
        <v>0.95781099999999997</v>
      </c>
      <c r="Y6467">
        <v>-0.27926250000000002</v>
      </c>
      <c r="Z6467">
        <v>-1.063386E-2</v>
      </c>
      <c r="AA6467">
        <v>0.96015589999999995</v>
      </c>
      <c r="AB6467">
        <v>26</v>
      </c>
      <c r="AC6467">
        <v>62.466299999999897</v>
      </c>
      <c r="AD6467">
        <v>5.5635339999999998</v>
      </c>
      <c r="AE6467">
        <v>17.944499999999898</v>
      </c>
      <c r="AF6467">
        <v>-18.111245342635002</v>
      </c>
      <c r="AG6467">
        <v>5.5635339999999998</v>
      </c>
      <c r="AH6467">
        <v>61.925717988994201</v>
      </c>
      <c r="AI6467">
        <v>85.071587673714106</v>
      </c>
      <c r="AJ6467">
        <v>106.30247020543101</v>
      </c>
      <c r="AK6467">
        <v>64.759282476589505</v>
      </c>
      <c r="AL6467">
        <v>75.589617150768504</v>
      </c>
      <c r="AM6467">
        <v>98.535349279319703</v>
      </c>
      <c r="AN6467">
        <v>0.99999998076907903</v>
      </c>
    </row>
    <row r="6468" spans="1:40" x14ac:dyDescent="0.25">
      <c r="A6468" t="str">
        <f>"20190304155801014"</f>
        <v>20190304155801014</v>
      </c>
      <c r="B6468" t="str">
        <f>"1551686281010712"</f>
        <v>1551686281010712</v>
      </c>
      <c r="C6468" t="s">
        <v>40</v>
      </c>
      <c r="D6468">
        <v>4.8838879999999998</v>
      </c>
      <c r="E6468">
        <v>0.54398919999999995</v>
      </c>
      <c r="F6468" t="s">
        <v>73</v>
      </c>
      <c r="G6468">
        <v>-157.3501</v>
      </c>
      <c r="H6468">
        <v>27.991240000000001</v>
      </c>
      <c r="I6468">
        <v>-47.750140000000002</v>
      </c>
      <c r="J6468">
        <v>-225.154</v>
      </c>
      <c r="K6468">
        <v>1.110646</v>
      </c>
      <c r="L6468">
        <v>-63.214480000000002</v>
      </c>
      <c r="M6468">
        <v>0.99989159999999999</v>
      </c>
      <c r="N6468">
        <v>-1.3940799999999901E-2</v>
      </c>
      <c r="O6468">
        <v>-4.7798099999999998E-3</v>
      </c>
      <c r="P6468">
        <v>0.95980330000000003</v>
      </c>
      <c r="Q6468">
        <v>0.24492520000000001</v>
      </c>
      <c r="R6468">
        <v>0.13707520000000001</v>
      </c>
      <c r="S6468">
        <v>2.766022</v>
      </c>
      <c r="T6468">
        <v>1.075958</v>
      </c>
      <c r="U6468">
        <v>0.61874390000000001</v>
      </c>
      <c r="V6468">
        <v>-0.1416608</v>
      </c>
      <c r="W6468">
        <v>0.25827299999999997</v>
      </c>
      <c r="X6468">
        <v>0.95562919999999996</v>
      </c>
      <c r="Y6468">
        <v>-0.20864940000000001</v>
      </c>
      <c r="Z6468">
        <v>-3.9040209999999999E-2</v>
      </c>
      <c r="AA6468">
        <v>0.97721100000000005</v>
      </c>
      <c r="AB6468">
        <v>26</v>
      </c>
      <c r="AC6468">
        <v>67.803899999999999</v>
      </c>
      <c r="AD6468">
        <v>26.880593999999999</v>
      </c>
      <c r="AE6468">
        <v>15.46434</v>
      </c>
      <c r="AF6468">
        <v>-13.736131844482999</v>
      </c>
      <c r="AG6468">
        <v>26.880593999999999</v>
      </c>
      <c r="AH6468">
        <v>58.925796640802297</v>
      </c>
      <c r="AI6468">
        <v>66.046048164924898</v>
      </c>
      <c r="AJ6468">
        <v>103.121830455615</v>
      </c>
      <c r="AK6468">
        <v>66.207984122725193</v>
      </c>
      <c r="AL6468">
        <v>75.032386460235102</v>
      </c>
      <c r="AM6468">
        <v>98.432020524717004</v>
      </c>
      <c r="AN6468">
        <v>0.99999994633913802</v>
      </c>
    </row>
    <row r="6469" spans="1:40" x14ac:dyDescent="0.25">
      <c r="A6469" t="str">
        <f>"20190304155801025"</f>
        <v>20190304155801025</v>
      </c>
      <c r="B6469" t="str">
        <f>"1551686281021448"</f>
        <v>1551686281021448</v>
      </c>
      <c r="C6469" t="s">
        <v>40</v>
      </c>
      <c r="D6469">
        <v>4.5483909999999996</v>
      </c>
      <c r="E6469">
        <v>0.54242019999999902</v>
      </c>
      <c r="F6469" t="s">
        <v>73</v>
      </c>
      <c r="G6469">
        <v>-167.99870000000001</v>
      </c>
      <c r="H6469">
        <v>9.0824049999999996</v>
      </c>
      <c r="I6469">
        <v>-61.900779999999997</v>
      </c>
      <c r="J6469">
        <v>-225.0196</v>
      </c>
      <c r="K6469">
        <v>1.1106529999999999</v>
      </c>
      <c r="L6469">
        <v>-63.215089999999996</v>
      </c>
      <c r="M6469">
        <v>0.99989150000000004</v>
      </c>
      <c r="N6469">
        <v>-1.3939389999999999E-2</v>
      </c>
      <c r="O6469">
        <v>-4.7631590000000003E-3</v>
      </c>
      <c r="P6469">
        <v>0.95961050000000003</v>
      </c>
      <c r="Q6469">
        <v>0.2452761</v>
      </c>
      <c r="R6469">
        <v>0.1377941</v>
      </c>
      <c r="S6469">
        <v>3.008667</v>
      </c>
      <c r="T6469">
        <v>0.4196336</v>
      </c>
      <c r="U6469">
        <v>6.9152829999999998E-2</v>
      </c>
      <c r="V6469">
        <v>-0.142365299999999</v>
      </c>
      <c r="W6469">
        <v>0.25861899999999999</v>
      </c>
      <c r="X6469">
        <v>0.95543100000000003</v>
      </c>
      <c r="Y6469">
        <v>-2.7446080000000001E-2</v>
      </c>
      <c r="Z6469">
        <v>-2.4395010000000002E-3</v>
      </c>
      <c r="AA6469">
        <v>0.99962030000000002</v>
      </c>
      <c r="AB6469">
        <v>26</v>
      </c>
      <c r="AC6469">
        <v>57.020899999999898</v>
      </c>
      <c r="AD6469">
        <v>7.9717519999999897</v>
      </c>
      <c r="AE6469">
        <v>1.3143099999999901</v>
      </c>
      <c r="AF6469">
        <v>-1.5555340591122699</v>
      </c>
      <c r="AG6469">
        <v>7.9717519999999897</v>
      </c>
      <c r="AH6469">
        <v>55.921575908186398</v>
      </c>
      <c r="AI6469">
        <v>81.890107665249502</v>
      </c>
      <c r="AJ6469">
        <v>91.593348519877097</v>
      </c>
      <c r="AK6469">
        <v>56.508328308432702</v>
      </c>
      <c r="AL6469">
        <v>75.011866209561106</v>
      </c>
      <c r="AM6469">
        <v>98.475079162180194</v>
      </c>
      <c r="AN6469">
        <v>1.0000000307830399</v>
      </c>
    </row>
    <row r="6470" spans="1:40" x14ac:dyDescent="0.25">
      <c r="A6470" t="str">
        <f>"20190304155801037"</f>
        <v>20190304155801037</v>
      </c>
      <c r="B6470" t="str">
        <f>"1551686281031208"</f>
        <v>1551686281031208</v>
      </c>
      <c r="C6470" t="s">
        <v>40</v>
      </c>
      <c r="D6470">
        <v>4.816961</v>
      </c>
      <c r="E6470">
        <v>0.54595859999999996</v>
      </c>
      <c r="F6470" t="s">
        <v>73</v>
      </c>
      <c r="G6470">
        <v>-169.244</v>
      </c>
      <c r="H6470">
        <v>8.3064830000000001</v>
      </c>
      <c r="I6470">
        <v>-61.656790000000001</v>
      </c>
      <c r="J6470">
        <v>-224.89869999999999</v>
      </c>
      <c r="K6470">
        <v>1.1106640000000001</v>
      </c>
      <c r="L6470">
        <v>-63.215670000000003</v>
      </c>
      <c r="M6470">
        <v>0.99989159999999999</v>
      </c>
      <c r="N6470">
        <v>-1.393815E-2</v>
      </c>
      <c r="O6470">
        <v>-4.7431469999999996E-3</v>
      </c>
      <c r="P6470">
        <v>0.95935859999999995</v>
      </c>
      <c r="Q6470">
        <v>0.24568119999999999</v>
      </c>
      <c r="R6470">
        <v>0.13882320000000001</v>
      </c>
      <c r="S6470">
        <v>3.0147710000000001</v>
      </c>
      <c r="T6470">
        <v>0.38894590000000001</v>
      </c>
      <c r="U6470">
        <v>8.4228520000000001E-2</v>
      </c>
      <c r="V6470">
        <v>-0.14337720000000001</v>
      </c>
      <c r="W6470">
        <v>0.25901740000000001</v>
      </c>
      <c r="X6470">
        <v>0.95517169999999896</v>
      </c>
      <c r="Y6470">
        <v>-3.2381970000000003E-2</v>
      </c>
      <c r="Z6470">
        <v>-2.5283699999999998E-3</v>
      </c>
      <c r="AA6470">
        <v>0.99947240000000004</v>
      </c>
      <c r="AB6470">
        <v>26</v>
      </c>
      <c r="AC6470">
        <v>55.654699999999899</v>
      </c>
      <c r="AD6470">
        <v>7.1958190000000002</v>
      </c>
      <c r="AE6470">
        <v>1.5588799999999901</v>
      </c>
      <c r="AF6470">
        <v>-1.7929179282443799</v>
      </c>
      <c r="AG6470">
        <v>7.1958190000000002</v>
      </c>
      <c r="AH6470">
        <v>54.732437540845297</v>
      </c>
      <c r="AI6470">
        <v>82.5140986015371</v>
      </c>
      <c r="AJ6470">
        <v>91.876216627605501</v>
      </c>
      <c r="AK6470">
        <v>55.232545522913497</v>
      </c>
      <c r="AL6470">
        <v>74.988233955586907</v>
      </c>
      <c r="AM6470">
        <v>98.536716771605697</v>
      </c>
      <c r="AN6470">
        <v>1.00000000573174</v>
      </c>
    </row>
    <row r="6471" spans="1:40" x14ac:dyDescent="0.25">
      <c r="A6471" t="str">
        <f>"20190304155801046"</f>
        <v>20190304155801046</v>
      </c>
      <c r="B6471" t="str">
        <f>"1551686281040969"</f>
        <v>1551686281040969</v>
      </c>
      <c r="C6471" t="s">
        <v>40</v>
      </c>
      <c r="D6471">
        <v>4.6819139999999999</v>
      </c>
      <c r="E6471">
        <v>0.54665280000000005</v>
      </c>
      <c r="F6471" t="s">
        <v>73</v>
      </c>
      <c r="G6471">
        <v>-169.244</v>
      </c>
      <c r="H6471">
        <v>6.7074920000000002</v>
      </c>
      <c r="I6471">
        <v>-62.106090000000002</v>
      </c>
      <c r="J6471">
        <v>-224.77330000000001</v>
      </c>
      <c r="K6471">
        <v>1.1106769999999999</v>
      </c>
      <c r="L6471">
        <v>-63.216250000000002</v>
      </c>
      <c r="M6471">
        <v>0.99989189999999994</v>
      </c>
      <c r="N6471">
        <v>-1.393688E-2</v>
      </c>
      <c r="O6471">
        <v>-4.7185819999999998E-3</v>
      </c>
      <c r="P6471">
        <v>0.95890690000000001</v>
      </c>
      <c r="Q6471">
        <v>0.2468146</v>
      </c>
      <c r="R6471">
        <v>0.13992879999999999</v>
      </c>
      <c r="S6471">
        <v>3.0400239999999998</v>
      </c>
      <c r="T6471">
        <v>0.30571389999999998</v>
      </c>
      <c r="U6471">
        <v>6.0607910000000001E-2</v>
      </c>
      <c r="V6471">
        <v>-0.1444619</v>
      </c>
      <c r="W6471">
        <v>0.26013999999999998</v>
      </c>
      <c r="X6471">
        <v>0.95470299999999997</v>
      </c>
      <c r="Y6471">
        <v>-2.451335E-2</v>
      </c>
      <c r="Z6471">
        <v>-1.59698E-3</v>
      </c>
      <c r="AA6471">
        <v>0.99969819999999998</v>
      </c>
      <c r="AB6471">
        <v>26</v>
      </c>
      <c r="AC6471">
        <v>55.5292999999999</v>
      </c>
      <c r="AD6471">
        <v>5.5968150000000003</v>
      </c>
      <c r="AE6471">
        <v>1.11016</v>
      </c>
      <c r="AF6471">
        <v>-1.35839857345409</v>
      </c>
      <c r="AG6471">
        <v>5.5968150000000003</v>
      </c>
      <c r="AH6471">
        <v>54.965290806267298</v>
      </c>
      <c r="AI6471">
        <v>84.187685293792498</v>
      </c>
      <c r="AJ6471">
        <v>91.415705517383202</v>
      </c>
      <c r="AK6471">
        <v>55.266199238287797</v>
      </c>
      <c r="AL6471">
        <v>74.921629652229996</v>
      </c>
      <c r="AM6471">
        <v>98.604496955600993</v>
      </c>
      <c r="AN6471">
        <v>0.99999993918030305</v>
      </c>
    </row>
    <row r="6472" spans="1:40" x14ac:dyDescent="0.25">
      <c r="A6472" t="str">
        <f>"20190304155801059"</f>
        <v>20190304155801059</v>
      </c>
      <c r="B6472" t="str">
        <f>"1551686281050728"</f>
        <v>1551686281050728</v>
      </c>
      <c r="C6472" t="s">
        <v>40</v>
      </c>
      <c r="D6472">
        <v>4.4931850000000004</v>
      </c>
      <c r="E6472">
        <v>0.54464809999999997</v>
      </c>
      <c r="F6472" t="s">
        <v>73</v>
      </c>
      <c r="G6472">
        <v>-160.49299999999999</v>
      </c>
      <c r="H6472">
        <v>6.6740880000000002</v>
      </c>
      <c r="I6472">
        <v>-61.969920000000002</v>
      </c>
      <c r="J6472">
        <v>-224.63650000000001</v>
      </c>
      <c r="K6472">
        <v>1.1106929999999999</v>
      </c>
      <c r="L6472">
        <v>-63.216859999999997</v>
      </c>
      <c r="M6472">
        <v>0.99989189999999994</v>
      </c>
      <c r="N6472">
        <v>-1.393547E-2</v>
      </c>
      <c r="O6472">
        <v>-4.6801239999999999E-3</v>
      </c>
      <c r="P6472">
        <v>0.95842190000000005</v>
      </c>
      <c r="Q6472">
        <v>0.24802769999999999</v>
      </c>
      <c r="R6472">
        <v>0.14110159999999999</v>
      </c>
      <c r="S6472">
        <v>3.0519560000000001</v>
      </c>
      <c r="T6472">
        <v>0.26414320000000002</v>
      </c>
      <c r="U6472">
        <v>5.9173580000000003E-2</v>
      </c>
      <c r="V6472">
        <v>-0.14560239999999999</v>
      </c>
      <c r="W6472">
        <v>0.26134109999999999</v>
      </c>
      <c r="X6472">
        <v>0.95420159999999998</v>
      </c>
      <c r="Y6472">
        <v>-2.3965920000000002E-2</v>
      </c>
      <c r="Z6472">
        <v>-1.337151E-3</v>
      </c>
      <c r="AA6472">
        <v>0.99971189999999999</v>
      </c>
      <c r="AB6472">
        <v>26</v>
      </c>
      <c r="AC6472">
        <v>64.143500000000003</v>
      </c>
      <c r="AD6472">
        <v>5.5633949999999999</v>
      </c>
      <c r="AE6472">
        <v>1.2469399999999999</v>
      </c>
      <c r="AF6472">
        <v>-1.5356074710625101</v>
      </c>
      <c r="AG6472">
        <v>5.5633949999999999</v>
      </c>
      <c r="AH6472">
        <v>63.658259075024802</v>
      </c>
      <c r="AI6472">
        <v>85.006787600093503</v>
      </c>
      <c r="AJ6472">
        <v>91.381859452088804</v>
      </c>
      <c r="AK6472">
        <v>63.919350768716299</v>
      </c>
      <c r="AL6472">
        <v>74.850346244199002</v>
      </c>
      <c r="AM6472">
        <v>98.6758864522793</v>
      </c>
      <c r="AN6472">
        <v>0.99999996143876402</v>
      </c>
    </row>
    <row r="6473" spans="1:40" x14ac:dyDescent="0.25">
      <c r="A6473" t="str">
        <f>"20190304155801068"</f>
        <v>20190304155801068</v>
      </c>
      <c r="B6473" t="str">
        <f>"1551686281061465"</f>
        <v>1551686281061465</v>
      </c>
      <c r="C6473" t="s">
        <v>40</v>
      </c>
      <c r="D6473">
        <v>4.3673219999999997</v>
      </c>
      <c r="E6473">
        <v>0.54180249999999996</v>
      </c>
      <c r="F6473" t="s">
        <v>73</v>
      </c>
      <c r="G6473">
        <v>-165.2577</v>
      </c>
      <c r="H6473">
        <v>6.6740880000000002</v>
      </c>
      <c r="I6473">
        <v>-61.684339999999999</v>
      </c>
      <c r="J6473">
        <v>-224.5214</v>
      </c>
      <c r="K6473">
        <v>1.1107020000000001</v>
      </c>
      <c r="L6473">
        <v>-63.217350000000003</v>
      </c>
      <c r="M6473">
        <v>0.99989229999999996</v>
      </c>
      <c r="N6473">
        <v>-1.393428E-2</v>
      </c>
      <c r="O6473">
        <v>-4.6445430000000001E-3</v>
      </c>
      <c r="P6473">
        <v>0.95791870000000001</v>
      </c>
      <c r="Q6473">
        <v>0.24935950000000001</v>
      </c>
      <c r="R6473">
        <v>0.14216889999999999</v>
      </c>
      <c r="S6473">
        <v>3.0447690000000001</v>
      </c>
      <c r="T6473">
        <v>0.2852731</v>
      </c>
      <c r="U6473">
        <v>7.8582760000000001E-2</v>
      </c>
      <c r="V6473">
        <v>-0.14663989999999999</v>
      </c>
      <c r="W6473">
        <v>0.26266129999999999</v>
      </c>
      <c r="X6473">
        <v>0.95368010000000003</v>
      </c>
      <c r="Y6473">
        <v>-3.0304040000000001E-2</v>
      </c>
      <c r="Z6473">
        <v>-1.70342E-3</v>
      </c>
      <c r="AA6473">
        <v>0.99953930000000002</v>
      </c>
      <c r="AB6473">
        <v>26</v>
      </c>
      <c r="AC6473">
        <v>59.2637</v>
      </c>
      <c r="AD6473">
        <v>5.5633860000000004</v>
      </c>
      <c r="AE6473">
        <v>1.53301</v>
      </c>
      <c r="AF6473">
        <v>-1.79248714976516</v>
      </c>
      <c r="AG6473">
        <v>5.5633860000000004</v>
      </c>
      <c r="AH6473">
        <v>58.7386495621137</v>
      </c>
      <c r="AI6473">
        <v>84.591917473443303</v>
      </c>
      <c r="AJ6473">
        <v>91.747913628200493</v>
      </c>
      <c r="AK6473">
        <v>59.028749151137099</v>
      </c>
      <c r="AL6473">
        <v>74.771966570127901</v>
      </c>
      <c r="AM6473">
        <v>98.741460270212698</v>
      </c>
      <c r="AN6473">
        <v>0.99999997596285395</v>
      </c>
    </row>
    <row r="6474" spans="1:40" x14ac:dyDescent="0.25">
      <c r="A6474" t="str">
        <f>"20190304155801080"</f>
        <v>20190304155801080</v>
      </c>
      <c r="B6474" t="str">
        <f>"1551686281071224"</f>
        <v>1551686281071224</v>
      </c>
      <c r="C6474" t="s">
        <v>40</v>
      </c>
      <c r="D6474">
        <v>4.5082690000000003</v>
      </c>
      <c r="E6474">
        <v>0.54166950000000003</v>
      </c>
      <c r="F6474" t="s">
        <v>73</v>
      </c>
      <c r="G6474">
        <v>-169.244</v>
      </c>
      <c r="H6474">
        <v>6.9540449999999998</v>
      </c>
      <c r="I6474">
        <v>-61.321210000000001</v>
      </c>
      <c r="J6474">
        <v>-224.3956</v>
      </c>
      <c r="K6474">
        <v>1.110716</v>
      </c>
      <c r="L6474">
        <v>-63.2179</v>
      </c>
      <c r="M6474">
        <v>0.99989249999999996</v>
      </c>
      <c r="N6474">
        <v>-1.3932979999999999E-2</v>
      </c>
      <c r="O6474">
        <v>-4.5891029999999998E-3</v>
      </c>
      <c r="P6474">
        <v>0.95755389999999996</v>
      </c>
      <c r="Q6474">
        <v>0.24994520000000001</v>
      </c>
      <c r="R6474">
        <v>0.14359129999999901</v>
      </c>
      <c r="S6474">
        <v>3.0328979999999999</v>
      </c>
      <c r="T6474">
        <v>0.32060429999999901</v>
      </c>
      <c r="U6474">
        <v>0.1040344</v>
      </c>
      <c r="V6474">
        <v>-0.148016799999999</v>
      </c>
      <c r="W6474">
        <v>0.26323540000000001</v>
      </c>
      <c r="X6474">
        <v>0.95330910000000002</v>
      </c>
      <c r="Y6474">
        <v>-3.8649030000000001E-2</v>
      </c>
      <c r="Z6474">
        <v>-2.3138669999999998E-3</v>
      </c>
      <c r="AA6474">
        <v>0.99925019999999998</v>
      </c>
      <c r="AB6474">
        <v>26</v>
      </c>
      <c r="AC6474">
        <v>55.151599999999902</v>
      </c>
      <c r="AD6474">
        <v>5.8433289999999998</v>
      </c>
      <c r="AE6474">
        <v>1.89668999999999</v>
      </c>
      <c r="AF6474">
        <v>-2.1259543021774499</v>
      </c>
      <c r="AG6474">
        <v>5.8433289999999998</v>
      </c>
      <c r="AH6474">
        <v>54.530902425591798</v>
      </c>
      <c r="AI6474">
        <v>83.888343417374102</v>
      </c>
      <c r="AJ6474">
        <v>92.232615757229695</v>
      </c>
      <c r="AK6474">
        <v>54.884273656910203</v>
      </c>
      <c r="AL6474">
        <v>74.737874388857094</v>
      </c>
      <c r="AM6474">
        <v>98.825633647796906</v>
      </c>
      <c r="AN6474">
        <v>1.0000000445191</v>
      </c>
    </row>
    <row r="6475" spans="1:40" x14ac:dyDescent="0.25">
      <c r="A6475" t="str">
        <f>"20190304155801091"</f>
        <v>20190304155801091</v>
      </c>
      <c r="B6475" t="str">
        <f>"1551686281080985"</f>
        <v>1551686281080985</v>
      </c>
      <c r="C6475" t="s">
        <v>40</v>
      </c>
      <c r="D6475">
        <v>4.783989</v>
      </c>
      <c r="E6475">
        <v>0.54200539999999997</v>
      </c>
      <c r="F6475" t="s">
        <v>73</v>
      </c>
      <c r="G6475">
        <v>-169.244</v>
      </c>
      <c r="H6475">
        <v>7.7015339999999997</v>
      </c>
      <c r="I6475">
        <v>-61.232069999999901</v>
      </c>
      <c r="J6475">
        <v>-224.25829999999999</v>
      </c>
      <c r="K6475">
        <v>1.1107279999999999</v>
      </c>
      <c r="L6475">
        <v>-63.218409999999999</v>
      </c>
      <c r="M6475">
        <v>0.99989280000000003</v>
      </c>
      <c r="N6475">
        <v>-1.3931570000000001E-2</v>
      </c>
      <c r="O6475">
        <v>-4.5227779999999999E-3</v>
      </c>
      <c r="P6475">
        <v>0.95711089999999999</v>
      </c>
      <c r="Q6475">
        <v>0.2506351</v>
      </c>
      <c r="R6475">
        <v>0.14533090000000001</v>
      </c>
      <c r="S6475">
        <v>3.0224000000000002</v>
      </c>
      <c r="T6475">
        <v>0.3611858</v>
      </c>
      <c r="U6475">
        <v>0.1088257</v>
      </c>
      <c r="V6475">
        <v>-0.14970159999999999</v>
      </c>
      <c r="W6475">
        <v>0.26391170000000003</v>
      </c>
      <c r="X6475">
        <v>0.95285889999999995</v>
      </c>
      <c r="Y6475">
        <v>-4.0210740000000002E-2</v>
      </c>
      <c r="Z6475">
        <v>-2.713437E-3</v>
      </c>
      <c r="AA6475">
        <v>0.99918750000000001</v>
      </c>
      <c r="AB6475">
        <v>26</v>
      </c>
      <c r="AC6475">
        <v>55.014299999999899</v>
      </c>
      <c r="AD6475">
        <v>6.5908059999999997</v>
      </c>
      <c r="AE6475">
        <v>1.98634</v>
      </c>
      <c r="AF6475">
        <v>-2.2035757537766498</v>
      </c>
      <c r="AG6475">
        <v>6.5908059999999997</v>
      </c>
      <c r="AH6475">
        <v>54.227469125471899</v>
      </c>
      <c r="AI6475">
        <v>83.075919026892706</v>
      </c>
      <c r="AJ6475">
        <v>92.326978696188405</v>
      </c>
      <c r="AK6475">
        <v>54.670950948252901</v>
      </c>
      <c r="AL6475">
        <v>74.697704428418902</v>
      </c>
      <c r="AM6475">
        <v>98.928631894156098</v>
      </c>
      <c r="AN6475">
        <v>1.0000000188743201</v>
      </c>
    </row>
    <row r="6476" spans="1:40" x14ac:dyDescent="0.25">
      <c r="A6476" t="str">
        <f>"20190304155801101"</f>
        <v>20190304155801101</v>
      </c>
      <c r="B6476" t="str">
        <f>"1551686281090745"</f>
        <v>1551686281090745</v>
      </c>
      <c r="C6476" t="s">
        <v>40</v>
      </c>
      <c r="D6476">
        <v>4.6016219999999999</v>
      </c>
      <c r="E6476">
        <v>0.54214969999999996</v>
      </c>
      <c r="F6476" t="s">
        <v>73</v>
      </c>
      <c r="G6476">
        <v>-169.244</v>
      </c>
      <c r="H6476">
        <v>8.2193089999999902</v>
      </c>
      <c r="I6476">
        <v>-61.194609999999997</v>
      </c>
      <c r="J6476">
        <v>-224.13409999999999</v>
      </c>
      <c r="K6476">
        <v>1.1107469999999999</v>
      </c>
      <c r="L6476">
        <v>-63.218899999999998</v>
      </c>
      <c r="M6476">
        <v>0.99989309999999998</v>
      </c>
      <c r="N6476">
        <v>-1.393032E-2</v>
      </c>
      <c r="O6476">
        <v>-4.4439249999999996E-3</v>
      </c>
      <c r="P6476">
        <v>0.95684279999999999</v>
      </c>
      <c r="Q6476">
        <v>0.25064779999999998</v>
      </c>
      <c r="R6476">
        <v>0.14706359999999999</v>
      </c>
      <c r="S6476">
        <v>3.015533</v>
      </c>
      <c r="T6476">
        <v>0.38964520000000002</v>
      </c>
      <c r="U6476">
        <v>0.1109314</v>
      </c>
      <c r="V6476">
        <v>-0.15136839999999999</v>
      </c>
      <c r="W6476">
        <v>0.2639126</v>
      </c>
      <c r="X6476">
        <v>0.95259530000000003</v>
      </c>
      <c r="Y6476">
        <v>-4.085519E-2</v>
      </c>
      <c r="Z6476">
        <v>-2.975236E-3</v>
      </c>
      <c r="AA6476">
        <v>0.99916059999999995</v>
      </c>
      <c r="AB6476">
        <v>26</v>
      </c>
      <c r="AC6476">
        <v>54.890099999999897</v>
      </c>
      <c r="AD6476">
        <v>7.1085619999999903</v>
      </c>
      <c r="AE6476">
        <v>2.0242900000000001</v>
      </c>
      <c r="AF6476">
        <v>-2.2308568596864</v>
      </c>
      <c r="AG6476">
        <v>7.1085619999999903</v>
      </c>
      <c r="AH6476">
        <v>53.976516218148099</v>
      </c>
      <c r="AI6476">
        <v>82.503803008217702</v>
      </c>
      <c r="AJ6476">
        <v>92.366695501872201</v>
      </c>
      <c r="AK6476">
        <v>54.488280199362698</v>
      </c>
      <c r="AL6476">
        <v>74.697651129796796</v>
      </c>
      <c r="AM6476">
        <v>99.028873281801694</v>
      </c>
      <c r="AN6476">
        <v>1.0000000292697</v>
      </c>
    </row>
    <row r="6477" spans="1:40" x14ac:dyDescent="0.25">
      <c r="A6477" t="str">
        <f>"20190304155801114"</f>
        <v>20190304155801114</v>
      </c>
      <c r="B6477" t="str">
        <f>"1551686281111240"</f>
        <v>1551686281111240</v>
      </c>
      <c r="C6477" t="s">
        <v>40</v>
      </c>
      <c r="D6477">
        <v>4.2979089999999998</v>
      </c>
      <c r="E6477">
        <v>0.54173739999999904</v>
      </c>
      <c r="F6477" t="s">
        <v>73</v>
      </c>
      <c r="G6477">
        <v>-169.244</v>
      </c>
      <c r="H6477">
        <v>8.4723869999999994</v>
      </c>
      <c r="I6477">
        <v>-61.126559999999998</v>
      </c>
      <c r="J6477">
        <v>-224.00210000000001</v>
      </c>
      <c r="K6477">
        <v>1.1107610000000001</v>
      </c>
      <c r="L6477">
        <v>-63.2194199999999</v>
      </c>
      <c r="M6477">
        <v>0.9998937</v>
      </c>
      <c r="N6477">
        <v>-1.392899E-2</v>
      </c>
      <c r="O6477">
        <v>-4.352056E-3</v>
      </c>
      <c r="P6477">
        <v>0.956592</v>
      </c>
      <c r="Q6477">
        <v>0.25056659999999997</v>
      </c>
      <c r="R6477">
        <v>0.14882339999999999</v>
      </c>
      <c r="S6477">
        <v>3.011841</v>
      </c>
      <c r="T6477">
        <v>0.40393449999999997</v>
      </c>
      <c r="U6477">
        <v>0.1148071</v>
      </c>
      <c r="V6477">
        <v>-0.15305099999999999</v>
      </c>
      <c r="W6477">
        <v>0.26381969999999999</v>
      </c>
      <c r="X6477">
        <v>0.95235210000000003</v>
      </c>
      <c r="Y6477">
        <v>-4.2055879999999997E-2</v>
      </c>
      <c r="Z6477">
        <v>-3.153594E-3</v>
      </c>
      <c r="AA6477">
        <v>0.99911030000000001</v>
      </c>
      <c r="AB6477">
        <v>26</v>
      </c>
      <c r="AC6477">
        <v>54.758099999999899</v>
      </c>
      <c r="AD6477">
        <v>7.3616259999999896</v>
      </c>
      <c r="AE6477">
        <v>2.0928599999999902</v>
      </c>
      <c r="AF6477">
        <v>-2.2898475699176002</v>
      </c>
      <c r="AG6477">
        <v>7.3616259999999896</v>
      </c>
      <c r="AH6477">
        <v>53.777915793475799</v>
      </c>
      <c r="AI6477">
        <v>82.212232441996605</v>
      </c>
      <c r="AJ6477">
        <v>92.438164377508798</v>
      </c>
      <c r="AK6477">
        <v>54.327720054752</v>
      </c>
      <c r="AL6477">
        <v>74.703168749500904</v>
      </c>
      <c r="AM6477">
        <v>99.129848788635201</v>
      </c>
      <c r="AN6477">
        <v>0.99999998254174904</v>
      </c>
    </row>
    <row r="6478" spans="1:40" x14ac:dyDescent="0.25">
      <c r="A6478" t="str">
        <f>"20190304155801124"</f>
        <v>20190304155801124</v>
      </c>
      <c r="B6478" t="str">
        <f>"1551686281121000"</f>
        <v>1551686281121000</v>
      </c>
      <c r="C6478" t="s">
        <v>40</v>
      </c>
      <c r="D6478">
        <v>4.505846</v>
      </c>
      <c r="E6478">
        <v>0.54121580000000002</v>
      </c>
      <c r="F6478" t="s">
        <v>73</v>
      </c>
      <c r="G6478">
        <v>-167.99870000000001</v>
      </c>
      <c r="H6478">
        <v>9.2255839999999996</v>
      </c>
      <c r="I6478">
        <v>-60.930410000000002</v>
      </c>
      <c r="J6478">
        <v>-223.87690000000001</v>
      </c>
      <c r="K6478">
        <v>1.110771</v>
      </c>
      <c r="L6478">
        <v>-63.219850000000001</v>
      </c>
      <c r="M6478">
        <v>0.99989399999999995</v>
      </c>
      <c r="N6478">
        <v>-1.3927739999999999E-2</v>
      </c>
      <c r="O6478">
        <v>-4.2501839999999997E-3</v>
      </c>
      <c r="P6478">
        <v>0.95633319999999999</v>
      </c>
      <c r="Q6478">
        <v>0.25029279999999998</v>
      </c>
      <c r="R6478">
        <v>0.15093199999999901</v>
      </c>
      <c r="S6478">
        <v>3.0030359999999998</v>
      </c>
      <c r="T6478">
        <v>0.43513420000000003</v>
      </c>
      <c r="U6478">
        <v>0.1227417</v>
      </c>
      <c r="V6478">
        <v>-0.15507319999999999</v>
      </c>
      <c r="W6478">
        <v>0.26353399999999999</v>
      </c>
      <c r="X6478">
        <v>0.95210410000000001</v>
      </c>
      <c r="Y6478">
        <v>-4.4611949999999997E-2</v>
      </c>
      <c r="Z6478">
        <v>-3.5729519999999999E-3</v>
      </c>
      <c r="AA6478">
        <v>0.99899800000000005</v>
      </c>
      <c r="AB6478">
        <v>26</v>
      </c>
      <c r="AC6478">
        <v>55.8781999999999</v>
      </c>
      <c r="AD6478">
        <v>8.1148129999999998</v>
      </c>
      <c r="AE6478">
        <v>2.2894399999999999</v>
      </c>
      <c r="AF6478">
        <v>-2.4748288352761199</v>
      </c>
      <c r="AG6478">
        <v>8.1148129999999998</v>
      </c>
      <c r="AH6478">
        <v>54.715949820190502</v>
      </c>
      <c r="AI6478">
        <v>81.572561227663002</v>
      </c>
      <c r="AJ6478">
        <v>92.589750706242398</v>
      </c>
      <c r="AK6478">
        <v>55.369758284775699</v>
      </c>
      <c r="AL6478">
        <v>74.720139631281597</v>
      </c>
      <c r="AM6478">
        <v>99.250773874217302</v>
      </c>
      <c r="AN6478">
        <v>1.0000000418755199</v>
      </c>
    </row>
    <row r="6479" spans="1:40" x14ac:dyDescent="0.25">
      <c r="A6479" t="str">
        <f>"20190304155801135"</f>
        <v>20190304155801135</v>
      </c>
      <c r="B6479" t="str">
        <f>"1551686281130760"</f>
        <v>1551686281130760</v>
      </c>
      <c r="C6479" t="s">
        <v>40</v>
      </c>
      <c r="D6479">
        <v>4.7674989999999999</v>
      </c>
      <c r="E6479">
        <v>0.54175790000000001</v>
      </c>
      <c r="F6479" t="s">
        <v>73</v>
      </c>
      <c r="G6479">
        <v>-167.99870000000001</v>
      </c>
      <c r="H6479">
        <v>9.0714310000000005</v>
      </c>
      <c r="I6479">
        <v>-60.740229999999997</v>
      </c>
      <c r="J6479">
        <v>-223.7518</v>
      </c>
      <c r="K6479">
        <v>1.1107860000000001</v>
      </c>
      <c r="L6479">
        <v>-63.22025</v>
      </c>
      <c r="M6479">
        <v>0.99989459999999997</v>
      </c>
      <c r="N6479">
        <v>-1.392649E-2</v>
      </c>
      <c r="O6479">
        <v>-4.1353179999999998E-3</v>
      </c>
      <c r="P6479">
        <v>0.95613300000000001</v>
      </c>
      <c r="Q6479">
        <v>0.24982209999999999</v>
      </c>
      <c r="R6479">
        <v>0.1529674</v>
      </c>
      <c r="S6479">
        <v>3.0039370000000001</v>
      </c>
      <c r="T6479">
        <v>0.42795230000000001</v>
      </c>
      <c r="U6479">
        <v>0.133300799999999</v>
      </c>
      <c r="V6479">
        <v>-0.1570097</v>
      </c>
      <c r="W6479">
        <v>0.26305149999999999</v>
      </c>
      <c r="X6479">
        <v>0.95192010000000005</v>
      </c>
      <c r="Y6479">
        <v>-4.7977069999999997E-2</v>
      </c>
      <c r="Z6479">
        <v>-3.706067E-3</v>
      </c>
      <c r="AA6479">
        <v>0.9988416</v>
      </c>
      <c r="AB6479">
        <v>26</v>
      </c>
      <c r="AC6479">
        <v>55.753099999999897</v>
      </c>
      <c r="AD6479">
        <v>7.9606449999999898</v>
      </c>
      <c r="AE6479">
        <v>2.4800199999999899</v>
      </c>
      <c r="AF6479">
        <v>-2.6565256405854001</v>
      </c>
      <c r="AG6479">
        <v>7.9606449999999898</v>
      </c>
      <c r="AH6479">
        <v>54.630794733667599</v>
      </c>
      <c r="AI6479">
        <v>81.719020788796001</v>
      </c>
      <c r="AJ6479">
        <v>92.783922679804704</v>
      </c>
      <c r="AK6479">
        <v>55.271626812743897</v>
      </c>
      <c r="AL6479">
        <v>74.748795411948706</v>
      </c>
      <c r="AM6479">
        <v>99.366038353771998</v>
      </c>
      <c r="AN6479">
        <v>1.00000000716517</v>
      </c>
    </row>
    <row r="6480" spans="1:40" x14ac:dyDescent="0.25">
      <c r="A6480" t="str">
        <f>"20190304155801146"</f>
        <v>20190304155801146</v>
      </c>
      <c r="B6480" t="str">
        <f>"1551686281141496"</f>
        <v>1551686281141496</v>
      </c>
      <c r="C6480" t="s">
        <v>40</v>
      </c>
      <c r="D6480">
        <v>4.6521470000000003</v>
      </c>
      <c r="E6480">
        <v>0.54276329999999995</v>
      </c>
      <c r="F6480" t="s">
        <v>73</v>
      </c>
      <c r="G6480">
        <v>-167.99870000000001</v>
      </c>
      <c r="H6480">
        <v>9.2278900000000004</v>
      </c>
      <c r="I6480">
        <v>-60.711570000000002</v>
      </c>
      <c r="J6480">
        <v>-223.61779999999999</v>
      </c>
      <c r="K6480">
        <v>1.110803</v>
      </c>
      <c r="L6480">
        <v>-63.220669999999998</v>
      </c>
      <c r="M6480">
        <v>0.99989519999999998</v>
      </c>
      <c r="N6480">
        <v>-1.3925150000000001E-2</v>
      </c>
      <c r="O6480">
        <v>-4.0000440000000003E-3</v>
      </c>
      <c r="P6480">
        <v>0.95598340000000004</v>
      </c>
      <c r="Q6480">
        <v>0.2489876</v>
      </c>
      <c r="R6480">
        <v>0.1552453</v>
      </c>
      <c r="S6480">
        <v>3.001846</v>
      </c>
      <c r="T6480">
        <v>0.43703710000000001</v>
      </c>
      <c r="U6480">
        <v>0.13507079999999999</v>
      </c>
      <c r="V6480">
        <v>-0.1591698</v>
      </c>
      <c r="W6480">
        <v>0.26220529999999997</v>
      </c>
      <c r="X6480">
        <v>0.95179480000000005</v>
      </c>
      <c r="Y6480">
        <v>-4.8435609999999997E-2</v>
      </c>
      <c r="Z6480">
        <v>-3.8009929999999999E-3</v>
      </c>
      <c r="AA6480">
        <v>0.99881909999999896</v>
      </c>
      <c r="AB6480">
        <v>26</v>
      </c>
      <c r="AC6480">
        <v>55.619099999999897</v>
      </c>
      <c r="AD6480">
        <v>8.1170869999999908</v>
      </c>
      <c r="AE6480">
        <v>2.5091000000000001</v>
      </c>
      <c r="AF6480">
        <v>-2.6747278624116699</v>
      </c>
      <c r="AG6480">
        <v>8.1170869999999908</v>
      </c>
      <c r="AH6480">
        <v>54.451233999208803</v>
      </c>
      <c r="AI6480">
        <v>81.531373853957206</v>
      </c>
      <c r="AJ6480">
        <v>92.812195868330505</v>
      </c>
      <c r="AK6480">
        <v>55.1178569479994</v>
      </c>
      <c r="AL6480">
        <v>74.799042716937095</v>
      </c>
      <c r="AM6480">
        <v>99.493791289248193</v>
      </c>
      <c r="AN6480">
        <v>0.99999999294358499</v>
      </c>
    </row>
    <row r="6481" spans="1:40" x14ac:dyDescent="0.25">
      <c r="A6481" t="str">
        <f>"20190304155801158"</f>
        <v>20190304155801158</v>
      </c>
      <c r="B6481" t="str">
        <f>"1551686281151256"</f>
        <v>1551686281151256</v>
      </c>
      <c r="C6481" t="s">
        <v>40</v>
      </c>
      <c r="D6481">
        <v>4.7470290000000004</v>
      </c>
      <c r="E6481">
        <v>0.54419479999999998</v>
      </c>
      <c r="F6481" t="s">
        <v>73</v>
      </c>
      <c r="G6481">
        <v>-167.99870000000001</v>
      </c>
      <c r="H6481">
        <v>8.7871779999999902</v>
      </c>
      <c r="I6481">
        <v>-60.737419999999901</v>
      </c>
      <c r="J6481">
        <v>-223.494</v>
      </c>
      <c r="K6481">
        <v>1.110816</v>
      </c>
      <c r="L6481">
        <v>-63.22101</v>
      </c>
      <c r="M6481">
        <v>0.99989570000000005</v>
      </c>
      <c r="N6481">
        <v>-1.3923929999999999E-2</v>
      </c>
      <c r="O6481">
        <v>-3.854658E-3</v>
      </c>
      <c r="P6481">
        <v>0.95582129999999998</v>
      </c>
      <c r="Q6481">
        <v>0.24814020000000001</v>
      </c>
      <c r="R6481">
        <v>0.1575819</v>
      </c>
      <c r="S6481">
        <v>3.008194</v>
      </c>
      <c r="T6481">
        <v>0.41517949999999998</v>
      </c>
      <c r="U6481">
        <v>0.13430790000000001</v>
      </c>
      <c r="V6481">
        <v>-0.1613781</v>
      </c>
      <c r="W6481">
        <v>0.261347</v>
      </c>
      <c r="X6481">
        <v>0.95165900000000003</v>
      </c>
      <c r="Y6481">
        <v>-4.8001729999999999E-2</v>
      </c>
      <c r="Z6481">
        <v>-3.5420970000000001E-3</v>
      </c>
      <c r="AA6481">
        <v>0.99884099999999998</v>
      </c>
      <c r="AB6481">
        <v>26</v>
      </c>
      <c r="AC6481">
        <v>55.4953</v>
      </c>
      <c r="AD6481">
        <v>7.6763619999999904</v>
      </c>
      <c r="AE6481">
        <v>2.48359</v>
      </c>
      <c r="AF6481">
        <v>-2.6469627687019899</v>
      </c>
      <c r="AG6481">
        <v>7.6763619999999904</v>
      </c>
      <c r="AH6481">
        <v>54.445650002687003</v>
      </c>
      <c r="AI6481">
        <v>81.984037027924103</v>
      </c>
      <c r="AJ6481">
        <v>92.783334902309306</v>
      </c>
      <c r="AK6481">
        <v>55.047813305062597</v>
      </c>
      <c r="AL6481">
        <v>74.849996609086404</v>
      </c>
      <c r="AM6481">
        <v>99.624407646991997</v>
      </c>
      <c r="AN6481">
        <v>0.99999999892480496</v>
      </c>
    </row>
    <row r="6482" spans="1:40" x14ac:dyDescent="0.25">
      <c r="A6482" t="str">
        <f>"20190304155801168"</f>
        <v>20190304155801168</v>
      </c>
      <c r="B6482" t="str">
        <f>"1551686281161017"</f>
        <v>1551686281161017</v>
      </c>
      <c r="C6482" t="s">
        <v>40</v>
      </c>
      <c r="D6482">
        <v>4.4692129999999999</v>
      </c>
      <c r="E6482">
        <v>0.54386789999999996</v>
      </c>
      <c r="F6482" t="s">
        <v>73</v>
      </c>
      <c r="G6482">
        <v>-169.244</v>
      </c>
      <c r="H6482">
        <v>8.1715079999999993</v>
      </c>
      <c r="I6482">
        <v>-60.873759999999997</v>
      </c>
      <c r="J6482">
        <v>-223.36359999999999</v>
      </c>
      <c r="K6482">
        <v>1.110833</v>
      </c>
      <c r="L6482">
        <v>-63.221369999999901</v>
      </c>
      <c r="M6482">
        <v>0.99989640000000002</v>
      </c>
      <c r="N6482">
        <v>-1.392263E-2</v>
      </c>
      <c r="O6482">
        <v>-3.6949489999999999E-3</v>
      </c>
      <c r="P6482">
        <v>0.95576439999999996</v>
      </c>
      <c r="Q6482">
        <v>0.24693409999999999</v>
      </c>
      <c r="R6482">
        <v>0.15980739999999999</v>
      </c>
      <c r="S6482">
        <v>3.0152890000000001</v>
      </c>
      <c r="T6482">
        <v>0.39244079999999998</v>
      </c>
      <c r="U6482">
        <v>0.13046259999999901</v>
      </c>
      <c r="V6482">
        <v>-0.1634632</v>
      </c>
      <c r="W6482">
        <v>0.26013029999999998</v>
      </c>
      <c r="X6482">
        <v>0.9516365</v>
      </c>
      <c r="Y6482">
        <v>-4.6530630000000003E-2</v>
      </c>
      <c r="Z6482">
        <v>-3.2184370000000002E-3</v>
      </c>
      <c r="AA6482">
        <v>0.99891169999999996</v>
      </c>
      <c r="AB6482">
        <v>26</v>
      </c>
      <c r="AC6482">
        <v>54.119599999999899</v>
      </c>
      <c r="AD6482">
        <v>7.0606749999999998</v>
      </c>
      <c r="AE6482">
        <v>2.3476099999999902</v>
      </c>
      <c r="AF6482">
        <v>-2.5050247157633501</v>
      </c>
      <c r="AG6482">
        <v>7.0606749999999998</v>
      </c>
      <c r="AH6482">
        <v>53.206629911034597</v>
      </c>
      <c r="AI6482">
        <v>82.449116269808897</v>
      </c>
      <c r="AJ6482">
        <v>92.6955557232084</v>
      </c>
      <c r="AK6482">
        <v>53.731496785144699</v>
      </c>
      <c r="AL6482">
        <v>74.922206321844797</v>
      </c>
      <c r="AM6482">
        <v>99.746616398827001</v>
      </c>
      <c r="AN6482">
        <v>1.0000000094322801</v>
      </c>
    </row>
    <row r="6483" spans="1:40" x14ac:dyDescent="0.25">
      <c r="A6483" t="str">
        <f>"20190304155801180"</f>
        <v>20190304155801180</v>
      </c>
      <c r="B6483" t="str">
        <f>"1551686281170776"</f>
        <v>1551686281170776</v>
      </c>
      <c r="C6483" t="s">
        <v>40</v>
      </c>
      <c r="D6483">
        <v>4.4660190000000002</v>
      </c>
      <c r="E6483">
        <v>0.54373319999999903</v>
      </c>
      <c r="F6483" t="s">
        <v>73</v>
      </c>
      <c r="G6483">
        <v>-169.244</v>
      </c>
      <c r="H6483">
        <v>8.0946459999999991</v>
      </c>
      <c r="I6483">
        <v>-60.709130000000002</v>
      </c>
      <c r="J6483">
        <v>-223.23920000000001</v>
      </c>
      <c r="K6483">
        <v>1.110852</v>
      </c>
      <c r="L6483">
        <v>-63.221649999999997</v>
      </c>
      <c r="M6483">
        <v>0.99989689999999998</v>
      </c>
      <c r="N6483">
        <v>-1.392144E-2</v>
      </c>
      <c r="O6483">
        <v>-3.516047E-3</v>
      </c>
      <c r="P6483">
        <v>0.95562309999999995</v>
      </c>
      <c r="Q6483">
        <v>0.2460889</v>
      </c>
      <c r="R6483">
        <v>0.1619409</v>
      </c>
      <c r="S6483">
        <v>3.0149379999999999</v>
      </c>
      <c r="T6483">
        <v>0.38905840000000003</v>
      </c>
      <c r="U6483">
        <v>0.13995360000000001</v>
      </c>
      <c r="V6483">
        <v>-0.16543769999999999</v>
      </c>
      <c r="W6483">
        <v>0.25927339999999999</v>
      </c>
      <c r="X6483">
        <v>0.95152910000000002</v>
      </c>
      <c r="Y6483">
        <v>-4.9481900000000002E-2</v>
      </c>
      <c r="Z6483">
        <v>-3.3322109999999999E-3</v>
      </c>
      <c r="AA6483">
        <v>0.99876949999999998</v>
      </c>
      <c r="AB6483">
        <v>26</v>
      </c>
      <c r="AC6483">
        <v>53.995199999999897</v>
      </c>
      <c r="AD6483">
        <v>6.9837939999999996</v>
      </c>
      <c r="AE6483">
        <v>2.5125199999999901</v>
      </c>
      <c r="AF6483">
        <v>-2.6580026140694399</v>
      </c>
      <c r="AG6483">
        <v>6.9837939999999996</v>
      </c>
      <c r="AH6483">
        <v>53.0996413193607</v>
      </c>
      <c r="AI6483">
        <v>82.516588633793504</v>
      </c>
      <c r="AJ6483">
        <v>92.865656332542599</v>
      </c>
      <c r="AK6483">
        <v>53.622852076102703</v>
      </c>
      <c r="AL6483">
        <v>74.973047017812505</v>
      </c>
      <c r="AM6483">
        <v>99.863140483047502</v>
      </c>
      <c r="AN6483">
        <v>0.99999997833782905</v>
      </c>
    </row>
    <row r="6484" spans="1:40" x14ac:dyDescent="0.25">
      <c r="A6484" t="str">
        <f>"20190304155801192"</f>
        <v>20190304155801192</v>
      </c>
      <c r="B6484" t="str">
        <f>"1551686281181513"</f>
        <v>1551686281181513</v>
      </c>
      <c r="C6484" t="s">
        <v>40</v>
      </c>
      <c r="D6484">
        <v>5.0683470000000002</v>
      </c>
      <c r="E6484">
        <v>0.54373319999999903</v>
      </c>
      <c r="F6484" t="s">
        <v>73</v>
      </c>
      <c r="G6484">
        <v>-169.244</v>
      </c>
      <c r="H6484">
        <v>8.0379930000000002</v>
      </c>
      <c r="I6484">
        <v>-60.576689999999999</v>
      </c>
      <c r="J6484">
        <v>-223.10830000000001</v>
      </c>
      <c r="K6484">
        <v>1.1108720000000001</v>
      </c>
      <c r="L6484">
        <v>-63.221919999999997</v>
      </c>
      <c r="M6484">
        <v>0.9998977</v>
      </c>
      <c r="N6484">
        <v>-1.3920180000000001E-2</v>
      </c>
      <c r="O6484">
        <v>-3.3219870000000002E-3</v>
      </c>
      <c r="P6484">
        <v>0.95549150000000005</v>
      </c>
      <c r="Q6484">
        <v>0.24546989999999999</v>
      </c>
      <c r="R6484">
        <v>0.1636484</v>
      </c>
      <c r="S6484">
        <v>3.014694</v>
      </c>
      <c r="T6484">
        <v>0.38675860000000001</v>
      </c>
      <c r="U6484">
        <v>0.14767459999999999</v>
      </c>
      <c r="V6484">
        <v>-0.16697219999999999</v>
      </c>
      <c r="W6484">
        <v>0.25864199999999998</v>
      </c>
      <c r="X6484">
        <v>0.95143290000000003</v>
      </c>
      <c r="Y6484">
        <v>-5.1833549999999999E-2</v>
      </c>
      <c r="Z6484">
        <v>-3.4172619999999999E-3</v>
      </c>
      <c r="AA6484">
        <v>0.99864989999999998</v>
      </c>
      <c r="AB6484">
        <v>26</v>
      </c>
      <c r="AC6484">
        <v>53.864299999999901</v>
      </c>
      <c r="AD6484">
        <v>6.9271209999999996</v>
      </c>
      <c r="AE6484">
        <v>2.64522999999999</v>
      </c>
      <c r="AF6484">
        <v>-2.7783295911754502</v>
      </c>
      <c r="AG6484">
        <v>6.9271209999999996</v>
      </c>
      <c r="AH6484">
        <v>52.981080114102703</v>
      </c>
      <c r="AI6484">
        <v>82.561105881955598</v>
      </c>
      <c r="AJ6484">
        <v>93.001842938717402</v>
      </c>
      <c r="AK6484">
        <v>53.504195823531497</v>
      </c>
      <c r="AL6484">
        <v>75.010501234425604</v>
      </c>
      <c r="AM6484">
        <v>99.953790073882004</v>
      </c>
      <c r="AN6484">
        <v>0.99999998146962399</v>
      </c>
    </row>
    <row r="6485" spans="1:40" x14ac:dyDescent="0.25">
      <c r="A6485" t="str">
        <f>"20190304155801202"</f>
        <v>20190304155801202</v>
      </c>
      <c r="B6485" t="str">
        <f>"1551686281201032"</f>
        <v>1551686281201032</v>
      </c>
      <c r="C6485" t="s">
        <v>40</v>
      </c>
      <c r="D6485">
        <v>4.6900380000000004</v>
      </c>
      <c r="E6485">
        <v>0.54475399999999996</v>
      </c>
      <c r="F6485" t="s">
        <v>73</v>
      </c>
      <c r="G6485">
        <v>-169.244</v>
      </c>
      <c r="H6485">
        <v>7.9865229999999903</v>
      </c>
      <c r="I6485">
        <v>-60.486820000000002</v>
      </c>
      <c r="J6485">
        <v>-222.97319999999999</v>
      </c>
      <c r="K6485">
        <v>1.1108880000000001</v>
      </c>
      <c r="L6485">
        <v>-63.222140000000003</v>
      </c>
      <c r="M6485">
        <v>0.99989839999999997</v>
      </c>
      <c r="N6485">
        <v>-1.391891E-2</v>
      </c>
      <c r="O6485">
        <v>-3.0963079999999999E-3</v>
      </c>
      <c r="P6485">
        <v>0.95533279999999998</v>
      </c>
      <c r="Q6485">
        <v>0.2449672</v>
      </c>
      <c r="R6485">
        <v>0.1653193</v>
      </c>
      <c r="S6485">
        <v>3.0146480000000002</v>
      </c>
      <c r="T6485">
        <v>0.38481090000000001</v>
      </c>
      <c r="U6485">
        <v>0.1530762</v>
      </c>
      <c r="V6485">
        <v>-0.16844149999999999</v>
      </c>
      <c r="W6485">
        <v>0.25812610000000002</v>
      </c>
      <c r="X6485">
        <v>0.95131399999999999</v>
      </c>
      <c r="Y6485">
        <v>-5.3389140000000002E-2</v>
      </c>
      <c r="Z6485">
        <v>-3.4546799999999999E-3</v>
      </c>
      <c r="AA6485">
        <v>0.99856780000000001</v>
      </c>
      <c r="AB6485">
        <v>26</v>
      </c>
      <c r="AC6485">
        <v>53.729199999999899</v>
      </c>
      <c r="AD6485">
        <v>6.8756349999999902</v>
      </c>
      <c r="AE6485">
        <v>2.7353200000000002</v>
      </c>
      <c r="AF6485">
        <v>-2.8550519920894799</v>
      </c>
      <c r="AG6485">
        <v>6.8756349999999902</v>
      </c>
      <c r="AH6485">
        <v>52.857127332449899</v>
      </c>
      <c r="AI6485">
        <v>82.599270230764304</v>
      </c>
      <c r="AJ6485">
        <v>93.091799119539104</v>
      </c>
      <c r="AK6485">
        <v>53.3788496351277</v>
      </c>
      <c r="AL6485">
        <v>75.041099057537494</v>
      </c>
      <c r="AM6485">
        <v>100.040835012854</v>
      </c>
      <c r="AN6485">
        <v>0.99999997450972899</v>
      </c>
    </row>
    <row r="6486" spans="1:40" x14ac:dyDescent="0.25">
      <c r="A6486" t="str">
        <f>"20190304155801213"</f>
        <v>20190304155801213</v>
      </c>
      <c r="B6486" t="str">
        <f>"1551686281210793"</f>
        <v>1551686281210793</v>
      </c>
      <c r="C6486" t="s">
        <v>40</v>
      </c>
      <c r="D6486">
        <v>4.4685119999999996</v>
      </c>
      <c r="E6486">
        <v>0.54508210000000001</v>
      </c>
      <c r="F6486" t="s">
        <v>73</v>
      </c>
      <c r="G6486">
        <v>-169.244</v>
      </c>
      <c r="H6486">
        <v>8.2886319999999998</v>
      </c>
      <c r="I6486">
        <v>-60.545740000000002</v>
      </c>
      <c r="J6486">
        <v>-222.8562</v>
      </c>
      <c r="K6486">
        <v>1.1109089999999999</v>
      </c>
      <c r="L6486">
        <v>-63.222290000000001</v>
      </c>
      <c r="M6486">
        <v>0.99989919999999999</v>
      </c>
      <c r="N6486">
        <v>-1.3917809999999999E-2</v>
      </c>
      <c r="O6486">
        <v>-2.8916599999999999E-3</v>
      </c>
      <c r="P6486">
        <v>0.95517030000000003</v>
      </c>
      <c r="Q6486">
        <v>0.2447838</v>
      </c>
      <c r="R6486">
        <v>0.16652549999999999</v>
      </c>
      <c r="S6486">
        <v>3.0111690000000002</v>
      </c>
      <c r="T6486">
        <v>0.40226339999999999</v>
      </c>
      <c r="U6486">
        <v>0.14999390000000001</v>
      </c>
      <c r="V6486">
        <v>-0.16946439999999999</v>
      </c>
      <c r="W6486">
        <v>0.25793120000000003</v>
      </c>
      <c r="X6486">
        <v>0.95118519999999895</v>
      </c>
      <c r="Y6486">
        <v>-5.2193860000000002E-2</v>
      </c>
      <c r="Z6486">
        <v>-3.5282590000000002E-3</v>
      </c>
      <c r="AA6486">
        <v>0.99863080000000004</v>
      </c>
      <c r="AB6486">
        <v>26</v>
      </c>
      <c r="AC6486">
        <v>53.612199999999902</v>
      </c>
      <c r="AD6486">
        <v>7.1777230000000003</v>
      </c>
      <c r="AE6486">
        <v>2.6765500000000002</v>
      </c>
      <c r="AF6486">
        <v>-2.7818429743804098</v>
      </c>
      <c r="AG6486">
        <v>7.1777230000000003</v>
      </c>
      <c r="AH6486">
        <v>52.6626329076242</v>
      </c>
      <c r="AI6486">
        <v>82.249295092376897</v>
      </c>
      <c r="AJ6486">
        <v>93.023773230276106</v>
      </c>
      <c r="AK6486">
        <v>53.2222816361909</v>
      </c>
      <c r="AL6486">
        <v>75.052657574387098</v>
      </c>
      <c r="AM6486">
        <v>100.101898047405</v>
      </c>
      <c r="AN6486">
        <v>0.999999985749919</v>
      </c>
    </row>
    <row r="6487" spans="1:40" x14ac:dyDescent="0.25">
      <c r="A6487" t="str">
        <f>"20190304155801226"</f>
        <v>20190304155801226</v>
      </c>
      <c r="B6487" t="str">
        <f>"1551686281221528"</f>
        <v>1551686281221528</v>
      </c>
      <c r="C6487" t="s">
        <v>40</v>
      </c>
      <c r="D6487">
        <v>4.8174270000000003</v>
      </c>
      <c r="E6487">
        <v>0.54549349999999996</v>
      </c>
      <c r="F6487" t="s">
        <v>73</v>
      </c>
      <c r="G6487">
        <v>-169.244</v>
      </c>
      <c r="H6487">
        <v>8.1093519999999994</v>
      </c>
      <c r="I6487">
        <v>-60.530009999999997</v>
      </c>
      <c r="J6487">
        <v>-222.71360000000001</v>
      </c>
      <c r="K6487">
        <v>1.1109340000000001</v>
      </c>
      <c r="L6487">
        <v>-63.222410000000004</v>
      </c>
      <c r="M6487">
        <v>0.99989980000000001</v>
      </c>
      <c r="N6487">
        <v>-1.391644E-2</v>
      </c>
      <c r="O6487">
        <v>-2.6235210000000002E-3</v>
      </c>
      <c r="P6487">
        <v>0.95499659999999997</v>
      </c>
      <c r="Q6487">
        <v>0.24466650000000001</v>
      </c>
      <c r="R6487">
        <v>0.1676906</v>
      </c>
      <c r="S6487">
        <v>3.0136259999999999</v>
      </c>
      <c r="T6487">
        <v>0.39339180000000001</v>
      </c>
      <c r="U6487">
        <v>0.15133669999999999</v>
      </c>
      <c r="V6487">
        <v>-0.1703884</v>
      </c>
      <c r="W6487">
        <v>0.25779990000000003</v>
      </c>
      <c r="X6487">
        <v>0.95105569999999895</v>
      </c>
      <c r="Y6487">
        <v>-5.2352019999999999E-2</v>
      </c>
      <c r="Z6487">
        <v>-3.4116480000000002E-3</v>
      </c>
      <c r="AA6487">
        <v>0.99862289999999998</v>
      </c>
      <c r="AB6487">
        <v>26</v>
      </c>
      <c r="AC6487">
        <v>53.4695999999999</v>
      </c>
      <c r="AD6487">
        <v>6.998418</v>
      </c>
      <c r="AE6487">
        <v>2.6923999999999899</v>
      </c>
      <c r="AF6487">
        <v>-2.7850918363976098</v>
      </c>
      <c r="AG6487">
        <v>6.998418</v>
      </c>
      <c r="AH6487">
        <v>52.564146146645697</v>
      </c>
      <c r="AI6487">
        <v>82.426710571545797</v>
      </c>
      <c r="AJ6487">
        <v>93.032959587130904</v>
      </c>
      <c r="AK6487">
        <v>53.101073917255398</v>
      </c>
      <c r="AL6487">
        <v>75.060443593067902</v>
      </c>
      <c r="AM6487">
        <v>100.15718898292199</v>
      </c>
      <c r="AN6487">
        <v>0.99999996989852902</v>
      </c>
    </row>
    <row r="6488" spans="1:40" x14ac:dyDescent="0.25">
      <c r="A6488" t="str">
        <f>"20190304155801237"</f>
        <v>20190304155801237</v>
      </c>
      <c r="B6488" t="str">
        <f>"1551686281231288"</f>
        <v>1551686281231288</v>
      </c>
      <c r="C6488" t="s">
        <v>40</v>
      </c>
      <c r="D6488">
        <v>4.599977</v>
      </c>
      <c r="E6488">
        <v>0.54643180000000002</v>
      </c>
      <c r="F6488" t="s">
        <v>73</v>
      </c>
      <c r="G6488">
        <v>-169.244</v>
      </c>
      <c r="H6488">
        <v>8.2230889999999999</v>
      </c>
      <c r="I6488">
        <v>-60.533790000000003</v>
      </c>
      <c r="J6488">
        <v>-222.59100000000001</v>
      </c>
      <c r="K6488">
        <v>1.1109549999999999</v>
      </c>
      <c r="L6488">
        <v>-63.222499999999997</v>
      </c>
      <c r="M6488">
        <v>0.99990040000000002</v>
      </c>
      <c r="N6488">
        <v>-1.39153E-2</v>
      </c>
      <c r="O6488">
        <v>-2.3752280000000001E-3</v>
      </c>
      <c r="P6488">
        <v>0.95481199999999999</v>
      </c>
      <c r="Q6488">
        <v>0.24474870000000001</v>
      </c>
      <c r="R6488">
        <v>0.16861870000000001</v>
      </c>
      <c r="S6488">
        <v>3.0121310000000001</v>
      </c>
      <c r="T6488">
        <v>0.40065070000000003</v>
      </c>
      <c r="U6488">
        <v>0.1514587</v>
      </c>
      <c r="V6488">
        <v>-0.17109260000000001</v>
      </c>
      <c r="W6488">
        <v>0.25786949999999997</v>
      </c>
      <c r="X6488">
        <v>0.95091040000000004</v>
      </c>
      <c r="Y6488">
        <v>-5.2156550000000003E-2</v>
      </c>
      <c r="Z6488">
        <v>-3.4340519999999999E-3</v>
      </c>
      <c r="AA6488">
        <v>0.99863299999999999</v>
      </c>
      <c r="AB6488">
        <v>26</v>
      </c>
      <c r="AC6488">
        <v>53.346999999999902</v>
      </c>
      <c r="AD6488">
        <v>7.1121339999999904</v>
      </c>
      <c r="AE6488">
        <v>2.6887099999999902</v>
      </c>
      <c r="AF6488">
        <v>-2.7663814866634699</v>
      </c>
      <c r="AG6488">
        <v>7.1121339999999904</v>
      </c>
      <c r="AH6488">
        <v>52.411276270633003</v>
      </c>
      <c r="AI6488">
        <v>82.282861120836898</v>
      </c>
      <c r="AJ6488">
        <v>93.021392479024897</v>
      </c>
      <c r="AK6488">
        <v>52.963923541221199</v>
      </c>
      <c r="AL6488">
        <v>75.056316302143799</v>
      </c>
      <c r="AM6488">
        <v>100.199814044243</v>
      </c>
      <c r="AN6488">
        <v>0.99999997281658404</v>
      </c>
    </row>
    <row r="6489" spans="1:40" x14ac:dyDescent="0.25">
      <c r="A6489" t="str">
        <f>"20190304155801248"</f>
        <v>20190304155801248</v>
      </c>
      <c r="B6489" t="str">
        <f>"1551686281241048"</f>
        <v>1551686281241048</v>
      </c>
      <c r="C6489" t="s">
        <v>40</v>
      </c>
      <c r="D6489">
        <v>4.5673629999999896</v>
      </c>
      <c r="E6489">
        <v>0.54722009999999999</v>
      </c>
      <c r="F6489" t="s">
        <v>73</v>
      </c>
      <c r="G6489">
        <v>-169.244</v>
      </c>
      <c r="H6489">
        <v>8.0115459999999992</v>
      </c>
      <c r="I6489">
        <v>-60.623390000000001</v>
      </c>
      <c r="J6489">
        <v>-222.45760000000001</v>
      </c>
      <c r="K6489">
        <v>1.1109819999999999</v>
      </c>
      <c r="L6489">
        <v>-63.222529999999999</v>
      </c>
      <c r="M6489">
        <v>0.99990100000000004</v>
      </c>
      <c r="N6489">
        <v>-1.3914080000000001E-2</v>
      </c>
      <c r="O6489">
        <v>-2.0953149999999999E-3</v>
      </c>
      <c r="P6489">
        <v>0.95458330000000002</v>
      </c>
      <c r="Q6489">
        <v>0.24485290000000001</v>
      </c>
      <c r="R6489">
        <v>0.16975789999999999</v>
      </c>
      <c r="S6489">
        <v>3.016006</v>
      </c>
      <c r="T6489">
        <v>0.39012750000000002</v>
      </c>
      <c r="U6489">
        <v>0.14694209999999999</v>
      </c>
      <c r="V6489">
        <v>-0.17197879999999999</v>
      </c>
      <c r="W6489">
        <v>0.2579593</v>
      </c>
      <c r="X6489">
        <v>0.95072619999999997</v>
      </c>
      <c r="Y6489">
        <v>-5.0361469999999998E-2</v>
      </c>
      <c r="Z6489">
        <v>-3.1886520000000002E-3</v>
      </c>
      <c r="AA6489">
        <v>0.998726</v>
      </c>
      <c r="AB6489">
        <v>26</v>
      </c>
      <c r="AC6489">
        <v>53.2135999999999</v>
      </c>
      <c r="AD6489">
        <v>6.9005640000000001</v>
      </c>
      <c r="AE6489">
        <v>2.5991399999999998</v>
      </c>
      <c r="AF6489">
        <v>-2.6659207913476601</v>
      </c>
      <c r="AG6489">
        <v>6.9005640000000001</v>
      </c>
      <c r="AH6489">
        <v>52.330144858311698</v>
      </c>
      <c r="AI6489">
        <v>82.497597268327794</v>
      </c>
      <c r="AJ6489">
        <v>92.916370175613295</v>
      </c>
      <c r="AK6489">
        <v>52.8504397150651</v>
      </c>
      <c r="AL6489">
        <v>75.050991507436393</v>
      </c>
      <c r="AM6489">
        <v>100.25347203460301</v>
      </c>
      <c r="AN6489">
        <v>1.0000000077361799</v>
      </c>
    </row>
    <row r="6490" spans="1:40" x14ac:dyDescent="0.25">
      <c r="A6490" t="str">
        <f>"20190304155801270"</f>
        <v>20190304155801270</v>
      </c>
      <c r="B6490" t="str">
        <f>"1551686281261544"</f>
        <v>1551686281261544</v>
      </c>
      <c r="C6490" t="s">
        <v>40</v>
      </c>
      <c r="D6490">
        <v>4.6686329999999998</v>
      </c>
      <c r="E6490">
        <v>0.54767639999999995</v>
      </c>
      <c r="F6490" t="s">
        <v>73</v>
      </c>
      <c r="G6490">
        <v>-169.244</v>
      </c>
      <c r="H6490">
        <v>7.8191660000000001</v>
      </c>
      <c r="I6490">
        <v>-60.68291</v>
      </c>
      <c r="J6490">
        <v>-222.21340000000001</v>
      </c>
      <c r="K6490">
        <v>1.1110370000000001</v>
      </c>
      <c r="L6490">
        <v>-63.222439999999999</v>
      </c>
      <c r="M6490">
        <v>0.99990210000000002</v>
      </c>
      <c r="N6490">
        <v>-1.39119E-2</v>
      </c>
      <c r="O6490">
        <v>-1.525394E-3</v>
      </c>
      <c r="P6490">
        <v>0.95419620000000005</v>
      </c>
      <c r="Q6490">
        <v>0.24534349999999999</v>
      </c>
      <c r="R6490">
        <v>0.17122009999999999</v>
      </c>
      <c r="S6490">
        <v>3.0194700000000001</v>
      </c>
      <c r="T6490">
        <v>0.38063730000000001</v>
      </c>
      <c r="U6490">
        <v>0.14410400000000001</v>
      </c>
      <c r="V6490">
        <v>-0.1729252</v>
      </c>
      <c r="W6490">
        <v>0.25842409999999999</v>
      </c>
      <c r="X6490">
        <v>0.95042819999999995</v>
      </c>
      <c r="Y6490">
        <v>-4.8836879999999999E-2</v>
      </c>
      <c r="Z6490">
        <v>-2.9357979999999999E-3</v>
      </c>
      <c r="AA6490">
        <v>0.99880239999999998</v>
      </c>
      <c r="AB6490">
        <v>26</v>
      </c>
      <c r="AC6490">
        <v>52.969399999999901</v>
      </c>
      <c r="AD6490">
        <v>6.7081289999999996</v>
      </c>
      <c r="AE6490">
        <v>2.5395299999999899</v>
      </c>
      <c r="AF6490">
        <v>-2.5790656327170298</v>
      </c>
      <c r="AG6490">
        <v>6.7081289999999996</v>
      </c>
      <c r="AH6490">
        <v>52.131295081343701</v>
      </c>
      <c r="AI6490">
        <v>82.6764695637698</v>
      </c>
      <c r="AJ6490">
        <v>92.832256432380007</v>
      </c>
      <c r="AK6490">
        <v>52.624352737840198</v>
      </c>
      <c r="AL6490">
        <v>75.023424919973195</v>
      </c>
      <c r="AM6490">
        <v>100.31185316665901</v>
      </c>
      <c r="AN6490">
        <v>0.99999995180554302</v>
      </c>
    </row>
    <row r="6491" spans="1:40" x14ac:dyDescent="0.25">
      <c r="A6491" t="str">
        <f>"20190304155801280"</f>
        <v>20190304155801280</v>
      </c>
      <c r="B6491" t="str">
        <f>"1551686281271305"</f>
        <v>1551686281271305</v>
      </c>
      <c r="C6491" t="s">
        <v>40</v>
      </c>
      <c r="D6491">
        <v>4.5060079999999996</v>
      </c>
      <c r="E6491">
        <v>0.54820719999999901</v>
      </c>
      <c r="F6491" t="s">
        <v>73</v>
      </c>
      <c r="G6491">
        <v>-169.244</v>
      </c>
      <c r="H6491">
        <v>7.9632839999999998</v>
      </c>
      <c r="I6491">
        <v>-60.689810000000001</v>
      </c>
      <c r="J6491">
        <v>-222.0932</v>
      </c>
      <c r="K6491">
        <v>1.1110640000000001</v>
      </c>
      <c r="L6491">
        <v>-63.222259999999999</v>
      </c>
      <c r="M6491">
        <v>0.99990250000000003</v>
      </c>
      <c r="N6491">
        <v>-1.3910870000000001E-2</v>
      </c>
      <c r="O6491">
        <v>-1.2125879999999999E-3</v>
      </c>
      <c r="P6491">
        <v>0.95388289999999998</v>
      </c>
      <c r="Q6491">
        <v>0.24607499999999999</v>
      </c>
      <c r="R6491">
        <v>0.1719147</v>
      </c>
      <c r="S6491">
        <v>3.0177459999999998</v>
      </c>
      <c r="T6491">
        <v>0.39038070000000002</v>
      </c>
      <c r="U6491">
        <v>0.1442871</v>
      </c>
      <c r="V6491">
        <v>-0.1733362</v>
      </c>
      <c r="W6491">
        <v>0.2591408</v>
      </c>
      <c r="X6491">
        <v>0.95015819999999995</v>
      </c>
      <c r="Y6491">
        <v>-4.8597080000000001E-2</v>
      </c>
      <c r="Z6491">
        <v>-2.9619300000000002E-3</v>
      </c>
      <c r="AA6491">
        <v>0.99881399999999998</v>
      </c>
      <c r="AB6491">
        <v>26</v>
      </c>
      <c r="AC6491">
        <v>52.849199999999897</v>
      </c>
      <c r="AD6491">
        <v>6.85222</v>
      </c>
      <c r="AE6491">
        <v>2.5324499999999999</v>
      </c>
      <c r="AF6491">
        <v>-2.5537073881486698</v>
      </c>
      <c r="AG6491">
        <v>6.85222</v>
      </c>
      <c r="AH6491">
        <v>51.974366248316102</v>
      </c>
      <c r="AI6491">
        <v>82.498473551384194</v>
      </c>
      <c r="AJ6491">
        <v>92.812907456429997</v>
      </c>
      <c r="AK6491">
        <v>52.486275227594398</v>
      </c>
      <c r="AL6491">
        <v>74.980913607455506</v>
      </c>
      <c r="AM6491">
        <v>100.338707942361</v>
      </c>
      <c r="AN6491">
        <v>0.99999999874115997</v>
      </c>
    </row>
    <row r="6492" spans="1:40" x14ac:dyDescent="0.25">
      <c r="A6492" t="str">
        <f>"20190304155801292"</f>
        <v>20190304155801292</v>
      </c>
      <c r="B6492" t="str">
        <f>"1551686281281064"</f>
        <v>1551686281281064</v>
      </c>
      <c r="C6492" t="s">
        <v>40</v>
      </c>
      <c r="D6492">
        <v>4.7577910000000001</v>
      </c>
      <c r="E6492">
        <v>0.54861949999999904</v>
      </c>
      <c r="F6492" t="s">
        <v>73</v>
      </c>
      <c r="G6492">
        <v>-169.244</v>
      </c>
      <c r="H6492">
        <v>7.840973</v>
      </c>
      <c r="I6492">
        <v>-60.733730000000001</v>
      </c>
      <c r="J6492">
        <v>-221.96379999999999</v>
      </c>
      <c r="K6492">
        <v>1.1110910000000001</v>
      </c>
      <c r="L6492">
        <v>-63.222079999999998</v>
      </c>
      <c r="M6492">
        <v>0.99990299999999999</v>
      </c>
      <c r="N6492">
        <v>-1.390977E-2</v>
      </c>
      <c r="O6492">
        <v>-8.7031469999999998E-4</v>
      </c>
      <c r="P6492">
        <v>0.95370160000000004</v>
      </c>
      <c r="Q6492">
        <v>0.24636069999999999</v>
      </c>
      <c r="R6492">
        <v>0.17251069999999999</v>
      </c>
      <c r="S6492">
        <v>3.020187</v>
      </c>
      <c r="T6492">
        <v>0.3845944</v>
      </c>
      <c r="U6492">
        <v>0.1422119</v>
      </c>
      <c r="V6492">
        <v>-0.17362169999999999</v>
      </c>
      <c r="W6492">
        <v>0.2594129</v>
      </c>
      <c r="X6492">
        <v>0.95003179999999998</v>
      </c>
      <c r="Y6492">
        <v>-4.7554859999999997E-2</v>
      </c>
      <c r="Z6492">
        <v>-2.8042700000000002E-3</v>
      </c>
      <c r="AA6492">
        <v>0.99886470000000005</v>
      </c>
      <c r="AB6492">
        <v>26</v>
      </c>
      <c r="AC6492">
        <v>52.7197999999999</v>
      </c>
      <c r="AD6492">
        <v>6.7298819999999999</v>
      </c>
      <c r="AE6492">
        <v>2.4883500000000001</v>
      </c>
      <c r="AF6492">
        <v>-2.4936907261246999</v>
      </c>
      <c r="AG6492">
        <v>6.7298819999999999</v>
      </c>
      <c r="AH6492">
        <v>51.8741780908423</v>
      </c>
      <c r="AI6492">
        <v>82.616467334146606</v>
      </c>
      <c r="AJ6492">
        <v>92.752198730408907</v>
      </c>
      <c r="AK6492">
        <v>52.368312535080896</v>
      </c>
      <c r="AL6492">
        <v>74.964771188046498</v>
      </c>
      <c r="AM6492">
        <v>100.356716530078</v>
      </c>
      <c r="AN6492">
        <v>0.99999998420426905</v>
      </c>
    </row>
    <row r="6493" spans="1:40" x14ac:dyDescent="0.25">
      <c r="A6493" t="str">
        <f>"20190304155801302"</f>
        <v>20190304155801302</v>
      </c>
      <c r="B6493" t="str">
        <f>"1551686281300845"</f>
        <v>1551686281300845</v>
      </c>
      <c r="C6493" t="s">
        <v>40</v>
      </c>
      <c r="D6493">
        <v>4.5264110000000004</v>
      </c>
      <c r="E6493">
        <v>0.54959599999999997</v>
      </c>
      <c r="F6493" t="s">
        <v>73</v>
      </c>
      <c r="G6493">
        <v>-169.244</v>
      </c>
      <c r="H6493">
        <v>7.9648759999999896</v>
      </c>
      <c r="I6493">
        <v>-60.765169999999998</v>
      </c>
      <c r="J6493">
        <v>-221.8339</v>
      </c>
      <c r="K6493">
        <v>1.111116</v>
      </c>
      <c r="L6493">
        <v>-63.221800000000002</v>
      </c>
      <c r="M6493">
        <v>0.99990330000000005</v>
      </c>
      <c r="N6493">
        <v>-1.390869E-2</v>
      </c>
      <c r="O6493">
        <v>-5.0254110000000005E-4</v>
      </c>
      <c r="P6493">
        <v>0.95342950000000004</v>
      </c>
      <c r="Q6493">
        <v>0.24692600000000001</v>
      </c>
      <c r="R6493">
        <v>0.1732052</v>
      </c>
      <c r="S6493">
        <v>3.0188290000000002</v>
      </c>
      <c r="T6493">
        <v>0.39245799999999997</v>
      </c>
      <c r="U6493">
        <v>0.14068599999999901</v>
      </c>
      <c r="V6493">
        <v>-0.17398189999999999</v>
      </c>
      <c r="W6493">
        <v>0.25996320000000001</v>
      </c>
      <c r="X6493">
        <v>0.94981550000000003</v>
      </c>
      <c r="Y6493">
        <v>-4.6699409999999997E-2</v>
      </c>
      <c r="Z6493">
        <v>-2.767013E-3</v>
      </c>
      <c r="AA6493">
        <v>0.99890520000000005</v>
      </c>
      <c r="AB6493">
        <v>25</v>
      </c>
      <c r="AC6493">
        <v>52.589899999999901</v>
      </c>
      <c r="AD6493">
        <v>6.8537599999999896</v>
      </c>
      <c r="AE6493">
        <v>2.4566300000000001</v>
      </c>
      <c r="AF6493">
        <v>-2.4416803731181398</v>
      </c>
      <c r="AG6493">
        <v>6.8537599999999896</v>
      </c>
      <c r="AH6493">
        <v>51.7122634603816</v>
      </c>
      <c r="AI6493">
        <v>82.458526627182906</v>
      </c>
      <c r="AJ6493">
        <v>92.703307616641993</v>
      </c>
      <c r="AK6493">
        <v>52.2215857800009</v>
      </c>
      <c r="AL6493">
        <v>74.932121817708193</v>
      </c>
      <c r="AM6493">
        <v>100.38004838991</v>
      </c>
      <c r="AN6493">
        <v>1.0000000254610399</v>
      </c>
    </row>
    <row r="6494" spans="1:40" x14ac:dyDescent="0.25">
      <c r="A6494" t="str">
        <f>"20190304155801314"</f>
        <v>20190304155801314</v>
      </c>
      <c r="B6494" t="str">
        <f>"1551686281310606"</f>
        <v>1551686281310606</v>
      </c>
      <c r="C6494" t="s">
        <v>40</v>
      </c>
      <c r="D6494">
        <v>4.6300780000000001</v>
      </c>
      <c r="E6494">
        <v>0.54984279999999996</v>
      </c>
      <c r="F6494" t="s">
        <v>73</v>
      </c>
      <c r="G6494">
        <v>-169.244</v>
      </c>
      <c r="H6494">
        <v>7.9510969999999999</v>
      </c>
      <c r="I6494">
        <v>-60.868830000000003</v>
      </c>
      <c r="J6494">
        <v>-221.71029999999999</v>
      </c>
      <c r="K6494">
        <v>1.11114</v>
      </c>
      <c r="L6494">
        <v>-63.221499999999999</v>
      </c>
      <c r="M6494">
        <v>0.99990330000000005</v>
      </c>
      <c r="N6494">
        <v>-1.390767E-2</v>
      </c>
      <c r="O6494">
        <v>-1.4087489999999999E-4</v>
      </c>
      <c r="P6494">
        <v>0.95331860000000002</v>
      </c>
      <c r="Q6494">
        <v>0.24673400000000001</v>
      </c>
      <c r="R6494">
        <v>0.1740854</v>
      </c>
      <c r="S6494">
        <v>3.0202640000000001</v>
      </c>
      <c r="T6494">
        <v>0.3928218</v>
      </c>
      <c r="U6494">
        <v>0.1351318</v>
      </c>
      <c r="V6494">
        <v>-0.17453070000000001</v>
      </c>
      <c r="W6494">
        <v>0.25975920000000002</v>
      </c>
      <c r="X6494">
        <v>0.94977060000000002</v>
      </c>
      <c r="Y6494">
        <v>-4.4502609999999998E-2</v>
      </c>
      <c r="Z6494">
        <v>-2.5898879999999998E-3</v>
      </c>
      <c r="AA6494">
        <v>0.9990059</v>
      </c>
      <c r="AB6494">
        <v>25</v>
      </c>
      <c r="AC6494">
        <v>52.466299999999897</v>
      </c>
      <c r="AD6494">
        <v>6.8399570000000001</v>
      </c>
      <c r="AE6494">
        <v>2.35266999999999</v>
      </c>
      <c r="AF6494">
        <v>-2.3206985123922199</v>
      </c>
      <c r="AG6494">
        <v>6.8399570000000001</v>
      </c>
      <c r="AH6494">
        <v>51.590890541815099</v>
      </c>
      <c r="AI6494">
        <v>82.455270900199906</v>
      </c>
      <c r="AJ6494">
        <v>92.575583680138095</v>
      </c>
      <c r="AK6494">
        <v>52.094055709311199</v>
      </c>
      <c r="AL6494">
        <v>74.944225589637597</v>
      </c>
      <c r="AM6494">
        <v>100.412557145926</v>
      </c>
      <c r="AN6494">
        <v>0.99999999992574495</v>
      </c>
    </row>
    <row r="6495" spans="1:40" x14ac:dyDescent="0.25">
      <c r="A6495" t="str">
        <f>"20190304155801325"</f>
        <v>20190304155801325</v>
      </c>
      <c r="B6495" t="str">
        <f>"1551686281321341"</f>
        <v>1551686281321341</v>
      </c>
      <c r="C6495" t="s">
        <v>40</v>
      </c>
      <c r="D6495">
        <v>4.3934839999999999</v>
      </c>
      <c r="E6495">
        <v>0.54984279999999996</v>
      </c>
      <c r="F6495" t="s">
        <v>73</v>
      </c>
      <c r="G6495">
        <v>-169.244</v>
      </c>
      <c r="H6495">
        <v>8.0428789999999992</v>
      </c>
      <c r="I6495">
        <v>-60.862369999999999</v>
      </c>
      <c r="J6495">
        <v>-221.578</v>
      </c>
      <c r="K6495">
        <v>1.111165</v>
      </c>
      <c r="L6495">
        <v>-63.2211</v>
      </c>
      <c r="M6495">
        <v>0.99990330000000005</v>
      </c>
      <c r="N6495">
        <v>-1.390659E-2</v>
      </c>
      <c r="O6495">
        <v>2.6341949999999999E-4</v>
      </c>
      <c r="P6495">
        <v>0.95305810000000002</v>
      </c>
      <c r="Q6495">
        <v>0.24700920000000001</v>
      </c>
      <c r="R6495">
        <v>0.1751202</v>
      </c>
      <c r="S6495">
        <v>3.018875</v>
      </c>
      <c r="T6495">
        <v>0.39884570000000003</v>
      </c>
      <c r="U6495">
        <v>0.13574220000000001</v>
      </c>
      <c r="V6495">
        <v>-0.1751954</v>
      </c>
      <c r="W6495">
        <v>0.26002029999999998</v>
      </c>
      <c r="X6495">
        <v>0.94957670000000005</v>
      </c>
      <c r="Y6495">
        <v>-4.431525E-2</v>
      </c>
      <c r="Z6495">
        <v>-2.565515E-3</v>
      </c>
      <c r="AA6495">
        <v>0.99901430000000002</v>
      </c>
      <c r="AB6495">
        <v>25</v>
      </c>
      <c r="AC6495">
        <v>52.333999999999897</v>
      </c>
      <c r="AD6495">
        <v>6.9317140000000004</v>
      </c>
      <c r="AE6495">
        <v>2.35873</v>
      </c>
      <c r="AF6495">
        <v>-2.3045943640460602</v>
      </c>
      <c r="AG6495">
        <v>6.9317140000000004</v>
      </c>
      <c r="AH6495">
        <v>51.434120217250097</v>
      </c>
      <c r="AI6495">
        <v>82.332164644571193</v>
      </c>
      <c r="AJ6495">
        <v>92.565520142784493</v>
      </c>
      <c r="AK6495">
        <v>51.950250593073399</v>
      </c>
      <c r="AL6495">
        <v>74.928732502480599</v>
      </c>
      <c r="AM6495">
        <v>100.45342821163401</v>
      </c>
      <c r="AN6495">
        <v>0.99999994688806804</v>
      </c>
    </row>
    <row r="6496" spans="1:40" x14ac:dyDescent="0.25">
      <c r="A6496" t="str">
        <f>"20190304155801336"</f>
        <v>20190304155801336</v>
      </c>
      <c r="B6496" t="str">
        <f>"1551686281331101"</f>
        <v>1551686281331101</v>
      </c>
      <c r="C6496" t="s">
        <v>40</v>
      </c>
      <c r="D6496">
        <v>4.00753</v>
      </c>
      <c r="E6496">
        <v>0.54869199999999996</v>
      </c>
      <c r="F6496" t="s">
        <v>73</v>
      </c>
      <c r="G6496">
        <v>-169.244</v>
      </c>
      <c r="H6496">
        <v>8.0410310000000003</v>
      </c>
      <c r="I6496">
        <v>-60.810049999999997</v>
      </c>
      <c r="J6496">
        <v>-221.4512</v>
      </c>
      <c r="K6496">
        <v>1.111189</v>
      </c>
      <c r="L6496">
        <v>-63.220610000000001</v>
      </c>
      <c r="M6496">
        <v>0.99990319999999999</v>
      </c>
      <c r="N6496">
        <v>-1.3905549999999999E-2</v>
      </c>
      <c r="O6496">
        <v>6.7060749999999999E-4</v>
      </c>
      <c r="P6496">
        <v>0.95275100000000001</v>
      </c>
      <c r="Q6496">
        <v>0.24699550000000001</v>
      </c>
      <c r="R6496">
        <v>0.17680199999999999</v>
      </c>
      <c r="S6496">
        <v>3.0186160000000002</v>
      </c>
      <c r="T6496">
        <v>0.39971129999999999</v>
      </c>
      <c r="U6496">
        <v>0.13906859999999999</v>
      </c>
      <c r="V6496">
        <v>-0.17650299999999999</v>
      </c>
      <c r="W6496">
        <v>0.25999080000000002</v>
      </c>
      <c r="X6496">
        <v>0.94934260000000004</v>
      </c>
      <c r="Y6496">
        <v>-4.500821E-2</v>
      </c>
      <c r="Z6496">
        <v>-2.5534199999999998E-3</v>
      </c>
      <c r="AA6496">
        <v>0.99898339999999997</v>
      </c>
      <c r="AB6496">
        <v>25</v>
      </c>
      <c r="AC6496">
        <v>52.207199999999901</v>
      </c>
      <c r="AD6496">
        <v>6.9298419999999998</v>
      </c>
      <c r="AE6496">
        <v>2.4105599999999998</v>
      </c>
      <c r="AF6496">
        <v>-2.3345010309708698</v>
      </c>
      <c r="AG6496">
        <v>6.9298419999999998</v>
      </c>
      <c r="AH6496">
        <v>51.306744963671498</v>
      </c>
      <c r="AI6496">
        <v>82.315644185457103</v>
      </c>
      <c r="AJ6496">
        <v>92.60521036614</v>
      </c>
      <c r="AK6496">
        <v>51.825232116950502</v>
      </c>
      <c r="AL6496">
        <v>74.930482957261304</v>
      </c>
      <c r="AM6496">
        <v>100.532248883295</v>
      </c>
      <c r="AN6496">
        <v>0.99999994863419805</v>
      </c>
    </row>
    <row r="6497" spans="1:40" x14ac:dyDescent="0.25">
      <c r="A6497" t="str">
        <f>"20190304155801347"</f>
        <v>20190304155801347</v>
      </c>
      <c r="B6497" t="str">
        <f>"1551686281340861"</f>
        <v>1551686281340861</v>
      </c>
      <c r="C6497" t="s">
        <v>40</v>
      </c>
      <c r="D6497">
        <v>5.3633940000000004</v>
      </c>
      <c r="E6497">
        <v>0.54869199999999996</v>
      </c>
      <c r="F6497" t="s">
        <v>73</v>
      </c>
      <c r="G6497">
        <v>-169.244</v>
      </c>
      <c r="H6497">
        <v>8.0387039999999992</v>
      </c>
      <c r="I6497">
        <v>-60.57029</v>
      </c>
      <c r="J6497">
        <v>-221.3305</v>
      </c>
      <c r="K6497">
        <v>1.1112109999999999</v>
      </c>
      <c r="L6497">
        <v>-63.220120000000001</v>
      </c>
      <c r="M6497">
        <v>0.99990279999999998</v>
      </c>
      <c r="N6497">
        <v>-1.390455E-2</v>
      </c>
      <c r="O6497">
        <v>1.0676399999999999E-3</v>
      </c>
      <c r="P6497">
        <v>0.95248730000000004</v>
      </c>
      <c r="Q6497">
        <v>0.2468293</v>
      </c>
      <c r="R6497">
        <v>0.17844670000000001</v>
      </c>
      <c r="S6497">
        <v>3.0165709999999999</v>
      </c>
      <c r="T6497">
        <v>0.4002752</v>
      </c>
      <c r="U6497">
        <v>0.1531372</v>
      </c>
      <c r="V6497">
        <v>-0.17778289999999999</v>
      </c>
      <c r="W6497">
        <v>0.25981079999999901</v>
      </c>
      <c r="X6497">
        <v>0.94915309999999997</v>
      </c>
      <c r="Y6497">
        <v>-4.9259959999999998E-2</v>
      </c>
      <c r="Z6497">
        <v>-2.7521149999999999E-3</v>
      </c>
      <c r="AA6497">
        <v>0.99878219999999995</v>
      </c>
      <c r="AB6497">
        <v>25</v>
      </c>
      <c r="AC6497">
        <v>52.086499999999901</v>
      </c>
      <c r="AD6497">
        <v>6.9274929999999904</v>
      </c>
      <c r="AE6497">
        <v>2.6498299999999899</v>
      </c>
      <c r="AF6497">
        <v>-2.5492365940882</v>
      </c>
      <c r="AG6497">
        <v>6.9274929999999904</v>
      </c>
      <c r="AH6497">
        <v>51.186207152969899</v>
      </c>
      <c r="AI6497">
        <v>82.301900762865301</v>
      </c>
      <c r="AJ6497">
        <v>92.851157070603705</v>
      </c>
      <c r="AK6497">
        <v>51.715728450679599</v>
      </c>
      <c r="AL6497">
        <v>74.941164156972903</v>
      </c>
      <c r="AM6497">
        <v>100.60896539409801</v>
      </c>
      <c r="AN6497">
        <v>1.00000000928433</v>
      </c>
    </row>
    <row r="6498" spans="1:40" x14ac:dyDescent="0.25">
      <c r="A6498" t="str">
        <f>"20190304155801359"</f>
        <v>20190304155801359</v>
      </c>
      <c r="B6498" t="str">
        <f>"1551686281350622"</f>
        <v>1551686281350622</v>
      </c>
      <c r="C6498" t="s">
        <v>40</v>
      </c>
      <c r="D6498">
        <v>4.363461</v>
      </c>
      <c r="E6498">
        <v>0.4864966</v>
      </c>
      <c r="F6498" t="s">
        <v>73</v>
      </c>
      <c r="G6498">
        <v>-169.244</v>
      </c>
      <c r="H6498">
        <v>8.0168359999999996</v>
      </c>
      <c r="I6498">
        <v>-60.488280000000003</v>
      </c>
      <c r="J6498">
        <v>-221.20769999999999</v>
      </c>
      <c r="K6498">
        <v>1.1112310000000001</v>
      </c>
      <c r="L6498">
        <v>-63.219540000000002</v>
      </c>
      <c r="M6498">
        <v>0.99990230000000002</v>
      </c>
      <c r="N6498">
        <v>-1.3903479999999999E-2</v>
      </c>
      <c r="O6498">
        <v>1.4938110000000001E-3</v>
      </c>
      <c r="P6498">
        <v>0.9521598</v>
      </c>
      <c r="Q6498">
        <v>0.24675169999999999</v>
      </c>
      <c r="R6498">
        <v>0.1802936</v>
      </c>
      <c r="S6498">
        <v>3.0163730000000002</v>
      </c>
      <c r="T6498">
        <v>0.39990880000000001</v>
      </c>
      <c r="U6498">
        <v>0.15820310000000001</v>
      </c>
      <c r="V6498">
        <v>-0.17923710000000001</v>
      </c>
      <c r="W6498">
        <v>0.2597178</v>
      </c>
      <c r="X6498">
        <v>0.94890509999999995</v>
      </c>
      <c r="Y6498">
        <v>-5.050607E-2</v>
      </c>
      <c r="Z6498">
        <v>-2.7607550000000002E-3</v>
      </c>
      <c r="AA6498">
        <v>0.99871989999999999</v>
      </c>
      <c r="AB6498">
        <v>25</v>
      </c>
      <c r="AC6498">
        <v>51.963699999999903</v>
      </c>
      <c r="AD6498">
        <v>6.9056050000000004</v>
      </c>
      <c r="AE6498">
        <v>2.73125999999999</v>
      </c>
      <c r="AF6498">
        <v>-2.6076990806767699</v>
      </c>
      <c r="AG6498">
        <v>6.9056050000000004</v>
      </c>
      <c r="AH6498">
        <v>51.068314472406399</v>
      </c>
      <c r="AI6498">
        <v>82.308910874402798</v>
      </c>
      <c r="AJ6498">
        <v>92.923152981944497</v>
      </c>
      <c r="AK6498">
        <v>51.599033110747101</v>
      </c>
      <c r="AL6498">
        <v>74.946683192165196</v>
      </c>
      <c r="AM6498">
        <v>100.69647983633899</v>
      </c>
      <c r="AN6498">
        <v>1.0000000812296199</v>
      </c>
    </row>
    <row r="6499" spans="1:40" x14ac:dyDescent="0.25">
      <c r="A6499" t="str">
        <f>"20190304155801370"</f>
        <v>20190304155801370</v>
      </c>
      <c r="B6499" t="str">
        <f>"1551686281361357"</f>
        <v>1551686281361357</v>
      </c>
      <c r="C6499" t="s">
        <v>40</v>
      </c>
      <c r="D6499">
        <v>4.4883199999999999</v>
      </c>
      <c r="E6499">
        <v>0.4864966</v>
      </c>
      <c r="F6499" t="s">
        <v>73</v>
      </c>
      <c r="G6499">
        <v>-157.3501</v>
      </c>
      <c r="H6499">
        <v>24.158940000000001</v>
      </c>
      <c r="I6499">
        <v>-48.394080000000002</v>
      </c>
      <c r="J6499">
        <v>-221.07830000000001</v>
      </c>
      <c r="K6499">
        <v>1.111254</v>
      </c>
      <c r="L6499">
        <v>-63.218899999999998</v>
      </c>
      <c r="M6499">
        <v>0.99990159999999995</v>
      </c>
      <c r="N6499">
        <v>-1.3902339999999999E-2</v>
      </c>
      <c r="O6499">
        <v>1.949735E-3</v>
      </c>
      <c r="P6499">
        <v>0.9518683</v>
      </c>
      <c r="Q6499">
        <v>0.24656330000000001</v>
      </c>
      <c r="R6499">
        <v>0.18208060000000001</v>
      </c>
      <c r="S6499">
        <v>2.769882</v>
      </c>
      <c r="T6499">
        <v>0.9997123</v>
      </c>
      <c r="U6499">
        <v>0.64306640000000004</v>
      </c>
      <c r="V6499">
        <v>-0.1806036</v>
      </c>
      <c r="W6499">
        <v>0.25951429999999998</v>
      </c>
      <c r="X6499">
        <v>0.94870160000000003</v>
      </c>
      <c r="Y6499">
        <v>-0.21218500000000001</v>
      </c>
      <c r="Z6499">
        <v>-3.4438620000000003E-2</v>
      </c>
      <c r="AA6499">
        <v>0.97662249999999995</v>
      </c>
      <c r="AB6499">
        <v>25</v>
      </c>
      <c r="AC6499">
        <v>63.728200000000001</v>
      </c>
      <c r="AD6499">
        <v>23.047685999999999</v>
      </c>
      <c r="AE6499">
        <v>14.824820000000001</v>
      </c>
      <c r="AF6499">
        <v>-13.0778240288537</v>
      </c>
      <c r="AG6499">
        <v>23.047685999999999</v>
      </c>
      <c r="AH6499">
        <v>56.719236025808797</v>
      </c>
      <c r="AI6499">
        <v>68.398513674177806</v>
      </c>
      <c r="AJ6499">
        <v>102.983845333294</v>
      </c>
      <c r="AK6499">
        <v>62.604289362915601</v>
      </c>
      <c r="AL6499">
        <v>74.958756061876599</v>
      </c>
      <c r="AM6499">
        <v>100.778384330563</v>
      </c>
      <c r="AN6499">
        <v>1.00000002904</v>
      </c>
    </row>
    <row r="6500" spans="1:40" x14ac:dyDescent="0.25">
      <c r="A6500" t="str">
        <f>"20190304155801380"</f>
        <v>20190304155801380</v>
      </c>
      <c r="B6500" t="str">
        <f>"1551686281371118"</f>
        <v>1551686281371118</v>
      </c>
      <c r="C6500" t="s">
        <v>40</v>
      </c>
      <c r="D6500">
        <v>4.5414830000000004</v>
      </c>
      <c r="E6500">
        <v>0.46643390000000001</v>
      </c>
      <c r="F6500" t="s">
        <v>73</v>
      </c>
      <c r="G6500">
        <v>-157.3501</v>
      </c>
      <c r="H6500">
        <v>24.110659999999999</v>
      </c>
      <c r="I6500">
        <v>-48.300829999999998</v>
      </c>
      <c r="J6500">
        <v>-220.95480000000001</v>
      </c>
      <c r="K6500">
        <v>1.1112740000000001</v>
      </c>
      <c r="L6500">
        <v>-63.218139999999998</v>
      </c>
      <c r="M6500">
        <v>0.99990049999999997</v>
      </c>
      <c r="N6500">
        <v>-1.390139E-2</v>
      </c>
      <c r="O6500">
        <v>2.4097419999999999E-3</v>
      </c>
      <c r="P6500">
        <v>0.95166010000000001</v>
      </c>
      <c r="Q6500">
        <v>0.2461845</v>
      </c>
      <c r="R6500">
        <v>0.1836747</v>
      </c>
      <c r="S6500">
        <v>2.768875</v>
      </c>
      <c r="T6500">
        <v>0.99928099999999997</v>
      </c>
      <c r="U6500">
        <v>0.64816280000000004</v>
      </c>
      <c r="V6500">
        <v>-0.1817714</v>
      </c>
      <c r="W6500">
        <v>0.25912279999999999</v>
      </c>
      <c r="X6500">
        <v>0.94858560000000003</v>
      </c>
      <c r="Y6500">
        <v>-0.21348329999999999</v>
      </c>
      <c r="Z6500">
        <v>-3.4478910000000002E-2</v>
      </c>
      <c r="AA6500">
        <v>0.97633809999999999</v>
      </c>
      <c r="AB6500">
        <v>25</v>
      </c>
      <c r="AC6500">
        <v>63.604700000000001</v>
      </c>
      <c r="AD6500">
        <v>22.999385999999902</v>
      </c>
      <c r="AE6500">
        <v>14.917310000000001</v>
      </c>
      <c r="AF6500">
        <v>-13.135955489394499</v>
      </c>
      <c r="AG6500">
        <v>22.999385999999902</v>
      </c>
      <c r="AH6500">
        <v>56.622825940631799</v>
      </c>
      <c r="AI6500">
        <v>68.412399335637701</v>
      </c>
      <c r="AJ6500">
        <v>103.061032448975</v>
      </c>
      <c r="AK6500">
        <v>62.511354972512301</v>
      </c>
      <c r="AL6500">
        <v>74.981982253745798</v>
      </c>
      <c r="AM6500">
        <v>100.847725231925</v>
      </c>
      <c r="AN6500">
        <v>1.00000005393257</v>
      </c>
    </row>
    <row r="6501" spans="1:40" x14ac:dyDescent="0.25">
      <c r="A6501" t="str">
        <f>"20190304155801392"</f>
        <v>20190304155801392</v>
      </c>
      <c r="B6501" t="str">
        <f>"1551686281390638"</f>
        <v>1551686281390638</v>
      </c>
      <c r="C6501" t="s">
        <v>40</v>
      </c>
      <c r="D6501">
        <v>4.352258</v>
      </c>
      <c r="E6501">
        <v>0.46704699999999999</v>
      </c>
      <c r="F6501" t="s">
        <v>73</v>
      </c>
      <c r="G6501">
        <v>-157.3501</v>
      </c>
      <c r="H6501">
        <v>0.71471450000000003</v>
      </c>
      <c r="I6501">
        <v>-45.693100000000001</v>
      </c>
      <c r="J6501">
        <v>-220.82130000000001</v>
      </c>
      <c r="K6501">
        <v>1.1112930000000001</v>
      </c>
      <c r="L6501">
        <v>-63.217320000000001</v>
      </c>
      <c r="M6501">
        <v>0.99989919999999999</v>
      </c>
      <c r="N6501">
        <v>-1.390038E-2</v>
      </c>
      <c r="O6501">
        <v>2.9136309999999999E-3</v>
      </c>
      <c r="P6501">
        <v>0.95139669999999998</v>
      </c>
      <c r="Q6501">
        <v>0.24561050000000001</v>
      </c>
      <c r="R6501">
        <v>0.18579480000000001</v>
      </c>
      <c r="S6501">
        <v>2.9978180000000001</v>
      </c>
      <c r="T6501">
        <v>-1.869154E-2</v>
      </c>
      <c r="U6501">
        <v>0.82598879999999997</v>
      </c>
      <c r="V6501">
        <v>-0.18342449999999999</v>
      </c>
      <c r="W6501">
        <v>0.25853369999999998</v>
      </c>
      <c r="X6501">
        <v>0.94842800000000005</v>
      </c>
      <c r="Y6501">
        <v>-0.26280490000000001</v>
      </c>
      <c r="Z6501">
        <v>2.6863410000000001E-3</v>
      </c>
      <c r="AA6501">
        <v>0.96484519999999996</v>
      </c>
      <c r="AB6501">
        <v>25</v>
      </c>
      <c r="AC6501">
        <v>63.471200000000003</v>
      </c>
      <c r="AD6501">
        <v>-0.3965785</v>
      </c>
      <c r="AE6501">
        <v>17.5242199999999</v>
      </c>
      <c r="AF6501">
        <v>-17.3385671423387</v>
      </c>
      <c r="AG6501">
        <v>-0.3965785</v>
      </c>
      <c r="AH6501">
        <v>63.519690440051399</v>
      </c>
      <c r="AI6501">
        <v>90.345090586646293</v>
      </c>
      <c r="AJ6501">
        <v>105.267724242981</v>
      </c>
      <c r="AK6501">
        <v>65.844773966169896</v>
      </c>
      <c r="AL6501">
        <v>75.016924308413607</v>
      </c>
      <c r="AM6501">
        <v>100.945781547921</v>
      </c>
      <c r="AN6501">
        <v>0.99999994620996802</v>
      </c>
    </row>
    <row r="6502" spans="1:40" x14ac:dyDescent="0.25">
      <c r="A6502" t="str">
        <f>"20190304155801403"</f>
        <v>20190304155801403</v>
      </c>
      <c r="B6502" t="str">
        <f>"1551686281401375"</f>
        <v>1551686281401375</v>
      </c>
      <c r="C6502" t="s">
        <v>40</v>
      </c>
      <c r="D6502">
        <v>4.5209010000000003</v>
      </c>
      <c r="E6502">
        <v>0.46757520000000002</v>
      </c>
      <c r="F6502" t="s">
        <v>73</v>
      </c>
      <c r="G6502">
        <v>-157.3501</v>
      </c>
      <c r="H6502">
        <v>0.73574069999999903</v>
      </c>
      <c r="I6502">
        <v>-45.680010000000003</v>
      </c>
      <c r="J6502">
        <v>-220.70140000000001</v>
      </c>
      <c r="K6502">
        <v>1.111299</v>
      </c>
      <c r="L6502">
        <v>-63.216430000000003</v>
      </c>
      <c r="M6502">
        <v>0.9998977</v>
      </c>
      <c r="N6502">
        <v>-1.389953E-2</v>
      </c>
      <c r="O6502">
        <v>3.381762E-3</v>
      </c>
      <c r="P6502">
        <v>0.95121990000000001</v>
      </c>
      <c r="Q6502">
        <v>0.24485080000000001</v>
      </c>
      <c r="R6502">
        <v>0.18769379999999999</v>
      </c>
      <c r="S6502">
        <v>2.9961700000000002</v>
      </c>
      <c r="T6502">
        <v>-1.7728919999999999E-2</v>
      </c>
      <c r="U6502">
        <v>0.82785030000000004</v>
      </c>
      <c r="V6502">
        <v>-0.18488830000000001</v>
      </c>
      <c r="W6502">
        <v>0.25776209999999999</v>
      </c>
      <c r="X6502">
        <v>0.94835380000000002</v>
      </c>
      <c r="Y6502">
        <v>-0.26304709999999998</v>
      </c>
      <c r="Z6502">
        <v>2.6523200000000001E-3</v>
      </c>
      <c r="AA6502">
        <v>0.96477930000000001</v>
      </c>
      <c r="AB6502">
        <v>25</v>
      </c>
      <c r="AC6502">
        <v>63.351300000000002</v>
      </c>
      <c r="AD6502">
        <v>-0.37555830000000001</v>
      </c>
      <c r="AE6502">
        <v>17.53642</v>
      </c>
      <c r="AF6502">
        <v>-17.321494580489301</v>
      </c>
      <c r="AG6502">
        <v>-0.37555830000000001</v>
      </c>
      <c r="AH6502">
        <v>63.408177621994703</v>
      </c>
      <c r="AI6502">
        <v>90.327357031888198</v>
      </c>
      <c r="AJ6502">
        <v>105.278964026444</v>
      </c>
      <c r="AK6502">
        <v>65.732581022511596</v>
      </c>
      <c r="AL6502">
        <v>75.0626849301444</v>
      </c>
      <c r="AM6502">
        <v>101.03184065101399</v>
      </c>
      <c r="AN6502">
        <v>0.999999956823869</v>
      </c>
    </row>
    <row r="6503" spans="1:40" x14ac:dyDescent="0.25">
      <c r="A6503" t="str">
        <f>"20190304155801415"</f>
        <v>20190304155801415</v>
      </c>
      <c r="B6503" t="str">
        <f>"1551686281411133"</f>
        <v>1551686281411133</v>
      </c>
      <c r="C6503" t="s">
        <v>40</v>
      </c>
      <c r="D6503">
        <v>4.5143209999999998</v>
      </c>
      <c r="E6503">
        <v>0.46813979999999999</v>
      </c>
      <c r="F6503" t="s">
        <v>73</v>
      </c>
      <c r="G6503">
        <v>-157.3501</v>
      </c>
      <c r="H6503">
        <v>0.79925919999999995</v>
      </c>
      <c r="I6503">
        <v>-45.671280000000003</v>
      </c>
      <c r="J6503">
        <v>-220.57259999999999</v>
      </c>
      <c r="K6503">
        <v>1.1113150000000001</v>
      </c>
      <c r="L6503">
        <v>-63.215420000000002</v>
      </c>
      <c r="M6503">
        <v>0.9998958</v>
      </c>
      <c r="N6503">
        <v>-1.389861E-2</v>
      </c>
      <c r="O6503">
        <v>3.8935839999999998E-3</v>
      </c>
      <c r="P6503">
        <v>0.95098389999999999</v>
      </c>
      <c r="Q6503">
        <v>0.2442753</v>
      </c>
      <c r="R6503">
        <v>0.1896293</v>
      </c>
      <c r="S6503">
        <v>2.9940190000000002</v>
      </c>
      <c r="T6503">
        <v>-1.47481E-2</v>
      </c>
      <c r="U6503">
        <v>0.82919310000000002</v>
      </c>
      <c r="V6503">
        <v>-0.18634680000000001</v>
      </c>
      <c r="W6503">
        <v>0.25717459999999998</v>
      </c>
      <c r="X6503">
        <v>0.94822790000000001</v>
      </c>
      <c r="Y6503">
        <v>-0.26313619999999999</v>
      </c>
      <c r="Z6503">
        <v>2.5329419999999998E-3</v>
      </c>
      <c r="AA6503">
        <v>0.96475540000000004</v>
      </c>
      <c r="AB6503">
        <v>25</v>
      </c>
      <c r="AC6503">
        <v>63.222499999999997</v>
      </c>
      <c r="AD6503">
        <v>-0.31205579999999999</v>
      </c>
      <c r="AE6503">
        <v>17.544139999999999</v>
      </c>
      <c r="AF6503">
        <v>-17.297429810979999</v>
      </c>
      <c r="AG6503">
        <v>-0.31205579999999999</v>
      </c>
      <c r="AH6503">
        <v>63.288905232175303</v>
      </c>
      <c r="AI6503">
        <v>90.272508998227394</v>
      </c>
      <c r="AJ6503">
        <v>105.286139170623</v>
      </c>
      <c r="AK6503">
        <v>65.6108526264929</v>
      </c>
      <c r="AL6503">
        <v>75.097521706382807</v>
      </c>
      <c r="AM6503">
        <v>101.11814557282101</v>
      </c>
      <c r="AN6503">
        <v>1.0000000275469001</v>
      </c>
    </row>
    <row r="6504" spans="1:40" x14ac:dyDescent="0.25">
      <c r="A6504" t="str">
        <f>"20190304155801426"</f>
        <v>20190304155801426</v>
      </c>
      <c r="B6504" t="str">
        <f>"1551686281420893"</f>
        <v>1551686281420893</v>
      </c>
      <c r="C6504" t="s">
        <v>40</v>
      </c>
      <c r="D6504">
        <v>4.8886820000000002</v>
      </c>
      <c r="E6504">
        <v>0.46813979999999999</v>
      </c>
      <c r="F6504" t="s">
        <v>73</v>
      </c>
      <c r="G6504">
        <v>-157.3501</v>
      </c>
      <c r="H6504">
        <v>0.70619390000000004</v>
      </c>
      <c r="I6504">
        <v>-45.671520000000001</v>
      </c>
      <c r="J6504">
        <v>-220.43879999999999</v>
      </c>
      <c r="K6504">
        <v>1.1113299999999999</v>
      </c>
      <c r="L6504">
        <v>-63.214359999999999</v>
      </c>
      <c r="M6504">
        <v>0.9998937</v>
      </c>
      <c r="N6504">
        <v>-1.3897670000000001E-2</v>
      </c>
      <c r="O6504">
        <v>4.4375220000000002E-3</v>
      </c>
      <c r="P6504">
        <v>0.95068909999999995</v>
      </c>
      <c r="Q6504">
        <v>0.2437696</v>
      </c>
      <c r="R6504">
        <v>0.191747</v>
      </c>
      <c r="S6504">
        <v>2.9938660000000001</v>
      </c>
      <c r="T6504">
        <v>-1.9185190000000001E-2</v>
      </c>
      <c r="U6504">
        <v>0.83077999999999996</v>
      </c>
      <c r="V6504">
        <v>-0.18795729999999999</v>
      </c>
      <c r="W6504">
        <v>0.25665519999999997</v>
      </c>
      <c r="X6504">
        <v>0.94805070000000002</v>
      </c>
      <c r="Y6504">
        <v>-0.2630942</v>
      </c>
      <c r="Z6504">
        <v>2.7222209999999999E-3</v>
      </c>
      <c r="AA6504">
        <v>0.96476629999999997</v>
      </c>
      <c r="AB6504">
        <v>25</v>
      </c>
      <c r="AC6504">
        <v>63.088699999999903</v>
      </c>
      <c r="AD6504">
        <v>-0.405136099999999</v>
      </c>
      <c r="AE6504">
        <v>17.542839999999899</v>
      </c>
      <c r="AF6504">
        <v>-17.262021980506798</v>
      </c>
      <c r="AG6504">
        <v>-0.405136099999999</v>
      </c>
      <c r="AH6504">
        <v>63.163515168399101</v>
      </c>
      <c r="AI6504">
        <v>90.354495352245294</v>
      </c>
      <c r="AJ6504">
        <v>105.28517897709099</v>
      </c>
      <c r="AK6504">
        <v>65.481075025869998</v>
      </c>
      <c r="AL6504">
        <v>75.128314069633603</v>
      </c>
      <c r="AM6504">
        <v>101.213852302852</v>
      </c>
      <c r="AN6504">
        <v>0.99999998404040902</v>
      </c>
    </row>
    <row r="6505" spans="1:40" x14ac:dyDescent="0.25">
      <c r="A6505" t="str">
        <f>"20190304155801438"</f>
        <v>20190304155801438</v>
      </c>
      <c r="B6505" t="str">
        <f>"1551686281430653"</f>
        <v>1551686281430653</v>
      </c>
      <c r="C6505" t="s">
        <v>40</v>
      </c>
      <c r="D6505">
        <v>4.5574830000000004</v>
      </c>
      <c r="E6505">
        <v>0.47136430000000001</v>
      </c>
      <c r="F6505" t="s">
        <v>73</v>
      </c>
      <c r="G6505">
        <v>-157.3501</v>
      </c>
      <c r="H6505">
        <v>0.67240999999999995</v>
      </c>
      <c r="I6505">
        <v>-45.558720000000001</v>
      </c>
      <c r="J6505">
        <v>-220.31489999999999</v>
      </c>
      <c r="K6505">
        <v>1.1113470000000001</v>
      </c>
      <c r="L6505">
        <v>-63.213230000000003</v>
      </c>
      <c r="M6505">
        <v>0.99989130000000004</v>
      </c>
      <c r="N6505">
        <v>-1.3896769999999999E-2</v>
      </c>
      <c r="O6505">
        <v>4.9547189999999998E-3</v>
      </c>
      <c r="P6505">
        <v>0.95037139999999998</v>
      </c>
      <c r="Q6505">
        <v>0.24338899999999999</v>
      </c>
      <c r="R6505">
        <v>0.1937943</v>
      </c>
      <c r="S6505">
        <v>2.9920650000000002</v>
      </c>
      <c r="T6505">
        <v>-2.0817280000000001E-2</v>
      </c>
      <c r="U6505">
        <v>0.83734129999999996</v>
      </c>
      <c r="V6505">
        <v>-0.1895222</v>
      </c>
      <c r="W6505">
        <v>0.25626159999999998</v>
      </c>
      <c r="X6505">
        <v>0.94784559999999995</v>
      </c>
      <c r="Y6505">
        <v>-0.26470549999999998</v>
      </c>
      <c r="Z6505">
        <v>2.8113330000000001E-3</v>
      </c>
      <c r="AA6505">
        <v>0.96432519999999999</v>
      </c>
      <c r="AB6505">
        <v>25</v>
      </c>
      <c r="AC6505">
        <v>62.964799999999997</v>
      </c>
      <c r="AD6505">
        <v>-0.43893699999999902</v>
      </c>
      <c r="AE6505">
        <v>17.654509999999998</v>
      </c>
      <c r="AF6505">
        <v>-17.3415089599259</v>
      </c>
      <c r="AG6505">
        <v>-0.43893699999999902</v>
      </c>
      <c r="AH6505">
        <v>63.048667900543101</v>
      </c>
      <c r="AI6505">
        <v>90.384597482673499</v>
      </c>
      <c r="AJ6505">
        <v>105.37889165214</v>
      </c>
      <c r="AK6505">
        <v>65.391552380488207</v>
      </c>
      <c r="AL6505">
        <v>75.151645908055897</v>
      </c>
      <c r="AM6505">
        <v>101.307205293838</v>
      </c>
      <c r="AN6505">
        <v>0.99999997668337903</v>
      </c>
    </row>
    <row r="6506" spans="1:40" x14ac:dyDescent="0.25">
      <c r="A6506" t="str">
        <f>"20190304155801449"</f>
        <v>20190304155801449</v>
      </c>
      <c r="B6506" t="str">
        <f>"1551686281441390"</f>
        <v>1551686281441390</v>
      </c>
      <c r="C6506" t="s">
        <v>40</v>
      </c>
      <c r="D6506">
        <v>4.494154</v>
      </c>
      <c r="E6506">
        <v>0.47136430000000001</v>
      </c>
      <c r="F6506" t="s">
        <v>73</v>
      </c>
      <c r="G6506">
        <v>-169.244</v>
      </c>
      <c r="H6506">
        <v>7.3308210000000003</v>
      </c>
      <c r="I6506">
        <v>-48.922319999999999</v>
      </c>
      <c r="J6506">
        <v>-220.1893</v>
      </c>
      <c r="K6506">
        <v>1.111361</v>
      </c>
      <c r="L6506">
        <v>-63.212040000000002</v>
      </c>
      <c r="M6506">
        <v>0.99988840000000001</v>
      </c>
      <c r="N6506">
        <v>-1.389583E-2</v>
      </c>
      <c r="O6506">
        <v>5.4845479999999997E-3</v>
      </c>
      <c r="P6506">
        <v>0.95003099999999996</v>
      </c>
      <c r="Q6506">
        <v>0.2429751</v>
      </c>
      <c r="R6506">
        <v>0.19597020000000001</v>
      </c>
      <c r="S6506">
        <v>2.900665</v>
      </c>
      <c r="T6506">
        <v>0.35324450000000002</v>
      </c>
      <c r="U6506">
        <v>0.81167599999999995</v>
      </c>
      <c r="V6506">
        <v>-0.1912035</v>
      </c>
      <c r="W6506">
        <v>0.25583430000000001</v>
      </c>
      <c r="X6506">
        <v>0.9476234</v>
      </c>
      <c r="Y6506">
        <v>-0.2626522</v>
      </c>
      <c r="Z6506">
        <v>-1.3044740000000001E-2</v>
      </c>
      <c r="AA6506">
        <v>0.96480239999999995</v>
      </c>
      <c r="AB6506">
        <v>25</v>
      </c>
      <c r="AC6506">
        <v>50.945299999999897</v>
      </c>
      <c r="AD6506">
        <v>6.2194599999999998</v>
      </c>
      <c r="AE6506">
        <v>14.289720000000001</v>
      </c>
      <c r="AF6506">
        <v>-13.819130457134101</v>
      </c>
      <c r="AG6506">
        <v>6.2194599999999998</v>
      </c>
      <c r="AH6506">
        <v>50.327549997911703</v>
      </c>
      <c r="AI6506">
        <v>83.204178442367507</v>
      </c>
      <c r="AJ6506">
        <v>105.35407955154901</v>
      </c>
      <c r="AK6506">
        <v>52.559607476418599</v>
      </c>
      <c r="AL6506">
        <v>75.176973614350402</v>
      </c>
      <c r="AM6506">
        <v>101.40750089910399</v>
      </c>
      <c r="AN6506">
        <v>1.00000003784814</v>
      </c>
    </row>
    <row r="6507" spans="1:40" x14ac:dyDescent="0.25">
      <c r="A6507" t="str">
        <f>"20190304155801459"</f>
        <v>20190304155801459</v>
      </c>
      <c r="B6507" t="str">
        <f>"1551686281451150"</f>
        <v>1551686281451150</v>
      </c>
      <c r="C6507" t="s">
        <v>40</v>
      </c>
      <c r="D6507">
        <v>4.308249</v>
      </c>
      <c r="E6507">
        <v>0.47403220000000001</v>
      </c>
      <c r="F6507" t="s">
        <v>73</v>
      </c>
      <c r="G6507">
        <v>-169.244</v>
      </c>
      <c r="H6507">
        <v>7.2942689999999999</v>
      </c>
      <c r="I6507">
        <v>-48.836779999999997</v>
      </c>
      <c r="J6507">
        <v>-220.07130000000001</v>
      </c>
      <c r="K6507">
        <v>1.1113729999999999</v>
      </c>
      <c r="L6507">
        <v>-63.210819999999998</v>
      </c>
      <c r="M6507">
        <v>0.99988560000000004</v>
      </c>
      <c r="N6507">
        <v>-1.389496E-2</v>
      </c>
      <c r="O6507">
        <v>5.9978990000000001E-3</v>
      </c>
      <c r="P6507">
        <v>0.94970569999999999</v>
      </c>
      <c r="Q6507">
        <v>0.24285680000000001</v>
      </c>
      <c r="R6507">
        <v>0.19768669999999999</v>
      </c>
      <c r="S6507">
        <v>2.8990480000000001</v>
      </c>
      <c r="T6507">
        <v>0.35183730000000002</v>
      </c>
      <c r="U6507">
        <v>0.81802369999999902</v>
      </c>
      <c r="V6507">
        <v>-0.1924401</v>
      </c>
      <c r="W6507">
        <v>0.25570490000000001</v>
      </c>
      <c r="X6507">
        <v>0.94740800000000003</v>
      </c>
      <c r="Y6507">
        <v>-0.26426139999999998</v>
      </c>
      <c r="Z6507">
        <v>-1.300494E-2</v>
      </c>
      <c r="AA6507">
        <v>0.96436339999999998</v>
      </c>
      <c r="AB6507">
        <v>25</v>
      </c>
      <c r="AC6507">
        <v>50.827299999999902</v>
      </c>
      <c r="AD6507">
        <v>6.1828960000000004</v>
      </c>
      <c r="AE6507">
        <v>14.3740399999999</v>
      </c>
      <c r="AF6507">
        <v>-13.8787323461677</v>
      </c>
      <c r="AG6507">
        <v>6.1828960000000004</v>
      </c>
      <c r="AH6507">
        <v>50.224446115386499</v>
      </c>
      <c r="AI6507">
        <v>83.233024618562993</v>
      </c>
      <c r="AJ6507">
        <v>105.44729660445201</v>
      </c>
      <c r="AK6507">
        <v>52.472301284399002</v>
      </c>
      <c r="AL6507">
        <v>75.184643014470296</v>
      </c>
      <c r="AM6507">
        <v>101.481866482724</v>
      </c>
      <c r="AN6507">
        <v>1.000000053218</v>
      </c>
    </row>
    <row r="6508" spans="1:40" x14ac:dyDescent="0.25">
      <c r="A6508" t="str">
        <f>"20190304155801471"</f>
        <v>20190304155801471</v>
      </c>
      <c r="B6508" t="str">
        <f>"1551686281460910"</f>
        <v>1551686281460910</v>
      </c>
      <c r="C6508" t="s">
        <v>40</v>
      </c>
      <c r="D6508">
        <v>4.4750629999999996</v>
      </c>
      <c r="E6508">
        <v>0.47403220000000001</v>
      </c>
      <c r="F6508" t="s">
        <v>73</v>
      </c>
      <c r="G6508">
        <v>-169.244</v>
      </c>
      <c r="H6508">
        <v>7.0793080000000002</v>
      </c>
      <c r="I6508">
        <v>-49.170990000000003</v>
      </c>
      <c r="J6508">
        <v>-219.9442</v>
      </c>
      <c r="K6508">
        <v>1.1113869999999999</v>
      </c>
      <c r="L6508">
        <v>-63.209499999999998</v>
      </c>
      <c r="M6508">
        <v>0.99988200000000005</v>
      </c>
      <c r="N6508">
        <v>-1.3894E-2</v>
      </c>
      <c r="O6508">
        <v>6.5538150000000002E-3</v>
      </c>
      <c r="P6508">
        <v>0.9492583</v>
      </c>
      <c r="Q6508">
        <v>0.2428264</v>
      </c>
      <c r="R6508">
        <v>0.1998597</v>
      </c>
      <c r="S6508">
        <v>2.9046479999999999</v>
      </c>
      <c r="T6508">
        <v>0.34105010000000002</v>
      </c>
      <c r="U6508">
        <v>0.80233759999999998</v>
      </c>
      <c r="V6508">
        <v>-0.19409560000000001</v>
      </c>
      <c r="W6508">
        <v>0.2556601</v>
      </c>
      <c r="X6508">
        <v>0.94708230000000004</v>
      </c>
      <c r="Y6508">
        <v>-0.25854050000000001</v>
      </c>
      <c r="Z6508">
        <v>-1.217504E-2</v>
      </c>
      <c r="AA6508">
        <v>0.96592370000000005</v>
      </c>
      <c r="AB6508">
        <v>25</v>
      </c>
      <c r="AC6508">
        <v>50.700199999999903</v>
      </c>
      <c r="AD6508">
        <v>5.9679209999999996</v>
      </c>
      <c r="AE6508">
        <v>14.038509999999899</v>
      </c>
      <c r="AF6508">
        <v>-13.5317566335805</v>
      </c>
      <c r="AG6508">
        <v>5.9679209999999996</v>
      </c>
      <c r="AH6508">
        <v>50.145799945265701</v>
      </c>
      <c r="AI6508">
        <v>83.445377203818794</v>
      </c>
      <c r="AJ6508">
        <v>105.10147124126</v>
      </c>
      <c r="AK6508">
        <v>52.281218145748099</v>
      </c>
      <c r="AL6508">
        <v>75.187297855193506</v>
      </c>
      <c r="AM6508">
        <v>101.58185921577299</v>
      </c>
      <c r="AN6508">
        <v>1.00000003582232</v>
      </c>
    </row>
    <row r="6509" spans="1:40" x14ac:dyDescent="0.25">
      <c r="A6509" t="str">
        <f>"20190304155801482"</f>
        <v>20190304155801482</v>
      </c>
      <c r="B6509" t="str">
        <f>"1551686281470670"</f>
        <v>1551686281470670</v>
      </c>
      <c r="C6509" t="s">
        <v>40</v>
      </c>
      <c r="D6509">
        <v>5.0441370000000001</v>
      </c>
      <c r="E6509">
        <v>0.47482649999999998</v>
      </c>
      <c r="F6509" t="s">
        <v>73</v>
      </c>
      <c r="G6509">
        <v>-169.244</v>
      </c>
      <c r="H6509">
        <v>7.0642569999999996</v>
      </c>
      <c r="I6509">
        <v>-49.083939999999998</v>
      </c>
      <c r="J6509">
        <v>-219.81139999999999</v>
      </c>
      <c r="K6509">
        <v>1.1113980000000001</v>
      </c>
      <c r="L6509">
        <v>-63.207949999999997</v>
      </c>
      <c r="M6509">
        <v>0.99987800000000004</v>
      </c>
      <c r="N6509">
        <v>-1.3893040000000001E-2</v>
      </c>
      <c r="O6509">
        <v>7.1504359999999996E-3</v>
      </c>
      <c r="P6509">
        <v>0.94882429999999995</v>
      </c>
      <c r="Q6509">
        <v>0.24260670000000001</v>
      </c>
      <c r="R6509">
        <v>0.20217499999999999</v>
      </c>
      <c r="S6509">
        <v>2.902908</v>
      </c>
      <c r="T6509">
        <v>0.34083799999999997</v>
      </c>
      <c r="U6509">
        <v>0.80877690000000002</v>
      </c>
      <c r="V6509">
        <v>-0.19585369999999999</v>
      </c>
      <c r="W6509">
        <v>0.25542589999999998</v>
      </c>
      <c r="X6509">
        <v>0.9467835</v>
      </c>
      <c r="Y6509">
        <v>-0.26009929999999998</v>
      </c>
      <c r="Z6509">
        <v>-1.217182E-2</v>
      </c>
      <c r="AA6509">
        <v>0.9655051</v>
      </c>
      <c r="AB6509">
        <v>25</v>
      </c>
      <c r="AC6509">
        <v>50.5673999999999</v>
      </c>
      <c r="AD6509">
        <v>5.9528589999999904</v>
      </c>
      <c r="AE6509">
        <v>14.124009999999901</v>
      </c>
      <c r="AF6509">
        <v>-13.5873641110355</v>
      </c>
      <c r="AG6509">
        <v>5.9528589999999904</v>
      </c>
      <c r="AH6509">
        <v>50.024030969355998</v>
      </c>
      <c r="AI6509">
        <v>83.448897018809006</v>
      </c>
      <c r="AJ6509">
        <v>105.195878149797</v>
      </c>
      <c r="AK6509">
        <v>52.177166157073202</v>
      </c>
      <c r="AL6509">
        <v>75.201177255052997</v>
      </c>
      <c r="AM6509">
        <v>101.68748071768999</v>
      </c>
      <c r="AN6509">
        <v>1.0000000290333699</v>
      </c>
    </row>
    <row r="6510" spans="1:40" x14ac:dyDescent="0.25">
      <c r="A6510" t="str">
        <f>"20190304155801493"</f>
        <v>20190304155801493</v>
      </c>
      <c r="B6510" t="str">
        <f>"1551686281491165"</f>
        <v>1551686281491165</v>
      </c>
      <c r="C6510" t="s">
        <v>40</v>
      </c>
      <c r="D6510">
        <v>4.5137530000000003</v>
      </c>
      <c r="E6510">
        <v>0.4700395</v>
      </c>
      <c r="F6510" t="s">
        <v>73</v>
      </c>
      <c r="G6510">
        <v>-168.46099999999899</v>
      </c>
      <c r="H6510">
        <v>6.6740890000000004</v>
      </c>
      <c r="I6510">
        <v>-48.912559999999999</v>
      </c>
      <c r="J6510">
        <v>-219.68979999999999</v>
      </c>
      <c r="K6510">
        <v>1.111407</v>
      </c>
      <c r="L6510">
        <v>-63.206510000000002</v>
      </c>
      <c r="M6510">
        <v>0.99987389999999998</v>
      </c>
      <c r="N6510">
        <v>-1.3892140000000001E-2</v>
      </c>
      <c r="O6510">
        <v>7.701261E-3</v>
      </c>
      <c r="P6510">
        <v>0.94845780000000002</v>
      </c>
      <c r="Q6510">
        <v>0.2423217</v>
      </c>
      <c r="R6510">
        <v>0.2042254</v>
      </c>
      <c r="S6510">
        <v>2.908722</v>
      </c>
      <c r="T6510">
        <v>0.3150944</v>
      </c>
      <c r="U6510">
        <v>0.80975339999999996</v>
      </c>
      <c r="V6510">
        <v>-0.19738910000000001</v>
      </c>
      <c r="W6510">
        <v>0.25512899999999999</v>
      </c>
      <c r="X6510">
        <v>0.94654459999999996</v>
      </c>
      <c r="Y6510">
        <v>-0.25959769999999999</v>
      </c>
      <c r="Z6510">
        <v>-1.0998330000000001E-2</v>
      </c>
      <c r="AA6510">
        <v>0.96565420000000002</v>
      </c>
      <c r="AB6510">
        <v>25</v>
      </c>
      <c r="AC6510">
        <v>51.2288</v>
      </c>
      <c r="AD6510">
        <v>5.5626819999999997</v>
      </c>
      <c r="AE6510">
        <v>14.293949999999899</v>
      </c>
      <c r="AF6510">
        <v>-13.7485650641691</v>
      </c>
      <c r="AG6510">
        <v>5.5626819999999997</v>
      </c>
      <c r="AH6510">
        <v>50.781866041966602</v>
      </c>
      <c r="AI6510">
        <v>83.964305804758993</v>
      </c>
      <c r="AJ6510">
        <v>105.148962413444</v>
      </c>
      <c r="AK6510">
        <v>52.903349525914301</v>
      </c>
      <c r="AL6510">
        <v>75.2187704321654</v>
      </c>
      <c r="AM6510">
        <v>101.77944497150899</v>
      </c>
      <c r="AN6510">
        <v>0.99999997161448395</v>
      </c>
    </row>
    <row r="6511" spans="1:40" x14ac:dyDescent="0.25">
      <c r="A6511" t="str">
        <f>"20190304155801504"</f>
        <v>20190304155801504</v>
      </c>
      <c r="B6511" t="str">
        <f>"1551686281500926"</f>
        <v>1551686281500926</v>
      </c>
      <c r="C6511" t="s">
        <v>40</v>
      </c>
      <c r="D6511">
        <v>4.4766149999999998</v>
      </c>
      <c r="E6511">
        <v>0.47030620000000001</v>
      </c>
      <c r="F6511" t="s">
        <v>84</v>
      </c>
      <c r="G6511">
        <v>-175.64959999999999</v>
      </c>
      <c r="H6511">
        <v>7.9986580000000002E-2</v>
      </c>
      <c r="I6511">
        <v>-50.576909999999998</v>
      </c>
      <c r="J6511">
        <v>-219.56399999999999</v>
      </c>
      <c r="K6511">
        <v>1.111416</v>
      </c>
      <c r="L6511">
        <v>-63.204859999999996</v>
      </c>
      <c r="M6511">
        <v>0.99986929999999996</v>
      </c>
      <c r="N6511">
        <v>-1.3891219999999999E-2</v>
      </c>
      <c r="O6511">
        <v>8.280506E-3</v>
      </c>
      <c r="P6511">
        <v>0.94807819999999998</v>
      </c>
      <c r="Q6511">
        <v>0.2420175</v>
      </c>
      <c r="R6511">
        <v>0.20633779999999999</v>
      </c>
      <c r="S6511">
        <v>2.9959560000000001</v>
      </c>
      <c r="T6511">
        <v>-7.0165039999999998E-2</v>
      </c>
      <c r="U6511">
        <v>0.85916139999999996</v>
      </c>
      <c r="V6511">
        <v>-0.19896</v>
      </c>
      <c r="W6511">
        <v>0.2548127</v>
      </c>
      <c r="X6511">
        <v>0.9463009</v>
      </c>
      <c r="Y6511">
        <v>-0.26758199999999999</v>
      </c>
      <c r="Z6511">
        <v>4.8895639999999999E-3</v>
      </c>
      <c r="AA6511">
        <v>0.96352269999999896</v>
      </c>
      <c r="AB6511">
        <v>25</v>
      </c>
      <c r="AC6511">
        <v>43.914400000000001</v>
      </c>
      <c r="AD6511">
        <v>-1.03142942</v>
      </c>
      <c r="AE6511">
        <v>12.627949999999901</v>
      </c>
      <c r="AF6511">
        <v>-12.2576029734497</v>
      </c>
      <c r="AG6511">
        <v>-1.03142942</v>
      </c>
      <c r="AH6511">
        <v>43.995053695384101</v>
      </c>
      <c r="AI6511">
        <v>91.293750654408598</v>
      </c>
      <c r="AJ6511">
        <v>105.568539112712</v>
      </c>
      <c r="AK6511">
        <v>45.682353561992599</v>
      </c>
      <c r="AL6511">
        <v>75.237512868686395</v>
      </c>
      <c r="AM6511">
        <v>101.873511041695</v>
      </c>
      <c r="AN6511">
        <v>0.99999999351104996</v>
      </c>
    </row>
    <row r="6512" spans="1:40" x14ac:dyDescent="0.25">
      <c r="A6512" t="str">
        <f>"20190304155801515"</f>
        <v>20190304155801515</v>
      </c>
      <c r="B6512" t="str">
        <f>"1551686281510685"</f>
        <v>1551686281510685</v>
      </c>
      <c r="C6512" t="s">
        <v>40</v>
      </c>
      <c r="D6512">
        <v>4.5940300000000001</v>
      </c>
      <c r="E6512">
        <v>0.47030620000000001</v>
      </c>
      <c r="F6512" t="s">
        <v>84</v>
      </c>
      <c r="G6512">
        <v>-175.0128</v>
      </c>
      <c r="H6512">
        <v>7.9986580000000002E-2</v>
      </c>
      <c r="I6512">
        <v>-50.363849999999999</v>
      </c>
      <c r="J6512">
        <v>-219.43899999999999</v>
      </c>
      <c r="K6512">
        <v>1.1114269999999999</v>
      </c>
      <c r="L6512">
        <v>-63.203220000000002</v>
      </c>
      <c r="M6512">
        <v>0.99986419999999998</v>
      </c>
      <c r="N6512">
        <v>-1.38903E-2</v>
      </c>
      <c r="O6512">
        <v>8.8626039999999996E-3</v>
      </c>
      <c r="P6512">
        <v>0.94756870000000004</v>
      </c>
      <c r="Q6512">
        <v>0.24213560000000001</v>
      </c>
      <c r="R6512">
        <v>0.20852799999999999</v>
      </c>
      <c r="S6512">
        <v>2.9941559999999998</v>
      </c>
      <c r="T6512">
        <v>-6.9319370000000005E-2</v>
      </c>
      <c r="U6512">
        <v>0.86300659999999896</v>
      </c>
      <c r="V6512">
        <v>-0.20060819999999999</v>
      </c>
      <c r="W6512">
        <v>0.25491740000000002</v>
      </c>
      <c r="X6512">
        <v>0.94592469999999995</v>
      </c>
      <c r="Y6512">
        <v>-0.26831909999999998</v>
      </c>
      <c r="Z6512">
        <v>4.8645119999999997E-3</v>
      </c>
      <c r="AA6512">
        <v>0.9633178</v>
      </c>
      <c r="AB6512">
        <v>25</v>
      </c>
      <c r="AC6512">
        <v>44.426200000000001</v>
      </c>
      <c r="AD6512">
        <v>-1.03144042</v>
      </c>
      <c r="AE6512">
        <v>12.839369999999899</v>
      </c>
      <c r="AF6512">
        <v>-12.4389077779076</v>
      </c>
      <c r="AG6512">
        <v>-1.03144042</v>
      </c>
      <c r="AH6512">
        <v>44.516110451649901</v>
      </c>
      <c r="AI6512">
        <v>91.278357584030203</v>
      </c>
      <c r="AJ6512">
        <v>105.61168431896</v>
      </c>
      <c r="AK6512">
        <v>46.2328280098763</v>
      </c>
      <c r="AL6512">
        <v>75.231309749869595</v>
      </c>
      <c r="AM6512">
        <v>101.973669340833</v>
      </c>
      <c r="AN6512">
        <v>1.0000000344000399</v>
      </c>
    </row>
    <row r="6513" spans="1:40" x14ac:dyDescent="0.25">
      <c r="A6513" t="str">
        <f>"20190304155801526"</f>
        <v>20190304155801526</v>
      </c>
      <c r="B6513" t="str">
        <f>"1551686281521449"</f>
        <v>1551686281521449</v>
      </c>
      <c r="C6513" t="s">
        <v>40</v>
      </c>
      <c r="D6513">
        <v>5.2326269999999999</v>
      </c>
      <c r="E6513">
        <v>0.47529070000000001</v>
      </c>
      <c r="F6513" t="s">
        <v>44</v>
      </c>
      <c r="G6513">
        <v>-169.1345</v>
      </c>
      <c r="H6513">
        <v>-0.05</v>
      </c>
      <c r="I6513">
        <v>-48.587249999999997</v>
      </c>
      <c r="J6513">
        <v>-219.31450000000001</v>
      </c>
      <c r="K6513">
        <v>1.1114379999999999</v>
      </c>
      <c r="L6513">
        <v>-63.201509999999999</v>
      </c>
      <c r="M6513">
        <v>0.99985900000000005</v>
      </c>
      <c r="N6513">
        <v>-1.388937E-2</v>
      </c>
      <c r="O6513">
        <v>9.4483899999999992E-3</v>
      </c>
      <c r="P6513">
        <v>0.94712050000000003</v>
      </c>
      <c r="Q6513">
        <v>0.2423913</v>
      </c>
      <c r="R6513">
        <v>0.21026059999999999</v>
      </c>
      <c r="S6513">
        <v>2.9923099999999998</v>
      </c>
      <c r="T6513">
        <v>-6.9086190000000006E-2</v>
      </c>
      <c r="U6513">
        <v>0.8694153</v>
      </c>
      <c r="V6513">
        <v>-0.2017949</v>
      </c>
      <c r="W6513">
        <v>0.25516039999999901</v>
      </c>
      <c r="X6513">
        <v>0.94560670000000002</v>
      </c>
      <c r="Y6513">
        <v>-0.26981620000000001</v>
      </c>
      <c r="Z6513">
        <v>4.8784839999999998E-3</v>
      </c>
      <c r="AA6513">
        <v>0.96289950000000002</v>
      </c>
      <c r="AB6513">
        <v>25</v>
      </c>
      <c r="AC6513">
        <v>50.18</v>
      </c>
      <c r="AD6513">
        <v>-1.161438</v>
      </c>
      <c r="AE6513">
        <v>14.61426</v>
      </c>
      <c r="AF6513">
        <v>-14.132462666162199</v>
      </c>
      <c r="AG6513">
        <v>-1.161438</v>
      </c>
      <c r="AH6513">
        <v>50.291019227957399</v>
      </c>
      <c r="AI6513">
        <v>91.273656350657603</v>
      </c>
      <c r="AJ6513">
        <v>105.69608763868101</v>
      </c>
      <c r="AK6513">
        <v>52.251909574914997</v>
      </c>
      <c r="AL6513">
        <v>75.216910512142505</v>
      </c>
      <c r="AM6513">
        <v>102.04636937649001</v>
      </c>
      <c r="AN6513">
        <v>1.0000000212395199</v>
      </c>
    </row>
    <row r="6514" spans="1:40" x14ac:dyDescent="0.25">
      <c r="A6514" t="str">
        <f>"20190304155801538"</f>
        <v>20190304155801538</v>
      </c>
      <c r="B6514" t="str">
        <f>"1551686281531181"</f>
        <v>1551686281531181</v>
      </c>
      <c r="C6514" t="s">
        <v>40</v>
      </c>
      <c r="D6514">
        <v>5.1097070000000002</v>
      </c>
      <c r="E6514">
        <v>0.47529070000000001</v>
      </c>
      <c r="F6514" t="s">
        <v>73</v>
      </c>
      <c r="G6514">
        <v>-169.244</v>
      </c>
      <c r="H6514">
        <v>6.7801580000000001</v>
      </c>
      <c r="I6514">
        <v>-48.876339999999999</v>
      </c>
      <c r="J6514">
        <v>-219.1927</v>
      </c>
      <c r="K6514">
        <v>1.111443</v>
      </c>
      <c r="L6514">
        <v>-63.199680000000001</v>
      </c>
      <c r="M6514">
        <v>0.99985329999999994</v>
      </c>
      <c r="N6514">
        <v>-1.388843E-2</v>
      </c>
      <c r="O6514">
        <v>1.003131E-2</v>
      </c>
      <c r="P6514">
        <v>0.94655730000000005</v>
      </c>
      <c r="Q6514">
        <v>0.2426169</v>
      </c>
      <c r="R6514">
        <v>0.21252380000000001</v>
      </c>
      <c r="S6514">
        <v>2.8993380000000002</v>
      </c>
      <c r="T6514">
        <v>0.32824599999999998</v>
      </c>
      <c r="U6514">
        <v>0.82949830000000002</v>
      </c>
      <c r="V6514">
        <v>-0.20351559999999999</v>
      </c>
      <c r="W6514">
        <v>0.25537199999999999</v>
      </c>
      <c r="X6514">
        <v>0.94518069999999998</v>
      </c>
      <c r="Y6514">
        <v>-0.26412350000000001</v>
      </c>
      <c r="Z6514">
        <v>-1.1492459999999999E-2</v>
      </c>
      <c r="AA6514">
        <v>0.96442039999999996</v>
      </c>
      <c r="AB6514">
        <v>25</v>
      </c>
      <c r="AC6514">
        <v>49.948699999999903</v>
      </c>
      <c r="AD6514">
        <v>5.6687149999999997</v>
      </c>
      <c r="AE6514">
        <v>14.32334</v>
      </c>
      <c r="AF6514">
        <v>-13.658958334948901</v>
      </c>
      <c r="AG6514">
        <v>5.6687149999999997</v>
      </c>
      <c r="AH6514">
        <v>49.500750455391</v>
      </c>
      <c r="AI6514">
        <v>83.700498131686004</v>
      </c>
      <c r="AJ6514">
        <v>105.42601077736001</v>
      </c>
      <c r="AK6514">
        <v>51.662614802137099</v>
      </c>
      <c r="AL6514">
        <v>75.204371092492494</v>
      </c>
      <c r="AM6514">
        <v>102.151362558369</v>
      </c>
      <c r="AN6514">
        <v>1.00000000673992</v>
      </c>
    </row>
    <row r="6515" spans="1:40" x14ac:dyDescent="0.25">
      <c r="A6515" t="str">
        <f>"20190304155801548"</f>
        <v>20190304155801548</v>
      </c>
      <c r="B6515" t="str">
        <f>"1551686281540941"</f>
        <v>1551686281540941</v>
      </c>
      <c r="C6515" t="s">
        <v>40</v>
      </c>
      <c r="D6515">
        <v>4.5500540000000003</v>
      </c>
      <c r="E6515">
        <v>0.47529719999999998</v>
      </c>
      <c r="F6515" t="s">
        <v>73</v>
      </c>
      <c r="G6515">
        <v>-169.244</v>
      </c>
      <c r="H6515">
        <v>6.7807899999999997</v>
      </c>
      <c r="I6515">
        <v>-48.783819999999999</v>
      </c>
      <c r="J6515">
        <v>-219.06819999999999</v>
      </c>
      <c r="K6515">
        <v>1.1114539999999999</v>
      </c>
      <c r="L6515">
        <v>-63.197809999999997</v>
      </c>
      <c r="M6515">
        <v>0.99984709999999999</v>
      </c>
      <c r="N6515">
        <v>-1.3887439999999999E-2</v>
      </c>
      <c r="O6515">
        <v>1.0631160000000001E-2</v>
      </c>
      <c r="P6515">
        <v>0.94597010000000004</v>
      </c>
      <c r="Q6515">
        <v>0.24310689999999999</v>
      </c>
      <c r="R6515">
        <v>0.21456839999999999</v>
      </c>
      <c r="S6515">
        <v>2.897354</v>
      </c>
      <c r="T6515">
        <v>0.32885750000000002</v>
      </c>
      <c r="U6515">
        <v>0.83621219999999996</v>
      </c>
      <c r="V6515">
        <v>-0.2050044</v>
      </c>
      <c r="W6515">
        <v>0.2558473</v>
      </c>
      <c r="X6515">
        <v>0.94473030000000002</v>
      </c>
      <c r="Y6515">
        <v>-0.2657737</v>
      </c>
      <c r="Z6515">
        <v>-1.152685E-2</v>
      </c>
      <c r="AA6515">
        <v>0.96396649999999995</v>
      </c>
      <c r="AB6515">
        <v>25</v>
      </c>
      <c r="AC6515">
        <v>49.824199999999898</v>
      </c>
      <c r="AD6515">
        <v>5.6693360000000004</v>
      </c>
      <c r="AE6515">
        <v>14.413989999999901</v>
      </c>
      <c r="AF6515">
        <v>-13.7195209997298</v>
      </c>
      <c r="AG6515">
        <v>5.6693360000000004</v>
      </c>
      <c r="AH6515">
        <v>49.384612607233898</v>
      </c>
      <c r="AI6515">
        <v>83.688136953532194</v>
      </c>
      <c r="AJ6515">
        <v>105.525805297212</v>
      </c>
      <c r="AK6515">
        <v>51.5674954744701</v>
      </c>
      <c r="AL6515">
        <v>75.176202436477993</v>
      </c>
      <c r="AM6515">
        <v>102.243243448396</v>
      </c>
      <c r="AN6515">
        <v>0.99999999233736903</v>
      </c>
    </row>
    <row r="6516" spans="1:40" x14ac:dyDescent="0.25">
      <c r="A6516" t="str">
        <f>"20190304155801560"</f>
        <v>20190304155801560</v>
      </c>
      <c r="B6516" t="str">
        <f>"1551686281550702"</f>
        <v>1551686281550702</v>
      </c>
      <c r="C6516" t="s">
        <v>40</v>
      </c>
      <c r="D6516">
        <v>4.4735829999999996</v>
      </c>
      <c r="E6516">
        <v>0.47497270000000003</v>
      </c>
      <c r="F6516" t="s">
        <v>73</v>
      </c>
      <c r="G6516">
        <v>-169.244</v>
      </c>
      <c r="H6516">
        <v>6.706467</v>
      </c>
      <c r="I6516">
        <v>-48.70975</v>
      </c>
      <c r="J6516">
        <v>-218.94399999999999</v>
      </c>
      <c r="K6516">
        <v>1.1114649999999999</v>
      </c>
      <c r="L6516">
        <v>-63.195799999999998</v>
      </c>
      <c r="M6516">
        <v>0.99984050000000002</v>
      </c>
      <c r="N6516">
        <v>-1.388647E-2</v>
      </c>
      <c r="O6516">
        <v>1.1241849999999999E-2</v>
      </c>
      <c r="P6516">
        <v>0.94531600000000005</v>
      </c>
      <c r="Q6516">
        <v>0.24374779999999999</v>
      </c>
      <c r="R6516">
        <v>0.21671389999999999</v>
      </c>
      <c r="S6516">
        <v>2.8967130000000001</v>
      </c>
      <c r="T6516">
        <v>0.32528509999999899</v>
      </c>
      <c r="U6516">
        <v>0.842315699999999</v>
      </c>
      <c r="V6516">
        <v>-0.20658409999999999</v>
      </c>
      <c r="W6516">
        <v>0.2564728</v>
      </c>
      <c r="X6516">
        <v>0.94421650000000001</v>
      </c>
      <c r="Y6516">
        <v>-0.26714369999999998</v>
      </c>
      <c r="Z6516">
        <v>-1.136939E-2</v>
      </c>
      <c r="AA6516">
        <v>0.96358969999999999</v>
      </c>
      <c r="AB6516">
        <v>25</v>
      </c>
      <c r="AC6516">
        <v>49.699999999999903</v>
      </c>
      <c r="AD6516">
        <v>5.595002</v>
      </c>
      <c r="AE6516">
        <v>14.486050000000001</v>
      </c>
      <c r="AF6516">
        <v>-13.765566531007</v>
      </c>
      <c r="AG6516">
        <v>5.595002</v>
      </c>
      <c r="AH6516">
        <v>49.284042720842102</v>
      </c>
      <c r="AI6516">
        <v>83.760031059942094</v>
      </c>
      <c r="AJ6516">
        <v>105.60562368495</v>
      </c>
      <c r="AK6516">
        <v>51.4753507633448</v>
      </c>
      <c r="AL6516">
        <v>75.139127649539105</v>
      </c>
      <c r="AM6516">
        <v>102.34121489944999</v>
      </c>
      <c r="AN6516">
        <v>1.0000000431924401</v>
      </c>
    </row>
    <row r="6517" spans="1:40" x14ac:dyDescent="0.25">
      <c r="A6517" t="str">
        <f>"20190304155801572"</f>
        <v>20190304155801572</v>
      </c>
      <c r="B6517" t="str">
        <f>"1551686281561438"</f>
        <v>1551686281561438</v>
      </c>
      <c r="C6517" t="s">
        <v>40</v>
      </c>
      <c r="D6517">
        <v>4.5751749999999998</v>
      </c>
      <c r="E6517">
        <v>0.47485359999999999</v>
      </c>
      <c r="F6517" t="s">
        <v>73</v>
      </c>
      <c r="G6517">
        <v>-169.244</v>
      </c>
      <c r="H6517">
        <v>6.7415719999999997</v>
      </c>
      <c r="I6517">
        <v>-48.573259999999998</v>
      </c>
      <c r="J6517">
        <v>-218.81559999999999</v>
      </c>
      <c r="K6517">
        <v>1.1114740000000001</v>
      </c>
      <c r="L6517">
        <v>-63.193660000000001</v>
      </c>
      <c r="M6517">
        <v>0.99983319999999998</v>
      </c>
      <c r="N6517">
        <v>-1.3885460000000001E-2</v>
      </c>
      <c r="O6517">
        <v>1.1876329999999999E-2</v>
      </c>
      <c r="P6517">
        <v>0.94464289999999995</v>
      </c>
      <c r="Q6517">
        <v>0.2444201</v>
      </c>
      <c r="R6517">
        <v>0.21888089999999999</v>
      </c>
      <c r="S6517">
        <v>2.8938290000000002</v>
      </c>
      <c r="T6517">
        <v>0.32781670000000002</v>
      </c>
      <c r="U6517">
        <v>0.85140990000000005</v>
      </c>
      <c r="V6517">
        <v>-0.20816480000000001</v>
      </c>
      <c r="W6517">
        <v>0.257129</v>
      </c>
      <c r="X6517">
        <v>0.94369069999999999</v>
      </c>
      <c r="Y6517">
        <v>-0.26954830000000002</v>
      </c>
      <c r="Z6517">
        <v>-1.1516749999999999E-2</v>
      </c>
      <c r="AA6517">
        <v>0.96291800000000005</v>
      </c>
      <c r="AB6517">
        <v>25</v>
      </c>
      <c r="AC6517">
        <v>49.571599999999897</v>
      </c>
      <c r="AD6517">
        <v>5.6300979999999896</v>
      </c>
      <c r="AE6517">
        <v>14.620399999999901</v>
      </c>
      <c r="AF6517">
        <v>-13.8660347528069</v>
      </c>
      <c r="AG6517">
        <v>5.6300979999999896</v>
      </c>
      <c r="AH6517">
        <v>49.158392817363598</v>
      </c>
      <c r="AI6517">
        <v>83.709759704302598</v>
      </c>
      <c r="AJ6517">
        <v>105.752088156619</v>
      </c>
      <c r="AK6517">
        <v>51.385917405860098</v>
      </c>
      <c r="AL6517">
        <v>75.100225227813198</v>
      </c>
      <c r="AM6517">
        <v>102.43943081319399</v>
      </c>
      <c r="AN6517">
        <v>1.0000000219332601</v>
      </c>
    </row>
    <row r="6518" spans="1:40" x14ac:dyDescent="0.25">
      <c r="A6518" t="str">
        <f>"20190304155801581"</f>
        <v>20190304155801581</v>
      </c>
      <c r="B6518" t="str">
        <f>"1551686281571197"</f>
        <v>1551686281571197</v>
      </c>
      <c r="C6518" t="s">
        <v>40</v>
      </c>
      <c r="D6518">
        <v>5.1315140000000001</v>
      </c>
      <c r="E6518">
        <v>0.474657</v>
      </c>
      <c r="F6518" t="s">
        <v>73</v>
      </c>
      <c r="G6518">
        <v>-169.244</v>
      </c>
      <c r="H6518">
        <v>6.7893889999999999</v>
      </c>
      <c r="I6518">
        <v>-48.465780000000002</v>
      </c>
      <c r="J6518">
        <v>-218.69059999999999</v>
      </c>
      <c r="K6518">
        <v>1.1114869999999999</v>
      </c>
      <c r="L6518">
        <v>-63.191470000000002</v>
      </c>
      <c r="M6518">
        <v>0.99982550000000003</v>
      </c>
      <c r="N6518">
        <v>-1.3884489999999999E-2</v>
      </c>
      <c r="O6518">
        <v>1.2506639999999999E-2</v>
      </c>
      <c r="P6518">
        <v>0.94400030000000001</v>
      </c>
      <c r="Q6518">
        <v>0.24494440000000001</v>
      </c>
      <c r="R6518">
        <v>0.22105630000000001</v>
      </c>
      <c r="S6518">
        <v>2.8910830000000001</v>
      </c>
      <c r="T6518">
        <v>0.33114159999999998</v>
      </c>
      <c r="U6518">
        <v>0.85894780000000004</v>
      </c>
      <c r="V6518">
        <v>-0.20975820000000001</v>
      </c>
      <c r="W6518">
        <v>0.25763770000000003</v>
      </c>
      <c r="X6518">
        <v>0.94319900000000001</v>
      </c>
      <c r="Y6518">
        <v>-0.27146239999999999</v>
      </c>
      <c r="Z6518">
        <v>-1.1675100000000001E-2</v>
      </c>
      <c r="AA6518">
        <v>0.96237830000000002</v>
      </c>
      <c r="AB6518">
        <v>25</v>
      </c>
      <c r="AC6518">
        <v>49.446599999999897</v>
      </c>
      <c r="AD6518">
        <v>5.6779019999999996</v>
      </c>
      <c r="AE6518">
        <v>14.725689999999901</v>
      </c>
      <c r="AF6518">
        <v>-13.937266321225501</v>
      </c>
      <c r="AG6518">
        <v>5.6779019999999996</v>
      </c>
      <c r="AH6518">
        <v>49.033054182549499</v>
      </c>
      <c r="AI6518">
        <v>83.644295187852904</v>
      </c>
      <c r="AJ6518">
        <v>105.867390305526</v>
      </c>
      <c r="AK6518">
        <v>51.290606996790402</v>
      </c>
      <c r="AL6518">
        <v>75.070062644171102</v>
      </c>
      <c r="AM6518">
        <v>102.53797806195399</v>
      </c>
      <c r="AN6518">
        <v>1.0000000202647601</v>
      </c>
    </row>
    <row r="6519" spans="1:40" x14ac:dyDescent="0.25">
      <c r="A6519" t="str">
        <f>"20190304155801593"</f>
        <v>20190304155801593</v>
      </c>
      <c r="B6519" t="str">
        <f>"1551686281590717"</f>
        <v>1551686281590717</v>
      </c>
      <c r="C6519" t="s">
        <v>40</v>
      </c>
      <c r="D6519">
        <v>5.0158399999999999</v>
      </c>
      <c r="E6519">
        <v>0.47510869999999999</v>
      </c>
      <c r="F6519" t="s">
        <v>73</v>
      </c>
      <c r="G6519">
        <v>-169.244</v>
      </c>
      <c r="H6519">
        <v>6.7883579999999997</v>
      </c>
      <c r="I6519">
        <v>-48.349490000000003</v>
      </c>
      <c r="J6519">
        <v>-218.57040000000001</v>
      </c>
      <c r="K6519">
        <v>1.111499</v>
      </c>
      <c r="L6519">
        <v>-63.189329999999998</v>
      </c>
      <c r="M6519">
        <v>0.99981770000000003</v>
      </c>
      <c r="N6519">
        <v>-1.388354E-2</v>
      </c>
      <c r="O6519">
        <v>1.311609E-2</v>
      </c>
      <c r="P6519">
        <v>0.94328679999999998</v>
      </c>
      <c r="Q6519">
        <v>0.24550530000000001</v>
      </c>
      <c r="R6519">
        <v>0.22346640000000001</v>
      </c>
      <c r="S6519">
        <v>2.8888699999999998</v>
      </c>
      <c r="T6519">
        <v>0.33166420000000002</v>
      </c>
      <c r="U6519">
        <v>0.86712649999999902</v>
      </c>
      <c r="V6519">
        <v>-0.21160680000000001</v>
      </c>
      <c r="W6519">
        <v>0.25818180000000002</v>
      </c>
      <c r="X6519">
        <v>0.94263710000000001</v>
      </c>
      <c r="Y6519">
        <v>-0.27356639999999999</v>
      </c>
      <c r="Z6519">
        <v>-1.172718E-2</v>
      </c>
      <c r="AA6519">
        <v>0.96178160000000001</v>
      </c>
      <c r="AB6519">
        <v>25</v>
      </c>
      <c r="AC6519">
        <v>49.3263999999999</v>
      </c>
      <c r="AD6519">
        <v>5.6768589999999897</v>
      </c>
      <c r="AE6519">
        <v>14.839840000000001</v>
      </c>
      <c r="AF6519">
        <v>-14.0212318391004</v>
      </c>
      <c r="AG6519">
        <v>5.6768589999999897</v>
      </c>
      <c r="AH6519">
        <v>48.9226094924148</v>
      </c>
      <c r="AI6519">
        <v>83.635154906906294</v>
      </c>
      <c r="AJ6519">
        <v>105.99231553432899</v>
      </c>
      <c r="AK6519">
        <v>51.207845003856598</v>
      </c>
      <c r="AL6519">
        <v>75.037795963776702</v>
      </c>
      <c r="AM6519">
        <v>102.65223185879</v>
      </c>
      <c r="AN6519">
        <v>0.99999999097694503</v>
      </c>
    </row>
    <row r="6520" spans="1:40" x14ac:dyDescent="0.25">
      <c r="A6520" t="str">
        <f>"20190304155801604"</f>
        <v>20190304155801604</v>
      </c>
      <c r="B6520" t="str">
        <f>"1551686281601454"</f>
        <v>1551686281601454</v>
      </c>
      <c r="C6520" t="s">
        <v>40</v>
      </c>
      <c r="D6520">
        <v>4.4603279999999996</v>
      </c>
      <c r="E6520">
        <v>0.47510869999999999</v>
      </c>
      <c r="F6520" t="s">
        <v>73</v>
      </c>
      <c r="G6520">
        <v>-169.244</v>
      </c>
      <c r="H6520">
        <v>6.8038429999999996</v>
      </c>
      <c r="I6520">
        <v>-48.309750000000001</v>
      </c>
      <c r="J6520">
        <v>-218.44470000000001</v>
      </c>
      <c r="K6520">
        <v>1.111513</v>
      </c>
      <c r="L6520">
        <v>-63.186950000000003</v>
      </c>
      <c r="M6520">
        <v>0.99980910000000001</v>
      </c>
      <c r="N6520">
        <v>-1.3882520000000001E-2</v>
      </c>
      <c r="O6520">
        <v>1.3762430000000001E-2</v>
      </c>
      <c r="P6520">
        <v>0.94255520000000004</v>
      </c>
      <c r="Q6520">
        <v>0.24621709999999999</v>
      </c>
      <c r="R6520">
        <v>0.22575890000000001</v>
      </c>
      <c r="S6520">
        <v>2.8873139999999999</v>
      </c>
      <c r="T6520">
        <v>0.33319840000000001</v>
      </c>
      <c r="U6520">
        <v>0.87097169999999902</v>
      </c>
      <c r="V6520">
        <v>-0.21330440000000001</v>
      </c>
      <c r="W6520">
        <v>0.25887640000000001</v>
      </c>
      <c r="X6520">
        <v>0.94206380000000001</v>
      </c>
      <c r="Y6520">
        <v>-0.27424910000000002</v>
      </c>
      <c r="Z6520">
        <v>-1.174731E-2</v>
      </c>
      <c r="AA6520">
        <v>0.96158699999999997</v>
      </c>
      <c r="AB6520">
        <v>25</v>
      </c>
      <c r="AC6520">
        <v>49.200699999999898</v>
      </c>
      <c r="AD6520">
        <v>5.6923300000000001</v>
      </c>
      <c r="AE6520">
        <v>14.8772</v>
      </c>
      <c r="AF6520">
        <v>-14.0265790557979</v>
      </c>
      <c r="AG6520">
        <v>5.6923300000000001</v>
      </c>
      <c r="AH6520">
        <v>48.802282519738597</v>
      </c>
      <c r="AI6520">
        <v>83.603719634250794</v>
      </c>
      <c r="AJ6520">
        <v>106.035521901862</v>
      </c>
      <c r="AK6520">
        <v>51.096089086874699</v>
      </c>
      <c r="AL6520">
        <v>74.996597554090499</v>
      </c>
      <c r="AM6520">
        <v>102.75793342428</v>
      </c>
      <c r="AN6520">
        <v>0.99999998040337901</v>
      </c>
    </row>
    <row r="6521" spans="1:40" x14ac:dyDescent="0.25">
      <c r="A6521" t="str">
        <f>"20190304155801616"</f>
        <v>20190304155801616</v>
      </c>
      <c r="B6521" t="str">
        <f>"1551686281611213"</f>
        <v>1551686281611213</v>
      </c>
      <c r="C6521" t="s">
        <v>40</v>
      </c>
      <c r="D6521">
        <v>4.4118190000000004</v>
      </c>
      <c r="E6521">
        <v>0.47620699999999999</v>
      </c>
      <c r="F6521" t="s">
        <v>73</v>
      </c>
      <c r="G6521">
        <v>-169.244</v>
      </c>
      <c r="H6521">
        <v>6.8315539999999997</v>
      </c>
      <c r="I6521">
        <v>-48.21163</v>
      </c>
      <c r="J6521">
        <v>-218.3186</v>
      </c>
      <c r="K6521">
        <v>1.1115250000000001</v>
      </c>
      <c r="L6521">
        <v>-63.184510000000003</v>
      </c>
      <c r="M6521">
        <v>0.99979969999999996</v>
      </c>
      <c r="N6521">
        <v>-1.388152E-2</v>
      </c>
      <c r="O6521">
        <v>1.441716E-2</v>
      </c>
      <c r="P6521">
        <v>0.94171289999999996</v>
      </c>
      <c r="Q6521">
        <v>0.24705589999999999</v>
      </c>
      <c r="R6521">
        <v>0.22834209999999999</v>
      </c>
      <c r="S6521">
        <v>2.884903</v>
      </c>
      <c r="T6521">
        <v>0.3353952</v>
      </c>
      <c r="U6521">
        <v>0.87808229999999998</v>
      </c>
      <c r="V6521">
        <v>-0.2152876</v>
      </c>
      <c r="W6521">
        <v>0.25969619999999999</v>
      </c>
      <c r="X6521">
        <v>0.94138679999999997</v>
      </c>
      <c r="Y6521">
        <v>-0.27598739999999999</v>
      </c>
      <c r="Z6521">
        <v>-1.1847140000000001E-2</v>
      </c>
      <c r="AA6521">
        <v>0.96108819999999995</v>
      </c>
      <c r="AB6521">
        <v>25</v>
      </c>
      <c r="AC6521">
        <v>49.074599999999897</v>
      </c>
      <c r="AD6521">
        <v>5.7200289999999896</v>
      </c>
      <c r="AE6521">
        <v>14.9728799999999</v>
      </c>
      <c r="AF6521">
        <v>-14.0886348467196</v>
      </c>
      <c r="AG6521">
        <v>5.7200289999999896</v>
      </c>
      <c r="AH6521">
        <v>48.680349803164297</v>
      </c>
      <c r="AI6521">
        <v>83.560284101777498</v>
      </c>
      <c r="AJ6521">
        <v>106.141031525817</v>
      </c>
      <c r="AK6521">
        <v>50.9998511817778</v>
      </c>
      <c r="AL6521">
        <v>74.947963304363299</v>
      </c>
      <c r="AM6521">
        <v>102.881564882704</v>
      </c>
      <c r="AN6521">
        <v>0.99999998711121896</v>
      </c>
    </row>
    <row r="6522" spans="1:40" x14ac:dyDescent="0.25">
      <c r="A6522" t="str">
        <f>"20190304155801627"</f>
        <v>20190304155801627</v>
      </c>
      <c r="B6522" t="str">
        <f>"1551686281620974"</f>
        <v>1551686281620974</v>
      </c>
      <c r="C6522" t="s">
        <v>40</v>
      </c>
      <c r="D6522">
        <v>4.4320849999999998</v>
      </c>
      <c r="E6522">
        <v>0.47620699999999999</v>
      </c>
      <c r="F6522" t="s">
        <v>73</v>
      </c>
      <c r="G6522">
        <v>-169.244</v>
      </c>
      <c r="H6522">
        <v>6.6968170000000002</v>
      </c>
      <c r="I6522">
        <v>-48.262340000000002</v>
      </c>
      <c r="J6522">
        <v>-218.19040000000001</v>
      </c>
      <c r="K6522">
        <v>1.111534</v>
      </c>
      <c r="L6522">
        <v>-63.181919999999998</v>
      </c>
      <c r="M6522">
        <v>0.99978979999999995</v>
      </c>
      <c r="N6522">
        <v>-1.38805E-2</v>
      </c>
      <c r="O6522">
        <v>1.508865E-2</v>
      </c>
      <c r="P6522">
        <v>0.94089089999999997</v>
      </c>
      <c r="Q6522">
        <v>0.24785579999999999</v>
      </c>
      <c r="R6522">
        <v>0.23085059999999999</v>
      </c>
      <c r="S6522">
        <v>2.8866580000000002</v>
      </c>
      <c r="T6522">
        <v>0.32853500000000002</v>
      </c>
      <c r="U6522">
        <v>0.87774660000000004</v>
      </c>
      <c r="V6522">
        <v>-0.21718029999999999</v>
      </c>
      <c r="W6522">
        <v>0.26047799999999999</v>
      </c>
      <c r="X6522">
        <v>0.94073589999999996</v>
      </c>
      <c r="Y6522">
        <v>-0.275148</v>
      </c>
      <c r="Z6522">
        <v>-1.143102E-2</v>
      </c>
      <c r="AA6522">
        <v>0.96133389999999996</v>
      </c>
      <c r="AB6522">
        <v>25</v>
      </c>
      <c r="AC6522">
        <v>48.946399999999898</v>
      </c>
      <c r="AD6522">
        <v>5.5852830000000004</v>
      </c>
      <c r="AE6522">
        <v>14.9195799999999</v>
      </c>
      <c r="AF6522">
        <v>-14.012329730741</v>
      </c>
      <c r="AG6522">
        <v>5.5852830000000004</v>
      </c>
      <c r="AH6522">
        <v>48.587090180641098</v>
      </c>
      <c r="AI6522">
        <v>83.697086936297296</v>
      </c>
      <c r="AJ6522">
        <v>106.087357584603</v>
      </c>
      <c r="AK6522">
        <v>50.874808136196897</v>
      </c>
      <c r="AL6522">
        <v>74.901573953787903</v>
      </c>
      <c r="AM6522">
        <v>102.99967066356599</v>
      </c>
      <c r="AN6522">
        <v>1.00000005237044</v>
      </c>
    </row>
    <row r="6523" spans="1:40" x14ac:dyDescent="0.25">
      <c r="A6523" t="str">
        <f>"20190304155801639"</f>
        <v>20190304155801639</v>
      </c>
      <c r="B6523" t="str">
        <f>"1551686281630733"</f>
        <v>1551686281630733</v>
      </c>
      <c r="C6523" t="s">
        <v>40</v>
      </c>
      <c r="D6523">
        <v>4.4434290000000001</v>
      </c>
      <c r="E6523">
        <v>0.47084559999999998</v>
      </c>
      <c r="F6523" t="s">
        <v>73</v>
      </c>
      <c r="G6523">
        <v>-169.244</v>
      </c>
      <c r="H6523">
        <v>6.7294489999999998</v>
      </c>
      <c r="I6523">
        <v>-48.154069999999997</v>
      </c>
      <c r="J6523">
        <v>-218.05850000000001</v>
      </c>
      <c r="K6523">
        <v>1.11155</v>
      </c>
      <c r="L6523">
        <v>-63.179139999999997</v>
      </c>
      <c r="M6523">
        <v>0.99977899999999997</v>
      </c>
      <c r="N6523">
        <v>-1.387945E-2</v>
      </c>
      <c r="O6523">
        <v>1.579028E-2</v>
      </c>
      <c r="P6523">
        <v>0.94004829999999995</v>
      </c>
      <c r="Q6523">
        <v>0.2486468</v>
      </c>
      <c r="R6523">
        <v>0.23341809999999999</v>
      </c>
      <c r="S6523">
        <v>2.8840180000000002</v>
      </c>
      <c r="T6523">
        <v>0.3310167</v>
      </c>
      <c r="U6523">
        <v>0.88546749999999996</v>
      </c>
      <c r="V6523">
        <v>-0.2191053</v>
      </c>
      <c r="W6523">
        <v>0.26125039999999999</v>
      </c>
      <c r="X6523">
        <v>0.94007499999999999</v>
      </c>
      <c r="Y6523">
        <v>-0.27704469999999998</v>
      </c>
      <c r="Z6523">
        <v>-1.1543889999999999E-2</v>
      </c>
      <c r="AA6523">
        <v>0.96078770000000002</v>
      </c>
      <c r="AB6523">
        <v>25</v>
      </c>
      <c r="AC6523">
        <v>48.814499999999903</v>
      </c>
      <c r="AD6523">
        <v>5.6178989999999898</v>
      </c>
      <c r="AE6523">
        <v>15.025069999999999</v>
      </c>
      <c r="AF6523">
        <v>-14.081954075609699</v>
      </c>
      <c r="AG6523">
        <v>5.6178989999999898</v>
      </c>
      <c r="AH6523">
        <v>48.459389805560299</v>
      </c>
      <c r="AI6523">
        <v>83.6477078246876</v>
      </c>
      <c r="AJ6523">
        <v>106.203488818186</v>
      </c>
      <c r="AK6523">
        <v>50.775729242316402</v>
      </c>
      <c r="AL6523">
        <v>74.855729907318803</v>
      </c>
      <c r="AM6523">
        <v>103.119829379091</v>
      </c>
      <c r="AN6523">
        <v>0.99999995480662396</v>
      </c>
    </row>
    <row r="6524" spans="1:40" x14ac:dyDescent="0.25">
      <c r="A6524" t="str">
        <f>"20190304155801651"</f>
        <v>20190304155801651</v>
      </c>
      <c r="B6524" t="str">
        <f>"1551686281641470"</f>
        <v>1551686281641470</v>
      </c>
      <c r="C6524" t="s">
        <v>40</v>
      </c>
      <c r="D6524">
        <v>4.4412659999999997</v>
      </c>
      <c r="E6524">
        <v>0.4714699</v>
      </c>
      <c r="F6524" t="s">
        <v>84</v>
      </c>
      <c r="G6524">
        <v>-181.11439999999999</v>
      </c>
      <c r="H6524" s="1">
        <v>-1.182879E-5</v>
      </c>
      <c r="I6524">
        <v>-51.475630000000002</v>
      </c>
      <c r="J6524">
        <v>-217.93790000000001</v>
      </c>
      <c r="K6524">
        <v>1.1115600000000001</v>
      </c>
      <c r="L6524">
        <v>-63.176540000000003</v>
      </c>
      <c r="M6524">
        <v>0.99976880000000001</v>
      </c>
      <c r="N6524">
        <v>-1.387848E-2</v>
      </c>
      <c r="O6524">
        <v>1.643433E-2</v>
      </c>
      <c r="P6524">
        <v>0.93911809999999996</v>
      </c>
      <c r="Q6524">
        <v>0.2493138</v>
      </c>
      <c r="R6524">
        <v>0.23643220000000001</v>
      </c>
      <c r="S6524">
        <v>2.9805760000000001</v>
      </c>
      <c r="T6524">
        <v>-8.967841E-2</v>
      </c>
      <c r="U6524">
        <v>0.94421390000000005</v>
      </c>
      <c r="V6524">
        <v>-0.22153200000000001</v>
      </c>
      <c r="W6524">
        <v>0.26189699999999999</v>
      </c>
      <c r="X6524">
        <v>0.93932610000000005</v>
      </c>
      <c r="Y6524">
        <v>-0.28611389999999998</v>
      </c>
      <c r="Z6524">
        <v>5.9746069999999998E-3</v>
      </c>
      <c r="AA6524">
        <v>0.95817699999999995</v>
      </c>
      <c r="AB6524">
        <v>25</v>
      </c>
      <c r="AC6524">
        <v>36.823500000000003</v>
      </c>
      <c r="AD6524">
        <v>-1.1115718287899901</v>
      </c>
      <c r="AE6524">
        <v>11.70091</v>
      </c>
      <c r="AF6524">
        <v>-11.0849272186018</v>
      </c>
      <c r="AG6524">
        <v>-1.1115718287899901</v>
      </c>
      <c r="AH6524">
        <v>36.980234130242103</v>
      </c>
      <c r="AI6524">
        <v>91.649251282825105</v>
      </c>
      <c r="AJ6524">
        <v>106.68624715625501</v>
      </c>
      <c r="AK6524">
        <v>38.621871002060303</v>
      </c>
      <c r="AL6524">
        <v>74.8173466703673</v>
      </c>
      <c r="AM6524">
        <v>103.27022931319</v>
      </c>
      <c r="AN6524">
        <v>0.99999999388710503</v>
      </c>
    </row>
    <row r="6525" spans="1:40" x14ac:dyDescent="0.25">
      <c r="A6525" t="str">
        <f>"20190304155801661"</f>
        <v>20190304155801661</v>
      </c>
      <c r="B6525" t="str">
        <f>"1551686281651229"</f>
        <v>1551686281651229</v>
      </c>
      <c r="C6525" t="s">
        <v>40</v>
      </c>
      <c r="D6525">
        <v>4.4032049999999998</v>
      </c>
      <c r="E6525">
        <v>0.4714699</v>
      </c>
      <c r="F6525" t="s">
        <v>84</v>
      </c>
      <c r="G6525">
        <v>-179.95779999999999</v>
      </c>
      <c r="H6525">
        <v>2.036661E-2</v>
      </c>
      <c r="I6525">
        <v>-51.073990000000002</v>
      </c>
      <c r="J6525">
        <v>-217.8124</v>
      </c>
      <c r="K6525">
        <v>1.1115699999999999</v>
      </c>
      <c r="L6525">
        <v>-63.173740000000002</v>
      </c>
      <c r="M6525">
        <v>0.99975720000000001</v>
      </c>
      <c r="N6525">
        <v>-1.3877459999999999E-2</v>
      </c>
      <c r="O6525">
        <v>1.7115749999999999E-2</v>
      </c>
      <c r="P6525">
        <v>0.938249</v>
      </c>
      <c r="Q6525">
        <v>0.24976039999999999</v>
      </c>
      <c r="R6525">
        <v>0.23939240000000001</v>
      </c>
      <c r="S6525">
        <v>2.978256</v>
      </c>
      <c r="T6525">
        <v>-8.5567240000000003E-2</v>
      </c>
      <c r="U6525">
        <v>0.94903559999999998</v>
      </c>
      <c r="V6525">
        <v>-0.22386929999999999</v>
      </c>
      <c r="W6525">
        <v>0.262324</v>
      </c>
      <c r="X6525">
        <v>0.93865259999999995</v>
      </c>
      <c r="Y6525">
        <v>-0.28709679999999999</v>
      </c>
      <c r="Z6525">
        <v>5.8171949999999998E-3</v>
      </c>
      <c r="AA6525">
        <v>0.95788390000000001</v>
      </c>
      <c r="AB6525">
        <v>25</v>
      </c>
      <c r="AC6525">
        <v>37.854599999999998</v>
      </c>
      <c r="AD6525">
        <v>-1.09120339</v>
      </c>
      <c r="AE6525">
        <v>12.09975</v>
      </c>
      <c r="AF6525">
        <v>-11.441379050534801</v>
      </c>
      <c r="AG6525">
        <v>-1.09120339</v>
      </c>
      <c r="AH6525">
        <v>38.027500278127199</v>
      </c>
      <c r="AI6525">
        <v>91.573996572056501</v>
      </c>
      <c r="AJ6525">
        <v>106.74502700118801</v>
      </c>
      <c r="AK6525">
        <v>39.726397481011603</v>
      </c>
      <c r="AL6525">
        <v>74.791995493107905</v>
      </c>
      <c r="AM6525">
        <v>103.41448056364</v>
      </c>
      <c r="AN6525">
        <v>1.0000000239726199</v>
      </c>
    </row>
    <row r="6526" spans="1:40" x14ac:dyDescent="0.25">
      <c r="A6526" t="str">
        <f>"20190304155801672"</f>
        <v>20190304155801672</v>
      </c>
      <c r="B6526" t="str">
        <f>"1551686281660990"</f>
        <v>1551686281660990</v>
      </c>
      <c r="C6526" t="s">
        <v>40</v>
      </c>
      <c r="D6526">
        <v>4.4035129999999896</v>
      </c>
      <c r="E6526">
        <v>0.47417720000000002</v>
      </c>
      <c r="F6526" t="s">
        <v>84</v>
      </c>
      <c r="G6526">
        <v>-179.95779999999999</v>
      </c>
      <c r="H6526">
        <v>3.9485069999999997E-2</v>
      </c>
      <c r="I6526">
        <v>-50.986800000000002</v>
      </c>
      <c r="J6526">
        <v>-217.69489999999999</v>
      </c>
      <c r="K6526">
        <v>1.1115759999999999</v>
      </c>
      <c r="L6526">
        <v>-63.171019999999999</v>
      </c>
      <c r="M6526">
        <v>0.99974620000000003</v>
      </c>
      <c r="N6526">
        <v>-1.387648E-2</v>
      </c>
      <c r="O6526">
        <v>1.7756500000000001E-2</v>
      </c>
      <c r="P6526">
        <v>0.93727990000000005</v>
      </c>
      <c r="Q6526">
        <v>0.25016969999999999</v>
      </c>
      <c r="R6526">
        <v>0.24273810000000001</v>
      </c>
      <c r="S6526">
        <v>2.9754489999999998</v>
      </c>
      <c r="T6526">
        <v>-8.4267850000000005E-2</v>
      </c>
      <c r="U6526">
        <v>0.95791630000000005</v>
      </c>
      <c r="V6526">
        <v>-0.2266328</v>
      </c>
      <c r="W6526">
        <v>0.26271280000000002</v>
      </c>
      <c r="X6526">
        <v>0.9378803</v>
      </c>
      <c r="Y6526">
        <v>-0.28933890000000001</v>
      </c>
      <c r="Z6526">
        <v>5.8035689999999997E-3</v>
      </c>
      <c r="AA6526">
        <v>0.95720910000000003</v>
      </c>
      <c r="AB6526">
        <v>25</v>
      </c>
      <c r="AC6526">
        <v>37.737099999999998</v>
      </c>
      <c r="AD6526">
        <v>-1.0720909300000001</v>
      </c>
      <c r="AE6526">
        <v>12.1842199999999</v>
      </c>
      <c r="AF6526">
        <v>-11.5037473063859</v>
      </c>
      <c r="AG6526">
        <v>-1.0720909300000001</v>
      </c>
      <c r="AH6526">
        <v>37.919803417326897</v>
      </c>
      <c r="AI6526">
        <v>91.549759266656494</v>
      </c>
      <c r="AJ6526">
        <v>106.876246240846</v>
      </c>
      <c r="AK6526">
        <v>39.6408510536805</v>
      </c>
      <c r="AL6526">
        <v>74.768908022037905</v>
      </c>
      <c r="AM6526">
        <v>103.584744118586</v>
      </c>
      <c r="AN6526">
        <v>0.99999994922388302</v>
      </c>
    </row>
    <row r="6527" spans="1:40" x14ac:dyDescent="0.25">
      <c r="A6527" t="str">
        <f>"20190304155801683"</f>
        <v>20190304155801683</v>
      </c>
      <c r="B6527" t="str">
        <f>"1551686281681486"</f>
        <v>1551686281681486</v>
      </c>
      <c r="C6527" t="s">
        <v>40</v>
      </c>
      <c r="D6527">
        <v>3.9945759999999999</v>
      </c>
      <c r="E6527">
        <v>0.47160089999999999</v>
      </c>
      <c r="F6527" t="s">
        <v>44</v>
      </c>
      <c r="G6527">
        <v>-169.1875</v>
      </c>
      <c r="H6527">
        <v>-0.05</v>
      </c>
      <c r="I6527">
        <v>-47.729480000000002</v>
      </c>
      <c r="J6527">
        <v>-217.56979999999999</v>
      </c>
      <c r="K6527">
        <v>1.111583</v>
      </c>
      <c r="L6527">
        <v>-63.168030000000002</v>
      </c>
      <c r="M6527">
        <v>0.9997336</v>
      </c>
      <c r="N6527">
        <v>-1.3875419999999999E-2</v>
      </c>
      <c r="O6527">
        <v>1.844583E-2</v>
      </c>
      <c r="P6527">
        <v>0.9363804</v>
      </c>
      <c r="Q6527">
        <v>0.25031599999999998</v>
      </c>
      <c r="R6527">
        <v>0.24603539999999999</v>
      </c>
      <c r="S6527">
        <v>2.974548</v>
      </c>
      <c r="T6527">
        <v>-7.1229700000000007E-2</v>
      </c>
      <c r="U6527">
        <v>0.94689939999999995</v>
      </c>
      <c r="V6527">
        <v>-0.22930120000000001</v>
      </c>
      <c r="W6527">
        <v>0.26283889999999999</v>
      </c>
      <c r="X6527">
        <v>0.93719620000000003</v>
      </c>
      <c r="Y6527">
        <v>-0.28558480000000003</v>
      </c>
      <c r="Z6527">
        <v>5.1853450000000001E-3</v>
      </c>
      <c r="AA6527">
        <v>0.95833950000000001</v>
      </c>
      <c r="AB6527">
        <v>25</v>
      </c>
      <c r="AC6527">
        <v>48.382300000000001</v>
      </c>
      <c r="AD6527">
        <v>-1.161583</v>
      </c>
      <c r="AE6527">
        <v>15.438549999999999</v>
      </c>
      <c r="AF6527">
        <v>-14.5357809970759</v>
      </c>
      <c r="AG6527">
        <v>-1.161583</v>
      </c>
      <c r="AH6527">
        <v>48.6334289985856</v>
      </c>
      <c r="AI6527">
        <v>91.310937743681706</v>
      </c>
      <c r="AJ6527">
        <v>106.640593184095</v>
      </c>
      <c r="AK6527">
        <v>50.772518358077399</v>
      </c>
      <c r="AL6527">
        <v>74.761421010393903</v>
      </c>
      <c r="AM6527">
        <v>103.74831273833399</v>
      </c>
      <c r="AN6527">
        <v>1.00000002248454</v>
      </c>
    </row>
    <row r="6528" spans="1:40" x14ac:dyDescent="0.25">
      <c r="A6528" t="str">
        <f>"20190304155801695"</f>
        <v>20190304155801695</v>
      </c>
      <c r="B6528" t="str">
        <f>"1551686281691245"</f>
        <v>1551686281691245</v>
      </c>
      <c r="C6528" t="s">
        <v>40</v>
      </c>
      <c r="D6528">
        <v>4.5629780000000002</v>
      </c>
      <c r="E6528">
        <v>0.47160089999999999</v>
      </c>
      <c r="F6528" t="s">
        <v>73</v>
      </c>
      <c r="G6528">
        <v>-157.3501</v>
      </c>
      <c r="H6528">
        <v>1.3492440000000001</v>
      </c>
      <c r="I6528">
        <v>-43.229889999999997</v>
      </c>
      <c r="J6528">
        <v>-217.4469</v>
      </c>
      <c r="K6528">
        <v>1.1115870000000001</v>
      </c>
      <c r="L6528">
        <v>-63.165010000000002</v>
      </c>
      <c r="M6528">
        <v>0.99972099999999997</v>
      </c>
      <c r="N6528">
        <v>-1.387392E-2</v>
      </c>
      <c r="O6528">
        <v>1.9126870000000001E-2</v>
      </c>
      <c r="P6528">
        <v>0.93541839999999998</v>
      </c>
      <c r="Q6528">
        <v>0.25032520000000003</v>
      </c>
      <c r="R6528">
        <v>0.24965989999999999</v>
      </c>
      <c r="S6528">
        <v>2.9445649999999999</v>
      </c>
      <c r="T6528">
        <v>1.1619930000000001E-2</v>
      </c>
      <c r="U6528">
        <v>0.97491459999999996</v>
      </c>
      <c r="V6528">
        <v>-0.23230619999999999</v>
      </c>
      <c r="W6528">
        <v>0.26282699999999998</v>
      </c>
      <c r="X6528">
        <v>0.93645919999999905</v>
      </c>
      <c r="Y6528">
        <v>-0.29610110000000001</v>
      </c>
      <c r="Z6528">
        <v>1.870629E-3</v>
      </c>
      <c r="AA6528">
        <v>0.95515479999999997</v>
      </c>
      <c r="AB6528">
        <v>25</v>
      </c>
      <c r="AC6528">
        <v>60.096800000000002</v>
      </c>
      <c r="AD6528">
        <v>0.23765700000000001</v>
      </c>
      <c r="AE6528">
        <v>19.935119999999898</v>
      </c>
      <c r="AF6528">
        <v>-18.781633764610898</v>
      </c>
      <c r="AG6528">
        <v>0.23765700000000001</v>
      </c>
      <c r="AH6528">
        <v>60.4662852627334</v>
      </c>
      <c r="AI6528">
        <v>89.784941094280001</v>
      </c>
      <c r="AJ6528">
        <v>107.25549046766599</v>
      </c>
      <c r="AK6528">
        <v>63.316489962661997</v>
      </c>
      <c r="AL6528">
        <v>74.762127603614999</v>
      </c>
      <c r="AM6528">
        <v>103.932049091208</v>
      </c>
      <c r="AN6528">
        <v>1.00000001787603</v>
      </c>
    </row>
    <row r="6529" spans="1:40" x14ac:dyDescent="0.25">
      <c r="A6529" t="str">
        <f>"20190304155801705"</f>
        <v>20190304155801705</v>
      </c>
      <c r="B6529" t="str">
        <f>"1551686281701006"</f>
        <v>1551686281701006</v>
      </c>
      <c r="C6529" t="s">
        <v>40</v>
      </c>
      <c r="D6529">
        <v>4.3779469999999998</v>
      </c>
      <c r="E6529">
        <v>0.4252533</v>
      </c>
      <c r="F6529" t="s">
        <v>73</v>
      </c>
      <c r="G6529">
        <v>-157.3501</v>
      </c>
      <c r="H6529">
        <v>1.347631</v>
      </c>
      <c r="I6529">
        <v>-43.015979999999999</v>
      </c>
      <c r="J6529">
        <v>-217.31909999999999</v>
      </c>
      <c r="K6529">
        <v>1.111591</v>
      </c>
      <c r="L6529">
        <v>-63.161769999999997</v>
      </c>
      <c r="M6529">
        <v>0.99970689999999995</v>
      </c>
      <c r="N6529">
        <v>-1.387177E-2</v>
      </c>
      <c r="O6529">
        <v>1.9841109999999999E-2</v>
      </c>
      <c r="P6529">
        <v>0.93453240000000004</v>
      </c>
      <c r="Q6529">
        <v>0.2496575</v>
      </c>
      <c r="R6529">
        <v>0.25361479999999997</v>
      </c>
      <c r="S6529">
        <v>2.940842</v>
      </c>
      <c r="T6529">
        <v>1.1549830000000001E-2</v>
      </c>
      <c r="U6529">
        <v>0.98599239999999999</v>
      </c>
      <c r="V6529">
        <v>-0.2356084</v>
      </c>
      <c r="W6529">
        <v>0.26213819999999999</v>
      </c>
      <c r="X6529">
        <v>0.93582699999999996</v>
      </c>
      <c r="Y6529">
        <v>-0.29901620000000001</v>
      </c>
      <c r="Z6529">
        <v>1.901645E-3</v>
      </c>
      <c r="AA6529">
        <v>0.95424620000000004</v>
      </c>
      <c r="AB6529">
        <v>25</v>
      </c>
      <c r="AC6529">
        <v>59.969000000000001</v>
      </c>
      <c r="AD6529">
        <v>0.23604</v>
      </c>
      <c r="AE6529">
        <v>20.145790000000002</v>
      </c>
      <c r="AF6529">
        <v>-18.951593590251999</v>
      </c>
      <c r="AG6529">
        <v>0.23604</v>
      </c>
      <c r="AH6529">
        <v>60.356105645391303</v>
      </c>
      <c r="AI6529">
        <v>89.786220298618304</v>
      </c>
      <c r="AJ6529">
        <v>107.432095403087</v>
      </c>
      <c r="AK6529">
        <v>63.2619799181888</v>
      </c>
      <c r="AL6529">
        <v>74.803026165017698</v>
      </c>
      <c r="AM6529">
        <v>104.13137739661801</v>
      </c>
      <c r="AN6529">
        <v>0.99999996398939905</v>
      </c>
    </row>
    <row r="6530" spans="1:40" x14ac:dyDescent="0.25">
      <c r="A6530" t="str">
        <f>"20190304155801717"</f>
        <v>20190304155801717</v>
      </c>
      <c r="B6530" t="str">
        <f>"1551686281710765"</f>
        <v>1551686281710765</v>
      </c>
      <c r="C6530" t="s">
        <v>40</v>
      </c>
      <c r="D6530">
        <v>4.2727899999999996</v>
      </c>
      <c r="E6530">
        <v>0.42711700000000002</v>
      </c>
      <c r="F6530" t="s">
        <v>73</v>
      </c>
      <c r="G6530">
        <v>-167.99870000000001</v>
      </c>
      <c r="H6530">
        <v>9.9697069999999997</v>
      </c>
      <c r="I6530">
        <v>-38.76773</v>
      </c>
      <c r="J6530">
        <v>-217.1943</v>
      </c>
      <c r="K6530">
        <v>1.1115950000000001</v>
      </c>
      <c r="L6530">
        <v>-63.15851</v>
      </c>
      <c r="M6530">
        <v>0.9996929</v>
      </c>
      <c r="N6530">
        <v>-1.3869050000000001E-2</v>
      </c>
      <c r="O6530">
        <v>2.0544030000000001E-2</v>
      </c>
      <c r="P6530">
        <v>0.93357579999999996</v>
      </c>
      <c r="Q6530">
        <v>0.24911359999999999</v>
      </c>
      <c r="R6530">
        <v>0.25764039999999999</v>
      </c>
      <c r="S6530">
        <v>2.715408</v>
      </c>
      <c r="T6530">
        <v>0.48769489999999999</v>
      </c>
      <c r="U6530">
        <v>1.343048</v>
      </c>
      <c r="V6530">
        <v>-0.23899400000000001</v>
      </c>
      <c r="W6530">
        <v>0.2615712</v>
      </c>
      <c r="X6530">
        <v>0.93512689999999998</v>
      </c>
      <c r="Y6530">
        <v>-0.42023300000000002</v>
      </c>
      <c r="Z6530">
        <v>-2.8616010000000001E-2</v>
      </c>
      <c r="AA6530">
        <v>0.90696489999999996</v>
      </c>
      <c r="AB6530">
        <v>25</v>
      </c>
      <c r="AC6530">
        <v>49.195599999999899</v>
      </c>
      <c r="AD6530">
        <v>8.8581120000000002</v>
      </c>
      <c r="AE6530">
        <v>24.390779999999999</v>
      </c>
      <c r="AF6530">
        <v>-22.781974685181801</v>
      </c>
      <c r="AG6530">
        <v>8.8581120000000002</v>
      </c>
      <c r="AH6530">
        <v>48.426095703951702</v>
      </c>
      <c r="AI6530">
        <v>80.601693652918499</v>
      </c>
      <c r="AJ6530">
        <v>115.194559500848</v>
      </c>
      <c r="AK6530">
        <v>54.245472289299002</v>
      </c>
      <c r="AL6530">
        <v>74.836687528010799</v>
      </c>
      <c r="AM6530">
        <v>104.336420381332</v>
      </c>
      <c r="AN6530">
        <v>0.99999997190452405</v>
      </c>
    </row>
    <row r="6531" spans="1:40" x14ac:dyDescent="0.25">
      <c r="A6531" t="str">
        <f>"20190304155801728"</f>
        <v>20190304155801728</v>
      </c>
      <c r="B6531" t="str">
        <f>"1551686281721501"</f>
        <v>1551686281721501</v>
      </c>
      <c r="C6531" t="s">
        <v>40</v>
      </c>
      <c r="D6531">
        <v>4.5780370000000001</v>
      </c>
      <c r="E6531">
        <v>0.41975109999999899</v>
      </c>
      <c r="F6531" t="s">
        <v>73</v>
      </c>
      <c r="G6531">
        <v>-169.244</v>
      </c>
      <c r="H6531">
        <v>7.0311719999999998</v>
      </c>
      <c r="I6531">
        <v>-39.744300000000003</v>
      </c>
      <c r="J6531">
        <v>-217.071</v>
      </c>
      <c r="K6531">
        <v>1.11159599999999</v>
      </c>
      <c r="L6531">
        <v>-63.155239999999999</v>
      </c>
      <c r="M6531">
        <v>0.99967819999999996</v>
      </c>
      <c r="N6531">
        <v>-1.3866059999999999E-2</v>
      </c>
      <c r="O6531">
        <v>2.124152E-2</v>
      </c>
      <c r="P6531">
        <v>0.93259309999999995</v>
      </c>
      <c r="Q6531">
        <v>0.24869379999999999</v>
      </c>
      <c r="R6531">
        <v>0.2615751</v>
      </c>
      <c r="S6531">
        <v>2.7519529999999999</v>
      </c>
      <c r="T6531">
        <v>0.33973320000000001</v>
      </c>
      <c r="U6531">
        <v>1.3437809999999999</v>
      </c>
      <c r="V6531">
        <v>-0.24229609999999999</v>
      </c>
      <c r="W6531">
        <v>0.26112790000000002</v>
      </c>
      <c r="X6531">
        <v>0.93440080000000003</v>
      </c>
      <c r="Y6531">
        <v>-0.41753810000000002</v>
      </c>
      <c r="Z6531">
        <v>-1.851129E-2</v>
      </c>
      <c r="AA6531">
        <v>0.90847089999999997</v>
      </c>
      <c r="AB6531">
        <v>25</v>
      </c>
      <c r="AC6531">
        <v>47.826999999999899</v>
      </c>
      <c r="AD6531">
        <v>5.9195760000000002</v>
      </c>
      <c r="AE6531">
        <v>23.41094</v>
      </c>
      <c r="AF6531">
        <v>-22.116324756172698</v>
      </c>
      <c r="AG6531">
        <v>5.9195760000000002</v>
      </c>
      <c r="AH6531">
        <v>47.723762594211202</v>
      </c>
      <c r="AI6531">
        <v>83.578898897068598</v>
      </c>
      <c r="AJ6531">
        <v>114.86412626791601</v>
      </c>
      <c r="AK6531">
        <v>52.931377432378497</v>
      </c>
      <c r="AL6531">
        <v>74.863002012616604</v>
      </c>
      <c r="AM6531">
        <v>104.536985467869</v>
      </c>
      <c r="AN6531">
        <v>1.00000001763713</v>
      </c>
    </row>
    <row r="6532" spans="1:40" x14ac:dyDescent="0.25">
      <c r="A6532" t="str">
        <f>"20190304155801740"</f>
        <v>20190304155801740</v>
      </c>
      <c r="B6532" t="str">
        <f>"1551686281731261"</f>
        <v>1551686281731261</v>
      </c>
      <c r="C6532" t="s">
        <v>40</v>
      </c>
      <c r="D6532">
        <v>4.5309220000000003</v>
      </c>
      <c r="E6532">
        <v>0.41537790000000002</v>
      </c>
      <c r="F6532" t="s">
        <v>73</v>
      </c>
      <c r="G6532">
        <v>-169.244</v>
      </c>
      <c r="H6532">
        <v>7.849723</v>
      </c>
      <c r="I6532">
        <v>-38.342280000000002</v>
      </c>
      <c r="J6532">
        <v>-216.95179999999999</v>
      </c>
      <c r="K6532">
        <v>1.1115950000000001</v>
      </c>
      <c r="L6532">
        <v>-63.151949999999999</v>
      </c>
      <c r="M6532">
        <v>0.99966359999999999</v>
      </c>
      <c r="N6532">
        <v>-1.386308E-2</v>
      </c>
      <c r="O6532">
        <v>2.1923749999999999E-2</v>
      </c>
      <c r="P6532">
        <v>0.93156669999999997</v>
      </c>
      <c r="Q6532">
        <v>0.2481651</v>
      </c>
      <c r="R6532">
        <v>0.26570250000000001</v>
      </c>
      <c r="S6532">
        <v>2.7190249999999998</v>
      </c>
      <c r="T6532">
        <v>0.38306889999999999</v>
      </c>
      <c r="U6532">
        <v>1.4106449999999999</v>
      </c>
      <c r="V6532">
        <v>-0.24580689999999999</v>
      </c>
      <c r="W6532">
        <v>0.26057459999999999</v>
      </c>
      <c r="X6532">
        <v>0.93363799999999997</v>
      </c>
      <c r="Y6532">
        <v>-0.43814779999999998</v>
      </c>
      <c r="Z6532">
        <v>-2.2505730000000002E-2</v>
      </c>
      <c r="AA6532">
        <v>0.89862120000000001</v>
      </c>
      <c r="AB6532">
        <v>25</v>
      </c>
      <c r="AC6532">
        <v>47.707799999999899</v>
      </c>
      <c r="AD6532">
        <v>6.7381279999999997</v>
      </c>
      <c r="AE6532">
        <v>24.809670000000001</v>
      </c>
      <c r="AF6532">
        <v>-23.390401886464499</v>
      </c>
      <c r="AG6532">
        <v>6.7381279999999997</v>
      </c>
      <c r="AH6532">
        <v>47.494558021691603</v>
      </c>
      <c r="AI6532">
        <v>82.746731901096595</v>
      </c>
      <c r="AJ6532">
        <v>116.219597747027</v>
      </c>
      <c r="AK6532">
        <v>53.368963930645499</v>
      </c>
      <c r="AL6532">
        <v>74.895840937525307</v>
      </c>
      <c r="AM6532">
        <v>104.75003030699099</v>
      </c>
      <c r="AN6532">
        <v>1.0000000346483799</v>
      </c>
    </row>
    <row r="6533" spans="1:40" x14ac:dyDescent="0.25">
      <c r="A6533" t="str">
        <f>"20190304155801751"</f>
        <v>20190304155801751</v>
      </c>
      <c r="B6533" t="str">
        <f>"1551686281741021"</f>
        <v>1551686281741021</v>
      </c>
      <c r="C6533" t="s">
        <v>40</v>
      </c>
      <c r="D6533">
        <v>3.9713630000000002</v>
      </c>
      <c r="E6533">
        <v>0.41171180000000002</v>
      </c>
      <c r="F6533" t="s">
        <v>73</v>
      </c>
      <c r="G6533">
        <v>-169.244</v>
      </c>
      <c r="H6533">
        <v>8.3133850000000002</v>
      </c>
      <c r="I6533">
        <v>-37.406289999999998</v>
      </c>
      <c r="J6533">
        <v>-216.8272</v>
      </c>
      <c r="K6533">
        <v>1.1115980000000001</v>
      </c>
      <c r="L6533">
        <v>-63.148409999999998</v>
      </c>
      <c r="M6533">
        <v>0.99964770000000003</v>
      </c>
      <c r="N6533">
        <v>-1.3859959999999999E-2</v>
      </c>
      <c r="O6533">
        <v>2.2639309999999999E-2</v>
      </c>
      <c r="P6533">
        <v>0.93057849999999998</v>
      </c>
      <c r="Q6533">
        <v>0.2475967</v>
      </c>
      <c r="R6533">
        <v>0.26966570000000001</v>
      </c>
      <c r="S6533">
        <v>2.6968380000000001</v>
      </c>
      <c r="T6533">
        <v>0.40710249999999998</v>
      </c>
      <c r="U6533">
        <v>1.4553529999999999</v>
      </c>
      <c r="V6533">
        <v>-0.2491227</v>
      </c>
      <c r="W6533">
        <v>0.25998260000000001</v>
      </c>
      <c r="X6533">
        <v>0.93292390000000003</v>
      </c>
      <c r="Y6533">
        <v>-0.4515863</v>
      </c>
      <c r="Z6533">
        <v>-2.494737E-2</v>
      </c>
      <c r="AA6533">
        <v>0.89187870000000002</v>
      </c>
      <c r="AB6533">
        <v>25</v>
      </c>
      <c r="AC6533">
        <v>47.583199999999898</v>
      </c>
      <c r="AD6533">
        <v>7.2017869999999897</v>
      </c>
      <c r="AE6533">
        <v>25.74212</v>
      </c>
      <c r="AF6533">
        <v>-24.228811307620099</v>
      </c>
      <c r="AG6533">
        <v>7.2017869999999897</v>
      </c>
      <c r="AH6533">
        <v>47.315372507418402</v>
      </c>
      <c r="AI6533">
        <v>82.284615689305099</v>
      </c>
      <c r="AJ6533">
        <v>117.11565137897399</v>
      </c>
      <c r="AK6533">
        <v>53.643690298947497</v>
      </c>
      <c r="AL6533">
        <v>74.930970886334606</v>
      </c>
      <c r="AM6533">
        <v>104.95108189965499</v>
      </c>
      <c r="AN6533">
        <v>1.0000000375746201</v>
      </c>
    </row>
    <row r="6534" spans="1:40" x14ac:dyDescent="0.25">
      <c r="A6534" t="str">
        <f>"20190304155801762"</f>
        <v>20190304155801762</v>
      </c>
      <c r="B6534" t="str">
        <f>"1551686281750782"</f>
        <v>1551686281750782</v>
      </c>
      <c r="C6534" t="s">
        <v>40</v>
      </c>
      <c r="D6534">
        <v>4.3463370000000001</v>
      </c>
      <c r="E6534">
        <v>0.41045540000000003</v>
      </c>
      <c r="F6534" t="s">
        <v>98</v>
      </c>
      <c r="G6534">
        <v>-144.2465</v>
      </c>
      <c r="H6534">
        <v>12.629149999999999</v>
      </c>
      <c r="I6534">
        <v>-22.65</v>
      </c>
      <c r="J6534">
        <v>-216.70070000000001</v>
      </c>
      <c r="K6534">
        <v>1.111602</v>
      </c>
      <c r="L6534">
        <v>-63.144739999999999</v>
      </c>
      <c r="M6534">
        <v>0.99963089999999999</v>
      </c>
      <c r="N6534">
        <v>-1.3857070000000001E-2</v>
      </c>
      <c r="O6534">
        <v>2.3377060000000002E-2</v>
      </c>
      <c r="P6534">
        <v>0.92974449999999997</v>
      </c>
      <c r="Q6534">
        <v>0.24650659999999999</v>
      </c>
      <c r="R6534">
        <v>0.27351439999999999</v>
      </c>
      <c r="S6534">
        <v>2.6777799999999998</v>
      </c>
      <c r="T6534">
        <v>0.42492619999999998</v>
      </c>
      <c r="U6534">
        <v>1.4941409999999999</v>
      </c>
      <c r="V6534">
        <v>-0.25230049999999998</v>
      </c>
      <c r="W6534">
        <v>0.2588705</v>
      </c>
      <c r="X6534">
        <v>0.93237899999999996</v>
      </c>
      <c r="Y6534">
        <v>-0.46303490000000003</v>
      </c>
      <c r="Z6534">
        <v>-2.6903699999999999E-2</v>
      </c>
      <c r="AA6534">
        <v>0.88593169999999899</v>
      </c>
      <c r="AB6534">
        <v>25</v>
      </c>
      <c r="AC6534">
        <v>72.4542</v>
      </c>
      <c r="AD6534">
        <v>11.517548</v>
      </c>
      <c r="AE6534">
        <v>40.49474</v>
      </c>
      <c r="AF6534">
        <v>-38.056968010892597</v>
      </c>
      <c r="AG6534">
        <v>11.517548</v>
      </c>
      <c r="AH6534">
        <v>71.9948953848033</v>
      </c>
      <c r="AI6534">
        <v>81.949875514826203</v>
      </c>
      <c r="AJ6534">
        <v>117.86122027224501</v>
      </c>
      <c r="AK6534">
        <v>82.245070901441693</v>
      </c>
      <c r="AL6534">
        <v>74.996948426992205</v>
      </c>
      <c r="AM6534">
        <v>105.14153991756</v>
      </c>
      <c r="AN6534">
        <v>1.00000003885574</v>
      </c>
    </row>
    <row r="6535" spans="1:40" x14ac:dyDescent="0.25">
      <c r="A6535" t="str">
        <f>"20190304155801773"</f>
        <v>20190304155801773</v>
      </c>
      <c r="B6535" t="str">
        <f>"1551686281771277"</f>
        <v>1551686281771277</v>
      </c>
      <c r="C6535" t="s">
        <v>40</v>
      </c>
      <c r="D6535">
        <v>4.0080640000000001</v>
      </c>
      <c r="E6535">
        <v>0.42764010000000002</v>
      </c>
      <c r="F6535" t="s">
        <v>98</v>
      </c>
      <c r="G6535">
        <v>-145.3732</v>
      </c>
      <c r="H6535">
        <v>12.57109</v>
      </c>
      <c r="I6535">
        <v>-22.650010000000002</v>
      </c>
      <c r="J6535">
        <v>-216.58430000000001</v>
      </c>
      <c r="K6535">
        <v>1.111604</v>
      </c>
      <c r="L6535">
        <v>-63.141269999999999</v>
      </c>
      <c r="M6535">
        <v>0.99961449999999996</v>
      </c>
      <c r="N6535">
        <v>-1.3854450000000001E-2</v>
      </c>
      <c r="O6535">
        <v>2.4059259999999999E-2</v>
      </c>
      <c r="P6535">
        <v>0.92878850000000002</v>
      </c>
      <c r="Q6535">
        <v>0.24598880000000001</v>
      </c>
      <c r="R6535">
        <v>0.27720289999999997</v>
      </c>
      <c r="S6535">
        <v>2.6675260000000001</v>
      </c>
      <c r="T6535">
        <v>0.42856529999999998</v>
      </c>
      <c r="U6535">
        <v>1.514435</v>
      </c>
      <c r="V6535">
        <v>-0.25537530000000003</v>
      </c>
      <c r="W6535">
        <v>0.25832919999999998</v>
      </c>
      <c r="X6535">
        <v>0.93169170000000001</v>
      </c>
      <c r="Y6535">
        <v>-0.46886489999999997</v>
      </c>
      <c r="Z6535">
        <v>-2.7487770000000002E-2</v>
      </c>
      <c r="AA6535">
        <v>0.88284209999999996</v>
      </c>
      <c r="AB6535">
        <v>25</v>
      </c>
      <c r="AC6535">
        <v>71.211100000000002</v>
      </c>
      <c r="AD6535">
        <v>11.459486</v>
      </c>
      <c r="AE6535">
        <v>40.491259999999997</v>
      </c>
      <c r="AF6535">
        <v>-38.0220283532868</v>
      </c>
      <c r="AG6535">
        <v>11.459486</v>
      </c>
      <c r="AH6535">
        <v>70.779670194040605</v>
      </c>
      <c r="AI6535">
        <v>81.882809686829006</v>
      </c>
      <c r="AJ6535">
        <v>118.244182892476</v>
      </c>
      <c r="AK6535">
        <v>81.158832989758395</v>
      </c>
      <c r="AL6535">
        <v>75.029053713091599</v>
      </c>
      <c r="AM6535">
        <v>105.328219748248</v>
      </c>
      <c r="AN6535">
        <v>0.999999971635809</v>
      </c>
    </row>
    <row r="6536" spans="1:40" x14ac:dyDescent="0.25">
      <c r="A6536" t="str">
        <f>"20190304155801782"</f>
        <v>20190304155801782</v>
      </c>
      <c r="B6536" t="str">
        <f>"1551686281781038"</f>
        <v>1551686281781038</v>
      </c>
      <c r="C6536" t="s">
        <v>40</v>
      </c>
      <c r="D6536">
        <v>4.1265530000000004</v>
      </c>
      <c r="E6536">
        <v>0.42901810000000001</v>
      </c>
      <c r="F6536" t="s">
        <v>73</v>
      </c>
      <c r="G6536">
        <v>-168.45060000000001</v>
      </c>
      <c r="H6536">
        <v>2.4127710000000002</v>
      </c>
      <c r="I6536">
        <v>-38.96414</v>
      </c>
      <c r="J6536">
        <v>-216.46449999999999</v>
      </c>
      <c r="K6536">
        <v>1.1116109999999999</v>
      </c>
      <c r="L6536">
        <v>-63.137569999999997</v>
      </c>
      <c r="M6536">
        <v>0.99959730000000002</v>
      </c>
      <c r="N6536">
        <v>-1.385191E-2</v>
      </c>
      <c r="O6536">
        <v>2.477002E-2</v>
      </c>
      <c r="P6536">
        <v>0.92787819999999999</v>
      </c>
      <c r="Q6536">
        <v>0.2451642</v>
      </c>
      <c r="R6536">
        <v>0.28095690000000001</v>
      </c>
      <c r="S6536">
        <v>2.791534</v>
      </c>
      <c r="T6536">
        <v>7.5460429999999995E-2</v>
      </c>
      <c r="U6536">
        <v>1.402161</v>
      </c>
      <c r="V6536">
        <v>-0.25848890000000002</v>
      </c>
      <c r="W6536">
        <v>0.25748100000000002</v>
      </c>
      <c r="X6536">
        <v>0.93106770000000005</v>
      </c>
      <c r="Y6536">
        <v>-0.4265409</v>
      </c>
      <c r="Z6536">
        <v>-1.3646330000000001E-3</v>
      </c>
      <c r="AA6536">
        <v>0.90446720000000003</v>
      </c>
      <c r="AB6536">
        <v>25</v>
      </c>
      <c r="AC6536">
        <v>48.0138999999999</v>
      </c>
      <c r="AD6536">
        <v>1.3011599999999901</v>
      </c>
      <c r="AE6536">
        <v>24.17343</v>
      </c>
      <c r="AF6536">
        <v>-22.963138631185799</v>
      </c>
      <c r="AG6536">
        <v>1.3011599999999901</v>
      </c>
      <c r="AH6536">
        <v>48.569543070648997</v>
      </c>
      <c r="AI6536">
        <v>88.612614221619197</v>
      </c>
      <c r="AJ6536">
        <v>115.304262462133</v>
      </c>
      <c r="AK6536">
        <v>53.740108552479498</v>
      </c>
      <c r="AL6536">
        <v>75.0793543590529</v>
      </c>
      <c r="AM6536">
        <v>105.516054460612</v>
      </c>
      <c r="AN6536">
        <v>1.0000000193837499</v>
      </c>
    </row>
    <row r="6537" spans="1:40" x14ac:dyDescent="0.25">
      <c r="A6537" t="str">
        <f>"20190304155801794"</f>
        <v>20190304155801794</v>
      </c>
      <c r="B6537" t="str">
        <f>"1551686281790797"</f>
        <v>1551686281790797</v>
      </c>
      <c r="C6537" t="s">
        <v>40</v>
      </c>
      <c r="D6537">
        <v>4.1419199999999998</v>
      </c>
      <c r="E6537">
        <v>0.42738999999999999</v>
      </c>
      <c r="F6537" t="s">
        <v>73</v>
      </c>
      <c r="G6537">
        <v>-168.45060000000001</v>
      </c>
      <c r="H6537">
        <v>2.1250719999999998</v>
      </c>
      <c r="I6537">
        <v>-39.022889999999997</v>
      </c>
      <c r="J6537">
        <v>-216.3417</v>
      </c>
      <c r="K6537">
        <v>1.1116170000000001</v>
      </c>
      <c r="L6537">
        <v>-63.133760000000002</v>
      </c>
      <c r="M6537">
        <v>0.99957870000000004</v>
      </c>
      <c r="N6537">
        <v>-1.384934E-2</v>
      </c>
      <c r="O6537">
        <v>2.5507209999999999E-2</v>
      </c>
      <c r="P6537">
        <v>0.92693000000000003</v>
      </c>
      <c r="Q6537">
        <v>0.24475769999999999</v>
      </c>
      <c r="R6537">
        <v>0.28441959999999999</v>
      </c>
      <c r="S6537">
        <v>2.7928920000000002</v>
      </c>
      <c r="T6537">
        <v>5.895007E-2</v>
      </c>
      <c r="U6537">
        <v>1.4027099999999999</v>
      </c>
      <c r="V6537">
        <v>-0.26129039999999998</v>
      </c>
      <c r="W6537">
        <v>0.25705020000000001</v>
      </c>
      <c r="X6537">
        <v>0.93040449999999997</v>
      </c>
      <c r="Y6537">
        <v>-0.4258673</v>
      </c>
      <c r="Z6537">
        <v>-2.8544010000000001E-4</v>
      </c>
      <c r="AA6537">
        <v>0.90478559999999997</v>
      </c>
      <c r="AB6537">
        <v>25</v>
      </c>
      <c r="AC6537">
        <v>47.891100000000002</v>
      </c>
      <c r="AD6537">
        <v>1.013455</v>
      </c>
      <c r="AE6537">
        <v>24.110869999999899</v>
      </c>
      <c r="AF6537">
        <v>-22.8731664999755</v>
      </c>
      <c r="AG6537">
        <v>1.013455</v>
      </c>
      <c r="AH6537">
        <v>48.473257409179197</v>
      </c>
      <c r="AI6537">
        <v>88.916772309695801</v>
      </c>
      <c r="AJ6537">
        <v>115.26130632330199</v>
      </c>
      <c r="AK6537">
        <v>53.608446355300899</v>
      </c>
      <c r="AL6537">
        <v>75.104896928204198</v>
      </c>
      <c r="AM6537">
        <v>105.68661508023</v>
      </c>
      <c r="AN6537">
        <v>1.00000000603622</v>
      </c>
    </row>
    <row r="6538" spans="1:40" x14ac:dyDescent="0.25">
      <c r="A6538" t="str">
        <f>"20190304155801805"</f>
        <v>20190304155801805</v>
      </c>
      <c r="B6538" t="str">
        <f>"1551686281801534"</f>
        <v>1551686281801534</v>
      </c>
      <c r="C6538" t="s">
        <v>40</v>
      </c>
      <c r="D6538">
        <v>3.954307</v>
      </c>
      <c r="E6538">
        <v>0.42301450000000002</v>
      </c>
      <c r="F6538" t="s">
        <v>73</v>
      </c>
      <c r="G6538">
        <v>-168.45060000000001</v>
      </c>
      <c r="H6538">
        <v>3.300046</v>
      </c>
      <c r="I6538">
        <v>-38.495559999999998</v>
      </c>
      <c r="J6538">
        <v>-216.21850000000001</v>
      </c>
      <c r="K6538">
        <v>1.1116239999999999</v>
      </c>
      <c r="L6538">
        <v>-63.12979</v>
      </c>
      <c r="M6538">
        <v>0.99955930000000004</v>
      </c>
      <c r="N6538">
        <v>-1.3846809999999999E-2</v>
      </c>
      <c r="O6538">
        <v>2.625628E-2</v>
      </c>
      <c r="P6538">
        <v>0.92601579999999994</v>
      </c>
      <c r="Q6538">
        <v>0.24435950000000001</v>
      </c>
      <c r="R6538">
        <v>0.2877209</v>
      </c>
      <c r="S6538">
        <v>2.7664179999999998</v>
      </c>
      <c r="T6538">
        <v>0.12641269999999999</v>
      </c>
      <c r="U6538">
        <v>1.4232180000000001</v>
      </c>
      <c r="V6538">
        <v>-0.26392120000000002</v>
      </c>
      <c r="W6538">
        <v>0.2566271</v>
      </c>
      <c r="X6538">
        <v>0.92977849999999995</v>
      </c>
      <c r="Y6538">
        <v>-0.43377100000000002</v>
      </c>
      <c r="Z6538">
        <v>-4.6755290000000003E-3</v>
      </c>
      <c r="AA6538">
        <v>0.90101100000000001</v>
      </c>
      <c r="AB6538">
        <v>25</v>
      </c>
      <c r="AC6538">
        <v>47.767899999999997</v>
      </c>
      <c r="AD6538">
        <v>2.1884220000000001</v>
      </c>
      <c r="AE6538">
        <v>24.634229999999999</v>
      </c>
      <c r="AF6538">
        <v>-23.332723372971099</v>
      </c>
      <c r="AG6538">
        <v>2.1884220000000001</v>
      </c>
      <c r="AH6538">
        <v>48.318184616222602</v>
      </c>
      <c r="AI6538">
        <v>87.664459040215704</v>
      </c>
      <c r="AJ6538">
        <v>115.77577360086499</v>
      </c>
      <c r="AK6538">
        <v>53.701509619907803</v>
      </c>
      <c r="AL6538">
        <v>75.129979564253603</v>
      </c>
      <c r="AM6538">
        <v>105.846796951245</v>
      </c>
      <c r="AN6538">
        <v>0.999999963663049</v>
      </c>
    </row>
    <row r="6539" spans="1:40" x14ac:dyDescent="0.25">
      <c r="A6539" t="str">
        <f>"20190304155801818"</f>
        <v>20190304155801818</v>
      </c>
      <c r="B6539" t="str">
        <f>"1551686281811293"</f>
        <v>1551686281811293</v>
      </c>
      <c r="C6539" t="s">
        <v>40</v>
      </c>
      <c r="D6539">
        <v>4.3598720000000002</v>
      </c>
      <c r="E6539">
        <v>0.4208865</v>
      </c>
      <c r="F6539" t="s">
        <v>98</v>
      </c>
      <c r="G6539">
        <v>-141.3441</v>
      </c>
      <c r="H6539">
        <v>5.9495069999999997</v>
      </c>
      <c r="I6539">
        <v>-23.0684</v>
      </c>
      <c r="J6539">
        <v>-216.09219999999999</v>
      </c>
      <c r="K6539">
        <v>1.1116349999999999</v>
      </c>
      <c r="L6539">
        <v>-63.125579999999999</v>
      </c>
      <c r="M6539">
        <v>0.9995385</v>
      </c>
      <c r="N6539">
        <v>-1.384432E-2</v>
      </c>
      <c r="O6539">
        <v>2.7041820000000001E-2</v>
      </c>
      <c r="P6539">
        <v>0.92510930000000002</v>
      </c>
      <c r="Q6539">
        <v>0.2439105</v>
      </c>
      <c r="R6539">
        <v>0.29099910000000001</v>
      </c>
      <c r="S6539">
        <v>2.7378390000000001</v>
      </c>
      <c r="T6539">
        <v>0.17690059999999999</v>
      </c>
      <c r="U6539">
        <v>1.464874</v>
      </c>
      <c r="V6539">
        <v>-0.26649709999999899</v>
      </c>
      <c r="W6539">
        <v>0.25615199999999999</v>
      </c>
      <c r="X6539">
        <v>0.92917459999999996</v>
      </c>
      <c r="Y6539">
        <v>-0.44727270000000002</v>
      </c>
      <c r="Z6539">
        <v>-8.2529819999999903E-3</v>
      </c>
      <c r="AA6539">
        <v>0.89435949999999997</v>
      </c>
      <c r="AB6539">
        <v>25</v>
      </c>
      <c r="AC6539">
        <v>74.748099999999994</v>
      </c>
      <c r="AD6539">
        <v>4.837872</v>
      </c>
      <c r="AE6539">
        <v>40.057179999999903</v>
      </c>
      <c r="AF6539">
        <v>-37.897676847009699</v>
      </c>
      <c r="AG6539">
        <v>4.837872</v>
      </c>
      <c r="AH6539">
        <v>75.558187646052303</v>
      </c>
      <c r="AI6539">
        <v>86.724375922489997</v>
      </c>
      <c r="AJ6539">
        <v>116.63694322059099</v>
      </c>
      <c r="AK6539">
        <v>84.668049677814096</v>
      </c>
      <c r="AL6539">
        <v>75.158142632636796</v>
      </c>
      <c r="AM6539">
        <v>106.003451159249</v>
      </c>
      <c r="AN6539">
        <v>0.99999999434878495</v>
      </c>
    </row>
    <row r="6540" spans="1:40" x14ac:dyDescent="0.25">
      <c r="A6540" t="str">
        <f>"20190304155801827"</f>
        <v>20190304155801827</v>
      </c>
      <c r="B6540" t="str">
        <f>"1551686281821053"</f>
        <v>1551686281821053</v>
      </c>
      <c r="C6540" t="s">
        <v>40</v>
      </c>
      <c r="D6540">
        <v>4.3522999999999996</v>
      </c>
      <c r="E6540">
        <v>0.41950530000000003</v>
      </c>
      <c r="F6540" t="s">
        <v>98</v>
      </c>
      <c r="G6540">
        <v>-143.6164</v>
      </c>
      <c r="H6540">
        <v>6.6740880000000002</v>
      </c>
      <c r="I6540">
        <v>-23.41628</v>
      </c>
      <c r="J6540">
        <v>-215.9768</v>
      </c>
      <c r="K6540">
        <v>1.11165</v>
      </c>
      <c r="L6540">
        <v>-63.121699999999997</v>
      </c>
      <c r="M6540">
        <v>0.99951860000000003</v>
      </c>
      <c r="N6540">
        <v>-1.384209E-2</v>
      </c>
      <c r="O6540">
        <v>2.7767219999999999E-2</v>
      </c>
      <c r="P6540">
        <v>0.92429740000000005</v>
      </c>
      <c r="Q6540">
        <v>0.2430494</v>
      </c>
      <c r="R6540">
        <v>0.29428100000000001</v>
      </c>
      <c r="S6540">
        <v>2.7191930000000002</v>
      </c>
      <c r="T6540">
        <v>0.2086953</v>
      </c>
      <c r="U6540">
        <v>1.489838</v>
      </c>
      <c r="V6540">
        <v>-0.26913029999999999</v>
      </c>
      <c r="W6540">
        <v>0.25526549999999998</v>
      </c>
      <c r="X6540">
        <v>0.92865949999999997</v>
      </c>
      <c r="Y6540">
        <v>-0.45524700000000001</v>
      </c>
      <c r="Z6540">
        <v>-1.0600429999999999E-2</v>
      </c>
      <c r="AA6540">
        <v>0.89030209999999999</v>
      </c>
      <c r="AB6540">
        <v>25</v>
      </c>
      <c r="AC6540">
        <v>72.360399999999998</v>
      </c>
      <c r="AD6540">
        <v>5.5624379999999896</v>
      </c>
      <c r="AE6540">
        <v>39.705419999999997</v>
      </c>
      <c r="AF6540">
        <v>-37.510306216743302</v>
      </c>
      <c r="AG6540">
        <v>5.5624379999999896</v>
      </c>
      <c r="AH6540">
        <v>73.103094286246701</v>
      </c>
      <c r="AI6540">
        <v>86.127077033173506</v>
      </c>
      <c r="AJ6540">
        <v>117.163047060991</v>
      </c>
      <c r="AK6540">
        <v>82.353058129018905</v>
      </c>
      <c r="AL6540">
        <v>75.210682622511101</v>
      </c>
      <c r="AM6540">
        <v>106.16186013565699</v>
      </c>
      <c r="AN6540">
        <v>1.00000003040429</v>
      </c>
    </row>
    <row r="6541" spans="1:40" x14ac:dyDescent="0.25">
      <c r="A6541" t="str">
        <f>"20190304155801839"</f>
        <v>20190304155801839</v>
      </c>
      <c r="B6541" t="str">
        <f>"1551686281830813"</f>
        <v>1551686281830813</v>
      </c>
      <c r="C6541" t="s">
        <v>40</v>
      </c>
      <c r="D6541">
        <v>4.2680369999999996</v>
      </c>
      <c r="E6541">
        <v>0.41844150000000002</v>
      </c>
      <c r="F6541" t="s">
        <v>98</v>
      </c>
      <c r="G6541">
        <v>-145.2628</v>
      </c>
      <c r="H6541">
        <v>7.1399789999999896</v>
      </c>
      <c r="I6541">
        <v>-23.660599999999999</v>
      </c>
      <c r="J6541">
        <v>-215.85249999999999</v>
      </c>
      <c r="K6541">
        <v>1.111672</v>
      </c>
      <c r="L6541">
        <v>-63.117339999999999</v>
      </c>
      <c r="M6541">
        <v>0.99949569999999999</v>
      </c>
      <c r="N6541">
        <v>-1.383994E-2</v>
      </c>
      <c r="O6541">
        <v>2.8578059999999999E-2</v>
      </c>
      <c r="P6541">
        <v>0.92353890000000005</v>
      </c>
      <c r="Q6541">
        <v>0.24234259999999999</v>
      </c>
      <c r="R6541">
        <v>0.29723060000000001</v>
      </c>
      <c r="S6541">
        <v>2.7045590000000002</v>
      </c>
      <c r="T6541">
        <v>0.23056209999999999</v>
      </c>
      <c r="U6541">
        <v>1.509247</v>
      </c>
      <c r="V6541">
        <v>-0.27135629999999999</v>
      </c>
      <c r="W6541">
        <v>0.25453049999999999</v>
      </c>
      <c r="X6541">
        <v>0.92821330000000002</v>
      </c>
      <c r="Y6541">
        <v>-0.46122750000000001</v>
      </c>
      <c r="Z6541">
        <v>-1.2258389999999999E-2</v>
      </c>
      <c r="AA6541">
        <v>0.88719720000000002</v>
      </c>
      <c r="AB6541">
        <v>25</v>
      </c>
      <c r="AC6541">
        <v>70.589699999999993</v>
      </c>
      <c r="AD6541">
        <v>6.0283069999999999</v>
      </c>
      <c r="AE6541">
        <v>39.456740000000003</v>
      </c>
      <c r="AF6541">
        <v>-37.216305172703201</v>
      </c>
      <c r="AG6541">
        <v>6.0283069999999999</v>
      </c>
      <c r="AH6541">
        <v>71.2924056029875</v>
      </c>
      <c r="AI6541">
        <v>85.713202620769096</v>
      </c>
      <c r="AJ6541">
        <v>117.56561331085901</v>
      </c>
      <c r="AK6541">
        <v>80.647386520921501</v>
      </c>
      <c r="AL6541">
        <v>75.254232742435804</v>
      </c>
      <c r="AM6541">
        <v>106.29589066048401</v>
      </c>
      <c r="AN6541">
        <v>0.99999997363841397</v>
      </c>
    </row>
    <row r="6542" spans="1:40" x14ac:dyDescent="0.25">
      <c r="A6542" t="str">
        <f>"20190304155801851"</f>
        <v>20190304155801851</v>
      </c>
      <c r="B6542" t="str">
        <f>"1551686281841549"</f>
        <v>1551686281841549</v>
      </c>
      <c r="C6542" t="s">
        <v>40</v>
      </c>
      <c r="D6542">
        <v>4.2998649999999996</v>
      </c>
      <c r="E6542">
        <v>0.41790050000000001</v>
      </c>
      <c r="F6542" t="s">
        <v>98</v>
      </c>
      <c r="G6542">
        <v>-146.18870000000001</v>
      </c>
      <c r="H6542">
        <v>7.4718749999999998</v>
      </c>
      <c r="I6542">
        <v>-23.660599999999999</v>
      </c>
      <c r="J6542">
        <v>-215.7253</v>
      </c>
      <c r="K6542">
        <v>1.111694</v>
      </c>
      <c r="L6542">
        <v>-63.1128199999999</v>
      </c>
      <c r="M6542">
        <v>0.99947140000000001</v>
      </c>
      <c r="N6542">
        <v>-1.3837800000000001E-2</v>
      </c>
      <c r="O6542">
        <v>2.9418619999999999E-2</v>
      </c>
      <c r="P6542">
        <v>0.9228227</v>
      </c>
      <c r="Q6542">
        <v>0.24124979999999999</v>
      </c>
      <c r="R6542">
        <v>0.30032769999999998</v>
      </c>
      <c r="S6542">
        <v>2.6929780000000001</v>
      </c>
      <c r="T6542">
        <v>0.24586450000000001</v>
      </c>
      <c r="U6542">
        <v>1.525269</v>
      </c>
      <c r="V6542">
        <v>-0.273702</v>
      </c>
      <c r="W6542">
        <v>0.25340800000000002</v>
      </c>
      <c r="X6542">
        <v>0.92783170000000004</v>
      </c>
      <c r="Y6542">
        <v>-0.46594609999999897</v>
      </c>
      <c r="Z6542">
        <v>-1.343868E-2</v>
      </c>
      <c r="AA6542">
        <v>0.88471100000000003</v>
      </c>
      <c r="AB6542">
        <v>25</v>
      </c>
      <c r="AC6542">
        <v>69.536599999999893</v>
      </c>
      <c r="AD6542">
        <v>6.3601809999999999</v>
      </c>
      <c r="AE6542">
        <v>39.452219999999997</v>
      </c>
      <c r="AF6542">
        <v>-37.154136825709799</v>
      </c>
      <c r="AG6542">
        <v>6.3601809999999999</v>
      </c>
      <c r="AH6542">
        <v>70.222819003040996</v>
      </c>
      <c r="AI6542">
        <v>85.422855941547496</v>
      </c>
      <c r="AJ6542">
        <v>117.88283456249999</v>
      </c>
      <c r="AK6542">
        <v>79.700226438512701</v>
      </c>
      <c r="AL6542">
        <v>75.3207283376627</v>
      </c>
      <c r="AM6542">
        <v>106.43558478666399</v>
      </c>
      <c r="AN6542">
        <v>1.0000000313964399</v>
      </c>
    </row>
    <row r="6543" spans="1:40" x14ac:dyDescent="0.25">
      <c r="A6543" t="str">
        <f>"20190304155801863"</f>
        <v>20190304155801863</v>
      </c>
      <c r="B6543" t="str">
        <f>"1551686281851309"</f>
        <v>1551686281851309</v>
      </c>
      <c r="C6543" t="s">
        <v>40</v>
      </c>
      <c r="D6543">
        <v>4.3491730000000004</v>
      </c>
      <c r="E6543">
        <v>0.41760320000000001</v>
      </c>
      <c r="F6543" t="s">
        <v>98</v>
      </c>
      <c r="G6543">
        <v>-146.89859999999999</v>
      </c>
      <c r="H6543">
        <v>7.6959470000000003</v>
      </c>
      <c r="I6543">
        <v>-23.660599999999999</v>
      </c>
      <c r="J6543">
        <v>-215.5986</v>
      </c>
      <c r="K6543">
        <v>1.111723</v>
      </c>
      <c r="L6543">
        <v>-63.1081199999999</v>
      </c>
      <c r="M6543">
        <v>0.99944540000000004</v>
      </c>
      <c r="N6543">
        <v>-1.3836009999999999E-2</v>
      </c>
      <c r="O6543">
        <v>3.0295389999999998E-2</v>
      </c>
      <c r="P6543">
        <v>0.92192669999999999</v>
      </c>
      <c r="Q6543">
        <v>0.2406539</v>
      </c>
      <c r="R6543">
        <v>0.30354100000000001</v>
      </c>
      <c r="S6543">
        <v>2.6832280000000002</v>
      </c>
      <c r="T6543">
        <v>0.25668869999999999</v>
      </c>
      <c r="U6543">
        <v>1.5380549999999999</v>
      </c>
      <c r="V6543">
        <v>-0.27614179999999999</v>
      </c>
      <c r="W6543">
        <v>0.25277500000000003</v>
      </c>
      <c r="X6543">
        <v>0.92728129999999998</v>
      </c>
      <c r="Y6543">
        <v>-0.46960360000000001</v>
      </c>
      <c r="Z6543">
        <v>-1.427571E-2</v>
      </c>
      <c r="AA6543">
        <v>0.88276200000000005</v>
      </c>
      <c r="AB6543">
        <v>25</v>
      </c>
      <c r="AC6543">
        <v>68.7</v>
      </c>
      <c r="AD6543">
        <v>6.5842239999999999</v>
      </c>
      <c r="AE6543">
        <v>39.447519999999997</v>
      </c>
      <c r="AF6543">
        <v>-37.091695191000397</v>
      </c>
      <c r="AG6543">
        <v>6.5842239999999999</v>
      </c>
      <c r="AH6543">
        <v>69.384358244304195</v>
      </c>
      <c r="AI6543">
        <v>85.216214549490402</v>
      </c>
      <c r="AJ6543">
        <v>118.128200389542</v>
      </c>
      <c r="AK6543">
        <v>78.951472606900793</v>
      </c>
      <c r="AL6543">
        <v>75.358217418097794</v>
      </c>
      <c r="AM6543">
        <v>106.583385542089</v>
      </c>
      <c r="AN6543">
        <v>1.00000005183096</v>
      </c>
    </row>
    <row r="6544" spans="1:40" x14ac:dyDescent="0.25">
      <c r="A6544" t="str">
        <f>"20190304155801873"</f>
        <v>20190304155801873</v>
      </c>
      <c r="B6544" t="str">
        <f>"1551686281870830"</f>
        <v>1551686281870830</v>
      </c>
      <c r="C6544" t="s">
        <v>40</v>
      </c>
      <c r="D6544">
        <v>4.452089</v>
      </c>
      <c r="E6544">
        <v>0.41719450000000002</v>
      </c>
      <c r="F6544" t="s">
        <v>98</v>
      </c>
      <c r="G6544">
        <v>-147.50890000000001</v>
      </c>
      <c r="H6544">
        <v>7.9455249999999999</v>
      </c>
      <c r="I6544">
        <v>-23.660599999999999</v>
      </c>
      <c r="J6544">
        <v>-215.47909999999999</v>
      </c>
      <c r="K6544">
        <v>1.111756</v>
      </c>
      <c r="L6544">
        <v>-63.103610000000003</v>
      </c>
      <c r="M6544">
        <v>0.99941930000000001</v>
      </c>
      <c r="N6544">
        <v>-1.383444E-2</v>
      </c>
      <c r="O6544">
        <v>3.113848E-2</v>
      </c>
      <c r="P6544">
        <v>0.92109589999999997</v>
      </c>
      <c r="Q6544">
        <v>0.24034829999999999</v>
      </c>
      <c r="R6544">
        <v>0.30629260000000003</v>
      </c>
      <c r="S6544">
        <v>2.6739350000000002</v>
      </c>
      <c r="T6544">
        <v>0.2683682</v>
      </c>
      <c r="U6544">
        <v>1.5491330000000001</v>
      </c>
      <c r="V6544">
        <v>-0.27815119999999999</v>
      </c>
      <c r="W6544">
        <v>0.25243450000000001</v>
      </c>
      <c r="X6544">
        <v>0.92677330000000002</v>
      </c>
      <c r="Y6544">
        <v>-0.47278619999999999</v>
      </c>
      <c r="Z6544">
        <v>-1.516876E-2</v>
      </c>
      <c r="AA6544">
        <v>0.88104660000000001</v>
      </c>
      <c r="AB6544">
        <v>25</v>
      </c>
      <c r="AC6544">
        <v>67.970199999999906</v>
      </c>
      <c r="AD6544">
        <v>6.8337690000000002</v>
      </c>
      <c r="AE6544">
        <v>39.443010000000001</v>
      </c>
      <c r="AF6544">
        <v>-37.027190094531399</v>
      </c>
      <c r="AG6544">
        <v>6.8337690000000002</v>
      </c>
      <c r="AH6544">
        <v>68.646444773901194</v>
      </c>
      <c r="AI6544">
        <v>84.992695755518994</v>
      </c>
      <c r="AJ6544">
        <v>118.341969417432</v>
      </c>
      <c r="AK6544">
        <v>78.294620409950198</v>
      </c>
      <c r="AL6544">
        <v>75.378379876908994</v>
      </c>
      <c r="AM6544">
        <v>106.706005374046</v>
      </c>
      <c r="AN6544">
        <v>1.00000000822229</v>
      </c>
    </row>
    <row r="6545" spans="1:40" x14ac:dyDescent="0.25">
      <c r="A6545" t="str">
        <f>"20190304155801884"</f>
        <v>20190304155801884</v>
      </c>
      <c r="B6545" t="str">
        <f>"1551686281881566"</f>
        <v>1551686281881566</v>
      </c>
      <c r="C6545" t="s">
        <v>40</v>
      </c>
      <c r="D6545">
        <v>4.4055019999999896</v>
      </c>
      <c r="E6545">
        <v>0.41703220000000002</v>
      </c>
      <c r="F6545" t="s">
        <v>98</v>
      </c>
      <c r="G6545">
        <v>-148.11009999999999</v>
      </c>
      <c r="H6545">
        <v>8.3007100000000005</v>
      </c>
      <c r="I6545">
        <v>-23.660599999999999</v>
      </c>
      <c r="J6545">
        <v>-215.36259999999999</v>
      </c>
      <c r="K6545">
        <v>1.1117900000000001</v>
      </c>
      <c r="L6545">
        <v>-63.099060000000001</v>
      </c>
      <c r="M6545">
        <v>0.99939259999999996</v>
      </c>
      <c r="N6545">
        <v>-1.38332E-2</v>
      </c>
      <c r="O6545">
        <v>3.1989650000000001E-2</v>
      </c>
      <c r="P6545">
        <v>0.92015309999999995</v>
      </c>
      <c r="Q6545">
        <v>0.24035010000000001</v>
      </c>
      <c r="R6545">
        <v>0.30911240000000001</v>
      </c>
      <c r="S6545">
        <v>2.6641240000000002</v>
      </c>
      <c r="T6545">
        <v>0.28428890000000001</v>
      </c>
      <c r="U6545">
        <v>1.5597840000000001</v>
      </c>
      <c r="V6545">
        <v>-0.280228599999999</v>
      </c>
      <c r="W6545">
        <v>0.25239719999999999</v>
      </c>
      <c r="X6545">
        <v>0.92615740000000002</v>
      </c>
      <c r="Y6545">
        <v>-0.4758732</v>
      </c>
      <c r="Z6545">
        <v>-1.637183E-2</v>
      </c>
      <c r="AA6545">
        <v>0.87936150000000002</v>
      </c>
      <c r="AB6545">
        <v>25</v>
      </c>
      <c r="AC6545">
        <v>67.252499999999998</v>
      </c>
      <c r="AD6545">
        <v>7.1889199999999898</v>
      </c>
      <c r="AE6545">
        <v>39.4384599999999</v>
      </c>
      <c r="AF6545">
        <v>-36.952494032648701</v>
      </c>
      <c r="AG6545">
        <v>7.1889199999999898</v>
      </c>
      <c r="AH6545">
        <v>67.902476973517594</v>
      </c>
      <c r="AI6545">
        <v>84.687177560511898</v>
      </c>
      <c r="AJ6545">
        <v>118.55501027408</v>
      </c>
      <c r="AK6545">
        <v>77.639640423809496</v>
      </c>
      <c r="AL6545">
        <v>75.380587989778206</v>
      </c>
      <c r="AM6545">
        <v>106.834305867125</v>
      </c>
      <c r="AN6545">
        <v>0.99999997220027903</v>
      </c>
    </row>
    <row r="6546" spans="1:40" x14ac:dyDescent="0.25">
      <c r="A6546" t="str">
        <f>"20190304155801895"</f>
        <v>20190304155801895</v>
      </c>
      <c r="B6546" t="str">
        <f>"1551686281891325"</f>
        <v>1551686281891325</v>
      </c>
      <c r="C6546" t="s">
        <v>40</v>
      </c>
      <c r="D6546">
        <v>4.3416139999999999</v>
      </c>
      <c r="E6546">
        <v>0.41684700000000002</v>
      </c>
      <c r="F6546" t="s">
        <v>98</v>
      </c>
      <c r="G6546">
        <v>-148.56379999999999</v>
      </c>
      <c r="H6546">
        <v>8.4091120000000004</v>
      </c>
      <c r="I6546">
        <v>-23.660599999999999</v>
      </c>
      <c r="J6546">
        <v>-215.24109999999999</v>
      </c>
      <c r="K6546">
        <v>1.1118300000000001</v>
      </c>
      <c r="L6546">
        <v>-63.094180000000001</v>
      </c>
      <c r="M6546">
        <v>0.9993628</v>
      </c>
      <c r="N6546">
        <v>-1.383207E-2</v>
      </c>
      <c r="O6546">
        <v>3.2906320000000003E-2</v>
      </c>
      <c r="P6546">
        <v>0.91921870000000006</v>
      </c>
      <c r="Q6546">
        <v>0.2406645</v>
      </c>
      <c r="R6546">
        <v>0.311637</v>
      </c>
      <c r="S6546">
        <v>2.6574399999999998</v>
      </c>
      <c r="T6546">
        <v>0.29030719999999999</v>
      </c>
      <c r="U6546">
        <v>1.56897</v>
      </c>
      <c r="V6546">
        <v>-0.28195379999999998</v>
      </c>
      <c r="W6546">
        <v>0.2526716</v>
      </c>
      <c r="X6546">
        <v>0.92555880000000001</v>
      </c>
      <c r="Y6546">
        <v>-0.47820750000000001</v>
      </c>
      <c r="Z6546">
        <v>-1.6821719999999998E-2</v>
      </c>
      <c r="AA6546">
        <v>0.87808569999999997</v>
      </c>
      <c r="AB6546">
        <v>25</v>
      </c>
      <c r="AC6546">
        <v>66.677300000000002</v>
      </c>
      <c r="AD6546">
        <v>7.297282</v>
      </c>
      <c r="AE6546">
        <v>39.433579999999999</v>
      </c>
      <c r="AF6546">
        <v>-36.890547796049901</v>
      </c>
      <c r="AG6546">
        <v>7.297282</v>
      </c>
      <c r="AH6546">
        <v>67.341349895030802</v>
      </c>
      <c r="AI6546">
        <v>84.571109545677103</v>
      </c>
      <c r="AJ6546">
        <v>118.714553719308</v>
      </c>
      <c r="AK6546">
        <v>77.1298920455949</v>
      </c>
      <c r="AL6546">
        <v>75.364339605136095</v>
      </c>
      <c r="AM6546">
        <v>106.942355291434</v>
      </c>
      <c r="AN6546">
        <v>0.99999998751921904</v>
      </c>
    </row>
    <row r="6547" spans="1:40" x14ac:dyDescent="0.25">
      <c r="A6547" t="str">
        <f>"20190304155801906"</f>
        <v>20190304155801906</v>
      </c>
      <c r="B6547" t="str">
        <f>"1551686281901086"</f>
        <v>1551686281901086</v>
      </c>
      <c r="C6547" t="s">
        <v>40</v>
      </c>
      <c r="D6547">
        <v>4.3523550000000002</v>
      </c>
      <c r="E6547">
        <v>0.4166627</v>
      </c>
      <c r="F6547" t="s">
        <v>98</v>
      </c>
      <c r="G6547">
        <v>-148.9588</v>
      </c>
      <c r="H6547">
        <v>8.4872750000000003</v>
      </c>
      <c r="I6547">
        <v>-23.660599999999999</v>
      </c>
      <c r="J6547">
        <v>-215.11359999999999</v>
      </c>
      <c r="K6547">
        <v>1.111874</v>
      </c>
      <c r="L6547">
        <v>-63.088929999999998</v>
      </c>
      <c r="M6547">
        <v>0.99932969999999999</v>
      </c>
      <c r="N6547">
        <v>-1.3831049999999999E-2</v>
      </c>
      <c r="O6547">
        <v>3.3897179999999999E-2</v>
      </c>
      <c r="P6547">
        <v>0.91831470000000004</v>
      </c>
      <c r="Q6547">
        <v>0.24106040000000001</v>
      </c>
      <c r="R6547">
        <v>0.31398749999999997</v>
      </c>
      <c r="S6547">
        <v>2.6515810000000002</v>
      </c>
      <c r="T6547">
        <v>0.29504970000000003</v>
      </c>
      <c r="U6547">
        <v>1.577515</v>
      </c>
      <c r="V6547">
        <v>-0.28344019999999998</v>
      </c>
      <c r="W6547">
        <v>0.25302459999999999</v>
      </c>
      <c r="X6547">
        <v>0.92500819999999995</v>
      </c>
      <c r="Y6547">
        <v>-0.48021530000000001</v>
      </c>
      <c r="Z6547">
        <v>-1.7155469999999999E-2</v>
      </c>
      <c r="AA6547">
        <v>0.87698290000000001</v>
      </c>
      <c r="AB6547">
        <v>25</v>
      </c>
      <c r="AC6547">
        <v>66.154799999999994</v>
      </c>
      <c r="AD6547">
        <v>7.3754009999999903</v>
      </c>
      <c r="AE6547">
        <v>39.428329999999903</v>
      </c>
      <c r="AF6547">
        <v>-36.825249509725303</v>
      </c>
      <c r="AG6547">
        <v>7.3754009999999903</v>
      </c>
      <c r="AH6547">
        <v>66.840386627025197</v>
      </c>
      <c r="AI6547">
        <v>84.479725326100805</v>
      </c>
      <c r="AJ6547">
        <v>118.852263124594</v>
      </c>
      <c r="AK6547">
        <v>76.668982162374704</v>
      </c>
      <c r="AL6547">
        <v>75.343434844054599</v>
      </c>
      <c r="AM6547">
        <v>107.03606597891699</v>
      </c>
      <c r="AN6547">
        <v>0.99999998262421896</v>
      </c>
    </row>
    <row r="6548" spans="1:40" x14ac:dyDescent="0.25">
      <c r="A6548" t="str">
        <f>"20190304155801918"</f>
        <v>20190304155801918</v>
      </c>
      <c r="B6548" t="str">
        <f>"1551686281910846"</f>
        <v>1551686281910846</v>
      </c>
      <c r="C6548" t="s">
        <v>40</v>
      </c>
      <c r="D6548">
        <v>4.3573079999999997</v>
      </c>
      <c r="E6548">
        <v>0.41658790000000001</v>
      </c>
      <c r="F6548" t="s">
        <v>98</v>
      </c>
      <c r="G6548">
        <v>-147.62610000000001</v>
      </c>
      <c r="H6548">
        <v>8.7519929999999899</v>
      </c>
      <c r="I6548">
        <v>-22.650010000000002</v>
      </c>
      <c r="J6548">
        <v>-214.99080000000001</v>
      </c>
      <c r="K6548">
        <v>1.1119209999999999</v>
      </c>
      <c r="L6548">
        <v>-63.083680000000001</v>
      </c>
      <c r="M6548">
        <v>0.99929509999999999</v>
      </c>
      <c r="N6548">
        <v>-1.383035E-2</v>
      </c>
      <c r="O6548">
        <v>3.4900470000000003E-2</v>
      </c>
      <c r="P6548">
        <v>0.91753039999999997</v>
      </c>
      <c r="Q6548">
        <v>0.2413083</v>
      </c>
      <c r="R6548">
        <v>0.31608269999999999</v>
      </c>
      <c r="S6548">
        <v>2.6460720000000002</v>
      </c>
      <c r="T6548">
        <v>0.29955579999999998</v>
      </c>
      <c r="U6548">
        <v>1.5855410000000001</v>
      </c>
      <c r="V6548">
        <v>-0.28465829999999998</v>
      </c>
      <c r="W6548">
        <v>0.25323079999999998</v>
      </c>
      <c r="X6548">
        <v>0.92457769999999995</v>
      </c>
      <c r="Y6548">
        <v>-0.48203590000000002</v>
      </c>
      <c r="Z6548">
        <v>-1.7461839999999999E-2</v>
      </c>
      <c r="AA6548">
        <v>0.87597749999999996</v>
      </c>
      <c r="AB6548">
        <v>25</v>
      </c>
      <c r="AC6548">
        <v>67.364699999999999</v>
      </c>
      <c r="AD6548">
        <v>7.6400719999999902</v>
      </c>
      <c r="AE6548">
        <v>40.433669999999999</v>
      </c>
      <c r="AF6548">
        <v>-37.701245859053799</v>
      </c>
      <c r="AG6548">
        <v>7.6400719999999902</v>
      </c>
      <c r="AH6548">
        <v>68.091074014147395</v>
      </c>
      <c r="AI6548">
        <v>84.393726490613702</v>
      </c>
      <c r="AJ6548">
        <v>118.97279550851</v>
      </c>
      <c r="AK6548">
        <v>78.205811803791903</v>
      </c>
      <c r="AL6548">
        <v>75.331223820206205</v>
      </c>
      <c r="AM6548">
        <v>107.112513734422</v>
      </c>
      <c r="AN6548">
        <v>1.0000000545823999</v>
      </c>
    </row>
    <row r="6549" spans="1:40" x14ac:dyDescent="0.25">
      <c r="A6549" t="str">
        <f>"20190304155801928"</f>
        <v>20190304155801928</v>
      </c>
      <c r="B6549" t="str">
        <f>"1551686281920606"</f>
        <v>1551686281920606</v>
      </c>
      <c r="C6549" t="s">
        <v>40</v>
      </c>
      <c r="D6549">
        <v>4.3529619999999998</v>
      </c>
      <c r="E6549">
        <v>0.41654819999999998</v>
      </c>
      <c r="F6549" t="s">
        <v>98</v>
      </c>
      <c r="G6549">
        <v>-147.90969999999999</v>
      </c>
      <c r="H6549">
        <v>8.84409799999999</v>
      </c>
      <c r="I6549">
        <v>-22.65</v>
      </c>
      <c r="J6549">
        <v>-214.8793</v>
      </c>
      <c r="K6549">
        <v>1.11196299999999</v>
      </c>
      <c r="L6549">
        <v>-63.078859999999999</v>
      </c>
      <c r="M6549">
        <v>0.99926250000000005</v>
      </c>
      <c r="N6549">
        <v>-1.382973E-2</v>
      </c>
      <c r="O6549">
        <v>3.5826049999999998E-2</v>
      </c>
      <c r="P6549">
        <v>0.91686970000000001</v>
      </c>
      <c r="Q6549">
        <v>0.24110980000000001</v>
      </c>
      <c r="R6549">
        <v>0.31814490000000001</v>
      </c>
      <c r="S6549">
        <v>2.641159</v>
      </c>
      <c r="T6549">
        <v>0.30443579999999998</v>
      </c>
      <c r="U6549">
        <v>1.59198</v>
      </c>
      <c r="V6549">
        <v>-0.28590850000000001</v>
      </c>
      <c r="W6549">
        <v>0.2529941</v>
      </c>
      <c r="X6549">
        <v>0.92425659999999998</v>
      </c>
      <c r="Y6549">
        <v>-0.48344579999999998</v>
      </c>
      <c r="Z6549">
        <v>-1.7784970000000001E-2</v>
      </c>
      <c r="AA6549">
        <v>0.87519360000000002</v>
      </c>
      <c r="AB6549">
        <v>25</v>
      </c>
      <c r="AC6549">
        <v>66.9696</v>
      </c>
      <c r="AD6549">
        <v>7.7321349999999898</v>
      </c>
      <c r="AE6549">
        <v>40.42886</v>
      </c>
      <c r="AF6549">
        <v>-37.635720102699203</v>
      </c>
      <c r="AG6549">
        <v>7.7321349999999898</v>
      </c>
      <c r="AH6549">
        <v>67.713592020154195</v>
      </c>
      <c r="AI6549">
        <v>84.300281358287094</v>
      </c>
      <c r="AJ6549">
        <v>119.06563228978</v>
      </c>
      <c r="AK6549">
        <v>77.854761470181401</v>
      </c>
      <c r="AL6549">
        <v>75.345241003317</v>
      </c>
      <c r="AM6549">
        <v>107.188871318689</v>
      </c>
      <c r="AN6549">
        <v>0.99999997382530903</v>
      </c>
    </row>
    <row r="6550" spans="1:40" x14ac:dyDescent="0.25">
      <c r="A6550" t="str">
        <f>"20190304155801940"</f>
        <v>20190304155801940</v>
      </c>
      <c r="B6550" t="str">
        <f>"1551686281931343"</f>
        <v>1551686281931343</v>
      </c>
      <c r="C6550" t="s">
        <v>40</v>
      </c>
      <c r="D6550">
        <v>4.3573820000000003</v>
      </c>
      <c r="E6550">
        <v>0.41646050000000001</v>
      </c>
      <c r="F6550" t="s">
        <v>98</v>
      </c>
      <c r="G6550">
        <v>-148.16319999999999</v>
      </c>
      <c r="H6550">
        <v>8.8807720000000003</v>
      </c>
      <c r="I6550">
        <v>-22.650010000000002</v>
      </c>
      <c r="J6550">
        <v>-214.75640000000001</v>
      </c>
      <c r="K6550">
        <v>1.1120129999999999</v>
      </c>
      <c r="L6550">
        <v>-63.073239999999998</v>
      </c>
      <c r="M6550">
        <v>0.99922290000000002</v>
      </c>
      <c r="N6550">
        <v>-1.382953E-2</v>
      </c>
      <c r="O6550">
        <v>3.6911640000000003E-2</v>
      </c>
      <c r="P6550">
        <v>0.91609090000000004</v>
      </c>
      <c r="Q6550">
        <v>0.24092849999999999</v>
      </c>
      <c r="R6550">
        <v>0.32051669999999999</v>
      </c>
      <c r="S6550">
        <v>2.6368260000000001</v>
      </c>
      <c r="T6550">
        <v>0.3070465</v>
      </c>
      <c r="U6550">
        <v>1.5978699999999999</v>
      </c>
      <c r="V6550">
        <v>-0.28733039999999999</v>
      </c>
      <c r="W6550">
        <v>0.25276720000000003</v>
      </c>
      <c r="X6550">
        <v>0.92387770000000002</v>
      </c>
      <c r="Y6550">
        <v>-0.48452849999999997</v>
      </c>
      <c r="Z6550">
        <v>-1.790891E-2</v>
      </c>
      <c r="AA6550">
        <v>0.87459209999999998</v>
      </c>
      <c r="AB6550">
        <v>25</v>
      </c>
      <c r="AC6550">
        <v>66.593199999999996</v>
      </c>
      <c r="AD6550">
        <v>7.7687589999999904</v>
      </c>
      <c r="AE6550">
        <v>40.423229999999997</v>
      </c>
      <c r="AF6550">
        <v>-37.5638035096434</v>
      </c>
      <c r="AG6550">
        <v>7.7687589999999904</v>
      </c>
      <c r="AH6550">
        <v>67.370040252642994</v>
      </c>
      <c r="AI6550">
        <v>84.248747480435995</v>
      </c>
      <c r="AJ6550">
        <v>119.142914582952</v>
      </c>
      <c r="AK6550">
        <v>77.524933241854001</v>
      </c>
      <c r="AL6550">
        <v>75.358678704289005</v>
      </c>
      <c r="AM6550">
        <v>107.275944602766</v>
      </c>
      <c r="AN6550">
        <v>1.0000000103586399</v>
      </c>
    </row>
    <row r="6551" spans="1:40" x14ac:dyDescent="0.25">
      <c r="A6551" t="str">
        <f>"20190304155801951"</f>
        <v>20190304155801951</v>
      </c>
      <c r="B6551" t="str">
        <f>"1551686281941101"</f>
        <v>1551686281941101</v>
      </c>
      <c r="C6551" t="s">
        <v>40</v>
      </c>
      <c r="D6551">
        <v>4.1467790000000004</v>
      </c>
      <c r="E6551">
        <v>0.41646050000000001</v>
      </c>
      <c r="F6551" t="s">
        <v>98</v>
      </c>
      <c r="G6551">
        <v>-148.4485</v>
      </c>
      <c r="H6551">
        <v>8.8616449999999993</v>
      </c>
      <c r="I6551">
        <v>-22.650010000000002</v>
      </c>
      <c r="J6551">
        <v>-214.63130000000001</v>
      </c>
      <c r="K6551">
        <v>1.112069</v>
      </c>
      <c r="L6551">
        <v>-63.067469999999901</v>
      </c>
      <c r="M6551">
        <v>0.99918090000000004</v>
      </c>
      <c r="N6551">
        <v>-1.3829370000000001E-2</v>
      </c>
      <c r="O6551">
        <v>3.8034980000000003E-2</v>
      </c>
      <c r="P6551">
        <v>0.91536530000000005</v>
      </c>
      <c r="Q6551">
        <v>0.24086469999999999</v>
      </c>
      <c r="R6551">
        <v>0.3226308</v>
      </c>
      <c r="S6551">
        <v>2.6324160000000001</v>
      </c>
      <c r="T6551">
        <v>0.30765910000000002</v>
      </c>
      <c r="U6551">
        <v>1.604797</v>
      </c>
      <c r="V6551">
        <v>-0.2884603</v>
      </c>
      <c r="W6551">
        <v>0.25265840000000001</v>
      </c>
      <c r="X6551">
        <v>0.92355529999999997</v>
      </c>
      <c r="Y6551">
        <v>-0.48586620000000003</v>
      </c>
      <c r="Z6551">
        <v>-1.789549E-2</v>
      </c>
      <c r="AA6551">
        <v>0.87385000000000002</v>
      </c>
      <c r="AB6551">
        <v>24</v>
      </c>
      <c r="AC6551">
        <v>66.1828</v>
      </c>
      <c r="AD6551">
        <v>7.7495759999999896</v>
      </c>
      <c r="AE6551">
        <v>40.417459999999899</v>
      </c>
      <c r="AF6551">
        <v>-37.496252031965298</v>
      </c>
      <c r="AG6551">
        <v>7.7495759999999896</v>
      </c>
      <c r="AH6551">
        <v>67.003200616118704</v>
      </c>
      <c r="AI6551">
        <v>84.236639595287997</v>
      </c>
      <c r="AJ6551">
        <v>119.232197543547</v>
      </c>
      <c r="AK6551">
        <v>77.171586334792295</v>
      </c>
      <c r="AL6551">
        <v>75.365121487616506</v>
      </c>
      <c r="AM6551">
        <v>107.345505082451</v>
      </c>
      <c r="AN6551">
        <v>1.00000000196237</v>
      </c>
    </row>
    <row r="6552" spans="1:40" x14ac:dyDescent="0.25">
      <c r="A6552" t="str">
        <f>"20190304155801962"</f>
        <v>20190304155801962</v>
      </c>
      <c r="B6552" t="str">
        <f>"1551686281950862"</f>
        <v>1551686281950862</v>
      </c>
      <c r="C6552" t="s">
        <v>40</v>
      </c>
      <c r="D6552">
        <v>4.3598299999999997</v>
      </c>
      <c r="E6552">
        <v>0.41645510000000002</v>
      </c>
      <c r="F6552" t="s">
        <v>98</v>
      </c>
      <c r="G6552">
        <v>-148.65639999999999</v>
      </c>
      <c r="H6552">
        <v>8.8130839999999999</v>
      </c>
      <c r="I6552">
        <v>-22.65</v>
      </c>
      <c r="J6552">
        <v>-214.5085</v>
      </c>
      <c r="K6552">
        <v>1.112125</v>
      </c>
      <c r="L6552">
        <v>-63.061489999999999</v>
      </c>
      <c r="M6552">
        <v>0.99913540000000001</v>
      </c>
      <c r="N6552">
        <v>-1.3829670000000001E-2</v>
      </c>
      <c r="O6552">
        <v>3.92056E-2</v>
      </c>
      <c r="P6552">
        <v>0.91483519999999896</v>
      </c>
      <c r="Q6552">
        <v>0.2407166</v>
      </c>
      <c r="R6552">
        <v>0.3242409</v>
      </c>
      <c r="S6552">
        <v>2.6289829999999998</v>
      </c>
      <c r="T6552">
        <v>0.30687170000000003</v>
      </c>
      <c r="U6552">
        <v>1.610565</v>
      </c>
      <c r="V6552">
        <v>-0.28903649999999997</v>
      </c>
      <c r="W6552">
        <v>0.25246780000000002</v>
      </c>
      <c r="X6552">
        <v>0.9234272</v>
      </c>
      <c r="Y6552">
        <v>-0.48675790000000002</v>
      </c>
      <c r="Z6552">
        <v>-1.7751869999999999E-2</v>
      </c>
      <c r="AA6552">
        <v>0.87335649999999998</v>
      </c>
      <c r="AB6552">
        <v>24</v>
      </c>
      <c r="AC6552">
        <v>65.852099999999993</v>
      </c>
      <c r="AD6552">
        <v>7.7009589999999903</v>
      </c>
      <c r="AE6552">
        <v>40.411490000000001</v>
      </c>
      <c r="AF6552">
        <v>-37.4265823458367</v>
      </c>
      <c r="AG6552">
        <v>7.7009589999999903</v>
      </c>
      <c r="AH6552">
        <v>66.723109604403405</v>
      </c>
      <c r="AI6552">
        <v>84.251851217765406</v>
      </c>
      <c r="AJ6552">
        <v>119.289105605565</v>
      </c>
      <c r="AK6552">
        <v>76.889707964659394</v>
      </c>
      <c r="AL6552">
        <v>75.376407055163597</v>
      </c>
      <c r="AM6552">
        <v>107.38033403639299</v>
      </c>
      <c r="AN6552">
        <v>0.99999994103446299</v>
      </c>
    </row>
    <row r="6553" spans="1:40" x14ac:dyDescent="0.25">
      <c r="A6553" t="str">
        <f>"20190304155801973"</f>
        <v>20190304155801973</v>
      </c>
      <c r="B6553" t="str">
        <f>"1551686281971358"</f>
        <v>1551686281971358</v>
      </c>
      <c r="C6553" t="s">
        <v>40</v>
      </c>
      <c r="D6553">
        <v>4.5199170000000004</v>
      </c>
      <c r="E6553">
        <v>0.41637289999999999</v>
      </c>
      <c r="F6553" t="s">
        <v>98</v>
      </c>
      <c r="G6553">
        <v>-148.8109</v>
      </c>
      <c r="H6553">
        <v>8.8442100000000003</v>
      </c>
      <c r="I6553">
        <v>-22.65</v>
      </c>
      <c r="J6553">
        <v>-214.38810000000001</v>
      </c>
      <c r="K6553">
        <v>1.112174</v>
      </c>
      <c r="L6553">
        <v>-63.055540000000001</v>
      </c>
      <c r="M6553">
        <v>0.99908889999999995</v>
      </c>
      <c r="N6553">
        <v>-1.383002E-2</v>
      </c>
      <c r="O6553">
        <v>4.0376799999999997E-2</v>
      </c>
      <c r="P6553">
        <v>0.91423370000000004</v>
      </c>
      <c r="Q6553">
        <v>0.240567</v>
      </c>
      <c r="R6553">
        <v>0.32604379999999999</v>
      </c>
      <c r="S6553">
        <v>2.6255649999999999</v>
      </c>
      <c r="T6553">
        <v>0.3090079</v>
      </c>
      <c r="U6553">
        <v>1.61502099999999</v>
      </c>
      <c r="V6553">
        <v>-0.28980790000000001</v>
      </c>
      <c r="W6553">
        <v>0.25227539999999998</v>
      </c>
      <c r="X6553">
        <v>0.923238</v>
      </c>
      <c r="Y6553">
        <v>-0.48729289999999997</v>
      </c>
      <c r="Z6553">
        <v>-1.7801359999999999E-2</v>
      </c>
      <c r="AA6553">
        <v>0.87305710000000003</v>
      </c>
      <c r="AB6553">
        <v>24</v>
      </c>
      <c r="AC6553">
        <v>65.577200000000005</v>
      </c>
      <c r="AD6553">
        <v>7.7320359999999999</v>
      </c>
      <c r="AE6553">
        <v>40.405540000000002</v>
      </c>
      <c r="AF6553">
        <v>-37.3481897805015</v>
      </c>
      <c r="AG6553">
        <v>7.7320359999999999</v>
      </c>
      <c r="AH6553">
        <v>66.485367383338996</v>
      </c>
      <c r="AI6553">
        <v>84.210343522000102</v>
      </c>
      <c r="AJ6553">
        <v>119.325122488771</v>
      </c>
      <c r="AK6553">
        <v>76.648390307189203</v>
      </c>
      <c r="AL6553">
        <v>75.387799675257995</v>
      </c>
      <c r="AM6553">
        <v>107.42727035015299</v>
      </c>
      <c r="AN6553">
        <v>0.99999995049578305</v>
      </c>
    </row>
    <row r="6554" spans="1:40" x14ac:dyDescent="0.25">
      <c r="A6554" t="str">
        <f>"20190304155801984"</f>
        <v>20190304155801984</v>
      </c>
      <c r="B6554" t="str">
        <f>"1551686281981118"</f>
        <v>1551686281981118</v>
      </c>
      <c r="C6554" t="s">
        <v>40</v>
      </c>
      <c r="D6554">
        <v>4.4086259999999999</v>
      </c>
      <c r="E6554">
        <v>0.4163599</v>
      </c>
      <c r="F6554" t="s">
        <v>98</v>
      </c>
      <c r="G6554">
        <v>-149.04759999999999</v>
      </c>
      <c r="H6554">
        <v>8.97227</v>
      </c>
      <c r="I6554">
        <v>-22.65</v>
      </c>
      <c r="J6554">
        <v>-214.27099999999999</v>
      </c>
      <c r="K6554">
        <v>1.1122240000000001</v>
      </c>
      <c r="L6554">
        <v>-63.04956</v>
      </c>
      <c r="M6554">
        <v>0.99904040000000005</v>
      </c>
      <c r="N6554">
        <v>-1.383057E-2</v>
      </c>
      <c r="O6554">
        <v>4.1559930000000002E-2</v>
      </c>
      <c r="P6554">
        <v>0.91375059999999997</v>
      </c>
      <c r="Q6554">
        <v>0.239983</v>
      </c>
      <c r="R6554">
        <v>0.32782319999999998</v>
      </c>
      <c r="S6554">
        <v>2.6205599999999998</v>
      </c>
      <c r="T6554">
        <v>0.31523859999999998</v>
      </c>
      <c r="U6554">
        <v>1.620514</v>
      </c>
      <c r="V6554">
        <v>-0.29053770000000001</v>
      </c>
      <c r="W6554">
        <v>0.25165189999999998</v>
      </c>
      <c r="X6554">
        <v>0.92317890000000002</v>
      </c>
      <c r="Y6554">
        <v>-0.48824640000000002</v>
      </c>
      <c r="Z6554">
        <v>-1.8164989999999999E-2</v>
      </c>
      <c r="AA6554">
        <v>0.87251679999999998</v>
      </c>
      <c r="AB6554">
        <v>24</v>
      </c>
      <c r="AC6554">
        <v>65.223399999999998</v>
      </c>
      <c r="AD6554">
        <v>7.8600459999999996</v>
      </c>
      <c r="AE6554">
        <v>40.399560000000001</v>
      </c>
      <c r="AF6554">
        <v>-37.262610241704401</v>
      </c>
      <c r="AG6554">
        <v>7.8600459999999996</v>
      </c>
      <c r="AH6554">
        <v>66.151885926878194</v>
      </c>
      <c r="AI6554">
        <v>84.089560384069799</v>
      </c>
      <c r="AJ6554">
        <v>119.392069933584</v>
      </c>
      <c r="AK6554">
        <v>76.330560438332896</v>
      </c>
      <c r="AL6554">
        <v>75.4247161899155</v>
      </c>
      <c r="AM6554">
        <v>107.469539910056</v>
      </c>
      <c r="AN6554">
        <v>1.0000000576500501</v>
      </c>
    </row>
    <row r="6555" spans="1:40" x14ac:dyDescent="0.25">
      <c r="A6555" t="str">
        <f>"20190304155801995"</f>
        <v>20190304155801995</v>
      </c>
      <c r="B6555" t="str">
        <f>"1551686281990878"</f>
        <v>1551686281990878</v>
      </c>
      <c r="C6555" t="s">
        <v>40</v>
      </c>
      <c r="D6555">
        <v>4.3591189999999997</v>
      </c>
      <c r="E6555">
        <v>0.41651870000000002</v>
      </c>
      <c r="F6555" t="s">
        <v>98</v>
      </c>
      <c r="G6555">
        <v>-149.21449999999999</v>
      </c>
      <c r="H6555">
        <v>8.9339750000000002</v>
      </c>
      <c r="I6555">
        <v>-22.650010000000002</v>
      </c>
      <c r="J6555">
        <v>-214.14359999999999</v>
      </c>
      <c r="K6555">
        <v>1.112277</v>
      </c>
      <c r="L6555">
        <v>-63.042879999999997</v>
      </c>
      <c r="M6555">
        <v>0.99898419999999999</v>
      </c>
      <c r="N6555">
        <v>-1.383126E-2</v>
      </c>
      <c r="O6555">
        <v>4.2887700000000001E-2</v>
      </c>
      <c r="P6555">
        <v>0.91322049999999999</v>
      </c>
      <c r="Q6555">
        <v>0.23924519999999999</v>
      </c>
      <c r="R6555">
        <v>0.3298336</v>
      </c>
      <c r="S6555">
        <v>2.6173709999999999</v>
      </c>
      <c r="T6555">
        <v>0.31468669999999999</v>
      </c>
      <c r="U6555">
        <v>1.6253660000000001</v>
      </c>
      <c r="V6555">
        <v>-0.29136800000000002</v>
      </c>
      <c r="W6555">
        <v>0.25087199999999998</v>
      </c>
      <c r="X6555">
        <v>0.92312939999999999</v>
      </c>
      <c r="Y6555">
        <v>-0.48874410000000001</v>
      </c>
      <c r="Z6555">
        <v>-1.7998819999999999E-2</v>
      </c>
      <c r="AA6555">
        <v>0.87224159999999995</v>
      </c>
      <c r="AB6555">
        <v>24</v>
      </c>
      <c r="AC6555">
        <v>64.929100000000005</v>
      </c>
      <c r="AD6555">
        <v>7.8216979999999996</v>
      </c>
      <c r="AE6555">
        <v>40.392870000000002</v>
      </c>
      <c r="AF6555">
        <v>-37.1817519886281</v>
      </c>
      <c r="AG6555">
        <v>7.8216979999999996</v>
      </c>
      <c r="AH6555">
        <v>65.912253882524595</v>
      </c>
      <c r="AI6555">
        <v>84.099019126391099</v>
      </c>
      <c r="AJ6555">
        <v>119.427773304871</v>
      </c>
      <c r="AK6555">
        <v>76.079477209175295</v>
      </c>
      <c r="AL6555">
        <v>75.470881067557499</v>
      </c>
      <c r="AM6555">
        <v>107.517297058655</v>
      </c>
      <c r="AN6555">
        <v>0.999999980476179</v>
      </c>
    </row>
    <row r="6556" spans="1:40" x14ac:dyDescent="0.25">
      <c r="A6556" t="str">
        <f>"20190304155802006"</f>
        <v>20190304155802006</v>
      </c>
      <c r="B6556" t="str">
        <f>"1551686282000639"</f>
        <v>1551686282000639</v>
      </c>
      <c r="C6556" t="s">
        <v>40</v>
      </c>
      <c r="D6556">
        <v>4.2615910000000001</v>
      </c>
      <c r="E6556">
        <v>0.41651870000000002</v>
      </c>
      <c r="F6556" t="s">
        <v>98</v>
      </c>
      <c r="G6556">
        <v>-149.3279</v>
      </c>
      <c r="H6556">
        <v>8.8773400000000002</v>
      </c>
      <c r="I6556">
        <v>-22.65</v>
      </c>
      <c r="J6556">
        <v>-214.02340000000001</v>
      </c>
      <c r="K6556">
        <v>1.1123240000000001</v>
      </c>
      <c r="L6556">
        <v>-63.036349999999999</v>
      </c>
      <c r="M6556">
        <v>0.99892809999999999</v>
      </c>
      <c r="N6556">
        <v>-1.3831950000000001E-2</v>
      </c>
      <c r="O6556">
        <v>4.4173150000000001E-2</v>
      </c>
      <c r="P6556">
        <v>0.91262759999999998</v>
      </c>
      <c r="Q6556">
        <v>0.23855660000000001</v>
      </c>
      <c r="R6556">
        <v>0.33196639999999999</v>
      </c>
      <c r="S6556">
        <v>2.6145320000000001</v>
      </c>
      <c r="T6556">
        <v>0.31322620000000001</v>
      </c>
      <c r="U6556">
        <v>1.629364</v>
      </c>
      <c r="V6556">
        <v>-0.29236069999999997</v>
      </c>
      <c r="W6556">
        <v>0.25014160000000002</v>
      </c>
      <c r="X6556">
        <v>0.92301369999999905</v>
      </c>
      <c r="Y6556">
        <v>-0.4890333</v>
      </c>
      <c r="Z6556">
        <v>-1.7764229999999999E-2</v>
      </c>
      <c r="AA6556">
        <v>0.87208419999999898</v>
      </c>
      <c r="AB6556">
        <v>24</v>
      </c>
      <c r="AC6556">
        <v>64.695499999999996</v>
      </c>
      <c r="AD6556">
        <v>7.7650160000000001</v>
      </c>
      <c r="AE6556">
        <v>40.38635</v>
      </c>
      <c r="AF6556">
        <v>-37.104214975227201</v>
      </c>
      <c r="AG6556">
        <v>7.7650160000000001</v>
      </c>
      <c r="AH6556">
        <v>65.735080315753905</v>
      </c>
      <c r="AI6556">
        <v>84.126654629399894</v>
      </c>
      <c r="AJ6556">
        <v>119.442587699889</v>
      </c>
      <c r="AK6556">
        <v>75.882270831379003</v>
      </c>
      <c r="AL6556">
        <v>75.514107681374796</v>
      </c>
      <c r="AM6556">
        <v>107.575378744424</v>
      </c>
      <c r="AN6556">
        <v>0.99999994467136799</v>
      </c>
    </row>
    <row r="6557" spans="1:40" x14ac:dyDescent="0.25">
      <c r="A6557" t="str">
        <f>"20190304155802019"</f>
        <v>20190304155802019</v>
      </c>
      <c r="B6557" t="str">
        <f>"1551686282011374"</f>
        <v>1551686282011374</v>
      </c>
      <c r="C6557" t="s">
        <v>40</v>
      </c>
      <c r="D6557">
        <v>4.3594999999999997</v>
      </c>
      <c r="E6557">
        <v>0.4165644</v>
      </c>
      <c r="F6557" t="s">
        <v>98</v>
      </c>
      <c r="G6557">
        <v>-149.51669999999999</v>
      </c>
      <c r="H6557">
        <v>8.7765059999999995</v>
      </c>
      <c r="I6557">
        <v>-22.650010000000002</v>
      </c>
      <c r="J6557">
        <v>-213.9006</v>
      </c>
      <c r="K6557">
        <v>1.112374</v>
      </c>
      <c r="L6557">
        <v>-63.029420000000002</v>
      </c>
      <c r="M6557">
        <v>0.9988667</v>
      </c>
      <c r="N6557">
        <v>-1.383276E-2</v>
      </c>
      <c r="O6557">
        <v>4.5540730000000001E-2</v>
      </c>
      <c r="P6557">
        <v>0.91189580000000003</v>
      </c>
      <c r="Q6557">
        <v>0.23796020000000001</v>
      </c>
      <c r="R6557">
        <v>0.33439659999999999</v>
      </c>
      <c r="S6557">
        <v>2.6114039999999998</v>
      </c>
      <c r="T6557">
        <v>0.31026670000000001</v>
      </c>
      <c r="U6557">
        <v>1.634949</v>
      </c>
      <c r="V6557">
        <v>-0.2935817</v>
      </c>
      <c r="W6557">
        <v>0.24950169999999999</v>
      </c>
      <c r="X6557">
        <v>0.92279929999999999</v>
      </c>
      <c r="Y6557">
        <v>-0.48969390000000002</v>
      </c>
      <c r="Z6557">
        <v>-1.7432380000000001E-2</v>
      </c>
      <c r="AA6557">
        <v>0.87172019999999995</v>
      </c>
      <c r="AB6557">
        <v>24</v>
      </c>
      <c r="AC6557">
        <v>64.383899999999997</v>
      </c>
      <c r="AD6557">
        <v>7.6641319999999897</v>
      </c>
      <c r="AE6557">
        <v>40.379409999999901</v>
      </c>
      <c r="AF6557">
        <v>-37.028561893360703</v>
      </c>
      <c r="AG6557">
        <v>7.6641319999999897</v>
      </c>
      <c r="AH6557">
        <v>65.4901458342475</v>
      </c>
      <c r="AI6557">
        <v>84.183269438665107</v>
      </c>
      <c r="AJ6557">
        <v>119.484105202348</v>
      </c>
      <c r="AK6557">
        <v>75.622830657116197</v>
      </c>
      <c r="AL6557">
        <v>75.551971646352001</v>
      </c>
      <c r="AM6557">
        <v>107.648079869367</v>
      </c>
      <c r="AN6557">
        <v>0.99999993047913205</v>
      </c>
    </row>
    <row r="6558" spans="1:40" x14ac:dyDescent="0.25">
      <c r="A6558" t="str">
        <f>"20190304155802027"</f>
        <v>20190304155802027</v>
      </c>
      <c r="B6558" t="str">
        <f>"1551686282021134"</f>
        <v>1551686282021134</v>
      </c>
      <c r="C6558" t="s">
        <v>40</v>
      </c>
      <c r="D6558">
        <v>3.990157</v>
      </c>
      <c r="E6558">
        <v>0.4165644</v>
      </c>
      <c r="F6558" t="s">
        <v>98</v>
      </c>
      <c r="G6558">
        <v>-151.34030000000001</v>
      </c>
      <c r="H6558">
        <v>8.5227439999999994</v>
      </c>
      <c r="I6558">
        <v>-23.660599999999999</v>
      </c>
      <c r="J6558">
        <v>-213.791</v>
      </c>
      <c r="K6558">
        <v>1.1124149999999999</v>
      </c>
      <c r="L6558">
        <v>-63.023159999999997</v>
      </c>
      <c r="M6558">
        <v>0.99880959999999996</v>
      </c>
      <c r="N6558">
        <v>-1.3833420000000001E-2</v>
      </c>
      <c r="O6558">
        <v>4.6777230000000003E-2</v>
      </c>
      <c r="P6558">
        <v>0.91117230000000005</v>
      </c>
      <c r="Q6558">
        <v>0.23758750000000001</v>
      </c>
      <c r="R6558">
        <v>0.33662639999999999</v>
      </c>
      <c r="S6558">
        <v>2.607529</v>
      </c>
      <c r="T6558">
        <v>0.30886540000000001</v>
      </c>
      <c r="U6558">
        <v>1.6409</v>
      </c>
      <c r="V6558">
        <v>-0.29472179999999998</v>
      </c>
      <c r="W6558">
        <v>0.24908930000000001</v>
      </c>
      <c r="X6558">
        <v>0.92254729999999996</v>
      </c>
      <c r="Y6558">
        <v>-0.49064489999999999</v>
      </c>
      <c r="Z6558">
        <v>-1.7243689999999999E-2</v>
      </c>
      <c r="AA6558">
        <v>0.87118890000000004</v>
      </c>
      <c r="AB6558">
        <v>24</v>
      </c>
      <c r="AC6558">
        <v>62.450699999999898</v>
      </c>
      <c r="AD6558">
        <v>7.4103289999999902</v>
      </c>
      <c r="AE6558">
        <v>39.362559999999903</v>
      </c>
      <c r="AF6558">
        <v>-36.0348013917747</v>
      </c>
      <c r="AG6558">
        <v>7.4103289999999902</v>
      </c>
      <c r="AH6558">
        <v>63.583065321538797</v>
      </c>
      <c r="AI6558">
        <v>84.210322214871297</v>
      </c>
      <c r="AJ6558">
        <v>119.541781805279</v>
      </c>
      <c r="AK6558">
        <v>73.459009542165504</v>
      </c>
      <c r="AL6558">
        <v>75.576371348746804</v>
      </c>
      <c r="AM6558">
        <v>107.716874173699</v>
      </c>
      <c r="AN6558">
        <v>0.99999996975350902</v>
      </c>
    </row>
    <row r="6559" spans="1:40" x14ac:dyDescent="0.25">
      <c r="A6559" t="str">
        <f>"20190304155802041"</f>
        <v>20190304155802041</v>
      </c>
      <c r="B6559" t="str">
        <f>"1551686282030894"</f>
        <v>1551686282030894</v>
      </c>
      <c r="C6559" t="s">
        <v>40</v>
      </c>
      <c r="D6559">
        <v>4.4008339999999997</v>
      </c>
      <c r="E6559">
        <v>0.41663709999999998</v>
      </c>
      <c r="F6559" t="s">
        <v>98</v>
      </c>
      <c r="G6559">
        <v>-151.55170000000001</v>
      </c>
      <c r="H6559">
        <v>8.44755099999999</v>
      </c>
      <c r="I6559">
        <v>-23.660599999999999</v>
      </c>
      <c r="J6559">
        <v>-213.66210000000001</v>
      </c>
      <c r="K6559">
        <v>1.1124670000000001</v>
      </c>
      <c r="L6559">
        <v>-63.015469999999901</v>
      </c>
      <c r="M6559">
        <v>0.99873719999999999</v>
      </c>
      <c r="N6559">
        <v>-1.3834529999999999E-2</v>
      </c>
      <c r="O6559">
        <v>4.8298630000000002E-2</v>
      </c>
      <c r="P6559">
        <v>0.91042559999999995</v>
      </c>
      <c r="Q6559">
        <v>0.23733380000000001</v>
      </c>
      <c r="R6559">
        <v>0.33881860000000003</v>
      </c>
      <c r="S6559">
        <v>2.6040190000000001</v>
      </c>
      <c r="T6559">
        <v>0.30689280000000002</v>
      </c>
      <c r="U6559">
        <v>1.646881</v>
      </c>
      <c r="V6559">
        <v>-0.29556710000000003</v>
      </c>
      <c r="W6559">
        <v>0.24879280000000001</v>
      </c>
      <c r="X6559">
        <v>0.92235690000000004</v>
      </c>
      <c r="Y6559">
        <v>-0.49131000000000002</v>
      </c>
      <c r="Z6559">
        <v>-1.696601E-2</v>
      </c>
      <c r="AA6559">
        <v>0.87081960000000003</v>
      </c>
      <c r="AB6559">
        <v>24</v>
      </c>
      <c r="AC6559">
        <v>62.110399999999998</v>
      </c>
      <c r="AD6559">
        <v>7.3350839999999904</v>
      </c>
      <c r="AE6559">
        <v>39.354869999999899</v>
      </c>
      <c r="AF6559">
        <v>-35.951026978597099</v>
      </c>
      <c r="AG6559">
        <v>7.3350839999999904</v>
      </c>
      <c r="AH6559">
        <v>63.308842723785197</v>
      </c>
      <c r="AI6559">
        <v>84.246834779473403</v>
      </c>
      <c r="AJ6559">
        <v>119.59082986719901</v>
      </c>
      <c r="AK6559">
        <v>73.173009813235396</v>
      </c>
      <c r="AL6559">
        <v>75.593912327825507</v>
      </c>
      <c r="AM6559">
        <v>107.767934556564</v>
      </c>
      <c r="AN6559">
        <v>1.00000000945593</v>
      </c>
    </row>
    <row r="6560" spans="1:40" x14ac:dyDescent="0.25">
      <c r="A6560" t="str">
        <f>"20190304155802053"</f>
        <v>20190304155802053</v>
      </c>
      <c r="B6560" t="str">
        <f>"1551686282040656"</f>
        <v>1551686282040656</v>
      </c>
      <c r="C6560" t="s">
        <v>40</v>
      </c>
      <c r="D6560">
        <v>4.407686</v>
      </c>
      <c r="E6560">
        <v>0.41671449999999999</v>
      </c>
      <c r="F6560" t="s">
        <v>98</v>
      </c>
      <c r="G6560">
        <v>-151.71879999999999</v>
      </c>
      <c r="H6560">
        <v>8.4154330000000002</v>
      </c>
      <c r="I6560">
        <v>-23.660599999999999</v>
      </c>
      <c r="J6560">
        <v>-213.53639999999999</v>
      </c>
      <c r="K6560">
        <v>1.1125160000000001</v>
      </c>
      <c r="L6560">
        <v>-63.007809999999999</v>
      </c>
      <c r="M6560">
        <v>0.99866319999999997</v>
      </c>
      <c r="N6560">
        <v>-1.383561E-2</v>
      </c>
      <c r="O6560">
        <v>4.9805049999999997E-2</v>
      </c>
      <c r="P6560">
        <v>0.90970620000000002</v>
      </c>
      <c r="Q6560">
        <v>0.23706450000000001</v>
      </c>
      <c r="R6560">
        <v>0.34093259999999997</v>
      </c>
      <c r="S6560">
        <v>2.600403</v>
      </c>
      <c r="T6560">
        <v>0.30658069999999998</v>
      </c>
      <c r="U6560">
        <v>1.6521300000000001</v>
      </c>
      <c r="V6560">
        <v>-0.29634650000000001</v>
      </c>
      <c r="W6560">
        <v>0.24848290000000001</v>
      </c>
      <c r="X6560">
        <v>0.92219030000000002</v>
      </c>
      <c r="Y6560">
        <v>-0.49180780000000002</v>
      </c>
      <c r="Z6560">
        <v>-1.679984E-2</v>
      </c>
      <c r="AA6560">
        <v>0.87054169999999997</v>
      </c>
      <c r="AB6560">
        <v>24</v>
      </c>
      <c r="AC6560">
        <v>61.817599999999999</v>
      </c>
      <c r="AD6560">
        <v>7.3029169999999999</v>
      </c>
      <c r="AE6560">
        <v>39.347209999999997</v>
      </c>
      <c r="AF6560">
        <v>-35.863043914096103</v>
      </c>
      <c r="AG6560">
        <v>7.3029169999999999</v>
      </c>
      <c r="AH6560">
        <v>63.074272484990502</v>
      </c>
      <c r="AI6560">
        <v>84.252494670280598</v>
      </c>
      <c r="AJ6560">
        <v>119.621882386124</v>
      </c>
      <c r="AK6560">
        <v>72.923620076104996</v>
      </c>
      <c r="AL6560">
        <v>75.612243453787997</v>
      </c>
      <c r="AM6560">
        <v>107.814845007739</v>
      </c>
      <c r="AN6560">
        <v>0.99999997453437395</v>
      </c>
    </row>
    <row r="6561" spans="1:40" x14ac:dyDescent="0.25">
      <c r="A6561" t="str">
        <f>"20190304155802064"</f>
        <v>20190304155802064</v>
      </c>
      <c r="B6561" t="str">
        <f>"1551686282061149"</f>
        <v>1551686282061149</v>
      </c>
      <c r="C6561" t="s">
        <v>40</v>
      </c>
      <c r="D6561">
        <v>3.9755690000000001</v>
      </c>
      <c r="E6561">
        <v>0.41697129999999999</v>
      </c>
      <c r="F6561" t="s">
        <v>98</v>
      </c>
      <c r="G6561">
        <v>-151.8826</v>
      </c>
      <c r="H6561">
        <v>8.3849559999999901</v>
      </c>
      <c r="I6561">
        <v>-23.660599999999999</v>
      </c>
      <c r="J6561">
        <v>-213.41200000000001</v>
      </c>
      <c r="K6561">
        <v>1.1125609999999999</v>
      </c>
      <c r="L6561">
        <v>-62.999940000000002</v>
      </c>
      <c r="M6561">
        <v>0.9985851</v>
      </c>
      <c r="N6561">
        <v>-1.3836950000000001E-2</v>
      </c>
      <c r="O6561">
        <v>5.1348820000000003E-2</v>
      </c>
      <c r="P6561">
        <v>0.90893190000000001</v>
      </c>
      <c r="Q6561">
        <v>0.23677480000000001</v>
      </c>
      <c r="R6561">
        <v>0.34319169999999999</v>
      </c>
      <c r="S6561">
        <v>2.596832</v>
      </c>
      <c r="T6561">
        <v>0.30631180000000002</v>
      </c>
      <c r="U6561">
        <v>1.6572880000000001</v>
      </c>
      <c r="V6561">
        <v>-0.29724</v>
      </c>
      <c r="W6561">
        <v>0.24815219999999999</v>
      </c>
      <c r="X6561">
        <v>0.92199180000000003</v>
      </c>
      <c r="Y6561">
        <v>-0.49224420000000002</v>
      </c>
      <c r="Z6561">
        <v>-1.662922E-2</v>
      </c>
      <c r="AA6561">
        <v>0.87029829999999997</v>
      </c>
      <c r="AB6561">
        <v>24</v>
      </c>
      <c r="AC6561">
        <v>61.529400000000003</v>
      </c>
      <c r="AD6561">
        <v>7.2723949999999897</v>
      </c>
      <c r="AE6561">
        <v>39.33934</v>
      </c>
      <c r="AF6561">
        <v>-35.772936092803697</v>
      </c>
      <c r="AG6561">
        <v>7.2723949999999897</v>
      </c>
      <c r="AH6561">
        <v>62.845247351662401</v>
      </c>
      <c r="AI6561">
        <v>84.257201942560101</v>
      </c>
      <c r="AJ6561">
        <v>119.64951067813401</v>
      </c>
      <c r="AK6561">
        <v>72.678165912655501</v>
      </c>
      <c r="AL6561">
        <v>75.631804281448396</v>
      </c>
      <c r="AM6561">
        <v>107.868749684934</v>
      </c>
      <c r="AN6561">
        <v>1.0000000056160401</v>
      </c>
    </row>
    <row r="6562" spans="1:40" x14ac:dyDescent="0.25">
      <c r="A6562" t="str">
        <f>"20190304155802075"</f>
        <v>20190304155802075</v>
      </c>
      <c r="B6562" t="str">
        <f>"1551686282070910"</f>
        <v>1551686282070910</v>
      </c>
      <c r="C6562" t="s">
        <v>40</v>
      </c>
      <c r="D6562">
        <v>4.3603820000000004</v>
      </c>
      <c r="E6562">
        <v>0.41706919999999997</v>
      </c>
      <c r="F6562" t="s">
        <v>98</v>
      </c>
      <c r="G6562">
        <v>-152.00190000000001</v>
      </c>
      <c r="H6562">
        <v>8.3131570000000004</v>
      </c>
      <c r="I6562">
        <v>-23.660599999999999</v>
      </c>
      <c r="J6562">
        <v>-213.29509999999999</v>
      </c>
      <c r="K6562">
        <v>1.112601</v>
      </c>
      <c r="L6562">
        <v>-62.992400000000004</v>
      </c>
      <c r="M6562">
        <v>0.9985079</v>
      </c>
      <c r="N6562">
        <v>-1.383824E-2</v>
      </c>
      <c r="O6562">
        <v>5.2825299999999999E-2</v>
      </c>
      <c r="P6562">
        <v>0.90820040000000002</v>
      </c>
      <c r="Q6562">
        <v>0.23652999999999999</v>
      </c>
      <c r="R6562">
        <v>0.34529080000000001</v>
      </c>
      <c r="S6562">
        <v>2.5939480000000001</v>
      </c>
      <c r="T6562">
        <v>0.3041508</v>
      </c>
      <c r="U6562">
        <v>1.6616820000000001</v>
      </c>
      <c r="V6562">
        <v>-0.2980315</v>
      </c>
      <c r="W6562">
        <v>0.24787039999999999</v>
      </c>
      <c r="X6562">
        <v>0.92181210000000002</v>
      </c>
      <c r="Y6562">
        <v>-0.49247760000000002</v>
      </c>
      <c r="Z6562">
        <v>-1.6326420000000001E-2</v>
      </c>
      <c r="AA6562">
        <v>0.87017199999999995</v>
      </c>
      <c r="AB6562">
        <v>24</v>
      </c>
      <c r="AC6562">
        <v>61.293199999999899</v>
      </c>
      <c r="AD6562">
        <v>7.2005559999999997</v>
      </c>
      <c r="AE6562">
        <v>39.331800000000001</v>
      </c>
      <c r="AF6562">
        <v>-35.689843758198499</v>
      </c>
      <c r="AG6562">
        <v>7.2005559999999997</v>
      </c>
      <c r="AH6562">
        <v>62.672855729058398</v>
      </c>
      <c r="AI6562">
        <v>84.298603264165493</v>
      </c>
      <c r="AJ6562">
        <v>119.65989225338301</v>
      </c>
      <c r="AK6562">
        <v>72.4810306178736</v>
      </c>
      <c r="AL6562">
        <v>75.648471288400202</v>
      </c>
      <c r="AM6562">
        <v>107.916563036369</v>
      </c>
      <c r="AN6562">
        <v>1.0000000289474</v>
      </c>
    </row>
    <row r="6563" spans="1:40" x14ac:dyDescent="0.25">
      <c r="A6563" t="str">
        <f>"20190304155802085"</f>
        <v>20190304155802085</v>
      </c>
      <c r="B6563" t="str">
        <f>"1551686282080670"</f>
        <v>1551686282080670</v>
      </c>
      <c r="C6563" t="s">
        <v>40</v>
      </c>
      <c r="D6563">
        <v>4.3666470000000004</v>
      </c>
      <c r="E6563">
        <v>0.41734670000000001</v>
      </c>
      <c r="F6563" t="s">
        <v>98</v>
      </c>
      <c r="G6563">
        <v>-152.16579999999999</v>
      </c>
      <c r="H6563">
        <v>8.2849259999999898</v>
      </c>
      <c r="I6563">
        <v>-23.660599999999999</v>
      </c>
      <c r="J6563">
        <v>-213.18180000000001</v>
      </c>
      <c r="K6563">
        <v>1.1126389999999999</v>
      </c>
      <c r="L6563">
        <v>-62.984859999999998</v>
      </c>
      <c r="M6563">
        <v>0.99842960000000003</v>
      </c>
      <c r="N6563">
        <v>-1.3839550000000001E-2</v>
      </c>
      <c r="O6563">
        <v>5.4286359999999999E-2</v>
      </c>
      <c r="P6563">
        <v>0.90745929999999997</v>
      </c>
      <c r="Q6563">
        <v>0.23605960000000001</v>
      </c>
      <c r="R6563">
        <v>0.34755380000000002</v>
      </c>
      <c r="S6563">
        <v>2.590408</v>
      </c>
      <c r="T6563">
        <v>0.30393300000000001</v>
      </c>
      <c r="U6563">
        <v>1.6667179999999999</v>
      </c>
      <c r="V6563">
        <v>-0.29900009999999999</v>
      </c>
      <c r="W6563">
        <v>0.2473641</v>
      </c>
      <c r="X6563">
        <v>0.92163439999999996</v>
      </c>
      <c r="Y6563">
        <v>-0.49295099999999997</v>
      </c>
      <c r="Z6563">
        <v>-1.6171749999999999E-2</v>
      </c>
      <c r="AA6563">
        <v>0.86990679999999998</v>
      </c>
      <c r="AB6563">
        <v>24</v>
      </c>
      <c r="AC6563">
        <v>61.015999999999998</v>
      </c>
      <c r="AD6563">
        <v>7.1722869999999901</v>
      </c>
      <c r="AE6563">
        <v>39.324260000000002</v>
      </c>
      <c r="AF6563">
        <v>-35.60600677419</v>
      </c>
      <c r="AG6563">
        <v>7.1722869999999901</v>
      </c>
      <c r="AH6563">
        <v>62.4513072376837</v>
      </c>
      <c r="AI6563">
        <v>84.302475709505003</v>
      </c>
      <c r="AJ6563">
        <v>119.689206950391</v>
      </c>
      <c r="AK6563">
        <v>72.245381824097294</v>
      </c>
      <c r="AL6563">
        <v>75.678412334209398</v>
      </c>
      <c r="AM6563">
        <v>107.974294744793</v>
      </c>
      <c r="AN6563">
        <v>1.0000000125160899</v>
      </c>
    </row>
    <row r="6564" spans="1:40" x14ac:dyDescent="0.25">
      <c r="A6564" t="str">
        <f>"20190304155802097"</f>
        <v>20190304155802097</v>
      </c>
      <c r="B6564" t="str">
        <f>"1551686282091415"</f>
        <v>1551686282091415</v>
      </c>
      <c r="C6564" t="s">
        <v>40</v>
      </c>
      <c r="D6564">
        <v>4.3188449999999996</v>
      </c>
      <c r="E6564">
        <v>0.41734670000000001</v>
      </c>
      <c r="F6564" t="s">
        <v>98</v>
      </c>
      <c r="G6564">
        <v>-152.2756</v>
      </c>
      <c r="H6564">
        <v>8.2352650000000001</v>
      </c>
      <c r="I6564">
        <v>-23.660599999999999</v>
      </c>
      <c r="J6564">
        <v>-213.05860000000001</v>
      </c>
      <c r="K6564">
        <v>1.1126799999999999</v>
      </c>
      <c r="L6564">
        <v>-62.976379999999999</v>
      </c>
      <c r="M6564">
        <v>0.99834000000000001</v>
      </c>
      <c r="N6564">
        <v>-1.3840989999999999E-2</v>
      </c>
      <c r="O6564">
        <v>5.5908949999999999E-2</v>
      </c>
      <c r="P6564">
        <v>0.90670510000000004</v>
      </c>
      <c r="Q6564">
        <v>0.23566319999999999</v>
      </c>
      <c r="R6564">
        <v>0.34978389999999998</v>
      </c>
      <c r="S6564">
        <v>2.587402</v>
      </c>
      <c r="T6564">
        <v>0.3025813</v>
      </c>
      <c r="U6564">
        <v>1.670563</v>
      </c>
      <c r="V6564">
        <v>-0.2997882</v>
      </c>
      <c r="W6564">
        <v>0.24693209999999999</v>
      </c>
      <c r="X6564">
        <v>0.92149420000000004</v>
      </c>
      <c r="Y6564">
        <v>-0.49293670000000001</v>
      </c>
      <c r="Z6564">
        <v>-1.5898909999999999E-2</v>
      </c>
      <c r="AA6564">
        <v>0.86991989999999997</v>
      </c>
      <c r="AB6564">
        <v>24</v>
      </c>
      <c r="AC6564">
        <v>60.783000000000001</v>
      </c>
      <c r="AD6564">
        <v>7.1225849999999999</v>
      </c>
      <c r="AE6564">
        <v>39.315779999999997</v>
      </c>
      <c r="AF6564">
        <v>-35.511845178297001</v>
      </c>
      <c r="AG6564">
        <v>7.1225849999999999</v>
      </c>
      <c r="AH6564">
        <v>62.283261435490203</v>
      </c>
      <c r="AI6564">
        <v>84.326597957196199</v>
      </c>
      <c r="AJ6564">
        <v>119.690351121734</v>
      </c>
      <c r="AK6564">
        <v>72.048782224900805</v>
      </c>
      <c r="AL6564">
        <v>75.703956276814907</v>
      </c>
      <c r="AM6564">
        <v>108.021176436959</v>
      </c>
      <c r="AN6564">
        <v>0.99999999375164506</v>
      </c>
    </row>
    <row r="6565" spans="1:40" x14ac:dyDescent="0.25">
      <c r="A6565" t="str">
        <f>"20190304155802107"</f>
        <v>20190304155802107</v>
      </c>
      <c r="B6565" t="str">
        <f>"1551686282101166"</f>
        <v>1551686282101166</v>
      </c>
      <c r="C6565" t="s">
        <v>40</v>
      </c>
      <c r="D6565">
        <v>4.3107049999999996</v>
      </c>
      <c r="E6565">
        <v>0.41912060000000001</v>
      </c>
      <c r="F6565" t="s">
        <v>98</v>
      </c>
      <c r="G6565">
        <v>-152.48150000000001</v>
      </c>
      <c r="H6565">
        <v>8.1701720000000009</v>
      </c>
      <c r="I6565">
        <v>-23.660599999999999</v>
      </c>
      <c r="J6565">
        <v>-212.93559999999999</v>
      </c>
      <c r="K6565">
        <v>1.112724</v>
      </c>
      <c r="L6565">
        <v>-62.967829999999999</v>
      </c>
      <c r="M6565">
        <v>0.99824659999999998</v>
      </c>
      <c r="N6565">
        <v>-1.384238E-2</v>
      </c>
      <c r="O6565">
        <v>5.75506E-2</v>
      </c>
      <c r="P6565">
        <v>0.90595329999999996</v>
      </c>
      <c r="Q6565">
        <v>0.2354144</v>
      </c>
      <c r="R6565">
        <v>0.35189290000000001</v>
      </c>
      <c r="S6565">
        <v>2.5835720000000002</v>
      </c>
      <c r="T6565">
        <v>0.3009965</v>
      </c>
      <c r="U6565">
        <v>1.6767879999999999</v>
      </c>
      <c r="V6565">
        <v>-0.30043920000000002</v>
      </c>
      <c r="W6565">
        <v>0.24664929999999999</v>
      </c>
      <c r="X6565">
        <v>0.92135789999999995</v>
      </c>
      <c r="Y6565">
        <v>-0.4935968</v>
      </c>
      <c r="Z6565">
        <v>-1.5640459999999998E-2</v>
      </c>
      <c r="AA6565">
        <v>0.86955020000000005</v>
      </c>
      <c r="AB6565">
        <v>24</v>
      </c>
      <c r="AC6565">
        <v>60.454099999999897</v>
      </c>
      <c r="AD6565">
        <v>7.0574479999999999</v>
      </c>
      <c r="AE6565">
        <v>39.307229999999997</v>
      </c>
      <c r="AF6565">
        <v>-35.423252921105103</v>
      </c>
      <c r="AG6565">
        <v>7.0574479999999999</v>
      </c>
      <c r="AH6565">
        <v>62.022155522997203</v>
      </c>
      <c r="AI6565">
        <v>84.356979567954795</v>
      </c>
      <c r="AJ6565">
        <v>119.732359300357</v>
      </c>
      <c r="AK6565">
        <v>71.772990710323199</v>
      </c>
      <c r="AL6565">
        <v>75.720676578518706</v>
      </c>
      <c r="AM6565">
        <v>108.06026994891</v>
      </c>
      <c r="AN6565">
        <v>0.99999998498976905</v>
      </c>
    </row>
    <row r="6566" spans="1:40" x14ac:dyDescent="0.25">
      <c r="A6566" t="str">
        <f>"20190304155802119"</f>
        <v>20190304155802119</v>
      </c>
      <c r="B6566" t="str">
        <f>"1551686282110926"</f>
        <v>1551686282110926</v>
      </c>
      <c r="C6566" t="s">
        <v>40</v>
      </c>
      <c r="D6566">
        <v>4.2872050000000002</v>
      </c>
      <c r="E6566">
        <v>0.42030000000000001</v>
      </c>
      <c r="F6566" t="s">
        <v>98</v>
      </c>
      <c r="G6566">
        <v>-152.0341</v>
      </c>
      <c r="H6566">
        <v>7.9721719999999996</v>
      </c>
      <c r="I6566">
        <v>-23.660599999999999</v>
      </c>
      <c r="J6566">
        <v>-212.82</v>
      </c>
      <c r="K6566">
        <v>1.1127609999999999</v>
      </c>
      <c r="L6566">
        <v>-62.959409999999998</v>
      </c>
      <c r="M6566">
        <v>0.99815379999999998</v>
      </c>
      <c r="N6566">
        <v>-1.3843670000000001E-2</v>
      </c>
      <c r="O6566">
        <v>5.9137769999999999E-2</v>
      </c>
      <c r="P6566">
        <v>0.90513759999999999</v>
      </c>
      <c r="Q6566">
        <v>0.23521990000000001</v>
      </c>
      <c r="R6566">
        <v>0.35411510000000002</v>
      </c>
      <c r="S6566">
        <v>2.5871430000000002</v>
      </c>
      <c r="T6566">
        <v>0.29139409999999999</v>
      </c>
      <c r="U6566">
        <v>1.6698</v>
      </c>
      <c r="V6566">
        <v>-0.30125619999999997</v>
      </c>
      <c r="W6566">
        <v>0.2464228</v>
      </c>
      <c r="X6566">
        <v>0.92115179999999997</v>
      </c>
      <c r="Y6566">
        <v>-0.49014530000000001</v>
      </c>
      <c r="Z6566">
        <v>-1.466254E-2</v>
      </c>
      <c r="AA6566">
        <v>0.8715174</v>
      </c>
      <c r="AB6566">
        <v>24</v>
      </c>
      <c r="AC6566">
        <v>60.785899999999998</v>
      </c>
      <c r="AD6566">
        <v>6.8594109999999997</v>
      </c>
      <c r="AE6566">
        <v>39.298809999999897</v>
      </c>
      <c r="AF6566">
        <v>-35.317760303918497</v>
      </c>
      <c r="AG6566">
        <v>6.8594109999999997</v>
      </c>
      <c r="AH6566">
        <v>62.442993983171199</v>
      </c>
      <c r="AI6566">
        <v>84.538192764820295</v>
      </c>
      <c r="AJ6566">
        <v>119.492502435479</v>
      </c>
      <c r="AK6566">
        <v>72.066103056390702</v>
      </c>
      <c r="AL6566">
        <v>75.734068586717498</v>
      </c>
      <c r="AM6566">
        <v>108.109967733787</v>
      </c>
      <c r="AN6566">
        <v>1.00000006652075</v>
      </c>
    </row>
    <row r="6567" spans="1:40" x14ac:dyDescent="0.25">
      <c r="A6567" t="str">
        <f>"20190304155802130"</f>
        <v>20190304155802130</v>
      </c>
      <c r="B6567" t="str">
        <f>"1551686282120687"</f>
        <v>1551686282120687</v>
      </c>
      <c r="C6567" t="s">
        <v>40</v>
      </c>
      <c r="D6567">
        <v>4.2951119999999996</v>
      </c>
      <c r="E6567">
        <v>0.42141869999999998</v>
      </c>
      <c r="F6567" t="s">
        <v>98</v>
      </c>
      <c r="G6567">
        <v>-151.7971</v>
      </c>
      <c r="H6567">
        <v>7.7276600000000002</v>
      </c>
      <c r="I6567">
        <v>-23.660599999999999</v>
      </c>
      <c r="J6567">
        <v>-212.70070000000001</v>
      </c>
      <c r="K6567">
        <v>1.112798</v>
      </c>
      <c r="L6567">
        <v>-62.950650000000003</v>
      </c>
      <c r="M6567">
        <v>0.99805489999999997</v>
      </c>
      <c r="N6567">
        <v>-1.384489E-2</v>
      </c>
      <c r="O6567">
        <v>6.0785209999999999E-2</v>
      </c>
      <c r="P6567">
        <v>0.9042403</v>
      </c>
      <c r="Q6567">
        <v>0.23544680000000001</v>
      </c>
      <c r="R6567">
        <v>0.35625050000000003</v>
      </c>
      <c r="S6567">
        <v>2.5891109999999999</v>
      </c>
      <c r="T6567">
        <v>0.28065990000000002</v>
      </c>
      <c r="U6567">
        <v>1.667389</v>
      </c>
      <c r="V6567">
        <v>-0.30193910000000002</v>
      </c>
      <c r="W6567">
        <v>0.24661649999999999</v>
      </c>
      <c r="X6567">
        <v>0.92087629999999998</v>
      </c>
      <c r="Y6567">
        <v>-0.48797079999999998</v>
      </c>
      <c r="Z6567">
        <v>-1.3682E-2</v>
      </c>
      <c r="AA6567">
        <v>0.87275270000000005</v>
      </c>
      <c r="AB6567">
        <v>24</v>
      </c>
      <c r="AC6567">
        <v>60.903599999999997</v>
      </c>
      <c r="AD6567">
        <v>6.6148619999999996</v>
      </c>
      <c r="AE6567">
        <v>39.290050000000001</v>
      </c>
      <c r="AF6567">
        <v>-35.221599818628199</v>
      </c>
      <c r="AG6567">
        <v>6.6148619999999996</v>
      </c>
      <c r="AH6567">
        <v>62.657514031466</v>
      </c>
      <c r="AI6567">
        <v>84.741975822693107</v>
      </c>
      <c r="AJ6567">
        <v>119.341599343944</v>
      </c>
      <c r="AK6567">
        <v>72.182280080820405</v>
      </c>
      <c r="AL6567">
        <v>75.722616572255106</v>
      </c>
      <c r="AM6567">
        <v>108.15340499712801</v>
      </c>
      <c r="AN6567">
        <v>1.0000000390413699</v>
      </c>
    </row>
    <row r="6568" spans="1:40" x14ac:dyDescent="0.25">
      <c r="A6568" t="str">
        <f>"20190304155802141"</f>
        <v>20190304155802141</v>
      </c>
      <c r="B6568" t="str">
        <f>"1551686282131423"</f>
        <v>1551686282131423</v>
      </c>
      <c r="C6568" t="s">
        <v>40</v>
      </c>
      <c r="D6568">
        <v>4.3077940000000003</v>
      </c>
      <c r="E6568">
        <v>0.4225121</v>
      </c>
      <c r="F6568" t="s">
        <v>98</v>
      </c>
      <c r="G6568">
        <v>-151.5744</v>
      </c>
      <c r="H6568">
        <v>7.5127379999999997</v>
      </c>
      <c r="I6568">
        <v>-23.660599999999999</v>
      </c>
      <c r="J6568">
        <v>-212.5847</v>
      </c>
      <c r="K6568">
        <v>1.1128279999999999</v>
      </c>
      <c r="L6568">
        <v>-62.941740000000003</v>
      </c>
      <c r="M6568">
        <v>0.99795279999999997</v>
      </c>
      <c r="N6568">
        <v>-1.384634E-2</v>
      </c>
      <c r="O6568">
        <v>6.2440849999999999E-2</v>
      </c>
      <c r="P6568">
        <v>0.90339009999999997</v>
      </c>
      <c r="Q6568">
        <v>0.23551169999999999</v>
      </c>
      <c r="R6568">
        <v>0.35835850000000002</v>
      </c>
      <c r="S6568">
        <v>2.5909420000000001</v>
      </c>
      <c r="T6568">
        <v>0.27127210000000002</v>
      </c>
      <c r="U6568">
        <v>1.665375</v>
      </c>
      <c r="V6568">
        <v>-0.30258410000000002</v>
      </c>
      <c r="W6568">
        <v>0.2466497</v>
      </c>
      <c r="X6568">
        <v>0.92065569999999997</v>
      </c>
      <c r="Y6568">
        <v>-0.48587970000000003</v>
      </c>
      <c r="Z6568">
        <v>-1.280999E-2</v>
      </c>
      <c r="AA6568">
        <v>0.87393180000000004</v>
      </c>
      <c r="AB6568">
        <v>24</v>
      </c>
      <c r="AC6568">
        <v>61.010300000000001</v>
      </c>
      <c r="AD6568">
        <v>6.3999100000000002</v>
      </c>
      <c r="AE6568">
        <v>39.281140000000001</v>
      </c>
      <c r="AF6568">
        <v>-35.121363732736398</v>
      </c>
      <c r="AG6568">
        <v>6.3999100000000002</v>
      </c>
      <c r="AH6568">
        <v>62.855252966036502</v>
      </c>
      <c r="AI6568">
        <v>84.920605996874201</v>
      </c>
      <c r="AJ6568">
        <v>119.194964081263</v>
      </c>
      <c r="AK6568">
        <v>72.285903631895707</v>
      </c>
      <c r="AL6568">
        <v>75.720654096501903</v>
      </c>
      <c r="AM6568">
        <v>108.19370436519</v>
      </c>
      <c r="AN6568">
        <v>1.0000000650126899</v>
      </c>
    </row>
    <row r="6569" spans="1:40" x14ac:dyDescent="0.25">
      <c r="A6569" t="str">
        <f>"20190304155802152"</f>
        <v>20190304155802152</v>
      </c>
      <c r="B6569" t="str">
        <f>"1551686282141182"</f>
        <v>1551686282141182</v>
      </c>
      <c r="C6569" t="s">
        <v>40</v>
      </c>
      <c r="D6569">
        <v>4.680161</v>
      </c>
      <c r="E6569">
        <v>0.42359409999999997</v>
      </c>
      <c r="F6569" t="s">
        <v>98</v>
      </c>
      <c r="G6569">
        <v>-151.35939999999999</v>
      </c>
      <c r="H6569">
        <v>7.294797</v>
      </c>
      <c r="I6569">
        <v>-23.660599999999999</v>
      </c>
      <c r="J6569">
        <v>-212.4579</v>
      </c>
      <c r="K6569">
        <v>1.1128690000000001</v>
      </c>
      <c r="L6569">
        <v>-62.93188</v>
      </c>
      <c r="M6569">
        <v>0.99783690000000003</v>
      </c>
      <c r="N6569">
        <v>-1.384787E-2</v>
      </c>
      <c r="O6569">
        <v>6.4262979999999997E-2</v>
      </c>
      <c r="P6569">
        <v>0.90253349999999999</v>
      </c>
      <c r="Q6569">
        <v>0.23578650000000001</v>
      </c>
      <c r="R6569">
        <v>0.3603305</v>
      </c>
      <c r="S6569">
        <v>2.5927280000000001</v>
      </c>
      <c r="T6569">
        <v>0.26178980000000002</v>
      </c>
      <c r="U6569">
        <v>1.6634519999999999</v>
      </c>
      <c r="V6569">
        <v>-0.30294339999999997</v>
      </c>
      <c r="W6569">
        <v>0.24689420000000001</v>
      </c>
      <c r="X6569">
        <v>0.92047190000000001</v>
      </c>
      <c r="Y6569">
        <v>-0.4836646</v>
      </c>
      <c r="Z6569">
        <v>-1.192813E-2</v>
      </c>
      <c r="AA6569">
        <v>0.87517210000000001</v>
      </c>
      <c r="AB6569">
        <v>24</v>
      </c>
      <c r="AC6569">
        <v>61.098500000000001</v>
      </c>
      <c r="AD6569">
        <v>6.1819280000000001</v>
      </c>
      <c r="AE6569">
        <v>39.271279999999997</v>
      </c>
      <c r="AF6569">
        <v>-35.009717039693001</v>
      </c>
      <c r="AG6569">
        <v>6.1819280000000001</v>
      </c>
      <c r="AH6569">
        <v>63.039432054729801</v>
      </c>
      <c r="AI6569">
        <v>85.099968262725596</v>
      </c>
      <c r="AJ6569">
        <v>119.04613735091201</v>
      </c>
      <c r="AK6569">
        <v>72.373106294945302</v>
      </c>
      <c r="AL6569">
        <v>75.706197030022494</v>
      </c>
      <c r="AM6569">
        <v>108.217279468382</v>
      </c>
      <c r="AN6569">
        <v>0.99999998414340396</v>
      </c>
    </row>
    <row r="6570" spans="1:40" x14ac:dyDescent="0.25">
      <c r="A6570" t="str">
        <f>"20190304155802163"</f>
        <v>20190304155802163</v>
      </c>
      <c r="B6570" t="str">
        <f>"1551686282160702"</f>
        <v>1551686282160702</v>
      </c>
      <c r="C6570" t="s">
        <v>40</v>
      </c>
      <c r="D6570">
        <v>5.0483640000000003</v>
      </c>
      <c r="E6570">
        <v>0.42453550000000001</v>
      </c>
      <c r="F6570" t="s">
        <v>98</v>
      </c>
      <c r="G6570">
        <v>-151.17179999999999</v>
      </c>
      <c r="H6570">
        <v>7.2831589999999897</v>
      </c>
      <c r="I6570">
        <v>-23.660599999999999</v>
      </c>
      <c r="J6570">
        <v>-212.3443</v>
      </c>
      <c r="K6570">
        <v>1.1129039999999999</v>
      </c>
      <c r="L6570">
        <v>-62.922759999999997</v>
      </c>
      <c r="M6570">
        <v>0.99772819999999995</v>
      </c>
      <c r="N6570">
        <v>-1.384937E-2</v>
      </c>
      <c r="O6570">
        <v>6.5930450000000002E-2</v>
      </c>
      <c r="P6570">
        <v>0.90170989999999995</v>
      </c>
      <c r="Q6570">
        <v>0.23589470000000001</v>
      </c>
      <c r="R6570">
        <v>0.36231649999999999</v>
      </c>
      <c r="S6570">
        <v>2.5925289999999999</v>
      </c>
      <c r="T6570">
        <v>0.26101570000000002</v>
      </c>
      <c r="U6570">
        <v>1.6612549999999999</v>
      </c>
      <c r="V6570">
        <v>-0.30345529999999998</v>
      </c>
      <c r="W6570">
        <v>0.2469741</v>
      </c>
      <c r="X6570">
        <v>0.92028180000000004</v>
      </c>
      <c r="Y6570">
        <v>-0.48172710000000002</v>
      </c>
      <c r="Z6570">
        <v>-1.163703E-2</v>
      </c>
      <c r="AA6570">
        <v>0.87624400000000002</v>
      </c>
      <c r="AB6570">
        <v>24</v>
      </c>
      <c r="AC6570">
        <v>61.172499999999999</v>
      </c>
      <c r="AD6570">
        <v>6.1702549999999903</v>
      </c>
      <c r="AE6570">
        <v>39.262160000000002</v>
      </c>
      <c r="AF6570">
        <v>-34.891780755689197</v>
      </c>
      <c r="AG6570">
        <v>6.1702549999999903</v>
      </c>
      <c r="AH6570">
        <v>63.172990102220297</v>
      </c>
      <c r="AI6570">
        <v>85.113201790224295</v>
      </c>
      <c r="AJ6570">
        <v>118.91280045208499</v>
      </c>
      <c r="AK6570">
        <v>72.431589030776706</v>
      </c>
      <c r="AL6570">
        <v>75.701472420860298</v>
      </c>
      <c r="AM6570">
        <v>108.249543638297</v>
      </c>
      <c r="AN6570">
        <v>0.99999995829006905</v>
      </c>
    </row>
    <row r="6571" spans="1:40" x14ac:dyDescent="0.25">
      <c r="A6571" t="str">
        <f>"20190304155802175"</f>
        <v>20190304155802175</v>
      </c>
      <c r="B6571" t="str">
        <f>"1551686282171438"</f>
        <v>1551686282171438</v>
      </c>
      <c r="C6571" t="s">
        <v>40</v>
      </c>
      <c r="D6571">
        <v>4.509163</v>
      </c>
      <c r="E6571">
        <v>0.42523569999999999</v>
      </c>
      <c r="F6571" t="s">
        <v>98</v>
      </c>
      <c r="G6571">
        <v>-151.00219999999999</v>
      </c>
      <c r="H6571">
        <v>7.0949439999999999</v>
      </c>
      <c r="I6571">
        <v>-23.660599999999999</v>
      </c>
      <c r="J6571">
        <v>-212.22499999999999</v>
      </c>
      <c r="K6571">
        <v>1.11294</v>
      </c>
      <c r="L6571">
        <v>-62.913020000000003</v>
      </c>
      <c r="M6571">
        <v>0.99760959999999999</v>
      </c>
      <c r="N6571">
        <v>-1.3850929999999999E-2</v>
      </c>
      <c r="O6571">
        <v>6.7701330000000004E-2</v>
      </c>
      <c r="P6571">
        <v>0.90094629999999998</v>
      </c>
      <c r="Q6571">
        <v>0.235815</v>
      </c>
      <c r="R6571">
        <v>0.3642629</v>
      </c>
      <c r="S6571">
        <v>2.5937809999999999</v>
      </c>
      <c r="T6571">
        <v>0.25294359999999999</v>
      </c>
      <c r="U6571">
        <v>1.660156</v>
      </c>
      <c r="V6571">
        <v>-0.30382890000000001</v>
      </c>
      <c r="W6571">
        <v>0.2468678</v>
      </c>
      <c r="X6571">
        <v>0.92018710000000004</v>
      </c>
      <c r="Y6571">
        <v>-0.47980820000000002</v>
      </c>
      <c r="Z6571">
        <v>-1.088683E-2</v>
      </c>
      <c r="AA6571">
        <v>0.87730580000000002</v>
      </c>
      <c r="AB6571">
        <v>24</v>
      </c>
      <c r="AC6571">
        <v>61.222799999999999</v>
      </c>
      <c r="AD6571">
        <v>5.9820039999999999</v>
      </c>
      <c r="AE6571">
        <v>39.252420000000001</v>
      </c>
      <c r="AF6571">
        <v>-34.781753625229001</v>
      </c>
      <c r="AG6571">
        <v>5.9820039999999999</v>
      </c>
      <c r="AH6571">
        <v>63.311645235711701</v>
      </c>
      <c r="AI6571">
        <v>85.266069593592405</v>
      </c>
      <c r="AJ6571">
        <v>118.783236671216</v>
      </c>
      <c r="AK6571">
        <v>72.483923593820194</v>
      </c>
      <c r="AL6571">
        <v>75.707758261413801</v>
      </c>
      <c r="AM6571">
        <v>108.272275394251</v>
      </c>
      <c r="AN6571">
        <v>1.0000000050792299</v>
      </c>
    </row>
    <row r="6572" spans="1:40" x14ac:dyDescent="0.25">
      <c r="A6572" t="str">
        <f>"20190304155802185"</f>
        <v>20190304155802185</v>
      </c>
      <c r="B6572" t="str">
        <f>"1551686282181202"</f>
        <v>1551686282181202</v>
      </c>
      <c r="C6572" t="s">
        <v>40</v>
      </c>
      <c r="D6572">
        <v>4.5071300000000001</v>
      </c>
      <c r="E6572">
        <v>0.4260177</v>
      </c>
      <c r="F6572" t="s">
        <v>98</v>
      </c>
      <c r="G6572">
        <v>-150.94390000000001</v>
      </c>
      <c r="H6572">
        <v>7.0718809999999896</v>
      </c>
      <c r="I6572">
        <v>-23.660599999999999</v>
      </c>
      <c r="J6572">
        <v>-212.10810000000001</v>
      </c>
      <c r="K6572">
        <v>1.1129720000000001</v>
      </c>
      <c r="L6572">
        <v>-62.903199999999998</v>
      </c>
      <c r="M6572">
        <v>0.99748820000000005</v>
      </c>
      <c r="N6572">
        <v>-1.385249E-2</v>
      </c>
      <c r="O6572">
        <v>6.9465890000000002E-2</v>
      </c>
      <c r="P6572">
        <v>0.90016109999999905</v>
      </c>
      <c r="Q6572">
        <v>0.23558999999999999</v>
      </c>
      <c r="R6572">
        <v>0.36634349999999999</v>
      </c>
      <c r="S6572">
        <v>2.5924680000000002</v>
      </c>
      <c r="T6572">
        <v>0.25208970000000003</v>
      </c>
      <c r="U6572">
        <v>1.6605529999999999</v>
      </c>
      <c r="V6572">
        <v>-0.30434309999999998</v>
      </c>
      <c r="W6572">
        <v>0.24661549999999999</v>
      </c>
      <c r="X6572">
        <v>0.92008480000000004</v>
      </c>
      <c r="Y6572">
        <v>-0.4785721</v>
      </c>
      <c r="Z6572">
        <v>-1.061745E-2</v>
      </c>
      <c r="AA6572">
        <v>0.87798410000000005</v>
      </c>
      <c r="AB6572">
        <v>24</v>
      </c>
      <c r="AC6572">
        <v>61.164200000000001</v>
      </c>
      <c r="AD6572">
        <v>5.9589089999999896</v>
      </c>
      <c r="AE6572">
        <v>39.242600000000003</v>
      </c>
      <c r="AF6572">
        <v>-34.665468213352803</v>
      </c>
      <c r="AG6572">
        <v>5.9589089999999896</v>
      </c>
      <c r="AH6572">
        <v>63.3169726536035</v>
      </c>
      <c r="AI6572">
        <v>85.280930804285205</v>
      </c>
      <c r="AJ6572">
        <v>118.700305111021</v>
      </c>
      <c r="AK6572">
        <v>72.430948557494602</v>
      </c>
      <c r="AL6572">
        <v>75.722674881010406</v>
      </c>
      <c r="AM6572">
        <v>108.303039279131</v>
      </c>
      <c r="AN6572">
        <v>0.99999998327444894</v>
      </c>
    </row>
    <row r="6573" spans="1:40" x14ac:dyDescent="0.25">
      <c r="A6573" t="str">
        <f>"20190304155802197"</f>
        <v>20190304155802197</v>
      </c>
      <c r="B6573" t="str">
        <f>"1551686282190958"</f>
        <v>1551686282190958</v>
      </c>
      <c r="C6573" t="s">
        <v>40</v>
      </c>
      <c r="D6573">
        <v>4.7657970000000001</v>
      </c>
      <c r="E6573">
        <v>0.42693510000000001</v>
      </c>
      <c r="F6573" t="s">
        <v>98</v>
      </c>
      <c r="G6573">
        <v>-150.86940000000001</v>
      </c>
      <c r="H6573">
        <v>7.0253809999999897</v>
      </c>
      <c r="I6573">
        <v>-23.660599999999999</v>
      </c>
      <c r="J6573">
        <v>-211.98339999999999</v>
      </c>
      <c r="K6573">
        <v>1.113008</v>
      </c>
      <c r="L6573">
        <v>-62.892429999999997</v>
      </c>
      <c r="M6573">
        <v>0.99735289999999999</v>
      </c>
      <c r="N6573">
        <v>-1.385427E-2</v>
      </c>
      <c r="O6573">
        <v>7.1382399999999999E-2</v>
      </c>
      <c r="P6573">
        <v>0.89918600000000004</v>
      </c>
      <c r="Q6573">
        <v>0.23560039999999999</v>
      </c>
      <c r="R6573">
        <v>0.36872379999999999</v>
      </c>
      <c r="S6573">
        <v>2.591415</v>
      </c>
      <c r="T6573">
        <v>0.250193</v>
      </c>
      <c r="U6573">
        <v>1.660614</v>
      </c>
      <c r="V6573">
        <v>-0.30503400000000003</v>
      </c>
      <c r="W6573">
        <v>0.24659429999999999</v>
      </c>
      <c r="X6573">
        <v>0.9198617</v>
      </c>
      <c r="Y6573">
        <v>-0.4770913</v>
      </c>
      <c r="Z6573">
        <v>-1.0263090000000001E-2</v>
      </c>
      <c r="AA6573">
        <v>0.87879379999999996</v>
      </c>
      <c r="AB6573">
        <v>24</v>
      </c>
      <c r="AC6573">
        <v>61.113999999999898</v>
      </c>
      <c r="AD6573">
        <v>5.9123729999999997</v>
      </c>
      <c r="AE6573">
        <v>39.231830000000002</v>
      </c>
      <c r="AF6573">
        <v>-34.539920342759501</v>
      </c>
      <c r="AG6573">
        <v>5.9123729999999997</v>
      </c>
      <c r="AH6573">
        <v>63.3389930861469</v>
      </c>
      <c r="AI6573">
        <v>85.314978655402697</v>
      </c>
      <c r="AJ6573">
        <v>118.60444880271901</v>
      </c>
      <c r="AK6573">
        <v>72.386395800193498</v>
      </c>
      <c r="AL6573">
        <v>75.723928774912693</v>
      </c>
      <c r="AM6573">
        <v>108.345962070057</v>
      </c>
      <c r="AN6573">
        <v>1.0000000185376801</v>
      </c>
    </row>
    <row r="6574" spans="1:40" x14ac:dyDescent="0.25">
      <c r="A6574" t="str">
        <f>"20190304155802207"</f>
        <v>20190304155802207</v>
      </c>
      <c r="B6574" t="str">
        <f>"1551686282200718"</f>
        <v>1551686282200718</v>
      </c>
      <c r="C6574" t="s">
        <v>40</v>
      </c>
      <c r="D6574">
        <v>4.9639350000000002</v>
      </c>
      <c r="E6574">
        <v>0.4278498</v>
      </c>
      <c r="F6574" t="s">
        <v>98</v>
      </c>
      <c r="G6574">
        <v>-150.78710000000001</v>
      </c>
      <c r="H6574">
        <v>6.9808969999999997</v>
      </c>
      <c r="I6574">
        <v>-23.660599999999999</v>
      </c>
      <c r="J6574">
        <v>-211.86760000000001</v>
      </c>
      <c r="K6574">
        <v>1.1130450000000001</v>
      </c>
      <c r="L6574">
        <v>-62.882289999999998</v>
      </c>
      <c r="M6574">
        <v>0.99722250000000001</v>
      </c>
      <c r="N6574">
        <v>-1.3855900000000001E-2</v>
      </c>
      <c r="O6574">
        <v>7.3179670000000002E-2</v>
      </c>
      <c r="P6574">
        <v>0.89831719999999904</v>
      </c>
      <c r="Q6574">
        <v>0.23567060000000001</v>
      </c>
      <c r="R6574">
        <v>0.37079040000000002</v>
      </c>
      <c r="S6574">
        <v>2.5903320000000001</v>
      </c>
      <c r="T6574">
        <v>0.24837719999999999</v>
      </c>
      <c r="U6574">
        <v>1.660614</v>
      </c>
      <c r="V6574">
        <v>-0.30551440000000002</v>
      </c>
      <c r="W6574">
        <v>0.24663589999999999</v>
      </c>
      <c r="X6574">
        <v>0.91969109999999998</v>
      </c>
      <c r="Y6574">
        <v>-0.47570200000000001</v>
      </c>
      <c r="Z6574">
        <v>-9.932158E-3</v>
      </c>
      <c r="AA6574">
        <v>0.87955039999999995</v>
      </c>
      <c r="AB6574">
        <v>24</v>
      </c>
      <c r="AC6574">
        <v>61.080500000000001</v>
      </c>
      <c r="AD6574">
        <v>5.8678519999999903</v>
      </c>
      <c r="AE6574">
        <v>39.221690000000002</v>
      </c>
      <c r="AF6574">
        <v>-34.421299510879201</v>
      </c>
      <c r="AG6574">
        <v>5.8678519999999903</v>
      </c>
      <c r="AH6574">
        <v>63.373088663440001</v>
      </c>
      <c r="AI6574">
        <v>85.348384663881305</v>
      </c>
      <c r="AJ6574">
        <v>118.508741315232</v>
      </c>
      <c r="AK6574">
        <v>72.3561048831112</v>
      </c>
      <c r="AL6574">
        <v>75.721469292464803</v>
      </c>
      <c r="AM6574">
        <v>108.37609545060801</v>
      </c>
      <c r="AN6574">
        <v>1.00000001759768</v>
      </c>
    </row>
    <row r="6575" spans="1:40" x14ac:dyDescent="0.25">
      <c r="A6575" t="str">
        <f>"20190304155802220"</f>
        <v>20190304155802220</v>
      </c>
      <c r="B6575" t="str">
        <f>"1551686282211454"</f>
        <v>1551686282211454</v>
      </c>
      <c r="C6575" t="s">
        <v>40</v>
      </c>
      <c r="D6575">
        <v>4.9703809999999997</v>
      </c>
      <c r="E6575">
        <v>0.42850579999999999</v>
      </c>
      <c r="F6575" t="s">
        <v>98</v>
      </c>
      <c r="G6575">
        <v>-150.6772</v>
      </c>
      <c r="H6575">
        <v>6.9385839999999996</v>
      </c>
      <c r="I6575">
        <v>-23.660599999999999</v>
      </c>
      <c r="J6575">
        <v>-211.74539999999999</v>
      </c>
      <c r="K6575">
        <v>1.113086</v>
      </c>
      <c r="L6575">
        <v>-62.87115</v>
      </c>
      <c r="M6575">
        <v>0.99707760000000001</v>
      </c>
      <c r="N6575">
        <v>-1.3857970000000001E-2</v>
      </c>
      <c r="O6575">
        <v>7.5127840000000001E-2</v>
      </c>
      <c r="P6575">
        <v>0.89736229999999995</v>
      </c>
      <c r="Q6575">
        <v>0.23611299999999999</v>
      </c>
      <c r="R6575">
        <v>0.37281589999999998</v>
      </c>
      <c r="S6575">
        <v>2.5897060000000001</v>
      </c>
      <c r="T6575">
        <v>0.2465485</v>
      </c>
      <c r="U6575">
        <v>1.6599429999999999</v>
      </c>
      <c r="V6575">
        <v>-0.30582730000000002</v>
      </c>
      <c r="W6575">
        <v>0.24704809999999999</v>
      </c>
      <c r="X6575">
        <v>0.91947639999999997</v>
      </c>
      <c r="Y6575">
        <v>-0.47394720000000001</v>
      </c>
      <c r="Z6575">
        <v>-9.5742880000000002E-3</v>
      </c>
      <c r="AA6575">
        <v>0.88050119999999898</v>
      </c>
      <c r="AB6575">
        <v>24</v>
      </c>
      <c r="AC6575">
        <v>61.068199999999898</v>
      </c>
      <c r="AD6575">
        <v>5.8254979999999996</v>
      </c>
      <c r="AE6575">
        <v>39.210549999999998</v>
      </c>
      <c r="AF6575">
        <v>-34.290404290134099</v>
      </c>
      <c r="AG6575">
        <v>5.8254979999999996</v>
      </c>
      <c r="AH6575">
        <v>63.432941099989499</v>
      </c>
      <c r="AI6575">
        <v>85.381193207187593</v>
      </c>
      <c r="AJ6575">
        <v>118.394646705608</v>
      </c>
      <c r="AK6575">
        <v>72.342976645446399</v>
      </c>
      <c r="AL6575">
        <v>75.697097202257694</v>
      </c>
      <c r="AM6575">
        <v>108.39765546445101</v>
      </c>
      <c r="AN6575">
        <v>0.99999997564792897</v>
      </c>
    </row>
    <row r="6576" spans="1:40" x14ac:dyDescent="0.25">
      <c r="A6576" t="str">
        <f>"20190304155802229"</f>
        <v>20190304155802229</v>
      </c>
      <c r="B6576" t="str">
        <f>"1551686282221214"</f>
        <v>1551686282221214</v>
      </c>
      <c r="C6576" t="s">
        <v>40</v>
      </c>
      <c r="D6576">
        <v>4.3710050000000003</v>
      </c>
      <c r="E6576">
        <v>0.42920399999999997</v>
      </c>
      <c r="F6576" t="s">
        <v>98</v>
      </c>
      <c r="G6576">
        <v>-150.6491</v>
      </c>
      <c r="H6576">
        <v>6.8981039999999902</v>
      </c>
      <c r="I6576">
        <v>-23.660599999999999</v>
      </c>
      <c r="J6576">
        <v>-211.63419999999999</v>
      </c>
      <c r="K6576">
        <v>1.113124</v>
      </c>
      <c r="L6576">
        <v>-62.860959999999999</v>
      </c>
      <c r="M6576">
        <v>0.99694170000000004</v>
      </c>
      <c r="N6576">
        <v>-1.38598E-2</v>
      </c>
      <c r="O6576">
        <v>7.690951E-2</v>
      </c>
      <c r="P6576">
        <v>0.89641849999999901</v>
      </c>
      <c r="Q6576">
        <v>0.2363574</v>
      </c>
      <c r="R6576">
        <v>0.37492550000000002</v>
      </c>
      <c r="S6576">
        <v>2.5884550000000002</v>
      </c>
      <c r="T6576">
        <v>0.24509230000000001</v>
      </c>
      <c r="U6576">
        <v>1.661224</v>
      </c>
      <c r="V6576">
        <v>-0.30637609999999998</v>
      </c>
      <c r="W6576">
        <v>0.24726100000000001</v>
      </c>
      <c r="X6576">
        <v>0.91923650000000001</v>
      </c>
      <c r="Y6576">
        <v>-0.47289900000000001</v>
      </c>
      <c r="Z6576">
        <v>-9.2821610000000006E-3</v>
      </c>
      <c r="AA6576">
        <v>0.88106779999999996</v>
      </c>
      <c r="AB6576">
        <v>24</v>
      </c>
      <c r="AC6576">
        <v>60.985099999999903</v>
      </c>
      <c r="AD6576">
        <v>5.7849799999999902</v>
      </c>
      <c r="AE6576">
        <v>39.200359999999897</v>
      </c>
      <c r="AF6576">
        <v>-34.175833813400097</v>
      </c>
      <c r="AG6576">
        <v>5.7849799999999902</v>
      </c>
      <c r="AH6576">
        <v>63.415809776872102</v>
      </c>
      <c r="AI6576">
        <v>85.408774885261707</v>
      </c>
      <c r="AJ6576">
        <v>118.320965418979</v>
      </c>
      <c r="AK6576">
        <v>72.270454129595507</v>
      </c>
      <c r="AL6576">
        <v>75.684509168125501</v>
      </c>
      <c r="AM6576">
        <v>108.432925575483</v>
      </c>
      <c r="AN6576">
        <v>1.00000002985222</v>
      </c>
    </row>
    <row r="6577" spans="1:40" x14ac:dyDescent="0.25">
      <c r="A6577" t="str">
        <f>"20190304155802242"</f>
        <v>20190304155802242</v>
      </c>
      <c r="B6577" t="str">
        <f>"1551686282230975"</f>
        <v>1551686282230975</v>
      </c>
      <c r="C6577" t="s">
        <v>40</v>
      </c>
      <c r="D6577">
        <v>4.5931170000000003</v>
      </c>
      <c r="E6577">
        <v>0.42989369999999999</v>
      </c>
      <c r="F6577" t="s">
        <v>98</v>
      </c>
      <c r="G6577">
        <v>-150.62860000000001</v>
      </c>
      <c r="H6577">
        <v>6.9425949999999998</v>
      </c>
      <c r="I6577">
        <v>-23.660599999999999</v>
      </c>
      <c r="J6577">
        <v>-211.506</v>
      </c>
      <c r="K6577">
        <v>1.1131709999999999</v>
      </c>
      <c r="L6577">
        <v>-62.848689999999998</v>
      </c>
      <c r="M6577">
        <v>0.99677570000000004</v>
      </c>
      <c r="N6577">
        <v>-1.386246E-2</v>
      </c>
      <c r="O6577">
        <v>7.9030649999999994E-2</v>
      </c>
      <c r="P6577">
        <v>0.89544389999999996</v>
      </c>
      <c r="Q6577">
        <v>0.23679890000000001</v>
      </c>
      <c r="R6577">
        <v>0.37697000000000003</v>
      </c>
      <c r="S6577">
        <v>2.5863800000000001</v>
      </c>
      <c r="T6577">
        <v>0.24714420000000001</v>
      </c>
      <c r="U6577">
        <v>1.66192599999999</v>
      </c>
      <c r="V6577">
        <v>-0.30655660000000001</v>
      </c>
      <c r="W6577">
        <v>0.24766850000000001</v>
      </c>
      <c r="X6577">
        <v>0.91906650000000001</v>
      </c>
      <c r="Y6577">
        <v>-0.47150900000000001</v>
      </c>
      <c r="Z6577">
        <v>-9.1449280000000001E-3</v>
      </c>
      <c r="AA6577">
        <v>0.88181379999999998</v>
      </c>
      <c r="AB6577">
        <v>24</v>
      </c>
      <c r="AC6577">
        <v>60.877399999999902</v>
      </c>
      <c r="AD6577">
        <v>5.8294240000000004</v>
      </c>
      <c r="AE6577">
        <v>39.188090000000003</v>
      </c>
      <c r="AF6577">
        <v>-34.033213847092902</v>
      </c>
      <c r="AG6577">
        <v>5.8294240000000004</v>
      </c>
      <c r="AH6577">
        <v>63.373460254590697</v>
      </c>
      <c r="AI6577">
        <v>85.366939767314904</v>
      </c>
      <c r="AJ6577">
        <v>118.236967334068</v>
      </c>
      <c r="AK6577">
        <v>72.169503902783802</v>
      </c>
      <c r="AL6577">
        <v>75.660410214081793</v>
      </c>
      <c r="AM6577">
        <v>108.446231229943</v>
      </c>
      <c r="AN6577">
        <v>0.99999993315902702</v>
      </c>
    </row>
    <row r="6578" spans="1:40" x14ac:dyDescent="0.25">
      <c r="A6578" t="str">
        <f>"20190304155802254"</f>
        <v>20190304155802254</v>
      </c>
      <c r="B6578" t="str">
        <f>"1551686282251470"</f>
        <v>1551686282251470</v>
      </c>
      <c r="C6578" t="s">
        <v>40</v>
      </c>
      <c r="D6578">
        <v>4.564997</v>
      </c>
      <c r="E6578">
        <v>0.43120629999999999</v>
      </c>
      <c r="F6578" t="s">
        <v>98</v>
      </c>
      <c r="G6578">
        <v>-150.5941</v>
      </c>
      <c r="H6578">
        <v>6.9891740000000002</v>
      </c>
      <c r="I6578">
        <v>-23.660599999999999</v>
      </c>
      <c r="J6578">
        <v>-211.38390000000001</v>
      </c>
      <c r="K6578">
        <v>1.113216</v>
      </c>
      <c r="L6578">
        <v>-62.836820000000003</v>
      </c>
      <c r="M6578">
        <v>0.99661200000000005</v>
      </c>
      <c r="N6578">
        <v>-1.3864980000000001E-2</v>
      </c>
      <c r="O6578">
        <v>8.106998E-2</v>
      </c>
      <c r="P6578">
        <v>0.89421459999999997</v>
      </c>
      <c r="Q6578">
        <v>0.23782690000000001</v>
      </c>
      <c r="R6578">
        <v>0.37923449999999997</v>
      </c>
      <c r="S6578">
        <v>2.5843959999999999</v>
      </c>
      <c r="T6578">
        <v>0.24930939999999999</v>
      </c>
      <c r="U6578">
        <v>1.6626890000000001</v>
      </c>
      <c r="V6578">
        <v>-0.30705769999999999</v>
      </c>
      <c r="W6578">
        <v>0.2486584</v>
      </c>
      <c r="X6578">
        <v>0.91863189999999995</v>
      </c>
      <c r="Y6578">
        <v>-0.47018949999999998</v>
      </c>
      <c r="Z6578">
        <v>-9.0200260000000004E-3</v>
      </c>
      <c r="AA6578">
        <v>0.88251939999999995</v>
      </c>
      <c r="AB6578">
        <v>24</v>
      </c>
      <c r="AC6578">
        <v>60.7898</v>
      </c>
      <c r="AD6578">
        <v>5.8759579999999998</v>
      </c>
      <c r="AE6578">
        <v>39.176220000000001</v>
      </c>
      <c r="AF6578">
        <v>-33.894786077297503</v>
      </c>
      <c r="AG6578">
        <v>5.8759579999999998</v>
      </c>
      <c r="AH6578">
        <v>63.347798109048902</v>
      </c>
      <c r="AI6578">
        <v>85.324423134392504</v>
      </c>
      <c r="AJ6578">
        <v>118.149392869518</v>
      </c>
      <c r="AK6578">
        <v>72.085552858449702</v>
      </c>
      <c r="AL6578">
        <v>75.601862581410103</v>
      </c>
      <c r="AM6578">
        <v>108.482484642922</v>
      </c>
      <c r="AN6578">
        <v>0.99999999935872996</v>
      </c>
    </row>
    <row r="6579" spans="1:40" x14ac:dyDescent="0.25">
      <c r="A6579" t="str">
        <f>"20190304155802265"</f>
        <v>20190304155802265</v>
      </c>
      <c r="B6579" t="str">
        <f>"1551686282261511"</f>
        <v>1551686282261511</v>
      </c>
      <c r="C6579" t="s">
        <v>40</v>
      </c>
      <c r="D6579">
        <v>4.5117059999999896</v>
      </c>
      <c r="E6579">
        <v>0.43180269999999998</v>
      </c>
      <c r="F6579" t="s">
        <v>98</v>
      </c>
      <c r="G6579">
        <v>-150.39490000000001</v>
      </c>
      <c r="H6579">
        <v>7.123011</v>
      </c>
      <c r="I6579">
        <v>-23.660599999999999</v>
      </c>
      <c r="J6579">
        <v>-211.26070000000001</v>
      </c>
      <c r="K6579">
        <v>1.1132649999999999</v>
      </c>
      <c r="L6579">
        <v>-62.824550000000002</v>
      </c>
      <c r="M6579">
        <v>0.99643899999999996</v>
      </c>
      <c r="N6579">
        <v>-1.386775E-2</v>
      </c>
      <c r="O6579">
        <v>8.3170179999999996E-2</v>
      </c>
      <c r="P6579">
        <v>0.89297369999999898</v>
      </c>
      <c r="Q6579">
        <v>0.2386402</v>
      </c>
      <c r="R6579">
        <v>0.38163970000000003</v>
      </c>
      <c r="S6579">
        <v>2.5834199999999998</v>
      </c>
      <c r="T6579">
        <v>0.25456699999999999</v>
      </c>
      <c r="U6579">
        <v>1.659454</v>
      </c>
      <c r="V6579">
        <v>-0.30764570000000002</v>
      </c>
      <c r="W6579">
        <v>0.24943199999999999</v>
      </c>
      <c r="X6579">
        <v>0.91822530000000002</v>
      </c>
      <c r="Y6579">
        <v>-0.46766760000000002</v>
      </c>
      <c r="Z6579">
        <v>-9.0064310000000005E-3</v>
      </c>
      <c r="AA6579">
        <v>0.88385859999999905</v>
      </c>
      <c r="AB6579">
        <v>24</v>
      </c>
      <c r="AC6579">
        <v>60.8658</v>
      </c>
      <c r="AD6579">
        <v>6.0097459999999998</v>
      </c>
      <c r="AE6579">
        <v>39.16395</v>
      </c>
      <c r="AF6579">
        <v>-33.732954219617802</v>
      </c>
      <c r="AG6579">
        <v>6.0097459999999998</v>
      </c>
      <c r="AH6579">
        <v>63.474833777772602</v>
      </c>
      <c r="AI6579">
        <v>85.220834563054197</v>
      </c>
      <c r="AJ6579">
        <v>117.98788535310899</v>
      </c>
      <c r="AK6579">
        <v>72.132404441299499</v>
      </c>
      <c r="AL6579">
        <v>75.556095841253196</v>
      </c>
      <c r="AM6579">
        <v>108.523106134966</v>
      </c>
      <c r="AN6579">
        <v>0.99999995045628798</v>
      </c>
    </row>
    <row r="6580" spans="1:40" x14ac:dyDescent="0.25">
      <c r="A6580" t="str">
        <f>"20190304155802276"</f>
        <v>20190304155802276</v>
      </c>
      <c r="B6580" t="str">
        <f>"1551686282271269"</f>
        <v>1551686282271269</v>
      </c>
      <c r="C6580" t="s">
        <v>40</v>
      </c>
      <c r="D6580">
        <v>4.326937</v>
      </c>
      <c r="E6580">
        <v>0.43238650000000001</v>
      </c>
      <c r="F6580" t="s">
        <v>98</v>
      </c>
      <c r="G6580">
        <v>-150.45359999999999</v>
      </c>
      <c r="H6580">
        <v>7.1964420000000002</v>
      </c>
      <c r="I6580">
        <v>-23.660599999999999</v>
      </c>
      <c r="J6580">
        <v>-211.1515</v>
      </c>
      <c r="K6580">
        <v>1.1133059999999999</v>
      </c>
      <c r="L6580">
        <v>-62.813420000000001</v>
      </c>
      <c r="M6580">
        <v>0.99627900000000003</v>
      </c>
      <c r="N6580">
        <v>-1.387034E-2</v>
      </c>
      <c r="O6580">
        <v>8.5063459999999994E-2</v>
      </c>
      <c r="P6580">
        <v>0.89197399999999905</v>
      </c>
      <c r="Q6580">
        <v>0.23911099999999999</v>
      </c>
      <c r="R6580">
        <v>0.3836775</v>
      </c>
      <c r="S6580">
        <v>2.5803069999999999</v>
      </c>
      <c r="T6580">
        <v>0.25813530000000001</v>
      </c>
      <c r="U6580">
        <v>1.66189599999999</v>
      </c>
      <c r="V6580">
        <v>-0.3080367</v>
      </c>
      <c r="W6580">
        <v>0.24987010000000001</v>
      </c>
      <c r="X6580">
        <v>0.91797510000000004</v>
      </c>
      <c r="Y6580">
        <v>-0.46704269999999998</v>
      </c>
      <c r="Z6580">
        <v>-8.9870379999999993E-3</v>
      </c>
      <c r="AA6580">
        <v>0.88418909999999995</v>
      </c>
      <c r="AB6580">
        <v>24</v>
      </c>
      <c r="AC6580">
        <v>60.697899999999997</v>
      </c>
      <c r="AD6580">
        <v>6.0831359999999997</v>
      </c>
      <c r="AE6580">
        <v>39.152819999999899</v>
      </c>
      <c r="AF6580">
        <v>-33.608832945117697</v>
      </c>
      <c r="AG6580">
        <v>6.0831359999999997</v>
      </c>
      <c r="AH6580">
        <v>63.359258665593202</v>
      </c>
      <c r="AI6580">
        <v>85.151988501620593</v>
      </c>
      <c r="AJ6580">
        <v>117.943654300262</v>
      </c>
      <c r="AK6580">
        <v>71.978843101156301</v>
      </c>
      <c r="AL6580">
        <v>75.530174192576595</v>
      </c>
      <c r="AM6580">
        <v>108.54974748369401</v>
      </c>
      <c r="AN6580">
        <v>0.99999997982045397</v>
      </c>
    </row>
    <row r="6581" spans="1:40" x14ac:dyDescent="0.25">
      <c r="A6581" t="str">
        <f>"20190304155802286"</f>
        <v>20190304155802286</v>
      </c>
      <c r="B6581" t="str">
        <f>"1551686282281029"</f>
        <v>1551686282281029</v>
      </c>
      <c r="C6581" t="s">
        <v>40</v>
      </c>
      <c r="D6581">
        <v>4.9142400000000004</v>
      </c>
      <c r="E6581">
        <v>0.43285400000000002</v>
      </c>
      <c r="F6581" t="s">
        <v>98</v>
      </c>
      <c r="G6581">
        <v>-150.47470000000001</v>
      </c>
      <c r="H6581">
        <v>7.249142</v>
      </c>
      <c r="I6581">
        <v>-23.660599999999999</v>
      </c>
      <c r="J6581">
        <v>-211.03290000000001</v>
      </c>
      <c r="K6581">
        <v>1.113351</v>
      </c>
      <c r="L6581">
        <v>-62.801090000000002</v>
      </c>
      <c r="M6581">
        <v>0.99609879999999995</v>
      </c>
      <c r="N6581">
        <v>-1.387322E-2</v>
      </c>
      <c r="O6581">
        <v>8.7148450000000002E-2</v>
      </c>
      <c r="P6581">
        <v>0.89068219999999998</v>
      </c>
      <c r="Q6581">
        <v>0.23969019999999999</v>
      </c>
      <c r="R6581">
        <v>0.38630829999999999</v>
      </c>
      <c r="S6581">
        <v>2.5779269999999999</v>
      </c>
      <c r="T6581">
        <v>0.26068780000000003</v>
      </c>
      <c r="U6581">
        <v>1.6634519999999999</v>
      </c>
      <c r="V6581">
        <v>-0.3088708</v>
      </c>
      <c r="W6581">
        <v>0.25040800000000002</v>
      </c>
      <c r="X6581">
        <v>0.91754820000000004</v>
      </c>
      <c r="Y6581">
        <v>-0.46593059999999997</v>
      </c>
      <c r="Z6581">
        <v>-8.8690899999999996E-3</v>
      </c>
      <c r="AA6581">
        <v>0.88477680000000003</v>
      </c>
      <c r="AB6581">
        <v>24</v>
      </c>
      <c r="AC6581">
        <v>60.558199999999999</v>
      </c>
      <c r="AD6581">
        <v>6.1357910000000002</v>
      </c>
      <c r="AE6581">
        <v>39.14049</v>
      </c>
      <c r="AF6581">
        <v>-33.471119717190199</v>
      </c>
      <c r="AG6581">
        <v>6.1357910000000002</v>
      </c>
      <c r="AH6581">
        <v>63.280896232650697</v>
      </c>
      <c r="AI6581">
        <v>85.101138689538104</v>
      </c>
      <c r="AJ6581">
        <v>117.87567484505</v>
      </c>
      <c r="AK6581">
        <v>71.850091261776896</v>
      </c>
      <c r="AL6581">
        <v>75.498343443820403</v>
      </c>
      <c r="AM6581">
        <v>108.60458340559001</v>
      </c>
      <c r="AN6581">
        <v>1.00000001843993</v>
      </c>
    </row>
    <row r="6582" spans="1:40" x14ac:dyDescent="0.25">
      <c r="A6582" t="str">
        <f>"20190304155802297"</f>
        <v>20190304155802297</v>
      </c>
      <c r="B6582" t="str">
        <f>"1551686282290789"</f>
        <v>1551686282290789</v>
      </c>
      <c r="C6582" t="s">
        <v>40</v>
      </c>
      <c r="D6582">
        <v>4.5240010000000002</v>
      </c>
      <c r="E6582">
        <v>0.43285400000000002</v>
      </c>
      <c r="F6582" t="s">
        <v>98</v>
      </c>
      <c r="G6582">
        <v>-150.6026</v>
      </c>
      <c r="H6582">
        <v>7.219481</v>
      </c>
      <c r="I6582">
        <v>-23.660599999999999</v>
      </c>
      <c r="J6582">
        <v>-210.92019999999999</v>
      </c>
      <c r="K6582">
        <v>1.1133930000000001</v>
      </c>
      <c r="L6582">
        <v>-62.7889699999999</v>
      </c>
      <c r="M6582">
        <v>0.995919</v>
      </c>
      <c r="N6582">
        <v>-1.387616E-2</v>
      </c>
      <c r="O6582">
        <v>8.9178889999999997E-2</v>
      </c>
      <c r="P6582">
        <v>0.8895769</v>
      </c>
      <c r="Q6582">
        <v>0.2399136</v>
      </c>
      <c r="R6582">
        <v>0.38870870000000002</v>
      </c>
      <c r="S6582">
        <v>2.5748600000000001</v>
      </c>
      <c r="T6582">
        <v>0.26017400000000002</v>
      </c>
      <c r="U6582">
        <v>1.6677249999999999</v>
      </c>
      <c r="V6582">
        <v>-0.3095098</v>
      </c>
      <c r="W6582">
        <v>0.25059399999999998</v>
      </c>
      <c r="X6582">
        <v>0.91728200000000004</v>
      </c>
      <c r="Y6582">
        <v>-0.46565689999999998</v>
      </c>
      <c r="Z6582">
        <v>-8.627951E-3</v>
      </c>
      <c r="AA6582">
        <v>0.88492329999999997</v>
      </c>
      <c r="AB6582">
        <v>24</v>
      </c>
      <c r="AC6582">
        <v>60.317599999999999</v>
      </c>
      <c r="AD6582">
        <v>6.1060879999999997</v>
      </c>
      <c r="AE6582">
        <v>39.128369999999897</v>
      </c>
      <c r="AF6582">
        <v>-33.352302578256797</v>
      </c>
      <c r="AG6582">
        <v>6.1060879999999997</v>
      </c>
      <c r="AH6582">
        <v>63.111778416783601</v>
      </c>
      <c r="AI6582">
        <v>85.110803052280403</v>
      </c>
      <c r="AJ6582">
        <v>117.85483922108</v>
      </c>
      <c r="AK6582">
        <v>71.643261880406698</v>
      </c>
      <c r="AL6582">
        <v>75.487334710803594</v>
      </c>
      <c r="AM6582">
        <v>108.645452172768</v>
      </c>
      <c r="AN6582">
        <v>0.99999996832801896</v>
      </c>
    </row>
    <row r="6583" spans="1:40" x14ac:dyDescent="0.25">
      <c r="A6583" t="str">
        <f>"20190304155802308"</f>
        <v>20190304155802308</v>
      </c>
      <c r="B6583" t="str">
        <f>"1551686282301525"</f>
        <v>1551686282301525</v>
      </c>
      <c r="C6583" t="s">
        <v>40</v>
      </c>
      <c r="D6583">
        <v>4.3550380000000004</v>
      </c>
      <c r="E6583">
        <v>0.45843319999999999</v>
      </c>
      <c r="F6583" t="s">
        <v>98</v>
      </c>
      <c r="G6583">
        <v>-150.87559999999999</v>
      </c>
      <c r="H6583">
        <v>7.2135300000000004</v>
      </c>
      <c r="I6583">
        <v>-23.660599999999999</v>
      </c>
      <c r="J6583">
        <v>-210.8013</v>
      </c>
      <c r="K6583">
        <v>1.11344</v>
      </c>
      <c r="L6583">
        <v>-62.776060000000001</v>
      </c>
      <c r="M6583">
        <v>0.99572309999999997</v>
      </c>
      <c r="N6583">
        <v>-1.38792E-2</v>
      </c>
      <c r="O6583">
        <v>9.1340180000000007E-2</v>
      </c>
      <c r="P6583">
        <v>0.88858230000000005</v>
      </c>
      <c r="Q6583">
        <v>0.23986350000000001</v>
      </c>
      <c r="R6583">
        <v>0.39100800000000002</v>
      </c>
      <c r="S6583">
        <v>2.5701290000000001</v>
      </c>
      <c r="T6583">
        <v>0.2611077</v>
      </c>
      <c r="U6583">
        <v>1.6748350000000001</v>
      </c>
      <c r="V6583">
        <v>-0.3099189</v>
      </c>
      <c r="W6583">
        <v>0.2505077</v>
      </c>
      <c r="X6583">
        <v>0.91716750000000002</v>
      </c>
      <c r="Y6583">
        <v>-0.46620010000000001</v>
      </c>
      <c r="Z6583">
        <v>-8.48082E-3</v>
      </c>
      <c r="AA6583">
        <v>0.884638699999999</v>
      </c>
      <c r="AB6583">
        <v>24</v>
      </c>
      <c r="AC6583">
        <v>59.925699999999999</v>
      </c>
      <c r="AD6583">
        <v>6.1000899999999998</v>
      </c>
      <c r="AE6583">
        <v>39.115459999999999</v>
      </c>
      <c r="AF6583">
        <v>-33.236262945514099</v>
      </c>
      <c r="AG6583">
        <v>6.1000899999999998</v>
      </c>
      <c r="AH6583">
        <v>62.792043484488801</v>
      </c>
      <c r="AI6583">
        <v>85.092533939565598</v>
      </c>
      <c r="AJ6583">
        <v>117.89257861247501</v>
      </c>
      <c r="AK6583">
        <v>71.307089391934895</v>
      </c>
      <c r="AL6583">
        <v>75.492443129842499</v>
      </c>
      <c r="AM6583">
        <v>108.670559628299</v>
      </c>
      <c r="AN6583">
        <v>1.0000000276963701</v>
      </c>
    </row>
    <row r="6584" spans="1:40" x14ac:dyDescent="0.25">
      <c r="A6584" t="str">
        <f>"20190304155802320"</f>
        <v>20190304155802320</v>
      </c>
      <c r="B6584" t="str">
        <f>"1551686282311285"</f>
        <v>1551686282311285</v>
      </c>
      <c r="C6584" t="s">
        <v>40</v>
      </c>
      <c r="D6584">
        <v>4.3256709999999998</v>
      </c>
      <c r="E6584">
        <v>0.45970100000000003</v>
      </c>
      <c r="F6584" t="s">
        <v>84</v>
      </c>
      <c r="G6584">
        <v>-179.95779999999999</v>
      </c>
      <c r="H6584">
        <v>4.2258099999999903E-2</v>
      </c>
      <c r="I6584">
        <v>-45.78678</v>
      </c>
      <c r="J6584">
        <v>-210.68440000000001</v>
      </c>
      <c r="K6584">
        <v>1.11348799999999</v>
      </c>
      <c r="L6584">
        <v>-62.762909999999998</v>
      </c>
      <c r="M6584">
        <v>0.9955193</v>
      </c>
      <c r="N6584">
        <v>-1.38827E-2</v>
      </c>
      <c r="O6584">
        <v>9.3533729999999995E-2</v>
      </c>
      <c r="P6584">
        <v>0.88750599999999902</v>
      </c>
      <c r="Q6584">
        <v>0.23958579999999999</v>
      </c>
      <c r="R6584">
        <v>0.39361380000000001</v>
      </c>
      <c r="S6584">
        <v>2.738159</v>
      </c>
      <c r="T6584">
        <v>-9.5095159999999998E-2</v>
      </c>
      <c r="U6584">
        <v>1.50824</v>
      </c>
      <c r="V6584">
        <v>-0.31061240000000001</v>
      </c>
      <c r="W6584">
        <v>0.250191</v>
      </c>
      <c r="X6584">
        <v>0.91701929999999998</v>
      </c>
      <c r="Y6584">
        <v>-0.39816210000000002</v>
      </c>
      <c r="Z6584">
        <v>7.6136229999999999E-3</v>
      </c>
      <c r="AA6584">
        <v>0.91728350000000003</v>
      </c>
      <c r="AB6584">
        <v>24</v>
      </c>
      <c r="AC6584">
        <v>30.726600000000001</v>
      </c>
      <c r="AD6584">
        <v>-1.0712298999999901</v>
      </c>
      <c r="AE6584">
        <v>16.976129999999898</v>
      </c>
      <c r="AF6584">
        <v>-14.014393364008599</v>
      </c>
      <c r="AG6584">
        <v>-1.0712298999999901</v>
      </c>
      <c r="AH6584">
        <v>32.149927694516798</v>
      </c>
      <c r="AI6584">
        <v>91.749500378095604</v>
      </c>
      <c r="AJ6584">
        <v>113.552746371235</v>
      </c>
      <c r="AK6584">
        <v>35.088012278020003</v>
      </c>
      <c r="AL6584">
        <v>75.511185105295894</v>
      </c>
      <c r="AM6584">
        <v>108.71224729702401</v>
      </c>
      <c r="AN6584">
        <v>0.99999999804362405</v>
      </c>
    </row>
    <row r="6585" spans="1:40" x14ac:dyDescent="0.25">
      <c r="A6585" t="str">
        <f>"20190304155802330"</f>
        <v>20190304155802330</v>
      </c>
      <c r="B6585" t="str">
        <f>"1551686282321045"</f>
        <v>1551686282321045</v>
      </c>
      <c r="C6585" t="s">
        <v>40</v>
      </c>
      <c r="D6585">
        <v>3.9656250000000002</v>
      </c>
      <c r="E6585">
        <v>0.45970100000000003</v>
      </c>
      <c r="F6585" t="s">
        <v>84</v>
      </c>
      <c r="G6585">
        <v>-179.95779999999999</v>
      </c>
      <c r="H6585">
        <v>4.2633089999999998E-2</v>
      </c>
      <c r="I6585">
        <v>-45.848509999999997</v>
      </c>
      <c r="J6585">
        <v>-210.5684</v>
      </c>
      <c r="K6585">
        <v>1.1135360000000001</v>
      </c>
      <c r="L6585">
        <v>-62.749760000000002</v>
      </c>
      <c r="M6585">
        <v>0.99531099999999995</v>
      </c>
      <c r="N6585">
        <v>-1.388609E-2</v>
      </c>
      <c r="O6585">
        <v>9.5724000000000004E-2</v>
      </c>
      <c r="P6585">
        <v>0.8863896</v>
      </c>
      <c r="Q6585">
        <v>0.23957680000000001</v>
      </c>
      <c r="R6585">
        <v>0.39612700000000001</v>
      </c>
      <c r="S6585">
        <v>2.7376399999999999</v>
      </c>
      <c r="T6585">
        <v>-9.5409750000000002E-2</v>
      </c>
      <c r="U6585">
        <v>1.5070190000000001</v>
      </c>
      <c r="V6585">
        <v>-0.31122430000000001</v>
      </c>
      <c r="W6585">
        <v>0.25014160000000002</v>
      </c>
      <c r="X6585">
        <v>0.91682529999999995</v>
      </c>
      <c r="Y6585">
        <v>-0.3959029</v>
      </c>
      <c r="Z6585">
        <v>7.5320650000000001E-3</v>
      </c>
      <c r="AA6585">
        <v>0.91826149999999995</v>
      </c>
      <c r="AB6585">
        <v>24</v>
      </c>
      <c r="AC6585">
        <v>30.610600000000002</v>
      </c>
      <c r="AD6585">
        <v>-1.07090291</v>
      </c>
      <c r="AE6585">
        <v>16.901249999999902</v>
      </c>
      <c r="AF6585">
        <v>-13.880151906759201</v>
      </c>
      <c r="AG6585">
        <v>-1.07090291</v>
      </c>
      <c r="AH6585">
        <v>32.057947906479498</v>
      </c>
      <c r="AI6585">
        <v>91.755863978602093</v>
      </c>
      <c r="AJ6585">
        <v>113.411197503252</v>
      </c>
      <c r="AK6585">
        <v>34.950214219256402</v>
      </c>
      <c r="AL6585">
        <v>75.514108616446094</v>
      </c>
      <c r="AM6585">
        <v>108.75022679564999</v>
      </c>
      <c r="AN6585">
        <v>1.00000000784057</v>
      </c>
    </row>
    <row r="6586" spans="1:40" x14ac:dyDescent="0.25">
      <c r="A6586" t="str">
        <f>"20190304155802342"</f>
        <v>20190304155802342</v>
      </c>
      <c r="B6586" t="str">
        <f>"1551686282330805"</f>
        <v>1551686282330805</v>
      </c>
      <c r="C6586" t="s">
        <v>40</v>
      </c>
      <c r="D6586">
        <v>4.8845239999999999</v>
      </c>
      <c r="E6586">
        <v>0.4603064</v>
      </c>
      <c r="F6586" t="s">
        <v>84</v>
      </c>
      <c r="G6586">
        <v>-179.95779999999999</v>
      </c>
      <c r="H6586">
        <v>4.4466499999999999E-2</v>
      </c>
      <c r="I6586">
        <v>-45.787469999999999</v>
      </c>
      <c r="J6586">
        <v>-210.4477</v>
      </c>
      <c r="K6586">
        <v>1.1135900000000001</v>
      </c>
      <c r="L6586">
        <v>-62.735529999999997</v>
      </c>
      <c r="M6586">
        <v>0.99508209999999997</v>
      </c>
      <c r="N6586">
        <v>-1.38903E-2</v>
      </c>
      <c r="O6586">
        <v>9.8075289999999996E-2</v>
      </c>
      <c r="P6586">
        <v>0.8853105</v>
      </c>
      <c r="Q6586">
        <v>0.239449</v>
      </c>
      <c r="R6586">
        <v>0.39860960000000001</v>
      </c>
      <c r="S6586">
        <v>2.7334290000000001</v>
      </c>
      <c r="T6586">
        <v>-9.5464590000000002E-2</v>
      </c>
      <c r="U6586">
        <v>1.5146790000000001</v>
      </c>
      <c r="V6586">
        <v>-0.31165660000000001</v>
      </c>
      <c r="W6586">
        <v>0.24997359999999999</v>
      </c>
      <c r="X6586">
        <v>0.91672430000000005</v>
      </c>
      <c r="Y6586">
        <v>-0.39630169999999998</v>
      </c>
      <c r="Z6586">
        <v>7.5039959999999998E-3</v>
      </c>
      <c r="AA6586">
        <v>0.91808970000000001</v>
      </c>
      <c r="AB6586">
        <v>24</v>
      </c>
      <c r="AC6586">
        <v>30.489899999999999</v>
      </c>
      <c r="AD6586">
        <v>-1.0691234999999999</v>
      </c>
      <c r="AE6586">
        <v>16.948060000000002</v>
      </c>
      <c r="AF6586">
        <v>-13.8627219323632</v>
      </c>
      <c r="AG6586">
        <v>-1.0691234999999999</v>
      </c>
      <c r="AH6586">
        <v>31.975191121178</v>
      </c>
      <c r="AI6586">
        <v>91.757113647676505</v>
      </c>
      <c r="AJ6586">
        <v>113.43895921527201</v>
      </c>
      <c r="AK6586">
        <v>34.867333303080997</v>
      </c>
      <c r="AL6586">
        <v>75.524050609988393</v>
      </c>
      <c r="AM6586">
        <v>108.776371417311</v>
      </c>
      <c r="AN6586">
        <v>1.0000000396155</v>
      </c>
    </row>
    <row r="6587" spans="1:40" x14ac:dyDescent="0.25">
      <c r="A6587" t="str">
        <f>"20190304155802354"</f>
        <v>20190304155802354</v>
      </c>
      <c r="B6587" t="str">
        <f>"1551686282351301"</f>
        <v>1551686282351301</v>
      </c>
      <c r="C6587" t="s">
        <v>40</v>
      </c>
      <c r="D6587">
        <v>5.1084160000000001</v>
      </c>
      <c r="E6587">
        <v>0.45964840000000001</v>
      </c>
      <c r="F6587" t="s">
        <v>73</v>
      </c>
      <c r="G6587">
        <v>-168.45060000000001</v>
      </c>
      <c r="H6587">
        <v>5.9241739999999998</v>
      </c>
      <c r="I6587">
        <v>-38.762720000000002</v>
      </c>
      <c r="J6587">
        <v>-210.3304</v>
      </c>
      <c r="K6587">
        <v>1.11364</v>
      </c>
      <c r="L6587">
        <v>-62.721530000000001</v>
      </c>
      <c r="M6587">
        <v>0.99485199999999996</v>
      </c>
      <c r="N6587">
        <v>-1.389439E-2</v>
      </c>
      <c r="O6587">
        <v>0.10038320000000001</v>
      </c>
      <c r="P6587">
        <v>0.88418330000000001</v>
      </c>
      <c r="Q6587">
        <v>0.2394753</v>
      </c>
      <c r="R6587">
        <v>0.4010879</v>
      </c>
      <c r="S6587">
        <v>2.630951</v>
      </c>
      <c r="T6587">
        <v>0.30136249999999998</v>
      </c>
      <c r="U6587">
        <v>1.5018009999999999</v>
      </c>
      <c r="V6587">
        <v>-0.31213210000000002</v>
      </c>
      <c r="W6587">
        <v>0.2499593</v>
      </c>
      <c r="X6587">
        <v>0.9165664</v>
      </c>
      <c r="Y6587">
        <v>-0.40498699999999999</v>
      </c>
      <c r="Z6587">
        <v>-6.6057310000000001E-3</v>
      </c>
      <c r="AA6587">
        <v>0.91429859999999996</v>
      </c>
      <c r="AB6587">
        <v>24</v>
      </c>
      <c r="AC6587">
        <v>41.879799999999904</v>
      </c>
      <c r="AD6587">
        <v>4.8105339999999996</v>
      </c>
      <c r="AE6587">
        <v>23.95881</v>
      </c>
      <c r="AF6587">
        <v>-19.440086662224601</v>
      </c>
      <c r="AG6587">
        <v>4.8105339999999996</v>
      </c>
      <c r="AH6587">
        <v>43.639705109698099</v>
      </c>
      <c r="AI6587">
        <v>84.250047293441696</v>
      </c>
      <c r="AJ6587">
        <v>114.011436291245</v>
      </c>
      <c r="AK6587">
        <v>48.015435735410897</v>
      </c>
      <c r="AL6587">
        <v>75.524896698013805</v>
      </c>
      <c r="AM6587">
        <v>108.80601880743799</v>
      </c>
      <c r="AN6587">
        <v>1.0000000325579199</v>
      </c>
    </row>
    <row r="6588" spans="1:40" x14ac:dyDescent="0.25">
      <c r="A6588" t="str">
        <f>"20190304155802363"</f>
        <v>20190304155802363</v>
      </c>
      <c r="B6588" t="str">
        <f>"1551686282361061"</f>
        <v>1551686282361061</v>
      </c>
      <c r="C6588" t="s">
        <v>40</v>
      </c>
      <c r="D6588">
        <v>4.983771</v>
      </c>
      <c r="E6588">
        <v>0.46140429999999999</v>
      </c>
      <c r="F6588" t="s">
        <v>73</v>
      </c>
      <c r="G6588">
        <v>-168.45060000000001</v>
      </c>
      <c r="H6588">
        <v>5.5907429999999998</v>
      </c>
      <c r="I6588">
        <v>-38.59395</v>
      </c>
      <c r="J6588">
        <v>-210.2175</v>
      </c>
      <c r="K6588">
        <v>1.113688</v>
      </c>
      <c r="L6588">
        <v>-62.707700000000003</v>
      </c>
      <c r="M6588">
        <v>0.99462030000000001</v>
      </c>
      <c r="N6588">
        <v>-1.389861E-2</v>
      </c>
      <c r="O6588">
        <v>0.1026519</v>
      </c>
      <c r="P6588">
        <v>0.88313529999999996</v>
      </c>
      <c r="Q6588">
        <v>0.23922460000000001</v>
      </c>
      <c r="R6588">
        <v>0.40353899999999998</v>
      </c>
      <c r="S6588">
        <v>2.6296080000000002</v>
      </c>
      <c r="T6588">
        <v>0.2811129</v>
      </c>
      <c r="U6588">
        <v>1.5149539999999999</v>
      </c>
      <c r="V6588">
        <v>-0.31260660000000001</v>
      </c>
      <c r="W6588">
        <v>0.24967110000000001</v>
      </c>
      <c r="X6588">
        <v>0.91648320000000005</v>
      </c>
      <c r="Y6588">
        <v>-0.40671689999999999</v>
      </c>
      <c r="Z6588">
        <v>-5.6877730000000001E-3</v>
      </c>
      <c r="AA6588">
        <v>0.91353649999999997</v>
      </c>
      <c r="AB6588">
        <v>24</v>
      </c>
      <c r="AC6588">
        <v>41.7668999999999</v>
      </c>
      <c r="AD6588">
        <v>4.477055</v>
      </c>
      <c r="AE6588">
        <v>24.11375</v>
      </c>
      <c r="AF6588">
        <v>-19.530172343655</v>
      </c>
      <c r="AG6588">
        <v>4.477055</v>
      </c>
      <c r="AH6588">
        <v>43.645658454427</v>
      </c>
      <c r="AI6588">
        <v>84.650941127769599</v>
      </c>
      <c r="AJ6588">
        <v>114.107137996003</v>
      </c>
      <c r="AK6588">
        <v>48.025151276871398</v>
      </c>
      <c r="AL6588">
        <v>75.541949564607506</v>
      </c>
      <c r="AM6588">
        <v>108.834182953264</v>
      </c>
      <c r="AN6588">
        <v>1.0000000002105001</v>
      </c>
    </row>
    <row r="6589" spans="1:40" x14ac:dyDescent="0.25">
      <c r="A6589" t="str">
        <f>"20190304155802376"</f>
        <v>20190304155802376</v>
      </c>
      <c r="B6589" t="str">
        <f>"1551686282370821"</f>
        <v>1551686282370821</v>
      </c>
      <c r="C6589" t="s">
        <v>40</v>
      </c>
      <c r="D6589">
        <v>4.3857900000000001</v>
      </c>
      <c r="E6589">
        <v>0.46140429999999999</v>
      </c>
      <c r="F6589" t="s">
        <v>73</v>
      </c>
      <c r="G6589">
        <v>-168.45060000000001</v>
      </c>
      <c r="H6589">
        <v>5.2080390000000003</v>
      </c>
      <c r="I6589">
        <v>-38.777470000000001</v>
      </c>
      <c r="J6589">
        <v>-210.09270000000001</v>
      </c>
      <c r="K6589">
        <v>1.1137360000000001</v>
      </c>
      <c r="L6589">
        <v>-62.692050000000002</v>
      </c>
      <c r="M6589">
        <v>0.9943535</v>
      </c>
      <c r="N6589">
        <v>-1.39033E-2</v>
      </c>
      <c r="O6589">
        <v>0.1052029</v>
      </c>
      <c r="P6589">
        <v>0.88214950000000003</v>
      </c>
      <c r="Q6589">
        <v>0.2386645</v>
      </c>
      <c r="R6589">
        <v>0.40601930000000003</v>
      </c>
      <c r="S6589">
        <v>2.6366879999999999</v>
      </c>
      <c r="T6589">
        <v>0.25846920000000001</v>
      </c>
      <c r="U6589">
        <v>1.5106809999999999</v>
      </c>
      <c r="V6589">
        <v>-0.31284410000000001</v>
      </c>
      <c r="W6589">
        <v>0.24907399999999999</v>
      </c>
      <c r="X6589">
        <v>0.91656459999999995</v>
      </c>
      <c r="Y6589">
        <v>-0.40238889999999999</v>
      </c>
      <c r="Z6589">
        <v>-4.4368560000000003E-3</v>
      </c>
      <c r="AA6589">
        <v>0.91545810000000005</v>
      </c>
      <c r="AB6589">
        <v>24</v>
      </c>
      <c r="AC6589">
        <v>41.642099999999999</v>
      </c>
      <c r="AD6589">
        <v>4.094303</v>
      </c>
      <c r="AE6589">
        <v>23.914579999999901</v>
      </c>
      <c r="AF6589">
        <v>-19.2605384603125</v>
      </c>
      <c r="AG6589">
        <v>4.094303</v>
      </c>
      <c r="AH6589">
        <v>43.610075963546301</v>
      </c>
      <c r="AI6589">
        <v>85.091407312135701</v>
      </c>
      <c r="AJ6589">
        <v>113.828813575116</v>
      </c>
      <c r="AK6589">
        <v>47.849455424103397</v>
      </c>
      <c r="AL6589">
        <v>75.577276611778601</v>
      </c>
      <c r="AM6589">
        <v>108.845926564382</v>
      </c>
      <c r="AN6589">
        <v>0.99999997717698397</v>
      </c>
    </row>
    <row r="6590" spans="1:40" x14ac:dyDescent="0.25">
      <c r="A6590" t="str">
        <f>"20190304155802386"</f>
        <v>20190304155802386</v>
      </c>
      <c r="B6590" t="str">
        <f>"1551686282381557"</f>
        <v>1551686282381557</v>
      </c>
      <c r="C6590" t="s">
        <v>40</v>
      </c>
      <c r="D6590">
        <v>4.4769430000000003</v>
      </c>
      <c r="E6590">
        <v>0.46193780000000001</v>
      </c>
      <c r="F6590" t="s">
        <v>73</v>
      </c>
      <c r="G6590">
        <v>-168.45060000000001</v>
      </c>
      <c r="H6590">
        <v>5.177009</v>
      </c>
      <c r="I6590">
        <v>-38.67745</v>
      </c>
      <c r="J6590">
        <v>-209.9769</v>
      </c>
      <c r="K6590">
        <v>1.113783</v>
      </c>
      <c r="L6590">
        <v>-62.677250000000001</v>
      </c>
      <c r="M6590">
        <v>0.99409689999999995</v>
      </c>
      <c r="N6590">
        <v>-1.3907610000000001E-2</v>
      </c>
      <c r="O6590">
        <v>0.107602</v>
      </c>
      <c r="P6590">
        <v>0.88109959999999898</v>
      </c>
      <c r="Q6590">
        <v>0.2382011</v>
      </c>
      <c r="R6590">
        <v>0.40856320000000002</v>
      </c>
      <c r="S6590">
        <v>2.6325379999999998</v>
      </c>
      <c r="T6590">
        <v>0.25687120000000002</v>
      </c>
      <c r="U6590">
        <v>1.5181579999999999</v>
      </c>
      <c r="V6590">
        <v>-0.31329170000000001</v>
      </c>
      <c r="W6590">
        <v>0.24857389999999999</v>
      </c>
      <c r="X6590">
        <v>0.91654749999999996</v>
      </c>
      <c r="Y6590">
        <v>-0.40277679999999999</v>
      </c>
      <c r="Z6590">
        <v>-4.1568389999999998E-3</v>
      </c>
      <c r="AA6590">
        <v>0.91528880000000001</v>
      </c>
      <c r="AB6590">
        <v>24</v>
      </c>
      <c r="AC6590">
        <v>41.5262999999999</v>
      </c>
      <c r="AD6590">
        <v>4.0632260000000002</v>
      </c>
      <c r="AE6590">
        <v>23.9998</v>
      </c>
      <c r="AF6590">
        <v>-19.2535072198176</v>
      </c>
      <c r="AG6590">
        <v>4.0632260000000002</v>
      </c>
      <c r="AH6590">
        <v>43.555240035233602</v>
      </c>
      <c r="AI6590">
        <v>85.123089436527806</v>
      </c>
      <c r="AJ6590">
        <v>113.84772986567801</v>
      </c>
      <c r="AK6590">
        <v>47.793998371317102</v>
      </c>
      <c r="AL6590">
        <v>75.606860971696094</v>
      </c>
      <c r="AM6590">
        <v>108.871310526176</v>
      </c>
      <c r="AN6590">
        <v>0.99999999640317405</v>
      </c>
    </row>
    <row r="6591" spans="1:40" x14ac:dyDescent="0.25">
      <c r="A6591" t="str">
        <f>"20190304155802398"</f>
        <v>20190304155802398</v>
      </c>
      <c r="B6591" t="str">
        <f>"1551686282391317"</f>
        <v>1551686282391317</v>
      </c>
      <c r="C6591" t="s">
        <v>40</v>
      </c>
      <c r="D6591">
        <v>4.7368499999999996</v>
      </c>
      <c r="E6591">
        <v>0.46213520000000002</v>
      </c>
      <c r="F6591" t="s">
        <v>73</v>
      </c>
      <c r="G6591">
        <v>-168.45060000000001</v>
      </c>
      <c r="H6591">
        <v>5.2057460000000004</v>
      </c>
      <c r="I6591">
        <v>-38.639339999999997</v>
      </c>
      <c r="J6591">
        <v>-209.86760000000001</v>
      </c>
      <c r="K6591">
        <v>1.113829</v>
      </c>
      <c r="L6591">
        <v>-62.662869999999998</v>
      </c>
      <c r="M6591">
        <v>0.99384280000000003</v>
      </c>
      <c r="N6591">
        <v>-1.391186E-2</v>
      </c>
      <c r="O6591">
        <v>0.10992250000000001</v>
      </c>
      <c r="P6591">
        <v>0.88024439999999904</v>
      </c>
      <c r="Q6591">
        <v>0.2378294</v>
      </c>
      <c r="R6591">
        <v>0.41061779999999998</v>
      </c>
      <c r="S6591">
        <v>2.629105</v>
      </c>
      <c r="T6591">
        <v>0.25906800000000002</v>
      </c>
      <c r="U6591">
        <v>1.521881</v>
      </c>
      <c r="V6591">
        <v>-0.313305</v>
      </c>
      <c r="W6591">
        <v>0.24817110000000001</v>
      </c>
      <c r="X6591">
        <v>0.91665209999999997</v>
      </c>
      <c r="Y6591">
        <v>-0.40212629999999999</v>
      </c>
      <c r="Z6591">
        <v>-3.9717290000000002E-3</v>
      </c>
      <c r="AA6591">
        <v>0.91557560000000004</v>
      </c>
      <c r="AB6591">
        <v>24</v>
      </c>
      <c r="AC6591">
        <v>41.417000000000002</v>
      </c>
      <c r="AD6591">
        <v>4.0919169999999996</v>
      </c>
      <c r="AE6591">
        <v>24.023529999999901</v>
      </c>
      <c r="AF6591">
        <v>-19.184702344194601</v>
      </c>
      <c r="AG6591">
        <v>4.0919169999999996</v>
      </c>
      <c r="AH6591">
        <v>43.489318745731403</v>
      </c>
      <c r="AI6591">
        <v>85.0797629836201</v>
      </c>
      <c r="AJ6591">
        <v>113.804000533937</v>
      </c>
      <c r="AK6591">
        <v>47.708672521231001</v>
      </c>
      <c r="AL6591">
        <v>75.630686269717501</v>
      </c>
      <c r="AM6591">
        <v>108.87005384234099</v>
      </c>
      <c r="AN6591">
        <v>0.99999999516730997</v>
      </c>
    </row>
    <row r="6592" spans="1:40" x14ac:dyDescent="0.25">
      <c r="A6592" t="str">
        <f>"20190304155802407"</f>
        <v>20190304155802407</v>
      </c>
      <c r="B6592" t="str">
        <f>"1551686282401077"</f>
        <v>1551686282401077</v>
      </c>
      <c r="C6592" t="s">
        <v>40</v>
      </c>
      <c r="D6592">
        <v>4.394298</v>
      </c>
      <c r="E6592">
        <v>0.46213520000000002</v>
      </c>
      <c r="F6592" t="s">
        <v>73</v>
      </c>
      <c r="G6592">
        <v>-168.45060000000001</v>
      </c>
      <c r="H6592">
        <v>5.2192170000000004</v>
      </c>
      <c r="I6592">
        <v>-38.582720000000002</v>
      </c>
      <c r="J6592">
        <v>-209.7543</v>
      </c>
      <c r="K6592">
        <v>1.1138809999999999</v>
      </c>
      <c r="L6592">
        <v>-62.647829999999999</v>
      </c>
      <c r="M6592">
        <v>0.99357150000000005</v>
      </c>
      <c r="N6592">
        <v>-1.3916120000000001E-2</v>
      </c>
      <c r="O6592">
        <v>0.112348</v>
      </c>
      <c r="P6592">
        <v>0.87925089999999995</v>
      </c>
      <c r="Q6592">
        <v>0.23784069999999999</v>
      </c>
      <c r="R6592">
        <v>0.41273460000000001</v>
      </c>
      <c r="S6592">
        <v>2.6256710000000001</v>
      </c>
      <c r="T6592">
        <v>0.26026319999999997</v>
      </c>
      <c r="U6592">
        <v>1.526581</v>
      </c>
      <c r="V6592">
        <v>-0.31330330000000001</v>
      </c>
      <c r="W6592">
        <v>0.24814990000000001</v>
      </c>
      <c r="X6592">
        <v>0.91665850000000004</v>
      </c>
      <c r="Y6592">
        <v>-0.40164109999999997</v>
      </c>
      <c r="Z6592">
        <v>-3.7457509999999999E-3</v>
      </c>
      <c r="AA6592">
        <v>0.91578950000000003</v>
      </c>
      <c r="AB6592">
        <v>24</v>
      </c>
      <c r="AC6592">
        <v>41.3036999999999</v>
      </c>
      <c r="AD6592">
        <v>4.1053359999999897</v>
      </c>
      <c r="AE6592">
        <v>24.065110000000001</v>
      </c>
      <c r="AF6592">
        <v>-19.1307871666436</v>
      </c>
      <c r="AG6592">
        <v>4.1053359999999897</v>
      </c>
      <c r="AH6592">
        <v>43.425797012211</v>
      </c>
      <c r="AI6592">
        <v>85.055439594080994</v>
      </c>
      <c r="AJ6592">
        <v>113.77539581953199</v>
      </c>
      <c r="AK6592">
        <v>47.630249290068399</v>
      </c>
      <c r="AL6592">
        <v>75.631941234428794</v>
      </c>
      <c r="AM6592">
        <v>108.869836272353</v>
      </c>
      <c r="AN6592">
        <v>1.0000000681415699</v>
      </c>
    </row>
    <row r="6593" spans="1:40" x14ac:dyDescent="0.25">
      <c r="A6593" t="str">
        <f>"20190304155802420"</f>
        <v>20190304155802420</v>
      </c>
      <c r="B6593" t="str">
        <f>"1551686282410838"</f>
        <v>1551686282410838</v>
      </c>
      <c r="C6593" t="s">
        <v>40</v>
      </c>
      <c r="D6593">
        <v>4.3254380000000001</v>
      </c>
      <c r="E6593">
        <v>0.4627463</v>
      </c>
      <c r="F6593" t="s">
        <v>73</v>
      </c>
      <c r="G6593">
        <v>-168.45060000000001</v>
      </c>
      <c r="H6593">
        <v>5.2188670000000004</v>
      </c>
      <c r="I6593">
        <v>-38.491410000000002</v>
      </c>
      <c r="J6593">
        <v>-209.63310000000001</v>
      </c>
      <c r="K6593">
        <v>1.113939</v>
      </c>
      <c r="L6593">
        <v>-62.631100000000004</v>
      </c>
      <c r="M6593">
        <v>0.99326570000000003</v>
      </c>
      <c r="N6593">
        <v>-1.39214E-2</v>
      </c>
      <c r="O6593">
        <v>0.115019899999999</v>
      </c>
      <c r="P6593">
        <v>0.87810750000000004</v>
      </c>
      <c r="Q6593">
        <v>0.23755709999999999</v>
      </c>
      <c r="R6593">
        <v>0.41532350000000001</v>
      </c>
      <c r="S6593">
        <v>2.62175</v>
      </c>
      <c r="T6593">
        <v>0.26056220000000002</v>
      </c>
      <c r="U6593">
        <v>1.533325</v>
      </c>
      <c r="V6593">
        <v>-0.3135616</v>
      </c>
      <c r="W6593">
        <v>0.24782699999999999</v>
      </c>
      <c r="X6593">
        <v>0.91665739999999996</v>
      </c>
      <c r="Y6593">
        <v>-0.4015417</v>
      </c>
      <c r="Z6593">
        <v>-3.4788470000000002E-3</v>
      </c>
      <c r="AA6593">
        <v>0.91583409999999998</v>
      </c>
      <c r="AB6593">
        <v>24</v>
      </c>
      <c r="AC6593">
        <v>41.182499999999997</v>
      </c>
      <c r="AD6593">
        <v>4.1049279999999904</v>
      </c>
      <c r="AE6593">
        <v>24.139690000000002</v>
      </c>
      <c r="AF6593">
        <v>-19.100937102506499</v>
      </c>
      <c r="AG6593">
        <v>4.1049279999999904</v>
      </c>
      <c r="AH6593">
        <v>43.365267583467997</v>
      </c>
      <c r="AI6593">
        <v>85.048928423297596</v>
      </c>
      <c r="AJ6593">
        <v>113.771872152276</v>
      </c>
      <c r="AK6593">
        <v>47.563038850192001</v>
      </c>
      <c r="AL6593">
        <v>75.651036764283006</v>
      </c>
      <c r="AM6593">
        <v>108.88431236053199</v>
      </c>
      <c r="AN6593">
        <v>0.99999994394915803</v>
      </c>
    </row>
    <row r="6594" spans="1:40" x14ac:dyDescent="0.25">
      <c r="A6594" t="str">
        <f>"20190304155802431"</f>
        <v>20190304155802431</v>
      </c>
      <c r="B6594" t="str">
        <f>"1551686282421573"</f>
        <v>1551686282421573</v>
      </c>
      <c r="C6594" t="s">
        <v>40</v>
      </c>
      <c r="D6594">
        <v>5.044378</v>
      </c>
      <c r="E6594">
        <v>0.46288259999999998</v>
      </c>
      <c r="F6594" t="s">
        <v>73</v>
      </c>
      <c r="G6594">
        <v>-168.45060000000001</v>
      </c>
      <c r="H6594">
        <v>5.4063049999999997</v>
      </c>
      <c r="I6594">
        <v>-38.441220000000001</v>
      </c>
      <c r="J6594">
        <v>-209.51750000000001</v>
      </c>
      <c r="K6594">
        <v>1.1139950000000001</v>
      </c>
      <c r="L6594">
        <v>-62.615049999999997</v>
      </c>
      <c r="M6594">
        <v>0.99296459999999998</v>
      </c>
      <c r="N6594">
        <v>-1.392639E-2</v>
      </c>
      <c r="O6594">
        <v>0.1175905</v>
      </c>
      <c r="P6594">
        <v>0.87701499999999999</v>
      </c>
      <c r="Q6594">
        <v>0.2374452</v>
      </c>
      <c r="R6594">
        <v>0.41768959999999999</v>
      </c>
      <c r="S6594">
        <v>2.6159520000000001</v>
      </c>
      <c r="T6594">
        <v>0.27265319999999998</v>
      </c>
      <c r="U6594">
        <v>1.5365599999999999</v>
      </c>
      <c r="V6594">
        <v>-0.31368849999999998</v>
      </c>
      <c r="W6594">
        <v>0.24767819999999999</v>
      </c>
      <c r="X6594">
        <v>0.91665419999999997</v>
      </c>
      <c r="Y6594">
        <v>-0.40083089999999999</v>
      </c>
      <c r="Z6594">
        <v>-3.5536610000000001E-3</v>
      </c>
      <c r="AA6594">
        <v>0.91614510000000005</v>
      </c>
      <c r="AB6594">
        <v>24</v>
      </c>
      <c r="AC6594">
        <v>41.066899999999997</v>
      </c>
      <c r="AD6594">
        <v>4.2923099999999996</v>
      </c>
      <c r="AE6594">
        <v>24.173829999999899</v>
      </c>
      <c r="AF6594">
        <v>-19.022207667414801</v>
      </c>
      <c r="AG6594">
        <v>4.2923099999999996</v>
      </c>
      <c r="AH6594">
        <v>43.273730197241598</v>
      </c>
      <c r="AI6594">
        <v>84.811545469895094</v>
      </c>
      <c r="AJ6594">
        <v>113.729265241169</v>
      </c>
      <c r="AK6594">
        <v>47.464555563725803</v>
      </c>
      <c r="AL6594">
        <v>75.659836732367694</v>
      </c>
      <c r="AM6594">
        <v>108.891474327179</v>
      </c>
      <c r="AN6594">
        <v>0.99999994408256299</v>
      </c>
    </row>
    <row r="6595" spans="1:40" x14ac:dyDescent="0.25">
      <c r="A6595" t="str">
        <f>"20190304155802444"</f>
        <v>20190304155802444</v>
      </c>
      <c r="B6595" t="str">
        <f>"1551686282441093"</f>
        <v>1551686282441093</v>
      </c>
      <c r="C6595" t="s">
        <v>40</v>
      </c>
      <c r="D6595">
        <v>4.5774520000000001</v>
      </c>
      <c r="E6595">
        <v>0.46333740000000001</v>
      </c>
      <c r="F6595" t="s">
        <v>73</v>
      </c>
      <c r="G6595">
        <v>-168.45060000000001</v>
      </c>
      <c r="H6595">
        <v>5.4452189999999998</v>
      </c>
      <c r="I6595">
        <v>-38.34731</v>
      </c>
      <c r="J6595">
        <v>-209.39009999999999</v>
      </c>
      <c r="K6595">
        <v>1.1140620000000001</v>
      </c>
      <c r="L6595">
        <v>-62.596739999999997</v>
      </c>
      <c r="M6595">
        <v>0.99261520000000003</v>
      </c>
      <c r="N6595">
        <v>-1.3932679999999999E-2</v>
      </c>
      <c r="O6595">
        <v>0.12050329999999999</v>
      </c>
      <c r="P6595">
        <v>0.87571209999999899</v>
      </c>
      <c r="Q6595">
        <v>0.2374424</v>
      </c>
      <c r="R6595">
        <v>0.42041580000000001</v>
      </c>
      <c r="S6595">
        <v>2.611237</v>
      </c>
      <c r="T6595">
        <v>0.275399</v>
      </c>
      <c r="U6595">
        <v>1.5430600000000001</v>
      </c>
      <c r="V6595">
        <v>-0.31388860000000002</v>
      </c>
      <c r="W6595">
        <v>0.2476315</v>
      </c>
      <c r="X6595">
        <v>0.91659829999999998</v>
      </c>
      <c r="Y6595">
        <v>-0.40055459999999998</v>
      </c>
      <c r="Z6595">
        <v>-3.3126850000000001E-3</v>
      </c>
      <c r="AA6595">
        <v>0.9162669</v>
      </c>
      <c r="AB6595">
        <v>24</v>
      </c>
      <c r="AC6595">
        <v>40.939499999999903</v>
      </c>
      <c r="AD6595">
        <v>4.3311569999999904</v>
      </c>
      <c r="AE6595">
        <v>24.24943</v>
      </c>
      <c r="AF6595">
        <v>-18.9815934940342</v>
      </c>
      <c r="AG6595">
        <v>4.3311569999999904</v>
      </c>
      <c r="AH6595">
        <v>43.205554765524298</v>
      </c>
      <c r="AI6595">
        <v>84.756159854205507</v>
      </c>
      <c r="AJ6595">
        <v>113.717432833206</v>
      </c>
      <c r="AK6595">
        <v>47.389658947159901</v>
      </c>
      <c r="AL6595">
        <v>75.662598247068303</v>
      </c>
      <c r="AM6595">
        <v>108.903740688288</v>
      </c>
      <c r="AN6595">
        <v>0.99999992828254702</v>
      </c>
    </row>
    <row r="6596" spans="1:40" x14ac:dyDescent="0.25">
      <c r="A6596" t="str">
        <f>"20190304155802455"</f>
        <v>20190304155802455</v>
      </c>
      <c r="B6596" t="str">
        <f>"1551686282450853"</f>
        <v>1551686282450853</v>
      </c>
      <c r="C6596" t="s">
        <v>40</v>
      </c>
      <c r="D6596">
        <v>4.7963959999999997</v>
      </c>
      <c r="E6596">
        <v>0.4634491</v>
      </c>
      <c r="F6596" t="s">
        <v>73</v>
      </c>
      <c r="G6596">
        <v>-168.45060000000001</v>
      </c>
      <c r="H6596">
        <v>5.5456200000000004</v>
      </c>
      <c r="I6596">
        <v>-38.277299999999997</v>
      </c>
      <c r="J6596">
        <v>-209.27549999999999</v>
      </c>
      <c r="K6596">
        <v>1.1141289999999999</v>
      </c>
      <c r="L6596">
        <v>-62.57996</v>
      </c>
      <c r="M6596">
        <v>0.99228910000000003</v>
      </c>
      <c r="N6596">
        <v>-1.393848E-2</v>
      </c>
      <c r="O6596">
        <v>0.1231598</v>
      </c>
      <c r="P6596">
        <v>0.87431239999999999</v>
      </c>
      <c r="Q6596">
        <v>0.23760880000000001</v>
      </c>
      <c r="R6596">
        <v>0.42322579999999999</v>
      </c>
      <c r="S6596">
        <v>2.6060789999999998</v>
      </c>
      <c r="T6596">
        <v>0.28209709999999899</v>
      </c>
      <c r="U6596">
        <v>1.5480959999999999</v>
      </c>
      <c r="V6596">
        <v>-0.3144209</v>
      </c>
      <c r="W6596">
        <v>0.24775349999999999</v>
      </c>
      <c r="X6596">
        <v>0.91638299999999995</v>
      </c>
      <c r="Y6596">
        <v>-0.4001748</v>
      </c>
      <c r="Z6596">
        <v>-3.2006460000000001E-3</v>
      </c>
      <c r="AA6596">
        <v>0.91643330000000001</v>
      </c>
      <c r="AB6596">
        <v>24</v>
      </c>
      <c r="AC6596">
        <v>40.8248999999999</v>
      </c>
      <c r="AD6596">
        <v>4.4314909999999896</v>
      </c>
      <c r="AE6596">
        <v>24.302659999999999</v>
      </c>
      <c r="AF6596">
        <v>-18.924489560909301</v>
      </c>
      <c r="AG6596">
        <v>4.4314909999999896</v>
      </c>
      <c r="AH6596">
        <v>43.1321907368933</v>
      </c>
      <c r="AI6596">
        <v>84.625178287272306</v>
      </c>
      <c r="AJ6596">
        <v>113.689732052971</v>
      </c>
      <c r="AK6596">
        <v>47.309198845338699</v>
      </c>
      <c r="AL6596">
        <v>75.655385132050895</v>
      </c>
      <c r="AM6596">
        <v>108.937647927718</v>
      </c>
      <c r="AN6596">
        <v>1.0000000509040201</v>
      </c>
    </row>
    <row r="6597" spans="1:40" x14ac:dyDescent="0.25">
      <c r="A6597" t="str">
        <f>"20190304155802466"</f>
        <v>20190304155802466</v>
      </c>
      <c r="B6597" t="str">
        <f>"1551686282461120"</f>
        <v>1551686282461120</v>
      </c>
      <c r="C6597" t="s">
        <v>40</v>
      </c>
      <c r="D6597">
        <v>5.0438539999999996</v>
      </c>
      <c r="E6597">
        <v>0.4638313</v>
      </c>
      <c r="F6597" t="s">
        <v>73</v>
      </c>
      <c r="G6597">
        <v>-168.45060000000001</v>
      </c>
      <c r="H6597">
        <v>5.5726079999999998</v>
      </c>
      <c r="I6597">
        <v>-38.155410000000003</v>
      </c>
      <c r="J6597">
        <v>-209.15989999999999</v>
      </c>
      <c r="K6597">
        <v>1.114198</v>
      </c>
      <c r="L6597">
        <v>-62.56268</v>
      </c>
      <c r="M6597">
        <v>0.99194720000000003</v>
      </c>
      <c r="N6597">
        <v>-1.394459E-2</v>
      </c>
      <c r="O6597">
        <v>0.12588199999999999</v>
      </c>
      <c r="P6597">
        <v>0.87243680000000001</v>
      </c>
      <c r="Q6597">
        <v>0.23897099999999999</v>
      </c>
      <c r="R6597">
        <v>0.42631799999999997</v>
      </c>
      <c r="S6597">
        <v>2.6008610000000001</v>
      </c>
      <c r="T6597">
        <v>0.28403790000000001</v>
      </c>
      <c r="U6597">
        <v>1.55603</v>
      </c>
      <c r="V6597">
        <v>-0.31524619999999998</v>
      </c>
      <c r="W6597">
        <v>0.24906159999999999</v>
      </c>
      <c r="X6597">
        <v>0.91574460000000002</v>
      </c>
      <c r="Y6597">
        <v>-0.40052910000000003</v>
      </c>
      <c r="Z6597">
        <v>-2.9709670000000001E-3</v>
      </c>
      <c r="AA6597">
        <v>0.91627919999999996</v>
      </c>
      <c r="AB6597">
        <v>24</v>
      </c>
      <c r="AC6597">
        <v>40.709299999999899</v>
      </c>
      <c r="AD6597">
        <v>4.4584099999999998</v>
      </c>
      <c r="AE6597">
        <v>24.40727</v>
      </c>
      <c r="AF6597">
        <v>-18.9210744416044</v>
      </c>
      <c r="AG6597">
        <v>4.4584099999999998</v>
      </c>
      <c r="AH6597">
        <v>43.078069123301603</v>
      </c>
      <c r="AI6597">
        <v>84.586903630929598</v>
      </c>
      <c r="AJ6597">
        <v>113.71240405368501</v>
      </c>
      <c r="AK6597">
        <v>47.261025350121102</v>
      </c>
      <c r="AL6597">
        <v>75.578010678614405</v>
      </c>
      <c r="AM6597">
        <v>108.996087072021</v>
      </c>
      <c r="AN6597">
        <v>1.00000000981908</v>
      </c>
    </row>
    <row r="6598" spans="1:40" x14ac:dyDescent="0.25">
      <c r="A6598" t="str">
        <f>"20190304155802477"</f>
        <v>20190304155802477</v>
      </c>
      <c r="B6598" t="str">
        <f>"1551686282470880"</f>
        <v>1551686282470880</v>
      </c>
      <c r="C6598" t="s">
        <v>40</v>
      </c>
      <c r="D6598">
        <v>4.9921720000000001</v>
      </c>
      <c r="E6598">
        <v>0.46422770000000002</v>
      </c>
      <c r="F6598" t="s">
        <v>73</v>
      </c>
      <c r="G6598">
        <v>-168.45060000000001</v>
      </c>
      <c r="H6598">
        <v>5.5095289999999997</v>
      </c>
      <c r="I6598">
        <v>-38.065359999999998</v>
      </c>
      <c r="J6598">
        <v>-209.0427</v>
      </c>
      <c r="K6598">
        <v>1.1142700000000001</v>
      </c>
      <c r="L6598">
        <v>-62.544710000000002</v>
      </c>
      <c r="M6598">
        <v>0.99158559999999996</v>
      </c>
      <c r="N6598">
        <v>-1.395098E-2</v>
      </c>
      <c r="O6598">
        <v>0.12870009999999901</v>
      </c>
      <c r="P6598">
        <v>0.87036819999999904</v>
      </c>
      <c r="Q6598">
        <v>0.24116570000000001</v>
      </c>
      <c r="R6598">
        <v>0.42929990000000001</v>
      </c>
      <c r="S6598">
        <v>2.5979160000000001</v>
      </c>
      <c r="T6598">
        <v>0.28049170000000001</v>
      </c>
      <c r="U6598">
        <v>1.5633239999999999</v>
      </c>
      <c r="V6598">
        <v>-0.31591059999999999</v>
      </c>
      <c r="W6598">
        <v>0.25120150000000002</v>
      </c>
      <c r="X6598">
        <v>0.91493080000000004</v>
      </c>
      <c r="Y6598">
        <v>-0.40031519999999998</v>
      </c>
      <c r="Z6598">
        <v>-2.5563069999999999E-3</v>
      </c>
      <c r="AA6598">
        <v>0.91637400000000002</v>
      </c>
      <c r="AB6598">
        <v>24</v>
      </c>
      <c r="AC6598">
        <v>40.592099999999903</v>
      </c>
      <c r="AD6598">
        <v>4.3952589999999896</v>
      </c>
      <c r="AE6598">
        <v>24.47935</v>
      </c>
      <c r="AF6598">
        <v>-18.888618718872401</v>
      </c>
      <c r="AG6598">
        <v>4.3952589999999896</v>
      </c>
      <c r="AH6598">
        <v>43.035255974914001</v>
      </c>
      <c r="AI6598">
        <v>84.657232559178595</v>
      </c>
      <c r="AJ6598">
        <v>113.697166962042</v>
      </c>
      <c r="AK6598">
        <v>47.2030875643785</v>
      </c>
      <c r="AL6598">
        <v>75.451378365311996</v>
      </c>
      <c r="AM6598">
        <v>109.04895381475301</v>
      </c>
      <c r="AN6598">
        <v>1.00000003479162</v>
      </c>
    </row>
    <row r="6599" spans="1:40" x14ac:dyDescent="0.25">
      <c r="A6599" t="str">
        <f>"20190304155802487"</f>
        <v>20190304155802487</v>
      </c>
      <c r="B6599" t="str">
        <f>"1551686282480640"</f>
        <v>1551686282480640</v>
      </c>
      <c r="C6599" t="s">
        <v>40</v>
      </c>
      <c r="D6599">
        <v>5.1457850000000001</v>
      </c>
      <c r="E6599">
        <v>0.46461590000000003</v>
      </c>
      <c r="F6599" t="s">
        <v>73</v>
      </c>
      <c r="G6599">
        <v>-168.45060000000001</v>
      </c>
      <c r="H6599">
        <v>5.5200209999999998</v>
      </c>
      <c r="I6599">
        <v>-37.973329999999997</v>
      </c>
      <c r="J6599">
        <v>-208.93219999999999</v>
      </c>
      <c r="K6599">
        <v>1.114336</v>
      </c>
      <c r="L6599">
        <v>-62.527560000000001</v>
      </c>
      <c r="M6599">
        <v>0.99123340000000004</v>
      </c>
      <c r="N6599">
        <v>-1.39569E-2</v>
      </c>
      <c r="O6599">
        <v>0.13138359999999999</v>
      </c>
      <c r="P6599">
        <v>0.86810200000000004</v>
      </c>
      <c r="Q6599">
        <v>0.24460499999999999</v>
      </c>
      <c r="R6599">
        <v>0.4319344</v>
      </c>
      <c r="S6599">
        <v>2.5942229999999999</v>
      </c>
      <c r="T6599">
        <v>0.28156779999999998</v>
      </c>
      <c r="U6599">
        <v>1.570343</v>
      </c>
      <c r="V6599">
        <v>-0.31639679999999998</v>
      </c>
      <c r="W6599">
        <v>0.2545849</v>
      </c>
      <c r="X6599">
        <v>0.9138269</v>
      </c>
      <c r="Y6599">
        <v>-0.40023589999999998</v>
      </c>
      <c r="Z6599">
        <v>-2.2855269999999999E-3</v>
      </c>
      <c r="AA6599">
        <v>0.91640929999999998</v>
      </c>
      <c r="AB6599">
        <v>24</v>
      </c>
      <c r="AC6599">
        <v>40.481599999999901</v>
      </c>
      <c r="AD6599">
        <v>4.4056850000000001</v>
      </c>
      <c r="AE6599">
        <v>24.55423</v>
      </c>
      <c r="AF6599">
        <v>-18.8589118194168</v>
      </c>
      <c r="AG6599">
        <v>4.4056850000000001</v>
      </c>
      <c r="AH6599">
        <v>42.9847637624435</v>
      </c>
      <c r="AI6599">
        <v>84.638034204181196</v>
      </c>
      <c r="AJ6599">
        <v>113.68873351609</v>
      </c>
      <c r="AK6599">
        <v>47.146140150014801</v>
      </c>
      <c r="AL6599">
        <v>75.251010145810596</v>
      </c>
      <c r="AM6599">
        <v>109.097528987468</v>
      </c>
      <c r="AN6599">
        <v>1.0000000047609201</v>
      </c>
    </row>
    <row r="6600" spans="1:40" x14ac:dyDescent="0.25">
      <c r="A6600" t="str">
        <f>"20190304155802499"</f>
        <v>20190304155802499</v>
      </c>
      <c r="B6600" t="str">
        <f>"1551686282491376"</f>
        <v>1551686282491376</v>
      </c>
      <c r="C6600" t="s">
        <v>40</v>
      </c>
      <c r="D6600">
        <v>5.0170320000000004</v>
      </c>
      <c r="E6600">
        <v>0.46484150000000002</v>
      </c>
      <c r="F6600" t="s">
        <v>73</v>
      </c>
      <c r="G6600">
        <v>-168.45060000000001</v>
      </c>
      <c r="H6600">
        <v>5.5830890000000002</v>
      </c>
      <c r="I6600">
        <v>-37.887709999999998</v>
      </c>
      <c r="J6600">
        <v>-208.82259999999999</v>
      </c>
      <c r="K6600">
        <v>1.1143970000000001</v>
      </c>
      <c r="L6600">
        <v>-62.509979999999999</v>
      </c>
      <c r="M6600">
        <v>0.99086739999999995</v>
      </c>
      <c r="N6600">
        <v>-1.39632E-2</v>
      </c>
      <c r="O6600">
        <v>0.13411579999999901</v>
      </c>
      <c r="P6600">
        <v>0.86597519999999994</v>
      </c>
      <c r="Q6600">
        <v>0.24768889999999999</v>
      </c>
      <c r="R6600">
        <v>0.43443910000000002</v>
      </c>
      <c r="S6600">
        <v>2.590652</v>
      </c>
      <c r="T6600">
        <v>0.2859796</v>
      </c>
      <c r="U6600">
        <v>1.576843</v>
      </c>
      <c r="V6600">
        <v>-0.3166969</v>
      </c>
      <c r="W6600">
        <v>0.25761650000000003</v>
      </c>
      <c r="X6600">
        <v>0.91287289999999999</v>
      </c>
      <c r="Y6600">
        <v>-0.39993610000000002</v>
      </c>
      <c r="Z6600">
        <v>-2.0771470000000001E-3</v>
      </c>
      <c r="AA6600">
        <v>0.91654069999999999</v>
      </c>
      <c r="AB6600">
        <v>24</v>
      </c>
      <c r="AC6600">
        <v>40.3719999999999</v>
      </c>
      <c r="AD6600">
        <v>4.4686919999999999</v>
      </c>
      <c r="AE6600">
        <v>24.62227</v>
      </c>
      <c r="AF6600">
        <v>-18.816694279013301</v>
      </c>
      <c r="AG6600">
        <v>4.4686919999999999</v>
      </c>
      <c r="AH6600">
        <v>42.926412018129497</v>
      </c>
      <c r="AI6600">
        <v>84.5536889854843</v>
      </c>
      <c r="AJ6600">
        <v>113.670132017502</v>
      </c>
      <c r="AK6600">
        <v>47.081992741715297</v>
      </c>
      <c r="AL6600">
        <v>75.071320349063797</v>
      </c>
      <c r="AM6600">
        <v>109.132852960598</v>
      </c>
      <c r="AN6600">
        <v>1.00000005954813</v>
      </c>
    </row>
    <row r="6601" spans="1:40" x14ac:dyDescent="0.25">
      <c r="A6601" t="str">
        <f>"20190304155802509"</f>
        <v>20190304155802509</v>
      </c>
      <c r="B6601" t="str">
        <f>"1551686282501136"</f>
        <v>1551686282501136</v>
      </c>
      <c r="C6601" t="s">
        <v>40</v>
      </c>
      <c r="D6601">
        <v>4.7825059999999997</v>
      </c>
      <c r="E6601">
        <v>0.46451809999999899</v>
      </c>
      <c r="F6601" t="s">
        <v>73</v>
      </c>
      <c r="G6601">
        <v>-168.45060000000001</v>
      </c>
      <c r="H6601">
        <v>5.6564009999999998</v>
      </c>
      <c r="I6601">
        <v>-37.7776</v>
      </c>
      <c r="J6601">
        <v>-208.7054</v>
      </c>
      <c r="K6601">
        <v>1.114457</v>
      </c>
      <c r="L6601">
        <v>-62.491059999999997</v>
      </c>
      <c r="M6601">
        <v>0.99046500000000004</v>
      </c>
      <c r="N6601">
        <v>-1.396971E-2</v>
      </c>
      <c r="O6601">
        <v>0.13705519999999999</v>
      </c>
      <c r="P6601">
        <v>0.86421759999999903</v>
      </c>
      <c r="Q6601">
        <v>0.24963879999999999</v>
      </c>
      <c r="R6601">
        <v>0.43681639999999999</v>
      </c>
      <c r="S6601">
        <v>2.5862270000000001</v>
      </c>
      <c r="T6601">
        <v>0.29095850000000001</v>
      </c>
      <c r="U6601">
        <v>1.5843510000000001</v>
      </c>
      <c r="V6601">
        <v>-0.316627299999999</v>
      </c>
      <c r="W6601">
        <v>0.25952019999999998</v>
      </c>
      <c r="X6601">
        <v>0.91235759999999999</v>
      </c>
      <c r="Y6601">
        <v>-0.39983449999999998</v>
      </c>
      <c r="Z6601">
        <v>-1.8592330000000001E-3</v>
      </c>
      <c r="AA6601">
        <v>0.91658539999999999</v>
      </c>
      <c r="AB6601">
        <v>24</v>
      </c>
      <c r="AC6601">
        <v>40.254799999999904</v>
      </c>
      <c r="AD6601">
        <v>4.541944</v>
      </c>
      <c r="AE6601">
        <v>24.713460000000001</v>
      </c>
      <c r="AF6601">
        <v>-18.788818447667801</v>
      </c>
      <c r="AG6601">
        <v>4.541944</v>
      </c>
      <c r="AH6601">
        <v>42.865966071484003</v>
      </c>
      <c r="AI6601">
        <v>84.457139932580205</v>
      </c>
      <c r="AJ6601">
        <v>113.668585328359</v>
      </c>
      <c r="AK6601">
        <v>47.022760459166797</v>
      </c>
      <c r="AL6601">
        <v>74.958405358121396</v>
      </c>
      <c r="AM6601">
        <v>109.138972055016</v>
      </c>
      <c r="AN6601">
        <v>0.99999998579554406</v>
      </c>
    </row>
    <row r="6602" spans="1:40" x14ac:dyDescent="0.25">
      <c r="A6602" t="str">
        <f>"20190304155802520"</f>
        <v>20190304155802520</v>
      </c>
      <c r="B6602" t="str">
        <f>"1551686282510896"</f>
        <v>1551686282510896</v>
      </c>
      <c r="C6602" t="s">
        <v>40</v>
      </c>
      <c r="D6602">
        <v>4.5025339999999998</v>
      </c>
      <c r="E6602">
        <v>0.46453909999999998</v>
      </c>
      <c r="F6602" t="s">
        <v>98</v>
      </c>
      <c r="G6602">
        <v>-145.92089999999999</v>
      </c>
      <c r="H6602">
        <v>8.3188440000000003</v>
      </c>
      <c r="I6602">
        <v>-23.660599999999999</v>
      </c>
      <c r="J6602">
        <v>-208.5891</v>
      </c>
      <c r="K6602">
        <v>1.114522</v>
      </c>
      <c r="L6602">
        <v>-62.471559999999997</v>
      </c>
      <c r="M6602">
        <v>0.99004289999999995</v>
      </c>
      <c r="N6602">
        <v>-1.3977059999999999E-2</v>
      </c>
      <c r="O6602">
        <v>0.14007049999999999</v>
      </c>
      <c r="P6602">
        <v>0.86258789999999996</v>
      </c>
      <c r="Q6602">
        <v>0.25124839999999998</v>
      </c>
      <c r="R6602">
        <v>0.43910870000000002</v>
      </c>
      <c r="S6602">
        <v>2.5794830000000002</v>
      </c>
      <c r="T6602">
        <v>0.29598980000000003</v>
      </c>
      <c r="U6602">
        <v>1.595337</v>
      </c>
      <c r="V6602">
        <v>-0.31638939999999999</v>
      </c>
      <c r="W6602">
        <v>0.26108559999999997</v>
      </c>
      <c r="X6602">
        <v>0.91199339999999995</v>
      </c>
      <c r="Y6602">
        <v>-0.40091909999999997</v>
      </c>
      <c r="Z6602">
        <v>-1.679292E-3</v>
      </c>
      <c r="AA6602">
        <v>0.91611189999999998</v>
      </c>
      <c r="AB6602">
        <v>24</v>
      </c>
      <c r="AC6602">
        <v>62.668199999999999</v>
      </c>
      <c r="AD6602">
        <v>7.2043220000000003</v>
      </c>
      <c r="AE6602">
        <v>38.810960000000001</v>
      </c>
      <c r="AF6602">
        <v>-29.368909967791499</v>
      </c>
      <c r="AG6602">
        <v>7.2043220000000003</v>
      </c>
      <c r="AH6602">
        <v>66.848523781613196</v>
      </c>
      <c r="AI6602">
        <v>84.364954128768503</v>
      </c>
      <c r="AJ6602">
        <v>113.71757490332</v>
      </c>
      <c r="AK6602">
        <v>73.370022897344299</v>
      </c>
      <c r="AL6602">
        <v>74.865511708199804</v>
      </c>
      <c r="AM6602">
        <v>109.132719447678</v>
      </c>
      <c r="AN6602">
        <v>0.99999995230163796</v>
      </c>
    </row>
    <row r="6603" spans="1:40" x14ac:dyDescent="0.25">
      <c r="A6603" t="str">
        <f>"20190304155802533"</f>
        <v>20190304155802533</v>
      </c>
      <c r="B6603" t="str">
        <f>"1551686282531391"</f>
        <v>1551686282531391</v>
      </c>
      <c r="C6603" t="s">
        <v>40</v>
      </c>
      <c r="D6603">
        <v>3.8612959999999998</v>
      </c>
      <c r="E6603">
        <v>0.46462999999999999</v>
      </c>
      <c r="F6603" t="s">
        <v>98</v>
      </c>
      <c r="G6603">
        <v>-146.24510000000001</v>
      </c>
      <c r="H6603">
        <v>8.0205319999999993</v>
      </c>
      <c r="I6603">
        <v>-23.660599999999999</v>
      </c>
      <c r="J6603">
        <v>-208.46899999999999</v>
      </c>
      <c r="K6603">
        <v>1.1145910000000001</v>
      </c>
      <c r="L6603">
        <v>-62.451169999999998</v>
      </c>
      <c r="M6603">
        <v>0.98959379999999997</v>
      </c>
      <c r="N6603">
        <v>-1.398461E-2</v>
      </c>
      <c r="O6603">
        <v>0.14320869999999999</v>
      </c>
      <c r="P6603">
        <v>0.86104699999999901</v>
      </c>
      <c r="Q6603">
        <v>0.25250660000000003</v>
      </c>
      <c r="R6603">
        <v>0.44140550000000001</v>
      </c>
      <c r="S6603">
        <v>2.57782</v>
      </c>
      <c r="T6603">
        <v>0.28555150000000001</v>
      </c>
      <c r="U6603">
        <v>1.6047670000000001</v>
      </c>
      <c r="V6603">
        <v>-0.31603179999999997</v>
      </c>
      <c r="W6603">
        <v>0.26230150000000002</v>
      </c>
      <c r="X6603">
        <v>0.91176860000000004</v>
      </c>
      <c r="Y6603">
        <v>-0.40078659999999999</v>
      </c>
      <c r="Z6603">
        <v>-1.0882450000000001E-3</v>
      </c>
      <c r="AA6603">
        <v>0.91617079999999995</v>
      </c>
      <c r="AB6603">
        <v>24</v>
      </c>
      <c r="AC6603">
        <v>62.2239</v>
      </c>
      <c r="AD6603">
        <v>6.9059410000000003</v>
      </c>
      <c r="AE6603">
        <v>38.790570000000002</v>
      </c>
      <c r="AF6603">
        <v>-29.219593520575899</v>
      </c>
      <c r="AG6603">
        <v>6.9059410000000003</v>
      </c>
      <c r="AH6603">
        <v>66.547784814752902</v>
      </c>
      <c r="AI6603">
        <v>84.572144869654196</v>
      </c>
      <c r="AJ6603">
        <v>113.705167203927</v>
      </c>
      <c r="AK6603">
        <v>73.007426542467698</v>
      </c>
      <c r="AL6603">
        <v>74.793332265904297</v>
      </c>
      <c r="AM6603">
        <v>109.117034606513</v>
      </c>
      <c r="AN6603">
        <v>1.00000007772972</v>
      </c>
    </row>
    <row r="6604" spans="1:40" x14ac:dyDescent="0.25">
      <c r="A6604" t="str">
        <f>"20190304155802543"</f>
        <v>20190304155802543</v>
      </c>
      <c r="B6604" t="str">
        <f>"1551686282541152"</f>
        <v>1551686282541152</v>
      </c>
      <c r="C6604" t="s">
        <v>40</v>
      </c>
      <c r="D6604">
        <v>4.606414</v>
      </c>
      <c r="E6604">
        <v>0.46464620000000001</v>
      </c>
      <c r="F6604" t="s">
        <v>98</v>
      </c>
      <c r="G6604">
        <v>-146.58439999999999</v>
      </c>
      <c r="H6604">
        <v>8.27273999999999</v>
      </c>
      <c r="I6604">
        <v>-23.660599999999999</v>
      </c>
      <c r="J6604">
        <v>-208.36089999999999</v>
      </c>
      <c r="K6604">
        <v>1.114657</v>
      </c>
      <c r="L6604">
        <v>-62.432340000000003</v>
      </c>
      <c r="M6604">
        <v>0.98917180000000005</v>
      </c>
      <c r="N6604">
        <v>-1.399208E-2</v>
      </c>
      <c r="O6604">
        <v>0.14609440000000001</v>
      </c>
      <c r="P6604">
        <v>0.85934439999999901</v>
      </c>
      <c r="Q6604">
        <v>0.2540982</v>
      </c>
      <c r="R6604">
        <v>0.44380340000000001</v>
      </c>
      <c r="S6604">
        <v>2.5708310000000001</v>
      </c>
      <c r="T6604">
        <v>0.29736590000000002</v>
      </c>
      <c r="U6604">
        <v>1.61145</v>
      </c>
      <c r="V6604">
        <v>-0.31603439999999999</v>
      </c>
      <c r="W6604">
        <v>0.2638491</v>
      </c>
      <c r="X6604">
        <v>0.91132100000000005</v>
      </c>
      <c r="Y6604">
        <v>-0.40088279999999998</v>
      </c>
      <c r="Z6604">
        <v>-1.011688E-3</v>
      </c>
      <c r="AA6604">
        <v>0.91612879999999997</v>
      </c>
      <c r="AB6604">
        <v>24</v>
      </c>
      <c r="AC6604">
        <v>61.776499999999999</v>
      </c>
      <c r="AD6604">
        <v>7.1580829999999898</v>
      </c>
      <c r="AE6604">
        <v>38.771740000000001</v>
      </c>
      <c r="AF6604">
        <v>-29.049772391972201</v>
      </c>
      <c r="AG6604">
        <v>7.1580829999999898</v>
      </c>
      <c r="AH6604">
        <v>66.141363620404306</v>
      </c>
      <c r="AI6604">
        <v>84.341148665862704</v>
      </c>
      <c r="AJ6604">
        <v>113.711433727338</v>
      </c>
      <c r="AK6604">
        <v>72.593439165167197</v>
      </c>
      <c r="AL6604">
        <v>74.701423077481394</v>
      </c>
      <c r="AM6604">
        <v>109.12588798961301</v>
      </c>
      <c r="AN6604">
        <v>1.00000002729758</v>
      </c>
    </row>
    <row r="6605" spans="1:40" x14ac:dyDescent="0.25">
      <c r="A6605" t="str">
        <f>"20190304155802554"</f>
        <v>20190304155802554</v>
      </c>
      <c r="B6605" t="str">
        <f>"1551686282550912"</f>
        <v>1551686282550912</v>
      </c>
      <c r="C6605" t="s">
        <v>40</v>
      </c>
      <c r="D6605">
        <v>4.7806649999999999</v>
      </c>
      <c r="E6605">
        <v>0.46455679999999999</v>
      </c>
      <c r="F6605" t="s">
        <v>98</v>
      </c>
      <c r="G6605">
        <v>-146.88140000000001</v>
      </c>
      <c r="H6605">
        <v>7.9642879999999998</v>
      </c>
      <c r="I6605">
        <v>-23.660599999999999</v>
      </c>
      <c r="J6605">
        <v>-208.2449</v>
      </c>
      <c r="K6605">
        <v>1.1147309999999999</v>
      </c>
      <c r="L6605">
        <v>-62.411799999999999</v>
      </c>
      <c r="M6605">
        <v>0.98870259999999999</v>
      </c>
      <c r="N6605">
        <v>-1.4000169999999999E-2</v>
      </c>
      <c r="O6605">
        <v>0.14923629999999999</v>
      </c>
      <c r="P6605">
        <v>0.85748860000000005</v>
      </c>
      <c r="Q6605">
        <v>0.25577680000000003</v>
      </c>
      <c r="R6605">
        <v>0.44642110000000002</v>
      </c>
      <c r="S6605">
        <v>2.5695190000000001</v>
      </c>
      <c r="T6605">
        <v>0.28627799999999998</v>
      </c>
      <c r="U6605">
        <v>1.6204529999999999</v>
      </c>
      <c r="V6605">
        <v>-0.31604840000000001</v>
      </c>
      <c r="W6605">
        <v>0.26548060000000001</v>
      </c>
      <c r="X6605">
        <v>0.91084219999999905</v>
      </c>
      <c r="Y6605">
        <v>-0.40057409999999999</v>
      </c>
      <c r="Z6605">
        <v>-4.1990730000000001E-4</v>
      </c>
      <c r="AA6605">
        <v>0.91626430000000003</v>
      </c>
      <c r="AB6605">
        <v>24</v>
      </c>
      <c r="AC6605">
        <v>61.363499999999902</v>
      </c>
      <c r="AD6605">
        <v>6.8495569999999999</v>
      </c>
      <c r="AE6605">
        <v>38.751199999999997</v>
      </c>
      <c r="AF6605">
        <v>-28.901169703746799</v>
      </c>
      <c r="AG6605">
        <v>6.8495569999999999</v>
      </c>
      <c r="AH6605">
        <v>65.873083612819798</v>
      </c>
      <c r="AI6605">
        <v>84.560715338028302</v>
      </c>
      <c r="AJ6605">
        <v>113.688992745657</v>
      </c>
      <c r="AK6605">
        <v>72.259651161644598</v>
      </c>
      <c r="AL6605">
        <v>74.604488345090999</v>
      </c>
      <c r="AM6605">
        <v>109.135996953144</v>
      </c>
      <c r="AN6605">
        <v>1.0000000267098701</v>
      </c>
    </row>
    <row r="6606" spans="1:40" x14ac:dyDescent="0.25">
      <c r="A6606" t="str">
        <f>"20190304155802565"</f>
        <v>20190304155802565</v>
      </c>
      <c r="B6606" t="str">
        <f>"1551686282560672"</f>
        <v>1551686282560672</v>
      </c>
      <c r="C6606" t="s">
        <v>40</v>
      </c>
      <c r="D6606">
        <v>5.2012460000000003</v>
      </c>
      <c r="E6606">
        <v>0.4650127</v>
      </c>
      <c r="F6606" t="s">
        <v>98</v>
      </c>
      <c r="G6606">
        <v>-147.26689999999999</v>
      </c>
      <c r="H6606">
        <v>8.0601719999999997</v>
      </c>
      <c r="I6606">
        <v>-23.660599999999999</v>
      </c>
      <c r="J6606">
        <v>-208.12870000000001</v>
      </c>
      <c r="K6606">
        <v>1.114806</v>
      </c>
      <c r="L6606">
        <v>-62.390810000000002</v>
      </c>
      <c r="M6606">
        <v>0.98821440000000005</v>
      </c>
      <c r="N6606">
        <v>-1.400848E-2</v>
      </c>
      <c r="O6606">
        <v>0.1524346</v>
      </c>
      <c r="P6606">
        <v>0.85542199999999902</v>
      </c>
      <c r="Q6606">
        <v>0.25796950000000002</v>
      </c>
      <c r="R6606">
        <v>0.44911580000000001</v>
      </c>
      <c r="S6606">
        <v>2.5634000000000001</v>
      </c>
      <c r="T6606">
        <v>0.29197319999999999</v>
      </c>
      <c r="U6606">
        <v>1.6290279999999999</v>
      </c>
      <c r="V6606">
        <v>-0.31612849999999998</v>
      </c>
      <c r="W6606">
        <v>0.26762269999999999</v>
      </c>
      <c r="X6606">
        <v>0.91018730000000003</v>
      </c>
      <c r="Y6606">
        <v>-0.40076499999999998</v>
      </c>
      <c r="Z6606">
        <v>-1.739729E-4</v>
      </c>
      <c r="AA6606">
        <v>0.91618089999999996</v>
      </c>
      <c r="AB6606">
        <v>24</v>
      </c>
      <c r="AC6606">
        <v>60.861800000000002</v>
      </c>
      <c r="AD6606">
        <v>6.9453659999999999</v>
      </c>
      <c r="AE6606">
        <v>38.73021</v>
      </c>
      <c r="AF6606">
        <v>-28.732821804590198</v>
      </c>
      <c r="AG6606">
        <v>6.9453659999999999</v>
      </c>
      <c r="AH6606">
        <v>65.448159502638504</v>
      </c>
      <c r="AI6606">
        <v>84.450076567858204</v>
      </c>
      <c r="AJ6606">
        <v>113.702266844154</v>
      </c>
      <c r="AK6606">
        <v>71.814168100807905</v>
      </c>
      <c r="AL6606">
        <v>74.477147978705801</v>
      </c>
      <c r="AM6606">
        <v>109.153263023661</v>
      </c>
      <c r="AN6606">
        <v>1.00000002957441</v>
      </c>
    </row>
    <row r="6607" spans="1:40" x14ac:dyDescent="0.25">
      <c r="A6607" t="str">
        <f>"20190304155802577"</f>
        <v>20190304155802577</v>
      </c>
      <c r="B6607" t="str">
        <f>"1551686282571408"</f>
        <v>1551686282571408</v>
      </c>
      <c r="C6607" t="s">
        <v>40</v>
      </c>
      <c r="D6607">
        <v>4.6138589999999997</v>
      </c>
      <c r="E6607">
        <v>0.4650127</v>
      </c>
      <c r="F6607" t="s">
        <v>98</v>
      </c>
      <c r="G6607">
        <v>-147.46369999999999</v>
      </c>
      <c r="H6607">
        <v>8.1395569999999999</v>
      </c>
      <c r="I6607">
        <v>-23.660599999999999</v>
      </c>
      <c r="J6607">
        <v>-208.01249999999999</v>
      </c>
      <c r="K6607">
        <v>1.114873</v>
      </c>
      <c r="L6607">
        <v>-62.369230000000002</v>
      </c>
      <c r="M6607">
        <v>0.98770460000000004</v>
      </c>
      <c r="N6607">
        <v>-1.4017089999999999E-2</v>
      </c>
      <c r="O6607">
        <v>0.15570149999999999</v>
      </c>
      <c r="P6607">
        <v>0.85339390000000004</v>
      </c>
      <c r="Q6607">
        <v>0.25970880000000002</v>
      </c>
      <c r="R6607">
        <v>0.4519627</v>
      </c>
      <c r="S6607">
        <v>2.5597080000000001</v>
      </c>
      <c r="T6607">
        <v>0.29640280000000002</v>
      </c>
      <c r="U6607">
        <v>1.6341859999999999</v>
      </c>
      <c r="V6607">
        <v>-0.31629239999999997</v>
      </c>
      <c r="W6607">
        <v>0.269312099999999</v>
      </c>
      <c r="X6607">
        <v>0.90963179999999999</v>
      </c>
      <c r="Y6607">
        <v>-0.39964260000000001</v>
      </c>
      <c r="Z6607">
        <v>1.7523770000000001E-4</v>
      </c>
      <c r="AA6607">
        <v>0.91667100000000001</v>
      </c>
      <c r="AB6607">
        <v>24</v>
      </c>
      <c r="AC6607">
        <v>60.5488</v>
      </c>
      <c r="AD6607">
        <v>7.0246839999999997</v>
      </c>
      <c r="AE6607">
        <v>38.708629999999999</v>
      </c>
      <c r="AF6607">
        <v>-28.535334903965101</v>
      </c>
      <c r="AG6607">
        <v>7.0246839999999997</v>
      </c>
      <c r="AH6607">
        <v>65.214677706963201</v>
      </c>
      <c r="AI6607">
        <v>84.364133288909898</v>
      </c>
      <c r="AJ6607">
        <v>113.632263508349</v>
      </c>
      <c r="AK6607">
        <v>71.530173436140899</v>
      </c>
      <c r="AL6607">
        <v>74.376662304039002</v>
      </c>
      <c r="AM6607">
        <v>109.173317506215</v>
      </c>
      <c r="AN6607">
        <v>0.99999995053770296</v>
      </c>
    </row>
    <row r="6608" spans="1:40" x14ac:dyDescent="0.25">
      <c r="A6608" t="str">
        <f>"20190304155802588"</f>
        <v>20190304155802588</v>
      </c>
      <c r="B6608" t="str">
        <f>"1551686282581168"</f>
        <v>1551686282581168</v>
      </c>
      <c r="C6608" t="s">
        <v>40</v>
      </c>
      <c r="D6608">
        <v>4.3048909999999996</v>
      </c>
      <c r="E6608">
        <v>0.46592159999999999</v>
      </c>
      <c r="F6608" t="s">
        <v>98</v>
      </c>
      <c r="G6608">
        <v>-147.84569999999999</v>
      </c>
      <c r="H6608">
        <v>8.2238749999999996</v>
      </c>
      <c r="I6608">
        <v>-23.660599999999999</v>
      </c>
      <c r="J6608">
        <v>-207.90520000000001</v>
      </c>
      <c r="K6608">
        <v>1.1149389999999999</v>
      </c>
      <c r="L6608">
        <v>-62.349089999999997</v>
      </c>
      <c r="M6608">
        <v>0.98721919999999996</v>
      </c>
      <c r="N6608">
        <v>-1.402496E-2</v>
      </c>
      <c r="O6608">
        <v>0.158749799999999</v>
      </c>
      <c r="P6608">
        <v>0.85164859999999898</v>
      </c>
      <c r="Q6608">
        <v>0.26056269999999998</v>
      </c>
      <c r="R6608">
        <v>0.45475450000000001</v>
      </c>
      <c r="S6608">
        <v>2.553528</v>
      </c>
      <c r="T6608">
        <v>0.30171100000000001</v>
      </c>
      <c r="U6608">
        <v>1.642822</v>
      </c>
      <c r="V6608">
        <v>-0.31655280000000002</v>
      </c>
      <c r="W6608">
        <v>0.27011980000000002</v>
      </c>
      <c r="X6608">
        <v>0.90930169999999999</v>
      </c>
      <c r="Y6608">
        <v>-0.39999889999999999</v>
      </c>
      <c r="Z6608">
        <v>4.2636129999999999E-4</v>
      </c>
      <c r="AA6608">
        <v>0.91651550000000004</v>
      </c>
      <c r="AB6608">
        <v>23</v>
      </c>
      <c r="AC6608">
        <v>60.0595</v>
      </c>
      <c r="AD6608">
        <v>7.1089359999999999</v>
      </c>
      <c r="AE6608">
        <v>38.688490000000002</v>
      </c>
      <c r="AF6608">
        <v>-28.3813865042579</v>
      </c>
      <c r="AG6608">
        <v>7.1089359999999999</v>
      </c>
      <c r="AH6608">
        <v>64.798513595708997</v>
      </c>
      <c r="AI6608">
        <v>84.261507564155494</v>
      </c>
      <c r="AJ6608">
        <v>113.653149858806</v>
      </c>
      <c r="AK6608">
        <v>71.097731575412794</v>
      </c>
      <c r="AL6608">
        <v>74.3286039326223</v>
      </c>
      <c r="AM6608">
        <v>109.194405265116</v>
      </c>
      <c r="AN6608">
        <v>0.99999998158138403</v>
      </c>
    </row>
    <row r="6609" spans="1:40" x14ac:dyDescent="0.25">
      <c r="A6609" t="str">
        <f>"20190304155802598"</f>
        <v>20190304155802598</v>
      </c>
      <c r="B6609" t="str">
        <f>"1551686282590928"</f>
        <v>1551686282590928</v>
      </c>
      <c r="C6609" t="s">
        <v>40</v>
      </c>
      <c r="D6609">
        <v>5.2061520000000003</v>
      </c>
      <c r="E6609">
        <v>0.46682289999999999</v>
      </c>
      <c r="F6609" t="s">
        <v>98</v>
      </c>
      <c r="G6609">
        <v>-147.9025</v>
      </c>
      <c r="H6609">
        <v>8.3356179999999895</v>
      </c>
      <c r="I6609">
        <v>-23.660599999999999</v>
      </c>
      <c r="J6609">
        <v>-207.7936</v>
      </c>
      <c r="K6609">
        <v>1.1150040000000001</v>
      </c>
      <c r="L6609">
        <v>-62.327449999999999</v>
      </c>
      <c r="M6609">
        <v>0.98669059999999997</v>
      </c>
      <c r="N6609">
        <v>-1.403386E-2</v>
      </c>
      <c r="O6609">
        <v>0.16200290000000001</v>
      </c>
      <c r="P6609">
        <v>0.84979889999999902</v>
      </c>
      <c r="Q6609">
        <v>0.26114530000000002</v>
      </c>
      <c r="R6609">
        <v>0.4578699</v>
      </c>
      <c r="S6609">
        <v>2.5505369999999998</v>
      </c>
      <c r="T6609">
        <v>0.30692909999999901</v>
      </c>
      <c r="U6609">
        <v>1.644531</v>
      </c>
      <c r="V6609">
        <v>-0.31696340000000001</v>
      </c>
      <c r="W6609">
        <v>0.2706537</v>
      </c>
      <c r="X6609">
        <v>0.90899989999999997</v>
      </c>
      <c r="Y6609">
        <v>-0.3978969</v>
      </c>
      <c r="Z6609">
        <v>8.3218509999999997E-4</v>
      </c>
      <c r="AA6609">
        <v>0.91742970000000001</v>
      </c>
      <c r="AB6609">
        <v>23</v>
      </c>
      <c r="AC6609">
        <v>59.891100000000002</v>
      </c>
      <c r="AD6609">
        <v>7.2206139999999897</v>
      </c>
      <c r="AE6609">
        <v>38.666849999999997</v>
      </c>
      <c r="AF6609">
        <v>-28.163552615257199</v>
      </c>
      <c r="AG6609">
        <v>7.2206139999999897</v>
      </c>
      <c r="AH6609">
        <v>64.700787369423495</v>
      </c>
      <c r="AI6609">
        <v>84.157478960066797</v>
      </c>
      <c r="AJ6609">
        <v>113.522971132129</v>
      </c>
      <c r="AK6609">
        <v>70.933171708818406</v>
      </c>
      <c r="AL6609">
        <v>74.296830822724601</v>
      </c>
      <c r="AM6609">
        <v>109.223390014003</v>
      </c>
      <c r="AN6609">
        <v>1.0000000202316299</v>
      </c>
    </row>
    <row r="6610" spans="1:40" x14ac:dyDescent="0.25">
      <c r="A6610" t="str">
        <f>"20190304155802610"</f>
        <v>20190304155802610</v>
      </c>
      <c r="B6610" t="str">
        <f>"1551686282600688"</f>
        <v>1551686282600688</v>
      </c>
      <c r="C6610" t="s">
        <v>40</v>
      </c>
      <c r="D6610">
        <v>4.6953779999999998</v>
      </c>
      <c r="E6610">
        <v>0.46748390000000001</v>
      </c>
      <c r="F6610" t="s">
        <v>98</v>
      </c>
      <c r="G6610">
        <v>-146.46780000000001</v>
      </c>
      <c r="H6610">
        <v>8.9117580000000007</v>
      </c>
      <c r="I6610">
        <v>-22.65</v>
      </c>
      <c r="J6610">
        <v>-207.67920000000001</v>
      </c>
      <c r="K6610">
        <v>1.1150659999999999</v>
      </c>
      <c r="L6610">
        <v>-62.305149999999998</v>
      </c>
      <c r="M6610">
        <v>0.98613360000000005</v>
      </c>
      <c r="N6610">
        <v>-1.404277E-2</v>
      </c>
      <c r="O6610">
        <v>0.16535859999999999</v>
      </c>
      <c r="P6610">
        <v>0.84818379999999904</v>
      </c>
      <c r="Q6610">
        <v>0.26089990000000002</v>
      </c>
      <c r="R6610">
        <v>0.46099430000000002</v>
      </c>
      <c r="S6610">
        <v>2.544022</v>
      </c>
      <c r="T6610">
        <v>0.32343769999999999</v>
      </c>
      <c r="U6610">
        <v>1.645966</v>
      </c>
      <c r="V6610">
        <v>-0.31724659999999999</v>
      </c>
      <c r="W6610">
        <v>0.2703622</v>
      </c>
      <c r="X6610">
        <v>0.90898780000000001</v>
      </c>
      <c r="Y6610">
        <v>-0.39613520000000002</v>
      </c>
      <c r="Z6610">
        <v>1.1037029999999999E-3</v>
      </c>
      <c r="AA6610">
        <v>0.9181916</v>
      </c>
      <c r="AB6610">
        <v>23</v>
      </c>
      <c r="AC6610">
        <v>61.211399999999998</v>
      </c>
      <c r="AD6610">
        <v>7.7966920000000002</v>
      </c>
      <c r="AE6610">
        <v>39.655149999999999</v>
      </c>
      <c r="AF6610">
        <v>-28.658794895123201</v>
      </c>
      <c r="AG6610">
        <v>7.7966920000000002</v>
      </c>
      <c r="AH6610">
        <v>66.170354330470403</v>
      </c>
      <c r="AI6610">
        <v>83.829020943367397</v>
      </c>
      <c r="AJ6610">
        <v>113.41773853654399</v>
      </c>
      <c r="AK6610">
        <v>72.530205591902202</v>
      </c>
      <c r="AL6610">
        <v>74.314178565449097</v>
      </c>
      <c r="AM6610">
        <v>109.239541196429</v>
      </c>
      <c r="AN6610">
        <v>0.99999997247461903</v>
      </c>
    </row>
    <row r="6611" spans="1:40" x14ac:dyDescent="0.25">
      <c r="A6611" t="str">
        <f>"20190304155802621"</f>
        <v>20190304155802621</v>
      </c>
      <c r="B6611" t="str">
        <f>"1551686282611424"</f>
        <v>1551686282611424</v>
      </c>
      <c r="C6611" t="s">
        <v>40</v>
      </c>
      <c r="D6611">
        <v>4.3492280000000001</v>
      </c>
      <c r="E6611">
        <v>0.46795110000000001</v>
      </c>
      <c r="F6611" t="s">
        <v>98</v>
      </c>
      <c r="G6611">
        <v>-146.64259999999999</v>
      </c>
      <c r="H6611">
        <v>9.0638699999999996</v>
      </c>
      <c r="I6611">
        <v>-22.65</v>
      </c>
      <c r="J6611">
        <v>-207.56270000000001</v>
      </c>
      <c r="K6611">
        <v>1.115137</v>
      </c>
      <c r="L6611">
        <v>-62.281590000000001</v>
      </c>
      <c r="M6611">
        <v>0.98553679999999999</v>
      </c>
      <c r="N6611">
        <v>-1.4053049999999999E-2</v>
      </c>
      <c r="O6611">
        <v>0.16887829999999901</v>
      </c>
      <c r="P6611">
        <v>0.84677049999999998</v>
      </c>
      <c r="Q6611">
        <v>0.25905980000000001</v>
      </c>
      <c r="R6611">
        <v>0.46461590000000003</v>
      </c>
      <c r="S6611">
        <v>2.5388030000000001</v>
      </c>
      <c r="T6611">
        <v>0.33062799999999998</v>
      </c>
      <c r="U6611">
        <v>1.6494450000000001</v>
      </c>
      <c r="V6611">
        <v>-0.31781979999999999</v>
      </c>
      <c r="W6611">
        <v>0.26847710000000002</v>
      </c>
      <c r="X6611">
        <v>0.90934619999999999</v>
      </c>
      <c r="Y6611">
        <v>-0.3945882</v>
      </c>
      <c r="Z6611">
        <v>1.540238E-3</v>
      </c>
      <c r="AA6611">
        <v>0.91885669999999997</v>
      </c>
      <c r="AB6611">
        <v>23</v>
      </c>
      <c r="AC6611">
        <v>60.920099999999998</v>
      </c>
      <c r="AD6611">
        <v>7.9487329999999998</v>
      </c>
      <c r="AE6611">
        <v>39.631590000000003</v>
      </c>
      <c r="AF6611">
        <v>-28.433030614805201</v>
      </c>
      <c r="AG6611">
        <v>7.9487329999999998</v>
      </c>
      <c r="AH6611">
        <v>65.949611825779698</v>
      </c>
      <c r="AI6611">
        <v>83.684252405326106</v>
      </c>
      <c r="AJ6611">
        <v>113.32245130539</v>
      </c>
      <c r="AK6611">
        <v>72.256286136354703</v>
      </c>
      <c r="AL6611">
        <v>74.426333612534904</v>
      </c>
      <c r="AM6611">
        <v>109.26470620174899</v>
      </c>
      <c r="AN6611">
        <v>0.99999994497544298</v>
      </c>
    </row>
    <row r="6612" spans="1:40" x14ac:dyDescent="0.25">
      <c r="A6612" t="str">
        <f>"20190304155802632"</f>
        <v>20190304155802632</v>
      </c>
      <c r="B6612" t="str">
        <f>"1551686282630944"</f>
        <v>1551686282630944</v>
      </c>
      <c r="C6612" t="s">
        <v>40</v>
      </c>
      <c r="D6612">
        <v>4.7393619999999999</v>
      </c>
      <c r="E6612">
        <v>0.4685608</v>
      </c>
      <c r="F6612" t="s">
        <v>98</v>
      </c>
      <c r="G6612">
        <v>-146.97049999999999</v>
      </c>
      <c r="H6612">
        <v>9.3286010000000008</v>
      </c>
      <c r="I6612">
        <v>-22.65</v>
      </c>
      <c r="J6612">
        <v>-207.44800000000001</v>
      </c>
      <c r="K6612">
        <v>1.115208</v>
      </c>
      <c r="L6612">
        <v>-62.258119999999998</v>
      </c>
      <c r="M6612">
        <v>0.98493120000000001</v>
      </c>
      <c r="N6612">
        <v>-1.4063020000000001E-2</v>
      </c>
      <c r="O6612">
        <v>0.1723739</v>
      </c>
      <c r="P6612">
        <v>0.84525839999999997</v>
      </c>
      <c r="Q6612">
        <v>0.25806400000000002</v>
      </c>
      <c r="R6612">
        <v>0.46791159999999998</v>
      </c>
      <c r="S6612">
        <v>2.5299839999999998</v>
      </c>
      <c r="T6612">
        <v>0.34294639999999998</v>
      </c>
      <c r="U6612">
        <v>1.654785</v>
      </c>
      <c r="V6612">
        <v>-0.31811859999999997</v>
      </c>
      <c r="W6612">
        <v>0.26743800000000001</v>
      </c>
      <c r="X6612">
        <v>0.90954800000000002</v>
      </c>
      <c r="Y6612">
        <v>-0.39409709999999998</v>
      </c>
      <c r="Z6612">
        <v>1.885811E-3</v>
      </c>
      <c r="AA6612">
        <v>0.91906679999999996</v>
      </c>
      <c r="AB6612">
        <v>23</v>
      </c>
      <c r="AC6612">
        <v>60.4774999999999</v>
      </c>
      <c r="AD6612">
        <v>8.2133929999999999</v>
      </c>
      <c r="AE6612">
        <v>39.60812</v>
      </c>
      <c r="AF6612">
        <v>-28.225037985740599</v>
      </c>
      <c r="AG6612">
        <v>8.2133929999999999</v>
      </c>
      <c r="AH6612">
        <v>65.553998845378302</v>
      </c>
      <c r="AI6612">
        <v>83.435367421449698</v>
      </c>
      <c r="AJ6612">
        <v>113.294857889022</v>
      </c>
      <c r="AK6612">
        <v>71.843158049245105</v>
      </c>
      <c r="AL6612">
        <v>74.488131100114401</v>
      </c>
      <c r="AM6612">
        <v>109.27751947887199</v>
      </c>
      <c r="AN6612">
        <v>1.00000004590697</v>
      </c>
    </row>
    <row r="6613" spans="1:40" x14ac:dyDescent="0.25">
      <c r="A6613" t="str">
        <f>"20190304155802644"</f>
        <v>20190304155802644</v>
      </c>
      <c r="B6613" t="str">
        <f>"1551686282640704"</f>
        <v>1551686282640704</v>
      </c>
      <c r="C6613" t="s">
        <v>40</v>
      </c>
      <c r="D6613">
        <v>4.6851830000000003</v>
      </c>
      <c r="E6613">
        <v>0.46867969999999998</v>
      </c>
      <c r="F6613" t="s">
        <v>98</v>
      </c>
      <c r="G6613">
        <v>-147.14250000000001</v>
      </c>
      <c r="H6613">
        <v>9.0046920000000004</v>
      </c>
      <c r="I6613">
        <v>-22.650010000000002</v>
      </c>
      <c r="J6613">
        <v>-207.3355</v>
      </c>
      <c r="K6613">
        <v>1.1152740000000001</v>
      </c>
      <c r="L6613">
        <v>-62.234560000000002</v>
      </c>
      <c r="M6613">
        <v>0.98431340000000001</v>
      </c>
      <c r="N6613">
        <v>-1.4073240000000001E-2</v>
      </c>
      <c r="O6613">
        <v>0.1758672</v>
      </c>
      <c r="P6613">
        <v>0.84357359999999904</v>
      </c>
      <c r="Q6613">
        <v>0.2569922</v>
      </c>
      <c r="R6613">
        <v>0.471528</v>
      </c>
      <c r="S6613">
        <v>2.5287929999999998</v>
      </c>
      <c r="T6613">
        <v>0.33082990000000001</v>
      </c>
      <c r="U6613">
        <v>1.6608889999999901</v>
      </c>
      <c r="V6613">
        <v>-0.31876300000000002</v>
      </c>
      <c r="W6613">
        <v>0.26632040000000001</v>
      </c>
      <c r="X6613">
        <v>0.90965030000000002</v>
      </c>
      <c r="Y6613">
        <v>-0.3926963</v>
      </c>
      <c r="Z6613">
        <v>2.5270359999999999E-3</v>
      </c>
      <c r="AA6613">
        <v>0.9196647</v>
      </c>
      <c r="AB6613">
        <v>23</v>
      </c>
      <c r="AC6613">
        <v>60.192999999999898</v>
      </c>
      <c r="AD6613">
        <v>7.889418</v>
      </c>
      <c r="AE6613">
        <v>39.584549999999901</v>
      </c>
      <c r="AF6613">
        <v>-28.044116084713899</v>
      </c>
      <c r="AG6613">
        <v>7.889418</v>
      </c>
      <c r="AH6613">
        <v>65.432252313081406</v>
      </c>
      <c r="AI6613">
        <v>83.6760702533727</v>
      </c>
      <c r="AJ6613">
        <v>113.19986456647599</v>
      </c>
      <c r="AK6613">
        <v>71.624681542847995</v>
      </c>
      <c r="AL6613">
        <v>74.554574635747102</v>
      </c>
      <c r="AM6613">
        <v>109.311668948079</v>
      </c>
      <c r="AN6613">
        <v>1.0000000369576201</v>
      </c>
    </row>
    <row r="6614" spans="1:40" x14ac:dyDescent="0.25">
      <c r="A6614" t="str">
        <f>"20190304155802657"</f>
        <v>20190304155802657</v>
      </c>
      <c r="B6614" t="str">
        <f>"1551686282651440"</f>
        <v>1551686282651440</v>
      </c>
      <c r="C6614" t="s">
        <v>40</v>
      </c>
      <c r="D6614">
        <v>4.6607209999999997</v>
      </c>
      <c r="E6614">
        <v>0.46890199999999999</v>
      </c>
      <c r="F6614" t="s">
        <v>98</v>
      </c>
      <c r="G6614">
        <v>-149.04560000000001</v>
      </c>
      <c r="H6614">
        <v>8.4276579999999992</v>
      </c>
      <c r="I6614">
        <v>-23.660599999999999</v>
      </c>
      <c r="J6614">
        <v>-207.2114</v>
      </c>
      <c r="K6614">
        <v>1.1153470000000001</v>
      </c>
      <c r="L6614">
        <v>-62.208039999999997</v>
      </c>
      <c r="M6614">
        <v>0.9836066</v>
      </c>
      <c r="N6614">
        <v>-1.408448E-2</v>
      </c>
      <c r="O6614">
        <v>0.17977699999999999</v>
      </c>
      <c r="P6614">
        <v>0.84160889999999999</v>
      </c>
      <c r="Q6614">
        <v>0.25647330000000002</v>
      </c>
      <c r="R6614">
        <v>0.47530620000000001</v>
      </c>
      <c r="S6614">
        <v>2.5255740000000002</v>
      </c>
      <c r="T6614">
        <v>0.31682959999999999</v>
      </c>
      <c r="U6614">
        <v>1.6713260000000001</v>
      </c>
      <c r="V6614">
        <v>-0.31924019999999997</v>
      </c>
      <c r="W6614">
        <v>0.26575310000000002</v>
      </c>
      <c r="X6614">
        <v>0.90964880000000004</v>
      </c>
      <c r="Y6614">
        <v>-0.39233879999999999</v>
      </c>
      <c r="Z6614">
        <v>3.1448359999999998E-3</v>
      </c>
      <c r="AA6614">
        <v>0.91981539999999995</v>
      </c>
      <c r="AB6614">
        <v>23</v>
      </c>
      <c r="AC6614">
        <v>58.165799999999898</v>
      </c>
      <c r="AD6614">
        <v>7.3123110000000002</v>
      </c>
      <c r="AE6614">
        <v>38.547440000000002</v>
      </c>
      <c r="AF6614">
        <v>-27.1630794900891</v>
      </c>
      <c r="AG6614">
        <v>7.3123110000000002</v>
      </c>
      <c r="AH6614">
        <v>63.451783404479002</v>
      </c>
      <c r="AI6614">
        <v>83.952495661788205</v>
      </c>
      <c r="AJ6614">
        <v>113.175287097629</v>
      </c>
      <c r="AK6614">
        <v>69.407720008328596</v>
      </c>
      <c r="AL6614">
        <v>74.588292726591305</v>
      </c>
      <c r="AM6614">
        <v>109.338464028899</v>
      </c>
      <c r="AN6614">
        <v>0.99999997739854396</v>
      </c>
    </row>
    <row r="6615" spans="1:40" x14ac:dyDescent="0.25">
      <c r="A6615" t="str">
        <f>"20190304155802668"</f>
        <v>20190304155802668</v>
      </c>
      <c r="B6615" t="str">
        <f>"1551686282661201"</f>
        <v>1551686282661201</v>
      </c>
      <c r="C6615" t="s">
        <v>40</v>
      </c>
      <c r="D6615">
        <v>4.5657769999999998</v>
      </c>
      <c r="E6615">
        <v>0.46900599999999998</v>
      </c>
      <c r="F6615" t="s">
        <v>98</v>
      </c>
      <c r="G6615">
        <v>-149.39449999999999</v>
      </c>
      <c r="H6615">
        <v>8.0961960000000008</v>
      </c>
      <c r="I6615">
        <v>-23.660599999999999</v>
      </c>
      <c r="J6615">
        <v>-207.1011</v>
      </c>
      <c r="K6615">
        <v>1.115408</v>
      </c>
      <c r="L6615">
        <v>-62.184019999999997</v>
      </c>
      <c r="M6615">
        <v>0.98295730000000003</v>
      </c>
      <c r="N6615">
        <v>-1.409435E-2</v>
      </c>
      <c r="O6615">
        <v>0.1832935</v>
      </c>
      <c r="P6615">
        <v>0.83968589999999999</v>
      </c>
      <c r="Q6615">
        <v>0.25707760000000002</v>
      </c>
      <c r="R6615">
        <v>0.47837089999999999</v>
      </c>
      <c r="S6615">
        <v>2.522141</v>
      </c>
      <c r="T6615">
        <v>0.30452430000000003</v>
      </c>
      <c r="U6615">
        <v>1.681549</v>
      </c>
      <c r="V6615">
        <v>-0.31938280000000002</v>
      </c>
      <c r="W6615">
        <v>0.26631579999999999</v>
      </c>
      <c r="X6615">
        <v>0.90943419999999997</v>
      </c>
      <c r="Y6615">
        <v>-0.39230019999999999</v>
      </c>
      <c r="Z6615">
        <v>3.6513399999999999E-3</v>
      </c>
      <c r="AA6615">
        <v>0.91983000000000004</v>
      </c>
      <c r="AB6615">
        <v>23</v>
      </c>
      <c r="AC6615">
        <v>57.706600000000002</v>
      </c>
      <c r="AD6615">
        <v>6.9807880000000004</v>
      </c>
      <c r="AE6615">
        <v>38.523420000000002</v>
      </c>
      <c r="AF6615">
        <v>-27.018838633327199</v>
      </c>
      <c r="AG6615">
        <v>6.9807880000000004</v>
      </c>
      <c r="AH6615">
        <v>63.151288779183702</v>
      </c>
      <c r="AI6615">
        <v>84.196970095659097</v>
      </c>
      <c r="AJ6615">
        <v>113.163322962433</v>
      </c>
      <c r="AK6615">
        <v>69.042264712758197</v>
      </c>
      <c r="AL6615">
        <v>74.554847821908197</v>
      </c>
      <c r="AM6615">
        <v>109.350686516689</v>
      </c>
      <c r="AN6615">
        <v>1.0000000211975499</v>
      </c>
    </row>
    <row r="6616" spans="1:40" x14ac:dyDescent="0.25">
      <c r="A6616" t="str">
        <f>"20190304155802679"</f>
        <v>20190304155802679</v>
      </c>
      <c r="B6616" t="str">
        <f>"1551686282670960"</f>
        <v>1551686282670960</v>
      </c>
      <c r="C6616" t="s">
        <v>40</v>
      </c>
      <c r="D6616">
        <v>5.6159549999999996</v>
      </c>
      <c r="E6616">
        <v>0.46900599999999998</v>
      </c>
      <c r="F6616" t="s">
        <v>98</v>
      </c>
      <c r="G6616">
        <v>-149.73099999999999</v>
      </c>
      <c r="H6616">
        <v>7.8677520000000003</v>
      </c>
      <c r="I6616">
        <v>-23.660599999999999</v>
      </c>
      <c r="J6616">
        <v>-206.9836</v>
      </c>
      <c r="K6616">
        <v>1.11547</v>
      </c>
      <c r="L6616">
        <v>-62.157780000000002</v>
      </c>
      <c r="M6616">
        <v>0.98223609999999995</v>
      </c>
      <c r="N6616">
        <v>-1.410487E-2</v>
      </c>
      <c r="O6616">
        <v>0.1871188</v>
      </c>
      <c r="P6616">
        <v>0.83750659999999899</v>
      </c>
      <c r="Q6616">
        <v>0.2589611</v>
      </c>
      <c r="R6616">
        <v>0.48116740000000002</v>
      </c>
      <c r="S6616">
        <v>2.5185240000000002</v>
      </c>
      <c r="T6616">
        <v>0.29642489999999999</v>
      </c>
      <c r="U6616">
        <v>1.6911619999999901</v>
      </c>
      <c r="V6616">
        <v>-0.3190421</v>
      </c>
      <c r="W6616">
        <v>0.26816020000000002</v>
      </c>
      <c r="X6616">
        <v>0.90901169999999998</v>
      </c>
      <c r="Y6616">
        <v>-0.39181860000000002</v>
      </c>
      <c r="Z6616">
        <v>4.1646679999999998E-3</v>
      </c>
      <c r="AA6616">
        <v>0.92003310000000005</v>
      </c>
      <c r="AB6616">
        <v>23</v>
      </c>
      <c r="AC6616">
        <v>57.252600000000001</v>
      </c>
      <c r="AD6616">
        <v>6.7522820000000001</v>
      </c>
      <c r="AE6616">
        <v>38.49718</v>
      </c>
      <c r="AF6616">
        <v>-26.845829690780601</v>
      </c>
      <c r="AG6616">
        <v>6.7522820000000001</v>
      </c>
      <c r="AH6616">
        <v>62.843468314730799</v>
      </c>
      <c r="AI6616">
        <v>84.357034933648507</v>
      </c>
      <c r="AJ6616">
        <v>113.131479594124</v>
      </c>
      <c r="AK6616">
        <v>68.670178344158202</v>
      </c>
      <c r="AL6616">
        <v>74.445182883734503</v>
      </c>
      <c r="AM6616">
        <v>109.339894461104</v>
      </c>
      <c r="AN6616">
        <v>1.0000000125866699</v>
      </c>
    </row>
    <row r="6617" spans="1:40" x14ac:dyDescent="0.25">
      <c r="A6617" t="str">
        <f>"20190304155802835"</f>
        <v>20190304155802835</v>
      </c>
      <c r="B6617" t="str">
        <f>"1551686282831024"</f>
        <v>1551686282831024</v>
      </c>
      <c r="C6617" t="s">
        <v>40</v>
      </c>
      <c r="D6617">
        <v>4.341907</v>
      </c>
      <c r="E6617">
        <v>0.46826970000000001</v>
      </c>
      <c r="F6617" t="s">
        <v>98</v>
      </c>
      <c r="G6617">
        <v>-150.1311</v>
      </c>
      <c r="H6617">
        <v>7.9664710000000003</v>
      </c>
      <c r="I6617">
        <v>-23.660599999999999</v>
      </c>
      <c r="J6617">
        <v>-205.44</v>
      </c>
      <c r="K6617">
        <v>1.116023</v>
      </c>
      <c r="L6617">
        <v>-61.76126</v>
      </c>
      <c r="M6617">
        <v>0.97022600000000003</v>
      </c>
      <c r="N6617">
        <v>-1.423525E-2</v>
      </c>
      <c r="O6617">
        <v>0.24178269999999999</v>
      </c>
      <c r="P6617">
        <v>0.80616750000000004</v>
      </c>
      <c r="Q6617">
        <v>0.25548100000000001</v>
      </c>
      <c r="R6617">
        <v>0.53368859999999996</v>
      </c>
      <c r="S6617">
        <v>2.5114290000000001</v>
      </c>
      <c r="T6617">
        <v>0.30263899999999999</v>
      </c>
      <c r="U6617">
        <v>1.7005920000000001</v>
      </c>
      <c r="V6617">
        <v>-0.32636349999999997</v>
      </c>
      <c r="W6617">
        <v>0.26422259999999997</v>
      </c>
      <c r="X6617">
        <v>0.9075645</v>
      </c>
      <c r="Y6617">
        <v>-0.3438814</v>
      </c>
      <c r="Z6617">
        <v>1.282291E-2</v>
      </c>
      <c r="AA6617">
        <v>0.93892560000000003</v>
      </c>
      <c r="AB6617">
        <v>23</v>
      </c>
      <c r="AC6617">
        <v>55.308900000000001</v>
      </c>
      <c r="AD6617">
        <v>6.8504479999999903</v>
      </c>
      <c r="AE6617">
        <v>38.100659999999998</v>
      </c>
      <c r="AF6617">
        <v>-23.352947917324599</v>
      </c>
      <c r="AG6617">
        <v>6.8504479999999903</v>
      </c>
      <c r="AH6617">
        <v>62.233125477154097</v>
      </c>
      <c r="AI6617">
        <v>84.115868755846293</v>
      </c>
      <c r="AJ6617">
        <v>110.568576004269</v>
      </c>
      <c r="AK6617">
        <v>66.822531536040898</v>
      </c>
      <c r="AL6617">
        <v>74.679235610147202</v>
      </c>
      <c r="AM6617">
        <v>109.778769697104</v>
      </c>
      <c r="AN6617">
        <v>1.0000000190716201</v>
      </c>
    </row>
    <row r="6618" spans="1:40" x14ac:dyDescent="0.25">
      <c r="A6618" t="str">
        <f>"20190304155802846"</f>
        <v>20190304155802846</v>
      </c>
      <c r="B6618" t="str">
        <f>"1551686282840784"</f>
        <v>1551686282840784</v>
      </c>
      <c r="C6618" t="s">
        <v>40</v>
      </c>
      <c r="D6618">
        <v>5.3351240000000004</v>
      </c>
      <c r="E6618">
        <v>0.46826970000000001</v>
      </c>
      <c r="F6618" t="s">
        <v>98</v>
      </c>
      <c r="G6618">
        <v>-156.46539999999999</v>
      </c>
      <c r="H6618">
        <v>7.4507979999999998</v>
      </c>
      <c r="I6618">
        <v>-23.660599999999999</v>
      </c>
      <c r="J6618">
        <v>-205.32259999999999</v>
      </c>
      <c r="K6618">
        <v>1.1160600000000001</v>
      </c>
      <c r="L6618">
        <v>-61.726990000000001</v>
      </c>
      <c r="M6618">
        <v>0.9691111</v>
      </c>
      <c r="N6618">
        <v>-1.424358E-2</v>
      </c>
      <c r="O6618">
        <v>0.2462126</v>
      </c>
      <c r="P6618">
        <v>0.80291709999999905</v>
      </c>
      <c r="Q6618">
        <v>0.2553183</v>
      </c>
      <c r="R6618">
        <v>0.53864350000000005</v>
      </c>
      <c r="S6618">
        <v>2.3915709999999999</v>
      </c>
      <c r="T6618">
        <v>0.30934509999999998</v>
      </c>
      <c r="U6618">
        <v>1.860565</v>
      </c>
      <c r="V6618">
        <v>-0.32781529999999998</v>
      </c>
      <c r="W6618">
        <v>0.26401970000000002</v>
      </c>
      <c r="X6618">
        <v>0.90710020000000002</v>
      </c>
      <c r="Y6618">
        <v>-0.40059899999999998</v>
      </c>
      <c r="Z6618">
        <v>1.0827430000000001E-2</v>
      </c>
      <c r="AA6618">
        <v>0.91618949999999999</v>
      </c>
      <c r="AB6618">
        <v>23</v>
      </c>
      <c r="AC6618">
        <v>48.857199999999999</v>
      </c>
      <c r="AD6618">
        <v>6.3347379999999998</v>
      </c>
      <c r="AE6618">
        <v>38.066389999999998</v>
      </c>
      <c r="AF6618">
        <v>-24.6064211057089</v>
      </c>
      <c r="AG6618">
        <v>6.3347379999999998</v>
      </c>
      <c r="AH6618">
        <v>56.138972975222998</v>
      </c>
      <c r="AI6618">
        <v>84.099509750533898</v>
      </c>
      <c r="AJ6618">
        <v>113.668446345589</v>
      </c>
      <c r="AK6618">
        <v>61.621336823156703</v>
      </c>
      <c r="AL6618">
        <v>74.691289002936202</v>
      </c>
      <c r="AM6618">
        <v>109.869257242999</v>
      </c>
      <c r="AN6618">
        <v>1.0000000228710999</v>
      </c>
    </row>
    <row r="6619" spans="1:40" x14ac:dyDescent="0.25">
      <c r="A6619" t="str">
        <f>"20190304155802858"</f>
        <v>20190304155802858</v>
      </c>
      <c r="B6619" t="str">
        <f>"1551686282851522"</f>
        <v>1551686282851522</v>
      </c>
      <c r="C6619" t="s">
        <v>40</v>
      </c>
      <c r="D6619">
        <v>8.8171630000000007</v>
      </c>
      <c r="E6619">
        <v>0.42374099999999998</v>
      </c>
      <c r="F6619" t="s">
        <v>98</v>
      </c>
      <c r="G6619">
        <v>-156.98339999999999</v>
      </c>
      <c r="H6619">
        <v>7.3802099999999999</v>
      </c>
      <c r="I6619">
        <v>-23.660599999999999</v>
      </c>
      <c r="J6619">
        <v>-205.2167</v>
      </c>
      <c r="K6619">
        <v>1.116099</v>
      </c>
      <c r="L6619">
        <v>-61.695309999999999</v>
      </c>
      <c r="M6619">
        <v>0.96807690000000002</v>
      </c>
      <c r="N6619">
        <v>-1.4250860000000001E-2</v>
      </c>
      <c r="O6619">
        <v>0.25024819999999998</v>
      </c>
      <c r="P6619">
        <v>0.79995609999999995</v>
      </c>
      <c r="Q6619">
        <v>0.25535849999999999</v>
      </c>
      <c r="R6619">
        <v>0.54301239999999995</v>
      </c>
      <c r="S6619">
        <v>2.3806150000000001</v>
      </c>
      <c r="T6619">
        <v>0.30849680000000002</v>
      </c>
      <c r="U6619">
        <v>1.874695</v>
      </c>
      <c r="V6619">
        <v>-0.32900469999999998</v>
      </c>
      <c r="W6619">
        <v>0.264026599999999</v>
      </c>
      <c r="X6619">
        <v>0.90666749999999996</v>
      </c>
      <c r="Y6619">
        <v>-0.40220679999999998</v>
      </c>
      <c r="Z6619">
        <v>1.1226969999999999E-2</v>
      </c>
      <c r="AA6619">
        <v>0.91547999999999996</v>
      </c>
      <c r="AB6619">
        <v>23</v>
      </c>
      <c r="AC6619">
        <v>48.2333</v>
      </c>
      <c r="AD6619">
        <v>6.2641109999999998</v>
      </c>
      <c r="AE6619">
        <v>38.034709999999997</v>
      </c>
      <c r="AF6619">
        <v>-24.4979675835243</v>
      </c>
      <c r="AG6619">
        <v>6.2641109999999998</v>
      </c>
      <c r="AH6619">
        <v>55.6387389667725</v>
      </c>
      <c r="AI6619">
        <v>84.117028763557499</v>
      </c>
      <c r="AJ6619">
        <v>113.764092742299</v>
      </c>
      <c r="AK6619">
        <v>61.115127228505202</v>
      </c>
      <c r="AL6619">
        <v>74.690879493823402</v>
      </c>
      <c r="AM6619">
        <v>109.944442122807</v>
      </c>
      <c r="AN6619">
        <v>1.00000004684294</v>
      </c>
    </row>
    <row r="6620" spans="1:40" x14ac:dyDescent="0.25">
      <c r="A6620" t="str">
        <f>"20190304155802869"</f>
        <v>20190304155802869</v>
      </c>
      <c r="B6620" t="str">
        <f>"1551686282861280"</f>
        <v>1551686282861280</v>
      </c>
      <c r="C6620" t="s">
        <v>40</v>
      </c>
      <c r="D6620">
        <v>5.7603939999999998</v>
      </c>
      <c r="E6620">
        <v>0.42567480000000002</v>
      </c>
      <c r="F6620" t="s">
        <v>98</v>
      </c>
      <c r="G6620">
        <v>-157.3501</v>
      </c>
      <c r="H6620">
        <v>18.941880000000001</v>
      </c>
      <c r="I6620">
        <v>-12.086980000000001</v>
      </c>
      <c r="J6620">
        <v>-205.10579999999999</v>
      </c>
      <c r="K6620">
        <v>1.116131</v>
      </c>
      <c r="L6620">
        <v>-61.661900000000003</v>
      </c>
      <c r="M6620">
        <v>0.96697160000000004</v>
      </c>
      <c r="N6620">
        <v>-1.425825E-2</v>
      </c>
      <c r="O6620">
        <v>0.25448539999999997</v>
      </c>
      <c r="P6620">
        <v>0.79690459999999996</v>
      </c>
      <c r="Q6620">
        <v>0.25534299999999999</v>
      </c>
      <c r="R6620">
        <v>0.54748799999999997</v>
      </c>
      <c r="S6620">
        <v>2.0578460000000001</v>
      </c>
      <c r="T6620">
        <v>0.76635089999999995</v>
      </c>
      <c r="U6620">
        <v>2.1327210000000001</v>
      </c>
      <c r="V6620">
        <v>-0.33013429999999999</v>
      </c>
      <c r="W6620">
        <v>0.26397789999999999</v>
      </c>
      <c r="X6620">
        <v>0.90627089999999999</v>
      </c>
      <c r="Y6620">
        <v>-0.51278319999999999</v>
      </c>
      <c r="Z6620">
        <v>4.2867740000000001E-3</v>
      </c>
      <c r="AA6620">
        <v>0.85850749999999998</v>
      </c>
      <c r="AB6620">
        <v>23</v>
      </c>
      <c r="AC6620">
        <v>47.755699999999898</v>
      </c>
      <c r="AD6620">
        <v>17.825748999999998</v>
      </c>
      <c r="AE6620">
        <v>49.574919999999999</v>
      </c>
      <c r="AF6620">
        <v>-33.538870466440201</v>
      </c>
      <c r="AG6620">
        <v>17.825748999999998</v>
      </c>
      <c r="AH6620">
        <v>55.105030771365499</v>
      </c>
      <c r="AI6620">
        <v>74.552962343376095</v>
      </c>
      <c r="AJ6620">
        <v>121.326172386708</v>
      </c>
      <c r="AK6620">
        <v>66.926658185574993</v>
      </c>
      <c r="AL6620">
        <v>74.693771165286293</v>
      </c>
      <c r="AM6620">
        <v>110.015555384243</v>
      </c>
      <c r="AN6620">
        <v>0.99999996595585405</v>
      </c>
    </row>
    <row r="6621" spans="1:40" x14ac:dyDescent="0.25">
      <c r="A6621" t="str">
        <f>"20190304155802880"</f>
        <v>20190304155802880</v>
      </c>
      <c r="B6621" t="str">
        <f>"1551686282871040"</f>
        <v>1551686282871040</v>
      </c>
      <c r="C6621" t="s">
        <v>40</v>
      </c>
      <c r="D6621">
        <v>5.9002299999999996</v>
      </c>
      <c r="E6621">
        <v>0.4292629</v>
      </c>
      <c r="F6621" t="s">
        <v>98</v>
      </c>
      <c r="G6621">
        <v>-157.3501</v>
      </c>
      <c r="H6621">
        <v>18.992450000000002</v>
      </c>
      <c r="I6621">
        <v>-12.10815</v>
      </c>
      <c r="J6621">
        <v>-204.9967</v>
      </c>
      <c r="K6621">
        <v>1.11616</v>
      </c>
      <c r="L6621">
        <v>-61.62811</v>
      </c>
      <c r="M6621">
        <v>0.96585259999999995</v>
      </c>
      <c r="N6621">
        <v>-1.4265409999999999E-2</v>
      </c>
      <c r="O6621">
        <v>0.25869910000000002</v>
      </c>
      <c r="P6621">
        <v>0.79413619999999996</v>
      </c>
      <c r="Q6621">
        <v>0.25496669999999999</v>
      </c>
      <c r="R6621">
        <v>0.55166999999999999</v>
      </c>
      <c r="S6621">
        <v>2.0539860000000001</v>
      </c>
      <c r="T6621">
        <v>0.7688642</v>
      </c>
      <c r="U6621">
        <v>2.1313170000000001</v>
      </c>
      <c r="V6621">
        <v>-0.33092939999999998</v>
      </c>
      <c r="W6621">
        <v>0.26357629999999999</v>
      </c>
      <c r="X6621">
        <v>0.90609779999999995</v>
      </c>
      <c r="Y6621">
        <v>-0.50973999999999997</v>
      </c>
      <c r="Z6621">
        <v>5.9313029999999997E-3</v>
      </c>
      <c r="AA6621">
        <v>0.86030810000000002</v>
      </c>
      <c r="AB6621">
        <v>23</v>
      </c>
      <c r="AC6621">
        <v>47.646599999999999</v>
      </c>
      <c r="AD6621">
        <v>17.876290000000001</v>
      </c>
      <c r="AE6621">
        <v>49.519959999999998</v>
      </c>
      <c r="AF6621">
        <v>-33.256059033350702</v>
      </c>
      <c r="AG6621">
        <v>17.876290000000001</v>
      </c>
      <c r="AH6621">
        <v>55.107294221511403</v>
      </c>
      <c r="AI6621">
        <v>74.478134579281601</v>
      </c>
      <c r="AJ6621">
        <v>121.110071991537</v>
      </c>
      <c r="AK6621">
        <v>66.800756605071797</v>
      </c>
      <c r="AL6621">
        <v>74.717626197723206</v>
      </c>
      <c r="AM6621">
        <v>110.063447877351</v>
      </c>
      <c r="AN6621">
        <v>0.99999997843544397</v>
      </c>
    </row>
    <row r="6622" spans="1:40" x14ac:dyDescent="0.25">
      <c r="A6622" t="str">
        <f>"20190304155802891"</f>
        <v>20190304155802891</v>
      </c>
      <c r="B6622" t="str">
        <f>"1551686282880801"</f>
        <v>1551686282880801</v>
      </c>
      <c r="C6622" t="s">
        <v>40</v>
      </c>
      <c r="D6622">
        <v>5.3223830000000003</v>
      </c>
      <c r="E6622">
        <v>0.42684889999999998</v>
      </c>
      <c r="F6622" t="s">
        <v>98</v>
      </c>
      <c r="G6622">
        <v>-157.3501</v>
      </c>
      <c r="H6622">
        <v>19.28247</v>
      </c>
      <c r="I6622">
        <v>-12.56418</v>
      </c>
      <c r="J6622">
        <v>-204.89570000000001</v>
      </c>
      <c r="K6622">
        <v>1.1161840000000001</v>
      </c>
      <c r="L6622">
        <v>-61.596710000000002</v>
      </c>
      <c r="M6622">
        <v>0.96479700000000002</v>
      </c>
      <c r="N6622">
        <v>-1.4271870000000001E-2</v>
      </c>
      <c r="O6622">
        <v>0.26260830000000002</v>
      </c>
      <c r="P6622">
        <v>0.79172240000000005</v>
      </c>
      <c r="Q6622">
        <v>0.2537469</v>
      </c>
      <c r="R6622">
        <v>0.55568719999999905</v>
      </c>
      <c r="S6622">
        <v>2.0556179999999999</v>
      </c>
      <c r="T6622">
        <v>0.78374659999999996</v>
      </c>
      <c r="U6622">
        <v>2.1167600000000002</v>
      </c>
      <c r="V6622">
        <v>-0.3317504</v>
      </c>
      <c r="W6622">
        <v>0.26233509999999999</v>
      </c>
      <c r="X6622">
        <v>0.90615780000000001</v>
      </c>
      <c r="Y6622">
        <v>-0.50300270000000002</v>
      </c>
      <c r="Z6622">
        <v>8.0471039999999994E-3</v>
      </c>
      <c r="AA6622">
        <v>0.8642474</v>
      </c>
      <c r="AB6622">
        <v>23</v>
      </c>
      <c r="AC6622">
        <v>47.5456</v>
      </c>
      <c r="AD6622">
        <v>18.166285999999999</v>
      </c>
      <c r="AE6622">
        <v>49.032530000000001</v>
      </c>
      <c r="AF6622">
        <v>-32.523226861764002</v>
      </c>
      <c r="AG6622">
        <v>18.166285999999999</v>
      </c>
      <c r="AH6622">
        <v>54.8721965698305</v>
      </c>
      <c r="AI6622">
        <v>74.103138889004001</v>
      </c>
      <c r="AJ6622">
        <v>120.655590097866</v>
      </c>
      <c r="AK6622">
        <v>66.322938633128203</v>
      </c>
      <c r="AL6622">
        <v>74.791335985664901</v>
      </c>
      <c r="AM6622">
        <v>110.108014534642</v>
      </c>
      <c r="AN6622">
        <v>0.99999999554650498</v>
      </c>
    </row>
    <row r="6623" spans="1:40" x14ac:dyDescent="0.25">
      <c r="A6623" t="str">
        <f>"20190304155802901"</f>
        <v>20190304155802901</v>
      </c>
      <c r="B6623" t="str">
        <f>"1551686282891538"</f>
        <v>1551686282891538</v>
      </c>
      <c r="C6623" t="s">
        <v>40</v>
      </c>
      <c r="D6623">
        <v>4.7520470000000001</v>
      </c>
      <c r="E6623">
        <v>0.42684889999999998</v>
      </c>
      <c r="F6623" t="s">
        <v>98</v>
      </c>
      <c r="G6623">
        <v>-157.3501</v>
      </c>
      <c r="H6623">
        <v>19.35895</v>
      </c>
      <c r="I6623">
        <v>-11.52389</v>
      </c>
      <c r="J6623">
        <v>-204.79920000000001</v>
      </c>
      <c r="K6623">
        <v>1.1161989999999999</v>
      </c>
      <c r="L6623">
        <v>-61.565890000000003</v>
      </c>
      <c r="M6623">
        <v>0.96376189999999995</v>
      </c>
      <c r="N6623">
        <v>-1.427813E-2</v>
      </c>
      <c r="O6623">
        <v>0.26638149999999999</v>
      </c>
      <c r="P6623">
        <v>0.78946890000000003</v>
      </c>
      <c r="Q6623">
        <v>0.25261270000000002</v>
      </c>
      <c r="R6623">
        <v>0.55939759999999905</v>
      </c>
      <c r="S6623">
        <v>2.0348510000000002</v>
      </c>
      <c r="T6623">
        <v>0.78074980000000005</v>
      </c>
      <c r="U6623">
        <v>2.143005</v>
      </c>
      <c r="V6623">
        <v>-0.33236209999999899</v>
      </c>
      <c r="W6623">
        <v>0.2611832</v>
      </c>
      <c r="X6623">
        <v>0.90626640000000003</v>
      </c>
      <c r="Y6623">
        <v>-0.50930509999999996</v>
      </c>
      <c r="Z6623">
        <v>8.2212840000000006E-3</v>
      </c>
      <c r="AA6623">
        <v>0.86054679999999995</v>
      </c>
      <c r="AB6623">
        <v>23</v>
      </c>
      <c r="AC6623">
        <v>47.449100000000001</v>
      </c>
      <c r="AD6623">
        <v>18.242750999999998</v>
      </c>
      <c r="AE6623">
        <v>50.042000000000002</v>
      </c>
      <c r="AF6623">
        <v>-33.264772298763503</v>
      </c>
      <c r="AG6623">
        <v>18.242750999999998</v>
      </c>
      <c r="AH6623">
        <v>55.202828645283702</v>
      </c>
      <c r="AI6623">
        <v>74.195859143253898</v>
      </c>
      <c r="AJ6623">
        <v>121.07282259918</v>
      </c>
      <c r="AK6623">
        <v>66.982798766378394</v>
      </c>
      <c r="AL6623">
        <v>74.859719507528894</v>
      </c>
      <c r="AM6623">
        <v>110.13989342671501</v>
      </c>
      <c r="AN6623">
        <v>1.0000000086237999</v>
      </c>
    </row>
    <row r="6624" spans="1:40" x14ac:dyDescent="0.25">
      <c r="A6624" t="str">
        <f>"20190304155802913"</f>
        <v>20190304155802913</v>
      </c>
      <c r="B6624" t="str">
        <f>"1551686282911056"</f>
        <v>1551686282911056</v>
      </c>
      <c r="C6624" t="s">
        <v>40</v>
      </c>
      <c r="D6624">
        <v>5.554011</v>
      </c>
      <c r="E6624">
        <v>0.42990499999999998</v>
      </c>
      <c r="F6624" t="s">
        <v>98</v>
      </c>
      <c r="G6624">
        <v>-157.3501</v>
      </c>
      <c r="H6624">
        <v>19.322240000000001</v>
      </c>
      <c r="I6624">
        <v>-11.15015</v>
      </c>
      <c r="J6624">
        <v>-204.68559999999999</v>
      </c>
      <c r="K6624">
        <v>1.1162160000000001</v>
      </c>
      <c r="L6624">
        <v>-61.529389999999999</v>
      </c>
      <c r="M6624">
        <v>0.96252009999999999</v>
      </c>
      <c r="N6624">
        <v>-1.4285340000000001E-2</v>
      </c>
      <c r="O6624">
        <v>0.27083390000000002</v>
      </c>
      <c r="P6624">
        <v>0.78703310000000004</v>
      </c>
      <c r="Q6624">
        <v>0.25072070000000002</v>
      </c>
      <c r="R6624">
        <v>0.56366490000000002</v>
      </c>
      <c r="S6624">
        <v>2.0259860000000001</v>
      </c>
      <c r="T6624">
        <v>0.77736079999999996</v>
      </c>
      <c r="U6624">
        <v>2.1526489999999998</v>
      </c>
      <c r="V6624">
        <v>-0.33290969999999998</v>
      </c>
      <c r="W6624">
        <v>0.2592758</v>
      </c>
      <c r="X6624">
        <v>0.90661309999999995</v>
      </c>
      <c r="Y6624">
        <v>-0.5093491</v>
      </c>
      <c r="Z6624">
        <v>9.5126480000000003E-3</v>
      </c>
      <c r="AA6624">
        <v>0.86050740000000003</v>
      </c>
      <c r="AB6624">
        <v>23</v>
      </c>
      <c r="AC6624">
        <v>47.335500000000003</v>
      </c>
      <c r="AD6624">
        <v>18.206023999999999</v>
      </c>
      <c r="AE6624">
        <v>50.379240000000003</v>
      </c>
      <c r="AF6624">
        <v>-33.360665140955497</v>
      </c>
      <c r="AG6624">
        <v>18.206023999999999</v>
      </c>
      <c r="AH6624">
        <v>55.371185778537601</v>
      </c>
      <c r="AI6624">
        <v>74.271012454303104</v>
      </c>
      <c r="AJ6624">
        <v>121.06860343054601</v>
      </c>
      <c r="AK6624">
        <v>67.159225003396699</v>
      </c>
      <c r="AL6624">
        <v>74.972905909883906</v>
      </c>
      <c r="AM6624">
        <v>110.16331137115699</v>
      </c>
      <c r="AN6624">
        <v>1.0000000609556601</v>
      </c>
    </row>
    <row r="6625" spans="1:40" x14ac:dyDescent="0.25">
      <c r="A6625" t="str">
        <f>"20190304155802923"</f>
        <v>20190304155802923</v>
      </c>
      <c r="B6625" t="str">
        <f>"1551686282920817"</f>
        <v>1551686282920817</v>
      </c>
      <c r="C6625" t="s">
        <v>40</v>
      </c>
      <c r="D6625">
        <v>6.2413629999999998</v>
      </c>
      <c r="E6625">
        <v>0.42979790000000001</v>
      </c>
      <c r="F6625" t="s">
        <v>98</v>
      </c>
      <c r="G6625">
        <v>-157.3501</v>
      </c>
      <c r="H6625">
        <v>19.443000000000001</v>
      </c>
      <c r="I6625">
        <v>-11.50822</v>
      </c>
      <c r="J6625">
        <v>-204.57570000000001</v>
      </c>
      <c r="K6625">
        <v>1.116228</v>
      </c>
      <c r="L6625">
        <v>-61.493319999999997</v>
      </c>
      <c r="M6625">
        <v>0.96128789999999997</v>
      </c>
      <c r="N6625">
        <v>-1.4292320000000001E-2</v>
      </c>
      <c r="O6625">
        <v>0.27517520000000001</v>
      </c>
      <c r="P6625">
        <v>0.78490729999999997</v>
      </c>
      <c r="Q6625">
        <v>0.24854019999999999</v>
      </c>
      <c r="R6625">
        <v>0.56758120000000001</v>
      </c>
      <c r="S6625">
        <v>2.027374</v>
      </c>
      <c r="T6625">
        <v>0.78493169999999901</v>
      </c>
      <c r="U6625">
        <v>2.142395</v>
      </c>
      <c r="V6625">
        <v>-0.33313330000000002</v>
      </c>
      <c r="W6625">
        <v>0.25708799999999998</v>
      </c>
      <c r="X6625">
        <v>0.90715380000000001</v>
      </c>
      <c r="Y6625">
        <v>-0.50330350000000001</v>
      </c>
      <c r="Z6625">
        <v>1.1711920000000001E-2</v>
      </c>
      <c r="AA6625">
        <v>0.86403039999999998</v>
      </c>
      <c r="AB6625">
        <v>23</v>
      </c>
      <c r="AC6625">
        <v>47.2256</v>
      </c>
      <c r="AD6625">
        <v>18.326771999999998</v>
      </c>
      <c r="AE6625">
        <v>49.985100000000003</v>
      </c>
      <c r="AF6625">
        <v>-32.733380615328699</v>
      </c>
      <c r="AG6625">
        <v>18.326771999999998</v>
      </c>
      <c r="AH6625">
        <v>55.234922075858996</v>
      </c>
      <c r="AI6625">
        <v>74.069217495430095</v>
      </c>
      <c r="AJ6625">
        <v>120.651877048008</v>
      </c>
      <c r="AK6625">
        <v>66.770063615172404</v>
      </c>
      <c r="AL6625">
        <v>75.102656136833204</v>
      </c>
      <c r="AM6625">
        <v>110.164705760046</v>
      </c>
      <c r="AN6625">
        <v>1.0000000260836599</v>
      </c>
    </row>
    <row r="6626" spans="1:40" x14ac:dyDescent="0.25">
      <c r="A6626" t="str">
        <f>"20190304155802936"</f>
        <v>20190304155802936</v>
      </c>
      <c r="B6626" t="str">
        <f>"1551686282931552"</f>
        <v>1551686282931552</v>
      </c>
      <c r="C6626" t="s">
        <v>40</v>
      </c>
      <c r="D6626">
        <v>4.9760650000000002</v>
      </c>
      <c r="E6626">
        <v>0.43062919999999999</v>
      </c>
      <c r="F6626" t="s">
        <v>98</v>
      </c>
      <c r="G6626">
        <v>-157.3501</v>
      </c>
      <c r="H6626">
        <v>19.628419999999998</v>
      </c>
      <c r="I6626">
        <v>-11.07043</v>
      </c>
      <c r="J6626">
        <v>-204.46680000000001</v>
      </c>
      <c r="K6626">
        <v>1.1162379999999901</v>
      </c>
      <c r="L6626">
        <v>-61.456969999999998</v>
      </c>
      <c r="M6626">
        <v>0.96003819999999995</v>
      </c>
      <c r="N6626">
        <v>-1.4299070000000001E-2</v>
      </c>
      <c r="O6626">
        <v>0.27950360000000002</v>
      </c>
      <c r="P6626">
        <v>0.78284359999999997</v>
      </c>
      <c r="Q6626">
        <v>0.24682889999999999</v>
      </c>
      <c r="R6626">
        <v>0.57116679999999997</v>
      </c>
      <c r="S6626">
        <v>2.0156710000000002</v>
      </c>
      <c r="T6626">
        <v>0.79012979999999999</v>
      </c>
      <c r="U6626">
        <v>2.1521300000000001</v>
      </c>
      <c r="V6626">
        <v>-0.3330362</v>
      </c>
      <c r="W6626">
        <v>0.25537470000000001</v>
      </c>
      <c r="X6626">
        <v>0.90767319999999996</v>
      </c>
      <c r="Y6626">
        <v>-0.50390279999999998</v>
      </c>
      <c r="Z6626">
        <v>1.293805E-2</v>
      </c>
      <c r="AA6626">
        <v>0.86366350000000003</v>
      </c>
      <c r="AB6626">
        <v>23</v>
      </c>
      <c r="AC6626">
        <v>47.116700000000002</v>
      </c>
      <c r="AD6626">
        <v>18.512181999999999</v>
      </c>
      <c r="AE6626">
        <v>50.386539999999997</v>
      </c>
      <c r="AF6626">
        <v>-32.8422045184967</v>
      </c>
      <c r="AG6626">
        <v>18.512181999999999</v>
      </c>
      <c r="AH6626">
        <v>55.337985684297102</v>
      </c>
      <c r="AI6626">
        <v>73.950516923762095</v>
      </c>
      <c r="AJ6626">
        <v>120.688449532631</v>
      </c>
      <c r="AK6626">
        <v>66.9597187839925</v>
      </c>
      <c r="AL6626">
        <v>75.204210879935104</v>
      </c>
      <c r="AM6626">
        <v>110.14869375212299</v>
      </c>
      <c r="AN6626">
        <v>0.99999999295438402</v>
      </c>
    </row>
    <row r="6627" spans="1:40" x14ac:dyDescent="0.25">
      <c r="A6627" t="str">
        <f>"20190304155802946"</f>
        <v>20190304155802946</v>
      </c>
      <c r="B6627" t="str">
        <f>"1551686282941316"</f>
        <v>1551686282941316</v>
      </c>
      <c r="C6627" t="s">
        <v>40</v>
      </c>
      <c r="D6627">
        <v>4.9437730000000002</v>
      </c>
      <c r="E6627">
        <v>0.43062919999999999</v>
      </c>
      <c r="F6627" t="s">
        <v>98</v>
      </c>
      <c r="G6627">
        <v>-157.3501</v>
      </c>
      <c r="H6627">
        <v>19.254819999999999</v>
      </c>
      <c r="I6627">
        <v>-10.99024</v>
      </c>
      <c r="J6627">
        <v>-204.36529999999999</v>
      </c>
      <c r="K6627">
        <v>1.1162459999999901</v>
      </c>
      <c r="L6627">
        <v>-61.422759999999997</v>
      </c>
      <c r="M6627">
        <v>0.9588506</v>
      </c>
      <c r="N6627">
        <v>-1.4305190000000001E-2</v>
      </c>
      <c r="O6627">
        <v>0.28355059999999999</v>
      </c>
      <c r="P6627">
        <v>0.78092980000000001</v>
      </c>
      <c r="Q6627">
        <v>0.24526310000000001</v>
      </c>
      <c r="R6627">
        <v>0.5744515</v>
      </c>
      <c r="S6627">
        <v>2.013916</v>
      </c>
      <c r="T6627">
        <v>0.77529869999999901</v>
      </c>
      <c r="U6627">
        <v>2.1571039999999999</v>
      </c>
      <c r="V6627">
        <v>-0.33287260000000002</v>
      </c>
      <c r="W6627">
        <v>0.25380789999999998</v>
      </c>
      <c r="X6627">
        <v>0.90817250000000005</v>
      </c>
      <c r="Y6627">
        <v>-0.50208129999999995</v>
      </c>
      <c r="Z6627">
        <v>1.4286719999999999E-2</v>
      </c>
      <c r="AA6627">
        <v>0.86470239999999998</v>
      </c>
      <c r="AB6627">
        <v>23</v>
      </c>
      <c r="AC6627">
        <v>47.015199999999901</v>
      </c>
      <c r="AD6627">
        <v>18.138573999999998</v>
      </c>
      <c r="AE6627">
        <v>50.432519999999997</v>
      </c>
      <c r="AF6627">
        <v>-32.762224397788401</v>
      </c>
      <c r="AG6627">
        <v>18.138573999999998</v>
      </c>
      <c r="AH6627">
        <v>55.542769855688299</v>
      </c>
      <c r="AI6627">
        <v>74.289662428222499</v>
      </c>
      <c r="AJ6627">
        <v>120.534475378651</v>
      </c>
      <c r="AK6627">
        <v>66.987838429721506</v>
      </c>
      <c r="AL6627">
        <v>75.297040193841795</v>
      </c>
      <c r="AM6627">
        <v>110.12940812258999</v>
      </c>
      <c r="AN6627">
        <v>0.99999995384470797</v>
      </c>
    </row>
    <row r="6628" spans="1:40" x14ac:dyDescent="0.25">
      <c r="A6628" t="str">
        <f>"20190304155802957"</f>
        <v>20190304155802957</v>
      </c>
      <c r="B6628" t="str">
        <f>"1551686282951072"</f>
        <v>1551686282951072</v>
      </c>
      <c r="C6628" t="s">
        <v>40</v>
      </c>
      <c r="D6628">
        <v>9.1213060000000006</v>
      </c>
      <c r="E6628">
        <v>0.44172679999999998</v>
      </c>
      <c r="F6628" t="s">
        <v>98</v>
      </c>
      <c r="G6628">
        <v>-157.3501</v>
      </c>
      <c r="H6628">
        <v>19.17699</v>
      </c>
      <c r="I6628">
        <v>-10.67573</v>
      </c>
      <c r="J6628">
        <v>-204.25729999999999</v>
      </c>
      <c r="K6628">
        <v>1.1162479999999999</v>
      </c>
      <c r="L6628">
        <v>-61.385590000000001</v>
      </c>
      <c r="M6628">
        <v>0.95755639999999997</v>
      </c>
      <c r="N6628">
        <v>-1.4312180000000001E-2</v>
      </c>
      <c r="O6628">
        <v>0.28789100000000001</v>
      </c>
      <c r="P6628">
        <v>0.77891350000000004</v>
      </c>
      <c r="Q6628">
        <v>0.2434943</v>
      </c>
      <c r="R6628">
        <v>0.57793119999999998</v>
      </c>
      <c r="S6628">
        <v>2.006424</v>
      </c>
      <c r="T6628">
        <v>0.77076009999999995</v>
      </c>
      <c r="U6628">
        <v>2.16568</v>
      </c>
      <c r="V6628">
        <v>-0.3326403</v>
      </c>
      <c r="W6628">
        <v>0.2520405</v>
      </c>
      <c r="X6628">
        <v>0.90874969999999999</v>
      </c>
      <c r="Y6628">
        <v>-0.50171599999999905</v>
      </c>
      <c r="Z6628">
        <v>1.5562650000000001E-2</v>
      </c>
      <c r="AA6628">
        <v>0.86489240000000001</v>
      </c>
      <c r="AB6628">
        <v>23</v>
      </c>
      <c r="AC6628">
        <v>46.907199999999897</v>
      </c>
      <c r="AD6628">
        <v>18.060742000000001</v>
      </c>
      <c r="AE6628">
        <v>50.709859999999999</v>
      </c>
      <c r="AF6628">
        <v>-32.813874875578101</v>
      </c>
      <c r="AG6628">
        <v>18.060742000000001</v>
      </c>
      <c r="AH6628">
        <v>55.712853230688602</v>
      </c>
      <c r="AI6628">
        <v>74.393530088024306</v>
      </c>
      <c r="AJ6628">
        <v>120.497324880343</v>
      </c>
      <c r="AK6628">
        <v>67.133172136023205</v>
      </c>
      <c r="AL6628">
        <v>75.401708622487803</v>
      </c>
      <c r="AM6628">
        <v>110.104733578112</v>
      </c>
      <c r="AN6628">
        <v>1.00000000003721</v>
      </c>
    </row>
    <row r="6629" spans="1:40" x14ac:dyDescent="0.25">
      <c r="A6629" t="str">
        <f>"20190304155802968"</f>
        <v>20190304155802968</v>
      </c>
      <c r="B6629" t="str">
        <f>"1551686282960832"</f>
        <v>1551686282960832</v>
      </c>
      <c r="C6629" t="s">
        <v>40</v>
      </c>
      <c r="D6629">
        <v>5.2776040000000002</v>
      </c>
      <c r="E6629">
        <v>0.44172679999999998</v>
      </c>
      <c r="F6629" t="s">
        <v>98</v>
      </c>
      <c r="G6629">
        <v>-164.02080000000001</v>
      </c>
      <c r="H6629">
        <v>6.7232570000000003</v>
      </c>
      <c r="I6629">
        <v>-21.233239999999999</v>
      </c>
      <c r="J6629">
        <v>-204.1532</v>
      </c>
      <c r="K6629">
        <v>1.11625</v>
      </c>
      <c r="L6629">
        <v>-61.349550000000001</v>
      </c>
      <c r="M6629">
        <v>0.95628639999999998</v>
      </c>
      <c r="N6629">
        <v>-1.431896E-2</v>
      </c>
      <c r="O6629">
        <v>0.29208099999999998</v>
      </c>
      <c r="P6629">
        <v>0.7770357</v>
      </c>
      <c r="Q6629">
        <v>0.24136949999999999</v>
      </c>
      <c r="R6629">
        <v>0.58134010000000003</v>
      </c>
      <c r="S6629">
        <v>2.1589360000000002</v>
      </c>
      <c r="T6629">
        <v>0.30085000000000001</v>
      </c>
      <c r="U6629">
        <v>2.1544189999999999</v>
      </c>
      <c r="V6629">
        <v>-0.33243440000000002</v>
      </c>
      <c r="W6629">
        <v>0.24991910000000001</v>
      </c>
      <c r="X6629">
        <v>0.90941070000000002</v>
      </c>
      <c r="Y6629">
        <v>-0.4686207</v>
      </c>
      <c r="Z6629">
        <v>1.2908670000000001E-2</v>
      </c>
      <c r="AA6629">
        <v>0.88330520000000001</v>
      </c>
      <c r="AB6629">
        <v>23</v>
      </c>
      <c r="AC6629">
        <v>40.132399999999897</v>
      </c>
      <c r="AD6629">
        <v>5.6070070000000003</v>
      </c>
      <c r="AE6629">
        <v>40.116309999999999</v>
      </c>
      <c r="AF6629">
        <v>-26.385876637421902</v>
      </c>
      <c r="AG6629">
        <v>5.6070070000000003</v>
      </c>
      <c r="AH6629">
        <v>49.6159787343612</v>
      </c>
      <c r="AI6629">
        <v>84.302092061537905</v>
      </c>
      <c r="AJ6629">
        <v>118.004134568661</v>
      </c>
      <c r="AK6629">
        <v>56.4747586023339</v>
      </c>
      <c r="AL6629">
        <v>75.527275065974095</v>
      </c>
      <c r="AM6629">
        <v>110.079847312392</v>
      </c>
      <c r="AN6629">
        <v>1.0000000040613299</v>
      </c>
    </row>
    <row r="6630" spans="1:40" x14ac:dyDescent="0.25">
      <c r="A6630" t="str">
        <f>"20190304155802979"</f>
        <v>20190304155802979</v>
      </c>
      <c r="B6630" t="str">
        <f>"1551686282970592"</f>
        <v>1551686282970592</v>
      </c>
      <c r="C6630" t="s">
        <v>40</v>
      </c>
      <c r="D6630">
        <v>4.6541220000000001</v>
      </c>
      <c r="E6630">
        <v>0.4430595</v>
      </c>
      <c r="F6630" t="s">
        <v>98</v>
      </c>
      <c r="G6630">
        <v>-163.49590000000001</v>
      </c>
      <c r="H6630">
        <v>6.6740869999999903</v>
      </c>
      <c r="I6630">
        <v>-20.460039999999999</v>
      </c>
      <c r="J6630">
        <v>-204.05090000000001</v>
      </c>
      <c r="K6630">
        <v>1.1162449999999999</v>
      </c>
      <c r="L6630">
        <v>-61.3131699999999</v>
      </c>
      <c r="M6630">
        <v>0.95500430000000003</v>
      </c>
      <c r="N6630">
        <v>-1.4326419999999999E-2</v>
      </c>
      <c r="O6630">
        <v>0.29624590000000001</v>
      </c>
      <c r="P6630">
        <v>0.77515259999999997</v>
      </c>
      <c r="Q6630">
        <v>0.2392938</v>
      </c>
      <c r="R6630">
        <v>0.58470239999999996</v>
      </c>
      <c r="S6630">
        <v>2.1510159999999998</v>
      </c>
      <c r="T6630">
        <v>0.29404269999999999</v>
      </c>
      <c r="U6630">
        <v>2.1633</v>
      </c>
      <c r="V6630">
        <v>-0.33220440000000001</v>
      </c>
      <c r="W6630">
        <v>0.24784780000000001</v>
      </c>
      <c r="X6630">
        <v>0.91006140000000002</v>
      </c>
      <c r="Y6630">
        <v>-0.46825559999999999</v>
      </c>
      <c r="Z6630">
        <v>1.3294810000000001E-2</v>
      </c>
      <c r="AA6630">
        <v>0.88349299999999997</v>
      </c>
      <c r="AB6630">
        <v>23</v>
      </c>
      <c r="AC6630">
        <v>40.555</v>
      </c>
      <c r="AD6630">
        <v>5.5578419999999902</v>
      </c>
      <c r="AE6630">
        <v>40.853129999999901</v>
      </c>
      <c r="AF6630">
        <v>-26.754035937378799</v>
      </c>
      <c r="AG6630">
        <v>5.5578419999999902</v>
      </c>
      <c r="AH6630">
        <v>50.368460678008802</v>
      </c>
      <c r="AI6630">
        <v>84.434122085570493</v>
      </c>
      <c r="AJ6630">
        <v>117.97574040594</v>
      </c>
      <c r="AK6630">
        <v>57.303140208086703</v>
      </c>
      <c r="AL6630">
        <v>75.649807800843703</v>
      </c>
      <c r="AM6630">
        <v>110.053859326593</v>
      </c>
      <c r="AN6630">
        <v>1.0000000235570701</v>
      </c>
    </row>
    <row r="6631" spans="1:40" x14ac:dyDescent="0.25">
      <c r="A6631" t="str">
        <f>"20190304155802991"</f>
        <v>20190304155802991</v>
      </c>
      <c r="B6631" t="str">
        <f>"1551686282981328"</f>
        <v>1551686282981328</v>
      </c>
      <c r="C6631" t="s">
        <v>40</v>
      </c>
      <c r="D6631">
        <v>5.7298090000000004</v>
      </c>
      <c r="E6631">
        <v>0.4430248</v>
      </c>
      <c r="F6631" t="s">
        <v>98</v>
      </c>
      <c r="G6631">
        <v>-157.3501</v>
      </c>
      <c r="H6631">
        <v>17.248529999999999</v>
      </c>
      <c r="I6631">
        <v>-13.14691</v>
      </c>
      <c r="J6631">
        <v>-203.94319999999999</v>
      </c>
      <c r="K6631">
        <v>1.11625</v>
      </c>
      <c r="L6631">
        <v>-61.274720000000002</v>
      </c>
      <c r="M6631">
        <v>0.9536327</v>
      </c>
      <c r="N6631">
        <v>-1.433424E-2</v>
      </c>
      <c r="O6631">
        <v>0.30063139999999999</v>
      </c>
      <c r="P6631">
        <v>0.77312959999999997</v>
      </c>
      <c r="Q6631">
        <v>0.23742740000000001</v>
      </c>
      <c r="R6631">
        <v>0.58813159999999998</v>
      </c>
      <c r="S6631">
        <v>2.0535739999999998</v>
      </c>
      <c r="T6631">
        <v>0.7093834</v>
      </c>
      <c r="U6631">
        <v>2.1180110000000001</v>
      </c>
      <c r="V6631">
        <v>-0.33186779999999999</v>
      </c>
      <c r="W6631">
        <v>0.2459866</v>
      </c>
      <c r="X6631">
        <v>0.91068899999999997</v>
      </c>
      <c r="Y6631">
        <v>-0.47229700000000002</v>
      </c>
      <c r="Z6631">
        <v>2.2225200000000001E-2</v>
      </c>
      <c r="AA6631">
        <v>0.88115919999999903</v>
      </c>
      <c r="AB6631">
        <v>23</v>
      </c>
      <c r="AC6631">
        <v>46.5930999999999</v>
      </c>
      <c r="AD6631">
        <v>16.132279999999898</v>
      </c>
      <c r="AE6631">
        <v>48.127809999999997</v>
      </c>
      <c r="AF6631">
        <v>-30.143884436816101</v>
      </c>
      <c r="AG6631">
        <v>16.132279999999898</v>
      </c>
      <c r="AH6631">
        <v>55.678238764525702</v>
      </c>
      <c r="AI6631">
        <v>75.705414502438003</v>
      </c>
      <c r="AJ6631">
        <v>118.430864472805</v>
      </c>
      <c r="AK6631">
        <v>65.337359135934307</v>
      </c>
      <c r="AL6631">
        <v>75.759854508834593</v>
      </c>
      <c r="AM6631">
        <v>110.022447255104</v>
      </c>
      <c r="AN6631">
        <v>1.00000004938869</v>
      </c>
    </row>
    <row r="6632" spans="1:40" x14ac:dyDescent="0.25">
      <c r="A6632" t="str">
        <f>"20190304155803002"</f>
        <v>20190304155803002</v>
      </c>
      <c r="B6632" t="str">
        <f>"1551686282991088"</f>
        <v>1551686282991088</v>
      </c>
      <c r="C6632" t="s">
        <v>40</v>
      </c>
      <c r="D6632">
        <v>5.6796980000000001</v>
      </c>
      <c r="E6632">
        <v>0.44253749999999997</v>
      </c>
      <c r="F6632" t="s">
        <v>98</v>
      </c>
      <c r="G6632">
        <v>-157.3501</v>
      </c>
      <c r="H6632">
        <v>18.103829999999999</v>
      </c>
      <c r="I6632">
        <v>-12.71527</v>
      </c>
      <c r="J6632">
        <v>-203.83449999999999</v>
      </c>
      <c r="K6632">
        <v>1.116258</v>
      </c>
      <c r="L6632">
        <v>-61.234949999999998</v>
      </c>
      <c r="M6632">
        <v>0.95221169999999999</v>
      </c>
      <c r="N6632">
        <v>-1.4342550000000001E-2</v>
      </c>
      <c r="O6632">
        <v>0.30510189999999998</v>
      </c>
      <c r="P6632">
        <v>0.77103029999999995</v>
      </c>
      <c r="Q6632">
        <v>0.23601050000000001</v>
      </c>
      <c r="R6632">
        <v>0.59144849999999904</v>
      </c>
      <c r="S6632">
        <v>2.03714</v>
      </c>
      <c r="T6632">
        <v>0.7427279</v>
      </c>
      <c r="U6632">
        <v>2.1231080000000002</v>
      </c>
      <c r="V6632">
        <v>-0.33136640000000001</v>
      </c>
      <c r="W6632">
        <v>0.24457660000000001</v>
      </c>
      <c r="X6632">
        <v>0.91125109999999998</v>
      </c>
      <c r="Y6632">
        <v>-0.47249049999999998</v>
      </c>
      <c r="Z6632">
        <v>2.415755E-2</v>
      </c>
      <c r="AA6632">
        <v>0.88100460000000003</v>
      </c>
      <c r="AB6632">
        <v>23</v>
      </c>
      <c r="AC6632">
        <v>46.484400000000001</v>
      </c>
      <c r="AD6632">
        <v>16.987572</v>
      </c>
      <c r="AE6632">
        <v>48.519680000000001</v>
      </c>
      <c r="AF6632">
        <v>-30.098076662990199</v>
      </c>
      <c r="AG6632">
        <v>16.987572</v>
      </c>
      <c r="AH6632">
        <v>55.523667735334797</v>
      </c>
      <c r="AI6632">
        <v>74.945183604300595</v>
      </c>
      <c r="AJ6632">
        <v>118.46108145172801</v>
      </c>
      <c r="AK6632">
        <v>65.401448761096105</v>
      </c>
      <c r="AL6632">
        <v>75.843186301106797</v>
      </c>
      <c r="AM6632">
        <v>109.983237781075</v>
      </c>
      <c r="AN6632">
        <v>0.99999998578386495</v>
      </c>
    </row>
    <row r="6633" spans="1:40" x14ac:dyDescent="0.25">
      <c r="A6633" t="str">
        <f>"20190304155803014"</f>
        <v>20190304155803014</v>
      </c>
      <c r="B6633" t="str">
        <f>"1551686283010608"</f>
        <v>1551686283010608</v>
      </c>
      <c r="C6633" t="s">
        <v>40</v>
      </c>
      <c r="D6633">
        <v>4.6877879999999896</v>
      </c>
      <c r="E6633">
        <v>0.44217139999999999</v>
      </c>
      <c r="F6633" t="s">
        <v>98</v>
      </c>
      <c r="G6633">
        <v>-157.3501</v>
      </c>
      <c r="H6633">
        <v>18.448039999999999</v>
      </c>
      <c r="I6633">
        <v>-12.22194</v>
      </c>
      <c r="J6633">
        <v>-203.727</v>
      </c>
      <c r="K6633">
        <v>1.1162669999999999</v>
      </c>
      <c r="L6633">
        <v>-61.1952199999999</v>
      </c>
      <c r="M6633">
        <v>0.95077889999999998</v>
      </c>
      <c r="N6633">
        <v>-1.435055E-2</v>
      </c>
      <c r="O6633">
        <v>0.30953779999999997</v>
      </c>
      <c r="P6633">
        <v>0.76913169999999897</v>
      </c>
      <c r="Q6633">
        <v>0.23451669999999999</v>
      </c>
      <c r="R6633">
        <v>0.59450689999999995</v>
      </c>
      <c r="S6633">
        <v>2.0234220000000001</v>
      </c>
      <c r="T6633">
        <v>0.75443389999999999</v>
      </c>
      <c r="U6633">
        <v>2.1334840000000002</v>
      </c>
      <c r="V6633">
        <v>-0.33058510000000002</v>
      </c>
      <c r="W6633">
        <v>0.24309539999999999</v>
      </c>
      <c r="X6633">
        <v>0.91193100000000005</v>
      </c>
      <c r="Y6633">
        <v>-0.47347139999999999</v>
      </c>
      <c r="Z6633">
        <v>2.5554179999999999E-2</v>
      </c>
      <c r="AA6633">
        <v>0.88043839999999995</v>
      </c>
      <c r="AB6633">
        <v>23</v>
      </c>
      <c r="AC6633">
        <v>46.376899999999999</v>
      </c>
      <c r="AD6633">
        <v>17.331772999999998</v>
      </c>
      <c r="AE6633">
        <v>48.973279999999903</v>
      </c>
      <c r="AF6633">
        <v>-30.2154987040105</v>
      </c>
      <c r="AG6633">
        <v>17.331772999999998</v>
      </c>
      <c r="AH6633">
        <v>55.588750784575303</v>
      </c>
      <c r="AI6633">
        <v>74.680560201636098</v>
      </c>
      <c r="AJ6633">
        <v>118.526477177289</v>
      </c>
      <c r="AK6633">
        <v>65.600883614820404</v>
      </c>
      <c r="AL6633">
        <v>75.930694538501498</v>
      </c>
      <c r="AM6633">
        <v>109.92614222194101</v>
      </c>
      <c r="AN6633">
        <v>1.00000001530208</v>
      </c>
    </row>
    <row r="6634" spans="1:40" x14ac:dyDescent="0.25">
      <c r="A6634" t="str">
        <f>"20190304155803025"</f>
        <v>20190304155803025</v>
      </c>
      <c r="B6634" t="str">
        <f>"1551686283021344"</f>
        <v>1551686283021344</v>
      </c>
      <c r="C6634" t="s">
        <v>40</v>
      </c>
      <c r="D6634">
        <v>4.321612</v>
      </c>
      <c r="E6634">
        <v>0.44217139999999999</v>
      </c>
      <c r="F6634" t="s">
        <v>98</v>
      </c>
      <c r="G6634">
        <v>-157.3501</v>
      </c>
      <c r="H6634">
        <v>19.14133</v>
      </c>
      <c r="I6634">
        <v>-11.75276</v>
      </c>
      <c r="J6634">
        <v>-203.6206</v>
      </c>
      <c r="K6634">
        <v>1.1162799999999999</v>
      </c>
      <c r="L6634">
        <v>-61.155270000000002</v>
      </c>
      <c r="M6634">
        <v>0.94933140000000005</v>
      </c>
      <c r="N6634">
        <v>-1.435824E-2</v>
      </c>
      <c r="O6634">
        <v>0.31394870000000002</v>
      </c>
      <c r="P6634">
        <v>0.76718229999999998</v>
      </c>
      <c r="Q6634">
        <v>0.23288339999999999</v>
      </c>
      <c r="R6634">
        <v>0.5976593</v>
      </c>
      <c r="S6634">
        <v>2.0079039999999999</v>
      </c>
      <c r="T6634">
        <v>0.78039969999999903</v>
      </c>
      <c r="U6634">
        <v>2.140625</v>
      </c>
      <c r="V6634">
        <v>-0.32992460000000001</v>
      </c>
      <c r="W6634">
        <v>0.24147389999999999</v>
      </c>
      <c r="X6634">
        <v>0.91260079999999999</v>
      </c>
      <c r="Y6634">
        <v>-0.4740489</v>
      </c>
      <c r="Z6634">
        <v>2.7399159999999999E-2</v>
      </c>
      <c r="AA6634">
        <v>0.88007209999999902</v>
      </c>
      <c r="AB6634">
        <v>23</v>
      </c>
      <c r="AC6634">
        <v>46.270499999999998</v>
      </c>
      <c r="AD6634">
        <v>18.02505</v>
      </c>
      <c r="AE6634">
        <v>49.4025099999999</v>
      </c>
      <c r="AF6634">
        <v>-30.2322064709786</v>
      </c>
      <c r="AG6634">
        <v>18.02505</v>
      </c>
      <c r="AH6634">
        <v>55.505816221218097</v>
      </c>
      <c r="AI6634">
        <v>74.082720812447207</v>
      </c>
      <c r="AJ6634">
        <v>118.575687779631</v>
      </c>
      <c r="AK6634">
        <v>65.725066527087094</v>
      </c>
      <c r="AL6634">
        <v>76.026453291322895</v>
      </c>
      <c r="AM6634">
        <v>109.876001041336</v>
      </c>
      <c r="AN6634">
        <v>1.0000000531135</v>
      </c>
    </row>
    <row r="6635" spans="1:40" x14ac:dyDescent="0.25">
      <c r="A6635" t="str">
        <f>"20190304155803035"</f>
        <v>20190304155803035</v>
      </c>
      <c r="B6635" t="str">
        <f>"1551686283031104"</f>
        <v>1551686283031104</v>
      </c>
      <c r="C6635" t="s">
        <v>40</v>
      </c>
      <c r="D6635">
        <v>6.0041520000000004</v>
      </c>
      <c r="E6635">
        <v>0.44179669999999999</v>
      </c>
      <c r="F6635" t="s">
        <v>98</v>
      </c>
      <c r="G6635">
        <v>-157.3501</v>
      </c>
      <c r="H6635">
        <v>19.057950000000002</v>
      </c>
      <c r="I6635">
        <v>-11.45858</v>
      </c>
      <c r="J6635">
        <v>-203.52160000000001</v>
      </c>
      <c r="K6635">
        <v>1.11629</v>
      </c>
      <c r="L6635">
        <v>-61.117519999999899</v>
      </c>
      <c r="M6635">
        <v>0.94795640000000003</v>
      </c>
      <c r="N6635">
        <v>-1.4365050000000001E-2</v>
      </c>
      <c r="O6635">
        <v>0.31807609999999997</v>
      </c>
      <c r="P6635">
        <v>0.76528569999999996</v>
      </c>
      <c r="Q6635">
        <v>0.23176840000000001</v>
      </c>
      <c r="R6635">
        <v>0.60051759999999998</v>
      </c>
      <c r="S6635">
        <v>2.0008089999999998</v>
      </c>
      <c r="T6635">
        <v>0.7758235</v>
      </c>
      <c r="U6635">
        <v>2.1489560000000001</v>
      </c>
      <c r="V6635">
        <v>-0.32924290000000001</v>
      </c>
      <c r="W6635">
        <v>0.24037020000000001</v>
      </c>
      <c r="X6635">
        <v>0.91313820000000001</v>
      </c>
      <c r="Y6635">
        <v>-0.47368169999999998</v>
      </c>
      <c r="Z6635">
        <v>2.8549160000000001E-2</v>
      </c>
      <c r="AA6635">
        <v>0.8802333</v>
      </c>
      <c r="AB6635">
        <v>23</v>
      </c>
      <c r="AC6635">
        <v>46.171500000000002</v>
      </c>
      <c r="AD6635">
        <v>17.941659999999999</v>
      </c>
      <c r="AE6635">
        <v>49.658940000000001</v>
      </c>
      <c r="AF6635">
        <v>-30.272366219327601</v>
      </c>
      <c r="AG6635">
        <v>17.941659999999999</v>
      </c>
      <c r="AH6635">
        <v>55.672296713191102</v>
      </c>
      <c r="AI6635">
        <v>74.191951618804694</v>
      </c>
      <c r="AJ6635">
        <v>118.535577345863</v>
      </c>
      <c r="AK6635">
        <v>65.861399479469597</v>
      </c>
      <c r="AL6635">
        <v>76.091609768096902</v>
      </c>
      <c r="AM6635">
        <v>109.827375134543</v>
      </c>
      <c r="AN6635">
        <v>1.0000000462738401</v>
      </c>
    </row>
    <row r="6636" spans="1:40" x14ac:dyDescent="0.25">
      <c r="A6636" t="str">
        <f>"20190304155803055"</f>
        <v>20190304155803055</v>
      </c>
      <c r="B6636" t="str">
        <f>"1551686283050625"</f>
        <v>1551686283050625</v>
      </c>
      <c r="C6636" t="s">
        <v>40</v>
      </c>
      <c r="D6636">
        <v>5.1473209999999998</v>
      </c>
      <c r="E6636">
        <v>0.44139010000000001</v>
      </c>
      <c r="F6636" t="s">
        <v>98</v>
      </c>
      <c r="G6636">
        <v>-157.3501</v>
      </c>
      <c r="H6636">
        <v>19.31222</v>
      </c>
      <c r="I6636">
        <v>-11.049390000000001</v>
      </c>
      <c r="J6636">
        <v>-203.34440000000001</v>
      </c>
      <c r="K6636">
        <v>1.116312</v>
      </c>
      <c r="L6636">
        <v>-61.048769999999998</v>
      </c>
      <c r="M6636">
        <v>0.94543109999999997</v>
      </c>
      <c r="N6636">
        <v>-1.437654E-2</v>
      </c>
      <c r="O6636">
        <v>0.32550479999999998</v>
      </c>
      <c r="P6636">
        <v>0.76136139999999997</v>
      </c>
      <c r="Q6636">
        <v>0.2305518</v>
      </c>
      <c r="R6636">
        <v>0.60594930000000002</v>
      </c>
      <c r="S6636">
        <v>1.9896240000000001</v>
      </c>
      <c r="T6636">
        <v>0.7840973</v>
      </c>
      <c r="U6636">
        <v>2.1575319999999998</v>
      </c>
      <c r="V6636">
        <v>-0.32845180000000002</v>
      </c>
      <c r="W6636">
        <v>0.2391633</v>
      </c>
      <c r="X6636">
        <v>0.91373970000000004</v>
      </c>
      <c r="Y6636">
        <v>-0.47120960000000001</v>
      </c>
      <c r="Z6636">
        <v>3.1332119999999998E-2</v>
      </c>
      <c r="AA6636">
        <v>0.88146460000000004</v>
      </c>
      <c r="AB6636">
        <v>23</v>
      </c>
      <c r="AC6636">
        <v>45.994300000000003</v>
      </c>
      <c r="AD6636">
        <v>18.195907999999999</v>
      </c>
      <c r="AE6636">
        <v>49.999380000000002</v>
      </c>
      <c r="AF6636">
        <v>-30.140765120337399</v>
      </c>
      <c r="AG6636">
        <v>18.195907999999999</v>
      </c>
      <c r="AH6636">
        <v>55.765280532830197</v>
      </c>
      <c r="AI6636">
        <v>73.983920934518693</v>
      </c>
      <c r="AJ6636">
        <v>118.390928395473</v>
      </c>
      <c r="AK6636">
        <v>65.94939956428</v>
      </c>
      <c r="AL6636">
        <v>76.162836428793298</v>
      </c>
      <c r="AM6636">
        <v>109.7714221035</v>
      </c>
      <c r="AN6636">
        <v>0.99999995417310805</v>
      </c>
    </row>
    <row r="6637" spans="1:40" x14ac:dyDescent="0.25">
      <c r="A6637" t="str">
        <f>"20190304155803072"</f>
        <v>20190304155803072</v>
      </c>
      <c r="B6637" t="str">
        <f>"1551686283061360"</f>
        <v>1551686283061360</v>
      </c>
      <c r="C6637" t="s">
        <v>40</v>
      </c>
      <c r="D6637">
        <v>4.6192549999999999</v>
      </c>
      <c r="E6637">
        <v>0.44139010000000001</v>
      </c>
      <c r="F6637" t="s">
        <v>98</v>
      </c>
      <c r="G6637">
        <v>-157.3501</v>
      </c>
      <c r="H6637">
        <v>19.378229999999999</v>
      </c>
      <c r="I6637">
        <v>-10.368359999999999</v>
      </c>
      <c r="J6637">
        <v>-203.18889999999999</v>
      </c>
      <c r="K6637">
        <v>1.1163240000000001</v>
      </c>
      <c r="L6637">
        <v>-60.987119999999997</v>
      </c>
      <c r="M6637">
        <v>0.94314580000000003</v>
      </c>
      <c r="N6637">
        <v>-1.4386049999999999E-2</v>
      </c>
      <c r="O6637">
        <v>0.33206839999999999</v>
      </c>
      <c r="P6637">
        <v>0.75826669999999996</v>
      </c>
      <c r="Q6637">
        <v>0.2284717</v>
      </c>
      <c r="R6637">
        <v>0.61060000000000003</v>
      </c>
      <c r="S6637">
        <v>1.9729159999999999</v>
      </c>
      <c r="T6637">
        <v>0.7833388</v>
      </c>
      <c r="U6637">
        <v>2.1739199999999999</v>
      </c>
      <c r="V6637">
        <v>-0.32746730000000002</v>
      </c>
      <c r="W6637">
        <v>0.2371019</v>
      </c>
      <c r="X6637">
        <v>0.9146299</v>
      </c>
      <c r="Y6637">
        <v>-0.47229660000000001</v>
      </c>
      <c r="Z6637">
        <v>3.3107209999999998E-2</v>
      </c>
      <c r="AA6637">
        <v>0.88081769999999904</v>
      </c>
      <c r="AB6637">
        <v>23</v>
      </c>
      <c r="AC6637">
        <v>45.8387999999999</v>
      </c>
      <c r="AD6637">
        <v>18.261906</v>
      </c>
      <c r="AE6637">
        <v>50.618760000000002</v>
      </c>
      <c r="AF6637">
        <v>-30.3520498289286</v>
      </c>
      <c r="AG6637">
        <v>18.261906</v>
      </c>
      <c r="AH6637">
        <v>56.040169198476598</v>
      </c>
      <c r="AI6637">
        <v>74.010721043369699</v>
      </c>
      <c r="AJ6637">
        <v>118.440524079837</v>
      </c>
      <c r="AK6637">
        <v>66.296641720108894</v>
      </c>
      <c r="AL6637">
        <v>76.284444940532296</v>
      </c>
      <c r="AM6637">
        <v>109.699021847949</v>
      </c>
      <c r="AN6637">
        <v>0.99999999876345502</v>
      </c>
    </row>
    <row r="6638" spans="1:40" x14ac:dyDescent="0.25">
      <c r="A6638" t="str">
        <f>"20190304155803083"</f>
        <v>20190304155803083</v>
      </c>
      <c r="B6638" t="str">
        <f>"1551686283080881"</f>
        <v>1551686283080881</v>
      </c>
      <c r="C6638" t="s">
        <v>40</v>
      </c>
      <c r="D6638">
        <v>4.2680879999999997</v>
      </c>
      <c r="E6638">
        <v>0.44668989999999997</v>
      </c>
      <c r="F6638" t="s">
        <v>98</v>
      </c>
      <c r="G6638">
        <v>-157.3501</v>
      </c>
      <c r="H6638">
        <v>19.283619999999999</v>
      </c>
      <c r="I6638">
        <v>-9.9048440000000006</v>
      </c>
      <c r="J6638">
        <v>-203.07929999999999</v>
      </c>
      <c r="K6638">
        <v>1.116336</v>
      </c>
      <c r="L6638">
        <v>-60.942689999999999</v>
      </c>
      <c r="M6638">
        <v>0.94149280000000002</v>
      </c>
      <c r="N6638">
        <v>-1.4392449999999999E-2</v>
      </c>
      <c r="O6638">
        <v>0.33672570000000002</v>
      </c>
      <c r="P6638">
        <v>0.75569259999999905</v>
      </c>
      <c r="Q6638">
        <v>0.22790489999999999</v>
      </c>
      <c r="R6638">
        <v>0.61399349999999997</v>
      </c>
      <c r="S6638">
        <v>1.9617309999999999</v>
      </c>
      <c r="T6638">
        <v>0.77749089999999998</v>
      </c>
      <c r="U6638">
        <v>2.1861269999999999</v>
      </c>
      <c r="V6638">
        <v>-0.32698719999999998</v>
      </c>
      <c r="W6638">
        <v>0.23654230000000001</v>
      </c>
      <c r="X6638">
        <v>0.9149465</v>
      </c>
      <c r="Y6638">
        <v>-0.47307280000000002</v>
      </c>
      <c r="Z6638">
        <v>3.4186389999999997E-2</v>
      </c>
      <c r="AA6638">
        <v>0.88035980000000003</v>
      </c>
      <c r="AB6638">
        <v>23</v>
      </c>
      <c r="AC6638">
        <v>45.729199999999899</v>
      </c>
      <c r="AD6638">
        <v>18.167283999999999</v>
      </c>
      <c r="AE6638">
        <v>51.037846000000002</v>
      </c>
      <c r="AF6638">
        <v>-30.512445186952998</v>
      </c>
      <c r="AG6638">
        <v>18.167283999999999</v>
      </c>
      <c r="AH6638">
        <v>56.289513396866298</v>
      </c>
      <c r="AI6638">
        <v>74.1591353275887</v>
      </c>
      <c r="AJ6638">
        <v>118.460469054378</v>
      </c>
      <c r="AK6638">
        <v>66.555006105322093</v>
      </c>
      <c r="AL6638">
        <v>76.317446375479804</v>
      </c>
      <c r="AM6638">
        <v>109.666074422381</v>
      </c>
      <c r="AN6638">
        <v>0.99999999325768996</v>
      </c>
    </row>
    <row r="6639" spans="1:40" x14ac:dyDescent="0.25">
      <c r="A6639" t="str">
        <f>"20190304155803093"</f>
        <v>20190304155803093</v>
      </c>
      <c r="B6639" t="str">
        <f>"1551686283091616"</f>
        <v>1551686283091616</v>
      </c>
      <c r="C6639" t="s">
        <v>40</v>
      </c>
      <c r="D6639">
        <v>4.8337180000000002</v>
      </c>
      <c r="E6639">
        <v>0.44668989999999997</v>
      </c>
      <c r="F6639" t="s">
        <v>98</v>
      </c>
      <c r="G6639">
        <v>-157.3501</v>
      </c>
      <c r="H6639">
        <v>0.49397560000000001</v>
      </c>
      <c r="I6639">
        <v>-13.071389999999999</v>
      </c>
      <c r="J6639">
        <v>-202.98480000000001</v>
      </c>
      <c r="K6639">
        <v>1.116349</v>
      </c>
      <c r="L6639">
        <v>-60.904049999999998</v>
      </c>
      <c r="M6639">
        <v>0.94004489999999996</v>
      </c>
      <c r="N6639">
        <v>-1.4397770000000001E-2</v>
      </c>
      <c r="O6639">
        <v>0.34074680000000002</v>
      </c>
      <c r="P6639">
        <v>0.75313589999999997</v>
      </c>
      <c r="Q6639">
        <v>0.22788649999999999</v>
      </c>
      <c r="R6639">
        <v>0.61713370000000001</v>
      </c>
      <c r="S6639">
        <v>2.149994</v>
      </c>
      <c r="T6639">
        <v>-2.9260749999999999E-2</v>
      </c>
      <c r="U6639">
        <v>2.250702</v>
      </c>
      <c r="V6639">
        <v>-0.32688790000000001</v>
      </c>
      <c r="W6639">
        <v>0.23652380000000001</v>
      </c>
      <c r="X6639">
        <v>0.91498679999999999</v>
      </c>
      <c r="Y6639">
        <v>-0.44436150000000002</v>
      </c>
      <c r="Z6639">
        <v>6.9477119999999896E-3</v>
      </c>
      <c r="AA6639">
        <v>0.89582059999999997</v>
      </c>
      <c r="AB6639">
        <v>23</v>
      </c>
      <c r="AC6639">
        <v>45.634700000000002</v>
      </c>
      <c r="AD6639">
        <v>-0.62237339999999997</v>
      </c>
      <c r="AE6639">
        <v>47.832659999999997</v>
      </c>
      <c r="AF6639">
        <v>-29.4154109845826</v>
      </c>
      <c r="AG6639">
        <v>-0.62237339999999997</v>
      </c>
      <c r="AH6639">
        <v>59.198380121870898</v>
      </c>
      <c r="AI6639">
        <v>90.539428994455406</v>
      </c>
      <c r="AJ6639">
        <v>116.42257652635099</v>
      </c>
      <c r="AK6639">
        <v>66.106746713890402</v>
      </c>
      <c r="AL6639">
        <v>76.318537756052294</v>
      </c>
      <c r="AM6639">
        <v>109.659760595804</v>
      </c>
      <c r="AN6639">
        <v>1.00000002565354</v>
      </c>
    </row>
    <row r="6640" spans="1:40" x14ac:dyDescent="0.25">
      <c r="A6640" t="str">
        <f>"20190304155803103"</f>
        <v>20190304155803103</v>
      </c>
      <c r="B6640" t="str">
        <f>"1551686283101376"</f>
        <v>1551686283101376</v>
      </c>
      <c r="C6640" t="s">
        <v>40</v>
      </c>
      <c r="D6640">
        <v>4.6660779999999997</v>
      </c>
      <c r="E6640">
        <v>0.44719189999999998</v>
      </c>
      <c r="F6640" t="s">
        <v>98</v>
      </c>
      <c r="G6640">
        <v>-157.3501</v>
      </c>
      <c r="H6640">
        <v>0.4857378</v>
      </c>
      <c r="I6640">
        <v>-12.75197</v>
      </c>
      <c r="J6640">
        <v>-202.89429999999999</v>
      </c>
      <c r="K6640">
        <v>1.1163689999999999</v>
      </c>
      <c r="L6640">
        <v>-60.866459999999996</v>
      </c>
      <c r="M6640">
        <v>0.93863180000000002</v>
      </c>
      <c r="N6640">
        <v>-1.440264E-2</v>
      </c>
      <c r="O6640">
        <v>0.34461999999999998</v>
      </c>
      <c r="P6640">
        <v>0.75046469999999998</v>
      </c>
      <c r="Q6640">
        <v>0.2289255</v>
      </c>
      <c r="R6640">
        <v>0.61999659999999901</v>
      </c>
      <c r="S6640">
        <v>2.1410830000000001</v>
      </c>
      <c r="T6640">
        <v>-2.9586910000000001E-2</v>
      </c>
      <c r="U6640">
        <v>2.2591860000000001</v>
      </c>
      <c r="V6640">
        <v>-0.32672519999999999</v>
      </c>
      <c r="W6640">
        <v>0.23756050000000001</v>
      </c>
      <c r="X6640">
        <v>0.91477629999999999</v>
      </c>
      <c r="Y6640">
        <v>-0.44420779999999899</v>
      </c>
      <c r="Z6640">
        <v>6.94686E-3</v>
      </c>
      <c r="AA6640">
        <v>0.8958969</v>
      </c>
      <c r="AB6640">
        <v>23</v>
      </c>
      <c r="AC6640">
        <v>45.544199999999897</v>
      </c>
      <c r="AD6640">
        <v>-0.63063119999999995</v>
      </c>
      <c r="AE6640">
        <v>48.114490000000004</v>
      </c>
      <c r="AF6640">
        <v>-29.4667344129596</v>
      </c>
      <c r="AG6640">
        <v>-0.63063119999999995</v>
      </c>
      <c r="AH6640">
        <v>59.331227707703597</v>
      </c>
      <c r="AI6640">
        <v>90.545415852088993</v>
      </c>
      <c r="AJ6640">
        <v>116.411199998643</v>
      </c>
      <c r="AK6640">
        <v>66.248628015813907</v>
      </c>
      <c r="AL6640">
        <v>76.257396486062902</v>
      </c>
      <c r="AM6640">
        <v>109.65490049939601</v>
      </c>
      <c r="AN6640">
        <v>1.0000000132584801</v>
      </c>
    </row>
    <row r="6641" spans="1:40" x14ac:dyDescent="0.25">
      <c r="A6641" t="str">
        <f>"20190304155803115"</f>
        <v>20190304155803115</v>
      </c>
      <c r="B6641" t="str">
        <f>"1551686283111136"</f>
        <v>1551686283111136</v>
      </c>
      <c r="C6641" t="s">
        <v>40</v>
      </c>
      <c r="D6641">
        <v>4.8774179999999996</v>
      </c>
      <c r="E6641">
        <v>0.44719189999999998</v>
      </c>
      <c r="F6641" t="s">
        <v>98</v>
      </c>
      <c r="G6641">
        <v>-157.3501</v>
      </c>
      <c r="H6641">
        <v>0.42456579999999999</v>
      </c>
      <c r="I6641">
        <v>-12.562749999999999</v>
      </c>
      <c r="J6641">
        <v>-202.79839999999999</v>
      </c>
      <c r="K6641">
        <v>1.1163829999999999</v>
      </c>
      <c r="L6641">
        <v>-60.826230000000002</v>
      </c>
      <c r="M6641">
        <v>0.93711199999999995</v>
      </c>
      <c r="N6641">
        <v>-1.440761E-2</v>
      </c>
      <c r="O6641">
        <v>0.34873120000000002</v>
      </c>
      <c r="P6641">
        <v>0.74792559999999997</v>
      </c>
      <c r="Q6641">
        <v>0.2297411</v>
      </c>
      <c r="R6641">
        <v>0.62275700000000001</v>
      </c>
      <c r="S6641">
        <v>2.13591</v>
      </c>
      <c r="T6641">
        <v>-3.2443880000000001E-2</v>
      </c>
      <c r="U6641">
        <v>2.26532</v>
      </c>
      <c r="V6641">
        <v>-0.32618639999999999</v>
      </c>
      <c r="W6641">
        <v>0.23838210000000001</v>
      </c>
      <c r="X6641">
        <v>0.91475479999999998</v>
      </c>
      <c r="Y6641">
        <v>-0.4425674</v>
      </c>
      <c r="Z6641">
        <v>6.8207220000000004E-3</v>
      </c>
      <c r="AA6641">
        <v>0.89670930000000004</v>
      </c>
      <c r="AB6641">
        <v>23</v>
      </c>
      <c r="AC6641">
        <v>45.448299999999897</v>
      </c>
      <c r="AD6641">
        <v>-0.69181719999999902</v>
      </c>
      <c r="AE6641">
        <v>48.263480000000001</v>
      </c>
      <c r="AF6641">
        <v>-29.378897424996101</v>
      </c>
      <c r="AG6641">
        <v>-0.69181719999999902</v>
      </c>
      <c r="AH6641">
        <v>59.420827955833197</v>
      </c>
      <c r="AI6641">
        <v>90.597957677937202</v>
      </c>
      <c r="AJ6641">
        <v>116.308752408792</v>
      </c>
      <c r="AK6641">
        <v>66.290519834312605</v>
      </c>
      <c r="AL6641">
        <v>76.208929306987102</v>
      </c>
      <c r="AM6641">
        <v>109.625391859141</v>
      </c>
      <c r="AN6641">
        <v>0.99999996863420404</v>
      </c>
    </row>
    <row r="6642" spans="1:40" x14ac:dyDescent="0.25">
      <c r="A6642" t="str">
        <f>"20190304155803124"</f>
        <v>20190304155803124</v>
      </c>
      <c r="B6642" t="str">
        <f>"1551686283120896"</f>
        <v>1551686283120896</v>
      </c>
      <c r="C6642" t="s">
        <v>40</v>
      </c>
      <c r="D6642">
        <v>4.806667</v>
      </c>
      <c r="E6642">
        <v>0.44759589999999999</v>
      </c>
      <c r="F6642" t="s">
        <v>98</v>
      </c>
      <c r="G6642">
        <v>-157.3501</v>
      </c>
      <c r="H6642">
        <v>0.48315910000000001</v>
      </c>
      <c r="I6642">
        <v>-12.242990000000001</v>
      </c>
      <c r="J6642">
        <v>-202.69749999999999</v>
      </c>
      <c r="K6642">
        <v>1.116401</v>
      </c>
      <c r="L6642">
        <v>-60.783290000000001</v>
      </c>
      <c r="M6642">
        <v>0.93548569999999998</v>
      </c>
      <c r="N6642">
        <v>-1.441257E-2</v>
      </c>
      <c r="O6642">
        <v>0.35307060000000001</v>
      </c>
      <c r="P6642">
        <v>0.74522999999999995</v>
      </c>
      <c r="Q6642">
        <v>0.23057069999999999</v>
      </c>
      <c r="R6642">
        <v>0.62567510000000004</v>
      </c>
      <c r="S6642">
        <v>2.1269990000000001</v>
      </c>
      <c r="T6642">
        <v>-2.9635189999999999E-2</v>
      </c>
      <c r="U6642">
        <v>2.2737120000000002</v>
      </c>
      <c r="V6642">
        <v>-0.32562540000000001</v>
      </c>
      <c r="W6642">
        <v>0.23921880000000001</v>
      </c>
      <c r="X6642">
        <v>0.91473629999999995</v>
      </c>
      <c r="Y6642">
        <v>-0.4419439</v>
      </c>
      <c r="Z6642">
        <v>6.9447950000000001E-3</v>
      </c>
      <c r="AA6642">
        <v>0.89701580000000003</v>
      </c>
      <c r="AB6642">
        <v>23</v>
      </c>
      <c r="AC6642">
        <v>45.347399999999901</v>
      </c>
      <c r="AD6642">
        <v>-0.63324190000000002</v>
      </c>
      <c r="AE6642">
        <v>48.540300000000002</v>
      </c>
      <c r="AF6642">
        <v>-29.3983040031972</v>
      </c>
      <c r="AG6642">
        <v>-0.63324190000000002</v>
      </c>
      <c r="AH6642">
        <v>59.560769398046197</v>
      </c>
      <c r="AI6642">
        <v>90.546227915014796</v>
      </c>
      <c r="AJ6642">
        <v>116.27025665377801</v>
      </c>
      <c r="AK6642">
        <v>66.423990582135005</v>
      </c>
      <c r="AL6642">
        <v>76.159562334880604</v>
      </c>
      <c r="AM6642">
        <v>109.59457748838901</v>
      </c>
      <c r="AN6642">
        <v>1.00000001696814</v>
      </c>
    </row>
    <row r="6643" spans="1:40" x14ac:dyDescent="0.25">
      <c r="A6643" t="str">
        <f>"20190304155803136"</f>
        <v>20190304155803136</v>
      </c>
      <c r="B6643" t="str">
        <f>"1551686283131633"</f>
        <v>1551686283131633</v>
      </c>
      <c r="C6643" t="s">
        <v>40</v>
      </c>
      <c r="D6643">
        <v>4.6454009999999997</v>
      </c>
      <c r="E6643">
        <v>0.44763409999999898</v>
      </c>
      <c r="F6643" t="s">
        <v>98</v>
      </c>
      <c r="G6643">
        <v>-157.3501</v>
      </c>
      <c r="H6643">
        <v>0.29260969999999997</v>
      </c>
      <c r="I6643">
        <v>-12.0242</v>
      </c>
      <c r="J6643">
        <v>-202.59100000000001</v>
      </c>
      <c r="K6643">
        <v>1.116417</v>
      </c>
      <c r="L6643">
        <v>-60.737270000000002</v>
      </c>
      <c r="M6643">
        <v>0.93373530000000005</v>
      </c>
      <c r="N6643">
        <v>-1.4417599999999999E-2</v>
      </c>
      <c r="O6643">
        <v>0.35767389999999999</v>
      </c>
      <c r="P6643">
        <v>0.74234750000000005</v>
      </c>
      <c r="Q6643">
        <v>0.23157720000000001</v>
      </c>
      <c r="R6643">
        <v>0.62872269999999997</v>
      </c>
      <c r="S6643">
        <v>2.1219480000000002</v>
      </c>
      <c r="T6643">
        <v>-3.8547749999999999E-2</v>
      </c>
      <c r="U6643">
        <v>2.2815859999999999</v>
      </c>
      <c r="V6643">
        <v>-0.32499499999999998</v>
      </c>
      <c r="W6643">
        <v>0.24023220000000001</v>
      </c>
      <c r="X6643">
        <v>0.91469489999999998</v>
      </c>
      <c r="Y6643">
        <v>-0.44011260000000002</v>
      </c>
      <c r="Z6643">
        <v>6.5338109999999996E-3</v>
      </c>
      <c r="AA6643">
        <v>0.89791880000000002</v>
      </c>
      <c r="AB6643">
        <v>23</v>
      </c>
      <c r="AC6643">
        <v>45.240899999999897</v>
      </c>
      <c r="AD6643">
        <v>-0.82380729999999902</v>
      </c>
      <c r="AE6643">
        <v>48.713070000000002</v>
      </c>
      <c r="AF6643">
        <v>-29.302169145370101</v>
      </c>
      <c r="AG6643">
        <v>-0.82380729999999902</v>
      </c>
      <c r="AH6643">
        <v>59.6634569954009</v>
      </c>
      <c r="AI6643">
        <v>90.710061901799193</v>
      </c>
      <c r="AJ6643">
        <v>116.156773043378</v>
      </c>
      <c r="AK6643">
        <v>66.475739001033006</v>
      </c>
      <c r="AL6643">
        <v>76.099754747341706</v>
      </c>
      <c r="AM6643">
        <v>109.560342872302</v>
      </c>
      <c r="AN6643">
        <v>1.0000000100139199</v>
      </c>
    </row>
    <row r="6644" spans="1:40" x14ac:dyDescent="0.25">
      <c r="A6644" t="str">
        <f>"20190304155803147"</f>
        <v>20190304155803147</v>
      </c>
      <c r="B6644" t="str">
        <f>"1551686283141392"</f>
        <v>1551686283141392</v>
      </c>
      <c r="C6644" t="s">
        <v>40</v>
      </c>
      <c r="D6644">
        <v>4.6179560000000004</v>
      </c>
      <c r="E6644">
        <v>0.44790970000000002</v>
      </c>
      <c r="F6644" t="s">
        <v>98</v>
      </c>
      <c r="G6644">
        <v>-157.3501</v>
      </c>
      <c r="H6644">
        <v>0.42366359999999997</v>
      </c>
      <c r="I6644">
        <v>-11.66539</v>
      </c>
      <c r="J6644">
        <v>-202.49350000000001</v>
      </c>
      <c r="K6644">
        <v>1.116431</v>
      </c>
      <c r="L6644">
        <v>-60.694760000000002</v>
      </c>
      <c r="M6644">
        <v>0.93210780000000004</v>
      </c>
      <c r="N6644">
        <v>-1.442205E-2</v>
      </c>
      <c r="O6644">
        <v>0.36189379999999999</v>
      </c>
      <c r="P6644">
        <v>0.73945969999999905</v>
      </c>
      <c r="Q6644">
        <v>0.23236870000000001</v>
      </c>
      <c r="R6644">
        <v>0.631826</v>
      </c>
      <c r="S6644">
        <v>2.111542</v>
      </c>
      <c r="T6644">
        <v>-3.2333140000000003E-2</v>
      </c>
      <c r="U6644">
        <v>2.2903440000000002</v>
      </c>
      <c r="V6644">
        <v>-0.32479190000000002</v>
      </c>
      <c r="W6644">
        <v>0.2410236</v>
      </c>
      <c r="X6644">
        <v>0.91455880000000001</v>
      </c>
      <c r="Y6644">
        <v>-0.4399827</v>
      </c>
      <c r="Z6644">
        <v>6.8234400000000001E-3</v>
      </c>
      <c r="AA6644">
        <v>0.89798029999999995</v>
      </c>
      <c r="AB6644">
        <v>23</v>
      </c>
      <c r="AC6644">
        <v>45.1434</v>
      </c>
      <c r="AD6644">
        <v>-0.69276739999999903</v>
      </c>
      <c r="AE6644">
        <v>49.02937</v>
      </c>
      <c r="AF6644">
        <v>-29.363422194680801</v>
      </c>
      <c r="AG6644">
        <v>-0.69276739999999903</v>
      </c>
      <c r="AH6644">
        <v>59.821696944965197</v>
      </c>
      <c r="AI6644">
        <v>90.5956094435316</v>
      </c>
      <c r="AJ6644">
        <v>116.144068409922</v>
      </c>
      <c r="AK6644">
        <v>66.643273591779902</v>
      </c>
      <c r="AL6644">
        <v>76.053037736225605</v>
      </c>
      <c r="AM6644">
        <v>109.551734638345</v>
      </c>
      <c r="AN6644">
        <v>0.99999997636000404</v>
      </c>
    </row>
    <row r="6645" spans="1:40" x14ac:dyDescent="0.25">
      <c r="A6645" t="str">
        <f>"20190304155803158"</f>
        <v>20190304155803158</v>
      </c>
      <c r="B6645" t="str">
        <f>"1551686283151153"</f>
        <v>1551686283151153</v>
      </c>
      <c r="C6645" t="s">
        <v>40</v>
      </c>
      <c r="D6645">
        <v>4.6057410000000001</v>
      </c>
      <c r="E6645">
        <v>0.44847920000000002</v>
      </c>
      <c r="F6645" t="s">
        <v>98</v>
      </c>
      <c r="G6645">
        <v>-165.53700000000001</v>
      </c>
      <c r="H6645">
        <v>0.55327799999999905</v>
      </c>
      <c r="I6645">
        <v>-20.31495</v>
      </c>
      <c r="J6645">
        <v>-202.39259999999999</v>
      </c>
      <c r="K6645">
        <v>1.1164430000000001</v>
      </c>
      <c r="L6645">
        <v>-60.64996</v>
      </c>
      <c r="M6645">
        <v>0.93039130000000003</v>
      </c>
      <c r="N6645">
        <v>-1.4426499999999899E-2</v>
      </c>
      <c r="O6645">
        <v>0.366284</v>
      </c>
      <c r="P6645">
        <v>0.73633119999999996</v>
      </c>
      <c r="Q6645">
        <v>0.2333181</v>
      </c>
      <c r="R6645">
        <v>0.63512119999999905</v>
      </c>
      <c r="S6645">
        <v>2.1033780000000002</v>
      </c>
      <c r="T6645">
        <v>-3.2051919999999998E-2</v>
      </c>
      <c r="U6645">
        <v>2.2982179999999999</v>
      </c>
      <c r="V6645">
        <v>-0.32469039999999999</v>
      </c>
      <c r="W6645">
        <v>0.2419703</v>
      </c>
      <c r="X6645">
        <v>0.91434479999999996</v>
      </c>
      <c r="Y6645">
        <v>-0.43901820000000003</v>
      </c>
      <c r="Z6645">
        <v>6.8346359999999998E-3</v>
      </c>
      <c r="AA6645">
        <v>0.89845219999999903</v>
      </c>
      <c r="AB6645">
        <v>23</v>
      </c>
      <c r="AC6645">
        <v>36.855599999999903</v>
      </c>
      <c r="AD6645">
        <v>-0.56316500000000003</v>
      </c>
      <c r="AE6645">
        <v>40.335009999999997</v>
      </c>
      <c r="AF6645">
        <v>-24.027673079785401</v>
      </c>
      <c r="AG6645">
        <v>-0.56316500000000003</v>
      </c>
      <c r="AH6645">
        <v>49.064090747373598</v>
      </c>
      <c r="AI6645">
        <v>90.590607305593494</v>
      </c>
      <c r="AJ6645">
        <v>116.091922042321</v>
      </c>
      <c r="AK6645">
        <v>54.634524151975398</v>
      </c>
      <c r="AL6645">
        <v>75.997140962954404</v>
      </c>
      <c r="AM6645">
        <v>109.550315612612</v>
      </c>
      <c r="AN6645">
        <v>0.99999994761064304</v>
      </c>
    </row>
    <row r="6646" spans="1:40" x14ac:dyDescent="0.25">
      <c r="A6646" t="str">
        <f>"20190304155803170"</f>
        <v>20190304155803170</v>
      </c>
      <c r="B6646" t="str">
        <f>"1551686283160912"</f>
        <v>1551686283160912</v>
      </c>
      <c r="C6646" t="s">
        <v>40</v>
      </c>
      <c r="D6646">
        <v>4.6687149999999997</v>
      </c>
      <c r="E6646">
        <v>0.44893080000000002</v>
      </c>
      <c r="F6646" t="s">
        <v>98</v>
      </c>
      <c r="G6646">
        <v>-165.71860000000001</v>
      </c>
      <c r="H6646">
        <v>0.54454899999999995</v>
      </c>
      <c r="I6646">
        <v>-20.31495</v>
      </c>
      <c r="J6646">
        <v>-202.28960000000001</v>
      </c>
      <c r="K6646">
        <v>1.1164609999999999</v>
      </c>
      <c r="L6646">
        <v>-60.603969999999997</v>
      </c>
      <c r="M6646">
        <v>0.92861369999999999</v>
      </c>
      <c r="N6646">
        <v>-1.443095E-2</v>
      </c>
      <c r="O6646">
        <v>0.37076759999999997</v>
      </c>
      <c r="P6646">
        <v>0.73322860000000001</v>
      </c>
      <c r="Q6646">
        <v>0.23439879999999999</v>
      </c>
      <c r="R6646">
        <v>0.63830480000000001</v>
      </c>
      <c r="S6646">
        <v>2.0961150000000002</v>
      </c>
      <c r="T6646">
        <v>-3.268683E-2</v>
      </c>
      <c r="U6646">
        <v>2.3053590000000002</v>
      </c>
      <c r="V6646">
        <v>-0.32438600000000001</v>
      </c>
      <c r="W6646">
        <v>0.2430515</v>
      </c>
      <c r="X6646">
        <v>0.91416620000000004</v>
      </c>
      <c r="Y6646">
        <v>-0.43761749999999999</v>
      </c>
      <c r="Z6646">
        <v>6.7950519999999898E-3</v>
      </c>
      <c r="AA6646">
        <v>0.89913549999999998</v>
      </c>
      <c r="AB6646">
        <v>23</v>
      </c>
      <c r="AC6646">
        <v>36.570999999999998</v>
      </c>
      <c r="AD6646">
        <v>-0.57191199999999998</v>
      </c>
      <c r="AE6646">
        <v>40.289020000000001</v>
      </c>
      <c r="AF6646">
        <v>-23.853439730195099</v>
      </c>
      <c r="AG6646">
        <v>-0.57191199999999998</v>
      </c>
      <c r="AH6646">
        <v>48.897878566626702</v>
      </c>
      <c r="AI6646">
        <v>90.602269386640202</v>
      </c>
      <c r="AJ6646">
        <v>116.00411823406399</v>
      </c>
      <c r="AK6646">
        <v>54.408787880399998</v>
      </c>
      <c r="AL6646">
        <v>75.933288450525495</v>
      </c>
      <c r="AM6646">
        <v>109.536902384139</v>
      </c>
      <c r="AN6646">
        <v>1.0000000749353399</v>
      </c>
    </row>
    <row r="6647" spans="1:40" x14ac:dyDescent="0.25">
      <c r="A6647" t="str">
        <f>"20190304155803180"</f>
        <v>20190304155803180</v>
      </c>
      <c r="B6647" t="str">
        <f>"1551686283171648"</f>
        <v>1551686283171648</v>
      </c>
      <c r="C6647" t="s">
        <v>40</v>
      </c>
      <c r="D6647">
        <v>4.638992</v>
      </c>
      <c r="E6647">
        <v>0.44911580000000001</v>
      </c>
      <c r="F6647" t="s">
        <v>98</v>
      </c>
      <c r="G6647">
        <v>-165.91720000000001</v>
      </c>
      <c r="H6647">
        <v>0.66491029999999995</v>
      </c>
      <c r="I6647">
        <v>-20.31495</v>
      </c>
      <c r="J6647">
        <v>-202.196</v>
      </c>
      <c r="K6647">
        <v>1.1164719999999999</v>
      </c>
      <c r="L6647">
        <v>-60.561279999999996</v>
      </c>
      <c r="M6647">
        <v>0.92696610000000002</v>
      </c>
      <c r="N6647">
        <v>-1.44347999999999E-2</v>
      </c>
      <c r="O6647">
        <v>0.37486730000000001</v>
      </c>
      <c r="P6647">
        <v>0.73011680000000001</v>
      </c>
      <c r="Q6647">
        <v>0.2356876</v>
      </c>
      <c r="R6647">
        <v>0.64138980000000001</v>
      </c>
      <c r="S6647">
        <v>2.0871729999999999</v>
      </c>
      <c r="T6647">
        <v>-2.5911569999999998E-2</v>
      </c>
      <c r="U6647">
        <v>2.3119200000000002</v>
      </c>
      <c r="V6647">
        <v>-0.32437709999999997</v>
      </c>
      <c r="W6647">
        <v>0.24433389999999999</v>
      </c>
      <c r="X6647">
        <v>0.91382739999999996</v>
      </c>
      <c r="Y6647">
        <v>-0.43684529999999999</v>
      </c>
      <c r="Z6647">
        <v>7.1445629999999996E-3</v>
      </c>
      <c r="AA6647">
        <v>0.89950830000000004</v>
      </c>
      <c r="AB6647">
        <v>23</v>
      </c>
      <c r="AC6647">
        <v>36.278799999999897</v>
      </c>
      <c r="AD6647">
        <v>-0.45156170000000001</v>
      </c>
      <c r="AE6647">
        <v>40.24633</v>
      </c>
      <c r="AF6647">
        <v>-23.708071332146801</v>
      </c>
      <c r="AG6647">
        <v>-0.45156170000000001</v>
      </c>
      <c r="AH6647">
        <v>48.717943184857099</v>
      </c>
      <c r="AI6647">
        <v>90.477515911355098</v>
      </c>
      <c r="AJ6647">
        <v>115.94938031554</v>
      </c>
      <c r="AK6647">
        <v>54.1822345646803</v>
      </c>
      <c r="AL6647">
        <v>75.857527822312605</v>
      </c>
      <c r="AM6647">
        <v>109.54310127065</v>
      </c>
      <c r="AN6647">
        <v>1.00000003734218</v>
      </c>
    </row>
    <row r="6648" spans="1:40" x14ac:dyDescent="0.25">
      <c r="A6648" t="str">
        <f>"20190304155803192"</f>
        <v>20190304155803192</v>
      </c>
      <c r="B6648" t="str">
        <f>"1551686283181408"</f>
        <v>1551686283181408</v>
      </c>
      <c r="C6648" t="s">
        <v>40</v>
      </c>
      <c r="D6648">
        <v>5.169333</v>
      </c>
      <c r="E6648">
        <v>0.44911580000000001</v>
      </c>
      <c r="F6648" t="s">
        <v>98</v>
      </c>
      <c r="G6648">
        <v>-166.15430000000001</v>
      </c>
      <c r="H6648">
        <v>0.72355939999999996</v>
      </c>
      <c r="I6648">
        <v>-20.31495</v>
      </c>
      <c r="J6648">
        <v>-202.08869999999999</v>
      </c>
      <c r="K6648">
        <v>1.1164860000000001</v>
      </c>
      <c r="L6648">
        <v>-60.511960000000002</v>
      </c>
      <c r="M6648">
        <v>0.92504810000000004</v>
      </c>
      <c r="N6648">
        <v>-1.443912E-2</v>
      </c>
      <c r="O6648">
        <v>0.37957560000000001</v>
      </c>
      <c r="P6648">
        <v>0.72689040000000005</v>
      </c>
      <c r="Q6648">
        <v>0.23586860000000001</v>
      </c>
      <c r="R6648">
        <v>0.64497780000000005</v>
      </c>
      <c r="S6648">
        <v>2.0779109999999998</v>
      </c>
      <c r="T6648">
        <v>-2.265263E-2</v>
      </c>
      <c r="U6648">
        <v>2.3203130000000001</v>
      </c>
      <c r="V6648">
        <v>-0.3242604</v>
      </c>
      <c r="W6648">
        <v>0.2445147</v>
      </c>
      <c r="X6648">
        <v>0.91382039999999998</v>
      </c>
      <c r="Y6648">
        <v>-0.43588909999999997</v>
      </c>
      <c r="Z6648">
        <v>7.3291839999999999E-3</v>
      </c>
      <c r="AA6648">
        <v>0.89997050000000001</v>
      </c>
      <c r="AB6648">
        <v>23</v>
      </c>
      <c r="AC6648">
        <v>35.934399999999897</v>
      </c>
      <c r="AD6648">
        <v>-0.39292660000000001</v>
      </c>
      <c r="AE6648">
        <v>40.197009999999899</v>
      </c>
      <c r="AF6648">
        <v>-23.545549240251201</v>
      </c>
      <c r="AG6648">
        <v>-0.39292660000000001</v>
      </c>
      <c r="AH6648">
        <v>48.501330592529598</v>
      </c>
      <c r="AI6648">
        <v>90.417561926719898</v>
      </c>
      <c r="AJ6648">
        <v>115.894807610608</v>
      </c>
      <c r="AK6648">
        <v>53.915919259379599</v>
      </c>
      <c r="AL6648">
        <v>75.846843946007297</v>
      </c>
      <c r="AM6648">
        <v>109.536741163926</v>
      </c>
      <c r="AN6648">
        <v>0.999999984490204</v>
      </c>
    </row>
    <row r="6649" spans="1:40" x14ac:dyDescent="0.25">
      <c r="A6649" t="str">
        <f>"20190304155803204"</f>
        <v>20190304155803204</v>
      </c>
      <c r="B6649" t="str">
        <f>"1551686283200929"</f>
        <v>1551686283200929</v>
      </c>
      <c r="C6649" t="s">
        <v>40</v>
      </c>
      <c r="D6649">
        <v>4.6474010000000003</v>
      </c>
      <c r="E6649">
        <v>0.4515401</v>
      </c>
      <c r="F6649" t="s">
        <v>98</v>
      </c>
      <c r="G6649">
        <v>-166.45230000000001</v>
      </c>
      <c r="H6649">
        <v>0.73641969999999901</v>
      </c>
      <c r="I6649">
        <v>-20.31495</v>
      </c>
      <c r="J6649">
        <v>-201.98089999999999</v>
      </c>
      <c r="K6649">
        <v>1.116495</v>
      </c>
      <c r="L6649">
        <v>-60.46161</v>
      </c>
      <c r="M6649">
        <v>0.92308599999999996</v>
      </c>
      <c r="N6649">
        <v>-1.4443350000000001E-2</v>
      </c>
      <c r="O6649">
        <v>0.38432230000000001</v>
      </c>
      <c r="P6649">
        <v>0.72409049999999997</v>
      </c>
      <c r="Q6649">
        <v>0.23547480000000001</v>
      </c>
      <c r="R6649">
        <v>0.64826269999999997</v>
      </c>
      <c r="S6649">
        <v>2.066284</v>
      </c>
      <c r="T6649">
        <v>-2.2037270000000001E-2</v>
      </c>
      <c r="U6649">
        <v>2.3307190000000002</v>
      </c>
      <c r="V6649">
        <v>-0.323652</v>
      </c>
      <c r="W6649">
        <v>0.2441314</v>
      </c>
      <c r="X6649">
        <v>0.91413860000000002</v>
      </c>
      <c r="Y6649">
        <v>-0.435776</v>
      </c>
      <c r="Z6649">
        <v>7.3887340000000001E-3</v>
      </c>
      <c r="AA6649">
        <v>0.90002479999999996</v>
      </c>
      <c r="AB6649">
        <v>23</v>
      </c>
      <c r="AC6649">
        <v>35.528599999999898</v>
      </c>
      <c r="AD6649">
        <v>-0.3800753</v>
      </c>
      <c r="AE6649">
        <v>40.146659999999997</v>
      </c>
      <c r="AF6649">
        <v>-23.405651623713101</v>
      </c>
      <c r="AG6649">
        <v>-0.3800753</v>
      </c>
      <c r="AH6649">
        <v>48.2278167295459</v>
      </c>
      <c r="AI6649">
        <v>90.406219483448396</v>
      </c>
      <c r="AJ6649">
        <v>115.887964609641</v>
      </c>
      <c r="AK6649">
        <v>53.608686718319802</v>
      </c>
      <c r="AL6649">
        <v>75.869493002648895</v>
      </c>
      <c r="AM6649">
        <v>109.496577227267</v>
      </c>
      <c r="AN6649">
        <v>1.00000006878995</v>
      </c>
    </row>
    <row r="6650" spans="1:40" x14ac:dyDescent="0.25">
      <c r="A6650" t="str">
        <f>"20190304155803215"</f>
        <v>20190304155803215</v>
      </c>
      <c r="B6650" t="str">
        <f>"1551686283211665"</f>
        <v>1551686283211665</v>
      </c>
      <c r="C6650" t="s">
        <v>40</v>
      </c>
      <c r="D6650">
        <v>4.6040229999999998</v>
      </c>
      <c r="E6650">
        <v>0.45229360000000002</v>
      </c>
      <c r="F6650" t="s">
        <v>98</v>
      </c>
      <c r="G6650">
        <v>-167.2379</v>
      </c>
      <c r="H6650">
        <v>10.52129</v>
      </c>
      <c r="I6650">
        <v>-20.310009999999998</v>
      </c>
      <c r="J6650">
        <v>-201.88650000000001</v>
      </c>
      <c r="K6650">
        <v>1.116506</v>
      </c>
      <c r="L6650">
        <v>-60.416930000000001</v>
      </c>
      <c r="M6650">
        <v>0.9213384</v>
      </c>
      <c r="N6650">
        <v>-1.44469E-2</v>
      </c>
      <c r="O6650">
        <v>0.38849309999999998</v>
      </c>
      <c r="P6650">
        <v>0.72158959999999905</v>
      </c>
      <c r="Q6650">
        <v>0.2350122</v>
      </c>
      <c r="R6650">
        <v>0.65121249999999997</v>
      </c>
      <c r="S6650">
        <v>1.9518279999999999</v>
      </c>
      <c r="T6650">
        <v>0.52835149999999997</v>
      </c>
      <c r="U6650">
        <v>2.2556759999999998</v>
      </c>
      <c r="V6650">
        <v>-0.32318599999999997</v>
      </c>
      <c r="W6650">
        <v>0.2436777</v>
      </c>
      <c r="X6650">
        <v>0.91442440000000003</v>
      </c>
      <c r="Y6650">
        <v>-0.44282769999999999</v>
      </c>
      <c r="Z6650">
        <v>3.9121950000000003E-2</v>
      </c>
      <c r="AA6650">
        <v>0.89575280000000002</v>
      </c>
      <c r="AB6650">
        <v>23</v>
      </c>
      <c r="AC6650">
        <v>34.648600000000002</v>
      </c>
      <c r="AD6650">
        <v>9.4047839999999994</v>
      </c>
      <c r="AE6650">
        <v>40.106920000000002</v>
      </c>
      <c r="AF6650">
        <v>-22.776587303629402</v>
      </c>
      <c r="AG6650">
        <v>9.4047839999999994</v>
      </c>
      <c r="AH6650">
        <v>46.059041219088797</v>
      </c>
      <c r="AI6650">
        <v>79.627783413766807</v>
      </c>
      <c r="AJ6650">
        <v>116.312786780184</v>
      </c>
      <c r="AK6650">
        <v>52.236559700158601</v>
      </c>
      <c r="AL6650">
        <v>75.896296592353394</v>
      </c>
      <c r="AM6650">
        <v>109.46499098554099</v>
      </c>
      <c r="AN6650">
        <v>0.99999999769432502</v>
      </c>
    </row>
    <row r="6651" spans="1:40" x14ac:dyDescent="0.25">
      <c r="A6651" t="str">
        <f>"20190304155803226"</f>
        <v>20190304155803226</v>
      </c>
      <c r="B6651" t="str">
        <f>"1551686283221425"</f>
        <v>1551686283221425</v>
      </c>
      <c r="C6651" t="s">
        <v>40</v>
      </c>
      <c r="D6651">
        <v>4.6913179999999999</v>
      </c>
      <c r="E6651">
        <v>0.45229360000000002</v>
      </c>
      <c r="F6651" t="s">
        <v>98</v>
      </c>
      <c r="G6651">
        <v>-167.20859999999999</v>
      </c>
      <c r="H6651">
        <v>9.2071400000000008</v>
      </c>
      <c r="I6651">
        <v>-20.310009999999998</v>
      </c>
      <c r="J6651">
        <v>-201.7842</v>
      </c>
      <c r="K6651">
        <v>1.1165179999999999</v>
      </c>
      <c r="L6651">
        <v>-60.368040000000001</v>
      </c>
      <c r="M6651">
        <v>0.91941459999999997</v>
      </c>
      <c r="N6651">
        <v>-1.4450579999999999E-2</v>
      </c>
      <c r="O6651">
        <v>0.39302429999999999</v>
      </c>
      <c r="P6651">
        <v>0.71872599999999998</v>
      </c>
      <c r="Q6651">
        <v>0.23507049999999999</v>
      </c>
      <c r="R6651">
        <v>0.65435069999999995</v>
      </c>
      <c r="S6651">
        <v>1.961319</v>
      </c>
      <c r="T6651">
        <v>0.45759070000000002</v>
      </c>
      <c r="U6651">
        <v>2.2683719999999998</v>
      </c>
      <c r="V6651">
        <v>-0.32267950000000001</v>
      </c>
      <c r="W6651">
        <v>0.24374290000000001</v>
      </c>
      <c r="X6651">
        <v>0.91458589999999995</v>
      </c>
      <c r="Y6651">
        <v>-0.4389149</v>
      </c>
      <c r="Z6651">
        <v>3.6077239999999997E-2</v>
      </c>
      <c r="AA6651">
        <v>0.89780409999999899</v>
      </c>
      <c r="AB6651">
        <v>22</v>
      </c>
      <c r="AC6651">
        <v>34.575600000000001</v>
      </c>
      <c r="AD6651">
        <v>8.0906219999999998</v>
      </c>
      <c r="AE6651">
        <v>40.058030000000002</v>
      </c>
      <c r="AF6651">
        <v>-22.7123666825578</v>
      </c>
      <c r="AG6651">
        <v>8.0906219999999998</v>
      </c>
      <c r="AH6651">
        <v>46.452142763819403</v>
      </c>
      <c r="AI6651">
        <v>81.107070971802202</v>
      </c>
      <c r="AJ6651">
        <v>116.055914544704</v>
      </c>
      <c r="AK6651">
        <v>52.336520060280101</v>
      </c>
      <c r="AL6651">
        <v>75.892445013183405</v>
      </c>
      <c r="AM6651">
        <v>109.433599061712</v>
      </c>
      <c r="AN6651">
        <v>1.0000000147497301</v>
      </c>
    </row>
    <row r="6652" spans="1:40" x14ac:dyDescent="0.25">
      <c r="A6652" t="str">
        <f>"20190304155803238"</f>
        <v>20190304155803238</v>
      </c>
      <c r="B6652" t="str">
        <f>"1551686283231184"</f>
        <v>1551686283231184</v>
      </c>
      <c r="C6652" t="s">
        <v>40</v>
      </c>
      <c r="D6652">
        <v>4.688987</v>
      </c>
      <c r="E6652">
        <v>0.45535599999999998</v>
      </c>
      <c r="F6652" t="s">
        <v>98</v>
      </c>
      <c r="G6652">
        <v>-167.45570000000001</v>
      </c>
      <c r="H6652">
        <v>9.1755820000000003</v>
      </c>
      <c r="I6652">
        <v>-20.309999999999999</v>
      </c>
      <c r="J6652">
        <v>-201.6858</v>
      </c>
      <c r="K6652">
        <v>1.11652</v>
      </c>
      <c r="L6652">
        <v>-60.3202199999999</v>
      </c>
      <c r="M6652">
        <v>0.91753130000000005</v>
      </c>
      <c r="N6652">
        <v>-1.445403E-2</v>
      </c>
      <c r="O6652">
        <v>0.3974009</v>
      </c>
      <c r="P6652">
        <v>0.71558859999999902</v>
      </c>
      <c r="Q6652">
        <v>0.23488300000000001</v>
      </c>
      <c r="R6652">
        <v>0.65784730000000002</v>
      </c>
      <c r="S6652">
        <v>1.9512480000000001</v>
      </c>
      <c r="T6652">
        <v>0.4580805</v>
      </c>
      <c r="U6652">
        <v>2.2769170000000001</v>
      </c>
      <c r="V6652">
        <v>-0.3227582</v>
      </c>
      <c r="W6652">
        <v>0.2435523</v>
      </c>
      <c r="X6652">
        <v>0.9146088</v>
      </c>
      <c r="Y6652">
        <v>-0.43863659999999999</v>
      </c>
      <c r="Z6652">
        <v>3.6915259999999998E-2</v>
      </c>
      <c r="AA6652">
        <v>0.89790599999999998</v>
      </c>
      <c r="AB6652">
        <v>22</v>
      </c>
      <c r="AC6652">
        <v>34.230099999999901</v>
      </c>
      <c r="AD6652">
        <v>8.0590619999999902</v>
      </c>
      <c r="AE6652">
        <v>40.010219999999897</v>
      </c>
      <c r="AF6652">
        <v>-22.580991740567001</v>
      </c>
      <c r="AG6652">
        <v>8.0590619999999902</v>
      </c>
      <c r="AH6652">
        <v>46.229267879729797</v>
      </c>
      <c r="AI6652">
        <v>81.097508242000302</v>
      </c>
      <c r="AJ6652">
        <v>116.03350225192</v>
      </c>
      <c r="AK6652">
        <v>52.076817078266401</v>
      </c>
      <c r="AL6652">
        <v>75.903703523733697</v>
      </c>
      <c r="AM6652">
        <v>109.437533263909</v>
      </c>
      <c r="AN6652">
        <v>0.99999991776998098</v>
      </c>
    </row>
    <row r="6653" spans="1:40" x14ac:dyDescent="0.25">
      <c r="A6653" t="str">
        <f>"20190304155803248"</f>
        <v>20190304155803248</v>
      </c>
      <c r="B6653" t="str">
        <f>"1551686283240944"</f>
        <v>1551686283240944</v>
      </c>
      <c r="C6653" t="s">
        <v>40</v>
      </c>
      <c r="D6653">
        <v>4.7104660000000003</v>
      </c>
      <c r="E6653">
        <v>0.45541759999999898</v>
      </c>
      <c r="F6653" t="s">
        <v>98</v>
      </c>
      <c r="G6653">
        <v>-166.3706</v>
      </c>
      <c r="H6653">
        <v>0.13715269999999999</v>
      </c>
      <c r="I6653">
        <v>-20.31495</v>
      </c>
      <c r="J6653">
        <v>-201.5917</v>
      </c>
      <c r="K6653">
        <v>1.116528</v>
      </c>
      <c r="L6653">
        <v>-60.274169999999998</v>
      </c>
      <c r="M6653">
        <v>0.9157033</v>
      </c>
      <c r="N6653">
        <v>-1.445726E-2</v>
      </c>
      <c r="O6653">
        <v>0.40159489999999998</v>
      </c>
      <c r="P6653">
        <v>0.71293260000000003</v>
      </c>
      <c r="Q6653">
        <v>0.23333609999999999</v>
      </c>
      <c r="R6653">
        <v>0.66127259999999999</v>
      </c>
      <c r="S6653">
        <v>2.0628660000000001</v>
      </c>
      <c r="T6653">
        <v>-5.72077E-2</v>
      </c>
      <c r="U6653">
        <v>2.3368229999999999</v>
      </c>
      <c r="V6653">
        <v>-0.32274019999999998</v>
      </c>
      <c r="W6653">
        <v>0.2420088</v>
      </c>
      <c r="X6653">
        <v>0.91502490000000003</v>
      </c>
      <c r="Y6653">
        <v>-0.42063080000000003</v>
      </c>
      <c r="Z6653">
        <v>5.0634790000000001E-3</v>
      </c>
      <c r="AA6653">
        <v>0.90721779999999996</v>
      </c>
      <c r="AB6653">
        <v>22</v>
      </c>
      <c r="AC6653">
        <v>35.2211</v>
      </c>
      <c r="AD6653">
        <v>-0.97937529999999995</v>
      </c>
      <c r="AE6653">
        <v>39.959220000000002</v>
      </c>
      <c r="AF6653">
        <v>-22.4409350474502</v>
      </c>
      <c r="AG6653">
        <v>-0.97937529999999995</v>
      </c>
      <c r="AH6653">
        <v>48.288220124654401</v>
      </c>
      <c r="AI6653">
        <v>91.053706468851701</v>
      </c>
      <c r="AJ6653">
        <v>114.925658478302</v>
      </c>
      <c r="AK6653">
        <v>53.256989631307597</v>
      </c>
      <c r="AL6653">
        <v>75.994868708659595</v>
      </c>
      <c r="AM6653">
        <v>109.428354155317</v>
      </c>
      <c r="AN6653">
        <v>1.0000000317967399</v>
      </c>
    </row>
    <row r="6654" spans="1:40" x14ac:dyDescent="0.25">
      <c r="A6654" t="str">
        <f>"20190304155803261"</f>
        <v>20190304155803261</v>
      </c>
      <c r="B6654" t="str">
        <f>"1551686283251681"</f>
        <v>1551686283251681</v>
      </c>
      <c r="C6654" t="s">
        <v>40</v>
      </c>
      <c r="D6654">
        <v>4.6346210000000001</v>
      </c>
      <c r="E6654">
        <v>0.45541759999999898</v>
      </c>
      <c r="F6654" t="s">
        <v>98</v>
      </c>
      <c r="G6654">
        <v>-166.64269999999999</v>
      </c>
      <c r="H6654">
        <v>6.1786649999999999E-2</v>
      </c>
      <c r="I6654">
        <v>-20.31495</v>
      </c>
      <c r="J6654">
        <v>-201.4854</v>
      </c>
      <c r="K6654">
        <v>1.116533</v>
      </c>
      <c r="L6654">
        <v>-60.221130000000002</v>
      </c>
      <c r="M6654">
        <v>0.9135972</v>
      </c>
      <c r="N6654">
        <v>-1.446098E-2</v>
      </c>
      <c r="O6654">
        <v>0.40636299999999997</v>
      </c>
      <c r="P6654">
        <v>0.70987140000000004</v>
      </c>
      <c r="Q6654">
        <v>0.23248750000000001</v>
      </c>
      <c r="R6654">
        <v>0.66485509999999903</v>
      </c>
      <c r="S6654">
        <v>2.0520480000000001</v>
      </c>
      <c r="T6654">
        <v>-6.1929579999999998E-2</v>
      </c>
      <c r="U6654">
        <v>2.346222</v>
      </c>
      <c r="V6654">
        <v>-0.32245829999999998</v>
      </c>
      <c r="W6654">
        <v>0.24116480000000001</v>
      </c>
      <c r="X6654">
        <v>0.91534700000000002</v>
      </c>
      <c r="Y6654">
        <v>-0.42006090000000001</v>
      </c>
      <c r="Z6654">
        <v>4.7112400000000002E-3</v>
      </c>
      <c r="AA6654">
        <v>0.9074837</v>
      </c>
      <c r="AB6654">
        <v>22</v>
      </c>
      <c r="AC6654">
        <v>34.842700000000001</v>
      </c>
      <c r="AD6654">
        <v>-1.0547463500000001</v>
      </c>
      <c r="AE6654">
        <v>39.906179999999999</v>
      </c>
      <c r="AF6654">
        <v>-22.292887061978298</v>
      </c>
      <c r="AG6654">
        <v>-1.0547463500000001</v>
      </c>
      <c r="AH6654">
        <v>48.0345758225954</v>
      </c>
      <c r="AI6654">
        <v>91.141041729836203</v>
      </c>
      <c r="AJ6654">
        <v>114.896054169823</v>
      </c>
      <c r="AK6654">
        <v>52.966081390618598</v>
      </c>
      <c r="AL6654">
        <v>76.044701627451403</v>
      </c>
      <c r="AM6654">
        <v>109.40633358759101</v>
      </c>
      <c r="AN6654">
        <v>0.99999997320346401</v>
      </c>
    </row>
    <row r="6655" spans="1:40" x14ac:dyDescent="0.25">
      <c r="A6655" t="str">
        <f>"20190304155803273"</f>
        <v>20190304155803273</v>
      </c>
      <c r="B6655" t="str">
        <f>"1551686283261441"</f>
        <v>1551686283261441</v>
      </c>
      <c r="C6655" t="s">
        <v>40</v>
      </c>
      <c r="D6655">
        <v>4.6400730000000001</v>
      </c>
      <c r="E6655">
        <v>0.4497237</v>
      </c>
      <c r="F6655" t="s">
        <v>44</v>
      </c>
      <c r="G6655">
        <v>-164.28460000000001</v>
      </c>
      <c r="H6655">
        <v>-0.05</v>
      </c>
      <c r="I6655">
        <v>-17.22214</v>
      </c>
      <c r="J6655">
        <v>-201.38200000000001</v>
      </c>
      <c r="K6655">
        <v>1.1165350000000001</v>
      </c>
      <c r="L6655">
        <v>-60.169220000000003</v>
      </c>
      <c r="M6655">
        <v>0.91151859999999996</v>
      </c>
      <c r="N6655">
        <v>-1.4464599999999999E-2</v>
      </c>
      <c r="O6655">
        <v>0.41100449999999999</v>
      </c>
      <c r="P6655">
        <v>0.70698260000000002</v>
      </c>
      <c r="Q6655">
        <v>0.23233090000000001</v>
      </c>
      <c r="R6655">
        <v>0.66798069999999998</v>
      </c>
      <c r="S6655">
        <v>2.0393520000000001</v>
      </c>
      <c r="T6655">
        <v>-6.3949469999999994E-2</v>
      </c>
      <c r="U6655">
        <v>2.357208</v>
      </c>
      <c r="V6655">
        <v>-0.32182179999999999</v>
      </c>
      <c r="W6655">
        <v>0.2410167</v>
      </c>
      <c r="X6655">
        <v>0.91561000000000003</v>
      </c>
      <c r="Y6655">
        <v>-0.42032809999999998</v>
      </c>
      <c r="Z6655">
        <v>4.5412959999999898E-3</v>
      </c>
      <c r="AA6655">
        <v>0.90736090000000003</v>
      </c>
      <c r="AB6655">
        <v>22</v>
      </c>
      <c r="AC6655">
        <v>37.097399999999901</v>
      </c>
      <c r="AD6655">
        <v>-1.1665350000000001</v>
      </c>
      <c r="AE6655">
        <v>42.94708</v>
      </c>
      <c r="AF6655">
        <v>-23.892268519342899</v>
      </c>
      <c r="AG6655">
        <v>-1.1665350000000001</v>
      </c>
      <c r="AH6655">
        <v>51.4500572245718</v>
      </c>
      <c r="AI6655">
        <v>91.178066017876006</v>
      </c>
      <c r="AJ6655">
        <v>114.909112926821</v>
      </c>
      <c r="AK6655">
        <v>56.738960929138699</v>
      </c>
      <c r="AL6655">
        <v>76.053445370406294</v>
      </c>
      <c r="AM6655">
        <v>109.36573305743001</v>
      </c>
      <c r="AN6655">
        <v>0.99999999636706505</v>
      </c>
    </row>
    <row r="6656" spans="1:40" x14ac:dyDescent="0.25">
      <c r="A6656" t="str">
        <f>"20190304155803283"</f>
        <v>20190304155803283</v>
      </c>
      <c r="B6656" t="str">
        <f>"1551686283271201"</f>
        <v>1551686283271201</v>
      </c>
      <c r="C6656" t="s">
        <v>40</v>
      </c>
      <c r="D6656">
        <v>5.3177289999999999</v>
      </c>
      <c r="E6656">
        <v>0.4521947</v>
      </c>
      <c r="F6656" t="s">
        <v>98</v>
      </c>
      <c r="G6656">
        <v>-169.2439</v>
      </c>
      <c r="H6656">
        <v>13.3787</v>
      </c>
      <c r="I6656">
        <v>-20.178879999999999</v>
      </c>
      <c r="J6656">
        <v>-201.28039999999999</v>
      </c>
      <c r="K6656">
        <v>1.1165369999999999</v>
      </c>
      <c r="L6656">
        <v>-60.117280000000001</v>
      </c>
      <c r="M6656">
        <v>0.90943490000000005</v>
      </c>
      <c r="N6656">
        <v>-1.4468450000000001E-2</v>
      </c>
      <c r="O6656">
        <v>0.41559439999999997</v>
      </c>
      <c r="P6656">
        <v>0.70444449999999903</v>
      </c>
      <c r="Q6656">
        <v>0.2321165</v>
      </c>
      <c r="R6656">
        <v>0.67073079999999996</v>
      </c>
      <c r="S6656">
        <v>1.8440859999999999</v>
      </c>
      <c r="T6656">
        <v>0.70360290000000003</v>
      </c>
      <c r="U6656">
        <v>2.2946469999999999</v>
      </c>
      <c r="V6656">
        <v>-0.32074409999999998</v>
      </c>
      <c r="W6656">
        <v>0.24081910000000001</v>
      </c>
      <c r="X6656">
        <v>0.91604010000000002</v>
      </c>
      <c r="Y6656">
        <v>-0.4489571</v>
      </c>
      <c r="Z6656">
        <v>5.6086360000000002E-2</v>
      </c>
      <c r="AA6656">
        <v>0.89179129999999995</v>
      </c>
      <c r="AB6656">
        <v>22</v>
      </c>
      <c r="AC6656">
        <v>32.036499999999897</v>
      </c>
      <c r="AD6656">
        <v>12.262162999999999</v>
      </c>
      <c r="AE6656">
        <v>39.938400000000001</v>
      </c>
      <c r="AF6656">
        <v>-21.7613913132327</v>
      </c>
      <c r="AG6656">
        <v>12.262162999999999</v>
      </c>
      <c r="AH6656">
        <v>43.256919647841897</v>
      </c>
      <c r="AI6656">
        <v>75.789505933070402</v>
      </c>
      <c r="AJ6656">
        <v>116.70573705606</v>
      </c>
      <c r="AK6656">
        <v>49.950774676135502</v>
      </c>
      <c r="AL6656">
        <v>76.065111240702606</v>
      </c>
      <c r="AM6656">
        <v>109.297293298489</v>
      </c>
      <c r="AN6656">
        <v>1.0000000407088101</v>
      </c>
    </row>
    <row r="6657" spans="1:40" x14ac:dyDescent="0.25">
      <c r="A6657" t="str">
        <f>"20190304155803296"</f>
        <v>20190304155803296</v>
      </c>
      <c r="B6657" t="str">
        <f>"1551686283291696"</f>
        <v>1551686283291696</v>
      </c>
      <c r="C6657" t="s">
        <v>40</v>
      </c>
      <c r="D6657">
        <v>4.8897909999999998</v>
      </c>
      <c r="E6657">
        <v>0.4549531</v>
      </c>
      <c r="F6657" t="s">
        <v>98</v>
      </c>
      <c r="G6657">
        <v>-169.2439</v>
      </c>
      <c r="H6657">
        <v>13.826610000000001</v>
      </c>
      <c r="I6657">
        <v>-20.434190000000001</v>
      </c>
      <c r="J6657">
        <v>-201.1721</v>
      </c>
      <c r="K6657">
        <v>1.1165419999999999</v>
      </c>
      <c r="L6657">
        <v>-60.061279999999996</v>
      </c>
      <c r="M6657">
        <v>0.90717579999999998</v>
      </c>
      <c r="N6657">
        <v>-1.447263E-2</v>
      </c>
      <c r="O6657">
        <v>0.42050280000000001</v>
      </c>
      <c r="P6657">
        <v>0.70181490000000002</v>
      </c>
      <c r="Q6657">
        <v>0.23247100000000001</v>
      </c>
      <c r="R6657">
        <v>0.67335970000000001</v>
      </c>
      <c r="S6657">
        <v>1.843475</v>
      </c>
      <c r="T6657">
        <v>0.73137369999999902</v>
      </c>
      <c r="U6657">
        <v>2.2834780000000001</v>
      </c>
      <c r="V6657">
        <v>-0.31927420000000001</v>
      </c>
      <c r="W6657">
        <v>0.24119489999999999</v>
      </c>
      <c r="X6657">
        <v>0.91645460000000001</v>
      </c>
      <c r="Y6657">
        <v>-0.4423744</v>
      </c>
      <c r="Z6657">
        <v>6.0222669999999999E-2</v>
      </c>
      <c r="AA6657">
        <v>0.8948062</v>
      </c>
      <c r="AB6657">
        <v>22</v>
      </c>
      <c r="AC6657">
        <v>31.9282</v>
      </c>
      <c r="AD6657">
        <v>12.710068</v>
      </c>
      <c r="AE6657">
        <v>39.627090000000003</v>
      </c>
      <c r="AF6657">
        <v>-21.2025869025919</v>
      </c>
      <c r="AG6657">
        <v>12.710068</v>
      </c>
      <c r="AH6657">
        <v>42.953164776672601</v>
      </c>
      <c r="AI6657">
        <v>75.139610047907397</v>
      </c>
      <c r="AJ6657">
        <v>116.271916889369</v>
      </c>
      <c r="AK6657">
        <v>49.558751843227199</v>
      </c>
      <c r="AL6657">
        <v>76.042925150392193</v>
      </c>
      <c r="AM6657">
        <v>109.20730067392201</v>
      </c>
      <c r="AN6657">
        <v>1.0000000142164001</v>
      </c>
    </row>
    <row r="6658" spans="1:40" x14ac:dyDescent="0.25">
      <c r="A6658" t="str">
        <f>"20190304155803306"</f>
        <v>20190304155803306</v>
      </c>
      <c r="B6658" t="str">
        <f>"1551686283301456"</f>
        <v>1551686283301456</v>
      </c>
      <c r="C6658" t="s">
        <v>40</v>
      </c>
      <c r="D6658">
        <v>4.6775949999999904</v>
      </c>
      <c r="E6658">
        <v>0.4549531</v>
      </c>
      <c r="F6658" t="s">
        <v>98</v>
      </c>
      <c r="G6658">
        <v>-169.2439</v>
      </c>
      <c r="H6658">
        <v>13.67591</v>
      </c>
      <c r="I6658">
        <v>-20.816739999999999</v>
      </c>
      <c r="J6658">
        <v>-201.07640000000001</v>
      </c>
      <c r="K6658">
        <v>1.1165430000000001</v>
      </c>
      <c r="L6658">
        <v>-60.011200000000002</v>
      </c>
      <c r="M6658">
        <v>0.90514470000000002</v>
      </c>
      <c r="N6658">
        <v>-1.4476370000000001E-2</v>
      </c>
      <c r="O6658">
        <v>0.42485709999999999</v>
      </c>
      <c r="P6658">
        <v>0.70016809999999996</v>
      </c>
      <c r="Q6658">
        <v>0.23295730000000001</v>
      </c>
      <c r="R6658">
        <v>0.67490399999999995</v>
      </c>
      <c r="S6658">
        <v>1.8508</v>
      </c>
      <c r="T6658">
        <v>0.72803309999999999</v>
      </c>
      <c r="U6658">
        <v>2.274902</v>
      </c>
      <c r="V6658">
        <v>-0.31696269999999999</v>
      </c>
      <c r="W6658">
        <v>0.24171860000000001</v>
      </c>
      <c r="X6658">
        <v>0.91711869999999995</v>
      </c>
      <c r="Y6658">
        <v>-0.43495669999999997</v>
      </c>
      <c r="Z6658">
        <v>6.216269E-2</v>
      </c>
      <c r="AA6658">
        <v>0.89830309999999902</v>
      </c>
      <c r="AB6658">
        <v>22</v>
      </c>
      <c r="AC6658">
        <v>31.8325</v>
      </c>
      <c r="AD6658">
        <v>12.559367</v>
      </c>
      <c r="AE6658">
        <v>39.194459999999999</v>
      </c>
      <c r="AF6658">
        <v>-20.675506388849801</v>
      </c>
      <c r="AG6658">
        <v>12.559367</v>
      </c>
      <c r="AH6658">
        <v>42.820532549012597</v>
      </c>
      <c r="AI6658">
        <v>75.204601258667594</v>
      </c>
      <c r="AJ6658">
        <v>115.773152809237</v>
      </c>
      <c r="AK6658">
        <v>49.181422017435601</v>
      </c>
      <c r="AL6658">
        <v>76.012003858467395</v>
      </c>
      <c r="AM6658">
        <v>109.065511064658</v>
      </c>
      <c r="AN6658">
        <v>0.99999997233346904</v>
      </c>
    </row>
    <row r="6659" spans="1:40" x14ac:dyDescent="0.25">
      <c r="A6659" t="str">
        <f>"20190304155803316"</f>
        <v>20190304155803316</v>
      </c>
      <c r="B6659" t="str">
        <f>"1551686283311217"</f>
        <v>1551686283311217</v>
      </c>
      <c r="C6659" t="s">
        <v>40</v>
      </c>
      <c r="D6659">
        <v>4.5752610000000002</v>
      </c>
      <c r="E6659">
        <v>0.46051439999999999</v>
      </c>
      <c r="F6659" t="s">
        <v>98</v>
      </c>
      <c r="G6659">
        <v>-169.2439</v>
      </c>
      <c r="H6659">
        <v>13.725239999999999</v>
      </c>
      <c r="I6659">
        <v>-20.70093</v>
      </c>
      <c r="J6659">
        <v>-200.99680000000001</v>
      </c>
      <c r="K6659">
        <v>1.1165419999999999</v>
      </c>
      <c r="L6659">
        <v>-59.968899999999998</v>
      </c>
      <c r="M6659">
        <v>0.9034259</v>
      </c>
      <c r="N6659">
        <v>-1.4479489999999999E-2</v>
      </c>
      <c r="O6659">
        <v>0.42849969999999998</v>
      </c>
      <c r="P6659">
        <v>0.69899609999999901</v>
      </c>
      <c r="Q6659">
        <v>0.2329358</v>
      </c>
      <c r="R6659">
        <v>0.67612530000000004</v>
      </c>
      <c r="S6659">
        <v>1.845154</v>
      </c>
      <c r="T6659">
        <v>0.73085469999999997</v>
      </c>
      <c r="U6659">
        <v>2.2785950000000001</v>
      </c>
      <c r="V6659">
        <v>-0.314862799999999</v>
      </c>
      <c r="W6659">
        <v>0.24173349999999999</v>
      </c>
      <c r="X6659">
        <v>0.91783789999999998</v>
      </c>
      <c r="Y6659">
        <v>-0.43351309999999899</v>
      </c>
      <c r="Z6659">
        <v>6.3580189999999995E-2</v>
      </c>
      <c r="AA6659">
        <v>0.89890149999999902</v>
      </c>
      <c r="AB6659">
        <v>22</v>
      </c>
      <c r="AC6659">
        <v>31.7529</v>
      </c>
      <c r="AD6659">
        <v>12.608698</v>
      </c>
      <c r="AE6659">
        <v>39.267969999999998</v>
      </c>
      <c r="AF6659">
        <v>-20.588415784326699</v>
      </c>
      <c r="AG6659">
        <v>12.608698</v>
      </c>
      <c r="AH6659">
        <v>42.846453807301103</v>
      </c>
      <c r="AI6659">
        <v>75.144739008449704</v>
      </c>
      <c r="AJ6659">
        <v>115.665039431341</v>
      </c>
      <c r="AK6659">
        <v>49.180084725676302</v>
      </c>
      <c r="AL6659">
        <v>76.011125015812297</v>
      </c>
      <c r="AM6659">
        <v>108.93444812508601</v>
      </c>
      <c r="AN6659">
        <v>1.00000003926124</v>
      </c>
    </row>
    <row r="6660" spans="1:40" x14ac:dyDescent="0.25">
      <c r="A6660" t="str">
        <f>"20190304155803326"</f>
        <v>20190304155803326</v>
      </c>
      <c r="B6660" t="str">
        <f>"1551686283321953"</f>
        <v>1551686283321953</v>
      </c>
      <c r="C6660" t="s">
        <v>40</v>
      </c>
      <c r="D6660">
        <v>4.3000360000000004</v>
      </c>
      <c r="E6660">
        <v>0.46051439999999999</v>
      </c>
      <c r="F6660" t="s">
        <v>98</v>
      </c>
      <c r="G6660">
        <v>-167.26609999999999</v>
      </c>
      <c r="H6660">
        <v>1.3366579999999999</v>
      </c>
      <c r="I6660">
        <v>-20.31495</v>
      </c>
      <c r="J6660">
        <v>-200.90770000000001</v>
      </c>
      <c r="K6660">
        <v>1.1165419999999999</v>
      </c>
      <c r="L6660">
        <v>-59.92136</v>
      </c>
      <c r="M6660">
        <v>0.90148039999999996</v>
      </c>
      <c r="N6660">
        <v>-1.448291E-2</v>
      </c>
      <c r="O6660">
        <v>0.43257760000000001</v>
      </c>
      <c r="P6660">
        <v>0.69784380000000001</v>
      </c>
      <c r="Q6660">
        <v>0.23182410000000001</v>
      </c>
      <c r="R6660">
        <v>0.67769590000000002</v>
      </c>
      <c r="S6660">
        <v>2.006195</v>
      </c>
      <c r="T6660">
        <v>1.309168E-2</v>
      </c>
      <c r="U6660">
        <v>2.3584900000000002</v>
      </c>
      <c r="V6660">
        <v>-0.31260290000000002</v>
      </c>
      <c r="W6660">
        <v>0.24066409999999999</v>
      </c>
      <c r="X6660">
        <v>0.91889080000000001</v>
      </c>
      <c r="Y6660">
        <v>-0.40646789999999999</v>
      </c>
      <c r="Z6660">
        <v>1.005824E-2</v>
      </c>
      <c r="AA6660">
        <v>0.91360969999999997</v>
      </c>
      <c r="AB6660">
        <v>22</v>
      </c>
      <c r="AC6660">
        <v>33.641599999999997</v>
      </c>
      <c r="AD6660">
        <v>0.22011600000000001</v>
      </c>
      <c r="AE6660">
        <v>39.606409999999997</v>
      </c>
      <c r="AF6660">
        <v>-21.153638406264299</v>
      </c>
      <c r="AG6660">
        <v>0.22011600000000001</v>
      </c>
      <c r="AH6660">
        <v>47.464214375949297</v>
      </c>
      <c r="AI6660">
        <v>89.757303573327206</v>
      </c>
      <c r="AJ6660">
        <v>114.021362760408</v>
      </c>
      <c r="AK6660">
        <v>51.965147119992899</v>
      </c>
      <c r="AL6660">
        <v>76.074261214648999</v>
      </c>
      <c r="AM6660">
        <v>108.78809475982101</v>
      </c>
      <c r="AN6660">
        <v>1.0000000422209201</v>
      </c>
    </row>
    <row r="6661" spans="1:40" x14ac:dyDescent="0.25">
      <c r="A6661" t="str">
        <f>"20190304155803338"</f>
        <v>20190304155803338</v>
      </c>
      <c r="B6661" t="str">
        <f>"1551686283331713"</f>
        <v>1551686283331713</v>
      </c>
      <c r="C6661" t="s">
        <v>40</v>
      </c>
      <c r="D6661">
        <v>4.2883529999999999</v>
      </c>
      <c r="E6661">
        <v>0.45453890000000002</v>
      </c>
      <c r="F6661" t="s">
        <v>98</v>
      </c>
      <c r="G6661">
        <v>-167.38329999999999</v>
      </c>
      <c r="H6661">
        <v>1.2858810000000001</v>
      </c>
      <c r="I6661">
        <v>-20.31495</v>
      </c>
      <c r="J6661">
        <v>-200.8066</v>
      </c>
      <c r="K6661">
        <v>1.1165430000000001</v>
      </c>
      <c r="L6661">
        <v>-59.866419999999998</v>
      </c>
      <c r="M6661">
        <v>0.89922849999999999</v>
      </c>
      <c r="N6661">
        <v>-1.448695E-2</v>
      </c>
      <c r="O6661">
        <v>0.4372395</v>
      </c>
      <c r="P6661">
        <v>0.6961503</v>
      </c>
      <c r="Q6661">
        <v>0.2302197</v>
      </c>
      <c r="R6661">
        <v>0.67998059999999905</v>
      </c>
      <c r="S6661">
        <v>2.0004580000000001</v>
      </c>
      <c r="T6661">
        <v>1.010454E-2</v>
      </c>
      <c r="U6661">
        <v>2.3633730000000002</v>
      </c>
      <c r="V6661">
        <v>-0.31060300000000002</v>
      </c>
      <c r="W6661">
        <v>0.23909710000000001</v>
      </c>
      <c r="X6661">
        <v>0.91997739999999995</v>
      </c>
      <c r="Y6661">
        <v>-0.40395170000000002</v>
      </c>
      <c r="Z6661">
        <v>9.8911009999999994E-3</v>
      </c>
      <c r="AA6661">
        <v>0.91472690000000001</v>
      </c>
      <c r="AB6661">
        <v>22</v>
      </c>
      <c r="AC6661">
        <v>33.423299999999998</v>
      </c>
      <c r="AD6661">
        <v>0.16933799999999999</v>
      </c>
      <c r="AE6661">
        <v>39.551470000000002</v>
      </c>
      <c r="AF6661">
        <v>-20.953795380084902</v>
      </c>
      <c r="AG6661">
        <v>0.16933799999999999</v>
      </c>
      <c r="AH6661">
        <v>47.353108360739</v>
      </c>
      <c r="AI6661">
        <v>89.812631553445698</v>
      </c>
      <c r="AJ6661">
        <v>113.869435527305</v>
      </c>
      <c r="AK6661">
        <v>51.782304773084498</v>
      </c>
      <c r="AL6661">
        <v>76.166743834852497</v>
      </c>
      <c r="AM6661">
        <v>108.65572381675</v>
      </c>
      <c r="AN6661">
        <v>1.00000003167408</v>
      </c>
    </row>
    <row r="6662" spans="1:40" x14ac:dyDescent="0.25">
      <c r="A6662" t="str">
        <f>"20190304155803349"</f>
        <v>20190304155803349</v>
      </c>
      <c r="B6662" t="str">
        <f>"1551686283341473"</f>
        <v>1551686283341473</v>
      </c>
      <c r="C6662" t="s">
        <v>40</v>
      </c>
      <c r="D6662">
        <v>5.0170389999999996</v>
      </c>
      <c r="E6662">
        <v>0.45453890000000002</v>
      </c>
      <c r="F6662" t="s">
        <v>98</v>
      </c>
      <c r="G6662">
        <v>-169.2439</v>
      </c>
      <c r="H6662">
        <v>7.0364190000000004</v>
      </c>
      <c r="I6662">
        <v>-20.74821</v>
      </c>
      <c r="J6662">
        <v>-200.7106</v>
      </c>
      <c r="K6662">
        <v>1.116555</v>
      </c>
      <c r="L6662">
        <v>-59.813929999999999</v>
      </c>
      <c r="M6662">
        <v>0.89705999999999997</v>
      </c>
      <c r="N6662">
        <v>-1.449073E-2</v>
      </c>
      <c r="O6662">
        <v>0.44167099999999998</v>
      </c>
      <c r="P6662">
        <v>0.69471159999999998</v>
      </c>
      <c r="Q6662">
        <v>0.22828950000000001</v>
      </c>
      <c r="R6662">
        <v>0.68209960000000003</v>
      </c>
      <c r="S6662">
        <v>1.8962399999999999</v>
      </c>
      <c r="T6662">
        <v>0.35565629999999998</v>
      </c>
      <c r="U6662">
        <v>2.3501590000000001</v>
      </c>
      <c r="V6662">
        <v>-0.30856080000000002</v>
      </c>
      <c r="W6662">
        <v>0.23720620000000001</v>
      </c>
      <c r="X6662">
        <v>0.92115329999999995</v>
      </c>
      <c r="Y6662">
        <v>-0.42168450000000002</v>
      </c>
      <c r="Z6662">
        <v>3.7782910000000003E-2</v>
      </c>
      <c r="AA6662">
        <v>0.90595510000000001</v>
      </c>
      <c r="AB6662">
        <v>22</v>
      </c>
      <c r="AC6662">
        <v>31.466699999999999</v>
      </c>
      <c r="AD6662">
        <v>5.9198639999999996</v>
      </c>
      <c r="AE6662">
        <v>39.065719999999999</v>
      </c>
      <c r="AF6662">
        <v>-20.8580926776288</v>
      </c>
      <c r="AG6662">
        <v>5.9198639999999996</v>
      </c>
      <c r="AH6662">
        <v>44.861693919063804</v>
      </c>
      <c r="AI6662">
        <v>83.176591623424201</v>
      </c>
      <c r="AJ6662">
        <v>114.93570257628799</v>
      </c>
      <c r="AK6662">
        <v>49.826462860761197</v>
      </c>
      <c r="AL6662">
        <v>76.278293175403903</v>
      </c>
      <c r="AM6662">
        <v>108.519420300272</v>
      </c>
      <c r="AN6662">
        <v>0.99999997535798402</v>
      </c>
    </row>
    <row r="6663" spans="1:40" x14ac:dyDescent="0.25">
      <c r="A6663" t="str">
        <f>"20190304155803360"</f>
        <v>20190304155803360</v>
      </c>
      <c r="B6663" t="str">
        <f>"1551686283351232"</f>
        <v>1551686283351232</v>
      </c>
      <c r="C6663" t="s">
        <v>40</v>
      </c>
      <c r="D6663">
        <v>4.2895089999999998</v>
      </c>
      <c r="E6663">
        <v>0.462843</v>
      </c>
      <c r="F6663" t="s">
        <v>98</v>
      </c>
      <c r="G6663">
        <v>-169.2439</v>
      </c>
      <c r="H6663">
        <v>6.9340119999999903</v>
      </c>
      <c r="I6663">
        <v>-20.613430000000001</v>
      </c>
      <c r="J6663">
        <v>-200.62540000000001</v>
      </c>
      <c r="K6663">
        <v>1.116573</v>
      </c>
      <c r="L6663">
        <v>-59.766419999999997</v>
      </c>
      <c r="M6663">
        <v>0.89509709999999998</v>
      </c>
      <c r="N6663">
        <v>-1.449429E-2</v>
      </c>
      <c r="O6663">
        <v>0.44563580000000003</v>
      </c>
      <c r="P6663">
        <v>0.69346609999999997</v>
      </c>
      <c r="Q6663">
        <v>0.2277843</v>
      </c>
      <c r="R6663">
        <v>0.68353430000000004</v>
      </c>
      <c r="S6663">
        <v>1.8907620000000001</v>
      </c>
      <c r="T6663">
        <v>0.34955740000000002</v>
      </c>
      <c r="U6663">
        <v>2.3554689999999998</v>
      </c>
      <c r="V6663">
        <v>-0.30630679999999999</v>
      </c>
      <c r="W6663">
        <v>0.2367406</v>
      </c>
      <c r="X6663">
        <v>0.92202499999999998</v>
      </c>
      <c r="Y6663">
        <v>-0.41996869999999997</v>
      </c>
      <c r="Z6663">
        <v>3.794086E-2</v>
      </c>
      <c r="AA6663">
        <v>0.90674520000000003</v>
      </c>
      <c r="AB6663">
        <v>22</v>
      </c>
      <c r="AC6663">
        <v>31.381499999999999</v>
      </c>
      <c r="AD6663">
        <v>5.8174389999999896</v>
      </c>
      <c r="AE6663">
        <v>39.152990000000003</v>
      </c>
      <c r="AF6663">
        <v>-20.783851103369699</v>
      </c>
      <c r="AG6663">
        <v>5.8174389999999896</v>
      </c>
      <c r="AH6663">
        <v>44.938203659840397</v>
      </c>
      <c r="AI6663">
        <v>83.298689130971496</v>
      </c>
      <c r="AJ6663">
        <v>114.820469819864</v>
      </c>
      <c r="AK6663">
        <v>49.852314002251298</v>
      </c>
      <c r="AL6663">
        <v>76.305753050266603</v>
      </c>
      <c r="AM6663">
        <v>108.377052237109</v>
      </c>
      <c r="AN6663">
        <v>1.0000000340197901</v>
      </c>
    </row>
    <row r="6664" spans="1:40" x14ac:dyDescent="0.25">
      <c r="A6664" t="str">
        <f>"20190304155803371"</f>
        <v>20190304155803371</v>
      </c>
      <c r="B6664" t="str">
        <f>"1551686283360993"</f>
        <v>1551686283360993</v>
      </c>
      <c r="C6664" t="s">
        <v>40</v>
      </c>
      <c r="D6664">
        <v>4.9009530000000003</v>
      </c>
      <c r="E6664">
        <v>0.462843</v>
      </c>
      <c r="F6664" t="s">
        <v>98</v>
      </c>
      <c r="G6664">
        <v>-168.4248</v>
      </c>
      <c r="H6664">
        <v>7.1932780000000003</v>
      </c>
      <c r="I6664">
        <v>-21.233239999999999</v>
      </c>
      <c r="J6664">
        <v>-200.52250000000001</v>
      </c>
      <c r="K6664">
        <v>1.1166039999999999</v>
      </c>
      <c r="L6664">
        <v>-59.708770000000001</v>
      </c>
      <c r="M6664">
        <v>0.89269330000000002</v>
      </c>
      <c r="N6664">
        <v>-1.4498499999999999E-2</v>
      </c>
      <c r="O6664">
        <v>0.45043149999999998</v>
      </c>
      <c r="P6664">
        <v>0.69123419999999902</v>
      </c>
      <c r="Q6664">
        <v>0.22885710000000001</v>
      </c>
      <c r="R6664">
        <v>0.68543399999999999</v>
      </c>
      <c r="S6664">
        <v>1.9299930000000001</v>
      </c>
      <c r="T6664">
        <v>0.36421550000000003</v>
      </c>
      <c r="U6664">
        <v>2.3095400000000001</v>
      </c>
      <c r="V6664">
        <v>-0.30406359999999999</v>
      </c>
      <c r="W6664">
        <v>0.23784530000000001</v>
      </c>
      <c r="X6664">
        <v>0.92248300000000005</v>
      </c>
      <c r="Y6664">
        <v>-0.39727210000000002</v>
      </c>
      <c r="Z6664">
        <v>4.1169259999999999E-2</v>
      </c>
      <c r="AA6664">
        <v>0.91677699999999995</v>
      </c>
      <c r="AB6664">
        <v>22</v>
      </c>
      <c r="AC6664">
        <v>32.097700000000003</v>
      </c>
      <c r="AD6664">
        <v>6.0766739999999997</v>
      </c>
      <c r="AE6664">
        <v>38.4755299999999</v>
      </c>
      <c r="AF6664">
        <v>-19.6028074424507</v>
      </c>
      <c r="AG6664">
        <v>6.0766739999999997</v>
      </c>
      <c r="AH6664">
        <v>45.3222317616762</v>
      </c>
      <c r="AI6664">
        <v>82.9844725861022</v>
      </c>
      <c r="AJ6664">
        <v>113.38948584818699</v>
      </c>
      <c r="AK6664">
        <v>49.752394097039897</v>
      </c>
      <c r="AL6664">
        <v>76.240596571138894</v>
      </c>
      <c r="AM6664">
        <v>108.242959568239</v>
      </c>
      <c r="AN6664">
        <v>0.99999997243302396</v>
      </c>
    </row>
    <row r="6665" spans="1:40" x14ac:dyDescent="0.25">
      <c r="A6665" t="str">
        <f>"20190304155803404"</f>
        <v>20190304155803404</v>
      </c>
      <c r="B6665" t="str">
        <f>"1551686283401009"</f>
        <v>1551686283401009</v>
      </c>
      <c r="C6665" t="s">
        <v>40</v>
      </c>
      <c r="D6665">
        <v>4.8898910000000004</v>
      </c>
      <c r="E6665">
        <v>0.45939609999999897</v>
      </c>
      <c r="F6665" t="s">
        <v>98</v>
      </c>
      <c r="G6665">
        <v>-168.56219999999999</v>
      </c>
      <c r="H6665">
        <v>7.2215009999999902</v>
      </c>
      <c r="I6665">
        <v>-21.233239999999999</v>
      </c>
      <c r="J6665">
        <v>-200.24119999999999</v>
      </c>
      <c r="K6665">
        <v>1.1166940000000001</v>
      </c>
      <c r="L6665">
        <v>-59.546719999999901</v>
      </c>
      <c r="M6665">
        <v>0.88589189999999995</v>
      </c>
      <c r="N6665">
        <v>-1.4510530000000001E-2</v>
      </c>
      <c r="O6665">
        <v>0.46366479999999999</v>
      </c>
      <c r="P6665">
        <v>0.68423889999999998</v>
      </c>
      <c r="Q6665">
        <v>0.23696349999999999</v>
      </c>
      <c r="R6665">
        <v>0.68968509999999905</v>
      </c>
      <c r="S6665">
        <v>1.9229430000000001</v>
      </c>
      <c r="T6665">
        <v>0.36731049999999998</v>
      </c>
      <c r="U6665">
        <v>2.3149410000000001</v>
      </c>
      <c r="V6665">
        <v>-0.2974057</v>
      </c>
      <c r="W6665">
        <v>0.24603459999999999</v>
      </c>
      <c r="X6665">
        <v>0.92250569999999998</v>
      </c>
      <c r="Y6665">
        <v>-0.38644200000000001</v>
      </c>
      <c r="Z6665">
        <v>4.3977629999999997E-2</v>
      </c>
      <c r="AA6665">
        <v>0.92126459999999999</v>
      </c>
      <c r="AB6665">
        <v>22</v>
      </c>
      <c r="AC6665">
        <v>31.678999999999998</v>
      </c>
      <c r="AD6665">
        <v>6.1048069999999903</v>
      </c>
      <c r="AE6665">
        <v>38.313479999999998</v>
      </c>
      <c r="AF6665">
        <v>-18.969146135364699</v>
      </c>
      <c r="AG6665">
        <v>6.1048069999999903</v>
      </c>
      <c r="AH6665">
        <v>45.1527258842099</v>
      </c>
      <c r="AI6665">
        <v>82.894713344969801</v>
      </c>
      <c r="AJ6665">
        <v>112.787800168996</v>
      </c>
      <c r="AK6665">
        <v>49.354491471259998</v>
      </c>
      <c r="AL6665">
        <v>75.757015965181395</v>
      </c>
      <c r="AM6665">
        <v>107.868751052137</v>
      </c>
      <c r="AN6665">
        <v>0.99999997066106905</v>
      </c>
    </row>
    <row r="6666" spans="1:40" x14ac:dyDescent="0.25">
      <c r="A6666" t="str">
        <f>"20190304155803416"</f>
        <v>20190304155803416</v>
      </c>
      <c r="B6666" t="str">
        <f>"1551686283410768"</f>
        <v>1551686283410768</v>
      </c>
      <c r="C6666" t="s">
        <v>40</v>
      </c>
      <c r="D6666">
        <v>4.7522979999999997</v>
      </c>
      <c r="E6666">
        <v>0.45939609999999897</v>
      </c>
      <c r="F6666" t="s">
        <v>98</v>
      </c>
      <c r="G6666">
        <v>-169.2439</v>
      </c>
      <c r="H6666">
        <v>7.0735390000000002</v>
      </c>
      <c r="I6666">
        <v>-20.914249999999999</v>
      </c>
      <c r="J6666">
        <v>-200.14769999999999</v>
      </c>
      <c r="K6666">
        <v>1.116711</v>
      </c>
      <c r="L6666">
        <v>-59.491520000000001</v>
      </c>
      <c r="M6666">
        <v>0.88355680000000003</v>
      </c>
      <c r="N6666">
        <v>-1.4514239999999999E-2</v>
      </c>
      <c r="O6666">
        <v>0.46809909999999999</v>
      </c>
      <c r="P6666">
        <v>0.68147979999999997</v>
      </c>
      <c r="Q6666">
        <v>0.23937259999999999</v>
      </c>
      <c r="R6666">
        <v>0.69158240000000004</v>
      </c>
      <c r="S6666">
        <v>1.8875729999999999</v>
      </c>
      <c r="T6666">
        <v>0.36273929999999999</v>
      </c>
      <c r="U6666">
        <v>2.352509</v>
      </c>
      <c r="V6666">
        <v>-0.29577120000000001</v>
      </c>
      <c r="W6666">
        <v>0.24846209999999999</v>
      </c>
      <c r="X6666">
        <v>0.92238059999999999</v>
      </c>
      <c r="Y6666">
        <v>-0.3973913</v>
      </c>
      <c r="Z6666">
        <v>4.3544520000000003E-2</v>
      </c>
      <c r="AA6666">
        <v>0.91661550000000003</v>
      </c>
      <c r="AB6666">
        <v>22</v>
      </c>
      <c r="AC6666">
        <v>30.903799999999901</v>
      </c>
      <c r="AD6666">
        <v>5.9568279999999998</v>
      </c>
      <c r="AE6666">
        <v>38.577269999999999</v>
      </c>
      <c r="AF6666">
        <v>-19.340350980354199</v>
      </c>
      <c r="AG6666">
        <v>5.9568279999999998</v>
      </c>
      <c r="AH6666">
        <v>44.7185694131799</v>
      </c>
      <c r="AI6666">
        <v>83.029473306922995</v>
      </c>
      <c r="AJ6666">
        <v>113.388017991727</v>
      </c>
      <c r="AK6666">
        <v>49.0844519805026</v>
      </c>
      <c r="AL6666">
        <v>75.613474085164299</v>
      </c>
      <c r="AM6666">
        <v>107.779003544503</v>
      </c>
      <c r="AN6666">
        <v>0.999999994571105</v>
      </c>
    </row>
    <row r="6667" spans="1:40" x14ac:dyDescent="0.25">
      <c r="A6667" t="str">
        <f>"20190304155803426"</f>
        <v>20190304155803426</v>
      </c>
      <c r="B6667" t="str">
        <f>"1551686283421505"</f>
        <v>1551686283421505</v>
      </c>
      <c r="C6667" t="s">
        <v>40</v>
      </c>
      <c r="D6667">
        <v>4.399178</v>
      </c>
      <c r="E6667">
        <v>0.45996350000000003</v>
      </c>
      <c r="F6667" t="s">
        <v>98</v>
      </c>
      <c r="G6667">
        <v>-169.2439</v>
      </c>
      <c r="H6667">
        <v>7.2129509999999897</v>
      </c>
      <c r="I6667">
        <v>-20.693290000000001</v>
      </c>
      <c r="J6667">
        <v>-200.05520000000001</v>
      </c>
      <c r="K6667">
        <v>1.116725</v>
      </c>
      <c r="L6667">
        <v>-59.436459999999997</v>
      </c>
      <c r="M6667">
        <v>0.881216</v>
      </c>
      <c r="N6667">
        <v>-1.451772E-2</v>
      </c>
      <c r="O6667">
        <v>0.47249089999999999</v>
      </c>
      <c r="P6667">
        <v>0.67863019999999996</v>
      </c>
      <c r="Q6667">
        <v>0.2405891</v>
      </c>
      <c r="R6667">
        <v>0.69395819999999997</v>
      </c>
      <c r="S6667">
        <v>1.878601</v>
      </c>
      <c r="T6667">
        <v>0.37058160000000001</v>
      </c>
      <c r="U6667">
        <v>2.3584900000000002</v>
      </c>
      <c r="V6667">
        <v>-0.2946222</v>
      </c>
      <c r="W6667">
        <v>0.24969330000000001</v>
      </c>
      <c r="X6667">
        <v>0.92241589999999996</v>
      </c>
      <c r="Y6667">
        <v>-0.3961539</v>
      </c>
      <c r="Z6667">
        <v>4.5006089999999999E-2</v>
      </c>
      <c r="AA6667">
        <v>0.91708049999999997</v>
      </c>
      <c r="AB6667">
        <v>22</v>
      </c>
      <c r="AC6667">
        <v>30.811299999999999</v>
      </c>
      <c r="AD6667">
        <v>6.0962259999999997</v>
      </c>
      <c r="AE6667">
        <v>38.7431699999999</v>
      </c>
      <c r="AF6667">
        <v>-19.2925026986122</v>
      </c>
      <c r="AG6667">
        <v>6.0962259999999997</v>
      </c>
      <c r="AH6667">
        <v>44.782789439861403</v>
      </c>
      <c r="AI6667">
        <v>82.873804427617301</v>
      </c>
      <c r="AJ6667">
        <v>113.306460638432</v>
      </c>
      <c r="AK6667">
        <v>49.1412541744103</v>
      </c>
      <c r="AL6667">
        <v>75.540636563141405</v>
      </c>
      <c r="AM6667">
        <v>107.71362637139499</v>
      </c>
      <c r="AN6667">
        <v>1.0000000386852601</v>
      </c>
    </row>
    <row r="6668" spans="1:40" x14ac:dyDescent="0.25">
      <c r="A6668" t="str">
        <f>"20190304155803440"</f>
        <v>20190304155803440</v>
      </c>
      <c r="B6668" t="str">
        <f>"1551686283431265"</f>
        <v>1551686283431265</v>
      </c>
      <c r="C6668" t="s">
        <v>40</v>
      </c>
      <c r="D6668">
        <v>5.0730979999999999</v>
      </c>
      <c r="E6668">
        <v>0.45996350000000003</v>
      </c>
      <c r="F6668" t="s">
        <v>98</v>
      </c>
      <c r="G6668">
        <v>-169.2439</v>
      </c>
      <c r="H6668">
        <v>6.7056050000000003</v>
      </c>
      <c r="I6668">
        <v>-20.592600000000001</v>
      </c>
      <c r="J6668">
        <v>-199.95480000000001</v>
      </c>
      <c r="K6668">
        <v>1.116738</v>
      </c>
      <c r="L6668">
        <v>-59.3756699999999</v>
      </c>
      <c r="M6668">
        <v>0.87862779999999996</v>
      </c>
      <c r="N6668">
        <v>-1.452116E-2</v>
      </c>
      <c r="O6668">
        <v>0.4772864</v>
      </c>
      <c r="P6668">
        <v>0.67500819999999995</v>
      </c>
      <c r="Q6668">
        <v>0.24154239999999999</v>
      </c>
      <c r="R6668">
        <v>0.69715229999999995</v>
      </c>
      <c r="S6668">
        <v>1.8783570000000001</v>
      </c>
      <c r="T6668">
        <v>0.34071509999999999</v>
      </c>
      <c r="U6668">
        <v>2.368042</v>
      </c>
      <c r="V6668">
        <v>-0.2941261</v>
      </c>
      <c r="W6668">
        <v>0.2506504</v>
      </c>
      <c r="X6668">
        <v>0.92231459999999998</v>
      </c>
      <c r="Y6668">
        <v>-0.39293</v>
      </c>
      <c r="Z6668">
        <v>4.2909860000000001E-2</v>
      </c>
      <c r="AA6668">
        <v>0.91856669999999996</v>
      </c>
      <c r="AB6668">
        <v>22</v>
      </c>
      <c r="AC6668">
        <v>30.710899999999999</v>
      </c>
      <c r="AD6668">
        <v>5.5888669999999996</v>
      </c>
      <c r="AE6668">
        <v>38.783070000000002</v>
      </c>
      <c r="AF6668">
        <v>-19.1752963566008</v>
      </c>
      <c r="AG6668">
        <v>5.5888669999999996</v>
      </c>
      <c r="AH6668">
        <v>44.925482816114602</v>
      </c>
      <c r="AI6668">
        <v>83.472790834060305</v>
      </c>
      <c r="AJ6668">
        <v>113.11397646862</v>
      </c>
      <c r="AK6668">
        <v>49.165297019016997</v>
      </c>
      <c r="AL6668">
        <v>75.483997218358994</v>
      </c>
      <c r="AM6668">
        <v>107.68748087793399</v>
      </c>
      <c r="AN6668">
        <v>1.00000000354726</v>
      </c>
    </row>
    <row r="6669" spans="1:40" x14ac:dyDescent="0.25">
      <c r="A6669" t="str">
        <f>"20190304155803449"</f>
        <v>20190304155803449</v>
      </c>
      <c r="B6669" t="str">
        <f>"1551686283441025"</f>
        <v>1551686283441025</v>
      </c>
      <c r="C6669" t="s">
        <v>40</v>
      </c>
      <c r="D6669">
        <v>4.7060969999999998</v>
      </c>
      <c r="E6669">
        <v>0.509783599999999</v>
      </c>
      <c r="F6669" t="s">
        <v>98</v>
      </c>
      <c r="G6669">
        <v>-169.2439</v>
      </c>
      <c r="H6669">
        <v>6.7732720000000004</v>
      </c>
      <c r="I6669">
        <v>-20.2606</v>
      </c>
      <c r="J6669">
        <v>-199.8683</v>
      </c>
      <c r="K6669">
        <v>1.116741</v>
      </c>
      <c r="L6669">
        <v>-59.323030000000003</v>
      </c>
      <c r="M6669">
        <v>0.87636939999999997</v>
      </c>
      <c r="N6669">
        <v>-1.4524E-2</v>
      </c>
      <c r="O6669">
        <v>0.48142059999999998</v>
      </c>
      <c r="P6669">
        <v>0.67154820000000004</v>
      </c>
      <c r="Q6669">
        <v>0.24187649999999999</v>
      </c>
      <c r="R6669">
        <v>0.70037039999999995</v>
      </c>
      <c r="S6669">
        <v>1.8663479999999999</v>
      </c>
      <c r="T6669">
        <v>0.34375489999999997</v>
      </c>
      <c r="U6669">
        <v>2.377075</v>
      </c>
      <c r="V6669">
        <v>-0.2942554</v>
      </c>
      <c r="W6669">
        <v>0.25097900000000001</v>
      </c>
      <c r="X6669">
        <v>0.922184</v>
      </c>
      <c r="Y6669">
        <v>-0.39319809999999999</v>
      </c>
      <c r="Z6669">
        <v>4.3770610000000001E-2</v>
      </c>
      <c r="AA6669">
        <v>0.91841130000000004</v>
      </c>
      <c r="AB6669">
        <v>22</v>
      </c>
      <c r="AC6669">
        <v>30.624400000000001</v>
      </c>
      <c r="AD6669">
        <v>5.6565310000000002</v>
      </c>
      <c r="AE6669">
        <v>39.062429999999999</v>
      </c>
      <c r="AF6669">
        <v>-19.242060676878999</v>
      </c>
      <c r="AG6669">
        <v>5.6565310000000002</v>
      </c>
      <c r="AH6669">
        <v>45.063323146315703</v>
      </c>
      <c r="AI6669">
        <v>83.414902834536505</v>
      </c>
      <c r="AJ6669">
        <v>113.122505497367</v>
      </c>
      <c r="AK6669">
        <v>49.325007197525402</v>
      </c>
      <c r="AL6669">
        <v>75.464548298241397</v>
      </c>
      <c r="AM6669">
        <v>107.697121040962</v>
      </c>
      <c r="AN6669">
        <v>1.0000000143630701</v>
      </c>
    </row>
    <row r="6670" spans="1:40" x14ac:dyDescent="0.25">
      <c r="A6670" t="str">
        <f>"20190304155803462"</f>
        <v>20190304155803462</v>
      </c>
      <c r="B6670" t="str">
        <f>"1551686283450785"</f>
        <v>1551686283450785</v>
      </c>
      <c r="C6670" t="s">
        <v>40</v>
      </c>
      <c r="D6670">
        <v>4.9278959999999996</v>
      </c>
      <c r="E6670">
        <v>0.51022979999999996</v>
      </c>
      <c r="F6670" t="s">
        <v>98</v>
      </c>
      <c r="G6670">
        <v>-157.3501</v>
      </c>
      <c r="H6670">
        <v>16.832750000000001</v>
      </c>
      <c r="I6670">
        <v>-17.285969999999999</v>
      </c>
      <c r="J6670">
        <v>-199.77379999999999</v>
      </c>
      <c r="K6670">
        <v>1.116741</v>
      </c>
      <c r="L6670">
        <v>-59.264429999999997</v>
      </c>
      <c r="M6670">
        <v>0.87386010000000003</v>
      </c>
      <c r="N6670">
        <v>-1.452671E-2</v>
      </c>
      <c r="O6670">
        <v>0.48596060000000002</v>
      </c>
      <c r="P6670">
        <v>0.66785349999999999</v>
      </c>
      <c r="Q6670">
        <v>0.2424673</v>
      </c>
      <c r="R6670">
        <v>0.70369119999999996</v>
      </c>
      <c r="S6670">
        <v>2.064133</v>
      </c>
      <c r="T6670">
        <v>0.76296459999999999</v>
      </c>
      <c r="U6670">
        <v>2.0407709999999999</v>
      </c>
      <c r="V6670">
        <v>-0.29415740000000001</v>
      </c>
      <c r="W6670">
        <v>0.2515693</v>
      </c>
      <c r="X6670">
        <v>0.92205440000000005</v>
      </c>
      <c r="Y6670">
        <v>-0.27604479999999998</v>
      </c>
      <c r="Z6670">
        <v>0.1021099</v>
      </c>
      <c r="AA6670">
        <v>0.95570540000000004</v>
      </c>
      <c r="AB6670">
        <v>22</v>
      </c>
      <c r="AC6670">
        <v>42.423699999999997</v>
      </c>
      <c r="AD6670">
        <v>15.716009</v>
      </c>
      <c r="AE6670">
        <v>41.978459999999998</v>
      </c>
      <c r="AF6670">
        <v>-15.026765001805799</v>
      </c>
      <c r="AG6670">
        <v>15.716009</v>
      </c>
      <c r="AH6670">
        <v>53.751114586794799</v>
      </c>
      <c r="AI6670">
        <v>74.273414713101801</v>
      </c>
      <c r="AJ6670">
        <v>105.618968666369</v>
      </c>
      <c r="AK6670">
        <v>57.982574318758203</v>
      </c>
      <c r="AL6670">
        <v>75.429605318137305</v>
      </c>
      <c r="AM6670">
        <v>107.69392628024499</v>
      </c>
      <c r="AN6670">
        <v>1.0000000026183</v>
      </c>
    </row>
    <row r="6671" spans="1:40" x14ac:dyDescent="0.25">
      <c r="A6671" t="str">
        <f>"20190304155803474"</f>
        <v>20190304155803474</v>
      </c>
      <c r="B6671" t="str">
        <f>"1551686283471280"</f>
        <v>1551686283471280</v>
      </c>
      <c r="C6671" t="s">
        <v>40</v>
      </c>
      <c r="D6671">
        <v>4.5105019999999998</v>
      </c>
      <c r="E6671">
        <v>0.50796790000000003</v>
      </c>
      <c r="F6671" t="s">
        <v>98</v>
      </c>
      <c r="G6671">
        <v>-157.3501</v>
      </c>
      <c r="H6671">
        <v>16.344760000000001</v>
      </c>
      <c r="I6671">
        <v>-16.998290000000001</v>
      </c>
      <c r="J6671">
        <v>-199.66919999999999</v>
      </c>
      <c r="K6671">
        <v>1.1167370000000001</v>
      </c>
      <c r="L6671">
        <v>-59.199010000000001</v>
      </c>
      <c r="M6671">
        <v>0.87104309999999996</v>
      </c>
      <c r="N6671">
        <v>-1.4529540000000001E-2</v>
      </c>
      <c r="O6671">
        <v>0.49099159999999997</v>
      </c>
      <c r="P6671">
        <v>0.66323109999999996</v>
      </c>
      <c r="Q6671">
        <v>0.2427744</v>
      </c>
      <c r="R6671">
        <v>0.70794419999999902</v>
      </c>
      <c r="S6671">
        <v>2.060486</v>
      </c>
      <c r="T6671">
        <v>0.73961009999999905</v>
      </c>
      <c r="U6671">
        <v>2.052826</v>
      </c>
      <c r="V6671">
        <v>-0.29479519999999998</v>
      </c>
      <c r="W6671">
        <v>0.25186370000000002</v>
      </c>
      <c r="X6671">
        <v>0.92177030000000004</v>
      </c>
      <c r="Y6671">
        <v>-0.27394800000000002</v>
      </c>
      <c r="Z6671">
        <v>0.1008333</v>
      </c>
      <c r="AA6671">
        <v>0.95644399999999996</v>
      </c>
      <c r="AB6671">
        <v>22</v>
      </c>
      <c r="AC6671">
        <v>42.319099999999899</v>
      </c>
      <c r="AD6671">
        <v>15.228023</v>
      </c>
      <c r="AE6671">
        <v>42.200719999999897</v>
      </c>
      <c r="AF6671">
        <v>-15.0076670201423</v>
      </c>
      <c r="AG6671">
        <v>15.228023</v>
      </c>
      <c r="AH6671">
        <v>54.077182879280301</v>
      </c>
      <c r="AI6671">
        <v>74.818757743662701</v>
      </c>
      <c r="AJ6671">
        <v>105.510563009829</v>
      </c>
      <c r="AK6671">
        <v>58.150360807437103</v>
      </c>
      <c r="AL6671">
        <v>75.412176346773506</v>
      </c>
      <c r="AM6671">
        <v>107.73501264293</v>
      </c>
      <c r="AN6671">
        <v>1.0000000096414099</v>
      </c>
    </row>
    <row r="6672" spans="1:40" x14ac:dyDescent="0.25">
      <c r="A6672" t="str">
        <f>"20190304155803486"</f>
        <v>20190304155803486</v>
      </c>
      <c r="B6672" t="str">
        <f>"1551686283481041"</f>
        <v>1551686283481041</v>
      </c>
      <c r="C6672" t="s">
        <v>40</v>
      </c>
      <c r="D6672">
        <v>4.3426150000000003</v>
      </c>
      <c r="E6672">
        <v>0.50855459999999997</v>
      </c>
      <c r="F6672" t="s">
        <v>98</v>
      </c>
      <c r="G6672">
        <v>-162.48779999999999</v>
      </c>
      <c r="H6672">
        <v>12.951140000000001</v>
      </c>
      <c r="I6672">
        <v>-21.233239999999999</v>
      </c>
      <c r="J6672">
        <v>-199.5616</v>
      </c>
      <c r="K6672">
        <v>1.1167320000000001</v>
      </c>
      <c r="L6672">
        <v>-59.130800000000001</v>
      </c>
      <c r="M6672">
        <v>0.86809720000000001</v>
      </c>
      <c r="N6672">
        <v>-1.4532150000000001E-2</v>
      </c>
      <c r="O6672">
        <v>0.4961816</v>
      </c>
      <c r="P6672">
        <v>0.65866709999999995</v>
      </c>
      <c r="Q6672">
        <v>0.24302070000000001</v>
      </c>
      <c r="R6672">
        <v>0.71210859999999998</v>
      </c>
      <c r="S6672">
        <v>2.050049</v>
      </c>
      <c r="T6672">
        <v>0.65250489999999906</v>
      </c>
      <c r="U6672">
        <v>2.0932919999999999</v>
      </c>
      <c r="V6672">
        <v>-0.29515059999999999</v>
      </c>
      <c r="W6672">
        <v>0.25210460000000001</v>
      </c>
      <c r="X6672">
        <v>0.92159069999999998</v>
      </c>
      <c r="Y6672">
        <v>-0.27861599999999997</v>
      </c>
      <c r="Z6672">
        <v>9.0645690000000001E-2</v>
      </c>
      <c r="AA6672">
        <v>0.9561153</v>
      </c>
      <c r="AB6672">
        <v>22</v>
      </c>
      <c r="AC6672">
        <v>37.073799999999999</v>
      </c>
      <c r="AD6672">
        <v>11.8344079999999</v>
      </c>
      <c r="AE6672">
        <v>37.897559999999999</v>
      </c>
      <c r="AF6672">
        <v>-13.8165004475327</v>
      </c>
      <c r="AG6672">
        <v>11.8344079999999</v>
      </c>
      <c r="AH6672">
        <v>48.572794865202901</v>
      </c>
      <c r="AI6672">
        <v>76.810939649013903</v>
      </c>
      <c r="AJ6672">
        <v>105.878368472708</v>
      </c>
      <c r="AK6672">
        <v>51.867767431654698</v>
      </c>
      <c r="AL6672">
        <v>75.397913590444205</v>
      </c>
      <c r="AM6672">
        <v>107.75829441556201</v>
      </c>
      <c r="AN6672">
        <v>1.000000012174</v>
      </c>
    </row>
    <row r="6673" spans="1:40" x14ac:dyDescent="0.25">
      <c r="A6673" t="str">
        <f>"20190304155803499"</f>
        <v>20190304155803499</v>
      </c>
      <c r="B6673" t="str">
        <f>"1551686283490801"</f>
        <v>1551686283490801</v>
      </c>
      <c r="C6673" t="s">
        <v>40</v>
      </c>
      <c r="D6673">
        <v>4.7375499999999997</v>
      </c>
      <c r="E6673">
        <v>0.50855459999999997</v>
      </c>
      <c r="F6673" t="s">
        <v>98</v>
      </c>
      <c r="G6673">
        <v>-162.79679999999999</v>
      </c>
      <c r="H6673">
        <v>12.77581</v>
      </c>
      <c r="I6673">
        <v>-21.233239999999999</v>
      </c>
      <c r="J6673">
        <v>-199.4674</v>
      </c>
      <c r="K6673">
        <v>1.1167260000000001</v>
      </c>
      <c r="L6673">
        <v>-59.070129999999999</v>
      </c>
      <c r="M6673">
        <v>0.86547369999999901</v>
      </c>
      <c r="N6673">
        <v>-1.453401E-2</v>
      </c>
      <c r="O6673">
        <v>0.50074339999999995</v>
      </c>
      <c r="P6673">
        <v>0.65466619999999998</v>
      </c>
      <c r="Q6673">
        <v>0.24300040000000001</v>
      </c>
      <c r="R6673">
        <v>0.71579539999999997</v>
      </c>
      <c r="S6673">
        <v>2.0411220000000001</v>
      </c>
      <c r="T6673">
        <v>0.64729049999999999</v>
      </c>
      <c r="U6673">
        <v>2.1040040000000002</v>
      </c>
      <c r="V6673">
        <v>-0.29547099999999998</v>
      </c>
      <c r="W6673">
        <v>0.25208160000000002</v>
      </c>
      <c r="X6673">
        <v>0.92149429999999999</v>
      </c>
      <c r="Y6673">
        <v>-0.2781072</v>
      </c>
      <c r="Z6673">
        <v>9.1150839999999997E-2</v>
      </c>
      <c r="AA6673">
        <v>0.95621540000000005</v>
      </c>
      <c r="AB6673">
        <v>22</v>
      </c>
      <c r="AC6673">
        <v>36.6706</v>
      </c>
      <c r="AD6673">
        <v>11.659084</v>
      </c>
      <c r="AE6673">
        <v>37.836889999999997</v>
      </c>
      <c r="AF6673">
        <v>-13.71432187071</v>
      </c>
      <c r="AG6673">
        <v>11.659084</v>
      </c>
      <c r="AH6673">
        <v>48.323394658922702</v>
      </c>
      <c r="AI6673">
        <v>76.932703972198397</v>
      </c>
      <c r="AJ6673">
        <v>105.84409831411701</v>
      </c>
      <c r="AK6673">
        <v>51.567114864557702</v>
      </c>
      <c r="AL6673">
        <v>75.399275117349703</v>
      </c>
      <c r="AM6673">
        <v>107.778101550573</v>
      </c>
      <c r="AN6673">
        <v>0.99999999491602498</v>
      </c>
    </row>
    <row r="6674" spans="1:40" x14ac:dyDescent="0.25">
      <c r="A6674" t="str">
        <f>"20190304155803511"</f>
        <v>20190304155803511</v>
      </c>
      <c r="B6674" t="str">
        <f>"1551686283501537"</f>
        <v>1551686283501537</v>
      </c>
      <c r="C6674" t="s">
        <v>40</v>
      </c>
      <c r="D6674">
        <v>4.8261229999999999</v>
      </c>
      <c r="E6674">
        <v>0.49943860000000001</v>
      </c>
      <c r="F6674" t="s">
        <v>98</v>
      </c>
      <c r="G6674">
        <v>-163.172</v>
      </c>
      <c r="H6674">
        <v>12.69314</v>
      </c>
      <c r="I6674">
        <v>-21.233239999999999</v>
      </c>
      <c r="J6674">
        <v>-199.3733</v>
      </c>
      <c r="K6674">
        <v>1.116725</v>
      </c>
      <c r="L6674">
        <v>-59.009250000000002</v>
      </c>
      <c r="M6674">
        <v>0.86282800000000004</v>
      </c>
      <c r="N6674">
        <v>-1.453576E-2</v>
      </c>
      <c r="O6674">
        <v>0.50528879999999998</v>
      </c>
      <c r="P6674">
        <v>0.65061749999999996</v>
      </c>
      <c r="Q6674">
        <v>0.24277960000000001</v>
      </c>
      <c r="R6674">
        <v>0.71955190000000002</v>
      </c>
      <c r="S6674">
        <v>2.0292659999999998</v>
      </c>
      <c r="T6674">
        <v>0.64723319999999995</v>
      </c>
      <c r="U6674">
        <v>2.1154480000000002</v>
      </c>
      <c r="V6674">
        <v>-0.29588340000000002</v>
      </c>
      <c r="W6674">
        <v>0.25185679999999999</v>
      </c>
      <c r="X6674">
        <v>0.9214234</v>
      </c>
      <c r="Y6674">
        <v>-0.27851320000000002</v>
      </c>
      <c r="Z6674">
        <v>9.2230790000000007E-2</v>
      </c>
      <c r="AA6674">
        <v>0.95599369999999995</v>
      </c>
      <c r="AB6674">
        <v>22</v>
      </c>
      <c r="AC6674">
        <v>36.201300000000003</v>
      </c>
      <c r="AD6674">
        <v>11.576415000000001</v>
      </c>
      <c r="AE6674">
        <v>37.776009999999999</v>
      </c>
      <c r="AF6674">
        <v>-13.636063367234801</v>
      </c>
      <c r="AG6674">
        <v>11.576415000000001</v>
      </c>
      <c r="AH6674">
        <v>47.979818415405703</v>
      </c>
      <c r="AI6674">
        <v>76.933787706169795</v>
      </c>
      <c r="AJ6674">
        <v>105.865369613273</v>
      </c>
      <c r="AK6674">
        <v>51.205649918566401</v>
      </c>
      <c r="AL6674">
        <v>75.412584087763506</v>
      </c>
      <c r="AM6674">
        <v>107.802633091793</v>
      </c>
      <c r="AN6674">
        <v>0.99999995808467901</v>
      </c>
    </row>
    <row r="6675" spans="1:40" x14ac:dyDescent="0.25">
      <c r="A6675" t="str">
        <f>"20190304155803521"</f>
        <v>20190304155803521</v>
      </c>
      <c r="B6675" t="str">
        <f>"1551686283511297"</f>
        <v>1551686283511297</v>
      </c>
      <c r="C6675" t="s">
        <v>40</v>
      </c>
      <c r="D6675">
        <v>4.3191629999999996</v>
      </c>
      <c r="E6675">
        <v>0.49943860000000001</v>
      </c>
      <c r="F6675" t="s">
        <v>98</v>
      </c>
      <c r="G6675">
        <v>-157.3501</v>
      </c>
      <c r="H6675">
        <v>0.65642929999999999</v>
      </c>
      <c r="I6675">
        <v>-12.81122</v>
      </c>
      <c r="J6675">
        <v>-199.28559999999999</v>
      </c>
      <c r="K6675">
        <v>1.1167180000000001</v>
      </c>
      <c r="L6675">
        <v>-58.951349999999998</v>
      </c>
      <c r="M6675">
        <v>0.86031740000000001</v>
      </c>
      <c r="N6675">
        <v>-1.453685E-2</v>
      </c>
      <c r="O6675">
        <v>0.50955139999999999</v>
      </c>
      <c r="P6675">
        <v>0.64696219999999904</v>
      </c>
      <c r="Q6675">
        <v>0.24252570000000001</v>
      </c>
      <c r="R6675">
        <v>0.7229255</v>
      </c>
      <c r="S6675">
        <v>2.0847929999999999</v>
      </c>
      <c r="T6675">
        <v>-2.283549E-2</v>
      </c>
      <c r="U6675">
        <v>2.2919010000000002</v>
      </c>
      <c r="V6675">
        <v>-0.29606259999999901</v>
      </c>
      <c r="W6675">
        <v>0.25160399999999999</v>
      </c>
      <c r="X6675">
        <v>0.92143489999999995</v>
      </c>
      <c r="Y6675">
        <v>-0.29354170000000002</v>
      </c>
      <c r="Z6675">
        <v>6.4813199999999996E-3</v>
      </c>
      <c r="AA6675">
        <v>0.95592429999999995</v>
      </c>
      <c r="AB6675">
        <v>22</v>
      </c>
      <c r="AC6675">
        <v>41.935499999999898</v>
      </c>
      <c r="AD6675">
        <v>-0.4602887</v>
      </c>
      <c r="AE6675">
        <v>46.140129999999999</v>
      </c>
      <c r="AF6675">
        <v>-18.327802016414999</v>
      </c>
      <c r="AG6675">
        <v>-0.4602887</v>
      </c>
      <c r="AH6675">
        <v>59.5916582516071</v>
      </c>
      <c r="AI6675">
        <v>90.422993455136705</v>
      </c>
      <c r="AJ6675">
        <v>107.09562061347501</v>
      </c>
      <c r="AK6675">
        <v>62.348102822913503</v>
      </c>
      <c r="AL6675">
        <v>75.4275503767781</v>
      </c>
      <c r="AM6675">
        <v>107.81252563338199</v>
      </c>
      <c r="AN6675">
        <v>0.99999995543638398</v>
      </c>
    </row>
    <row r="6676" spans="1:40" x14ac:dyDescent="0.25">
      <c r="A6676" t="str">
        <f>"20190304155803533"</f>
        <v>20190304155803533</v>
      </c>
      <c r="B6676" t="str">
        <f>"1551686283530817"</f>
        <v>1551686283530817</v>
      </c>
      <c r="C6676" t="s">
        <v>40</v>
      </c>
      <c r="D6676">
        <v>4.5545109999999998</v>
      </c>
      <c r="E6676">
        <v>0.50182510000000002</v>
      </c>
      <c r="F6676" t="s">
        <v>98</v>
      </c>
      <c r="G6676">
        <v>-157.3501</v>
      </c>
      <c r="H6676">
        <v>0.63826039999999995</v>
      </c>
      <c r="I6676">
        <v>-12.37039</v>
      </c>
      <c r="J6676">
        <v>-199.1891</v>
      </c>
      <c r="K6676">
        <v>1.1167100000000001</v>
      </c>
      <c r="L6676">
        <v>-58.887300000000003</v>
      </c>
      <c r="M6676">
        <v>0.85752709999999999</v>
      </c>
      <c r="N6676">
        <v>-1.4537909999999999E-2</v>
      </c>
      <c r="O6676">
        <v>0.51423339999999995</v>
      </c>
      <c r="P6676">
        <v>0.64283509999999999</v>
      </c>
      <c r="Q6676">
        <v>0.24252940000000001</v>
      </c>
      <c r="R6676">
        <v>0.72659649999999998</v>
      </c>
      <c r="S6676">
        <v>2.0729519999999999</v>
      </c>
      <c r="T6676">
        <v>-2.3651120000000001E-2</v>
      </c>
      <c r="U6676">
        <v>2.3025820000000001</v>
      </c>
      <c r="V6676">
        <v>-0.29628320000000002</v>
      </c>
      <c r="W6676">
        <v>0.25160860000000002</v>
      </c>
      <c r="X6676">
        <v>0.92136280000000004</v>
      </c>
      <c r="Y6676">
        <v>-0.29324939999999999</v>
      </c>
      <c r="Z6676">
        <v>6.401899E-3</v>
      </c>
      <c r="AA6676">
        <v>0.95601460000000005</v>
      </c>
      <c r="AB6676">
        <v>22</v>
      </c>
      <c r="AC6676">
        <v>41.838999999999999</v>
      </c>
      <c r="AD6676">
        <v>-0.47844959999999997</v>
      </c>
      <c r="AE6676">
        <v>46.516909999999903</v>
      </c>
      <c r="AF6676">
        <v>-18.375366517211098</v>
      </c>
      <c r="AG6676">
        <v>-0.47844959999999997</v>
      </c>
      <c r="AH6676">
        <v>59.801446089748197</v>
      </c>
      <c r="AI6676">
        <v>90.438174729260993</v>
      </c>
      <c r="AJ6676">
        <v>107.080776796813</v>
      </c>
      <c r="AK6676">
        <v>62.562736218028803</v>
      </c>
      <c r="AL6676">
        <v>75.427278953309099</v>
      </c>
      <c r="AM6676">
        <v>107.826264878442</v>
      </c>
      <c r="AN6676">
        <v>1.00000001571001</v>
      </c>
    </row>
    <row r="6677" spans="1:40" x14ac:dyDescent="0.25">
      <c r="A6677" t="str">
        <f>"20190304155803550"</f>
        <v>20190304155803550</v>
      </c>
      <c r="B6677" t="str">
        <f>"1551686283541553"</f>
        <v>1551686283541553</v>
      </c>
      <c r="C6677" t="s">
        <v>40</v>
      </c>
      <c r="D6677">
        <v>4.7004780000000004</v>
      </c>
      <c r="E6677">
        <v>0.49393320000000002</v>
      </c>
      <c r="F6677" t="s">
        <v>98</v>
      </c>
      <c r="G6677">
        <v>-165.42269999999999</v>
      </c>
      <c r="H6677">
        <v>8.4062750000000008</v>
      </c>
      <c r="I6677">
        <v>-21.233239999999999</v>
      </c>
      <c r="J6677">
        <v>-199.05619999999999</v>
      </c>
      <c r="K6677">
        <v>1.116703</v>
      </c>
      <c r="L6677">
        <v>-58.797820000000002</v>
      </c>
      <c r="M6677">
        <v>0.85362119999999997</v>
      </c>
      <c r="N6677">
        <v>-1.4538809999999999E-2</v>
      </c>
      <c r="O6677">
        <v>0.52069129999999997</v>
      </c>
      <c r="P6677">
        <v>0.63705869999999998</v>
      </c>
      <c r="Q6677">
        <v>0.2424055</v>
      </c>
      <c r="R6677">
        <v>0.73170749999999996</v>
      </c>
      <c r="S6677">
        <v>1.992767</v>
      </c>
      <c r="T6677">
        <v>0.43020199999999997</v>
      </c>
      <c r="U6677">
        <v>2.2221980000000001</v>
      </c>
      <c r="V6677">
        <v>-0.2966568</v>
      </c>
      <c r="W6677">
        <v>0.25148530000000002</v>
      </c>
      <c r="X6677">
        <v>0.92127619999999999</v>
      </c>
      <c r="Y6677">
        <v>-0.2906823</v>
      </c>
      <c r="Z6677">
        <v>6.5751970000000007E-2</v>
      </c>
      <c r="AA6677">
        <v>0.95455780000000001</v>
      </c>
      <c r="AB6677">
        <v>22</v>
      </c>
      <c r="AC6677">
        <v>33.633499999999998</v>
      </c>
      <c r="AD6677">
        <v>7.2895719999999997</v>
      </c>
      <c r="AE6677">
        <v>37.5645799999999</v>
      </c>
      <c r="AF6677">
        <v>-14.2568024124405</v>
      </c>
      <c r="AG6677">
        <v>7.2895719999999997</v>
      </c>
      <c r="AH6677">
        <v>47.286566124282501</v>
      </c>
      <c r="AI6677">
        <v>81.604047093311394</v>
      </c>
      <c r="AJ6677">
        <v>106.777951006148</v>
      </c>
      <c r="AK6677">
        <v>49.924078467175498</v>
      </c>
      <c r="AL6677">
        <v>75.434577622711799</v>
      </c>
      <c r="AM6677">
        <v>107.84888895855001</v>
      </c>
      <c r="AN6677">
        <v>0.99999997489438397</v>
      </c>
    </row>
    <row r="6678" spans="1:40" x14ac:dyDescent="0.25">
      <c r="A6678" t="str">
        <f>"20190304155803561"</f>
        <v>20190304155803561</v>
      </c>
      <c r="B6678" t="str">
        <f>"1551686283551313"</f>
        <v>1551686283551313</v>
      </c>
      <c r="C6678" t="s">
        <v>40</v>
      </c>
      <c r="D6678">
        <v>4.8438049999999997</v>
      </c>
      <c r="E6678">
        <v>0.49677139999999997</v>
      </c>
      <c r="F6678" t="s">
        <v>98</v>
      </c>
      <c r="G6678">
        <v>-167.2791</v>
      </c>
      <c r="H6678">
        <v>8.2314640000000008</v>
      </c>
      <c r="I6678">
        <v>-21.233239999999999</v>
      </c>
      <c r="J6678">
        <v>-198.96629999999999</v>
      </c>
      <c r="K6678">
        <v>1.116698</v>
      </c>
      <c r="L6678">
        <v>-58.736080000000001</v>
      </c>
      <c r="M6678">
        <v>0.85093439999999998</v>
      </c>
      <c r="N6678">
        <v>-1.4538870000000001E-2</v>
      </c>
      <c r="O6678">
        <v>0.525070699999999</v>
      </c>
      <c r="P6678">
        <v>0.63310089999999997</v>
      </c>
      <c r="Q6678">
        <v>0.2422077</v>
      </c>
      <c r="R6678">
        <v>0.73519979999999996</v>
      </c>
      <c r="S6678">
        <v>1.927643</v>
      </c>
      <c r="T6678">
        <v>0.43159039999999999</v>
      </c>
      <c r="U6678">
        <v>2.2787169999999999</v>
      </c>
      <c r="V6678">
        <v>-0.2969426</v>
      </c>
      <c r="W6678">
        <v>0.25128919999999999</v>
      </c>
      <c r="X6678">
        <v>0.92123770000000005</v>
      </c>
      <c r="Y6678">
        <v>-0.31317529999999999</v>
      </c>
      <c r="Z6678">
        <v>6.5349279999999996E-2</v>
      </c>
      <c r="AA6678">
        <v>0.94744430000000002</v>
      </c>
      <c r="AB6678">
        <v>22</v>
      </c>
      <c r="AC6678">
        <v>31.687199999999901</v>
      </c>
      <c r="AD6678">
        <v>7.1147660000000004</v>
      </c>
      <c r="AE6678">
        <v>37.502839999999999</v>
      </c>
      <c r="AF6678">
        <v>-14.961861281151901</v>
      </c>
      <c r="AG6678">
        <v>7.1147660000000004</v>
      </c>
      <c r="AH6678">
        <v>45.700618447255202</v>
      </c>
      <c r="AI6678">
        <v>81.583876694034899</v>
      </c>
      <c r="AJ6678">
        <v>108.127856527509</v>
      </c>
      <c r="AK6678">
        <v>48.610942334959802</v>
      </c>
      <c r="AL6678">
        <v>75.446187004976693</v>
      </c>
      <c r="AM6678">
        <v>107.865691198116</v>
      </c>
      <c r="AN6678">
        <v>1.00000003481634</v>
      </c>
    </row>
    <row r="6679" spans="1:40" x14ac:dyDescent="0.25">
      <c r="A6679" t="str">
        <f>"20190304155803573"</f>
        <v>20190304155803573</v>
      </c>
      <c r="B6679" t="str">
        <f>"1551686283570833"</f>
        <v>1551686283570833</v>
      </c>
      <c r="C6679" t="s">
        <v>40</v>
      </c>
      <c r="D6679">
        <v>4.7751380000000001</v>
      </c>
      <c r="E6679">
        <v>0.52074039999999999</v>
      </c>
      <c r="F6679" t="s">
        <v>98</v>
      </c>
      <c r="G6679">
        <v>-167.06819999999999</v>
      </c>
      <c r="H6679">
        <v>7.0551729999999999</v>
      </c>
      <c r="I6679">
        <v>-21.233239999999999</v>
      </c>
      <c r="J6679">
        <v>-198.87090000000001</v>
      </c>
      <c r="K6679">
        <v>1.116689</v>
      </c>
      <c r="L6679">
        <v>-58.670200000000001</v>
      </c>
      <c r="M6679">
        <v>0.84805169999999996</v>
      </c>
      <c r="N6679">
        <v>-1.4538870000000001E-2</v>
      </c>
      <c r="O6679">
        <v>0.52971409999999997</v>
      </c>
      <c r="P6679">
        <v>0.62897000000000003</v>
      </c>
      <c r="Q6679">
        <v>0.24255599999999999</v>
      </c>
      <c r="R6679">
        <v>0.73862269999999997</v>
      </c>
      <c r="S6679">
        <v>1.944809</v>
      </c>
      <c r="T6679">
        <v>0.36206539999999998</v>
      </c>
      <c r="U6679">
        <v>2.28653</v>
      </c>
      <c r="V6679">
        <v>-0.29697380000000001</v>
      </c>
      <c r="W6679">
        <v>0.25164229999999999</v>
      </c>
      <c r="X6679">
        <v>0.92113129999999999</v>
      </c>
      <c r="Y6679">
        <v>-0.3048575</v>
      </c>
      <c r="Z6679">
        <v>5.7281400000000003E-2</v>
      </c>
      <c r="AA6679">
        <v>0.95067389999999996</v>
      </c>
      <c r="AB6679">
        <v>22</v>
      </c>
      <c r="AC6679">
        <v>31.802700000000002</v>
      </c>
      <c r="AD6679">
        <v>5.9384839999999999</v>
      </c>
      <c r="AE6679">
        <v>37.436959999999999</v>
      </c>
      <c r="AF6679">
        <v>-14.6890302539153</v>
      </c>
      <c r="AG6679">
        <v>5.9384839999999999</v>
      </c>
      <c r="AH6679">
        <v>46.131936428989398</v>
      </c>
      <c r="AI6679">
        <v>83.0070158664644</v>
      </c>
      <c r="AJ6679">
        <v>107.662176231057</v>
      </c>
      <c r="AK6679">
        <v>48.776928569837303</v>
      </c>
      <c r="AL6679">
        <v>75.425284828401601</v>
      </c>
      <c r="AM6679">
        <v>107.869381635896</v>
      </c>
      <c r="AN6679">
        <v>1.0000000784376999</v>
      </c>
    </row>
    <row r="6680" spans="1:40" x14ac:dyDescent="0.25">
      <c r="A6680" t="str">
        <f>"20190304155803584"</f>
        <v>20190304155803584</v>
      </c>
      <c r="B6680" t="str">
        <f>"1551686283581569"</f>
        <v>1551686283581569</v>
      </c>
      <c r="C6680" t="s">
        <v>40</v>
      </c>
      <c r="D6680">
        <v>4.672104</v>
      </c>
      <c r="E6680">
        <v>0.52074039999999999</v>
      </c>
      <c r="F6680" t="s">
        <v>98</v>
      </c>
      <c r="G6680">
        <v>-157.3501</v>
      </c>
      <c r="H6680">
        <v>24.424700000000001</v>
      </c>
      <c r="I6680">
        <v>-15.095129999999999</v>
      </c>
      <c r="J6680">
        <v>-198.78469999999999</v>
      </c>
      <c r="K6680">
        <v>1.116684</v>
      </c>
      <c r="L6680">
        <v>-58.609830000000002</v>
      </c>
      <c r="M6680">
        <v>0.84541230000000001</v>
      </c>
      <c r="N6680">
        <v>-1.453862E-2</v>
      </c>
      <c r="O6680">
        <v>0.53391650000000002</v>
      </c>
      <c r="P6680">
        <v>0.62527500000000003</v>
      </c>
      <c r="Q6680">
        <v>0.24253659999999999</v>
      </c>
      <c r="R6680">
        <v>0.74175950000000002</v>
      </c>
      <c r="S6680">
        <v>1.947678</v>
      </c>
      <c r="T6680">
        <v>1.0933409999999999</v>
      </c>
      <c r="U6680">
        <v>2.0440369999999999</v>
      </c>
      <c r="V6680">
        <v>-0.29699989999999998</v>
      </c>
      <c r="W6680">
        <v>0.25162839999999997</v>
      </c>
      <c r="X6680">
        <v>0.92112660000000002</v>
      </c>
      <c r="Y6680">
        <v>-0.26085829999999999</v>
      </c>
      <c r="Z6680">
        <v>0.16496169999999999</v>
      </c>
      <c r="AA6680">
        <v>0.95117850000000004</v>
      </c>
      <c r="AB6680">
        <v>22</v>
      </c>
      <c r="AC6680">
        <v>41.434599999999897</v>
      </c>
      <c r="AD6680">
        <v>23.308015999999999</v>
      </c>
      <c r="AE6680">
        <v>43.514699999999998</v>
      </c>
      <c r="AF6680">
        <v>-12.748483190239099</v>
      </c>
      <c r="AG6680">
        <v>23.308015999999999</v>
      </c>
      <c r="AH6680">
        <v>50.647563029197997</v>
      </c>
      <c r="AI6680">
        <v>65.949767320046703</v>
      </c>
      <c r="AJ6680">
        <v>104.128402951623</v>
      </c>
      <c r="AK6680">
        <v>57.192334051904602</v>
      </c>
      <c r="AL6680">
        <v>75.426106591151196</v>
      </c>
      <c r="AM6680">
        <v>107.870937610794</v>
      </c>
      <c r="AN6680">
        <v>1.0000000027570599</v>
      </c>
    </row>
    <row r="6681" spans="1:40" x14ac:dyDescent="0.25">
      <c r="A6681" t="str">
        <f>"20190304155803595"</f>
        <v>20190304155803595</v>
      </c>
      <c r="B6681" t="str">
        <f>"1551686283591330"</f>
        <v>1551686283591330</v>
      </c>
      <c r="C6681" t="s">
        <v>40</v>
      </c>
      <c r="D6681">
        <v>4.7210869999999998</v>
      </c>
      <c r="E6681">
        <v>0.51084799999999997</v>
      </c>
      <c r="F6681" t="s">
        <v>98</v>
      </c>
      <c r="G6681">
        <v>-157.3501</v>
      </c>
      <c r="H6681">
        <v>24.501830000000002</v>
      </c>
      <c r="I6681">
        <v>-14.68084</v>
      </c>
      <c r="J6681">
        <v>-198.69820000000001</v>
      </c>
      <c r="K6681">
        <v>1.1166750000000001</v>
      </c>
      <c r="L6681">
        <v>-58.548769999999998</v>
      </c>
      <c r="M6681">
        <v>0.84273580000000003</v>
      </c>
      <c r="N6681">
        <v>-1.4538189999999999E-2</v>
      </c>
      <c r="O6681">
        <v>0.53813120000000003</v>
      </c>
      <c r="P6681">
        <v>0.62146029999999997</v>
      </c>
      <c r="Q6681">
        <v>0.2427108</v>
      </c>
      <c r="R6681">
        <v>0.7449017</v>
      </c>
      <c r="S6681">
        <v>1.937271</v>
      </c>
      <c r="T6681">
        <v>1.093369</v>
      </c>
      <c r="U6681">
        <v>2.0538940000000001</v>
      </c>
      <c r="V6681">
        <v>-0.29707749999999999</v>
      </c>
      <c r="W6681">
        <v>0.25180609999999998</v>
      </c>
      <c r="X6681">
        <v>0.92105309999999996</v>
      </c>
      <c r="Y6681">
        <v>-0.26108569999999998</v>
      </c>
      <c r="Z6681">
        <v>0.1666435</v>
      </c>
      <c r="AA6681">
        <v>0.95082290000000003</v>
      </c>
      <c r="AB6681">
        <v>22</v>
      </c>
      <c r="AC6681">
        <v>41.348100000000002</v>
      </c>
      <c r="AD6681">
        <v>23.385155000000001</v>
      </c>
      <c r="AE6681">
        <v>43.867930000000001</v>
      </c>
      <c r="AF6681">
        <v>-12.794559183963299</v>
      </c>
      <c r="AG6681">
        <v>23.385155000000001</v>
      </c>
      <c r="AH6681">
        <v>50.812035688225002</v>
      </c>
      <c r="AI6681">
        <v>65.948910978838697</v>
      </c>
      <c r="AJ6681">
        <v>104.13336201995099</v>
      </c>
      <c r="AK6681">
        <v>57.379693183803397</v>
      </c>
      <c r="AL6681">
        <v>75.415587585680797</v>
      </c>
      <c r="AM6681">
        <v>107.876645476867</v>
      </c>
      <c r="AN6681">
        <v>1.0000000830115301</v>
      </c>
    </row>
    <row r="6682" spans="1:40" x14ac:dyDescent="0.25">
      <c r="A6682" t="str">
        <f>"20190304155803605"</f>
        <v>20190304155803605</v>
      </c>
      <c r="B6682" t="str">
        <f>"1551686283601089"</f>
        <v>1551686283601089</v>
      </c>
      <c r="C6682" t="s">
        <v>40</v>
      </c>
      <c r="D6682">
        <v>4.6354490000000004</v>
      </c>
      <c r="E6682">
        <v>0.51057649999999999</v>
      </c>
      <c r="F6682" t="s">
        <v>98</v>
      </c>
      <c r="G6682">
        <v>-157.3501</v>
      </c>
      <c r="H6682">
        <v>1.3400080000000001</v>
      </c>
      <c r="I6682">
        <v>-12.209099999999999</v>
      </c>
      <c r="J6682">
        <v>-198.61080000000001</v>
      </c>
      <c r="K6682">
        <v>1.116668</v>
      </c>
      <c r="L6682">
        <v>-58.486330000000002</v>
      </c>
      <c r="M6682">
        <v>0.83999679999999999</v>
      </c>
      <c r="N6682">
        <v>-1.4537599999999999E-2</v>
      </c>
      <c r="O6682">
        <v>0.54239649999999995</v>
      </c>
      <c r="P6682">
        <v>0.61749830000000006</v>
      </c>
      <c r="Q6682">
        <v>0.24261099999999999</v>
      </c>
      <c r="R6682">
        <v>0.74822180000000005</v>
      </c>
      <c r="S6682">
        <v>2.058182</v>
      </c>
      <c r="T6682">
        <v>1.111674E-2</v>
      </c>
      <c r="U6682">
        <v>2.3066409999999999</v>
      </c>
      <c r="V6682">
        <v>-0.29731760000000002</v>
      </c>
      <c r="W6682">
        <v>0.25170819999999999</v>
      </c>
      <c r="X6682">
        <v>0.92100230000000005</v>
      </c>
      <c r="Y6682">
        <v>-0.26572839999999998</v>
      </c>
      <c r="Z6682">
        <v>1.107985E-2</v>
      </c>
      <c r="AA6682">
        <v>0.96398430000000002</v>
      </c>
      <c r="AB6682">
        <v>22</v>
      </c>
      <c r="AC6682">
        <v>41.2607</v>
      </c>
      <c r="AD6682">
        <v>0.22334000000000001</v>
      </c>
      <c r="AE6682">
        <v>46.277229999999903</v>
      </c>
      <c r="AF6682">
        <v>-16.494595507541501</v>
      </c>
      <c r="AG6682">
        <v>0.22334000000000001</v>
      </c>
      <c r="AH6682">
        <v>59.765005985409502</v>
      </c>
      <c r="AI6682">
        <v>89.793604765822593</v>
      </c>
      <c r="AJ6682">
        <v>105.429018528233</v>
      </c>
      <c r="AK6682">
        <v>61.9998185654526</v>
      </c>
      <c r="AL6682">
        <v>75.421382362885296</v>
      </c>
      <c r="AM6682">
        <v>107.891096770712</v>
      </c>
      <c r="AN6682">
        <v>1.0000000049111399</v>
      </c>
    </row>
    <row r="6683" spans="1:40" x14ac:dyDescent="0.25">
      <c r="A6683" t="str">
        <f>"20190304155803621"</f>
        <v>20190304155803621</v>
      </c>
      <c r="B6683" t="str">
        <f>"1551686283610849"</f>
        <v>1551686283610849</v>
      </c>
      <c r="C6683" t="s">
        <v>40</v>
      </c>
      <c r="D6683">
        <v>4.4049800000000001</v>
      </c>
      <c r="E6683">
        <v>0.50728019999999996</v>
      </c>
      <c r="F6683" t="s">
        <v>98</v>
      </c>
      <c r="G6683">
        <v>-157.3501</v>
      </c>
      <c r="H6683">
        <v>2.0364689999999999</v>
      </c>
      <c r="I6683">
        <v>-11.675140000000001</v>
      </c>
      <c r="J6683">
        <v>-198.5017</v>
      </c>
      <c r="K6683">
        <v>1.1166590000000001</v>
      </c>
      <c r="L6683">
        <v>-58.407319999999999</v>
      </c>
      <c r="M6683">
        <v>0.83652939999999998</v>
      </c>
      <c r="N6683">
        <v>-1.4536769999999999E-2</v>
      </c>
      <c r="O6683">
        <v>0.54772929999999997</v>
      </c>
      <c r="P6683">
        <v>0.6124058</v>
      </c>
      <c r="Q6683">
        <v>0.24238609999999999</v>
      </c>
      <c r="R6683">
        <v>0.75246800000000003</v>
      </c>
      <c r="S6683">
        <v>2.0383610000000001</v>
      </c>
      <c r="T6683">
        <v>4.5439840000000002E-2</v>
      </c>
      <c r="U6683">
        <v>2.3125610000000001</v>
      </c>
      <c r="V6683">
        <v>-0.29776160000000002</v>
      </c>
      <c r="W6683">
        <v>0.25148209999999999</v>
      </c>
      <c r="X6683">
        <v>0.92092059999999998</v>
      </c>
      <c r="Y6683">
        <v>-0.265555599999999</v>
      </c>
      <c r="Z6683">
        <v>1.6012229999999999E-2</v>
      </c>
      <c r="AA6683">
        <v>0.9639626</v>
      </c>
      <c r="AB6683">
        <v>22</v>
      </c>
      <c r="AC6683">
        <v>41.151600000000002</v>
      </c>
      <c r="AD6683">
        <v>0.91980999999999902</v>
      </c>
      <c r="AE6683">
        <v>46.73218</v>
      </c>
      <c r="AF6683">
        <v>-16.551042015692499</v>
      </c>
      <c r="AG6683">
        <v>0.91980999999999902</v>
      </c>
      <c r="AH6683">
        <v>60.014350709698398</v>
      </c>
      <c r="AI6683">
        <v>89.153520655403597</v>
      </c>
      <c r="AJ6683">
        <v>105.41804385883501</v>
      </c>
      <c r="AK6683">
        <v>62.261587944317597</v>
      </c>
      <c r="AL6683">
        <v>75.434767197071494</v>
      </c>
      <c r="AM6683">
        <v>107.917595591723</v>
      </c>
      <c r="AN6683">
        <v>0.99999998427966497</v>
      </c>
    </row>
    <row r="6684" spans="1:40" x14ac:dyDescent="0.25">
      <c r="A6684" t="str">
        <f>"20190304155803633"</f>
        <v>20190304155803633</v>
      </c>
      <c r="B6684" t="str">
        <f>"1551686283631346"</f>
        <v>1551686283631346</v>
      </c>
      <c r="C6684" t="s">
        <v>40</v>
      </c>
      <c r="D6684">
        <v>3.4202900000000001</v>
      </c>
      <c r="E6684">
        <v>0.50728019999999996</v>
      </c>
      <c r="F6684" t="s">
        <v>98</v>
      </c>
      <c r="G6684">
        <v>-165.96690000000001</v>
      </c>
      <c r="H6684">
        <v>2.601534</v>
      </c>
      <c r="I6684">
        <v>-20.31495</v>
      </c>
      <c r="J6684">
        <v>-198.405</v>
      </c>
      <c r="K6684">
        <v>1.1166510000000001</v>
      </c>
      <c r="L6684">
        <v>-58.336579999999998</v>
      </c>
      <c r="M6684">
        <v>0.83341520000000002</v>
      </c>
      <c r="N6684">
        <v>-1.453608E-2</v>
      </c>
      <c r="O6684">
        <v>0.55245619999999995</v>
      </c>
      <c r="P6684">
        <v>0.6079156</v>
      </c>
      <c r="Q6684">
        <v>0.24234929999999999</v>
      </c>
      <c r="R6684">
        <v>0.75611200000000001</v>
      </c>
      <c r="S6684">
        <v>1.9940640000000001</v>
      </c>
      <c r="T6684">
        <v>9.1008069999999996E-2</v>
      </c>
      <c r="U6684">
        <v>2.334686</v>
      </c>
      <c r="V6684">
        <v>-0.29803600000000002</v>
      </c>
      <c r="W6684">
        <v>0.25144480000000002</v>
      </c>
      <c r="X6684">
        <v>0.9208421</v>
      </c>
      <c r="Y6684">
        <v>-0.27528609999999998</v>
      </c>
      <c r="Z6684">
        <v>2.2632550000000001E-2</v>
      </c>
      <c r="AA6684">
        <v>0.9610959</v>
      </c>
      <c r="AB6684">
        <v>22</v>
      </c>
      <c r="AC6684">
        <v>32.438099999999899</v>
      </c>
      <c r="AD6684">
        <v>1.484883</v>
      </c>
      <c r="AE6684">
        <v>38.021630000000002</v>
      </c>
      <c r="AF6684">
        <v>-13.7564864380056</v>
      </c>
      <c r="AG6684">
        <v>1.484883</v>
      </c>
      <c r="AH6684">
        <v>48.002394077606098</v>
      </c>
      <c r="AI6684">
        <v>88.2967250189743</v>
      </c>
      <c r="AJ6684">
        <v>105.991199909396</v>
      </c>
      <c r="AK6684">
        <v>49.9567376219115</v>
      </c>
      <c r="AL6684">
        <v>75.436976393827806</v>
      </c>
      <c r="AM6684">
        <v>107.934481264083</v>
      </c>
      <c r="AN6684">
        <v>1.00000005893772</v>
      </c>
    </row>
    <row r="6685" spans="1:40" x14ac:dyDescent="0.25">
      <c r="A6685" t="str">
        <f>"20190304155803645"</f>
        <v>20190304155803645</v>
      </c>
      <c r="B6685" t="str">
        <f>"1551686283641105"</f>
        <v>1551686283641105</v>
      </c>
      <c r="C6685" t="s">
        <v>40</v>
      </c>
      <c r="D6685">
        <v>5.0246829999999996</v>
      </c>
      <c r="E6685">
        <v>0.50728019999999996</v>
      </c>
      <c r="F6685" t="s">
        <v>98</v>
      </c>
      <c r="G6685">
        <v>-166.32509999999999</v>
      </c>
      <c r="H6685">
        <v>2.5893000000000002</v>
      </c>
      <c r="I6685">
        <v>-20.31495</v>
      </c>
      <c r="J6685">
        <v>-198.3066</v>
      </c>
      <c r="K6685">
        <v>1.116644</v>
      </c>
      <c r="L6685">
        <v>-58.263640000000002</v>
      </c>
      <c r="M6685">
        <v>0.83020059999999996</v>
      </c>
      <c r="N6685">
        <v>-1.453546E-2</v>
      </c>
      <c r="O6685">
        <v>0.55727519999999997</v>
      </c>
      <c r="P6685">
        <v>0.60299040000000004</v>
      </c>
      <c r="Q6685">
        <v>0.2426644</v>
      </c>
      <c r="R6685">
        <v>0.75994499999999998</v>
      </c>
      <c r="S6685">
        <v>1.979935</v>
      </c>
      <c r="T6685">
        <v>9.089005E-2</v>
      </c>
      <c r="U6685">
        <v>2.3466490000000002</v>
      </c>
      <c r="V6685">
        <v>-0.29860320000000001</v>
      </c>
      <c r="W6685">
        <v>0.25175209999999998</v>
      </c>
      <c r="X6685">
        <v>0.92057429999999996</v>
      </c>
      <c r="Y6685">
        <v>-0.27551389999999998</v>
      </c>
      <c r="Z6685">
        <v>2.283342E-2</v>
      </c>
      <c r="AA6685">
        <v>0.96102589999999999</v>
      </c>
      <c r="AB6685">
        <v>22</v>
      </c>
      <c r="AC6685">
        <v>31.9815</v>
      </c>
      <c r="AD6685">
        <v>1.472656</v>
      </c>
      <c r="AE6685">
        <v>37.948689999999999</v>
      </c>
      <c r="AF6685">
        <v>-13.671935512427099</v>
      </c>
      <c r="AG6685">
        <v>1.472656</v>
      </c>
      <c r="AH6685">
        <v>47.661996235673797</v>
      </c>
      <c r="AI6685">
        <v>88.298807565066696</v>
      </c>
      <c r="AJ6685">
        <v>106.00564047221999</v>
      </c>
      <c r="AK6685">
        <v>49.606011949356301</v>
      </c>
      <c r="AL6685">
        <v>75.418783555158697</v>
      </c>
      <c r="AM6685">
        <v>107.971311362713</v>
      </c>
      <c r="AN6685">
        <v>1.00000001636256</v>
      </c>
    </row>
    <row r="6686" spans="1:40" x14ac:dyDescent="0.25">
      <c r="A6686" t="str">
        <f>"20190304155803663"</f>
        <v>20190304155803663</v>
      </c>
      <c r="B6686" t="str">
        <f>"1551686283661601"</f>
        <v>1551686283661601</v>
      </c>
      <c r="C6686" t="s">
        <v>40</v>
      </c>
      <c r="D6686">
        <v>4.7315199999999997</v>
      </c>
      <c r="E6686">
        <v>0.4969808</v>
      </c>
      <c r="F6686" t="s">
        <v>98</v>
      </c>
      <c r="G6686">
        <v>-166.70609999999999</v>
      </c>
      <c r="H6686">
        <v>2.594163</v>
      </c>
      <c r="I6686">
        <v>-20.31495</v>
      </c>
      <c r="J6686">
        <v>-198.17439999999999</v>
      </c>
      <c r="K6686">
        <v>1.1166389999999999</v>
      </c>
      <c r="L6686">
        <v>-58.164149999999999</v>
      </c>
      <c r="M6686">
        <v>0.82580909999999996</v>
      </c>
      <c r="N6686">
        <v>-1.4534790000000001E-2</v>
      </c>
      <c r="O6686">
        <v>0.56376250000000006</v>
      </c>
      <c r="P6686">
        <v>0.5963039</v>
      </c>
      <c r="Q6686">
        <v>0.24248040000000001</v>
      </c>
      <c r="R6686">
        <v>0.76526139999999998</v>
      </c>
      <c r="S6686">
        <v>1.964691</v>
      </c>
      <c r="T6686">
        <v>9.1861369999999998E-2</v>
      </c>
      <c r="U6686">
        <v>2.359375</v>
      </c>
      <c r="V6686">
        <v>-0.29950739999999998</v>
      </c>
      <c r="W6686">
        <v>0.25155499999999997</v>
      </c>
      <c r="X6686">
        <v>0.9203344</v>
      </c>
      <c r="Y6686">
        <v>-0.27420559999999899</v>
      </c>
      <c r="Z6686">
        <v>2.327891E-2</v>
      </c>
      <c r="AA6686">
        <v>0.9613893</v>
      </c>
      <c r="AB6686">
        <v>22</v>
      </c>
      <c r="AC6686">
        <v>31.468299999999999</v>
      </c>
      <c r="AD6686">
        <v>1.4775240000000001</v>
      </c>
      <c r="AE6686">
        <v>37.849200000000003</v>
      </c>
      <c r="AF6686">
        <v>-13.5048250859902</v>
      </c>
      <c r="AG6686">
        <v>1.4775240000000001</v>
      </c>
      <c r="AH6686">
        <v>47.287157714184701</v>
      </c>
      <c r="AI6686">
        <v>88.2790926318103</v>
      </c>
      <c r="AJ6686">
        <v>105.938908099844</v>
      </c>
      <c r="AK6686">
        <v>49.199986407111403</v>
      </c>
      <c r="AL6686">
        <v>75.430451896305499</v>
      </c>
      <c r="AM6686">
        <v>108.02660982134501</v>
      </c>
      <c r="AN6686">
        <v>1.00000000425156</v>
      </c>
    </row>
    <row r="6687" spans="1:40" x14ac:dyDescent="0.25">
      <c r="A6687" t="str">
        <f>"20190304155803681"</f>
        <v>20190304155803681</v>
      </c>
      <c r="B6687" t="str">
        <f>"1551686283671361"</f>
        <v>1551686283671361</v>
      </c>
      <c r="C6687" t="s">
        <v>40</v>
      </c>
      <c r="D6687">
        <v>4.9089159999999996</v>
      </c>
      <c r="E6687">
        <v>0.44904450000000001</v>
      </c>
      <c r="F6687" t="s">
        <v>98</v>
      </c>
      <c r="G6687">
        <v>-157.93819999999999</v>
      </c>
      <c r="H6687">
        <v>20.25619</v>
      </c>
      <c r="I6687">
        <v>-5.5373489999999999</v>
      </c>
      <c r="J6687">
        <v>-198.04339999999999</v>
      </c>
      <c r="K6687">
        <v>1.116635</v>
      </c>
      <c r="L6687">
        <v>-58.063960000000002</v>
      </c>
      <c r="M6687">
        <v>0.82137269999999896</v>
      </c>
      <c r="N6687">
        <v>-1.453429E-2</v>
      </c>
      <c r="O6687">
        <v>0.57020649999999995</v>
      </c>
      <c r="P6687">
        <v>0.5899913</v>
      </c>
      <c r="Q6687">
        <v>0.24261530000000001</v>
      </c>
      <c r="R6687">
        <v>0.77009620000000001</v>
      </c>
      <c r="S6687">
        <v>1.751755</v>
      </c>
      <c r="T6687">
        <v>0.83327289999999998</v>
      </c>
      <c r="U6687">
        <v>2.2911990000000002</v>
      </c>
      <c r="V6687">
        <v>-0.29983989999999999</v>
      </c>
      <c r="W6687">
        <v>0.25168610000000002</v>
      </c>
      <c r="X6687">
        <v>0.92019030000000002</v>
      </c>
      <c r="Y6687">
        <v>-0.31511260000000002</v>
      </c>
      <c r="Z6687">
        <v>0.1329526</v>
      </c>
      <c r="AA6687">
        <v>0.93969550000000002</v>
      </c>
      <c r="AB6687">
        <v>22</v>
      </c>
      <c r="AC6687">
        <v>40.105200000000004</v>
      </c>
      <c r="AD6687">
        <v>19.139554999999898</v>
      </c>
      <c r="AE6687">
        <v>52.526611000000003</v>
      </c>
      <c r="AF6687">
        <v>-18.708632210037401</v>
      </c>
      <c r="AG6687">
        <v>19.139554999999898</v>
      </c>
      <c r="AH6687">
        <v>58.031571819869498</v>
      </c>
      <c r="AI6687">
        <v>72.572748334522601</v>
      </c>
      <c r="AJ6687">
        <v>107.868653728075</v>
      </c>
      <c r="AK6687">
        <v>63.906171944915798</v>
      </c>
      <c r="AL6687">
        <v>75.422690996153307</v>
      </c>
      <c r="AM6687">
        <v>108.047968051903</v>
      </c>
      <c r="AN6687">
        <v>1.00000002338965</v>
      </c>
    </row>
    <row r="6688" spans="1:40" x14ac:dyDescent="0.25">
      <c r="A6688" t="str">
        <f>"20190304155803697"</f>
        <v>20190304155803697</v>
      </c>
      <c r="B6688" t="str">
        <f>"1551686283690881"</f>
        <v>1551686283690881</v>
      </c>
      <c r="C6688" t="s">
        <v>40</v>
      </c>
      <c r="D6688">
        <v>4.8363290000000001</v>
      </c>
      <c r="E6688">
        <v>0.44833099999999998</v>
      </c>
      <c r="F6688" t="s">
        <v>98</v>
      </c>
      <c r="G6688">
        <v>-168.11279999999999</v>
      </c>
      <c r="H6688">
        <v>12.64978</v>
      </c>
      <c r="I6688">
        <v>-5.5447540000000002</v>
      </c>
      <c r="J6688">
        <v>-197.9144</v>
      </c>
      <c r="K6688">
        <v>1.116633</v>
      </c>
      <c r="L6688">
        <v>-57.963709999999999</v>
      </c>
      <c r="M6688">
        <v>0.8169206</v>
      </c>
      <c r="N6688">
        <v>-1.4533900000000001E-2</v>
      </c>
      <c r="O6688">
        <v>0.576567099999999</v>
      </c>
      <c r="P6688">
        <v>0.58397519999999903</v>
      </c>
      <c r="Q6688">
        <v>0.2428563</v>
      </c>
      <c r="R6688">
        <v>0.77459270000000002</v>
      </c>
      <c r="S6688">
        <v>1.4743649999999999</v>
      </c>
      <c r="T6688">
        <v>0.56811619999999996</v>
      </c>
      <c r="U6688">
        <v>2.5870669999999998</v>
      </c>
      <c r="V6688">
        <v>-0.29980289999999998</v>
      </c>
      <c r="W6688">
        <v>0.25192789999999998</v>
      </c>
      <c r="X6688">
        <v>0.92013619999999996</v>
      </c>
      <c r="Y6688">
        <v>-0.42698259999999999</v>
      </c>
      <c r="Z6688">
        <v>8.5077360000000005E-2</v>
      </c>
      <c r="AA6688">
        <v>0.90024859999999896</v>
      </c>
      <c r="AB6688">
        <v>22</v>
      </c>
      <c r="AC6688">
        <v>29.801600000000001</v>
      </c>
      <c r="AD6688">
        <v>11.533147</v>
      </c>
      <c r="AE6688">
        <v>52.418956000000001</v>
      </c>
      <c r="AF6688">
        <v>-24.737233921371701</v>
      </c>
      <c r="AG6688">
        <v>11.533147</v>
      </c>
      <c r="AH6688">
        <v>52.648286193291</v>
      </c>
      <c r="AI6688">
        <v>78.785654508041006</v>
      </c>
      <c r="AJ6688">
        <v>115.166874011733</v>
      </c>
      <c r="AK6688">
        <v>59.302497931326201</v>
      </c>
      <c r="AL6688">
        <v>75.408375788229804</v>
      </c>
      <c r="AM6688">
        <v>108.046877570533</v>
      </c>
      <c r="AN6688">
        <v>1.0000000360986201</v>
      </c>
    </row>
    <row r="6689" spans="1:40" x14ac:dyDescent="0.25">
      <c r="A6689" t="str">
        <f>"20190304155803709"</f>
        <v>20190304155803709</v>
      </c>
      <c r="B6689" t="str">
        <f>"1551686283701617"</f>
        <v>1551686283701617</v>
      </c>
      <c r="C6689" t="s">
        <v>40</v>
      </c>
      <c r="D6689">
        <v>5.5845209999999996</v>
      </c>
      <c r="E6689">
        <v>0.44833099999999998</v>
      </c>
      <c r="F6689" t="s">
        <v>98</v>
      </c>
      <c r="G6689">
        <v>-167.99860000000001</v>
      </c>
      <c r="H6689">
        <v>10.209770000000001</v>
      </c>
      <c r="I6689">
        <v>-4.5333360000000003</v>
      </c>
      <c r="J6689">
        <v>-197.8244</v>
      </c>
      <c r="K6689">
        <v>1.11663</v>
      </c>
      <c r="L6689">
        <v>-57.893039999999999</v>
      </c>
      <c r="M6689">
        <v>0.81376680000000001</v>
      </c>
      <c r="N6689">
        <v>-1.453367E-2</v>
      </c>
      <c r="O6689">
        <v>0.58100980000000002</v>
      </c>
      <c r="P6689">
        <v>0.57995069999999904</v>
      </c>
      <c r="Q6689">
        <v>0.2429212</v>
      </c>
      <c r="R6689">
        <v>0.77759019999999901</v>
      </c>
      <c r="S6689">
        <v>1.4696959999999999</v>
      </c>
      <c r="T6689">
        <v>0.44672390000000001</v>
      </c>
      <c r="U6689">
        <v>2.624908</v>
      </c>
      <c r="V6689">
        <v>-0.29954320000000001</v>
      </c>
      <c r="W6689">
        <v>0.251998</v>
      </c>
      <c r="X6689">
        <v>0.92020150000000001</v>
      </c>
      <c r="Y6689">
        <v>-0.42812210000000001</v>
      </c>
      <c r="Z6689">
        <v>6.9694740000000005E-2</v>
      </c>
      <c r="AA6689">
        <v>0.90102950000000004</v>
      </c>
      <c r="AB6689">
        <v>22</v>
      </c>
      <c r="AC6689">
        <v>29.825799999999902</v>
      </c>
      <c r="AD6689">
        <v>9.0931399999999893</v>
      </c>
      <c r="AE6689">
        <v>53.359704000000001</v>
      </c>
      <c r="AF6689">
        <v>-25.531101303446398</v>
      </c>
      <c r="AG6689">
        <v>9.0931399999999893</v>
      </c>
      <c r="AH6689">
        <v>54.082899359227099</v>
      </c>
      <c r="AI6689">
        <v>81.354783612082102</v>
      </c>
      <c r="AJ6689">
        <v>115.270752397979</v>
      </c>
      <c r="AK6689">
        <v>60.493655303070703</v>
      </c>
      <c r="AL6689">
        <v>75.404224325539005</v>
      </c>
      <c r="AM6689">
        <v>108.03106035908201</v>
      </c>
      <c r="AN6689">
        <v>0.99999996063624397</v>
      </c>
    </row>
    <row r="6690" spans="1:40" x14ac:dyDescent="0.25">
      <c r="A6690" t="str">
        <f>"20190304155803722"</f>
        <v>20190304155803722</v>
      </c>
      <c r="B6690" t="str">
        <f>"1551686283711376"</f>
        <v>1551686283711376</v>
      </c>
      <c r="C6690" t="s">
        <v>40</v>
      </c>
      <c r="D6690">
        <v>4.7620440000000004</v>
      </c>
      <c r="E6690">
        <v>0.4474225</v>
      </c>
      <c r="F6690" t="s">
        <v>98</v>
      </c>
      <c r="G6690">
        <v>-167.99860000000001</v>
      </c>
      <c r="H6690">
        <v>10.2774</v>
      </c>
      <c r="I6690">
        <v>-3.9606650000000001</v>
      </c>
      <c r="J6690">
        <v>-197.73339999999999</v>
      </c>
      <c r="K6690">
        <v>1.11663</v>
      </c>
      <c r="L6690">
        <v>-57.820189999999997</v>
      </c>
      <c r="M6690">
        <v>0.810521099999999</v>
      </c>
      <c r="N6690">
        <v>-1.45334E-2</v>
      </c>
      <c r="O6690">
        <v>0.58552910000000002</v>
      </c>
      <c r="P6690">
        <v>0.576233</v>
      </c>
      <c r="Q6690">
        <v>0.24265690000000001</v>
      </c>
      <c r="R6690">
        <v>0.7804314</v>
      </c>
      <c r="S6690">
        <v>1.4558719999999901</v>
      </c>
      <c r="T6690">
        <v>0.44715870000000002</v>
      </c>
      <c r="U6690">
        <v>2.632568</v>
      </c>
      <c r="V6690">
        <v>-0.29887390000000003</v>
      </c>
      <c r="W6690">
        <v>0.25174780000000002</v>
      </c>
      <c r="X6690">
        <v>0.92048759999999996</v>
      </c>
      <c r="Y6690">
        <v>-0.42786449999999998</v>
      </c>
      <c r="Z6690">
        <v>7.0593710000000004E-2</v>
      </c>
      <c r="AA6690">
        <v>0.90108189999999999</v>
      </c>
      <c r="AB6690">
        <v>22</v>
      </c>
      <c r="AC6690">
        <v>29.7347999999999</v>
      </c>
      <c r="AD6690">
        <v>9.1607699999999994</v>
      </c>
      <c r="AE6690">
        <v>53.859524999999998</v>
      </c>
      <c r="AF6690">
        <v>-25.6771587554936</v>
      </c>
      <c r="AG6690">
        <v>9.1607699999999994</v>
      </c>
      <c r="AH6690">
        <v>54.435945991147598</v>
      </c>
      <c r="AI6690">
        <v>81.345844038422499</v>
      </c>
      <c r="AJ6690">
        <v>115.253013362347</v>
      </c>
      <c r="AK6690">
        <v>60.881100554267803</v>
      </c>
      <c r="AL6690">
        <v>75.419037767963502</v>
      </c>
      <c r="AM6690">
        <v>107.98813928556299</v>
      </c>
      <c r="AN6690">
        <v>0.999999992329905</v>
      </c>
    </row>
    <row r="6691" spans="1:40" x14ac:dyDescent="0.25">
      <c r="A6691" t="str">
        <f>"20190304155803741"</f>
        <v>20190304155803741</v>
      </c>
      <c r="B6691" t="str">
        <f>"1551686283730897"</f>
        <v>1551686283730897</v>
      </c>
      <c r="C6691" t="s">
        <v>40</v>
      </c>
      <c r="D6691">
        <v>4.5774059999999999</v>
      </c>
      <c r="E6691">
        <v>0.44704490000000002</v>
      </c>
      <c r="F6691" t="s">
        <v>98</v>
      </c>
      <c r="G6691">
        <v>-167.99860000000001</v>
      </c>
      <c r="H6691">
        <v>9.9796200000000006</v>
      </c>
      <c r="I6691">
        <v>-3.1578740000000001</v>
      </c>
      <c r="J6691">
        <v>-197.5881</v>
      </c>
      <c r="K6691">
        <v>1.116635</v>
      </c>
      <c r="L6691">
        <v>-57.702640000000002</v>
      </c>
      <c r="M6691">
        <v>0.8052608</v>
      </c>
      <c r="N6691">
        <v>-1.4532959999999999E-2</v>
      </c>
      <c r="O6691">
        <v>0.59274259999999901</v>
      </c>
      <c r="P6691">
        <v>0.57025130000000002</v>
      </c>
      <c r="Q6691">
        <v>0.24312980000000001</v>
      </c>
      <c r="R6691">
        <v>0.78466639999999999</v>
      </c>
      <c r="S6691">
        <v>1.4400630000000001</v>
      </c>
      <c r="T6691">
        <v>0.42923640000000002</v>
      </c>
      <c r="U6691">
        <v>2.6473080000000002</v>
      </c>
      <c r="V6691">
        <v>-0.29757270000000002</v>
      </c>
      <c r="W6691">
        <v>0.25224580000000002</v>
      </c>
      <c r="X6691">
        <v>0.92077279999999995</v>
      </c>
      <c r="Y6691">
        <v>-0.42601270000000002</v>
      </c>
      <c r="Z6691">
        <v>6.9528110000000004E-2</v>
      </c>
      <c r="AA6691">
        <v>0.9020416</v>
      </c>
      <c r="AB6691">
        <v>22</v>
      </c>
      <c r="AC6691">
        <v>29.589499999999902</v>
      </c>
      <c r="AD6691">
        <v>8.8629849999999895</v>
      </c>
      <c r="AE6691">
        <v>54.544766000000003</v>
      </c>
      <c r="AF6691">
        <v>-25.859074727221</v>
      </c>
      <c r="AG6691">
        <v>8.8629849999999895</v>
      </c>
      <c r="AH6691">
        <v>55.0413762087761</v>
      </c>
      <c r="AI6691">
        <v>81.708026972538093</v>
      </c>
      <c r="AJ6691">
        <v>115.164680476924</v>
      </c>
      <c r="AK6691">
        <v>61.4556534731691</v>
      </c>
      <c r="AL6691">
        <v>75.389553085749895</v>
      </c>
      <c r="AM6691">
        <v>107.90964553126101</v>
      </c>
      <c r="AN6691">
        <v>1.00000000231138</v>
      </c>
    </row>
    <row r="6692" spans="1:40" x14ac:dyDescent="0.25">
      <c r="A6692" t="str">
        <f>"20190304155803755"</f>
        <v>20190304155803755</v>
      </c>
      <c r="B6692" t="str">
        <f>"1551686283751393"</f>
        <v>1551686283751393</v>
      </c>
      <c r="C6692" t="s">
        <v>40</v>
      </c>
      <c r="D6692">
        <v>4.6890390000000002</v>
      </c>
      <c r="E6692">
        <v>0.44752550000000002</v>
      </c>
      <c r="F6692" t="s">
        <v>98</v>
      </c>
      <c r="G6692">
        <v>-167.99860000000001</v>
      </c>
      <c r="H6692">
        <v>10.642770000000001</v>
      </c>
      <c r="I6692">
        <v>-2.1019559999999999</v>
      </c>
      <c r="J6692">
        <v>-197.48920000000001</v>
      </c>
      <c r="K6692">
        <v>1.1166370000000001</v>
      </c>
      <c r="L6692">
        <v>-57.621369999999999</v>
      </c>
      <c r="M6692">
        <v>0.8016143</v>
      </c>
      <c r="N6692">
        <v>-1.453253E-2</v>
      </c>
      <c r="O6692">
        <v>0.5976648</v>
      </c>
      <c r="P6692">
        <v>0.56598440000000005</v>
      </c>
      <c r="Q6692">
        <v>0.2444047</v>
      </c>
      <c r="R6692">
        <v>0.78735509999999997</v>
      </c>
      <c r="S6692">
        <v>1.4131320000000001</v>
      </c>
      <c r="T6692">
        <v>0.45494689999999999</v>
      </c>
      <c r="U6692">
        <v>2.6553650000000002</v>
      </c>
      <c r="V6692">
        <v>-0.29662670000000002</v>
      </c>
      <c r="W6692">
        <v>0.25353569999999997</v>
      </c>
      <c r="X6692">
        <v>0.92072379999999998</v>
      </c>
      <c r="Y6692">
        <v>-0.42889650000000001</v>
      </c>
      <c r="Z6692">
        <v>7.3812840000000005E-2</v>
      </c>
      <c r="AA6692">
        <v>0.90033299999999905</v>
      </c>
      <c r="AB6692">
        <v>22</v>
      </c>
      <c r="AC6692">
        <v>29.490600000000001</v>
      </c>
      <c r="AD6692">
        <v>9.5261329999999997</v>
      </c>
      <c r="AE6692">
        <v>55.519413999999998</v>
      </c>
      <c r="AF6692">
        <v>-26.279088680922701</v>
      </c>
      <c r="AG6692">
        <v>9.5261329999999997</v>
      </c>
      <c r="AH6692">
        <v>55.552506768962999</v>
      </c>
      <c r="AI6692">
        <v>81.1886612013096</v>
      </c>
      <c r="AJ6692">
        <v>115.316469453435</v>
      </c>
      <c r="AK6692">
        <v>62.188573871324301</v>
      </c>
      <c r="AL6692">
        <v>75.313164683664795</v>
      </c>
      <c r="AM6692">
        <v>107.857220615873</v>
      </c>
      <c r="AN6692">
        <v>1.0000000331069001</v>
      </c>
    </row>
    <row r="6693" spans="1:40" x14ac:dyDescent="0.25">
      <c r="A6693" t="str">
        <f>"20190304155803768"</f>
        <v>20190304155803768</v>
      </c>
      <c r="B6693" t="str">
        <f>"1551686283761153"</f>
        <v>1551686283761153</v>
      </c>
      <c r="C6693" t="s">
        <v>40</v>
      </c>
      <c r="D6693">
        <v>4.5358900000000002</v>
      </c>
      <c r="E6693">
        <v>0.44752550000000002</v>
      </c>
      <c r="F6693" t="s">
        <v>98</v>
      </c>
      <c r="G6693">
        <v>-167.99860000000001</v>
      </c>
      <c r="H6693">
        <v>10.026870000000001</v>
      </c>
      <c r="I6693">
        <v>-1.74599199999999</v>
      </c>
      <c r="J6693">
        <v>-197.39019999999999</v>
      </c>
      <c r="K6693">
        <v>1.116638</v>
      </c>
      <c r="L6693">
        <v>-57.539090000000002</v>
      </c>
      <c r="M6693">
        <v>0.79791190000000001</v>
      </c>
      <c r="N6693">
        <v>-1.453195E-2</v>
      </c>
      <c r="O6693">
        <v>0.602599</v>
      </c>
      <c r="P6693">
        <v>0.56181479999999995</v>
      </c>
      <c r="Q6693">
        <v>0.2453178</v>
      </c>
      <c r="R6693">
        <v>0.79005269999999905</v>
      </c>
      <c r="S6693">
        <v>1.4073789999999999</v>
      </c>
      <c r="T6693">
        <v>0.42522189999999999</v>
      </c>
      <c r="U6693">
        <v>2.666534</v>
      </c>
      <c r="V6693">
        <v>-0.29559410000000003</v>
      </c>
      <c r="W6693">
        <v>0.25446829999999998</v>
      </c>
      <c r="X6693">
        <v>0.92079849999999996</v>
      </c>
      <c r="Y6693">
        <v>-0.4262649</v>
      </c>
      <c r="Z6693">
        <v>7.0670839999999999E-2</v>
      </c>
      <c r="AA6693">
        <v>0.90183369999999996</v>
      </c>
      <c r="AB6693">
        <v>22</v>
      </c>
      <c r="AC6693">
        <v>29.391599999999901</v>
      </c>
      <c r="AD6693">
        <v>8.9102319999999899</v>
      </c>
      <c r="AE6693">
        <v>55.793098000000001</v>
      </c>
      <c r="AF6693">
        <v>-26.284704884186301</v>
      </c>
      <c r="AG6693">
        <v>8.9102319999999899</v>
      </c>
      <c r="AH6693">
        <v>55.9615695609439</v>
      </c>
      <c r="AI6693">
        <v>81.799256180769802</v>
      </c>
      <c r="AJ6693">
        <v>115.159071450892</v>
      </c>
      <c r="AK6693">
        <v>62.4657923416245</v>
      </c>
      <c r="AL6693">
        <v>75.257917262587199</v>
      </c>
      <c r="AM6693">
        <v>107.797633276176</v>
      </c>
      <c r="AN6693">
        <v>0.99999993263097198</v>
      </c>
    </row>
    <row r="6694" spans="1:40" x14ac:dyDescent="0.25">
      <c r="A6694" t="str">
        <f>"20190304155803787"</f>
        <v>20190304155803787</v>
      </c>
      <c r="B6694" t="str">
        <f>"1551686283781655"</f>
        <v>1551686283781655</v>
      </c>
      <c r="C6694" t="s">
        <v>40</v>
      </c>
      <c r="D6694">
        <v>4.4197939999999996</v>
      </c>
      <c r="E6694">
        <v>0.45832840000000002</v>
      </c>
      <c r="F6694" t="s">
        <v>98</v>
      </c>
      <c r="G6694">
        <v>-167.99860000000001</v>
      </c>
      <c r="H6694">
        <v>10.154030000000001</v>
      </c>
      <c r="I6694">
        <v>-1.1417550000000001</v>
      </c>
      <c r="J6694">
        <v>-197.2585</v>
      </c>
      <c r="K6694">
        <v>1.11663</v>
      </c>
      <c r="L6694">
        <v>-57.427729999999997</v>
      </c>
      <c r="M6694">
        <v>0.7928982</v>
      </c>
      <c r="N6694">
        <v>-1.453072E-2</v>
      </c>
      <c r="O6694">
        <v>0.60918090000000003</v>
      </c>
      <c r="P6694">
        <v>0.55651319999999904</v>
      </c>
      <c r="Q6694">
        <v>0.24558869999999999</v>
      </c>
      <c r="R6694">
        <v>0.79371239999999998</v>
      </c>
      <c r="S6694">
        <v>1.393265</v>
      </c>
      <c r="T6694">
        <v>0.42840400000000001</v>
      </c>
      <c r="U6694">
        <v>2.6734309999999999</v>
      </c>
      <c r="V6694">
        <v>-0.29406470000000001</v>
      </c>
      <c r="W6694">
        <v>0.25477270000000002</v>
      </c>
      <c r="X6694">
        <v>0.92120400000000002</v>
      </c>
      <c r="Y6694">
        <v>-0.42354989999999998</v>
      </c>
      <c r="Z6694">
        <v>7.243608E-2</v>
      </c>
      <c r="AA6694">
        <v>0.902972</v>
      </c>
      <c r="AB6694">
        <v>22</v>
      </c>
      <c r="AC6694">
        <v>29.259899999999899</v>
      </c>
      <c r="AD6694">
        <v>9.0373999999999999</v>
      </c>
      <c r="AE6694">
        <v>56.285975000000001</v>
      </c>
      <c r="AF6694">
        <v>-26.274057774860299</v>
      </c>
      <c r="AG6694">
        <v>9.0373999999999999</v>
      </c>
      <c r="AH6694">
        <v>56.350857009796897</v>
      </c>
      <c r="AI6694">
        <v>81.729750517720603</v>
      </c>
      <c r="AJ6694">
        <v>114.99767953343699</v>
      </c>
      <c r="AK6694">
        <v>62.828495099399603</v>
      </c>
      <c r="AL6694">
        <v>75.239882914626705</v>
      </c>
      <c r="AM6694">
        <v>107.704007787189</v>
      </c>
      <c r="AN6694">
        <v>0.99999999303369003</v>
      </c>
    </row>
    <row r="6695" spans="1:40" x14ac:dyDescent="0.25">
      <c r="A6695" t="str">
        <f>"20190304155803799"</f>
        <v>20190304155803799</v>
      </c>
      <c r="B6695" t="str">
        <f>"1551686283791414"</f>
        <v>1551686283791414</v>
      </c>
      <c r="C6695" t="s">
        <v>40</v>
      </c>
      <c r="D6695">
        <v>4.4663430000000002</v>
      </c>
      <c r="E6695">
        <v>0.45850560000000001</v>
      </c>
      <c r="F6695" t="s">
        <v>41</v>
      </c>
      <c r="G6695">
        <v>-178.50729999999999</v>
      </c>
      <c r="H6695">
        <v>7.9985890000000004E-2</v>
      </c>
      <c r="I6695">
        <v>-23.814550000000001</v>
      </c>
      <c r="J6695">
        <v>-197.17359999999999</v>
      </c>
      <c r="K6695">
        <v>1.1166210000000001</v>
      </c>
      <c r="L6695">
        <v>-57.354860000000002</v>
      </c>
      <c r="M6695">
        <v>0.78961459999999895</v>
      </c>
      <c r="N6695">
        <v>-1.452964E-2</v>
      </c>
      <c r="O6695">
        <v>0.61343110000000001</v>
      </c>
      <c r="P6695">
        <v>0.55277659999999995</v>
      </c>
      <c r="Q6695">
        <v>0.24471470000000001</v>
      </c>
      <c r="R6695">
        <v>0.79658819999999997</v>
      </c>
      <c r="S6695">
        <v>1.526138</v>
      </c>
      <c r="T6695">
        <v>-8.4371570000000007E-2</v>
      </c>
      <c r="U6695">
        <v>2.7357480000000001</v>
      </c>
      <c r="V6695">
        <v>-0.29363860000000003</v>
      </c>
      <c r="W6695">
        <v>0.25391439999999998</v>
      </c>
      <c r="X6695">
        <v>0.92157690000000003</v>
      </c>
      <c r="Y6695">
        <v>-0.39061370000000001</v>
      </c>
      <c r="Z6695">
        <v>-9.4678839999999998E-4</v>
      </c>
      <c r="AA6695">
        <v>0.92055419999999999</v>
      </c>
      <c r="AB6695">
        <v>22</v>
      </c>
      <c r="AC6695">
        <v>18.6663</v>
      </c>
      <c r="AD6695">
        <v>-1.03663510999999</v>
      </c>
      <c r="AE6695">
        <v>33.540309999999899</v>
      </c>
      <c r="AF6695">
        <v>-15.024058518754901</v>
      </c>
      <c r="AG6695">
        <v>-1.03663510999999</v>
      </c>
      <c r="AH6695">
        <v>35.291839574190398</v>
      </c>
      <c r="AI6695">
        <v>91.548109334617607</v>
      </c>
      <c r="AJ6695">
        <v>113.059897601054</v>
      </c>
      <c r="AK6695">
        <v>38.370703502237902</v>
      </c>
      <c r="AL6695">
        <v>75.290733216362895</v>
      </c>
      <c r="AM6695">
        <v>107.67324480954299</v>
      </c>
      <c r="AN6695">
        <v>1.00000006627546</v>
      </c>
    </row>
    <row r="6696" spans="1:40" x14ac:dyDescent="0.25">
      <c r="A6696" t="str">
        <f>"20190304155803810"</f>
        <v>20190304155803810</v>
      </c>
      <c r="B6696" t="str">
        <f>"1551686283801176"</f>
        <v>1551686283801176</v>
      </c>
      <c r="C6696" t="s">
        <v>40</v>
      </c>
      <c r="D6696">
        <v>4.4113369999999996</v>
      </c>
      <c r="E6696">
        <v>0.45855380000000001</v>
      </c>
      <c r="F6696" t="s">
        <v>41</v>
      </c>
      <c r="G6696">
        <v>-179.2501</v>
      </c>
      <c r="H6696">
        <v>7.9985539999999994E-2</v>
      </c>
      <c r="I6696">
        <v>-24.885190000000001</v>
      </c>
      <c r="J6696">
        <v>-197.08879999999999</v>
      </c>
      <c r="K6696">
        <v>1.1166119999999999</v>
      </c>
      <c r="L6696">
        <v>-57.281649999999999</v>
      </c>
      <c r="M6696">
        <v>0.78630290000000003</v>
      </c>
      <c r="N6696">
        <v>-1.452851E-2</v>
      </c>
      <c r="O6696">
        <v>0.61767039999999995</v>
      </c>
      <c r="P6696">
        <v>0.54918880000000003</v>
      </c>
      <c r="Q6696">
        <v>0.2435879</v>
      </c>
      <c r="R6696">
        <v>0.79941019999999996</v>
      </c>
      <c r="S6696">
        <v>1.5138400000000001</v>
      </c>
      <c r="T6696">
        <v>-8.7555649999999999E-2</v>
      </c>
      <c r="U6696">
        <v>2.742432</v>
      </c>
      <c r="V6696">
        <v>-0.29307109999999997</v>
      </c>
      <c r="W6696">
        <v>0.25280730000000001</v>
      </c>
      <c r="X6696">
        <v>0.92206169999999998</v>
      </c>
      <c r="Y6696">
        <v>-0.38977060000000002</v>
      </c>
      <c r="Z6696">
        <v>-1.509629E-3</v>
      </c>
      <c r="AA6696">
        <v>0.92091069999999997</v>
      </c>
      <c r="AB6696">
        <v>22</v>
      </c>
      <c r="AC6696">
        <v>17.8386999999999</v>
      </c>
      <c r="AD6696">
        <v>-1.0366264599999999</v>
      </c>
      <c r="AE6696">
        <v>32.396459999999998</v>
      </c>
      <c r="AF6696">
        <v>-14.4451698399502</v>
      </c>
      <c r="AG6696">
        <v>-1.0366264599999999</v>
      </c>
      <c r="AH6696">
        <v>34.013824363740298</v>
      </c>
      <c r="AI6696">
        <v>91.606825761921598</v>
      </c>
      <c r="AJ6696">
        <v>113.010215927969</v>
      </c>
      <c r="AK6696">
        <v>36.968605247831</v>
      </c>
      <c r="AL6696">
        <v>75.356303707424999</v>
      </c>
      <c r="AM6696">
        <v>107.63250803310299</v>
      </c>
      <c r="AN6696">
        <v>0.99999998959769398</v>
      </c>
    </row>
    <row r="6697" spans="1:40" x14ac:dyDescent="0.25">
      <c r="A6697" t="str">
        <f>"20190304155803831"</f>
        <v>20190304155803831</v>
      </c>
      <c r="B6697" t="str">
        <f>"1551686283821670"</f>
        <v>1551686283821670</v>
      </c>
      <c r="C6697" t="s">
        <v>40</v>
      </c>
      <c r="D6697">
        <v>4.3820889999999997</v>
      </c>
      <c r="E6697">
        <v>0.45904850000000003</v>
      </c>
      <c r="F6697" t="s">
        <v>41</v>
      </c>
      <c r="G6697">
        <v>-179.7799</v>
      </c>
      <c r="H6697">
        <v>7.9986769999999999E-2</v>
      </c>
      <c r="I6697">
        <v>-25.56288</v>
      </c>
      <c r="J6697">
        <v>-196.94659999999999</v>
      </c>
      <c r="K6697">
        <v>1.1165989999999999</v>
      </c>
      <c r="L6697">
        <v>-57.156649999999999</v>
      </c>
      <c r="M6697">
        <v>0.7806514</v>
      </c>
      <c r="N6697">
        <v>-1.452615E-2</v>
      </c>
      <c r="O6697">
        <v>0.62479790000000002</v>
      </c>
      <c r="P6697">
        <v>0.5430334</v>
      </c>
      <c r="Q6697">
        <v>0.24279709999999999</v>
      </c>
      <c r="R6697">
        <v>0.80384350000000004</v>
      </c>
      <c r="S6697">
        <v>1.500351</v>
      </c>
      <c r="T6697">
        <v>-8.9855790000000005E-2</v>
      </c>
      <c r="U6697">
        <v>2.7494200000000002</v>
      </c>
      <c r="V6697">
        <v>-0.29192430000000003</v>
      </c>
      <c r="W6697">
        <v>0.25205109999999997</v>
      </c>
      <c r="X6697">
        <v>0.92263229999999996</v>
      </c>
      <c r="Y6697">
        <v>-0.3858549</v>
      </c>
      <c r="Z6697">
        <v>-2.074237E-3</v>
      </c>
      <c r="AA6697">
        <v>0.92255719999999997</v>
      </c>
      <c r="AB6697">
        <v>22</v>
      </c>
      <c r="AC6697">
        <v>17.166699999999899</v>
      </c>
      <c r="AD6697">
        <v>-1.03661222999999</v>
      </c>
      <c r="AE6697">
        <v>31.593769999999999</v>
      </c>
      <c r="AF6697">
        <v>-13.927896994145801</v>
      </c>
      <c r="AG6697">
        <v>-1.03661222999999</v>
      </c>
      <c r="AH6697">
        <v>33.1169008756425</v>
      </c>
      <c r="AI6697">
        <v>91.652735022598193</v>
      </c>
      <c r="AJ6697">
        <v>112.810046873963</v>
      </c>
      <c r="AK6697">
        <v>35.941480258916002</v>
      </c>
      <c r="AL6697">
        <v>75.401080390241802</v>
      </c>
      <c r="AM6697">
        <v>107.55756553453701</v>
      </c>
      <c r="AN6697">
        <v>0.99999995747249404</v>
      </c>
    </row>
    <row r="6698" spans="1:40" x14ac:dyDescent="0.25">
      <c r="A6698" t="str">
        <f>"20190304155803853"</f>
        <v>20190304155803853</v>
      </c>
      <c r="B6698" t="str">
        <f>"1551686283850950"</f>
        <v>1551686283850950</v>
      </c>
      <c r="C6698" t="s">
        <v>40</v>
      </c>
      <c r="D6698">
        <v>4.3810560000000001</v>
      </c>
      <c r="E6698">
        <v>0.45941949999999998</v>
      </c>
      <c r="F6698" t="s">
        <v>41</v>
      </c>
      <c r="G6698">
        <v>-179.95779999999999</v>
      </c>
      <c r="H6698">
        <v>1.227294E-2</v>
      </c>
      <c r="I6698">
        <v>-25.531210000000002</v>
      </c>
      <c r="J6698">
        <v>-196.7833</v>
      </c>
      <c r="K6698">
        <v>1.116576</v>
      </c>
      <c r="L6698">
        <v>-57.010100000000001</v>
      </c>
      <c r="M6698">
        <v>0.77402059999999995</v>
      </c>
      <c r="N6698">
        <v>-1.4522709999999999E-2</v>
      </c>
      <c r="O6698">
        <v>0.63299399999999995</v>
      </c>
      <c r="P6698">
        <v>0.53554519999999906</v>
      </c>
      <c r="Q6698">
        <v>0.24361140000000001</v>
      </c>
      <c r="R6698">
        <v>0.80860669999999901</v>
      </c>
      <c r="S6698">
        <v>1.482483</v>
      </c>
      <c r="T6698">
        <v>-9.6365930000000002E-2</v>
      </c>
      <c r="U6698">
        <v>2.7597049999999999</v>
      </c>
      <c r="V6698">
        <v>-0.29056900000000002</v>
      </c>
      <c r="W6698">
        <v>0.25289869999999998</v>
      </c>
      <c r="X6698">
        <v>0.92282819999999999</v>
      </c>
      <c r="Y6698">
        <v>-0.38219049999999999</v>
      </c>
      <c r="Z6698">
        <v>-3.3125020000000002E-3</v>
      </c>
      <c r="AA6698">
        <v>0.92407760000000005</v>
      </c>
      <c r="AB6698">
        <v>22</v>
      </c>
      <c r="AC6698">
        <v>16.825500000000002</v>
      </c>
      <c r="AD6698">
        <v>-1.1043030599999999</v>
      </c>
      <c r="AE6698">
        <v>31.47889</v>
      </c>
      <c r="AF6698">
        <v>-13.703197264809001</v>
      </c>
      <c r="AG6698">
        <v>-1.1043030599999999</v>
      </c>
      <c r="AH6698">
        <v>32.921191921062501</v>
      </c>
      <c r="AI6698">
        <v>91.773780441897699</v>
      </c>
      <c r="AJ6698">
        <v>112.599151070163</v>
      </c>
      <c r="AK6698">
        <v>35.676350402332702</v>
      </c>
      <c r="AL6698">
        <v>75.350891013152193</v>
      </c>
      <c r="AM6698">
        <v>107.477542786054</v>
      </c>
      <c r="AN6698">
        <v>0.99999999146896401</v>
      </c>
    </row>
    <row r="6699" spans="1:40" x14ac:dyDescent="0.25">
      <c r="A6699" t="str">
        <f>"20190304155803867"</f>
        <v>20190304155803867</v>
      </c>
      <c r="B6699" t="str">
        <f>"1551686283861686"</f>
        <v>1551686283861686</v>
      </c>
      <c r="C6699" t="s">
        <v>40</v>
      </c>
      <c r="D6699">
        <v>4.8627929999999999</v>
      </c>
      <c r="E6699">
        <v>0.45941949999999998</v>
      </c>
      <c r="F6699" t="s">
        <v>41</v>
      </c>
      <c r="G6699">
        <v>-180.09370000000001</v>
      </c>
      <c r="H6699" s="1">
        <v>-4.3540589999999999E-6</v>
      </c>
      <c r="I6699">
        <v>-25.302779999999998</v>
      </c>
      <c r="J6699">
        <v>-196.69290000000001</v>
      </c>
      <c r="K6699">
        <v>1.116565</v>
      </c>
      <c r="L6699">
        <v>-56.927729999999997</v>
      </c>
      <c r="M6699">
        <v>0.77028660000000004</v>
      </c>
      <c r="N6699">
        <v>-1.4520699999999999E-2</v>
      </c>
      <c r="O6699">
        <v>0.6375326</v>
      </c>
      <c r="P6699">
        <v>0.53156440000000005</v>
      </c>
      <c r="Q6699">
        <v>0.244008</v>
      </c>
      <c r="R6699">
        <v>0.81111</v>
      </c>
      <c r="S6699">
        <v>1.4595340000000001</v>
      </c>
      <c r="T6699">
        <v>-9.7646830000000004E-2</v>
      </c>
      <c r="U6699">
        <v>2.7728579999999998</v>
      </c>
      <c r="V6699">
        <v>-0.28958319999999999</v>
      </c>
      <c r="W6699">
        <v>0.25331939999999997</v>
      </c>
      <c r="X6699">
        <v>0.92302269999999997</v>
      </c>
      <c r="Y6699">
        <v>-0.38455309999999998</v>
      </c>
      <c r="Z6699">
        <v>-3.5685090000000001E-3</v>
      </c>
      <c r="AA6699">
        <v>0.92309589999999997</v>
      </c>
      <c r="AB6699">
        <v>21</v>
      </c>
      <c r="AC6699">
        <v>16.5991999999999</v>
      </c>
      <c r="AD6699">
        <v>-1.116569354059</v>
      </c>
      <c r="AE6699">
        <v>31.624949999999998</v>
      </c>
      <c r="AF6699">
        <v>-13.765742641161101</v>
      </c>
      <c r="AG6699">
        <v>-1.116569354059</v>
      </c>
      <c r="AH6699">
        <v>32.919377712796297</v>
      </c>
      <c r="AI6699">
        <v>91.792344749602805</v>
      </c>
      <c r="AJ6699">
        <v>112.692991143885</v>
      </c>
      <c r="AK6699">
        <v>35.699129213229497</v>
      </c>
      <c r="AL6699">
        <v>75.325975893430694</v>
      </c>
      <c r="AM6699">
        <v>107.41839186073</v>
      </c>
      <c r="AN6699">
        <v>1.00000002642694</v>
      </c>
    </row>
    <row r="6700" spans="1:40" x14ac:dyDescent="0.25">
      <c r="A6700" t="str">
        <f>"20190304155803889"</f>
        <v>20190304155803889</v>
      </c>
      <c r="B6700" t="str">
        <f>"1551686283880935"</f>
        <v>1551686283880935</v>
      </c>
      <c r="C6700" t="s">
        <v>40</v>
      </c>
      <c r="D6700">
        <v>4.8557259999999998</v>
      </c>
      <c r="E6700">
        <v>0.4563874</v>
      </c>
      <c r="F6700" t="s">
        <v>41</v>
      </c>
      <c r="G6700">
        <v>-179.95779999999999</v>
      </c>
      <c r="H6700">
        <v>4.4833090000000004E-3</v>
      </c>
      <c r="I6700">
        <v>-24.733460000000001</v>
      </c>
      <c r="J6700">
        <v>-196.5421</v>
      </c>
      <c r="K6700">
        <v>1.116557</v>
      </c>
      <c r="L6700">
        <v>-56.7881199999999</v>
      </c>
      <c r="M6700">
        <v>0.76395290000000005</v>
      </c>
      <c r="N6700">
        <v>-1.4516960000000001E-2</v>
      </c>
      <c r="O6700">
        <v>0.64510869999999998</v>
      </c>
      <c r="P6700">
        <v>0.52477719999999894</v>
      </c>
      <c r="Q6700">
        <v>0.245923</v>
      </c>
      <c r="R6700">
        <v>0.81494219999999995</v>
      </c>
      <c r="S6700">
        <v>1.445282</v>
      </c>
      <c r="T6700">
        <v>-9.6041680000000004E-2</v>
      </c>
      <c r="U6700">
        <v>2.7803650000000002</v>
      </c>
      <c r="V6700">
        <v>-0.28773989999999999</v>
      </c>
      <c r="W6700">
        <v>0.25527149999999998</v>
      </c>
      <c r="X6700">
        <v>0.92306129999999997</v>
      </c>
      <c r="Y6700">
        <v>-0.38018350000000001</v>
      </c>
      <c r="Z6700">
        <v>-3.5879140000000002E-3</v>
      </c>
      <c r="AA6700">
        <v>0.92490410000000001</v>
      </c>
      <c r="AB6700">
        <v>21</v>
      </c>
      <c r="AC6700">
        <v>16.584299999999999</v>
      </c>
      <c r="AD6700">
        <v>-1.112073691</v>
      </c>
      <c r="AE6700">
        <v>32.054659999999899</v>
      </c>
      <c r="AF6700">
        <v>-13.777945844682201</v>
      </c>
      <c r="AG6700">
        <v>-1.112073691</v>
      </c>
      <c r="AH6700">
        <v>33.320242269114601</v>
      </c>
      <c r="AI6700">
        <v>91.766587372226496</v>
      </c>
      <c r="AJ6700">
        <v>112.465132115751</v>
      </c>
      <c r="AK6700">
        <v>36.0736336465527</v>
      </c>
      <c r="AL6700">
        <v>75.210326247863804</v>
      </c>
      <c r="AM6700">
        <v>107.31348375643</v>
      </c>
      <c r="AN6700">
        <v>0.99999997616097402</v>
      </c>
    </row>
    <row r="6701" spans="1:40" x14ac:dyDescent="0.25">
      <c r="A6701" t="str">
        <f>"20190304155803910"</f>
        <v>20190304155803910</v>
      </c>
      <c r="B6701" t="str">
        <f>"1551686283901431"</f>
        <v>1551686283901431</v>
      </c>
      <c r="C6701" t="s">
        <v>40</v>
      </c>
      <c r="D6701">
        <v>4.3690439999999997</v>
      </c>
      <c r="E6701">
        <v>0.45667540000000001</v>
      </c>
      <c r="F6701" t="s">
        <v>99</v>
      </c>
      <c r="G6701">
        <v>-156.23840000000001</v>
      </c>
      <c r="H6701">
        <v>5.567717</v>
      </c>
      <c r="I6701">
        <v>24.523350000000001</v>
      </c>
      <c r="J6701">
        <v>-196.4</v>
      </c>
      <c r="K6701">
        <v>1.1165430000000001</v>
      </c>
      <c r="L6701">
        <v>-56.653959999999998</v>
      </c>
      <c r="M6701">
        <v>0.75786730000000002</v>
      </c>
      <c r="N6701">
        <v>-1.451305E-2</v>
      </c>
      <c r="O6701">
        <v>0.65224740000000003</v>
      </c>
      <c r="P6701">
        <v>0.51747559999999904</v>
      </c>
      <c r="Q6701">
        <v>0.24869740000000001</v>
      </c>
      <c r="R6701">
        <v>0.8187605</v>
      </c>
      <c r="S6701">
        <v>1.3660890000000001</v>
      </c>
      <c r="T6701">
        <v>0.15087149999999999</v>
      </c>
      <c r="U6701">
        <v>2.7560419999999999</v>
      </c>
      <c r="V6701">
        <v>-0.28671780000000002</v>
      </c>
      <c r="W6701">
        <v>0.25806430000000002</v>
      </c>
      <c r="X6701">
        <v>0.9226027</v>
      </c>
      <c r="Y6701">
        <v>-0.38991360000000003</v>
      </c>
      <c r="Z6701">
        <v>3.611255E-2</v>
      </c>
      <c r="AA6701">
        <v>0.92014309999999999</v>
      </c>
      <c r="AB6701">
        <v>21</v>
      </c>
      <c r="AC6701">
        <v>40.1615999999999</v>
      </c>
      <c r="AD6701">
        <v>4.451174</v>
      </c>
      <c r="AE6701">
        <v>81.177309999999906</v>
      </c>
      <c r="AF6701">
        <v>-35.244916877137001</v>
      </c>
      <c r="AG6701">
        <v>4.451174</v>
      </c>
      <c r="AH6701">
        <v>83.192684872435507</v>
      </c>
      <c r="AI6701">
        <v>87.179570306112893</v>
      </c>
      <c r="AJ6701">
        <v>112.96014078147699</v>
      </c>
      <c r="AK6701">
        <v>90.460156599128993</v>
      </c>
      <c r="AL6701">
        <v>75.044764667754194</v>
      </c>
      <c r="AM6701">
        <v>107.263708823747</v>
      </c>
      <c r="AN6701">
        <v>1.0000000109093099</v>
      </c>
    </row>
    <row r="6702" spans="1:40" x14ac:dyDescent="0.25">
      <c r="A6702" t="str">
        <f>"20190304155803922"</f>
        <v>20190304155803922</v>
      </c>
      <c r="B6702" t="str">
        <f>"1551686283911191"</f>
        <v>1551686283911191</v>
      </c>
      <c r="C6702" t="s">
        <v>40</v>
      </c>
      <c r="D6702">
        <v>4.8181510000000003</v>
      </c>
      <c r="E6702">
        <v>0.45764640000000001</v>
      </c>
      <c r="F6702" t="s">
        <v>99</v>
      </c>
      <c r="G6702">
        <v>-156.67490000000001</v>
      </c>
      <c r="H6702">
        <v>6.2819609999999999</v>
      </c>
      <c r="I6702">
        <v>25.18496</v>
      </c>
      <c r="J6702">
        <v>-196.31450000000001</v>
      </c>
      <c r="K6702">
        <v>1.116533</v>
      </c>
      <c r="L6702">
        <v>-56.571750000000002</v>
      </c>
      <c r="M6702">
        <v>0.75414399999999904</v>
      </c>
      <c r="N6702">
        <v>-1.451028E-2</v>
      </c>
      <c r="O6702">
        <v>0.65654889999999999</v>
      </c>
      <c r="P6702">
        <v>0.51287399999999905</v>
      </c>
      <c r="Q6702">
        <v>0.2490955</v>
      </c>
      <c r="R6702">
        <v>0.82153009999999904</v>
      </c>
      <c r="S6702">
        <v>1.3413389999999901</v>
      </c>
      <c r="T6702">
        <v>0.17441319999999999</v>
      </c>
      <c r="U6702">
        <v>2.7633359999999998</v>
      </c>
      <c r="V6702">
        <v>-0.28655049999999999</v>
      </c>
      <c r="W6702">
        <v>0.25847059999999999</v>
      </c>
      <c r="X6702">
        <v>0.92254100000000006</v>
      </c>
      <c r="Y6702">
        <v>-0.39239570000000001</v>
      </c>
      <c r="Z6702">
        <v>4.0242670000000001E-2</v>
      </c>
      <c r="AA6702">
        <v>0.9189157</v>
      </c>
      <c r="AB6702">
        <v>21</v>
      </c>
      <c r="AC6702">
        <v>39.639600000000002</v>
      </c>
      <c r="AD6702">
        <v>5.1654279999999897</v>
      </c>
      <c r="AE6702">
        <v>81.756709999999998</v>
      </c>
      <c r="AF6702">
        <v>-35.519944459130599</v>
      </c>
      <c r="AG6702">
        <v>5.1654279999999897</v>
      </c>
      <c r="AH6702">
        <v>83.310775809107795</v>
      </c>
      <c r="AI6702">
        <v>86.735704237542095</v>
      </c>
      <c r="AJ6702">
        <v>113.09120569475699</v>
      </c>
      <c r="AK6702">
        <v>90.714020232367204</v>
      </c>
      <c r="AL6702">
        <v>75.020668752921196</v>
      </c>
      <c r="AM6702">
        <v>107.255319117911</v>
      </c>
      <c r="AN6702">
        <v>1.0000000683978001</v>
      </c>
    </row>
    <row r="6703" spans="1:40" x14ac:dyDescent="0.25">
      <c r="A6703" t="str">
        <f>"20190304155803935"</f>
        <v>20190304155803935</v>
      </c>
      <c r="B6703" t="str">
        <f>"1551686283931687"</f>
        <v>1551686283931687</v>
      </c>
      <c r="C6703" t="s">
        <v>40</v>
      </c>
      <c r="D6703">
        <v>4.2992800000000004</v>
      </c>
      <c r="E6703">
        <v>0.45812779999999997</v>
      </c>
      <c r="F6703" t="s">
        <v>99</v>
      </c>
      <c r="G6703">
        <v>-156.9342</v>
      </c>
      <c r="H6703">
        <v>6.1083629999999998</v>
      </c>
      <c r="I6703">
        <v>25.184950000000001</v>
      </c>
      <c r="J6703">
        <v>-196.2269</v>
      </c>
      <c r="K6703">
        <v>1.116519</v>
      </c>
      <c r="L6703">
        <v>-56.486820000000002</v>
      </c>
      <c r="M6703">
        <v>0.75029080000000004</v>
      </c>
      <c r="N6703">
        <v>-1.4507269999999999E-2</v>
      </c>
      <c r="O6703">
        <v>0.6609488</v>
      </c>
      <c r="P6703">
        <v>0.508158</v>
      </c>
      <c r="Q6703">
        <v>0.24914549999999999</v>
      </c>
      <c r="R6703">
        <v>0.82444039999999996</v>
      </c>
      <c r="S6703">
        <v>1.3333280000000001</v>
      </c>
      <c r="T6703">
        <v>0.1690121</v>
      </c>
      <c r="U6703">
        <v>2.768097</v>
      </c>
      <c r="V6703">
        <v>-0.2864198</v>
      </c>
      <c r="W6703">
        <v>0.2585305</v>
      </c>
      <c r="X6703">
        <v>0.92256470000000002</v>
      </c>
      <c r="Y6703">
        <v>-0.38977139999999999</v>
      </c>
      <c r="Z6703">
        <v>3.9735819999999998E-2</v>
      </c>
      <c r="AA6703">
        <v>0.92005400000000004</v>
      </c>
      <c r="AB6703">
        <v>21</v>
      </c>
      <c r="AC6703">
        <v>39.292700000000004</v>
      </c>
      <c r="AD6703">
        <v>4.9918440000000004</v>
      </c>
      <c r="AE6703">
        <v>81.671769999999995</v>
      </c>
      <c r="AF6703">
        <v>-35.204034971304203</v>
      </c>
      <c r="AG6703">
        <v>4.9918440000000004</v>
      </c>
      <c r="AH6703">
        <v>83.218141416380504</v>
      </c>
      <c r="AI6703">
        <v>86.837901553998407</v>
      </c>
      <c r="AJ6703">
        <v>112.929974599299</v>
      </c>
      <c r="AK6703">
        <v>90.495865350732203</v>
      </c>
      <c r="AL6703">
        <v>75.017114525654193</v>
      </c>
      <c r="AM6703">
        <v>107.24749894233599</v>
      </c>
      <c r="AN6703">
        <v>0.99999997347418901</v>
      </c>
    </row>
    <row r="6704" spans="1:40" x14ac:dyDescent="0.25">
      <c r="A6704" t="str">
        <f>"20190304155803956"</f>
        <v>20190304155803956</v>
      </c>
      <c r="B6704" t="str">
        <f>"1551686283951209"</f>
        <v>1551686283951209</v>
      </c>
      <c r="C6704" t="s">
        <v>40</v>
      </c>
      <c r="D6704">
        <v>4.3160350000000003</v>
      </c>
      <c r="E6704">
        <v>0.45854240000000002</v>
      </c>
      <c r="F6704" t="s">
        <v>98</v>
      </c>
      <c r="G6704">
        <v>-165.78129999999999</v>
      </c>
      <c r="H6704">
        <v>4.2028420000000004</v>
      </c>
      <c r="I6704">
        <v>7.3802320000000003</v>
      </c>
      <c r="J6704">
        <v>-196.0934</v>
      </c>
      <c r="K6704">
        <v>1.116501</v>
      </c>
      <c r="L6704">
        <v>-56.355469999999997</v>
      </c>
      <c r="M6704">
        <v>0.74433859999999996</v>
      </c>
      <c r="N6704">
        <v>-1.450196E-2</v>
      </c>
      <c r="O6704">
        <v>0.66764489999999999</v>
      </c>
      <c r="P6704">
        <v>0.50094910000000004</v>
      </c>
      <c r="Q6704">
        <v>0.24951660000000001</v>
      </c>
      <c r="R6704">
        <v>0.82872869999999998</v>
      </c>
      <c r="S6704">
        <v>1.325745</v>
      </c>
      <c r="T6704">
        <v>0.1343926</v>
      </c>
      <c r="U6704">
        <v>2.7810670000000002</v>
      </c>
      <c r="V6704">
        <v>-0.2861031</v>
      </c>
      <c r="W6704">
        <v>0.25891930000000002</v>
      </c>
      <c r="X6704">
        <v>0.92255399999999999</v>
      </c>
      <c r="Y6704">
        <v>-0.3850884</v>
      </c>
      <c r="Z6704">
        <v>3.4440579999999998E-2</v>
      </c>
      <c r="AA6704">
        <v>0.92223679999999997</v>
      </c>
      <c r="AB6704">
        <v>21</v>
      </c>
      <c r="AC6704">
        <v>30.312100000000001</v>
      </c>
      <c r="AD6704">
        <v>3.086341</v>
      </c>
      <c r="AE6704">
        <v>63.735702000000003</v>
      </c>
      <c r="AF6704">
        <v>-27.1541575234159</v>
      </c>
      <c r="AG6704">
        <v>3.086341</v>
      </c>
      <c r="AH6704">
        <v>64.997833445144195</v>
      </c>
      <c r="AI6704">
        <v>87.491248898662207</v>
      </c>
      <c r="AJ6704">
        <v>112.67371814433299</v>
      </c>
      <c r="AK6704">
        <v>70.509517968409597</v>
      </c>
      <c r="AL6704">
        <v>74.994053644584099</v>
      </c>
      <c r="AM6704">
        <v>107.22974569270301</v>
      </c>
      <c r="AN6704">
        <v>1.0000000353290399</v>
      </c>
    </row>
    <row r="6705" spans="1:40" x14ac:dyDescent="0.25">
      <c r="A6705" t="str">
        <f>"20190304155803978"</f>
        <v>20190304155803978</v>
      </c>
      <c r="B6705" t="str">
        <f>"1551686283971427"</f>
        <v>1551686283971427</v>
      </c>
      <c r="C6705" t="s">
        <v>40</v>
      </c>
      <c r="D6705">
        <v>4.893243</v>
      </c>
      <c r="E6705">
        <v>0.45934760000000002</v>
      </c>
      <c r="F6705" t="s">
        <v>98</v>
      </c>
      <c r="G6705">
        <v>-166.2886</v>
      </c>
      <c r="H6705">
        <v>3.576343</v>
      </c>
      <c r="I6705">
        <v>7.3802329999999996</v>
      </c>
      <c r="J6705">
        <v>-195.9461</v>
      </c>
      <c r="K6705">
        <v>1.1164719999999999</v>
      </c>
      <c r="L6705">
        <v>-56.207639999999998</v>
      </c>
      <c r="M6705">
        <v>0.73764949999999996</v>
      </c>
      <c r="N6705">
        <v>-1.4494959999999999E-2</v>
      </c>
      <c r="O6705">
        <v>0.67502819999999997</v>
      </c>
      <c r="P6705">
        <v>0.49289739999999999</v>
      </c>
      <c r="Q6705">
        <v>0.25050090000000003</v>
      </c>
      <c r="R6705">
        <v>0.83324759999999998</v>
      </c>
      <c r="S6705">
        <v>1.307922</v>
      </c>
      <c r="T6705">
        <v>0.1079447</v>
      </c>
      <c r="U6705">
        <v>2.7969059999999999</v>
      </c>
      <c r="V6705">
        <v>-0.28562090000000001</v>
      </c>
      <c r="W6705">
        <v>0.2599264</v>
      </c>
      <c r="X6705">
        <v>0.92242009999999997</v>
      </c>
      <c r="Y6705">
        <v>-0.38262970000000002</v>
      </c>
      <c r="Z6705">
        <v>3.0367720000000001E-2</v>
      </c>
      <c r="AA6705">
        <v>0.92340250000000001</v>
      </c>
      <c r="AB6705">
        <v>21</v>
      </c>
      <c r="AC6705">
        <v>29.657499999999999</v>
      </c>
      <c r="AD6705">
        <v>2.4598709999999899</v>
      </c>
      <c r="AE6705">
        <v>63.587872999999902</v>
      </c>
      <c r="AF6705">
        <v>-26.855730232109401</v>
      </c>
      <c r="AG6705">
        <v>2.4598709999999899</v>
      </c>
      <c r="AH6705">
        <v>64.727698843810799</v>
      </c>
      <c r="AI6705">
        <v>87.989630387669607</v>
      </c>
      <c r="AJ6705">
        <v>112.53371915191801</v>
      </c>
      <c r="AK6705">
        <v>70.121011182466106</v>
      </c>
      <c r="AL6705">
        <v>74.934303991669296</v>
      </c>
      <c r="AM6705">
        <v>107.20477152827701</v>
      </c>
      <c r="AN6705">
        <v>0.99999993640888796</v>
      </c>
    </row>
    <row r="6706" spans="1:40" x14ac:dyDescent="0.25">
      <c r="A6706" t="str">
        <f>"20190304155803990"</f>
        <v>20190304155803990</v>
      </c>
      <c r="B6706" t="str">
        <f>"1551686283981186"</f>
        <v>1551686283981186</v>
      </c>
      <c r="C6706" t="s">
        <v>40</v>
      </c>
      <c r="D6706">
        <v>4.5641369999999997</v>
      </c>
      <c r="E6706">
        <v>0.4589587</v>
      </c>
      <c r="F6706" t="s">
        <v>98</v>
      </c>
      <c r="G6706">
        <v>-166.78319999999999</v>
      </c>
      <c r="H6706">
        <v>3.1829149999999999</v>
      </c>
      <c r="I6706">
        <v>7.3802310000000002</v>
      </c>
      <c r="J6706">
        <v>-195.85769999999999</v>
      </c>
      <c r="K6706">
        <v>1.1164510000000001</v>
      </c>
      <c r="L6706">
        <v>-56.11786</v>
      </c>
      <c r="M6706">
        <v>0.73358489999999998</v>
      </c>
      <c r="N6706">
        <v>-1.449042E-2</v>
      </c>
      <c r="O6706">
        <v>0.67944320000000002</v>
      </c>
      <c r="P6706">
        <v>0.48815989999999998</v>
      </c>
      <c r="Q6706">
        <v>0.25054789999999999</v>
      </c>
      <c r="R6706">
        <v>0.83601780000000003</v>
      </c>
      <c r="S6706">
        <v>1.28894</v>
      </c>
      <c r="T6706">
        <v>9.1332549999999998E-2</v>
      </c>
      <c r="U6706">
        <v>2.8104550000000001</v>
      </c>
      <c r="V6706">
        <v>-0.28529520000000003</v>
      </c>
      <c r="W6706">
        <v>0.25999129999999998</v>
      </c>
      <c r="X6706">
        <v>0.92250270000000001</v>
      </c>
      <c r="Y6706">
        <v>-0.38387320000000003</v>
      </c>
      <c r="Z6706">
        <v>2.7703410000000001E-2</v>
      </c>
      <c r="AA6706">
        <v>0.92297010000000002</v>
      </c>
      <c r="AB6706">
        <v>21</v>
      </c>
      <c r="AC6706">
        <v>29.0745</v>
      </c>
      <c r="AD6706">
        <v>2.0664639999999999</v>
      </c>
      <c r="AE6706">
        <v>63.498091000000002</v>
      </c>
      <c r="AF6706">
        <v>-26.8061187726179</v>
      </c>
      <c r="AG6706">
        <v>2.0664639999999999</v>
      </c>
      <c r="AH6706">
        <v>64.422331248951906</v>
      </c>
      <c r="AI6706">
        <v>88.3036620593587</v>
      </c>
      <c r="AJ6706">
        <v>112.59218462295399</v>
      </c>
      <c r="AK6706">
        <v>69.807413937666198</v>
      </c>
      <c r="AL6706">
        <v>74.930454534509806</v>
      </c>
      <c r="AM6706">
        <v>107.184860747377</v>
      </c>
      <c r="AN6706">
        <v>1.000000029363</v>
      </c>
    </row>
    <row r="6707" spans="1:40" x14ac:dyDescent="0.25">
      <c r="A6707" t="str">
        <f>"20190304155804011"</f>
        <v>20190304155804011</v>
      </c>
      <c r="B6707" t="str">
        <f>"1551686284001682"</f>
        <v>1551686284001682</v>
      </c>
      <c r="C6707" t="s">
        <v>40</v>
      </c>
      <c r="D6707">
        <v>4.9091480000000001</v>
      </c>
      <c r="E6707">
        <v>0.45995209999999997</v>
      </c>
      <c r="F6707" t="s">
        <v>98</v>
      </c>
      <c r="G6707">
        <v>-167.25839999999999</v>
      </c>
      <c r="H6707">
        <v>3.3156680000000001</v>
      </c>
      <c r="I6707">
        <v>7.3802320000000003</v>
      </c>
      <c r="J6707">
        <v>-195.72829999999999</v>
      </c>
      <c r="K6707">
        <v>1.116412</v>
      </c>
      <c r="L6707">
        <v>-55.984099999999998</v>
      </c>
      <c r="M6707">
        <v>0.72755360000000002</v>
      </c>
      <c r="N6707">
        <v>-1.448282E-2</v>
      </c>
      <c r="O6707">
        <v>0.68589809999999996</v>
      </c>
      <c r="P6707">
        <v>0.4813944</v>
      </c>
      <c r="Q6707">
        <v>0.2496987</v>
      </c>
      <c r="R6707">
        <v>0.840184499999999</v>
      </c>
      <c r="S6707">
        <v>1.2692570000000001</v>
      </c>
      <c r="T6707">
        <v>9.760249E-2</v>
      </c>
      <c r="U6707">
        <v>2.818085</v>
      </c>
      <c r="V6707">
        <v>-0.2847363</v>
      </c>
      <c r="W6707">
        <v>0.25917580000000001</v>
      </c>
      <c r="X6707">
        <v>0.92290470000000002</v>
      </c>
      <c r="Y6707">
        <v>-0.38203209999999999</v>
      </c>
      <c r="Z6707">
        <v>2.9113420000000001E-2</v>
      </c>
      <c r="AA6707">
        <v>0.92369040000000002</v>
      </c>
      <c r="AB6707">
        <v>21</v>
      </c>
      <c r="AC6707">
        <v>28.469899999999999</v>
      </c>
      <c r="AD6707">
        <v>2.1992560000000001</v>
      </c>
      <c r="AE6707">
        <v>63.364331999999997</v>
      </c>
      <c r="AF6707">
        <v>-26.549671255970999</v>
      </c>
      <c r="AG6707">
        <v>2.1992560000000001</v>
      </c>
      <c r="AH6707">
        <v>64.117312813425201</v>
      </c>
      <c r="AI6707">
        <v>88.184845105396406</v>
      </c>
      <c r="AJ6707">
        <v>112.493448268945</v>
      </c>
      <c r="AK6707">
        <v>69.431632367158699</v>
      </c>
      <c r="AL6707">
        <v>74.978836885219394</v>
      </c>
      <c r="AM6707">
        <v>107.146139432902</v>
      </c>
      <c r="AN6707">
        <v>0.99999997056270895</v>
      </c>
    </row>
    <row r="6708" spans="1:40" x14ac:dyDescent="0.25">
      <c r="A6708" t="str">
        <f>"20190304155804024"</f>
        <v>20190304155804024</v>
      </c>
      <c r="B6708" t="str">
        <f>"1551686284021203"</f>
        <v>1551686284021203</v>
      </c>
      <c r="C6708" t="s">
        <v>40</v>
      </c>
      <c r="D6708">
        <v>4.4766170000000001</v>
      </c>
      <c r="E6708">
        <v>0.4603739</v>
      </c>
      <c r="F6708" t="s">
        <v>98</v>
      </c>
      <c r="G6708">
        <v>-167.63380000000001</v>
      </c>
      <c r="H6708">
        <v>3.4410910000000001</v>
      </c>
      <c r="I6708">
        <v>7.3802320000000003</v>
      </c>
      <c r="J6708">
        <v>-195.63980000000001</v>
      </c>
      <c r="K6708">
        <v>1.1163799999999999</v>
      </c>
      <c r="L6708">
        <v>-55.891109999999998</v>
      </c>
      <c r="M6708">
        <v>0.72337869999999904</v>
      </c>
      <c r="N6708">
        <v>-1.447674E-2</v>
      </c>
      <c r="O6708">
        <v>0.69029969999999996</v>
      </c>
      <c r="P6708">
        <v>0.47663030000000001</v>
      </c>
      <c r="Q6708">
        <v>0.24917069999999999</v>
      </c>
      <c r="R6708">
        <v>0.84305249999999998</v>
      </c>
      <c r="S6708">
        <v>1.2515559999999999</v>
      </c>
      <c r="T6708">
        <v>0.1035596</v>
      </c>
      <c r="U6708">
        <v>2.8227540000000002</v>
      </c>
      <c r="V6708">
        <v>-0.28444560000000002</v>
      </c>
      <c r="W6708">
        <v>0.2586715</v>
      </c>
      <c r="X6708">
        <v>0.92313579999999995</v>
      </c>
      <c r="Y6708">
        <v>-0.38185049999999998</v>
      </c>
      <c r="Z6708">
        <v>3.039584E-2</v>
      </c>
      <c r="AA6708">
        <v>0.92372410000000005</v>
      </c>
      <c r="AB6708">
        <v>21</v>
      </c>
      <c r="AC6708">
        <v>28.006</v>
      </c>
      <c r="AD6708">
        <v>2.3247110000000002</v>
      </c>
      <c r="AE6708">
        <v>63.271341999999997</v>
      </c>
      <c r="AF6708">
        <v>-26.409567121460501</v>
      </c>
      <c r="AG6708">
        <v>2.3247110000000002</v>
      </c>
      <c r="AH6708">
        <v>63.869736418414099</v>
      </c>
      <c r="AI6708">
        <v>88.073544469227997</v>
      </c>
      <c r="AJ6708">
        <v>112.464658607666</v>
      </c>
      <c r="AK6708">
        <v>69.153544717057997</v>
      </c>
      <c r="AL6708">
        <v>75.008751359947993</v>
      </c>
      <c r="AM6708">
        <v>107.125621903089</v>
      </c>
      <c r="AN6708">
        <v>0.99999997475662405</v>
      </c>
    </row>
    <row r="6709" spans="1:40" x14ac:dyDescent="0.25">
      <c r="A6709" t="str">
        <f>"20190304155804044"</f>
        <v>20190304155804044</v>
      </c>
      <c r="B6709" t="str">
        <f>"1551686284041698"</f>
        <v>1551686284041698</v>
      </c>
      <c r="C6709" t="s">
        <v>40</v>
      </c>
      <c r="D6709">
        <v>4.423654</v>
      </c>
      <c r="E6709">
        <v>0.46112039999999999</v>
      </c>
      <c r="F6709" t="s">
        <v>98</v>
      </c>
      <c r="G6709">
        <v>-167.9427</v>
      </c>
      <c r="H6709">
        <v>3.6148120000000001</v>
      </c>
      <c r="I6709">
        <v>7.3802320000000003</v>
      </c>
      <c r="J6709">
        <v>-195.51669999999999</v>
      </c>
      <c r="K6709">
        <v>1.116333</v>
      </c>
      <c r="L6709">
        <v>-55.760069999999899</v>
      </c>
      <c r="M6709">
        <v>0.71751299999999996</v>
      </c>
      <c r="N6709">
        <v>-1.446599E-2</v>
      </c>
      <c r="O6709">
        <v>0.69639479999999998</v>
      </c>
      <c r="P6709">
        <v>0.47027940000000001</v>
      </c>
      <c r="Q6709">
        <v>0.2485559</v>
      </c>
      <c r="R6709">
        <v>0.84679230000000005</v>
      </c>
      <c r="S6709">
        <v>1.2371219999999901</v>
      </c>
      <c r="T6709">
        <v>0.111594899999999</v>
      </c>
      <c r="U6709">
        <v>2.8260800000000001</v>
      </c>
      <c r="V6709">
        <v>-0.28366130000000001</v>
      </c>
      <c r="W6709">
        <v>0.25809650000000001</v>
      </c>
      <c r="X6709">
        <v>0.92353799999999997</v>
      </c>
      <c r="Y6709">
        <v>-0.37841760000000002</v>
      </c>
      <c r="Z6709">
        <v>3.218824E-2</v>
      </c>
      <c r="AA6709">
        <v>0.92507519999999999</v>
      </c>
      <c r="AB6709">
        <v>21</v>
      </c>
      <c r="AC6709">
        <v>27.573999999999899</v>
      </c>
      <c r="AD6709">
        <v>2.4984790000000001</v>
      </c>
      <c r="AE6709">
        <v>63.140301999999899</v>
      </c>
      <c r="AF6709">
        <v>-26.070047812508701</v>
      </c>
      <c r="AG6709">
        <v>2.4984790000000001</v>
      </c>
      <c r="AH6709">
        <v>63.678219262719303</v>
      </c>
      <c r="AI6709">
        <v>87.920458334548201</v>
      </c>
      <c r="AJ6709">
        <v>112.264335163544</v>
      </c>
      <c r="AK6709">
        <v>68.853506800531903</v>
      </c>
      <c r="AL6709">
        <v>75.042854685553806</v>
      </c>
      <c r="AM6709">
        <v>107.074147442125</v>
      </c>
      <c r="AN6709">
        <v>0.99999998693696901</v>
      </c>
    </row>
    <row r="6710" spans="1:40" x14ac:dyDescent="0.25">
      <c r="A6710" t="str">
        <f>"20190304155804058"</f>
        <v>20190304155804058</v>
      </c>
      <c r="B6710" t="str">
        <f>"1551686284051460"</f>
        <v>1551686284051460</v>
      </c>
      <c r="C6710" t="s">
        <v>40</v>
      </c>
      <c r="D6710">
        <v>3.865942</v>
      </c>
      <c r="E6710">
        <v>0.46112039999999999</v>
      </c>
      <c r="F6710" t="s">
        <v>98</v>
      </c>
      <c r="G6710">
        <v>-168.2988</v>
      </c>
      <c r="H6710">
        <v>2.999349</v>
      </c>
      <c r="I6710">
        <v>7.3802320000000003</v>
      </c>
      <c r="J6710">
        <v>-195.43100000000001</v>
      </c>
      <c r="K6710">
        <v>1.1162859999999999</v>
      </c>
      <c r="L6710">
        <v>-55.667569999999998</v>
      </c>
      <c r="M6710">
        <v>0.71339569999999997</v>
      </c>
      <c r="N6710">
        <v>-1.4454470000000001E-2</v>
      </c>
      <c r="O6710">
        <v>0.70061229999999997</v>
      </c>
      <c r="P6710">
        <v>0.46532259999999998</v>
      </c>
      <c r="Q6710">
        <v>0.24862490000000001</v>
      </c>
      <c r="R6710">
        <v>0.84950609999999904</v>
      </c>
      <c r="S6710">
        <v>1.223557</v>
      </c>
      <c r="T6710">
        <v>8.4648970000000004E-2</v>
      </c>
      <c r="U6710">
        <v>2.838409</v>
      </c>
      <c r="V6710">
        <v>-0.28357520000000003</v>
      </c>
      <c r="W6710">
        <v>0.25818410000000003</v>
      </c>
      <c r="X6710">
        <v>0.92354000000000003</v>
      </c>
      <c r="Y6710">
        <v>-0.37806099999999998</v>
      </c>
      <c r="Z6710">
        <v>2.749561E-2</v>
      </c>
      <c r="AA6710">
        <v>0.92537230000000004</v>
      </c>
      <c r="AB6710">
        <v>21</v>
      </c>
      <c r="AC6710">
        <v>27.132199999999902</v>
      </c>
      <c r="AD6710">
        <v>1.8830629999999999</v>
      </c>
      <c r="AE6710">
        <v>63.047801999999997</v>
      </c>
      <c r="AF6710">
        <v>-25.952058590447301</v>
      </c>
      <c r="AG6710">
        <v>1.8830629999999999</v>
      </c>
      <c r="AH6710">
        <v>63.486915304549797</v>
      </c>
      <c r="AI6710">
        <v>88.427320499964395</v>
      </c>
      <c r="AJ6710">
        <v>112.233667210156</v>
      </c>
      <c r="AK6710">
        <v>68.612270668088598</v>
      </c>
      <c r="AL6710">
        <v>75.037660119187606</v>
      </c>
      <c r="AM6710">
        <v>107.069231381506</v>
      </c>
      <c r="AN6710">
        <v>1.00000002757392</v>
      </c>
    </row>
    <row r="6711" spans="1:40" x14ac:dyDescent="0.25">
      <c r="A6711" t="str">
        <f>"20190304155804079"</f>
        <v>20190304155804079</v>
      </c>
      <c r="B6711" t="str">
        <f>"1551686284070978"</f>
        <v>1551686284070978</v>
      </c>
      <c r="C6711" t="s">
        <v>40</v>
      </c>
      <c r="D6711">
        <v>4.4063749999999997</v>
      </c>
      <c r="E6711">
        <v>0.47410580000000002</v>
      </c>
      <c r="F6711" t="s">
        <v>98</v>
      </c>
      <c r="G6711">
        <v>-168.45050000000001</v>
      </c>
      <c r="H6711">
        <v>3.0140720000000001</v>
      </c>
      <c r="I6711">
        <v>7.9432799999999997</v>
      </c>
      <c r="J6711">
        <v>-195.2955</v>
      </c>
      <c r="K6711">
        <v>1.116198</v>
      </c>
      <c r="L6711">
        <v>-55.519199999999998</v>
      </c>
      <c r="M6711">
        <v>0.7068432</v>
      </c>
      <c r="N6711">
        <v>-1.4428730000000001E-2</v>
      </c>
      <c r="O6711">
        <v>0.70722309999999999</v>
      </c>
      <c r="P6711">
        <v>0.45768530000000002</v>
      </c>
      <c r="Q6711">
        <v>0.24731919999999999</v>
      </c>
      <c r="R6711">
        <v>0.85402420000000001</v>
      </c>
      <c r="S6711">
        <v>1.2069240000000001</v>
      </c>
      <c r="T6711">
        <v>8.4894059999999993E-2</v>
      </c>
      <c r="U6711">
        <v>2.84552</v>
      </c>
      <c r="V6711">
        <v>-0.28346130000000003</v>
      </c>
      <c r="W6711">
        <v>0.25691520000000001</v>
      </c>
      <c r="X6711">
        <v>0.92392870000000005</v>
      </c>
      <c r="Y6711">
        <v>-0.37485829999999998</v>
      </c>
      <c r="Z6711">
        <v>2.7828499999999999E-2</v>
      </c>
      <c r="AA6711">
        <v>0.92666440000000005</v>
      </c>
      <c r="AB6711">
        <v>21</v>
      </c>
      <c r="AC6711">
        <v>26.844999999999999</v>
      </c>
      <c r="AD6711">
        <v>1.8978740000000001</v>
      </c>
      <c r="AE6711">
        <v>63.462479999999999</v>
      </c>
      <c r="AF6711">
        <v>-25.855697733568601</v>
      </c>
      <c r="AG6711">
        <v>1.8978740000000001</v>
      </c>
      <c r="AH6711">
        <v>63.815575097066102</v>
      </c>
      <c r="AI6711">
        <v>88.421125488550501</v>
      </c>
      <c r="AJ6711">
        <v>112.055960867335</v>
      </c>
      <c r="AK6711">
        <v>68.880669683001898</v>
      </c>
      <c r="AL6711">
        <v>75.112900344825704</v>
      </c>
      <c r="AM6711">
        <v>107.056012033644</v>
      </c>
      <c r="AN6711">
        <v>0.99999998563620995</v>
      </c>
    </row>
    <row r="6712" spans="1:40" x14ac:dyDescent="0.25">
      <c r="A6712" t="str">
        <f>"20190304155804102"</f>
        <v>20190304155804102</v>
      </c>
      <c r="B6712" t="str">
        <f>"1551686284091475"</f>
        <v>1551686284091475</v>
      </c>
      <c r="C6712" t="s">
        <v>40</v>
      </c>
      <c r="D6712">
        <v>3.9784000000000002</v>
      </c>
      <c r="E6712">
        <v>0.4730375</v>
      </c>
      <c r="F6712" t="s">
        <v>99</v>
      </c>
      <c r="G6712">
        <v>-159.0985</v>
      </c>
      <c r="H6712">
        <v>21.247</v>
      </c>
      <c r="I6712">
        <v>25.184940000000001</v>
      </c>
      <c r="J6712">
        <v>-195.15710000000001</v>
      </c>
      <c r="K6712">
        <v>1.1160909999999999</v>
      </c>
      <c r="L6712">
        <v>-55.365049999999997</v>
      </c>
      <c r="M6712">
        <v>0.70011369999999995</v>
      </c>
      <c r="N6712">
        <v>-1.4396000000000001E-2</v>
      </c>
      <c r="O6712">
        <v>0.71388619999999903</v>
      </c>
      <c r="P6712">
        <v>0.44940760000000002</v>
      </c>
      <c r="Q6712">
        <v>0.2466315</v>
      </c>
      <c r="R6712">
        <v>0.85860689999999995</v>
      </c>
      <c r="S6712">
        <v>1.2003170000000001</v>
      </c>
      <c r="T6712">
        <v>0.66755209999999998</v>
      </c>
      <c r="U6712">
        <v>2.6762079999999999</v>
      </c>
      <c r="V6712">
        <v>-0.28371190000000002</v>
      </c>
      <c r="W6712">
        <v>0.25626070000000001</v>
      </c>
      <c r="X6712">
        <v>0.92403360000000001</v>
      </c>
      <c r="Y6712">
        <v>-0.35244520000000001</v>
      </c>
      <c r="Z6712">
        <v>0.14274100000000001</v>
      </c>
      <c r="AA6712">
        <v>0.92488239999999999</v>
      </c>
      <c r="AB6712">
        <v>21</v>
      </c>
      <c r="AC6712">
        <v>36.058599999999998</v>
      </c>
      <c r="AD6712">
        <v>20.130908999999999</v>
      </c>
      <c r="AE6712">
        <v>80.549989999999994</v>
      </c>
      <c r="AF6712">
        <v>-29.139406721300901</v>
      </c>
      <c r="AG6712">
        <v>20.130908999999999</v>
      </c>
      <c r="AH6712">
        <v>78.664160282314697</v>
      </c>
      <c r="AI6712">
        <v>76.505656353787401</v>
      </c>
      <c r="AJ6712">
        <v>110.326039865985</v>
      </c>
      <c r="AK6712">
        <v>86.269395698343502</v>
      </c>
      <c r="AL6712">
        <v>75.151700236386006</v>
      </c>
      <c r="AM6712">
        <v>107.068389292048</v>
      </c>
      <c r="AN6712">
        <v>1.0000000412475201</v>
      </c>
    </row>
    <row r="6713" spans="1:40" x14ac:dyDescent="0.25">
      <c r="A6713" t="str">
        <f>"20190304155804124"</f>
        <v>20190304155804124</v>
      </c>
      <c r="B6713" t="str">
        <f>"1551686284121730"</f>
        <v>1551686284121730</v>
      </c>
      <c r="C6713" t="s">
        <v>40</v>
      </c>
      <c r="D6713">
        <v>5.3196500000000002</v>
      </c>
      <c r="E6713">
        <v>0.4727827</v>
      </c>
      <c r="F6713" t="s">
        <v>98</v>
      </c>
      <c r="G6713">
        <v>-167.64940000000001</v>
      </c>
      <c r="H6713">
        <v>2.9845679999999999</v>
      </c>
      <c r="I6713">
        <v>7.3802310000000002</v>
      </c>
      <c r="J6713">
        <v>-195.02099999999999</v>
      </c>
      <c r="K6713">
        <v>1.1159779999999999</v>
      </c>
      <c r="L6713">
        <v>-55.210720000000002</v>
      </c>
      <c r="M6713">
        <v>0.69346949999999996</v>
      </c>
      <c r="N6713">
        <v>-1.4362150000000001E-2</v>
      </c>
      <c r="O6713">
        <v>0.72034290000000001</v>
      </c>
      <c r="P6713">
        <v>0.44075999999999999</v>
      </c>
      <c r="Q6713">
        <v>0.24599109999999999</v>
      </c>
      <c r="R6713">
        <v>0.86326069999999999</v>
      </c>
      <c r="S6713">
        <v>1.2373050000000001</v>
      </c>
      <c r="T6713">
        <v>8.4044339999999995E-2</v>
      </c>
      <c r="U6713">
        <v>2.8222960000000001</v>
      </c>
      <c r="V6713">
        <v>-0.28448430000000002</v>
      </c>
      <c r="W6713">
        <v>0.25565369999999998</v>
      </c>
      <c r="X6713">
        <v>0.92396420000000001</v>
      </c>
      <c r="Y6713">
        <v>-0.34617789999999998</v>
      </c>
      <c r="Z6713">
        <v>2.838452E-2</v>
      </c>
      <c r="AA6713">
        <v>0.9377394</v>
      </c>
      <c r="AB6713">
        <v>21</v>
      </c>
      <c r="AC6713">
        <v>27.371599999999901</v>
      </c>
      <c r="AD6713">
        <v>1.86859</v>
      </c>
      <c r="AE6713">
        <v>62.590950999999997</v>
      </c>
      <c r="AF6713">
        <v>-23.672708455853002</v>
      </c>
      <c r="AG6713">
        <v>1.86859</v>
      </c>
      <c r="AH6713">
        <v>64.027018360363002</v>
      </c>
      <c r="AI6713">
        <v>88.432014803992104</v>
      </c>
      <c r="AJ6713">
        <v>110.290864639041</v>
      </c>
      <c r="AK6713">
        <v>68.288709420680803</v>
      </c>
      <c r="AL6713">
        <v>75.187676414582796</v>
      </c>
      <c r="AM6713">
        <v>107.113356782574</v>
      </c>
      <c r="AN6713">
        <v>0.99999998707590898</v>
      </c>
    </row>
    <row r="6714" spans="1:40" x14ac:dyDescent="0.25">
      <c r="A6714" t="str">
        <f>"20190304155804146"</f>
        <v>20190304155804146</v>
      </c>
      <c r="B6714" t="str">
        <f>"1551686284141251"</f>
        <v>1551686284141251</v>
      </c>
      <c r="C6714" t="s">
        <v>40</v>
      </c>
      <c r="D6714">
        <v>4.9925660000000001</v>
      </c>
      <c r="E6714">
        <v>0.4617734</v>
      </c>
      <c r="F6714" t="s">
        <v>98</v>
      </c>
      <c r="G6714">
        <v>-168.30510000000001</v>
      </c>
      <c r="H6714">
        <v>0.78508089999999997</v>
      </c>
      <c r="I6714">
        <v>7.3802289999999902</v>
      </c>
      <c r="J6714">
        <v>-194.8913</v>
      </c>
      <c r="K6714">
        <v>1.1158600000000001</v>
      </c>
      <c r="L6714">
        <v>-55.061250000000001</v>
      </c>
      <c r="M6714">
        <v>0.68714169999999997</v>
      </c>
      <c r="N6714">
        <v>-1.432899E-2</v>
      </c>
      <c r="O6714">
        <v>0.72638210000000003</v>
      </c>
      <c r="P6714">
        <v>0.43269400000000002</v>
      </c>
      <c r="Q6714">
        <v>0.2467047</v>
      </c>
      <c r="R6714">
        <v>0.86712900000000004</v>
      </c>
      <c r="S6714">
        <v>1.2194210000000001</v>
      </c>
      <c r="T6714">
        <v>-1.510358E-2</v>
      </c>
      <c r="U6714">
        <v>2.856903</v>
      </c>
      <c r="V6714">
        <v>-0.2848098</v>
      </c>
      <c r="W6714">
        <v>0.256411</v>
      </c>
      <c r="X6714">
        <v>0.92365399999999998</v>
      </c>
      <c r="Y6714">
        <v>-0.34683259999999899</v>
      </c>
      <c r="Z6714">
        <v>9.2379390000000006E-3</v>
      </c>
      <c r="AA6714">
        <v>0.93788159999999998</v>
      </c>
      <c r="AB6714">
        <v>21</v>
      </c>
      <c r="AC6714">
        <v>26.586199999999899</v>
      </c>
      <c r="AD6714">
        <v>-0.33077909999999999</v>
      </c>
      <c r="AE6714">
        <v>62.441479000000001</v>
      </c>
      <c r="AF6714">
        <v>-23.596266369108601</v>
      </c>
      <c r="AG6714">
        <v>-0.33077909999999999</v>
      </c>
      <c r="AH6714">
        <v>63.629880730338201</v>
      </c>
      <c r="AI6714">
        <v>90.279265132480404</v>
      </c>
      <c r="AJ6714">
        <v>110.34660631673199</v>
      </c>
      <c r="AK6714">
        <v>67.864975673258598</v>
      </c>
      <c r="AL6714">
        <v>75.1427898814961</v>
      </c>
      <c r="AM6714">
        <v>107.13720821896101</v>
      </c>
      <c r="AN6714">
        <v>0.99999996740651897</v>
      </c>
    </row>
    <row r="6715" spans="1:40" x14ac:dyDescent="0.25">
      <c r="A6715" t="str">
        <f>"20190304155804171"</f>
        <v>20190304155804171</v>
      </c>
      <c r="B6715" t="str">
        <f>"1551686284160770"</f>
        <v>1551686284160770</v>
      </c>
      <c r="C6715" t="s">
        <v>40</v>
      </c>
      <c r="D6715">
        <v>4.545337</v>
      </c>
      <c r="E6715">
        <v>0.47718070000000001</v>
      </c>
      <c r="F6715" t="s">
        <v>99</v>
      </c>
      <c r="G6715">
        <v>-164.7533</v>
      </c>
      <c r="H6715">
        <v>20.217089999999999</v>
      </c>
      <c r="I6715">
        <v>25.184899999999999</v>
      </c>
      <c r="J6715">
        <v>-194.73929999999999</v>
      </c>
      <c r="K6715">
        <v>1.1157029999999999</v>
      </c>
      <c r="L6715">
        <v>-54.883209999999998</v>
      </c>
      <c r="M6715">
        <v>0.67976020000000004</v>
      </c>
      <c r="N6715">
        <v>-1.4286999999999999E-2</v>
      </c>
      <c r="O6715">
        <v>0.73329529999999998</v>
      </c>
      <c r="P6715">
        <v>0.42411199999999999</v>
      </c>
      <c r="Q6715">
        <v>0.24785750000000001</v>
      </c>
      <c r="R6715">
        <v>0.87103140000000001</v>
      </c>
      <c r="S6715">
        <v>1.0352330000000001</v>
      </c>
      <c r="T6715">
        <v>0.65612329999999996</v>
      </c>
      <c r="U6715">
        <v>2.7564389999999999</v>
      </c>
      <c r="V6715">
        <v>-0.28427639999999998</v>
      </c>
      <c r="W6715">
        <v>0.25763960000000002</v>
      </c>
      <c r="X6715">
        <v>0.92347650000000003</v>
      </c>
      <c r="Y6715">
        <v>-0.383349</v>
      </c>
      <c r="Z6715">
        <v>0.142845899999999</v>
      </c>
      <c r="AA6715">
        <v>0.91249029999999998</v>
      </c>
      <c r="AB6715">
        <v>21</v>
      </c>
      <c r="AC6715">
        <v>29.985999999999901</v>
      </c>
      <c r="AD6715">
        <v>19.101386999999999</v>
      </c>
      <c r="AE6715">
        <v>80.068109999999905</v>
      </c>
      <c r="AF6715">
        <v>-30.899559885250799</v>
      </c>
      <c r="AG6715">
        <v>19.101386999999999</v>
      </c>
      <c r="AH6715">
        <v>75.344312346576402</v>
      </c>
      <c r="AI6715">
        <v>76.799239695293494</v>
      </c>
      <c r="AJ6715">
        <v>112.299092163195</v>
      </c>
      <c r="AK6715">
        <v>83.644552658283899</v>
      </c>
      <c r="AL6715">
        <v>75.069950288950295</v>
      </c>
      <c r="AM6715">
        <v>107.110084564186</v>
      </c>
      <c r="AN6715">
        <v>1.00000004056868</v>
      </c>
    </row>
    <row r="6716" spans="1:40" x14ac:dyDescent="0.25">
      <c r="A6716" t="str">
        <f>"20190304155804191"</f>
        <v>20190304155804191</v>
      </c>
      <c r="B6716" t="str">
        <f>"1551686284181266"</f>
        <v>1551686284181266</v>
      </c>
      <c r="C6716" t="s">
        <v>40</v>
      </c>
      <c r="D6716">
        <v>4.6745489999999998</v>
      </c>
      <c r="E6716">
        <v>0.47763369999999999</v>
      </c>
      <c r="F6716" t="s">
        <v>98</v>
      </c>
      <c r="G6716">
        <v>-168.45050000000001</v>
      </c>
      <c r="H6716">
        <v>2.8398089999999998</v>
      </c>
      <c r="I6716">
        <v>8.0736919999999994</v>
      </c>
      <c r="J6716">
        <v>-194.62049999999999</v>
      </c>
      <c r="K6716">
        <v>1.115564</v>
      </c>
      <c r="L6716">
        <v>-54.741549999999997</v>
      </c>
      <c r="M6716">
        <v>0.6740429</v>
      </c>
      <c r="N6716">
        <v>-1.424598E-2</v>
      </c>
      <c r="O6716">
        <v>0.73855479999999996</v>
      </c>
      <c r="P6716">
        <v>0.4176474</v>
      </c>
      <c r="Q6716">
        <v>0.24905859999999999</v>
      </c>
      <c r="R6716">
        <v>0.87380800000000003</v>
      </c>
      <c r="S6716">
        <v>1.1875</v>
      </c>
      <c r="T6716">
        <v>7.7879909999999997E-2</v>
      </c>
      <c r="U6716">
        <v>2.843842</v>
      </c>
      <c r="V6716">
        <v>-0.28363709999999998</v>
      </c>
      <c r="W6716">
        <v>0.25890449999999998</v>
      </c>
      <c r="X6716">
        <v>0.92331929999999995</v>
      </c>
      <c r="Y6716">
        <v>-0.33767190000000002</v>
      </c>
      <c r="Z6716">
        <v>2.7886060000000001E-2</v>
      </c>
      <c r="AA6716">
        <v>0.94085070000000004</v>
      </c>
      <c r="AB6716">
        <v>21</v>
      </c>
      <c r="AC6716">
        <v>26.169999999999899</v>
      </c>
      <c r="AD6716">
        <v>1.72424499999999</v>
      </c>
      <c r="AE6716">
        <v>62.815241999999998</v>
      </c>
      <c r="AF6716">
        <v>-22.999757944729801</v>
      </c>
      <c r="AG6716">
        <v>1.72424499999999</v>
      </c>
      <c r="AH6716">
        <v>63.997612000851497</v>
      </c>
      <c r="AI6716">
        <v>88.547595533464005</v>
      </c>
      <c r="AJ6716">
        <v>109.767657193537</v>
      </c>
      <c r="AK6716">
        <v>68.026878718251595</v>
      </c>
      <c r="AL6716">
        <v>74.994931586610704</v>
      </c>
      <c r="AM6716">
        <v>107.07658417482899</v>
      </c>
      <c r="AN6716">
        <v>1.0000000371845701</v>
      </c>
    </row>
    <row r="6717" spans="1:40" x14ac:dyDescent="0.25">
      <c r="A6717" t="str">
        <f>"20190304155804213"</f>
        <v>20190304155804213</v>
      </c>
      <c r="B6717" t="str">
        <f>"1551686284211523"</f>
        <v>1551686284211523</v>
      </c>
      <c r="C6717" t="s">
        <v>40</v>
      </c>
      <c r="D6717">
        <v>4.4700129999999998</v>
      </c>
      <c r="E6717">
        <v>0.47504760000000001</v>
      </c>
      <c r="F6717" t="s">
        <v>98</v>
      </c>
      <c r="G6717">
        <v>-168.45050000000001</v>
      </c>
      <c r="H6717">
        <v>3.4605670000000002</v>
      </c>
      <c r="I6717">
        <v>8.9903530000000007</v>
      </c>
      <c r="J6717">
        <v>-194.4879</v>
      </c>
      <c r="K6717">
        <v>1.1154139999999999</v>
      </c>
      <c r="L6717">
        <v>-54.581240000000001</v>
      </c>
      <c r="M6717">
        <v>0.66771859999999905</v>
      </c>
      <c r="N6717">
        <v>-1.419437E-2</v>
      </c>
      <c r="O6717">
        <v>0.74427840000000001</v>
      </c>
      <c r="P6717">
        <v>0.4115048</v>
      </c>
      <c r="Q6717">
        <v>0.24996479999999999</v>
      </c>
      <c r="R6717">
        <v>0.87645960000000001</v>
      </c>
      <c r="S6717">
        <v>1.1682429999999999</v>
      </c>
      <c r="T6717">
        <v>0.1046822</v>
      </c>
      <c r="U6717">
        <v>2.8450319999999998</v>
      </c>
      <c r="V6717">
        <v>-0.28197709999999998</v>
      </c>
      <c r="W6717">
        <v>0.25988820000000001</v>
      </c>
      <c r="X6717">
        <v>0.92355129999999996</v>
      </c>
      <c r="Y6717">
        <v>-0.3353216</v>
      </c>
      <c r="Z6717">
        <v>3.3594569999999997E-2</v>
      </c>
      <c r="AA6717">
        <v>0.94150449999999997</v>
      </c>
      <c r="AB6717">
        <v>21</v>
      </c>
      <c r="AC6717">
        <v>26.037399999999899</v>
      </c>
      <c r="AD6717">
        <v>2.3451529999999998</v>
      </c>
      <c r="AE6717">
        <v>63.571593</v>
      </c>
      <c r="AF6717">
        <v>-23.044330336901499</v>
      </c>
      <c r="AG6717">
        <v>2.3451529999999998</v>
      </c>
      <c r="AH6717">
        <v>64.631820238904893</v>
      </c>
      <c r="AI6717">
        <v>88.042543489735095</v>
      </c>
      <c r="AJ6717">
        <v>109.623578571628</v>
      </c>
      <c r="AK6717">
        <v>68.657214410896103</v>
      </c>
      <c r="AL6717">
        <v>74.9365712972631</v>
      </c>
      <c r="AM6717">
        <v>106.978388787282</v>
      </c>
      <c r="AN6717">
        <v>0.99999998257766898</v>
      </c>
    </row>
    <row r="6718" spans="1:40" x14ac:dyDescent="0.25">
      <c r="A6718" t="str">
        <f>"20190304155804235"</f>
        <v>20190304155804235</v>
      </c>
      <c r="B6718" t="str">
        <f>"1551686284231043"</f>
        <v>1551686284231043</v>
      </c>
      <c r="C6718" t="s">
        <v>40</v>
      </c>
      <c r="D6718">
        <v>4.4762950000000004</v>
      </c>
      <c r="E6718">
        <v>0.4821704</v>
      </c>
      <c r="F6718" t="s">
        <v>99</v>
      </c>
      <c r="G6718">
        <v>-163.0274</v>
      </c>
      <c r="H6718">
        <v>5.099189</v>
      </c>
      <c r="I6718">
        <v>25.184909999999999</v>
      </c>
      <c r="J6718">
        <v>-194.35849999999999</v>
      </c>
      <c r="K6718">
        <v>1.115267</v>
      </c>
      <c r="L6718">
        <v>-54.42239</v>
      </c>
      <c r="M6718">
        <v>0.66160620000000003</v>
      </c>
      <c r="N6718">
        <v>-1.414467E-2</v>
      </c>
      <c r="O6718">
        <v>0.74971809999999905</v>
      </c>
      <c r="P6718">
        <v>0.4060047</v>
      </c>
      <c r="Q6718">
        <v>0.25059959999999998</v>
      </c>
      <c r="R6718">
        <v>0.87884010000000001</v>
      </c>
      <c r="S6718">
        <v>1.1255489999999999</v>
      </c>
      <c r="T6718">
        <v>0.14252579999999901</v>
      </c>
      <c r="U6718">
        <v>2.8537599999999999</v>
      </c>
      <c r="V6718">
        <v>-0.27999489999999999</v>
      </c>
      <c r="W6718">
        <v>0.26060270000000002</v>
      </c>
      <c r="X6718">
        <v>0.92395289999999997</v>
      </c>
      <c r="Y6718">
        <v>-0.3409123</v>
      </c>
      <c r="Z6718">
        <v>4.1643289999999999E-2</v>
      </c>
      <c r="AA6718">
        <v>0.93917229999999996</v>
      </c>
      <c r="AB6718">
        <v>21</v>
      </c>
      <c r="AC6718">
        <v>31.3310999999999</v>
      </c>
      <c r="AD6718">
        <v>3.9839220000000002</v>
      </c>
      <c r="AE6718">
        <v>79.607299999999995</v>
      </c>
      <c r="AF6718">
        <v>-29.118962597324</v>
      </c>
      <c r="AG6718">
        <v>3.9839220000000002</v>
      </c>
      <c r="AH6718">
        <v>80.245907976519703</v>
      </c>
      <c r="AI6718">
        <v>87.328011716955402</v>
      </c>
      <c r="AJ6718">
        <v>109.944397684867</v>
      </c>
      <c r="AK6718">
        <v>85.458711458940897</v>
      </c>
      <c r="AL6718">
        <v>74.894171789174493</v>
      </c>
      <c r="AM6718">
        <v>106.858919741809</v>
      </c>
      <c r="AN6718">
        <v>0.99999993634585205</v>
      </c>
    </row>
    <row r="6719" spans="1:40" x14ac:dyDescent="0.25">
      <c r="A6719" t="str">
        <f>"20190304155804257"</f>
        <v>20190304155804257</v>
      </c>
      <c r="B6719" t="str">
        <f>"1551686284251539"</f>
        <v>1551686284251539</v>
      </c>
      <c r="C6719" t="s">
        <v>40</v>
      </c>
      <c r="D6719">
        <v>4.4871460000000001</v>
      </c>
      <c r="E6719">
        <v>0.48686620000000003</v>
      </c>
      <c r="F6719" t="s">
        <v>98</v>
      </c>
      <c r="G6719">
        <v>-168.45050000000001</v>
      </c>
      <c r="H6719">
        <v>3.3004509999999998</v>
      </c>
      <c r="I6719">
        <v>8.9439240000000009</v>
      </c>
      <c r="J6719">
        <v>-194.2321</v>
      </c>
      <c r="K6719">
        <v>1.1151180000000001</v>
      </c>
      <c r="L6719">
        <v>-54.265140000000002</v>
      </c>
      <c r="M6719">
        <v>0.65572359999999996</v>
      </c>
      <c r="N6719">
        <v>-1.409618E-2</v>
      </c>
      <c r="O6719">
        <v>0.75486949999999997</v>
      </c>
      <c r="P6719">
        <v>0.40063559999999998</v>
      </c>
      <c r="Q6719">
        <v>0.25060260000000001</v>
      </c>
      <c r="R6719">
        <v>0.88129990000000002</v>
      </c>
      <c r="S6719">
        <v>1.164307</v>
      </c>
      <c r="T6719">
        <v>9.8202230000000001E-2</v>
      </c>
      <c r="U6719">
        <v>2.8476870000000001</v>
      </c>
      <c r="V6719">
        <v>-0.27830640000000001</v>
      </c>
      <c r="W6719">
        <v>0.26068419999999998</v>
      </c>
      <c r="X6719">
        <v>0.92444000000000004</v>
      </c>
      <c r="Y6719">
        <v>-0.32160889999999998</v>
      </c>
      <c r="Z6719">
        <v>3.2792309999999998E-2</v>
      </c>
      <c r="AA6719">
        <v>0.94630460000000005</v>
      </c>
      <c r="AB6719">
        <v>21</v>
      </c>
      <c r="AC6719">
        <v>25.781600000000001</v>
      </c>
      <c r="AD6719">
        <v>2.185333</v>
      </c>
      <c r="AE6719">
        <v>63.209063999999998</v>
      </c>
      <c r="AF6719">
        <v>-21.965604497288901</v>
      </c>
      <c r="AG6719">
        <v>2.185333</v>
      </c>
      <c r="AH6719">
        <v>64.560453771343305</v>
      </c>
      <c r="AI6719">
        <v>88.164560932755506</v>
      </c>
      <c r="AJ6719">
        <v>108.790005020904</v>
      </c>
      <c r="AK6719">
        <v>68.229873606902999</v>
      </c>
      <c r="AL6719">
        <v>74.889336123949505</v>
      </c>
      <c r="AM6719">
        <v>106.754633877934</v>
      </c>
      <c r="AN6719">
        <v>1.0000000090053001</v>
      </c>
    </row>
    <row r="6720" spans="1:40" x14ac:dyDescent="0.25">
      <c r="A6720" t="str">
        <f>"20190304155804282"</f>
        <v>20190304155804282</v>
      </c>
      <c r="B6720" t="str">
        <f>"1551686284271060"</f>
        <v>1551686284271060</v>
      </c>
      <c r="C6720" t="s">
        <v>40</v>
      </c>
      <c r="D6720">
        <v>4.5153939999999997</v>
      </c>
      <c r="E6720">
        <v>0.48974849999999998</v>
      </c>
      <c r="F6720" t="s">
        <v>98</v>
      </c>
      <c r="G6720">
        <v>-168.45050000000001</v>
      </c>
      <c r="H6720">
        <v>2.6058979999999998</v>
      </c>
      <c r="I6720">
        <v>7.6997910000000003</v>
      </c>
      <c r="J6720">
        <v>-194.08860000000001</v>
      </c>
      <c r="K6720">
        <v>1.1149279999999999</v>
      </c>
      <c r="L6720">
        <v>-54.084009999999999</v>
      </c>
      <c r="M6720">
        <v>0.64916739999999995</v>
      </c>
      <c r="N6720">
        <v>-1.4033550000000001E-2</v>
      </c>
      <c r="O6720">
        <v>0.76051610000000003</v>
      </c>
      <c r="P6720">
        <v>0.39332539999999999</v>
      </c>
      <c r="Q6720">
        <v>0.2496691</v>
      </c>
      <c r="R6720">
        <v>0.88485049999999899</v>
      </c>
      <c r="S6720">
        <v>1.1842349999999999</v>
      </c>
      <c r="T6720">
        <v>6.8476319999999993E-2</v>
      </c>
      <c r="U6720">
        <v>2.8462519999999998</v>
      </c>
      <c r="V6720">
        <v>-0.2780067</v>
      </c>
      <c r="W6720">
        <v>0.25982</v>
      </c>
      <c r="X6720">
        <v>0.92477339999999997</v>
      </c>
      <c r="Y6720">
        <v>-0.30743799999999999</v>
      </c>
      <c r="Z6720">
        <v>2.672449E-2</v>
      </c>
      <c r="AA6720">
        <v>0.95119279999999995</v>
      </c>
      <c r="AB6720">
        <v>21</v>
      </c>
      <c r="AC6720">
        <v>25.638100000000001</v>
      </c>
      <c r="AD6720">
        <v>1.4909699999999899</v>
      </c>
      <c r="AE6720">
        <v>61.783800999999997</v>
      </c>
      <c r="AF6720">
        <v>-20.601636417525501</v>
      </c>
      <c r="AG6720">
        <v>1.4909699999999899</v>
      </c>
      <c r="AH6720">
        <v>63.605661245374101</v>
      </c>
      <c r="AI6720">
        <v>88.722500984030503</v>
      </c>
      <c r="AJ6720">
        <v>107.946945476122</v>
      </c>
      <c r="AK6720">
        <v>66.875485471748902</v>
      </c>
      <c r="AL6720">
        <v>74.940618138907993</v>
      </c>
      <c r="AM6720">
        <v>106.731903962328</v>
      </c>
      <c r="AN6720">
        <v>0.99999999949622398</v>
      </c>
    </row>
    <row r="6721" spans="1:40" x14ac:dyDescent="0.25">
      <c r="A6721" t="str">
        <f>"20190304155804304"</f>
        <v>20190304155804304</v>
      </c>
      <c r="B6721" t="str">
        <f>"1551686284301315"</f>
        <v>1551686284301315</v>
      </c>
      <c r="C6721" t="s">
        <v>40</v>
      </c>
      <c r="D6721">
        <v>4.5772259999999996</v>
      </c>
      <c r="E6721">
        <v>0.49118909999999999</v>
      </c>
      <c r="F6721" t="s">
        <v>98</v>
      </c>
      <c r="G6721">
        <v>-168.45050000000001</v>
      </c>
      <c r="H6721">
        <v>2.0220850000000001</v>
      </c>
      <c r="I6721">
        <v>7.5956429999999902</v>
      </c>
      <c r="J6721">
        <v>-193.96600000000001</v>
      </c>
      <c r="K6721">
        <v>1.1147499999999999</v>
      </c>
      <c r="L6721">
        <v>-53.927250000000001</v>
      </c>
      <c r="M6721">
        <v>0.64369549999999998</v>
      </c>
      <c r="N6721">
        <v>-1.397201E-2</v>
      </c>
      <c r="O6721">
        <v>0.76515419999999901</v>
      </c>
      <c r="P6721">
        <v>0.38681199999999999</v>
      </c>
      <c r="Q6721">
        <v>0.24899080000000001</v>
      </c>
      <c r="R6721">
        <v>0.88790769999999997</v>
      </c>
      <c r="S6721">
        <v>1.185333</v>
      </c>
      <c r="T6721">
        <v>4.1940810000000002E-2</v>
      </c>
      <c r="U6721">
        <v>2.8516539999999999</v>
      </c>
      <c r="V6721">
        <v>-0.2781769</v>
      </c>
      <c r="W6721">
        <v>0.25919880000000001</v>
      </c>
      <c r="X6721">
        <v>0.92489650000000001</v>
      </c>
      <c r="Y6721">
        <v>-0.30084499999999997</v>
      </c>
      <c r="Z6721">
        <v>2.1120280000000002E-2</v>
      </c>
      <c r="AA6721">
        <v>0.95343920000000004</v>
      </c>
      <c r="AB6721">
        <v>21</v>
      </c>
      <c r="AC6721">
        <v>25.5154999999999</v>
      </c>
      <c r="AD6721">
        <v>0.907334999999999</v>
      </c>
      <c r="AE6721">
        <v>61.522893000000003</v>
      </c>
      <c r="AF6721">
        <v>-20.0769509849213</v>
      </c>
      <c r="AG6721">
        <v>0.907334999999999</v>
      </c>
      <c r="AH6721">
        <v>63.493126298150699</v>
      </c>
      <c r="AI6721">
        <v>89.219374020439304</v>
      </c>
      <c r="AJ6721">
        <v>107.547302556964</v>
      </c>
      <c r="AK6721">
        <v>66.597930183798297</v>
      </c>
      <c r="AL6721">
        <v>74.977472457256994</v>
      </c>
      <c r="AM6721">
        <v>106.739470899079</v>
      </c>
      <c r="AN6721">
        <v>0.99999997066364898</v>
      </c>
    </row>
    <row r="6722" spans="1:40" x14ac:dyDescent="0.25">
      <c r="A6722" t="str">
        <f>"20190304155804324"</f>
        <v>20190304155804324</v>
      </c>
      <c r="B6722" t="str">
        <f>"1551686284320835"</f>
        <v>1551686284320835</v>
      </c>
      <c r="C6722" t="s">
        <v>40</v>
      </c>
      <c r="D6722">
        <v>4.5513680000000001</v>
      </c>
      <c r="E6722">
        <v>0.49309160000000002</v>
      </c>
      <c r="F6722" t="s">
        <v>98</v>
      </c>
      <c r="G6722">
        <v>-168.45050000000001</v>
      </c>
      <c r="H6722">
        <v>1.801323</v>
      </c>
      <c r="I6722">
        <v>8.0105649999999997</v>
      </c>
      <c r="J6722">
        <v>-193.84790000000001</v>
      </c>
      <c r="K6722">
        <v>1.114563</v>
      </c>
      <c r="L6722">
        <v>-53.774509999999999</v>
      </c>
      <c r="M6722">
        <v>0.63856239999999997</v>
      </c>
      <c r="N6722">
        <v>-1.390778E-2</v>
      </c>
      <c r="O6722">
        <v>0.76944440000000003</v>
      </c>
      <c r="P6722">
        <v>0.38146469999999999</v>
      </c>
      <c r="Q6722">
        <v>0.24847159999999999</v>
      </c>
      <c r="R6722">
        <v>0.89036319999999902</v>
      </c>
      <c r="S6722">
        <v>1.176987</v>
      </c>
      <c r="T6722">
        <v>3.1670329999999997E-2</v>
      </c>
      <c r="U6722">
        <v>2.8570859999999998</v>
      </c>
      <c r="V6722">
        <v>-0.27752149999999998</v>
      </c>
      <c r="W6722">
        <v>0.2587525</v>
      </c>
      <c r="X6722">
        <v>0.92521830000000005</v>
      </c>
      <c r="Y6722">
        <v>-0.29745490000000002</v>
      </c>
      <c r="Z6722">
        <v>1.8943049999999999E-2</v>
      </c>
      <c r="AA6722">
        <v>0.9545479</v>
      </c>
      <c r="AB6722">
        <v>21</v>
      </c>
      <c r="AC6722">
        <v>25.397400000000001</v>
      </c>
      <c r="AD6722">
        <v>0.68676000000000004</v>
      </c>
      <c r="AE6722">
        <v>61.785074999999999</v>
      </c>
      <c r="AF6722">
        <v>-19.911559604722299</v>
      </c>
      <c r="AG6722">
        <v>0.68676000000000004</v>
      </c>
      <c r="AH6722">
        <v>63.757431602531199</v>
      </c>
      <c r="AI6722">
        <v>89.410921961449802</v>
      </c>
      <c r="AJ6722">
        <v>107.343677493241</v>
      </c>
      <c r="AK6722">
        <v>66.797843750688898</v>
      </c>
      <c r="AL6722">
        <v>75.003946770406699</v>
      </c>
      <c r="AM6722">
        <v>106.696744973264</v>
      </c>
      <c r="AN6722">
        <v>0.99999997093669402</v>
      </c>
    </row>
    <row r="6723" spans="1:40" x14ac:dyDescent="0.25">
      <c r="A6723" t="str">
        <f>"20190304155804347"</f>
        <v>20190304155804347</v>
      </c>
      <c r="B6723" t="str">
        <f>"1551686284341330"</f>
        <v>1551686284341330</v>
      </c>
      <c r="C6723" t="s">
        <v>40</v>
      </c>
      <c r="D6723">
        <v>4.5550850000000001</v>
      </c>
      <c r="E6723">
        <v>0.49442510000000001</v>
      </c>
      <c r="F6723" t="s">
        <v>98</v>
      </c>
      <c r="G6723">
        <v>-168.45050000000001</v>
      </c>
      <c r="H6723">
        <v>1.4648760000000001</v>
      </c>
      <c r="I6723">
        <v>8.0594789999999996</v>
      </c>
      <c r="J6723">
        <v>-193.72319999999999</v>
      </c>
      <c r="K6723">
        <v>1.11435</v>
      </c>
      <c r="L6723">
        <v>-53.61139</v>
      </c>
      <c r="M6723">
        <v>0.63330739999999996</v>
      </c>
      <c r="N6723">
        <v>-1.383553E-2</v>
      </c>
      <c r="O6723">
        <v>0.77377669999999998</v>
      </c>
      <c r="P6723">
        <v>0.3763879</v>
      </c>
      <c r="Q6723">
        <v>0.2487511</v>
      </c>
      <c r="R6723">
        <v>0.89244330000000005</v>
      </c>
      <c r="S6723">
        <v>1.175262</v>
      </c>
      <c r="T6723">
        <v>1.6210559999999999E-2</v>
      </c>
      <c r="U6723">
        <v>2.8613590000000002</v>
      </c>
      <c r="V6723">
        <v>-0.27630500000000002</v>
      </c>
      <c r="W6723">
        <v>0.25912059999999998</v>
      </c>
      <c r="X6723">
        <v>0.92547939999999995</v>
      </c>
      <c r="Y6723">
        <v>-0.29190179999999999</v>
      </c>
      <c r="Z6723">
        <v>1.557357E-2</v>
      </c>
      <c r="AA6723">
        <v>0.95632150000000005</v>
      </c>
      <c r="AB6723">
        <v>21</v>
      </c>
      <c r="AC6723">
        <v>25.272699999999901</v>
      </c>
      <c r="AD6723">
        <v>0.350526</v>
      </c>
      <c r="AE6723">
        <v>61.670869000000003</v>
      </c>
      <c r="AF6723">
        <v>-19.502517944267002</v>
      </c>
      <c r="AG6723">
        <v>0.350526</v>
      </c>
      <c r="AH6723">
        <v>63.729204573576901</v>
      </c>
      <c r="AI6723">
        <v>89.698656842777197</v>
      </c>
      <c r="AJ6723">
        <v>107.015246269901</v>
      </c>
      <c r="AK6723">
        <v>66.647449990408106</v>
      </c>
      <c r="AL6723">
        <v>74.982112380241901</v>
      </c>
      <c r="AM6723">
        <v>106.62317233380899</v>
      </c>
      <c r="AN6723">
        <v>1.00000002909685</v>
      </c>
    </row>
    <row r="6724" spans="1:40" x14ac:dyDescent="0.25">
      <c r="A6724" t="str">
        <f>"20190304155804368"</f>
        <v>20190304155804368</v>
      </c>
      <c r="B6724" t="str">
        <f>"1551686284360851"</f>
        <v>1551686284360851</v>
      </c>
      <c r="C6724" t="s">
        <v>40</v>
      </c>
      <c r="D6724">
        <v>4.6056509999999999</v>
      </c>
      <c r="E6724">
        <v>0.49579620000000002</v>
      </c>
      <c r="F6724" t="s">
        <v>98</v>
      </c>
      <c r="G6724">
        <v>-168.45050000000001</v>
      </c>
      <c r="H6724">
        <v>1.257612</v>
      </c>
      <c r="I6724">
        <v>8.3230319999999995</v>
      </c>
      <c r="J6724">
        <v>-193.60300000000001</v>
      </c>
      <c r="K6724">
        <v>1.114134</v>
      </c>
      <c r="L6724">
        <v>-53.452730000000003</v>
      </c>
      <c r="M6724">
        <v>0.62843800000000005</v>
      </c>
      <c r="N6724">
        <v>-1.375389E-2</v>
      </c>
      <c r="O6724">
        <v>0.77773809999999999</v>
      </c>
      <c r="P6724">
        <v>0.37199510000000002</v>
      </c>
      <c r="Q6724">
        <v>0.24965319999999999</v>
      </c>
      <c r="R6724">
        <v>0.89403189999999999</v>
      </c>
      <c r="S6724">
        <v>1.1696470000000001</v>
      </c>
      <c r="T6724">
        <v>6.6301819999999897E-3</v>
      </c>
      <c r="U6724">
        <v>2.8663940000000001</v>
      </c>
      <c r="V6724">
        <v>-0.27475539999999998</v>
      </c>
      <c r="W6724">
        <v>0.26010460000000002</v>
      </c>
      <c r="X6724">
        <v>0.92566470000000001</v>
      </c>
      <c r="Y6724">
        <v>-0.28806900000000002</v>
      </c>
      <c r="Z6724">
        <v>1.343747E-2</v>
      </c>
      <c r="AA6724">
        <v>0.95751540000000002</v>
      </c>
      <c r="AB6724">
        <v>21</v>
      </c>
      <c r="AC6724">
        <v>25.1524999999999</v>
      </c>
      <c r="AD6724">
        <v>0.14347799999999999</v>
      </c>
      <c r="AE6724">
        <v>61.775762</v>
      </c>
      <c r="AF6724">
        <v>-19.2619112082984</v>
      </c>
      <c r="AG6724">
        <v>0.14347799999999999</v>
      </c>
      <c r="AH6724">
        <v>63.857894045662498</v>
      </c>
      <c r="AI6724">
        <v>89.876751028254404</v>
      </c>
      <c r="AJ6724">
        <v>106.785260485121</v>
      </c>
      <c r="AK6724">
        <v>66.699868375281795</v>
      </c>
      <c r="AL6724">
        <v>74.923731709842997</v>
      </c>
      <c r="AM6724">
        <v>106.531919245705</v>
      </c>
      <c r="AN6724">
        <v>1.0000000347982001</v>
      </c>
    </row>
    <row r="6725" spans="1:40" x14ac:dyDescent="0.25">
      <c r="A6725" t="str">
        <f>"20190304155804392"</f>
        <v>20190304155804392</v>
      </c>
      <c r="B6725" t="str">
        <f>"1551686284381350"</f>
        <v>1551686284381350</v>
      </c>
      <c r="C6725" t="s">
        <v>40</v>
      </c>
      <c r="D6725">
        <v>4.3466370000000003</v>
      </c>
      <c r="E6725">
        <v>0.49674629999999997</v>
      </c>
      <c r="F6725" t="s">
        <v>98</v>
      </c>
      <c r="G6725">
        <v>-168.45050000000001</v>
      </c>
      <c r="H6725">
        <v>1.1999690000000001</v>
      </c>
      <c r="I6725">
        <v>8.3226720000000007</v>
      </c>
      <c r="J6725">
        <v>-193.47900000000001</v>
      </c>
      <c r="K6725">
        <v>1.113896</v>
      </c>
      <c r="L6725">
        <v>-53.287480000000002</v>
      </c>
      <c r="M6725">
        <v>0.62364379999999997</v>
      </c>
      <c r="N6725">
        <v>-1.365329E-2</v>
      </c>
      <c r="O6725">
        <v>0.78158939999999999</v>
      </c>
      <c r="P6725">
        <v>0.36665589999999998</v>
      </c>
      <c r="Q6725">
        <v>0.25012869999999998</v>
      </c>
      <c r="R6725">
        <v>0.89610219999999896</v>
      </c>
      <c r="S6725">
        <v>1.1679379999999999</v>
      </c>
      <c r="T6725">
        <v>3.9856429999999997E-3</v>
      </c>
      <c r="U6725">
        <v>2.8685</v>
      </c>
      <c r="V6725">
        <v>-0.27436129999999997</v>
      </c>
      <c r="W6725">
        <v>0.26063770000000003</v>
      </c>
      <c r="X6725">
        <v>0.9256316</v>
      </c>
      <c r="Y6725">
        <v>-0.28290539999999997</v>
      </c>
      <c r="Z6725">
        <v>1.2791810000000001E-2</v>
      </c>
      <c r="AA6725">
        <v>0.95906250000000004</v>
      </c>
      <c r="AB6725">
        <v>21</v>
      </c>
      <c r="AC6725">
        <v>25.028500000000001</v>
      </c>
      <c r="AD6725">
        <v>8.6072999999999997E-2</v>
      </c>
      <c r="AE6725">
        <v>61.610151999999999</v>
      </c>
      <c r="AF6725">
        <v>-18.8625056776904</v>
      </c>
      <c r="AG6725">
        <v>8.6072999999999997E-2</v>
      </c>
      <c r="AH6725">
        <v>63.768547922833903</v>
      </c>
      <c r="AI6725">
        <v>89.925840111481705</v>
      </c>
      <c r="AJ6725">
        <v>106.47802641494501</v>
      </c>
      <c r="AK6725">
        <v>66.499843858380601</v>
      </c>
      <c r="AL6725">
        <v>74.892095580619497</v>
      </c>
      <c r="AM6725">
        <v>106.510056408998</v>
      </c>
      <c r="AN6725">
        <v>0.99999999625877001</v>
      </c>
    </row>
    <row r="6726" spans="1:40" x14ac:dyDescent="0.25">
      <c r="A6726" t="str">
        <f>"20190304155804413"</f>
        <v>20190304155804413</v>
      </c>
      <c r="B6726" t="str">
        <f>"1551686284411603"</f>
        <v>1551686284411603</v>
      </c>
      <c r="C6726" t="s">
        <v>40</v>
      </c>
      <c r="D6726">
        <v>4.5559919999999998</v>
      </c>
      <c r="E6726">
        <v>0.49916690000000002</v>
      </c>
      <c r="F6726" t="s">
        <v>98</v>
      </c>
      <c r="G6726">
        <v>-168.45050000000001</v>
      </c>
      <c r="H6726">
        <v>1.165597</v>
      </c>
      <c r="I6726">
        <v>8.6877589999999998</v>
      </c>
      <c r="J6726">
        <v>-193.3578</v>
      </c>
      <c r="K6726">
        <v>1.1136539999999999</v>
      </c>
      <c r="L6726">
        <v>-53.124569999999999</v>
      </c>
      <c r="M6726">
        <v>0.61919559999999996</v>
      </c>
      <c r="N6726">
        <v>-1.354063E-2</v>
      </c>
      <c r="O6726">
        <v>0.78512009999999999</v>
      </c>
      <c r="P6726">
        <v>0.36192029999999997</v>
      </c>
      <c r="Q6726">
        <v>0.2474027</v>
      </c>
      <c r="R6726">
        <v>0.89878009999999997</v>
      </c>
      <c r="S6726">
        <v>1.1600490000000001</v>
      </c>
      <c r="T6726">
        <v>2.396226E-3</v>
      </c>
      <c r="U6726">
        <v>2.8724980000000002</v>
      </c>
      <c r="V6726">
        <v>-0.27430080000000001</v>
      </c>
      <c r="W6726">
        <v>0.2579592</v>
      </c>
      <c r="X6726">
        <v>0.92639950000000004</v>
      </c>
      <c r="Y6726">
        <v>-0.28018219999999999</v>
      </c>
      <c r="Z6726">
        <v>1.236948E-2</v>
      </c>
      <c r="AA6726">
        <v>0.95986720000000003</v>
      </c>
      <c r="AB6726">
        <v>21</v>
      </c>
      <c r="AC6726">
        <v>24.9072999999999</v>
      </c>
      <c r="AD6726">
        <v>5.1942999999999802E-2</v>
      </c>
      <c r="AE6726">
        <v>61.812328999999998</v>
      </c>
      <c r="AF6726">
        <v>-18.720404122621801</v>
      </c>
      <c r="AG6726">
        <v>5.1942999999999802E-2</v>
      </c>
      <c r="AH6726">
        <v>63.958413700109702</v>
      </c>
      <c r="AI6726">
        <v>89.955341644946799</v>
      </c>
      <c r="AJ6726">
        <v>106.314568983317</v>
      </c>
      <c r="AK6726">
        <v>66.641840547991293</v>
      </c>
      <c r="AL6726">
        <v>75.050996641268796</v>
      </c>
      <c r="AM6726">
        <v>106.493675174572</v>
      </c>
      <c r="AN6726">
        <v>0.99999995567276401</v>
      </c>
    </row>
    <row r="6727" spans="1:40" x14ac:dyDescent="0.25">
      <c r="A6727" t="str">
        <f>"20190304155804436"</f>
        <v>20190304155804436</v>
      </c>
      <c r="B6727" t="str">
        <f>"1551686284431123"</f>
        <v>1551686284431123</v>
      </c>
      <c r="C6727" t="s">
        <v>40</v>
      </c>
      <c r="D6727">
        <v>4.6405010000000004</v>
      </c>
      <c r="E6727">
        <v>0.50088650000000001</v>
      </c>
      <c r="F6727" t="s">
        <v>98</v>
      </c>
      <c r="G6727">
        <v>-168.45050000000001</v>
      </c>
      <c r="H6727">
        <v>0.91766449999999999</v>
      </c>
      <c r="I6727">
        <v>8.3579240000000006</v>
      </c>
      <c r="J6727">
        <v>-193.23230000000001</v>
      </c>
      <c r="K6727">
        <v>1.113453</v>
      </c>
      <c r="L6727">
        <v>-52.95438</v>
      </c>
      <c r="M6727">
        <v>0.61476769999999903</v>
      </c>
      <c r="N6727">
        <v>-1.342117E-2</v>
      </c>
      <c r="O6727">
        <v>0.78859409999999996</v>
      </c>
      <c r="P6727">
        <v>0.35672920000000002</v>
      </c>
      <c r="Q6727">
        <v>0.24579490000000001</v>
      </c>
      <c r="R6727">
        <v>0.90129300000000001</v>
      </c>
      <c r="S6727">
        <v>1.1634370000000001</v>
      </c>
      <c r="T6727">
        <v>-9.1549160000000008E-3</v>
      </c>
      <c r="U6727">
        <v>2.8718870000000001</v>
      </c>
      <c r="V6727">
        <v>-0.27457730000000002</v>
      </c>
      <c r="W6727">
        <v>0.25636209999999998</v>
      </c>
      <c r="X6727">
        <v>0.9267609</v>
      </c>
      <c r="Y6727">
        <v>-0.27370809999999901</v>
      </c>
      <c r="Z6727">
        <v>9.6595819999999999E-3</v>
      </c>
      <c r="AA6727">
        <v>0.96176430000000002</v>
      </c>
      <c r="AB6727">
        <v>21</v>
      </c>
      <c r="AC6727">
        <v>24.7818</v>
      </c>
      <c r="AD6727">
        <v>-0.1957885</v>
      </c>
      <c r="AE6727">
        <v>61.312303999999997</v>
      </c>
      <c r="AF6727">
        <v>-18.1515176531788</v>
      </c>
      <c r="AG6727">
        <v>-0.1957885</v>
      </c>
      <c r="AH6727">
        <v>63.590738120022401</v>
      </c>
      <c r="AI6727">
        <v>90.169631270610097</v>
      </c>
      <c r="AJ6727">
        <v>105.931013270647</v>
      </c>
      <c r="AK6727">
        <v>66.1309148651345</v>
      </c>
      <c r="AL6727">
        <v>75.145688921740202</v>
      </c>
      <c r="AM6727">
        <v>106.503308681506</v>
      </c>
      <c r="AN6727">
        <v>0.99999999288025498</v>
      </c>
    </row>
    <row r="6728" spans="1:40" x14ac:dyDescent="0.25">
      <c r="A6728" t="str">
        <f>"20190304155804459"</f>
        <v>20190304155804459</v>
      </c>
      <c r="B6728" t="str">
        <f>"1551686284451620"</f>
        <v>1551686284451620</v>
      </c>
      <c r="C6728" t="s">
        <v>40</v>
      </c>
      <c r="D6728">
        <v>4.5623449999999997</v>
      </c>
      <c r="E6728">
        <v>0.50197760000000002</v>
      </c>
      <c r="F6728" t="s">
        <v>98</v>
      </c>
      <c r="G6728">
        <v>-168.45050000000001</v>
      </c>
      <c r="H6728">
        <v>0.72707650000000001</v>
      </c>
      <c r="I6728">
        <v>8.3887539999999898</v>
      </c>
      <c r="J6728">
        <v>-193.10810000000001</v>
      </c>
      <c r="K6728">
        <v>1.113294</v>
      </c>
      <c r="L6728">
        <v>-52.784700000000001</v>
      </c>
      <c r="M6728">
        <v>0.61056390000000005</v>
      </c>
      <c r="N6728">
        <v>-1.329639E-2</v>
      </c>
      <c r="O6728">
        <v>0.79185530000000004</v>
      </c>
      <c r="P6728">
        <v>0.35072759999999997</v>
      </c>
      <c r="Q6728">
        <v>0.24575040000000001</v>
      </c>
      <c r="R6728">
        <v>0.9036575</v>
      </c>
      <c r="S6728">
        <v>1.161041</v>
      </c>
      <c r="T6728">
        <v>-1.8102050000000001E-2</v>
      </c>
      <c r="U6728">
        <v>2.8739620000000001</v>
      </c>
      <c r="V6728">
        <v>-0.2757288</v>
      </c>
      <c r="W6728">
        <v>0.25628610000000002</v>
      </c>
      <c r="X6728">
        <v>0.92644000000000004</v>
      </c>
      <c r="Y6728">
        <v>-0.26950489999999999</v>
      </c>
      <c r="Z6728">
        <v>7.5095159999999999E-3</v>
      </c>
      <c r="AA6728">
        <v>0.96296970000000004</v>
      </c>
      <c r="AB6728">
        <v>21</v>
      </c>
      <c r="AC6728">
        <v>24.657599999999999</v>
      </c>
      <c r="AD6728">
        <v>-0.38621749999999999</v>
      </c>
      <c r="AE6728">
        <v>61.173454</v>
      </c>
      <c r="AF6728">
        <v>-17.826017072996201</v>
      </c>
      <c r="AG6728">
        <v>-0.38621749999999999</v>
      </c>
      <c r="AH6728">
        <v>63.499004045670901</v>
      </c>
      <c r="AI6728">
        <v>90.335513855254405</v>
      </c>
      <c r="AJ6728">
        <v>105.68097547447501</v>
      </c>
      <c r="AK6728">
        <v>65.954829720318301</v>
      </c>
      <c r="AL6728">
        <v>75.150194091220797</v>
      </c>
      <c r="AM6728">
        <v>106.574156011131</v>
      </c>
      <c r="AN6728">
        <v>1.00000000490132</v>
      </c>
    </row>
    <row r="6729" spans="1:40" x14ac:dyDescent="0.25">
      <c r="A6729" t="str">
        <f>"20190304155804481"</f>
        <v>20190304155804481</v>
      </c>
      <c r="B6729" t="str">
        <f>"1551686284471139"</f>
        <v>1551686284471139</v>
      </c>
      <c r="C6729" t="s">
        <v>40</v>
      </c>
      <c r="D6729">
        <v>4.588984</v>
      </c>
      <c r="E6729">
        <v>0.50280000000000002</v>
      </c>
      <c r="F6729" t="s">
        <v>98</v>
      </c>
      <c r="G6729">
        <v>-168.45050000000001</v>
      </c>
      <c r="H6729">
        <v>0.71083739999999995</v>
      </c>
      <c r="I6729">
        <v>8.72984299999999</v>
      </c>
      <c r="J6729">
        <v>-192.98500000000001</v>
      </c>
      <c r="K6729">
        <v>1.1131470000000001</v>
      </c>
      <c r="L6729">
        <v>-52.615110000000001</v>
      </c>
      <c r="M6729">
        <v>0.60658009999999996</v>
      </c>
      <c r="N6729">
        <v>-1.31567E-2</v>
      </c>
      <c r="O6729">
        <v>0.79491350000000005</v>
      </c>
      <c r="P6729">
        <v>0.34516669999999999</v>
      </c>
      <c r="Q6729">
        <v>0.24510000000000001</v>
      </c>
      <c r="R6729">
        <v>0.90597240000000001</v>
      </c>
      <c r="S6729">
        <v>1.153351</v>
      </c>
      <c r="T6729">
        <v>-1.8824819999999999E-2</v>
      </c>
      <c r="U6729">
        <v>2.877319</v>
      </c>
      <c r="V6729">
        <v>-0.27679389999999998</v>
      </c>
      <c r="W6729">
        <v>0.25558409999999998</v>
      </c>
      <c r="X6729">
        <v>0.92631629999999998</v>
      </c>
      <c r="Y6729">
        <v>-0.26727240000000002</v>
      </c>
      <c r="Z6729">
        <v>7.2197679999999997E-3</v>
      </c>
      <c r="AA6729">
        <v>0.96359399999999995</v>
      </c>
      <c r="AB6729">
        <v>21</v>
      </c>
      <c r="AC6729">
        <v>24.534500000000001</v>
      </c>
      <c r="AD6729">
        <v>-0.40230959999999899</v>
      </c>
      <c r="AE6729">
        <v>61.344952999999897</v>
      </c>
      <c r="AF6729">
        <v>-17.708698745390699</v>
      </c>
      <c r="AG6729">
        <v>-0.40230959999999899</v>
      </c>
      <c r="AH6729">
        <v>63.649220337264197</v>
      </c>
      <c r="AI6729">
        <v>90.348894745085303</v>
      </c>
      <c r="AJ6729">
        <v>105.54780845674701</v>
      </c>
      <c r="AK6729">
        <v>66.068018842786998</v>
      </c>
      <c r="AL6729">
        <v>75.191801303518005</v>
      </c>
      <c r="AM6729">
        <v>106.636746809013</v>
      </c>
      <c r="AN6729">
        <v>0.99999999144785401</v>
      </c>
    </row>
    <row r="6730" spans="1:40" x14ac:dyDescent="0.25">
      <c r="A6730" t="str">
        <f>"20190304155804505"</f>
        <v>20190304155804505</v>
      </c>
      <c r="B6730" t="str">
        <f>"1551686284501395"</f>
        <v>1551686284501395</v>
      </c>
      <c r="C6730" t="s">
        <v>40</v>
      </c>
      <c r="D6730">
        <v>4.5712270000000004</v>
      </c>
      <c r="E6730">
        <v>0.50430920000000001</v>
      </c>
      <c r="F6730" t="s">
        <v>98</v>
      </c>
      <c r="G6730">
        <v>-168.45050000000001</v>
      </c>
      <c r="H6730">
        <v>0.68350789999999995</v>
      </c>
      <c r="I6730">
        <v>9.1804260000000006</v>
      </c>
      <c r="J6730">
        <v>-192.8622</v>
      </c>
      <c r="K6730">
        <v>1.112992</v>
      </c>
      <c r="L6730">
        <v>-52.44455</v>
      </c>
      <c r="M6730">
        <v>0.60278989999999999</v>
      </c>
      <c r="N6730">
        <v>-1.3002390000000001E-2</v>
      </c>
      <c r="O6730">
        <v>0.797794</v>
      </c>
      <c r="P6730">
        <v>0.34076640000000002</v>
      </c>
      <c r="Q6730">
        <v>0.24267569999999999</v>
      </c>
      <c r="R6730">
        <v>0.90828779999999998</v>
      </c>
      <c r="S6730">
        <v>1.143829</v>
      </c>
      <c r="T6730">
        <v>-2.003038E-2</v>
      </c>
      <c r="U6730">
        <v>2.8809809999999998</v>
      </c>
      <c r="V6730">
        <v>-0.27717190000000003</v>
      </c>
      <c r="W6730">
        <v>0.25311270000000002</v>
      </c>
      <c r="X6730">
        <v>0.92688170000000003</v>
      </c>
      <c r="Y6730">
        <v>-0.26585409999999998</v>
      </c>
      <c r="Z6730">
        <v>6.8071140000000004E-3</v>
      </c>
      <c r="AA6730">
        <v>0.96398930000000005</v>
      </c>
      <c r="AB6730">
        <v>21</v>
      </c>
      <c r="AC6730">
        <v>24.4117</v>
      </c>
      <c r="AD6730">
        <v>-0.42948409999999898</v>
      </c>
      <c r="AE6730">
        <v>61.624975999999997</v>
      </c>
      <c r="AF6730">
        <v>-17.672157436841498</v>
      </c>
      <c r="AG6730">
        <v>-0.42948409999999898</v>
      </c>
      <c r="AH6730">
        <v>63.881881042003997</v>
      </c>
      <c r="AI6730">
        <v>90.371255728395795</v>
      </c>
      <c r="AJ6730">
        <v>105.463468065196</v>
      </c>
      <c r="AK6730">
        <v>66.282609563364502</v>
      </c>
      <c r="AL6730">
        <v>75.338217406035795</v>
      </c>
      <c r="AM6730">
        <v>106.64860949357799</v>
      </c>
      <c r="AN6730">
        <v>0.99999999342289503</v>
      </c>
    </row>
    <row r="6731" spans="1:40" x14ac:dyDescent="0.25">
      <c r="A6731" t="str">
        <f>"20190304155804526"</f>
        <v>20190304155804526</v>
      </c>
      <c r="B6731" t="str">
        <f>"1551686284520915"</f>
        <v>1551686284520915</v>
      </c>
      <c r="C6731" t="s">
        <v>40</v>
      </c>
      <c r="D6731">
        <v>4.6257330000000003</v>
      </c>
      <c r="E6731">
        <v>0.50464209999999998</v>
      </c>
      <c r="F6731" t="s">
        <v>98</v>
      </c>
      <c r="G6731">
        <v>-168.45050000000001</v>
      </c>
      <c r="H6731">
        <v>0.43181510000000001</v>
      </c>
      <c r="I6731">
        <v>9.1840150000000005</v>
      </c>
      <c r="J6731">
        <v>-192.7448</v>
      </c>
      <c r="K6731">
        <v>1.1128260000000001</v>
      </c>
      <c r="L6731">
        <v>-52.28049</v>
      </c>
      <c r="M6731">
        <v>0.59933559999999997</v>
      </c>
      <c r="N6731">
        <v>-1.285095E-2</v>
      </c>
      <c r="O6731">
        <v>0.80039479999999996</v>
      </c>
      <c r="P6731">
        <v>0.33634190000000003</v>
      </c>
      <c r="Q6731">
        <v>0.24042140000000001</v>
      </c>
      <c r="R6731">
        <v>0.9105337</v>
      </c>
      <c r="S6731">
        <v>1.141983</v>
      </c>
      <c r="T6731">
        <v>-3.186572E-2</v>
      </c>
      <c r="U6731">
        <v>2.8829959999999999</v>
      </c>
      <c r="V6731">
        <v>-0.27793319999999999</v>
      </c>
      <c r="W6731">
        <v>0.25081419999999999</v>
      </c>
      <c r="X6731">
        <v>0.92727850000000001</v>
      </c>
      <c r="Y6731">
        <v>-0.26243490000000003</v>
      </c>
      <c r="Z6731">
        <v>3.9130570000000002E-3</v>
      </c>
      <c r="AA6731">
        <v>0.96494170000000001</v>
      </c>
      <c r="AB6731">
        <v>21</v>
      </c>
      <c r="AC6731">
        <v>24.2943</v>
      </c>
      <c r="AD6731">
        <v>-0.68101089999999997</v>
      </c>
      <c r="AE6731">
        <v>61.464505000000003</v>
      </c>
      <c r="AF6731">
        <v>-17.392423090572802</v>
      </c>
      <c r="AG6731">
        <v>-0.68101089999999997</v>
      </c>
      <c r="AH6731">
        <v>63.754800622641397</v>
      </c>
      <c r="AI6731">
        <v>90.590420223621095</v>
      </c>
      <c r="AJ6731">
        <v>105.259092034956</v>
      </c>
      <c r="AK6731">
        <v>66.088083337619693</v>
      </c>
      <c r="AL6731">
        <v>75.474302753229296</v>
      </c>
      <c r="AM6731">
        <v>106.685051508483</v>
      </c>
      <c r="AN6731">
        <v>1.00000002157306</v>
      </c>
    </row>
    <row r="6732" spans="1:40" x14ac:dyDescent="0.25">
      <c r="A6732" t="str">
        <f>"20190304155804548"</f>
        <v>20190304155804548</v>
      </c>
      <c r="B6732" t="str">
        <f>"1551686284541411"</f>
        <v>1551686284541411</v>
      </c>
      <c r="C6732" t="s">
        <v>40</v>
      </c>
      <c r="D6732">
        <v>4.5732790000000003</v>
      </c>
      <c r="E6732">
        <v>0.50516110000000003</v>
      </c>
      <c r="F6732" t="s">
        <v>98</v>
      </c>
      <c r="G6732">
        <v>-168.45050000000001</v>
      </c>
      <c r="H6732">
        <v>0.44609260000000001</v>
      </c>
      <c r="I6732">
        <v>9.7836320000000008</v>
      </c>
      <c r="J6732">
        <v>-192.62790000000001</v>
      </c>
      <c r="K6732">
        <v>1.1126499999999999</v>
      </c>
      <c r="L6732">
        <v>-52.116210000000002</v>
      </c>
      <c r="M6732">
        <v>0.59604569999999901</v>
      </c>
      <c r="N6732">
        <v>-1.269814E-2</v>
      </c>
      <c r="O6732">
        <v>0.80285010000000001</v>
      </c>
      <c r="P6732">
        <v>0.33435589999999998</v>
      </c>
      <c r="Q6732">
        <v>0.23856040000000001</v>
      </c>
      <c r="R6732">
        <v>0.91175379999999995</v>
      </c>
      <c r="S6732">
        <v>1.129578</v>
      </c>
      <c r="T6732">
        <v>-3.1000260000000002E-2</v>
      </c>
      <c r="U6732">
        <v>2.8857119999999998</v>
      </c>
      <c r="V6732">
        <v>-0.2763332</v>
      </c>
      <c r="W6732">
        <v>0.24893090000000001</v>
      </c>
      <c r="X6732">
        <v>0.92826359999999997</v>
      </c>
      <c r="Y6732">
        <v>-0.26237759999999999</v>
      </c>
      <c r="Z6732">
        <v>3.9710700000000002E-3</v>
      </c>
      <c r="AA6732">
        <v>0.96495710000000001</v>
      </c>
      <c r="AB6732">
        <v>21</v>
      </c>
      <c r="AC6732">
        <v>24.177399999999999</v>
      </c>
      <c r="AD6732">
        <v>-0.66655739999999997</v>
      </c>
      <c r="AE6732">
        <v>61.8998419999999</v>
      </c>
      <c r="AF6732">
        <v>-17.483957380023199</v>
      </c>
      <c r="AG6732">
        <v>-0.66655739999999997</v>
      </c>
      <c r="AH6732">
        <v>64.105849040985007</v>
      </c>
      <c r="AI6732">
        <v>90.574735517912202</v>
      </c>
      <c r="AJ6732">
        <v>105.255571255712</v>
      </c>
      <c r="AK6732">
        <v>66.450680551063797</v>
      </c>
      <c r="AL6732">
        <v>75.585742187716605</v>
      </c>
      <c r="AM6732">
        <v>106.577651953941</v>
      </c>
      <c r="AN6732">
        <v>0.999999970741004</v>
      </c>
    </row>
    <row r="6733" spans="1:40" x14ac:dyDescent="0.25">
      <c r="A6733" t="str">
        <f>"20190304155804571"</f>
        <v>20190304155804571</v>
      </c>
      <c r="B6733" t="str">
        <f>"1551686284560931"</f>
        <v>1551686284560931</v>
      </c>
      <c r="C6733" t="s">
        <v>40</v>
      </c>
      <c r="D6733">
        <v>4.5420170000000004</v>
      </c>
      <c r="E6733">
        <v>0.53387519999999999</v>
      </c>
      <c r="F6733" t="s">
        <v>98</v>
      </c>
      <c r="G6733">
        <v>-168.45050000000001</v>
      </c>
      <c r="H6733">
        <v>0.32232569999999999</v>
      </c>
      <c r="I6733">
        <v>9.956861</v>
      </c>
      <c r="J6733">
        <v>-192.50380000000001</v>
      </c>
      <c r="K6733">
        <v>1.112474</v>
      </c>
      <c r="L6733">
        <v>-51.940669999999997</v>
      </c>
      <c r="M6733">
        <v>0.59270649999999903</v>
      </c>
      <c r="N6733">
        <v>-1.2531810000000001E-2</v>
      </c>
      <c r="O6733">
        <v>0.80532099999999995</v>
      </c>
      <c r="P6733">
        <v>0.33282709999999999</v>
      </c>
      <c r="Q6733">
        <v>0.23517589999999999</v>
      </c>
      <c r="R6733">
        <v>0.91319139999999999</v>
      </c>
      <c r="S6733">
        <v>1.124695</v>
      </c>
      <c r="T6733">
        <v>-3.6764739999999997E-2</v>
      </c>
      <c r="U6733">
        <v>2.887543</v>
      </c>
      <c r="V6733">
        <v>-0.27444180000000001</v>
      </c>
      <c r="W6733">
        <v>0.2455137</v>
      </c>
      <c r="X6733">
        <v>0.9297337</v>
      </c>
      <c r="Y6733">
        <v>-0.25998710000000003</v>
      </c>
      <c r="Z6733">
        <v>2.451291E-3</v>
      </c>
      <c r="AA6733">
        <v>0.96560900000000005</v>
      </c>
      <c r="AB6733">
        <v>21</v>
      </c>
      <c r="AC6733">
        <v>24.0533</v>
      </c>
      <c r="AD6733">
        <v>-0.79014830000000003</v>
      </c>
      <c r="AE6733">
        <v>61.897531000000001</v>
      </c>
      <c r="AF6733">
        <v>-17.315350193630401</v>
      </c>
      <c r="AG6733">
        <v>-0.79014830000000003</v>
      </c>
      <c r="AH6733">
        <v>64.099889460977295</v>
      </c>
      <c r="AI6733">
        <v>90.681804005265107</v>
      </c>
      <c r="AJ6733">
        <v>105.116556447481</v>
      </c>
      <c r="AK6733">
        <v>66.402119812349</v>
      </c>
      <c r="AL6733">
        <v>75.787806402914995</v>
      </c>
      <c r="AM6733">
        <v>106.445716769513</v>
      </c>
      <c r="AN6733">
        <v>1.0000000156952999</v>
      </c>
    </row>
    <row r="6734" spans="1:40" x14ac:dyDescent="0.25">
      <c r="A6734" t="str">
        <f>"20190304155804594"</f>
        <v>20190304155804594</v>
      </c>
      <c r="B6734" t="str">
        <f>"1551686284591187"</f>
        <v>1551686284591187</v>
      </c>
      <c r="C6734" t="s">
        <v>40</v>
      </c>
      <c r="D6734">
        <v>4.555434</v>
      </c>
      <c r="E6734">
        <v>0.52944209999999903</v>
      </c>
      <c r="F6734" t="s">
        <v>99</v>
      </c>
      <c r="G6734">
        <v>-156.25149999999999</v>
      </c>
      <c r="H6734">
        <v>0.24216280000000001</v>
      </c>
      <c r="I6734">
        <v>24.523350000000001</v>
      </c>
      <c r="J6734">
        <v>-192.38339999999999</v>
      </c>
      <c r="K6734">
        <v>1.1123379999999901</v>
      </c>
      <c r="L6734">
        <v>-51.769410000000001</v>
      </c>
      <c r="M6734">
        <v>0.58961370000000002</v>
      </c>
      <c r="N6734">
        <v>-1.2376470000000001E-2</v>
      </c>
      <c r="O6734">
        <v>0.80759060000000005</v>
      </c>
      <c r="P6734">
        <v>0.33189390000000002</v>
      </c>
      <c r="Q6734">
        <v>0.23190820000000001</v>
      </c>
      <c r="R6734">
        <v>0.91436589999999995</v>
      </c>
      <c r="S6734">
        <v>1.331375</v>
      </c>
      <c r="T6734">
        <v>-3.196251E-2</v>
      </c>
      <c r="U6734">
        <v>2.8081670000000001</v>
      </c>
      <c r="V6734">
        <v>-0.27222980000000002</v>
      </c>
      <c r="W6734">
        <v>0.24219889999999999</v>
      </c>
      <c r="X6734">
        <v>0.93125219999999997</v>
      </c>
      <c r="Y6734">
        <v>-0.18678649999999999</v>
      </c>
      <c r="Z6734">
        <v>2.9491019999999999E-3</v>
      </c>
      <c r="AA6734">
        <v>0.98239609999999999</v>
      </c>
      <c r="AB6734">
        <v>21</v>
      </c>
      <c r="AC6734">
        <v>36.131900000000002</v>
      </c>
      <c r="AD6734">
        <v>-0.87017519999999904</v>
      </c>
      <c r="AE6734">
        <v>76.292760000000001</v>
      </c>
      <c r="AF6734">
        <v>-15.8030044660761</v>
      </c>
      <c r="AG6734">
        <v>-0.87017519999999904</v>
      </c>
      <c r="AH6734">
        <v>82.914717073981194</v>
      </c>
      <c r="AI6734">
        <v>90.590655367921499</v>
      </c>
      <c r="AJ6734">
        <v>100.79078263924001</v>
      </c>
      <c r="AK6734">
        <v>84.411743629022794</v>
      </c>
      <c r="AL6734">
        <v>75.983642582972493</v>
      </c>
      <c r="AM6734">
        <v>106.295046107627</v>
      </c>
      <c r="AN6734">
        <v>1.0000000155870401</v>
      </c>
    </row>
    <row r="6735" spans="1:40" x14ac:dyDescent="0.25">
      <c r="A6735" t="str">
        <f>"20190304155804615"</f>
        <v>20190304155804615</v>
      </c>
      <c r="B6735" t="str">
        <f>"1551686284611684"</f>
        <v>1551686284611684</v>
      </c>
      <c r="C6735" t="s">
        <v>40</v>
      </c>
      <c r="D6735">
        <v>4.7316779999999996</v>
      </c>
      <c r="E6735">
        <v>0.53128180000000003</v>
      </c>
      <c r="F6735" t="s">
        <v>99</v>
      </c>
      <c r="G6735">
        <v>-157.1002</v>
      </c>
      <c r="H6735">
        <v>0.83522949999999996</v>
      </c>
      <c r="I6735">
        <v>25.184950000000001</v>
      </c>
      <c r="J6735">
        <v>-192.26830000000001</v>
      </c>
      <c r="K6735">
        <v>1.1122459999999901</v>
      </c>
      <c r="L6735">
        <v>-51.604640000000003</v>
      </c>
      <c r="M6735">
        <v>0.58674399999999904</v>
      </c>
      <c r="N6735">
        <v>-1.224041E-2</v>
      </c>
      <c r="O6735">
        <v>0.80967990000000001</v>
      </c>
      <c r="P6735">
        <v>0.3327929</v>
      </c>
      <c r="Q6735">
        <v>0.22889029999999999</v>
      </c>
      <c r="R6735">
        <v>0.91479949999999999</v>
      </c>
      <c r="S6735">
        <v>1.2906799999999901</v>
      </c>
      <c r="T6735">
        <v>-1.0136839999999999E-2</v>
      </c>
      <c r="U6735">
        <v>2.8150330000000001</v>
      </c>
      <c r="V6735">
        <v>-0.26838990000000001</v>
      </c>
      <c r="W6735">
        <v>0.23913229999999999</v>
      </c>
      <c r="X6735">
        <v>0.93315729999999997</v>
      </c>
      <c r="Y6735">
        <v>-0.19591259999999999</v>
      </c>
      <c r="Z6735">
        <v>8.1616369999999994E-3</v>
      </c>
      <c r="AA6735">
        <v>0.9805874</v>
      </c>
      <c r="AB6735">
        <v>21</v>
      </c>
      <c r="AC6735">
        <v>35.168100000000003</v>
      </c>
      <c r="AD6735">
        <v>-0.277016499999999</v>
      </c>
      <c r="AE6735">
        <v>76.789590000000004</v>
      </c>
      <c r="AF6735">
        <v>-16.581992317881699</v>
      </c>
      <c r="AG6735">
        <v>-0.277016499999999</v>
      </c>
      <c r="AH6735">
        <v>82.814977189767802</v>
      </c>
      <c r="AI6735">
        <v>90.187923887680697</v>
      </c>
      <c r="AJ6735">
        <v>101.32256946045899</v>
      </c>
      <c r="AK6735">
        <v>84.459218882922002</v>
      </c>
      <c r="AL6735">
        <v>76.164665913528296</v>
      </c>
      <c r="AM6735">
        <v>106.046021331265</v>
      </c>
      <c r="AN6735">
        <v>0.99999997093429405</v>
      </c>
    </row>
    <row r="6736" spans="1:40" x14ac:dyDescent="0.25">
      <c r="A6736" t="str">
        <f>"20190304155804639"</f>
        <v>20190304155804639</v>
      </c>
      <c r="B6736" t="str">
        <f>"1551686284631203"</f>
        <v>1551686284631203</v>
      </c>
      <c r="C6736" t="s">
        <v>40</v>
      </c>
      <c r="D6736">
        <v>4.6297069999999998</v>
      </c>
      <c r="E6736">
        <v>0.52965790000000001</v>
      </c>
      <c r="F6736" t="s">
        <v>99</v>
      </c>
      <c r="G6736">
        <v>-156.58439999999999</v>
      </c>
      <c r="H6736">
        <v>0.28840070000000001</v>
      </c>
      <c r="I6736">
        <v>25.18496</v>
      </c>
      <c r="J6736">
        <v>-192.1439</v>
      </c>
      <c r="K6736">
        <v>1.112201</v>
      </c>
      <c r="L6736">
        <v>-51.42548</v>
      </c>
      <c r="M6736">
        <v>0.58370869999999997</v>
      </c>
      <c r="N6736">
        <v>-1.210376E-2</v>
      </c>
      <c r="O6736">
        <v>0.81187290000000001</v>
      </c>
      <c r="P6736">
        <v>0.3330419</v>
      </c>
      <c r="Q6736">
        <v>0.2266775</v>
      </c>
      <c r="R6736">
        <v>0.91525970000000001</v>
      </c>
      <c r="S6736">
        <v>1.3065639999999901</v>
      </c>
      <c r="T6736">
        <v>-3.016508E-2</v>
      </c>
      <c r="U6736">
        <v>2.8116460000000001</v>
      </c>
      <c r="V6736">
        <v>-0.26492710000000003</v>
      </c>
      <c r="W6736">
        <v>0.23683879999999999</v>
      </c>
      <c r="X6736">
        <v>0.93473050000000002</v>
      </c>
      <c r="Y6736">
        <v>-0.1871978</v>
      </c>
      <c r="Z6736">
        <v>3.1319109999999998E-3</v>
      </c>
      <c r="AA6736">
        <v>0.98231729999999995</v>
      </c>
      <c r="AB6736">
        <v>21</v>
      </c>
      <c r="AC6736">
        <v>35.5595</v>
      </c>
      <c r="AD6736">
        <v>-0.82380030000000004</v>
      </c>
      <c r="AE6736">
        <v>76.610439999999997</v>
      </c>
      <c r="AF6736">
        <v>-15.8480396745794</v>
      </c>
      <c r="AG6736">
        <v>-0.82380030000000004</v>
      </c>
      <c r="AH6736">
        <v>82.952517113764102</v>
      </c>
      <c r="AI6736">
        <v>90.558877464545702</v>
      </c>
      <c r="AJ6736">
        <v>100.815994530211</v>
      </c>
      <c r="AK6736">
        <v>84.456847584850394</v>
      </c>
      <c r="AL6736">
        <v>76.299962085497199</v>
      </c>
      <c r="AM6736">
        <v>105.824118516502</v>
      </c>
      <c r="AN6736">
        <v>1.00000004656504</v>
      </c>
    </row>
    <row r="6737" spans="1:40" x14ac:dyDescent="0.25">
      <c r="A6737" t="str">
        <f>"20190304155804659"</f>
        <v>20190304155804659</v>
      </c>
      <c r="B6737" t="str">
        <f>"1551686284651699"</f>
        <v>1551686284651699</v>
      </c>
      <c r="C6737" t="s">
        <v>40</v>
      </c>
      <c r="D6737">
        <v>4.617343</v>
      </c>
      <c r="E6737">
        <v>0.52849630000000003</v>
      </c>
      <c r="F6737" t="s">
        <v>99</v>
      </c>
      <c r="G6737">
        <v>-156.93199999999999</v>
      </c>
      <c r="H6737">
        <v>0.22227769999999999</v>
      </c>
      <c r="I6737">
        <v>25.184950000000001</v>
      </c>
      <c r="J6737">
        <v>-192.03450000000001</v>
      </c>
      <c r="K6737">
        <v>1.1122000000000001</v>
      </c>
      <c r="L6737">
        <v>-51.266849999999998</v>
      </c>
      <c r="M6737">
        <v>0.58105980000000002</v>
      </c>
      <c r="N6737">
        <v>-1.1989420000000001E-2</v>
      </c>
      <c r="O6737">
        <v>0.81377259999999996</v>
      </c>
      <c r="P6737">
        <v>0.3350457</v>
      </c>
      <c r="Q6737">
        <v>0.22740179999999999</v>
      </c>
      <c r="R6737">
        <v>0.9143483</v>
      </c>
      <c r="S6737">
        <v>1.2938689999999999</v>
      </c>
      <c r="T6737">
        <v>-3.2700420000000001E-2</v>
      </c>
      <c r="U6737">
        <v>2.8150629999999999</v>
      </c>
      <c r="V6737">
        <v>-0.25971759999999999</v>
      </c>
      <c r="W6737">
        <v>0.23748830000000001</v>
      </c>
      <c r="X6737">
        <v>0.93602680000000005</v>
      </c>
      <c r="Y6737">
        <v>-0.18810060000000001</v>
      </c>
      <c r="Z6737">
        <v>2.4113839999999999E-3</v>
      </c>
      <c r="AA6737">
        <v>0.98214679999999999</v>
      </c>
      <c r="AB6737">
        <v>21</v>
      </c>
      <c r="AC6737">
        <v>35.1024999999999</v>
      </c>
      <c r="AD6737">
        <v>-0.88992229999999894</v>
      </c>
      <c r="AE6737">
        <v>76.451799999999906</v>
      </c>
      <c r="AF6737">
        <v>-15.8569796536738</v>
      </c>
      <c r="AG6737">
        <v>-0.88992229999999894</v>
      </c>
      <c r="AH6737">
        <v>82.607722206750296</v>
      </c>
      <c r="AI6737">
        <v>90.606150654601095</v>
      </c>
      <c r="AJ6737">
        <v>100.86604826787701</v>
      </c>
      <c r="AK6737">
        <v>84.120577349568194</v>
      </c>
      <c r="AL6737">
        <v>76.261655594178393</v>
      </c>
      <c r="AM6737">
        <v>105.507638721833</v>
      </c>
      <c r="AN6737">
        <v>1.00000004735244</v>
      </c>
    </row>
    <row r="6738" spans="1:40" x14ac:dyDescent="0.25">
      <c r="A6738" t="str">
        <f>"20190304155804682"</f>
        <v>20190304155804682</v>
      </c>
      <c r="B6738" t="str">
        <f>"1551686284671219"</f>
        <v>1551686284671219</v>
      </c>
      <c r="C6738" t="s">
        <v>40</v>
      </c>
      <c r="D6738">
        <v>4.6566729999999996</v>
      </c>
      <c r="E6738">
        <v>0.52759149999999999</v>
      </c>
      <c r="F6738" t="s">
        <v>99</v>
      </c>
      <c r="G6738">
        <v>-157.0188</v>
      </c>
      <c r="H6738">
        <v>0.7074724</v>
      </c>
      <c r="I6738">
        <v>25.184950000000001</v>
      </c>
      <c r="J6738">
        <v>-191.9127</v>
      </c>
      <c r="K6738">
        <v>1.1122179999999999</v>
      </c>
      <c r="L6738">
        <v>-51.088900000000002</v>
      </c>
      <c r="M6738">
        <v>0.57809540000000004</v>
      </c>
      <c r="N6738">
        <v>-1.186536E-2</v>
      </c>
      <c r="O6738">
        <v>0.81588289999999997</v>
      </c>
      <c r="P6738">
        <v>0.33599000000000001</v>
      </c>
      <c r="Q6738">
        <v>0.2289669</v>
      </c>
      <c r="R6738">
        <v>0.9136109</v>
      </c>
      <c r="S6738">
        <v>1.2882389999999999</v>
      </c>
      <c r="T6738">
        <v>-1.489007E-2</v>
      </c>
      <c r="U6738">
        <v>2.8126829999999998</v>
      </c>
      <c r="V6738">
        <v>-0.25512669999999998</v>
      </c>
      <c r="W6738">
        <v>0.23894940000000001</v>
      </c>
      <c r="X6738">
        <v>0.93691709999999995</v>
      </c>
      <c r="Y6738">
        <v>-0.18585209999999999</v>
      </c>
      <c r="Z6738">
        <v>6.6583679999999996E-3</v>
      </c>
      <c r="AA6738">
        <v>0.98255519999999996</v>
      </c>
      <c r="AB6738">
        <v>21</v>
      </c>
      <c r="AC6738">
        <v>34.893900000000002</v>
      </c>
      <c r="AD6738">
        <v>-0.40474559999999898</v>
      </c>
      <c r="AE6738">
        <v>76.273849999999996</v>
      </c>
      <c r="AF6738">
        <v>-15.624961745575</v>
      </c>
      <c r="AG6738">
        <v>-0.40474559999999898</v>
      </c>
      <c r="AH6738">
        <v>82.406415981546999</v>
      </c>
      <c r="AI6738">
        <v>90.276484430022094</v>
      </c>
      <c r="AJ6738">
        <v>100.736319028602</v>
      </c>
      <c r="AK6738">
        <v>83.875626039244395</v>
      </c>
      <c r="AL6738">
        <v>76.175459307584106</v>
      </c>
      <c r="AM6738">
        <v>105.232567757564</v>
      </c>
      <c r="AN6738">
        <v>1.0000000505428199</v>
      </c>
    </row>
    <row r="6739" spans="1:40" x14ac:dyDescent="0.25">
      <c r="A6739" t="str">
        <f>"20190304155804706"</f>
        <v>20190304155804706</v>
      </c>
      <c r="B6739" t="str">
        <f>"1551686284701475"</f>
        <v>1551686284701475</v>
      </c>
      <c r="C6739" t="s">
        <v>40</v>
      </c>
      <c r="D6739">
        <v>4.587091</v>
      </c>
      <c r="E6739">
        <v>0.52623529999999996</v>
      </c>
      <c r="F6739" t="s">
        <v>99</v>
      </c>
      <c r="G6739">
        <v>-157.08349999999999</v>
      </c>
      <c r="H6739">
        <v>1.0495129999999999</v>
      </c>
      <c r="I6739">
        <v>25.184950000000001</v>
      </c>
      <c r="J6739">
        <v>-191.79249999999999</v>
      </c>
      <c r="K6739">
        <v>1.112244</v>
      </c>
      <c r="L6739">
        <v>-50.911960000000001</v>
      </c>
      <c r="M6739">
        <v>0.57512559999999902</v>
      </c>
      <c r="N6739">
        <v>-1.1748150000000001E-2</v>
      </c>
      <c r="O6739">
        <v>0.81798079999999995</v>
      </c>
      <c r="P6739">
        <v>0.33726319999999999</v>
      </c>
      <c r="Q6739">
        <v>0.22756409999999999</v>
      </c>
      <c r="R6739">
        <v>0.91349230000000003</v>
      </c>
      <c r="S6739">
        <v>1.2840579999999999</v>
      </c>
      <c r="T6739">
        <v>-2.3118259999999999E-3</v>
      </c>
      <c r="U6739">
        <v>2.8120120000000002</v>
      </c>
      <c r="V6739">
        <v>-0.25061509999999998</v>
      </c>
      <c r="W6739">
        <v>0.2374512</v>
      </c>
      <c r="X6739">
        <v>0.93851419999999997</v>
      </c>
      <c r="Y6739">
        <v>-0.18341569999999999</v>
      </c>
      <c r="Z6739">
        <v>9.6634379999999999E-3</v>
      </c>
      <c r="AA6739">
        <v>0.98298790000000003</v>
      </c>
      <c r="AB6739">
        <v>21</v>
      </c>
      <c r="AC6739">
        <v>34.709000000000003</v>
      </c>
      <c r="AD6739">
        <v>-6.2730999999999995E-2</v>
      </c>
      <c r="AE6739">
        <v>76.096909999999994</v>
      </c>
      <c r="AF6739">
        <v>-15.375037354965601</v>
      </c>
      <c r="AG6739">
        <v>-6.2730999999999995E-2</v>
      </c>
      <c r="AH6739">
        <v>82.213470602641706</v>
      </c>
      <c r="AI6739">
        <v>90.042973135346799</v>
      </c>
      <c r="AJ6739">
        <v>100.59273088960801</v>
      </c>
      <c r="AK6739">
        <v>83.638809516733204</v>
      </c>
      <c r="AL6739">
        <v>76.263842529926094</v>
      </c>
      <c r="AM6739">
        <v>104.95105899337899</v>
      </c>
      <c r="AN6739">
        <v>0.99999995216554305</v>
      </c>
    </row>
    <row r="6740" spans="1:40" x14ac:dyDescent="0.25">
      <c r="A6740" t="str">
        <f>"20190304155804728"</f>
        <v>20190304155804728</v>
      </c>
      <c r="B6740" t="str">
        <f>"1551686284720996"</f>
        <v>1551686284720996</v>
      </c>
      <c r="C6740" t="s">
        <v>40</v>
      </c>
      <c r="D6740">
        <v>4.7757430000000003</v>
      </c>
      <c r="E6740">
        <v>0.52725789999999995</v>
      </c>
      <c r="F6740" t="s">
        <v>99</v>
      </c>
      <c r="G6740">
        <v>-157.25919999999999</v>
      </c>
      <c r="H6740">
        <v>1.1609849999999999</v>
      </c>
      <c r="I6740">
        <v>25.184950000000001</v>
      </c>
      <c r="J6740">
        <v>-191.67449999999999</v>
      </c>
      <c r="K6740">
        <v>1.1122810000000001</v>
      </c>
      <c r="L6740">
        <v>-50.736759999999997</v>
      </c>
      <c r="M6740">
        <v>0.57214089999999995</v>
      </c>
      <c r="N6740">
        <v>-1.16399E-2</v>
      </c>
      <c r="O6740">
        <v>0.82007269999999899</v>
      </c>
      <c r="P6740">
        <v>0.3385802</v>
      </c>
      <c r="Q6740">
        <v>0.22583400000000001</v>
      </c>
      <c r="R6740">
        <v>0.91343439999999998</v>
      </c>
      <c r="S6740">
        <v>1.2763059999999999</v>
      </c>
      <c r="T6740">
        <v>1.8013720000000001E-3</v>
      </c>
      <c r="U6740">
        <v>2.8124389999999999</v>
      </c>
      <c r="V6740">
        <v>-0.246087</v>
      </c>
      <c r="W6740">
        <v>0.2356318</v>
      </c>
      <c r="X6740">
        <v>0.94016960000000005</v>
      </c>
      <c r="Y6740">
        <v>-0.18213960000000001</v>
      </c>
      <c r="Z6740">
        <v>1.060549E-2</v>
      </c>
      <c r="AA6740">
        <v>0.98321550000000002</v>
      </c>
      <c r="AB6740">
        <v>21</v>
      </c>
      <c r="AC6740">
        <v>34.415300000000002</v>
      </c>
      <c r="AD6740">
        <v>4.8703999999999997E-2</v>
      </c>
      <c r="AE6740">
        <v>75.921709999999905</v>
      </c>
      <c r="AF6740">
        <v>-15.215893649985</v>
      </c>
      <c r="AG6740">
        <v>4.8703999999999997E-2</v>
      </c>
      <c r="AH6740">
        <v>81.957249585925197</v>
      </c>
      <c r="AI6740">
        <v>89.9665234079702</v>
      </c>
      <c r="AJ6740">
        <v>100.517582126531</v>
      </c>
      <c r="AK6740">
        <v>83.357762394014003</v>
      </c>
      <c r="AL6740">
        <v>76.371132095262695</v>
      </c>
      <c r="AM6740">
        <v>104.667958341389</v>
      </c>
      <c r="AN6740">
        <v>1.0000000167521901</v>
      </c>
    </row>
    <row r="6741" spans="1:40" x14ac:dyDescent="0.25">
      <c r="A6741" t="str">
        <f>"20190304155804752"</f>
        <v>20190304155804752</v>
      </c>
      <c r="B6741" t="str">
        <f>"1551686284741491"</f>
        <v>1551686284741491</v>
      </c>
      <c r="C6741" t="s">
        <v>40</v>
      </c>
      <c r="D6741">
        <v>4.5784549999999999</v>
      </c>
      <c r="E6741">
        <v>0.52839759999999902</v>
      </c>
      <c r="F6741" t="s">
        <v>99</v>
      </c>
      <c r="G6741">
        <v>-156.8931</v>
      </c>
      <c r="H6741">
        <v>0.76788389999999995</v>
      </c>
      <c r="I6741">
        <v>25.18496</v>
      </c>
      <c r="J6741">
        <v>-191.5531</v>
      </c>
      <c r="K6741">
        <v>1.1123289999999999</v>
      </c>
      <c r="L6741">
        <v>-50.555149999999998</v>
      </c>
      <c r="M6741">
        <v>0.56897889999999995</v>
      </c>
      <c r="N6741">
        <v>-1.153218E-2</v>
      </c>
      <c r="O6741">
        <v>0.82227119999999998</v>
      </c>
      <c r="P6741">
        <v>0.33897290000000002</v>
      </c>
      <c r="Q6741">
        <v>0.22570290000000001</v>
      </c>
      <c r="R6741">
        <v>0.91332120000000006</v>
      </c>
      <c r="S6741">
        <v>1.2874300000000001</v>
      </c>
      <c r="T6741">
        <v>-1.274788E-2</v>
      </c>
      <c r="U6741">
        <v>2.8102420000000001</v>
      </c>
      <c r="V6741">
        <v>-0.24209829999999999</v>
      </c>
      <c r="W6741">
        <v>0.23539679999999999</v>
      </c>
      <c r="X6741">
        <v>0.94126339999999997</v>
      </c>
      <c r="Y6741">
        <v>-0.17481579999999999</v>
      </c>
      <c r="Z6741">
        <v>6.8768079999999999E-3</v>
      </c>
      <c r="AA6741">
        <v>0.98457709999999998</v>
      </c>
      <c r="AB6741">
        <v>21</v>
      </c>
      <c r="AC6741">
        <v>34.659999999999997</v>
      </c>
      <c r="AD6741">
        <v>-0.3444451</v>
      </c>
      <c r="AE6741">
        <v>75.740110000000001</v>
      </c>
      <c r="AF6741">
        <v>-14.5953263502174</v>
      </c>
      <c r="AG6741">
        <v>-0.3444451</v>
      </c>
      <c r="AH6741">
        <v>82.003774503222502</v>
      </c>
      <c r="AI6741">
        <v>90.236937720943899</v>
      </c>
      <c r="AJ6741">
        <v>100.092028596354</v>
      </c>
      <c r="AK6741">
        <v>83.293224373124303</v>
      </c>
      <c r="AL6741">
        <v>76.384986275293898</v>
      </c>
      <c r="AM6741">
        <v>104.42414972357901</v>
      </c>
      <c r="AN6741">
        <v>1.0000000142463401</v>
      </c>
    </row>
    <row r="6742" spans="1:40" x14ac:dyDescent="0.25">
      <c r="A6742" t="str">
        <f>"20190304155804772"</f>
        <v>20190304155804772</v>
      </c>
      <c r="B6742" t="str">
        <f>"1551686284761012"</f>
        <v>1551686284761012</v>
      </c>
      <c r="C6742" t="s">
        <v>40</v>
      </c>
      <c r="D6742">
        <v>4.019272</v>
      </c>
      <c r="E6742">
        <v>0.52864100000000003</v>
      </c>
      <c r="F6742" t="s">
        <v>99</v>
      </c>
      <c r="G6742">
        <v>-156.56700000000001</v>
      </c>
      <c r="H6742">
        <v>0.47455510000000001</v>
      </c>
      <c r="I6742">
        <v>25.124669999999998</v>
      </c>
      <c r="J6742">
        <v>-191.44560000000001</v>
      </c>
      <c r="K6742">
        <v>1.1123829999999999</v>
      </c>
      <c r="L6742">
        <v>-50.392879999999998</v>
      </c>
      <c r="M6742">
        <v>0.56608259999999999</v>
      </c>
      <c r="N6742">
        <v>-1.1441450000000001E-2</v>
      </c>
      <c r="O6742">
        <v>0.82426919999999904</v>
      </c>
      <c r="P6742">
        <v>0.33982020000000002</v>
      </c>
      <c r="Q6742">
        <v>0.22671450000000001</v>
      </c>
      <c r="R6742">
        <v>0.9127556</v>
      </c>
      <c r="S6742">
        <v>1.2984309999999999</v>
      </c>
      <c r="T6742">
        <v>-2.3669599999999999E-2</v>
      </c>
      <c r="U6742">
        <v>2.8086850000000001</v>
      </c>
      <c r="V6742">
        <v>-0.23779790000000001</v>
      </c>
      <c r="W6742">
        <v>0.2363171</v>
      </c>
      <c r="X6742">
        <v>0.94212870000000004</v>
      </c>
      <c r="Y6742">
        <v>-0.1679476</v>
      </c>
      <c r="Z6742">
        <v>4.0402509999999999E-3</v>
      </c>
      <c r="AA6742">
        <v>0.98578759999999999</v>
      </c>
      <c r="AB6742">
        <v>21</v>
      </c>
      <c r="AC6742">
        <v>34.878599999999999</v>
      </c>
      <c r="AD6742">
        <v>-0.6378279</v>
      </c>
      <c r="AE6742">
        <v>75.51755</v>
      </c>
      <c r="AF6742">
        <v>-13.9999077204755</v>
      </c>
      <c r="AG6742">
        <v>-0.6378279</v>
      </c>
      <c r="AH6742">
        <v>81.991500185520806</v>
      </c>
      <c r="AI6742">
        <v>90.4393477542786</v>
      </c>
      <c r="AJ6742">
        <v>99.689709268548299</v>
      </c>
      <c r="AK6742">
        <v>83.180588740908206</v>
      </c>
      <c r="AL6742">
        <v>76.330726670860599</v>
      </c>
      <c r="AM6742">
        <v>104.16585517656701</v>
      </c>
      <c r="AN6742">
        <v>1.00000005018025</v>
      </c>
    </row>
    <row r="6743" spans="1:40" x14ac:dyDescent="0.25">
      <c r="A6743" t="str">
        <f>"20190304155804794"</f>
        <v>20190304155804794</v>
      </c>
      <c r="B6743" t="str">
        <f>"1551686284791267"</f>
        <v>1551686284791267</v>
      </c>
      <c r="C6743" t="s">
        <v>40</v>
      </c>
      <c r="D6743">
        <v>4.6677200000000001</v>
      </c>
      <c r="E6743">
        <v>0.52845949999999997</v>
      </c>
      <c r="F6743" t="s">
        <v>99</v>
      </c>
      <c r="G6743">
        <v>-156.56700000000001</v>
      </c>
      <c r="H6743">
        <v>0.66095509999999902</v>
      </c>
      <c r="I6743">
        <v>24.628219999999999</v>
      </c>
      <c r="J6743">
        <v>-191.33600000000001</v>
      </c>
      <c r="K6743">
        <v>1.1124579999999999</v>
      </c>
      <c r="L6743">
        <v>-50.22589</v>
      </c>
      <c r="M6743">
        <v>0.56303919999999996</v>
      </c>
      <c r="N6743">
        <v>-1.135806E-2</v>
      </c>
      <c r="O6743">
        <v>0.82635210000000003</v>
      </c>
      <c r="P6743">
        <v>0.3405936</v>
      </c>
      <c r="Q6743">
        <v>0.22761439999999999</v>
      </c>
      <c r="R6743">
        <v>0.91224320000000003</v>
      </c>
      <c r="S6743">
        <v>1.30426</v>
      </c>
      <c r="T6743">
        <v>-1.6880869999999999E-2</v>
      </c>
      <c r="U6743">
        <v>2.8053590000000002</v>
      </c>
      <c r="V6743">
        <v>-0.23342930000000001</v>
      </c>
      <c r="W6743">
        <v>0.23713020000000001</v>
      </c>
      <c r="X6743">
        <v>0.94301650000000004</v>
      </c>
      <c r="Y6743">
        <v>-0.16218540000000001</v>
      </c>
      <c r="Z6743">
        <v>5.6502180000000003E-3</v>
      </c>
      <c r="AA6743">
        <v>0.98674410000000001</v>
      </c>
      <c r="AB6743">
        <v>21</v>
      </c>
      <c r="AC6743">
        <v>34.768999999999899</v>
      </c>
      <c r="AD6743">
        <v>-0.45150289999999998</v>
      </c>
      <c r="AE6743">
        <v>74.854109999999906</v>
      </c>
      <c r="AF6743">
        <v>-13.4148263508472</v>
      </c>
      <c r="AG6743">
        <v>-0.45150289999999998</v>
      </c>
      <c r="AH6743">
        <v>81.4349795077772</v>
      </c>
      <c r="AI6743">
        <v>90.313439587319195</v>
      </c>
      <c r="AJ6743">
        <v>99.354353478243596</v>
      </c>
      <c r="AK6743">
        <v>82.5337343655561</v>
      </c>
      <c r="AL6743">
        <v>76.282776510815594</v>
      </c>
      <c r="AM6743">
        <v>103.903223792395</v>
      </c>
      <c r="AN6743">
        <v>1.0000000445613799</v>
      </c>
    </row>
    <row r="6744" spans="1:40" x14ac:dyDescent="0.25">
      <c r="A6744" t="str">
        <f>"20190304155804818"</f>
        <v>20190304155804818</v>
      </c>
      <c r="B6744" t="str">
        <f>"1551686284811764"</f>
        <v>1551686284811764</v>
      </c>
      <c r="C6744" t="s">
        <v>40</v>
      </c>
      <c r="D6744">
        <v>4.6133040000000003</v>
      </c>
      <c r="E6744">
        <v>0.52792689999999998</v>
      </c>
      <c r="F6744" t="s">
        <v>99</v>
      </c>
      <c r="G6744">
        <v>-156.56720000000001</v>
      </c>
      <c r="H6744">
        <v>1.092641</v>
      </c>
      <c r="I6744">
        <v>24.635269999999998</v>
      </c>
      <c r="J6744">
        <v>-191.21190000000001</v>
      </c>
      <c r="K6744">
        <v>1.112552</v>
      </c>
      <c r="L6744">
        <v>-50.034939999999999</v>
      </c>
      <c r="M6744">
        <v>0.55945900000000004</v>
      </c>
      <c r="N6744">
        <v>-1.127627E-2</v>
      </c>
      <c r="O6744">
        <v>0.82878130000000005</v>
      </c>
      <c r="P6744">
        <v>0.34118500000000002</v>
      </c>
      <c r="Q6744">
        <v>0.22755249999999999</v>
      </c>
      <c r="R6744">
        <v>0.91203769999999995</v>
      </c>
      <c r="S6744">
        <v>1.3017270000000001</v>
      </c>
      <c r="T6744">
        <v>-7.4195860000000001E-4</v>
      </c>
      <c r="U6744">
        <v>2.802765</v>
      </c>
      <c r="V6744">
        <v>-0.2287835</v>
      </c>
      <c r="W6744">
        <v>0.2369773</v>
      </c>
      <c r="X6744">
        <v>0.9441927</v>
      </c>
      <c r="Y6744">
        <v>-0.15831990000000001</v>
      </c>
      <c r="Z6744">
        <v>9.6604289999999999E-3</v>
      </c>
      <c r="AA6744">
        <v>0.98734060000000001</v>
      </c>
      <c r="AB6744">
        <v>21</v>
      </c>
      <c r="AC6744">
        <v>34.6447</v>
      </c>
      <c r="AD6744">
        <v>-1.9911000000000002E-2</v>
      </c>
      <c r="AE6744">
        <v>74.670209999999997</v>
      </c>
      <c r="AF6744">
        <v>-13.062871469159001</v>
      </c>
      <c r="AG6744">
        <v>-1.9911000000000002E-2</v>
      </c>
      <c r="AH6744">
        <v>81.272726640728294</v>
      </c>
      <c r="AI6744">
        <v>90.013859015227695</v>
      </c>
      <c r="AJ6744">
        <v>99.130989652818798</v>
      </c>
      <c r="AK6744">
        <v>82.315825350209806</v>
      </c>
      <c r="AL6744">
        <v>76.291793341315497</v>
      </c>
      <c r="AM6744">
        <v>103.620592714954</v>
      </c>
      <c r="AN6744">
        <v>0.99999999266041495</v>
      </c>
    </row>
    <row r="6745" spans="1:40" x14ac:dyDescent="0.25">
      <c r="A6745" t="str">
        <f>"20190304155804839"</f>
        <v>20190304155804839</v>
      </c>
      <c r="B6745" t="str">
        <f>"1551686284831283"</f>
        <v>1551686284831283</v>
      </c>
      <c r="C6745" t="s">
        <v>40</v>
      </c>
      <c r="D6745">
        <v>4.6699630000000001</v>
      </c>
      <c r="E6745">
        <v>0.49366149999999998</v>
      </c>
      <c r="F6745" t="s">
        <v>98</v>
      </c>
      <c r="G6745">
        <v>-167.99860000000001</v>
      </c>
      <c r="H6745">
        <v>11.498200000000001</v>
      </c>
      <c r="I6745">
        <v>6.3161369999999994E-2</v>
      </c>
      <c r="J6745">
        <v>-191.10749999999999</v>
      </c>
      <c r="K6745">
        <v>1.1126419999999999</v>
      </c>
      <c r="L6745">
        <v>-49.872889999999998</v>
      </c>
      <c r="M6745">
        <v>0.55631640000000004</v>
      </c>
      <c r="N6745">
        <v>-1.1216490000000001E-2</v>
      </c>
      <c r="O6745">
        <v>0.83089489999999999</v>
      </c>
      <c r="P6745">
        <v>0.3402463</v>
      </c>
      <c r="Q6745">
        <v>0.2277074</v>
      </c>
      <c r="R6745">
        <v>0.91234959999999998</v>
      </c>
      <c r="S6745">
        <v>1.2441409999999999</v>
      </c>
      <c r="T6745">
        <v>0.55662869999999998</v>
      </c>
      <c r="U6745">
        <v>2.6850589999999999</v>
      </c>
      <c r="V6745">
        <v>-0.2262044</v>
      </c>
      <c r="W6745">
        <v>0.23704449999999999</v>
      </c>
      <c r="X6745">
        <v>0.944797</v>
      </c>
      <c r="Y6745">
        <v>-0.16169169999999999</v>
      </c>
      <c r="Z6745">
        <v>0.15525620000000001</v>
      </c>
      <c r="AA6745">
        <v>0.97455190000000003</v>
      </c>
      <c r="AB6745">
        <v>21</v>
      </c>
      <c r="AC6745">
        <v>23.108899999999899</v>
      </c>
      <c r="AD6745">
        <v>10.385558</v>
      </c>
      <c r="AE6745">
        <v>49.936051370000001</v>
      </c>
      <c r="AF6745">
        <v>-8.2845771747381196</v>
      </c>
      <c r="AG6745">
        <v>10.385558</v>
      </c>
      <c r="AH6745">
        <v>52.481234995307901</v>
      </c>
      <c r="AI6745">
        <v>78.939828883996896</v>
      </c>
      <c r="AJ6745">
        <v>98.970566951222693</v>
      </c>
      <c r="AK6745">
        <v>54.136624022636397</v>
      </c>
      <c r="AL6745">
        <v>76.287829522425795</v>
      </c>
      <c r="AM6745">
        <v>103.464370704386</v>
      </c>
      <c r="AN6745">
        <v>0.99999994838430295</v>
      </c>
    </row>
    <row r="6746" spans="1:40" x14ac:dyDescent="0.25">
      <c r="A6746" t="str">
        <f>"20190304155804859"</f>
        <v>20190304155804859</v>
      </c>
      <c r="B6746" t="str">
        <f>"1551686284850803"</f>
        <v>1551686284850803</v>
      </c>
      <c r="C6746" t="s">
        <v>40</v>
      </c>
      <c r="D6746">
        <v>4.6176159999999999</v>
      </c>
      <c r="E6746">
        <v>0.4812728</v>
      </c>
      <c r="F6746" t="s">
        <v>41</v>
      </c>
      <c r="G6746">
        <v>-183.3355</v>
      </c>
      <c r="H6746" s="1">
        <v>-2.5174510000000002E-6</v>
      </c>
      <c r="I6746">
        <v>-28.165089999999999</v>
      </c>
      <c r="J6746">
        <v>-190.99959999999999</v>
      </c>
      <c r="K6746">
        <v>1.1127579999999999</v>
      </c>
      <c r="L6746">
        <v>-49.70346</v>
      </c>
      <c r="M6746">
        <v>0.55289940000000004</v>
      </c>
      <c r="N6746">
        <v>-1.116317E-2</v>
      </c>
      <c r="O6746">
        <v>0.83317319999999995</v>
      </c>
      <c r="P6746">
        <v>0.33820209999999901</v>
      </c>
      <c r="Q6746">
        <v>0.22760630000000001</v>
      </c>
      <c r="R6746">
        <v>0.91313460000000002</v>
      </c>
      <c r="S6746">
        <v>1.0504610000000001</v>
      </c>
      <c r="T6746">
        <v>-0.15038319999999999</v>
      </c>
      <c r="U6746">
        <v>2.9339900000000001</v>
      </c>
      <c r="V6746">
        <v>-0.22451560000000001</v>
      </c>
      <c r="W6746">
        <v>0.23684350000000001</v>
      </c>
      <c r="X6746">
        <v>0.94525020000000004</v>
      </c>
      <c r="Y6746">
        <v>-0.23976330000000001</v>
      </c>
      <c r="Z6746">
        <v>-2.687939E-2</v>
      </c>
      <c r="AA6746">
        <v>0.97045919999999997</v>
      </c>
      <c r="AB6746">
        <v>21</v>
      </c>
      <c r="AC6746">
        <v>7.6640999999999897</v>
      </c>
      <c r="AD6746">
        <v>-1.112760517451</v>
      </c>
      <c r="AE6746">
        <v>21.53837</v>
      </c>
      <c r="AF6746">
        <v>-5.5103184219146097</v>
      </c>
      <c r="AG6746">
        <v>-1.112760517451</v>
      </c>
      <c r="AH6746">
        <v>22.131617725964599</v>
      </c>
      <c r="AI6746">
        <v>92.793229109833106</v>
      </c>
      <c r="AJ6746">
        <v>103.981197665707</v>
      </c>
      <c r="AK6746">
        <v>22.834411493365</v>
      </c>
      <c r="AL6746">
        <v>76.299684529356995</v>
      </c>
      <c r="AM6746">
        <v>103.36129011633101</v>
      </c>
      <c r="AN6746">
        <v>1.00000001936782</v>
      </c>
    </row>
    <row r="6747" spans="1:40" x14ac:dyDescent="0.25">
      <c r="A6747" t="str">
        <f>"20190304155804883"</f>
        <v>20190304155804883</v>
      </c>
      <c r="B6747" t="str">
        <f>"1551686284871308"</f>
        <v>1551686284871308</v>
      </c>
      <c r="C6747" t="s">
        <v>40</v>
      </c>
      <c r="D6747">
        <v>4.603084</v>
      </c>
      <c r="E6747">
        <v>0.47631620000000002</v>
      </c>
      <c r="F6747" t="s">
        <v>41</v>
      </c>
      <c r="G6747">
        <v>-183.67869999999999</v>
      </c>
      <c r="H6747" s="1">
        <v>-2.8862820000000001E-6</v>
      </c>
      <c r="I6747">
        <v>-26.812889999999999</v>
      </c>
      <c r="J6747">
        <v>-190.8878</v>
      </c>
      <c r="K6747">
        <v>1.1128960000000001</v>
      </c>
      <c r="L6747">
        <v>-49.526000000000003</v>
      </c>
      <c r="M6747">
        <v>0.54915340000000001</v>
      </c>
      <c r="N6747">
        <v>-1.111761E-2</v>
      </c>
      <c r="O6747">
        <v>0.83564760000000005</v>
      </c>
      <c r="P6747">
        <v>0.33541100000000001</v>
      </c>
      <c r="Q6747">
        <v>0.2264805</v>
      </c>
      <c r="R6747">
        <v>0.91444300000000001</v>
      </c>
      <c r="S6747">
        <v>0.94973750000000001</v>
      </c>
      <c r="T6747">
        <v>-0.14435899999999999</v>
      </c>
      <c r="U6747">
        <v>2.9696039999999999</v>
      </c>
      <c r="V6747">
        <v>-0.2233859</v>
      </c>
      <c r="W6747">
        <v>0.23560819999999999</v>
      </c>
      <c r="X6747">
        <v>0.94582639999999996</v>
      </c>
      <c r="Y6747">
        <v>-0.26852700000000002</v>
      </c>
      <c r="Z6747">
        <v>-2.5064050000000001E-2</v>
      </c>
      <c r="AA6747">
        <v>0.96294599999999997</v>
      </c>
      <c r="AB6747">
        <v>21</v>
      </c>
      <c r="AC6747">
        <v>7.2091000000000003</v>
      </c>
      <c r="AD6747">
        <v>-1.112898886282</v>
      </c>
      <c r="AE6747">
        <v>22.71311</v>
      </c>
      <c r="AF6747">
        <v>-6.43507767933973</v>
      </c>
      <c r="AG6747">
        <v>-1.112898886282</v>
      </c>
      <c r="AH6747">
        <v>22.890549506079498</v>
      </c>
      <c r="AI6747">
        <v>92.679713864811205</v>
      </c>
      <c r="AJ6747">
        <v>105.701935566654</v>
      </c>
      <c r="AK6747">
        <v>23.8039077749957</v>
      </c>
      <c r="AL6747">
        <v>76.372523654813605</v>
      </c>
      <c r="AM6747">
        <v>103.28864066992701</v>
      </c>
      <c r="AN6747">
        <v>1.0000000315815001</v>
      </c>
    </row>
    <row r="6748" spans="1:40" x14ac:dyDescent="0.25">
      <c r="A6748" t="str">
        <f>"20190304155804907"</f>
        <v>20190304155804907</v>
      </c>
      <c r="B6748" t="str">
        <f>"1551686284901555"</f>
        <v>1551686284901555</v>
      </c>
      <c r="C6748" t="s">
        <v>40</v>
      </c>
      <c r="D6748">
        <v>4.777139</v>
      </c>
      <c r="E6748">
        <v>0.47235759999999999</v>
      </c>
      <c r="F6748" t="s">
        <v>41</v>
      </c>
      <c r="G6748">
        <v>-181.29320000000001</v>
      </c>
      <c r="H6748" s="1">
        <v>-3.2305370000000002E-6</v>
      </c>
      <c r="I6748">
        <v>-17.666439999999898</v>
      </c>
      <c r="J6748">
        <v>-190.767</v>
      </c>
      <c r="K6748">
        <v>1.113073</v>
      </c>
      <c r="L6748">
        <v>-49.331510000000002</v>
      </c>
      <c r="M6748">
        <v>0.54482909999999996</v>
      </c>
      <c r="N6748">
        <v>-1.107911E-2</v>
      </c>
      <c r="O6748">
        <v>0.83847389999999999</v>
      </c>
      <c r="P6748">
        <v>0.33351639999999999</v>
      </c>
      <c r="Q6748">
        <v>0.22474939999999999</v>
      </c>
      <c r="R6748">
        <v>0.9155624</v>
      </c>
      <c r="S6748">
        <v>0.896698</v>
      </c>
      <c r="T6748">
        <v>-0.10400959999999999</v>
      </c>
      <c r="U6748">
        <v>2.9775390000000002</v>
      </c>
      <c r="V6748">
        <v>-0.22077569999999999</v>
      </c>
      <c r="W6748">
        <v>0.2337708</v>
      </c>
      <c r="X6748">
        <v>0.94689460000000003</v>
      </c>
      <c r="Y6748">
        <v>-0.27987919999999999</v>
      </c>
      <c r="Z6748">
        <v>-1.52827E-2</v>
      </c>
      <c r="AA6748">
        <v>0.95991360000000003</v>
      </c>
      <c r="AB6748">
        <v>21</v>
      </c>
      <c r="AC6748">
        <v>9.4737999999999793</v>
      </c>
      <c r="AD6748">
        <v>-1.1130762305370001</v>
      </c>
      <c r="AE6748">
        <v>31.66507</v>
      </c>
      <c r="AF6748">
        <v>-9.2985434152468294</v>
      </c>
      <c r="AG6748">
        <v>-1.1130762305370001</v>
      </c>
      <c r="AH6748">
        <v>31.677957106393499</v>
      </c>
      <c r="AI6748">
        <v>91.930983715071307</v>
      </c>
      <c r="AJ6748">
        <v>106.358734031864</v>
      </c>
      <c r="AK6748">
        <v>33.033238030425103</v>
      </c>
      <c r="AL6748">
        <v>76.480823830663496</v>
      </c>
      <c r="AM6748">
        <v>103.124474625632</v>
      </c>
      <c r="AN6748">
        <v>1.00000004007614</v>
      </c>
    </row>
    <row r="6749" spans="1:40" x14ac:dyDescent="0.25">
      <c r="A6749" t="str">
        <f>"20190304155804929"</f>
        <v>20190304155804929</v>
      </c>
      <c r="B6749" t="str">
        <f>"1551686284921075"</f>
        <v>1551686284921075</v>
      </c>
      <c r="C6749" t="s">
        <v>40</v>
      </c>
      <c r="D6749">
        <v>4.7704550000000001</v>
      </c>
      <c r="E6749">
        <v>0.47070089999999998</v>
      </c>
      <c r="F6749" t="s">
        <v>41</v>
      </c>
      <c r="G6749">
        <v>-181.8083</v>
      </c>
      <c r="H6749" s="1">
        <v>-2.9623130000000001E-6</v>
      </c>
      <c r="I6749">
        <v>-18.0519</v>
      </c>
      <c r="J6749">
        <v>-190.65649999999999</v>
      </c>
      <c r="K6749">
        <v>1.113246</v>
      </c>
      <c r="L6749">
        <v>-49.151339999999998</v>
      </c>
      <c r="M6749">
        <v>0.54059219999999997</v>
      </c>
      <c r="N6749">
        <v>-1.105304E-2</v>
      </c>
      <c r="O6749">
        <v>0.84121219999999997</v>
      </c>
      <c r="P6749">
        <v>0.33145809999999998</v>
      </c>
      <c r="Q6749">
        <v>0.22255040000000001</v>
      </c>
      <c r="R6749">
        <v>0.91684619999999994</v>
      </c>
      <c r="S6749">
        <v>0.85656739999999998</v>
      </c>
      <c r="T6749">
        <v>-0.10642500000000001</v>
      </c>
      <c r="U6749">
        <v>2.9907530000000002</v>
      </c>
      <c r="V6749">
        <v>-0.21849750000000001</v>
      </c>
      <c r="W6749">
        <v>0.23147699999999999</v>
      </c>
      <c r="X6749">
        <v>0.94798590000000005</v>
      </c>
      <c r="Y6749">
        <v>-0.2880568</v>
      </c>
      <c r="Z6749">
        <v>-1.5869580000000001E-2</v>
      </c>
      <c r="AA6749">
        <v>0.9574819</v>
      </c>
      <c r="AB6749">
        <v>21</v>
      </c>
      <c r="AC6749">
        <v>8.8481999999999896</v>
      </c>
      <c r="AD6749">
        <v>-1.113248962313</v>
      </c>
      <c r="AE6749">
        <v>31.099440000000001</v>
      </c>
      <c r="AF6749">
        <v>-9.3583792868328999</v>
      </c>
      <c r="AG6749">
        <v>-1.113248962313</v>
      </c>
      <c r="AH6749">
        <v>30.9097444602594</v>
      </c>
      <c r="AI6749">
        <v>91.974252090300794</v>
      </c>
      <c r="AJ6749">
        <v>106.844459324684</v>
      </c>
      <c r="AK6749">
        <v>32.314561558635603</v>
      </c>
      <c r="AL6749">
        <v>76.6159556610545</v>
      </c>
      <c r="AM6749">
        <v>102.97920967573199</v>
      </c>
      <c r="AN6749">
        <v>1.0000000128170301</v>
      </c>
    </row>
    <row r="6750" spans="1:40" x14ac:dyDescent="0.25">
      <c r="A6750" t="str">
        <f>"20190304155804951"</f>
        <v>20190304155804951</v>
      </c>
      <c r="B6750" t="str">
        <f>"1551686284941572"</f>
        <v>1551686284941572</v>
      </c>
      <c r="C6750" t="s">
        <v>40</v>
      </c>
      <c r="D6750">
        <v>4.6130259999999996</v>
      </c>
      <c r="E6750">
        <v>0.46990290000000001</v>
      </c>
      <c r="F6750" t="s">
        <v>41</v>
      </c>
      <c r="G6750">
        <v>-181.97399999999999</v>
      </c>
      <c r="H6750" s="1">
        <v>-2.959407E-6</v>
      </c>
      <c r="I6750">
        <v>-17.930900000000001</v>
      </c>
      <c r="J6750">
        <v>-190.55510000000001</v>
      </c>
      <c r="K6750">
        <v>1.1134109999999999</v>
      </c>
      <c r="L6750">
        <v>-48.983429999999998</v>
      </c>
      <c r="M6750">
        <v>0.53641719999999904</v>
      </c>
      <c r="N6750">
        <v>-1.103648E-2</v>
      </c>
      <c r="O6750">
        <v>0.84388079999999999</v>
      </c>
      <c r="P6750">
        <v>0.32911079999999998</v>
      </c>
      <c r="Q6750">
        <v>0.22104750000000001</v>
      </c>
      <c r="R6750">
        <v>0.9180545</v>
      </c>
      <c r="S6750">
        <v>0.83340449999999999</v>
      </c>
      <c r="T6750">
        <v>-0.1068567</v>
      </c>
      <c r="U6750">
        <v>2.9967350000000001</v>
      </c>
      <c r="V6750">
        <v>-0.21650459999999999</v>
      </c>
      <c r="W6750">
        <v>0.22988700000000001</v>
      </c>
      <c r="X6750">
        <v>0.9488297</v>
      </c>
      <c r="Y6750">
        <v>-0.29067189999999998</v>
      </c>
      <c r="Z6750">
        <v>-1.605096E-2</v>
      </c>
      <c r="AA6750">
        <v>0.95668819999999999</v>
      </c>
      <c r="AB6750">
        <v>21</v>
      </c>
      <c r="AC6750">
        <v>8.5810999999999904</v>
      </c>
      <c r="AD6750">
        <v>-1.1134139594070001</v>
      </c>
      <c r="AE6750">
        <v>31.052530000000001</v>
      </c>
      <c r="AF6750">
        <v>-9.4050254249498799</v>
      </c>
      <c r="AG6750">
        <v>-1.1134139594070001</v>
      </c>
      <c r="AH6750">
        <v>30.772803693787701</v>
      </c>
      <c r="AI6750">
        <v>91.981745110878705</v>
      </c>
      <c r="AJ6750">
        <v>106.994610983334</v>
      </c>
      <c r="AK6750">
        <v>32.197199273622402</v>
      </c>
      <c r="AL6750">
        <v>76.709581443518402</v>
      </c>
      <c r="AM6750">
        <v>102.85372275377701</v>
      </c>
      <c r="AN6750">
        <v>1.00000003709612</v>
      </c>
    </row>
    <row r="6751" spans="1:40" x14ac:dyDescent="0.25">
      <c r="A6751" t="str">
        <f>"20190304155804972"</f>
        <v>20190304155804972</v>
      </c>
      <c r="B6751" t="str">
        <f>"1551686284961091"</f>
        <v>1551686284961091</v>
      </c>
      <c r="C6751" t="s">
        <v>40</v>
      </c>
      <c r="D6751">
        <v>4.6289189999999998</v>
      </c>
      <c r="E6751">
        <v>0.46927590000000002</v>
      </c>
      <c r="F6751" t="s">
        <v>41</v>
      </c>
      <c r="G6751">
        <v>-182.90020000000001</v>
      </c>
      <c r="H6751" s="1">
        <v>-5.3280669999999996E-6</v>
      </c>
      <c r="I6751">
        <v>-20.883019999999998</v>
      </c>
      <c r="J6751">
        <v>-190.44669999999999</v>
      </c>
      <c r="K6751">
        <v>1.113599</v>
      </c>
      <c r="L6751">
        <v>-48.800960000000003</v>
      </c>
      <c r="M6751">
        <v>0.53161009999999997</v>
      </c>
      <c r="N6751">
        <v>-1.102652E-2</v>
      </c>
      <c r="O6751">
        <v>0.84691749999999899</v>
      </c>
      <c r="P6751">
        <v>0.32628740000000001</v>
      </c>
      <c r="Q6751">
        <v>0.2193049</v>
      </c>
      <c r="R6751">
        <v>0.91947909999999999</v>
      </c>
      <c r="S6751">
        <v>0.81810000000000005</v>
      </c>
      <c r="T6751">
        <v>-0.118992899999999</v>
      </c>
      <c r="U6751">
        <v>3.0031430000000001</v>
      </c>
      <c r="V6751">
        <v>-0.21433830000000001</v>
      </c>
      <c r="W6751">
        <v>0.22805819999999999</v>
      </c>
      <c r="X6751">
        <v>0.94976240000000001</v>
      </c>
      <c r="Y6751">
        <v>-0.29029939999999999</v>
      </c>
      <c r="Z6751">
        <v>-1.9140919999999999E-2</v>
      </c>
      <c r="AA6751">
        <v>0.95674440000000005</v>
      </c>
      <c r="AB6751">
        <v>21</v>
      </c>
      <c r="AC6751">
        <v>7.5464999999999796</v>
      </c>
      <c r="AD6751">
        <v>-1.113604328067</v>
      </c>
      <c r="AE6751">
        <v>27.917939999999899</v>
      </c>
      <c r="AF6751">
        <v>-8.4381974054149094</v>
      </c>
      <c r="AG6751">
        <v>-1.113604328067</v>
      </c>
      <c r="AH6751">
        <v>27.616718431001502</v>
      </c>
      <c r="AI6751">
        <v>92.2084367802331</v>
      </c>
      <c r="AJ6751">
        <v>106.990359656447</v>
      </c>
      <c r="AK6751">
        <v>28.898554063299699</v>
      </c>
      <c r="AL6751">
        <v>76.817223669955396</v>
      </c>
      <c r="AM6751">
        <v>102.717227737767</v>
      </c>
      <c r="AN6751">
        <v>1.00000003294394</v>
      </c>
    </row>
    <row r="6752" spans="1:40" x14ac:dyDescent="0.25">
      <c r="A6752" t="str">
        <f>"20190304155804994"</f>
        <v>20190304155804994</v>
      </c>
      <c r="B6752" t="str">
        <f>"1551686284990879"</f>
        <v>1551686284990879</v>
      </c>
      <c r="C6752" t="s">
        <v>40</v>
      </c>
      <c r="D6752">
        <v>4.800694</v>
      </c>
      <c r="E6752">
        <v>0.46825620000000001</v>
      </c>
      <c r="F6752" t="s">
        <v>41</v>
      </c>
      <c r="G6752">
        <v>-183.0992</v>
      </c>
      <c r="H6752" s="1">
        <v>-5.1443269999999997E-6</v>
      </c>
      <c r="I6752">
        <v>-21.229050000000001</v>
      </c>
      <c r="J6752">
        <v>-190.3434</v>
      </c>
      <c r="K6752">
        <v>1.1137570000000001</v>
      </c>
      <c r="L6752">
        <v>-48.62424</v>
      </c>
      <c r="M6752">
        <v>0.52674829999999995</v>
      </c>
      <c r="N6752">
        <v>-1.102129E-2</v>
      </c>
      <c r="O6752">
        <v>0.84994989999999904</v>
      </c>
      <c r="P6752">
        <v>0.32411719999999999</v>
      </c>
      <c r="Q6752">
        <v>0.21685769999999999</v>
      </c>
      <c r="R6752">
        <v>0.92082609999999998</v>
      </c>
      <c r="S6752">
        <v>0.80140690000000003</v>
      </c>
      <c r="T6752">
        <v>-0.12146170000000001</v>
      </c>
      <c r="U6752">
        <v>3.0072939999999999</v>
      </c>
      <c r="V6752">
        <v>-0.2115061</v>
      </c>
      <c r="W6752">
        <v>0.22555549999999999</v>
      </c>
      <c r="X6752">
        <v>0.95099420000000001</v>
      </c>
      <c r="Y6752">
        <v>-0.2901051</v>
      </c>
      <c r="Z6752">
        <v>-1.9880889999999998E-2</v>
      </c>
      <c r="AA6752">
        <v>0.95678819999999998</v>
      </c>
      <c r="AB6752">
        <v>21</v>
      </c>
      <c r="AC6752">
        <v>7.2442000000000002</v>
      </c>
      <c r="AD6752">
        <v>-1.1137621443269901</v>
      </c>
      <c r="AE6752">
        <v>27.395189999999999</v>
      </c>
      <c r="AF6752">
        <v>-8.2609031476495005</v>
      </c>
      <c r="AG6752">
        <v>-1.1137621443269901</v>
      </c>
      <c r="AH6752">
        <v>27.0602504214554</v>
      </c>
      <c r="AI6752">
        <v>92.254292811442497</v>
      </c>
      <c r="AJ6752">
        <v>106.976285150641</v>
      </c>
      <c r="AK6752">
        <v>28.315016153992499</v>
      </c>
      <c r="AL6752">
        <v>76.964454844578896</v>
      </c>
      <c r="AM6752">
        <v>102.538800387553</v>
      </c>
      <c r="AN6752">
        <v>1.0000000411755401</v>
      </c>
    </row>
    <row r="6753" spans="1:40" x14ac:dyDescent="0.25">
      <c r="A6753" t="str">
        <f>"20190304155805019"</f>
        <v>20190304155805019</v>
      </c>
      <c r="B6753" t="str">
        <f>"1551686285011375"</f>
        <v>1551686285011375</v>
      </c>
      <c r="C6753" t="s">
        <v>40</v>
      </c>
      <c r="D6753">
        <v>4.8160379999999998</v>
      </c>
      <c r="E6753">
        <v>0.46793620000000002</v>
      </c>
      <c r="F6753" t="s">
        <v>41</v>
      </c>
      <c r="G6753">
        <v>-182.60079999999999</v>
      </c>
      <c r="H6753" s="1">
        <v>-2.4829270000000001E-6</v>
      </c>
      <c r="I6753">
        <v>-18.840920000000001</v>
      </c>
      <c r="J6753">
        <v>-190.2269</v>
      </c>
      <c r="K6753">
        <v>1.113915</v>
      </c>
      <c r="L6753">
        <v>-48.421329999999998</v>
      </c>
      <c r="M6753">
        <v>0.5209239</v>
      </c>
      <c r="N6753">
        <v>-1.101864E-2</v>
      </c>
      <c r="O6753">
        <v>0.85353199999999996</v>
      </c>
      <c r="P6753">
        <v>0.32038810000000001</v>
      </c>
      <c r="Q6753">
        <v>0.21558050000000001</v>
      </c>
      <c r="R6753">
        <v>0.92242970000000002</v>
      </c>
      <c r="S6753">
        <v>0.78225710000000004</v>
      </c>
      <c r="T6753">
        <v>-0.1125263</v>
      </c>
      <c r="U6753">
        <v>3.0090940000000002</v>
      </c>
      <c r="V6753">
        <v>-0.2090805</v>
      </c>
      <c r="W6753">
        <v>0.22422110000000001</v>
      </c>
      <c r="X6753">
        <v>0.95184570000000002</v>
      </c>
      <c r="Y6753">
        <v>-0.28939300000000001</v>
      </c>
      <c r="Z6753">
        <v>-1.783877E-2</v>
      </c>
      <c r="AA6753">
        <v>0.95704409999999895</v>
      </c>
      <c r="AB6753">
        <v>21</v>
      </c>
      <c r="AC6753">
        <v>7.6261000000000001</v>
      </c>
      <c r="AD6753">
        <v>-1.113917482927</v>
      </c>
      <c r="AE6753">
        <v>29.580410000000001</v>
      </c>
      <c r="AF6753">
        <v>-8.8887432199996592</v>
      </c>
      <c r="AG6753">
        <v>-1.113917482927</v>
      </c>
      <c r="AH6753">
        <v>29.183413398025401</v>
      </c>
      <c r="AI6753">
        <v>92.0911358532355</v>
      </c>
      <c r="AJ6753">
        <v>106.939793435605</v>
      </c>
      <c r="AK6753">
        <v>30.527400573090201</v>
      </c>
      <c r="AL6753">
        <v>77.042919679498198</v>
      </c>
      <c r="AM6753">
        <v>102.388725344327</v>
      </c>
      <c r="AN6753">
        <v>0.99999999688697405</v>
      </c>
    </row>
    <row r="6754" spans="1:40" x14ac:dyDescent="0.25">
      <c r="A6754" t="str">
        <f>"20190304155805040"</f>
        <v>20190304155805040</v>
      </c>
      <c r="B6754" t="str">
        <f>"1551686285030895"</f>
        <v>1551686285030895</v>
      </c>
      <c r="C6754" t="s">
        <v>40</v>
      </c>
      <c r="D6754">
        <v>4.8096310000000004</v>
      </c>
      <c r="E6754">
        <v>0.46748509999999999</v>
      </c>
      <c r="F6754" t="s">
        <v>41</v>
      </c>
      <c r="G6754">
        <v>-182.60400000000001</v>
      </c>
      <c r="H6754" s="1">
        <v>-2.6273889999999999E-6</v>
      </c>
      <c r="I6754">
        <v>-18.413969999999999</v>
      </c>
      <c r="J6754">
        <v>-190.13059999999999</v>
      </c>
      <c r="K6754">
        <v>1.1140380000000001</v>
      </c>
      <c r="L6754">
        <v>-48.250790000000002</v>
      </c>
      <c r="M6754">
        <v>0.51582969999999995</v>
      </c>
      <c r="N6754">
        <v>-1.1019330000000001E-2</v>
      </c>
      <c r="O6754">
        <v>0.8566203</v>
      </c>
      <c r="P6754">
        <v>0.31686920000000002</v>
      </c>
      <c r="Q6754">
        <v>0.215147</v>
      </c>
      <c r="R6754">
        <v>0.9237455</v>
      </c>
      <c r="S6754">
        <v>0.765304599999999</v>
      </c>
      <c r="T6754">
        <v>-0.111832399999999</v>
      </c>
      <c r="U6754">
        <v>3.0126040000000001</v>
      </c>
      <c r="V6754">
        <v>-0.20715249999999999</v>
      </c>
      <c r="W6754">
        <v>0.22374559999999999</v>
      </c>
      <c r="X6754">
        <v>0.95237899999999998</v>
      </c>
      <c r="Y6754">
        <v>-0.2890143</v>
      </c>
      <c r="Z6754">
        <v>-1.778971E-2</v>
      </c>
      <c r="AA6754">
        <v>0.95715950000000005</v>
      </c>
      <c r="AB6754">
        <v>21</v>
      </c>
      <c r="AC6754">
        <v>7.52659999999997</v>
      </c>
      <c r="AD6754">
        <v>-1.11404062738899</v>
      </c>
      <c r="AE6754">
        <v>29.836819999999999</v>
      </c>
      <c r="AF6754">
        <v>-8.9321150289968791</v>
      </c>
      <c r="AG6754">
        <v>-1.11404062738899</v>
      </c>
      <c r="AH6754">
        <v>29.4045158932832</v>
      </c>
      <c r="AI6754">
        <v>92.076125706555203</v>
      </c>
      <c r="AJ6754">
        <v>106.897038790011</v>
      </c>
      <c r="AK6754">
        <v>30.751411680263601</v>
      </c>
      <c r="AL6754">
        <v>77.070874176867505</v>
      </c>
      <c r="AM6754">
        <v>102.27129866662899</v>
      </c>
      <c r="AN6754">
        <v>1.0000000057083001</v>
      </c>
    </row>
    <row r="6755" spans="1:40" x14ac:dyDescent="0.25">
      <c r="A6755" t="str">
        <f>"20190304155805064"</f>
        <v>20190304155805064</v>
      </c>
      <c r="B6755" t="str">
        <f>"1551686285061150"</f>
        <v>1551686285061150</v>
      </c>
      <c r="C6755" t="s">
        <v>40</v>
      </c>
      <c r="D6755">
        <v>4.340471</v>
      </c>
      <c r="E6755">
        <v>0.46709450000000002</v>
      </c>
      <c r="F6755" t="s">
        <v>41</v>
      </c>
      <c r="G6755">
        <v>-182.3904</v>
      </c>
      <c r="H6755" s="1">
        <v>-3.1403560000000001E-6</v>
      </c>
      <c r="I6755">
        <v>-17.073599999999999</v>
      </c>
      <c r="J6755">
        <v>-190.02359999999999</v>
      </c>
      <c r="K6755">
        <v>1.1141779999999999</v>
      </c>
      <c r="L6755">
        <v>-48.057920000000003</v>
      </c>
      <c r="M6755">
        <v>0.50984039999999997</v>
      </c>
      <c r="N6755">
        <v>-1.1025480000000001E-2</v>
      </c>
      <c r="O6755">
        <v>0.86019840000000003</v>
      </c>
      <c r="P6755">
        <v>0.31282300000000002</v>
      </c>
      <c r="Q6755">
        <v>0.2145299</v>
      </c>
      <c r="R6755">
        <v>0.92526679999999994</v>
      </c>
      <c r="S6755">
        <v>0.74874879999999999</v>
      </c>
      <c r="T6755">
        <v>-0.107766899999999</v>
      </c>
      <c r="U6755">
        <v>3.01593</v>
      </c>
      <c r="V6755">
        <v>-0.20481930000000001</v>
      </c>
      <c r="W6755">
        <v>0.2230885</v>
      </c>
      <c r="X6755">
        <v>0.95303760000000004</v>
      </c>
      <c r="Y6755">
        <v>-0.28752820000000001</v>
      </c>
      <c r="Z6755">
        <v>-1.691492E-2</v>
      </c>
      <c r="AA6755">
        <v>0.9576228</v>
      </c>
      <c r="AB6755">
        <v>21</v>
      </c>
      <c r="AC6755">
        <v>7.63319999999998</v>
      </c>
      <c r="AD6755">
        <v>-1.114181140356</v>
      </c>
      <c r="AE6755">
        <v>30.98432</v>
      </c>
      <c r="AF6755">
        <v>-9.22031195267882</v>
      </c>
      <c r="AG6755">
        <v>-1.114181140356</v>
      </c>
      <c r="AH6755">
        <v>30.509038155340999</v>
      </c>
      <c r="AI6755">
        <v>92.002138814132607</v>
      </c>
      <c r="AJ6755">
        <v>106.81564402446401</v>
      </c>
      <c r="AK6755">
        <v>31.891330503481498</v>
      </c>
      <c r="AL6755">
        <v>77.109500095371303</v>
      </c>
      <c r="AM6755">
        <v>102.12906561245001</v>
      </c>
      <c r="AN6755">
        <v>1.00000004574924</v>
      </c>
    </row>
    <row r="6756" spans="1:40" x14ac:dyDescent="0.25">
      <c r="A6756" t="str">
        <f>"20190304155805084"</f>
        <v>20190304155805084</v>
      </c>
      <c r="B6756" t="str">
        <f>"1551686285081646"</f>
        <v>1551686285081646</v>
      </c>
      <c r="C6756" t="s">
        <v>40</v>
      </c>
      <c r="D6756">
        <v>5.0063519999999997</v>
      </c>
      <c r="E6756">
        <v>0.4668368</v>
      </c>
      <c r="F6756" t="s">
        <v>41</v>
      </c>
      <c r="G6756">
        <v>-182.51820000000001</v>
      </c>
      <c r="H6756" s="1">
        <v>-3.1032939999999998E-6</v>
      </c>
      <c r="I6756">
        <v>-17.082539999999899</v>
      </c>
      <c r="J6756">
        <v>-189.92949999999999</v>
      </c>
      <c r="K6756">
        <v>1.114323</v>
      </c>
      <c r="L6756">
        <v>-47.885190000000001</v>
      </c>
      <c r="M6756">
        <v>0.50426499999999996</v>
      </c>
      <c r="N6756">
        <v>-1.103665E-2</v>
      </c>
      <c r="O6756">
        <v>0.86347850000000004</v>
      </c>
      <c r="P6756">
        <v>0.30804680000000001</v>
      </c>
      <c r="Q6756">
        <v>0.21320020000000001</v>
      </c>
      <c r="R6756">
        <v>0.92717470000000002</v>
      </c>
      <c r="S6756">
        <v>0.73176569999999996</v>
      </c>
      <c r="T6756">
        <v>-0.10863200000000001</v>
      </c>
      <c r="U6756">
        <v>3.0200809999999998</v>
      </c>
      <c r="V6756">
        <v>-0.20378869999999999</v>
      </c>
      <c r="W6756">
        <v>0.22171189999999999</v>
      </c>
      <c r="X6756">
        <v>0.95357950000000002</v>
      </c>
      <c r="Y6756">
        <v>-0.2867209</v>
      </c>
      <c r="Z6756">
        <v>-1.7249E-2</v>
      </c>
      <c r="AA6756">
        <v>0.95785889999999996</v>
      </c>
      <c r="AB6756">
        <v>21</v>
      </c>
      <c r="AC6756">
        <v>7.4112999999999802</v>
      </c>
      <c r="AD6756">
        <v>-1.1143261032939999</v>
      </c>
      <c r="AE6756">
        <v>30.80265</v>
      </c>
      <c r="AF6756">
        <v>-9.1224703781677992</v>
      </c>
      <c r="AG6756">
        <v>-1.1143261032939999</v>
      </c>
      <c r="AH6756">
        <v>30.299047912871</v>
      </c>
      <c r="AI6756">
        <v>92.0168976102062</v>
      </c>
      <c r="AJ6756">
        <v>106.75605474891501</v>
      </c>
      <c r="AK6756">
        <v>31.662177639756301</v>
      </c>
      <c r="AL6756">
        <v>77.190398074987797</v>
      </c>
      <c r="AM6756">
        <v>102.063170998033</v>
      </c>
      <c r="AN6756">
        <v>0.99999993183477198</v>
      </c>
    </row>
    <row r="6757" spans="1:40" x14ac:dyDescent="0.25">
      <c r="A6757" t="str">
        <f>"20190304155805108"</f>
        <v>20190304155805108</v>
      </c>
      <c r="B6757" t="str">
        <f>"1551686285101166"</f>
        <v>1551686285101166</v>
      </c>
      <c r="C6757" t="s">
        <v>40</v>
      </c>
      <c r="D6757">
        <v>4.8918790000000003</v>
      </c>
      <c r="E6757">
        <v>0.4666671</v>
      </c>
      <c r="F6757" t="s">
        <v>41</v>
      </c>
      <c r="G6757">
        <v>-182.9693</v>
      </c>
      <c r="H6757" s="1">
        <v>-2.5353309999999999E-6</v>
      </c>
      <c r="I6757">
        <v>-18.398810000000001</v>
      </c>
      <c r="J6757">
        <v>-189.82089999999999</v>
      </c>
      <c r="K6757">
        <v>1.114517</v>
      </c>
      <c r="L6757">
        <v>-47.681699999999999</v>
      </c>
      <c r="M6757">
        <v>0.49745230000000001</v>
      </c>
      <c r="N6757">
        <v>-1.1055000000000001E-2</v>
      </c>
      <c r="O6757">
        <v>0.86742090000000005</v>
      </c>
      <c r="P6757">
        <v>0.30218410000000001</v>
      </c>
      <c r="Q6757">
        <v>0.21289060000000001</v>
      </c>
      <c r="R6757">
        <v>0.92917300000000003</v>
      </c>
      <c r="S6757">
        <v>0.713974</v>
      </c>
      <c r="T6757">
        <v>-0.1143078</v>
      </c>
      <c r="U6757">
        <v>3.0247190000000002</v>
      </c>
      <c r="V6757">
        <v>-0.20243910000000001</v>
      </c>
      <c r="W6757">
        <v>0.22134319999999999</v>
      </c>
      <c r="X6757">
        <v>0.95395269999999999</v>
      </c>
      <c r="Y6757">
        <v>-0.28484959999999998</v>
      </c>
      <c r="Z6757">
        <v>-1.8841420000000001E-2</v>
      </c>
      <c r="AA6757">
        <v>0.95838710000000005</v>
      </c>
      <c r="AB6757">
        <v>21</v>
      </c>
      <c r="AC6757">
        <v>6.8515999999999897</v>
      </c>
      <c r="AD6757">
        <v>-1.114519535331</v>
      </c>
      <c r="AE6757">
        <v>29.282889999999998</v>
      </c>
      <c r="AF6757">
        <v>-8.6123186343103395</v>
      </c>
      <c r="AG6757">
        <v>-1.114519535331</v>
      </c>
      <c r="AH6757">
        <v>28.7711806858531</v>
      </c>
      <c r="AI6757">
        <v>92.125294637448803</v>
      </c>
      <c r="AJ6757">
        <v>106.664459922907</v>
      </c>
      <c r="AK6757">
        <v>30.0532032254721</v>
      </c>
      <c r="AL6757">
        <v>77.212063167719094</v>
      </c>
      <c r="AM6757">
        <v>101.981046320608</v>
      </c>
      <c r="AN6757">
        <v>1.0000000776161599</v>
      </c>
    </row>
    <row r="6758" spans="1:40" x14ac:dyDescent="0.25">
      <c r="A6758" t="str">
        <f>"20190304155805131"</f>
        <v>20190304155805131</v>
      </c>
      <c r="B6758" t="str">
        <f>"1551686285121662"</f>
        <v>1551686285121662</v>
      </c>
      <c r="C6758" t="s">
        <v>40</v>
      </c>
      <c r="D6758">
        <v>4.7332879999999999</v>
      </c>
      <c r="E6758">
        <v>0.46629350000000003</v>
      </c>
      <c r="F6758" t="s">
        <v>41</v>
      </c>
      <c r="G6758">
        <v>-182.93680000000001</v>
      </c>
      <c r="H6758" s="1">
        <v>-2.8123600000000001E-6</v>
      </c>
      <c r="I6758">
        <v>-17.610209999999999</v>
      </c>
      <c r="J6758">
        <v>-189.7243</v>
      </c>
      <c r="K6758">
        <v>1.1147</v>
      </c>
      <c r="L6758">
        <v>-47.496490000000001</v>
      </c>
      <c r="M6758">
        <v>0.49100290000000002</v>
      </c>
      <c r="N6758">
        <v>-1.1075379999999999E-2</v>
      </c>
      <c r="O6758">
        <v>0.87108759999999996</v>
      </c>
      <c r="P6758">
        <v>0.29670150000000001</v>
      </c>
      <c r="Q6758">
        <v>0.21200169999999999</v>
      </c>
      <c r="R6758">
        <v>0.931141</v>
      </c>
      <c r="S6758">
        <v>0.6933899</v>
      </c>
      <c r="T6758">
        <v>-0.1122581</v>
      </c>
      <c r="U6758">
        <v>3.0289000000000001</v>
      </c>
      <c r="V6758">
        <v>-0.20116999999999999</v>
      </c>
      <c r="W6758">
        <v>0.2204033</v>
      </c>
      <c r="X6758">
        <v>0.95443860000000003</v>
      </c>
      <c r="Y6758">
        <v>-0.28421229999999997</v>
      </c>
      <c r="Z6758">
        <v>-1.8447959999999999E-2</v>
      </c>
      <c r="AA6758">
        <v>0.95858390000000004</v>
      </c>
      <c r="AB6758">
        <v>21</v>
      </c>
      <c r="AC6758">
        <v>6.7874999999999899</v>
      </c>
      <c r="AD6758">
        <v>-1.11470281236</v>
      </c>
      <c r="AE6758">
        <v>29.886279999999999</v>
      </c>
      <c r="AF6758">
        <v>-8.7507035201932606</v>
      </c>
      <c r="AG6758">
        <v>-1.11470281236</v>
      </c>
      <c r="AH6758">
        <v>29.329249468828301</v>
      </c>
      <c r="AI6758">
        <v>92.085792436742395</v>
      </c>
      <c r="AJ6758">
        <v>106.613050267495</v>
      </c>
      <c r="AK6758">
        <v>30.627148885636899</v>
      </c>
      <c r="AL6758">
        <v>77.267278319987099</v>
      </c>
      <c r="AM6758">
        <v>101.90219797333999</v>
      </c>
      <c r="AN6758">
        <v>1.00000001236042</v>
      </c>
    </row>
    <row r="6759" spans="1:40" x14ac:dyDescent="0.25">
      <c r="A6759" t="str">
        <f>"20190304155805152"</f>
        <v>20190304155805152</v>
      </c>
      <c r="B6759" t="str">
        <f>"1551686285141182"</f>
        <v>1551686285141182</v>
      </c>
      <c r="C6759" t="s">
        <v>40</v>
      </c>
      <c r="D6759">
        <v>5.0542959999999999</v>
      </c>
      <c r="E6759">
        <v>0.4657483</v>
      </c>
      <c r="F6759" t="s">
        <v>41</v>
      </c>
      <c r="G6759">
        <v>-183.03280000000001</v>
      </c>
      <c r="H6759" s="1">
        <v>-2.9058039999999999E-6</v>
      </c>
      <c r="I6759">
        <v>-17.260579999999901</v>
      </c>
      <c r="J6759">
        <v>-189.63079999999999</v>
      </c>
      <c r="K6759">
        <v>1.114876</v>
      </c>
      <c r="L6759">
        <v>-47.313229999999997</v>
      </c>
      <c r="M6759">
        <v>0.48438439999999999</v>
      </c>
      <c r="N6759">
        <v>-1.1097900000000001E-2</v>
      </c>
      <c r="O6759">
        <v>0.87478489999999998</v>
      </c>
      <c r="P6759">
        <v>0.29090529999999998</v>
      </c>
      <c r="Q6759">
        <v>0.21116460000000001</v>
      </c>
      <c r="R6759">
        <v>0.93315789999999998</v>
      </c>
      <c r="S6759">
        <v>0.67132569999999903</v>
      </c>
      <c r="T6759">
        <v>-0.1118325</v>
      </c>
      <c r="U6759">
        <v>3.033417</v>
      </c>
      <c r="V6759">
        <v>-0.20004330000000001</v>
      </c>
      <c r="W6759">
        <v>0.21951950000000001</v>
      </c>
      <c r="X6759">
        <v>0.95487900000000003</v>
      </c>
      <c r="Y6759">
        <v>-0.28389059999999999</v>
      </c>
      <c r="Z6759">
        <v>-1.8462490000000002E-2</v>
      </c>
      <c r="AA6759">
        <v>0.9586789</v>
      </c>
      <c r="AB6759">
        <v>21</v>
      </c>
      <c r="AC6759">
        <v>6.5979999999999803</v>
      </c>
      <c r="AD6759">
        <v>-1.1148789058040001</v>
      </c>
      <c r="AE6759">
        <v>30.05265</v>
      </c>
      <c r="AF6759">
        <v>-8.7742249494369204</v>
      </c>
      <c r="AG6759">
        <v>-1.1148789058040001</v>
      </c>
      <c r="AH6759">
        <v>29.448723738599799</v>
      </c>
      <c r="AI6759">
        <v>92.077899666522796</v>
      </c>
      <c r="AJ6759">
        <v>106.59138558124999</v>
      </c>
      <c r="AK6759">
        <v>30.748289517797598</v>
      </c>
      <c r="AL6759">
        <v>77.319187746725206</v>
      </c>
      <c r="AM6759">
        <v>101.832117155906</v>
      </c>
      <c r="AN6759">
        <v>1.00000001869806</v>
      </c>
    </row>
    <row r="6760" spans="1:40" x14ac:dyDescent="0.25">
      <c r="A6760" t="str">
        <f>"20190304155805175"</f>
        <v>20190304155805175</v>
      </c>
      <c r="B6760" t="str">
        <f>"1551686285171439"</f>
        <v>1551686285171439</v>
      </c>
      <c r="C6760" t="s">
        <v>40</v>
      </c>
      <c r="D6760">
        <v>4.6165279999999997</v>
      </c>
      <c r="E6760">
        <v>0.46549550000000001</v>
      </c>
      <c r="F6760" t="s">
        <v>41</v>
      </c>
      <c r="G6760">
        <v>-183.1678</v>
      </c>
      <c r="H6760" s="1">
        <v>-2.959416E-6</v>
      </c>
      <c r="I6760">
        <v>-16.997429999999898</v>
      </c>
      <c r="J6760">
        <v>-189.5361</v>
      </c>
      <c r="K6760">
        <v>1.115019</v>
      </c>
      <c r="L6760">
        <v>-47.123049999999999</v>
      </c>
      <c r="M6760">
        <v>0.47730939999999999</v>
      </c>
      <c r="N6760">
        <v>-1.1121209999999999E-2</v>
      </c>
      <c r="O6760">
        <v>0.87866489999999997</v>
      </c>
      <c r="P6760">
        <v>0.28370040000000002</v>
      </c>
      <c r="Q6760">
        <v>0.21116660000000001</v>
      </c>
      <c r="R6760">
        <v>0.93537309999999996</v>
      </c>
      <c r="S6760">
        <v>0.64772030000000003</v>
      </c>
      <c r="T6760">
        <v>-0.1117327</v>
      </c>
      <c r="U6760">
        <v>3.0382389999999999</v>
      </c>
      <c r="V6760">
        <v>-0.19978409999999999</v>
      </c>
      <c r="W6760">
        <v>0.21947340000000001</v>
      </c>
      <c r="X6760">
        <v>0.95494380000000001</v>
      </c>
      <c r="Y6760">
        <v>-0.2835876</v>
      </c>
      <c r="Z6760">
        <v>-1.856565E-2</v>
      </c>
      <c r="AA6760">
        <v>0.95876660000000002</v>
      </c>
      <c r="AB6760">
        <v>21</v>
      </c>
      <c r="AC6760">
        <v>6.3682999999999996</v>
      </c>
      <c r="AD6760">
        <v>-1.115021959416</v>
      </c>
      <c r="AE6760">
        <v>30.125620000000001</v>
      </c>
      <c r="AF6760">
        <v>-8.7726795786741203</v>
      </c>
      <c r="AG6760">
        <v>-1.115021959416</v>
      </c>
      <c r="AH6760">
        <v>29.473151389011498</v>
      </c>
      <c r="AI6760">
        <v>92.076615059254095</v>
      </c>
      <c r="AJ6760">
        <v>106.575629857539</v>
      </c>
      <c r="AK6760">
        <v>30.771250116946099</v>
      </c>
      <c r="AL6760">
        <v>77.321894356046897</v>
      </c>
      <c r="AM6760">
        <v>101.81643807249699</v>
      </c>
      <c r="AN6760">
        <v>0.99999996053940399</v>
      </c>
    </row>
    <row r="6761" spans="1:40" x14ac:dyDescent="0.25">
      <c r="A6761" t="str">
        <f>"20190304155805195"</f>
        <v>20190304155805195</v>
      </c>
      <c r="B6761" t="str">
        <f>"1551686285190959"</f>
        <v>1551686285190959</v>
      </c>
      <c r="C6761" t="s">
        <v>40</v>
      </c>
      <c r="D6761">
        <v>4.6400880000000004</v>
      </c>
      <c r="E6761">
        <v>0.46538649999999998</v>
      </c>
      <c r="F6761" t="s">
        <v>41</v>
      </c>
      <c r="G6761">
        <v>-183.6277</v>
      </c>
      <c r="H6761" s="1">
        <v>-2.4041820000000001E-6</v>
      </c>
      <c r="I6761">
        <v>-18.269449999999999</v>
      </c>
      <c r="J6761">
        <v>-189.44919999999999</v>
      </c>
      <c r="K6761">
        <v>1.1151329999999999</v>
      </c>
      <c r="L6761">
        <v>-46.944699999999997</v>
      </c>
      <c r="M6761">
        <v>0.47049469999999999</v>
      </c>
      <c r="N6761">
        <v>-1.1142239999999999E-2</v>
      </c>
      <c r="O6761">
        <v>0.88233249999999996</v>
      </c>
      <c r="P6761">
        <v>0.27642810000000001</v>
      </c>
      <c r="Q6761">
        <v>0.2099579</v>
      </c>
      <c r="R6761">
        <v>0.93781939999999997</v>
      </c>
      <c r="S6761">
        <v>0.62347410000000003</v>
      </c>
      <c r="T6761">
        <v>-0.11766119999999999</v>
      </c>
      <c r="U6761">
        <v>3.0447389999999999</v>
      </c>
      <c r="V6761">
        <v>-0.1999871</v>
      </c>
      <c r="W6761">
        <v>0.21822649999999999</v>
      </c>
      <c r="X6761">
        <v>0.95518709999999996</v>
      </c>
      <c r="Y6761">
        <v>-0.2839024</v>
      </c>
      <c r="Z6761">
        <v>-2.0217019999999999E-2</v>
      </c>
      <c r="AA6761">
        <v>0.95864000000000005</v>
      </c>
      <c r="AB6761">
        <v>21</v>
      </c>
      <c r="AC6761">
        <v>5.8214999999999799</v>
      </c>
      <c r="AD6761">
        <v>-1.1151354041820001</v>
      </c>
      <c r="AE6761">
        <v>28.675249999999998</v>
      </c>
      <c r="AF6761">
        <v>-8.3434545356268597</v>
      </c>
      <c r="AG6761">
        <v>-1.1151354041820001</v>
      </c>
      <c r="AH6761">
        <v>28.0011597131736</v>
      </c>
      <c r="AI6761">
        <v>92.185709324512203</v>
      </c>
      <c r="AJ6761">
        <v>106.592381995349</v>
      </c>
      <c r="AK6761">
        <v>29.2390442018953</v>
      </c>
      <c r="AL6761">
        <v>77.395112131517706</v>
      </c>
      <c r="AM6761">
        <v>101.825178701128</v>
      </c>
      <c r="AN6761">
        <v>1.0000000207375299</v>
      </c>
    </row>
    <row r="6762" spans="1:40" x14ac:dyDescent="0.25">
      <c r="A6762" t="str">
        <f>"20190304155805223"</f>
        <v>20190304155805223</v>
      </c>
      <c r="B6762" t="str">
        <f>"1551686285211454"</f>
        <v>1551686285211454</v>
      </c>
      <c r="C6762" t="s">
        <v>40</v>
      </c>
      <c r="D6762">
        <v>4.7773750000000001</v>
      </c>
      <c r="E6762">
        <v>0.46540700000000002</v>
      </c>
      <c r="F6762" t="s">
        <v>41</v>
      </c>
      <c r="G6762">
        <v>-183.98560000000001</v>
      </c>
      <c r="H6762" s="1">
        <v>-1.99138E-6</v>
      </c>
      <c r="I6762">
        <v>-19.202629999999999</v>
      </c>
      <c r="J6762">
        <v>-189.34129999999999</v>
      </c>
      <c r="K6762">
        <v>1.115251</v>
      </c>
      <c r="L6762">
        <v>-46.717709999999997</v>
      </c>
      <c r="M6762">
        <v>0.46157559999999898</v>
      </c>
      <c r="N6762">
        <v>-1.1169220000000001E-2</v>
      </c>
      <c r="O6762">
        <v>0.88703050000000006</v>
      </c>
      <c r="P6762">
        <v>0.26649610000000001</v>
      </c>
      <c r="Q6762">
        <v>0.2089181</v>
      </c>
      <c r="R6762">
        <v>0.94092140000000002</v>
      </c>
      <c r="S6762">
        <v>0.60054019999999997</v>
      </c>
      <c r="T6762">
        <v>-0.1225731</v>
      </c>
      <c r="U6762">
        <v>3.049347</v>
      </c>
      <c r="V6762">
        <v>-0.20062389999999999</v>
      </c>
      <c r="W6762">
        <v>0.2171421</v>
      </c>
      <c r="X6762">
        <v>0.9553007</v>
      </c>
      <c r="Y6762">
        <v>-0.28145439999999999</v>
      </c>
      <c r="Z6762">
        <v>-2.170447E-2</v>
      </c>
      <c r="AA6762">
        <v>0.95932910000000005</v>
      </c>
      <c r="AB6762">
        <v>21</v>
      </c>
      <c r="AC6762">
        <v>5.3556999999999801</v>
      </c>
      <c r="AD6762">
        <v>-1.11525299138</v>
      </c>
      <c r="AE6762">
        <v>27.515080000000001</v>
      </c>
      <c r="AF6762">
        <v>-7.9375522433749897</v>
      </c>
      <c r="AG6762">
        <v>-1.11525299138</v>
      </c>
      <c r="AH6762">
        <v>26.837971789498301</v>
      </c>
      <c r="AI6762">
        <v>92.281956634954696</v>
      </c>
      <c r="AJ6762">
        <v>106.476018762572</v>
      </c>
      <c r="AK6762">
        <v>28.0093779764027</v>
      </c>
      <c r="AL6762">
        <v>77.458770418231396</v>
      </c>
      <c r="AM6762">
        <v>101.860396808861</v>
      </c>
      <c r="AN6762">
        <v>1.0000000341320501</v>
      </c>
    </row>
    <row r="6763" spans="1:40" x14ac:dyDescent="0.25">
      <c r="A6763" t="str">
        <f>"20190304155805242"</f>
        <v>20190304155805242</v>
      </c>
      <c r="B6763" t="str">
        <f>"1551686285230974"</f>
        <v>1551686285230974</v>
      </c>
      <c r="C6763" t="s">
        <v>40</v>
      </c>
      <c r="D6763">
        <v>4.682855</v>
      </c>
      <c r="E6763">
        <v>0.46558450000000001</v>
      </c>
      <c r="F6763" t="s">
        <v>41</v>
      </c>
      <c r="G6763">
        <v>-184.25040000000001</v>
      </c>
      <c r="H6763" s="1">
        <v>-1.847282E-6</v>
      </c>
      <c r="I6763">
        <v>-19.419039999999999</v>
      </c>
      <c r="J6763">
        <v>-189.26179999999999</v>
      </c>
      <c r="K6763">
        <v>1.115343</v>
      </c>
      <c r="L6763">
        <v>-46.545870000000001</v>
      </c>
      <c r="M6763">
        <v>0.45464860000000001</v>
      </c>
      <c r="N6763">
        <v>-1.11913E-2</v>
      </c>
      <c r="O6763">
        <v>0.89060059999999996</v>
      </c>
      <c r="P6763">
        <v>0.25849299999999997</v>
      </c>
      <c r="Q6763">
        <v>0.2077145</v>
      </c>
      <c r="R6763">
        <v>0.94341730000000001</v>
      </c>
      <c r="S6763">
        <v>0.56967159999999994</v>
      </c>
      <c r="T6763">
        <v>-0.12479659999999999</v>
      </c>
      <c r="U6763">
        <v>3.0547179999999998</v>
      </c>
      <c r="V6763">
        <v>-0.20145260000000001</v>
      </c>
      <c r="W6763">
        <v>0.21590429999999999</v>
      </c>
      <c r="X6763">
        <v>0.9554068</v>
      </c>
      <c r="Y6763">
        <v>-0.28364679999999998</v>
      </c>
      <c r="Z6763">
        <v>-2.2402430000000001E-2</v>
      </c>
      <c r="AA6763">
        <v>0.95866709999999999</v>
      </c>
      <c r="AB6763">
        <v>21</v>
      </c>
      <c r="AC6763">
        <v>5.0113999999999796</v>
      </c>
      <c r="AD6763">
        <v>-1.115344847282</v>
      </c>
      <c r="AE6763">
        <v>27.126829999999899</v>
      </c>
      <c r="AF6763">
        <v>-7.85766707794527</v>
      </c>
      <c r="AG6763">
        <v>-1.115344847282</v>
      </c>
      <c r="AH6763">
        <v>26.3961020446581</v>
      </c>
      <c r="AI6763">
        <v>92.319089813656802</v>
      </c>
      <c r="AJ6763">
        <v>106.57736623376999</v>
      </c>
      <c r="AK6763">
        <v>27.563401988654999</v>
      </c>
      <c r="AL6763">
        <v>77.531413816112206</v>
      </c>
      <c r="AM6763">
        <v>101.90670699541801</v>
      </c>
      <c r="AN6763">
        <v>0.99999998514574495</v>
      </c>
    </row>
    <row r="6764" spans="1:40" x14ac:dyDescent="0.25">
      <c r="A6764" t="str">
        <f>"20190304155805264"</f>
        <v>20190304155805264</v>
      </c>
      <c r="B6764" t="str">
        <f>"1551686285261230"</f>
        <v>1551686285261230</v>
      </c>
      <c r="C6764" t="s">
        <v>40</v>
      </c>
      <c r="D6764">
        <v>4.7586339999999998</v>
      </c>
      <c r="E6764">
        <v>0.4656766</v>
      </c>
      <c r="F6764" t="s">
        <v>41</v>
      </c>
      <c r="G6764">
        <v>-184.51259999999999</v>
      </c>
      <c r="H6764" s="1">
        <v>-1.6037960000000001E-6</v>
      </c>
      <c r="I6764">
        <v>-19.929580000000001</v>
      </c>
      <c r="J6764">
        <v>-189.1789</v>
      </c>
      <c r="K6764">
        <v>1.1154489999999999</v>
      </c>
      <c r="L6764">
        <v>-46.362609999999997</v>
      </c>
      <c r="M6764">
        <v>0.4471039</v>
      </c>
      <c r="N6764">
        <v>-1.1216739999999999E-2</v>
      </c>
      <c r="O6764">
        <v>0.89441170000000003</v>
      </c>
      <c r="P6764">
        <v>0.2496661</v>
      </c>
      <c r="Q6764">
        <v>0.20669190000000001</v>
      </c>
      <c r="R6764">
        <v>0.94601550000000001</v>
      </c>
      <c r="S6764">
        <v>0.5457611</v>
      </c>
      <c r="T6764">
        <v>-0.12817039999999999</v>
      </c>
      <c r="U6764">
        <v>3.058624</v>
      </c>
      <c r="V6764">
        <v>-0.20245099999999999</v>
      </c>
      <c r="W6764">
        <v>0.2148407</v>
      </c>
      <c r="X6764">
        <v>0.95543560000000005</v>
      </c>
      <c r="Y6764">
        <v>-0.28301700000000002</v>
      </c>
      <c r="Z6764">
        <v>-2.3456330000000001E-2</v>
      </c>
      <c r="AA6764">
        <v>0.95882800000000001</v>
      </c>
      <c r="AB6764">
        <v>21</v>
      </c>
      <c r="AC6764">
        <v>4.6662999999999997</v>
      </c>
      <c r="AD6764">
        <v>-1.1154506037959999</v>
      </c>
      <c r="AE6764">
        <v>26.433029999999999</v>
      </c>
      <c r="AF6764">
        <v>-7.6320183419377301</v>
      </c>
      <c r="AG6764">
        <v>-1.1154506037959999</v>
      </c>
      <c r="AH6764">
        <v>25.6855931983022</v>
      </c>
      <c r="AI6764">
        <v>92.383750854129303</v>
      </c>
      <c r="AJ6764">
        <v>106.548382912207</v>
      </c>
      <c r="AK6764">
        <v>26.818680653042001</v>
      </c>
      <c r="AL6764">
        <v>77.593819058146593</v>
      </c>
      <c r="AM6764">
        <v>101.963670039627</v>
      </c>
      <c r="AN6764">
        <v>1.0000000597624199</v>
      </c>
    </row>
    <row r="6765" spans="1:40" x14ac:dyDescent="0.25">
      <c r="A6765" t="str">
        <f>"20190304155805287"</f>
        <v>20190304155805287</v>
      </c>
      <c r="B6765" t="str">
        <f>"1551686285280751"</f>
        <v>1551686285280751</v>
      </c>
      <c r="C6765" t="s">
        <v>40</v>
      </c>
      <c r="D6765">
        <v>4.5864310000000001</v>
      </c>
      <c r="E6765">
        <v>0.46595639999999999</v>
      </c>
      <c r="F6765" t="s">
        <v>41</v>
      </c>
      <c r="G6765">
        <v>-184.6867</v>
      </c>
      <c r="H6765" s="1">
        <v>-1.602188E-6</v>
      </c>
      <c r="I6765">
        <v>-19.798169999999999</v>
      </c>
      <c r="J6765">
        <v>-189.08779999999999</v>
      </c>
      <c r="K6765">
        <v>1.11558</v>
      </c>
      <c r="L6765">
        <v>-46.155909999999999</v>
      </c>
      <c r="M6765">
        <v>0.43840259999999998</v>
      </c>
      <c r="N6765">
        <v>-1.1247139999999999E-2</v>
      </c>
      <c r="O6765">
        <v>0.89870830000000002</v>
      </c>
      <c r="P6765">
        <v>0.23920440000000001</v>
      </c>
      <c r="Q6765">
        <v>0.20658029999999999</v>
      </c>
      <c r="R6765">
        <v>0.94873909999999995</v>
      </c>
      <c r="S6765">
        <v>0.51791379999999998</v>
      </c>
      <c r="T6765">
        <v>-0.12860060000000001</v>
      </c>
      <c r="U6765">
        <v>3.0626220000000002</v>
      </c>
      <c r="V6765">
        <v>-0.20381009999999999</v>
      </c>
      <c r="W6765">
        <v>0.21467349999999999</v>
      </c>
      <c r="X6765">
        <v>0.95518409999999998</v>
      </c>
      <c r="Y6765">
        <v>-0.282389</v>
      </c>
      <c r="Z6765">
        <v>-2.3754279999999999E-2</v>
      </c>
      <c r="AA6765">
        <v>0.95900580000000002</v>
      </c>
      <c r="AB6765">
        <v>22</v>
      </c>
      <c r="AC6765">
        <v>4.40109999999998</v>
      </c>
      <c r="AD6765">
        <v>-1.1155816021879901</v>
      </c>
      <c r="AE6765">
        <v>26.35774</v>
      </c>
      <c r="AF6765">
        <v>-7.5872546432150196</v>
      </c>
      <c r="AG6765">
        <v>-1.1155816021879901</v>
      </c>
      <c r="AH6765">
        <v>25.574423809502601</v>
      </c>
      <c r="AI6765">
        <v>92.394680939081397</v>
      </c>
      <c r="AJ6765">
        <v>106.524228974488</v>
      </c>
      <c r="AK6765">
        <v>26.699477682535001</v>
      </c>
      <c r="AL6765">
        <v>77.603626601590307</v>
      </c>
      <c r="AM6765">
        <v>102.044726150882</v>
      </c>
      <c r="AN6765">
        <v>0.99999996667853397</v>
      </c>
    </row>
    <row r="6766" spans="1:40" x14ac:dyDescent="0.25">
      <c r="A6766" t="str">
        <f>"20190304155805313"</f>
        <v>20190304155805313</v>
      </c>
      <c r="B6766" t="str">
        <f>"1551686285311007"</f>
        <v>1551686285311007</v>
      </c>
      <c r="C6766" t="s">
        <v>40</v>
      </c>
      <c r="D6766">
        <v>4.694706</v>
      </c>
      <c r="E6766">
        <v>0.46660679999999999</v>
      </c>
      <c r="F6766" t="s">
        <v>41</v>
      </c>
      <c r="G6766">
        <v>-184.95070000000001</v>
      </c>
      <c r="H6766" s="1">
        <v>-1.4414249999999999E-6</v>
      </c>
      <c r="I6766">
        <v>-20.064129999999999</v>
      </c>
      <c r="J6766">
        <v>-188.99340000000001</v>
      </c>
      <c r="K6766">
        <v>1.1157280000000001</v>
      </c>
      <c r="L6766">
        <v>-45.934510000000003</v>
      </c>
      <c r="M6766">
        <v>0.42885259999999997</v>
      </c>
      <c r="N6766">
        <v>-1.1281060000000001E-2</v>
      </c>
      <c r="O6766">
        <v>0.903304</v>
      </c>
      <c r="P6766">
        <v>0.2280103</v>
      </c>
      <c r="Q6766">
        <v>0.20687159999999999</v>
      </c>
      <c r="R6766">
        <v>0.9514281</v>
      </c>
      <c r="S6766">
        <v>0.4864655</v>
      </c>
      <c r="T6766">
        <v>-0.1311766</v>
      </c>
      <c r="U6766">
        <v>3.0680239999999999</v>
      </c>
      <c r="V6766">
        <v>-0.20499809999999999</v>
      </c>
      <c r="W6766">
        <v>0.2149045</v>
      </c>
      <c r="X6766">
        <v>0.95487789999999995</v>
      </c>
      <c r="Y6766">
        <v>-0.2820744</v>
      </c>
      <c r="Z6766">
        <v>-2.4629939999999999E-2</v>
      </c>
      <c r="AA6766">
        <v>0.95907629999999999</v>
      </c>
      <c r="AB6766">
        <v>22</v>
      </c>
      <c r="AC6766">
        <v>4.0426999999999902</v>
      </c>
      <c r="AD6766">
        <v>-1.1157294414250001</v>
      </c>
      <c r="AE6766">
        <v>25.870380000000001</v>
      </c>
      <c r="AF6766">
        <v>-7.4297765980407897</v>
      </c>
      <c r="AG6766">
        <v>-1.1157294414250001</v>
      </c>
      <c r="AH6766">
        <v>25.0586405111763</v>
      </c>
      <c r="AI6766">
        <v>92.444353517871903</v>
      </c>
      <c r="AJ6766">
        <v>106.51485835126201</v>
      </c>
      <c r="AK6766">
        <v>26.160693736054199</v>
      </c>
      <c r="AL6766">
        <v>77.590075212701905</v>
      </c>
      <c r="AM6766">
        <v>102.116636217799</v>
      </c>
      <c r="AN6766">
        <v>0.99999998451613403</v>
      </c>
    </row>
    <row r="6767" spans="1:40" x14ac:dyDescent="0.25">
      <c r="A6767" t="str">
        <f>"20190304155805333"</f>
        <v>20190304155805333</v>
      </c>
      <c r="B6767" t="str">
        <f>"1551686285321743"</f>
        <v>1551686285321743</v>
      </c>
      <c r="C6767" t="s">
        <v>40</v>
      </c>
      <c r="D6767">
        <v>4.4860850000000001</v>
      </c>
      <c r="E6767">
        <v>0.46633089999999999</v>
      </c>
      <c r="F6767" t="s">
        <v>41</v>
      </c>
      <c r="G6767">
        <v>-185.08680000000001</v>
      </c>
      <c r="H6767" s="1">
        <v>-1.5585819999999999E-6</v>
      </c>
      <c r="I6767">
        <v>-19.613430000000001</v>
      </c>
      <c r="J6767">
        <v>-188.92179999999999</v>
      </c>
      <c r="K6767">
        <v>1.1158410000000001</v>
      </c>
      <c r="L6767">
        <v>-45.761569999999999</v>
      </c>
      <c r="M6767">
        <v>0.4212321</v>
      </c>
      <c r="N6767">
        <v>-1.130779E-2</v>
      </c>
      <c r="O6767">
        <v>0.90688239999999998</v>
      </c>
      <c r="P6767">
        <v>0.21903159999999999</v>
      </c>
      <c r="Q6767">
        <v>0.2066992</v>
      </c>
      <c r="R6767">
        <v>0.95357259999999999</v>
      </c>
      <c r="S6767">
        <v>0.45597840000000001</v>
      </c>
      <c r="T6767">
        <v>-0.13022829999999999</v>
      </c>
      <c r="U6767">
        <v>3.0722049999999999</v>
      </c>
      <c r="V6767">
        <v>-0.20603679999999999</v>
      </c>
      <c r="W6767">
        <v>0.21468419999999999</v>
      </c>
      <c r="X6767">
        <v>0.95470390000000005</v>
      </c>
      <c r="Y6767">
        <v>-0.28349629999999998</v>
      </c>
      <c r="Z6767">
        <v>-2.4504169999999999E-2</v>
      </c>
      <c r="AA6767">
        <v>0.95866019999999996</v>
      </c>
      <c r="AB6767">
        <v>22</v>
      </c>
      <c r="AC6767">
        <v>3.83499999999998</v>
      </c>
      <c r="AD6767">
        <v>-1.115842558582</v>
      </c>
      <c r="AE6767">
        <v>26.148139999999898</v>
      </c>
      <c r="AF6767">
        <v>-7.5236112258320498</v>
      </c>
      <c r="AG6767">
        <v>-1.115842558582</v>
      </c>
      <c r="AH6767">
        <v>25.285255754109599</v>
      </c>
      <c r="AI6767">
        <v>92.422022023531298</v>
      </c>
      <c r="AJ6767">
        <v>106.57033885517301</v>
      </c>
      <c r="AK6767">
        <v>26.4044312387853</v>
      </c>
      <c r="AL6767">
        <v>77.6029993551155</v>
      </c>
      <c r="AM6767">
        <v>102.17835522730201</v>
      </c>
      <c r="AN6767">
        <v>1.0000000026795399</v>
      </c>
    </row>
    <row r="6768" spans="1:40" x14ac:dyDescent="0.25">
      <c r="A6768" t="str">
        <f>"20190304155805354"</f>
        <v>20190304155805354</v>
      </c>
      <c r="B6768" t="str">
        <f>"1551686285351023"</f>
        <v>1551686285351023</v>
      </c>
      <c r="C6768" t="s">
        <v>40</v>
      </c>
      <c r="D6768">
        <v>4.6448400000000003</v>
      </c>
      <c r="E6768">
        <v>0.46698020000000001</v>
      </c>
      <c r="F6768" t="s">
        <v>41</v>
      </c>
      <c r="G6768">
        <v>-185.267</v>
      </c>
      <c r="H6768" s="1">
        <v>-1.6088529999999999E-6</v>
      </c>
      <c r="I6768">
        <v>-19.324870000000001</v>
      </c>
      <c r="J6768">
        <v>-188.8433</v>
      </c>
      <c r="K6768">
        <v>1.11595</v>
      </c>
      <c r="L6768">
        <v>-45.566310000000001</v>
      </c>
      <c r="M6768">
        <v>0.41247669999999997</v>
      </c>
      <c r="N6768">
        <v>-1.133669E-2</v>
      </c>
      <c r="O6768">
        <v>0.91089759999999997</v>
      </c>
      <c r="P6768">
        <v>0.20903720000000001</v>
      </c>
      <c r="Q6768">
        <v>0.20633550000000001</v>
      </c>
      <c r="R6768">
        <v>0.95589179999999996</v>
      </c>
      <c r="S6768">
        <v>0.42532350000000002</v>
      </c>
      <c r="T6768">
        <v>-0.12985350000000001</v>
      </c>
      <c r="U6768">
        <v>3.076508</v>
      </c>
      <c r="V6768">
        <v>-0.2069223</v>
      </c>
      <c r="W6768">
        <v>0.2142791</v>
      </c>
      <c r="X6768">
        <v>0.95460339999999999</v>
      </c>
      <c r="Y6768">
        <v>-0.2838135</v>
      </c>
      <c r="Z6768">
        <v>-2.456115E-2</v>
      </c>
      <c r="AA6768">
        <v>0.95856490000000005</v>
      </c>
      <c r="AB6768">
        <v>22</v>
      </c>
      <c r="AC6768">
        <v>3.5762999999999998</v>
      </c>
      <c r="AD6768">
        <v>-1.1159516088529999</v>
      </c>
      <c r="AE6768">
        <v>26.241439999999901</v>
      </c>
      <c r="AF6768">
        <v>-7.5534146405118801</v>
      </c>
      <c r="AG6768">
        <v>-1.1159516088529999</v>
      </c>
      <c r="AH6768">
        <v>25.335053660078501</v>
      </c>
      <c r="AI6768">
        <v>92.417112256186002</v>
      </c>
      <c r="AJ6768">
        <v>106.60146862901399</v>
      </c>
      <c r="AK6768">
        <v>26.460619128883899</v>
      </c>
      <c r="AL6768">
        <v>77.626763006309403</v>
      </c>
      <c r="AM6768">
        <v>102.230371825834</v>
      </c>
      <c r="AN6768">
        <v>1.00000001111283</v>
      </c>
    </row>
    <row r="6769" spans="1:40" x14ac:dyDescent="0.25">
      <c r="A6769" t="str">
        <f>"20190304155805376"</f>
        <v>20190304155805376</v>
      </c>
      <c r="B6769" t="str">
        <f>"1551686285371523"</f>
        <v>1551686285371523</v>
      </c>
      <c r="C6769" t="s">
        <v>40</v>
      </c>
      <c r="D6769">
        <v>4.6080920000000001</v>
      </c>
      <c r="E6769">
        <v>0.46717760000000003</v>
      </c>
      <c r="F6769" t="s">
        <v>41</v>
      </c>
      <c r="G6769">
        <v>-185.55950000000001</v>
      </c>
      <c r="H6769" s="1">
        <v>-1.227642E-6</v>
      </c>
      <c r="I6769">
        <v>-20.216380000000001</v>
      </c>
      <c r="J6769">
        <v>-188.7713</v>
      </c>
      <c r="K6769">
        <v>1.1160429999999999</v>
      </c>
      <c r="L6769">
        <v>-45.381990000000002</v>
      </c>
      <c r="M6769">
        <v>0.40407349999999997</v>
      </c>
      <c r="N6769">
        <v>-1.13624E-2</v>
      </c>
      <c r="O6769">
        <v>0.91465589999999997</v>
      </c>
      <c r="P6769">
        <v>0.19995479999999999</v>
      </c>
      <c r="Q6769">
        <v>0.2060266</v>
      </c>
      <c r="R6769">
        <v>0.95789930000000001</v>
      </c>
      <c r="S6769">
        <v>0.39903260000000002</v>
      </c>
      <c r="T6769">
        <v>-0.13560549999999999</v>
      </c>
      <c r="U6769">
        <v>3.0804140000000002</v>
      </c>
      <c r="V6769">
        <v>-0.20726700000000001</v>
      </c>
      <c r="W6769">
        <v>0.21394460000000001</v>
      </c>
      <c r="X6769">
        <v>0.95460370000000005</v>
      </c>
      <c r="Y6769">
        <v>-0.28319070000000002</v>
      </c>
      <c r="Z6769">
        <v>-2.6300230000000001E-2</v>
      </c>
      <c r="AA6769">
        <v>0.95870290000000002</v>
      </c>
      <c r="AB6769">
        <v>22</v>
      </c>
      <c r="AC6769">
        <v>3.2117999999999798</v>
      </c>
      <c r="AD6769">
        <v>-1.116044227642</v>
      </c>
      <c r="AE6769">
        <v>25.165610000000001</v>
      </c>
      <c r="AF6769">
        <v>-7.2175638423699002</v>
      </c>
      <c r="AG6769">
        <v>-1.116044227642</v>
      </c>
      <c r="AH6769">
        <v>24.270279382803</v>
      </c>
      <c r="AI6769">
        <v>92.5237521726106</v>
      </c>
      <c r="AJ6769">
        <v>106.561572820504</v>
      </c>
      <c r="AK6769">
        <v>25.345319959630601</v>
      </c>
      <c r="AL6769">
        <v>77.646384105593995</v>
      </c>
      <c r="AM6769">
        <v>102.250127211145</v>
      </c>
      <c r="AN6769">
        <v>1.00000006260592</v>
      </c>
    </row>
    <row r="6770" spans="1:40" x14ac:dyDescent="0.25">
      <c r="A6770" t="str">
        <f>"20190304155805400"</f>
        <v>20190304155805400</v>
      </c>
      <c r="B6770" t="str">
        <f>"1551686285391116"</f>
        <v>1551686285391116</v>
      </c>
      <c r="C6770" t="s">
        <v>40</v>
      </c>
      <c r="D6770">
        <v>4.6807249999999998</v>
      </c>
      <c r="E6770">
        <v>0.46681620000000001</v>
      </c>
      <c r="F6770" t="s">
        <v>41</v>
      </c>
      <c r="G6770">
        <v>-185.74160000000001</v>
      </c>
      <c r="H6770" s="1">
        <v>-1.203056E-6</v>
      </c>
      <c r="I6770">
        <v>-20.146249999999998</v>
      </c>
      <c r="J6770">
        <v>-188.6917</v>
      </c>
      <c r="K6770">
        <v>1.116123</v>
      </c>
      <c r="L6770">
        <v>-45.17154</v>
      </c>
      <c r="M6770">
        <v>0.39431699999999997</v>
      </c>
      <c r="N6770">
        <v>-1.139079E-2</v>
      </c>
      <c r="O6770">
        <v>0.9189039</v>
      </c>
      <c r="P6770">
        <v>0.18962989999999999</v>
      </c>
      <c r="Q6770">
        <v>0.20435220000000001</v>
      </c>
      <c r="R6770">
        <v>0.96035440000000005</v>
      </c>
      <c r="S6770">
        <v>0.37023929999999999</v>
      </c>
      <c r="T6770">
        <v>-0.13638439999999999</v>
      </c>
      <c r="U6770">
        <v>3.0838930000000002</v>
      </c>
      <c r="V6770">
        <v>-0.2075507</v>
      </c>
      <c r="W6770">
        <v>0.21225069999999999</v>
      </c>
      <c r="X6770">
        <v>0.95492010000000005</v>
      </c>
      <c r="Y6770">
        <v>-0.28193699999999999</v>
      </c>
      <c r="Z6770">
        <v>-2.6718639999999998E-2</v>
      </c>
      <c r="AA6770">
        <v>0.95906080000000005</v>
      </c>
      <c r="AB6770">
        <v>22</v>
      </c>
      <c r="AC6770">
        <v>2.9500999999999902</v>
      </c>
      <c r="AD6770">
        <v>-1.1161242030559999</v>
      </c>
      <c r="AE6770">
        <v>25.025289999999998</v>
      </c>
      <c r="AF6770">
        <v>-7.1434884669703402</v>
      </c>
      <c r="AG6770">
        <v>-1.1161242030559999</v>
      </c>
      <c r="AH6770">
        <v>24.1133707402869</v>
      </c>
      <c r="AI6770">
        <v>92.541121767158302</v>
      </c>
      <c r="AJ6770">
        <v>106.501709619382</v>
      </c>
      <c r="AK6770">
        <v>25.173990727989601</v>
      </c>
      <c r="AL6770">
        <v>77.745718600774893</v>
      </c>
      <c r="AM6770">
        <v>102.262446117252</v>
      </c>
      <c r="AN6770">
        <v>1.0000000250524901</v>
      </c>
    </row>
    <row r="6771" spans="1:40" x14ac:dyDescent="0.25">
      <c r="A6771" t="str">
        <f>"20190304155805432"</f>
        <v>20190304155805432</v>
      </c>
      <c r="B6771" t="str">
        <f>"1551686285421373"</f>
        <v>1551686285421373</v>
      </c>
      <c r="C6771" t="s">
        <v>40</v>
      </c>
      <c r="D6771">
        <v>4.54636</v>
      </c>
      <c r="E6771">
        <v>0.46609329999999999</v>
      </c>
      <c r="F6771" t="s">
        <v>41</v>
      </c>
      <c r="G6771">
        <v>-186.02250000000001</v>
      </c>
      <c r="H6771" s="1">
        <v>-4.9261040000000003E-6</v>
      </c>
      <c r="I6771">
        <v>-20.528970000000001</v>
      </c>
      <c r="J6771">
        <v>-188.5873</v>
      </c>
      <c r="K6771">
        <v>1.116225</v>
      </c>
      <c r="L6771">
        <v>-44.884700000000002</v>
      </c>
      <c r="M6771">
        <v>0.38077699999999998</v>
      </c>
      <c r="N6771">
        <v>-1.142924E-2</v>
      </c>
      <c r="O6771">
        <v>0.92459630000000004</v>
      </c>
      <c r="P6771">
        <v>0.17559369999999999</v>
      </c>
      <c r="Q6771">
        <v>0.20020840000000001</v>
      </c>
      <c r="R6771">
        <v>0.96388969999999896</v>
      </c>
      <c r="S6771">
        <v>0.33442690000000003</v>
      </c>
      <c r="T6771">
        <v>-0.13984369999999999</v>
      </c>
      <c r="U6771">
        <v>3.087555</v>
      </c>
      <c r="V6771">
        <v>-0.20779030000000001</v>
      </c>
      <c r="W6771">
        <v>0.20809320000000001</v>
      </c>
      <c r="X6771">
        <v>0.95578269999999999</v>
      </c>
      <c r="Y6771">
        <v>-0.27896090000000001</v>
      </c>
      <c r="Z6771">
        <v>-2.797935E-2</v>
      </c>
      <c r="AA6771">
        <v>0.95989480000000005</v>
      </c>
      <c r="AB6771">
        <v>22</v>
      </c>
      <c r="AC6771">
        <v>2.5647999999999902</v>
      </c>
      <c r="AD6771">
        <v>-1.1162299261040001</v>
      </c>
      <c r="AE6771">
        <v>24.355729999999902</v>
      </c>
      <c r="AF6771">
        <v>-6.8888371404676301</v>
      </c>
      <c r="AG6771">
        <v>-1.1162299261040001</v>
      </c>
      <c r="AH6771">
        <v>23.448656908739402</v>
      </c>
      <c r="AI6771">
        <v>92.615049604817699</v>
      </c>
      <c r="AJ6771">
        <v>106.37193726705701</v>
      </c>
      <c r="AK6771">
        <v>24.465108976246</v>
      </c>
      <c r="AL6771">
        <v>77.989368709147399</v>
      </c>
      <c r="AM6771">
        <v>102.265429263412</v>
      </c>
      <c r="AN6771">
        <v>1.0000000791398</v>
      </c>
    </row>
    <row r="6772" spans="1:40" x14ac:dyDescent="0.25">
      <c r="A6772" t="str">
        <f>"20190304155805453"</f>
        <v>20190304155805453</v>
      </c>
      <c r="B6772" t="str">
        <f>"1551686285451628"</f>
        <v>1551686285451628</v>
      </c>
      <c r="C6772" t="s">
        <v>40</v>
      </c>
      <c r="D6772">
        <v>4.87582</v>
      </c>
      <c r="E6772">
        <v>0.46545540000000002</v>
      </c>
      <c r="F6772" t="s">
        <v>41</v>
      </c>
      <c r="G6772">
        <v>-186.52440000000001</v>
      </c>
      <c r="H6772" s="1">
        <v>-4.0318070000000001E-6</v>
      </c>
      <c r="I6772">
        <v>-22.40607</v>
      </c>
      <c r="J6772">
        <v>-188.51759999999999</v>
      </c>
      <c r="K6772">
        <v>1.1162879999999999</v>
      </c>
      <c r="L6772">
        <v>-44.684109999999997</v>
      </c>
      <c r="M6772">
        <v>0.3711565</v>
      </c>
      <c r="N6772">
        <v>-1.1455430000000001E-2</v>
      </c>
      <c r="O6772">
        <v>0.92849959999999998</v>
      </c>
      <c r="P6772">
        <v>0.16607469999999999</v>
      </c>
      <c r="Q6772">
        <v>0.19983029999999999</v>
      </c>
      <c r="R6772">
        <v>0.96565369999999995</v>
      </c>
      <c r="S6772">
        <v>0.2838135</v>
      </c>
      <c r="T6772">
        <v>-0.15356979999999901</v>
      </c>
      <c r="U6772">
        <v>3.09259</v>
      </c>
      <c r="V6772">
        <v>-0.2073566</v>
      </c>
      <c r="W6772">
        <v>0.20771220000000001</v>
      </c>
      <c r="X6772">
        <v>0.95595969999999997</v>
      </c>
      <c r="Y6772">
        <v>-0.28470630000000002</v>
      </c>
      <c r="Z6772">
        <v>-3.1953450000000001E-2</v>
      </c>
      <c r="AA6772">
        <v>0.95808210000000005</v>
      </c>
      <c r="AB6772">
        <v>22</v>
      </c>
      <c r="AC6772">
        <v>1.9931999999999701</v>
      </c>
      <c r="AD6772">
        <v>-1.116292031807</v>
      </c>
      <c r="AE6772">
        <v>22.278040000000001</v>
      </c>
      <c r="AF6772">
        <v>-6.4024282983709204</v>
      </c>
      <c r="AG6772">
        <v>-1.116292031807</v>
      </c>
      <c r="AH6772">
        <v>21.373111358890299</v>
      </c>
      <c r="AI6772">
        <v>92.8642478661897</v>
      </c>
      <c r="AJ6772">
        <v>106.67586454993101</v>
      </c>
      <c r="AK6772">
        <v>22.339361789800101</v>
      </c>
      <c r="AL6772">
        <v>78.011685480471996</v>
      </c>
      <c r="AM6772">
        <v>102.238403421317</v>
      </c>
      <c r="AN6772">
        <v>1.0000000328082399</v>
      </c>
    </row>
    <row r="6773" spans="1:40" x14ac:dyDescent="0.25">
      <c r="A6773" t="str">
        <f>"20190304155805476"</f>
        <v>20190304155805476</v>
      </c>
      <c r="B6773" t="str">
        <f>"1551686285471149"</f>
        <v>1551686285471149</v>
      </c>
      <c r="C6773" t="s">
        <v>40</v>
      </c>
      <c r="D6773">
        <v>4.6442899999999998</v>
      </c>
      <c r="E6773">
        <v>0.46519300000000002</v>
      </c>
      <c r="F6773" t="s">
        <v>41</v>
      </c>
      <c r="G6773">
        <v>-186.7184</v>
      </c>
      <c r="H6773" s="1">
        <v>-4.0702210000000004E-6</v>
      </c>
      <c r="I6773">
        <v>-22.236329999999999</v>
      </c>
      <c r="J6773">
        <v>-188.4502</v>
      </c>
      <c r="K6773">
        <v>1.1163540000000001</v>
      </c>
      <c r="L6773">
        <v>-44.483400000000003</v>
      </c>
      <c r="M6773">
        <v>0.36144199999999999</v>
      </c>
      <c r="N6773">
        <v>-1.147895E-2</v>
      </c>
      <c r="O6773">
        <v>0.93232389999999998</v>
      </c>
      <c r="P6773">
        <v>0.15651860000000001</v>
      </c>
      <c r="Q6773">
        <v>0.20006080000000001</v>
      </c>
      <c r="R6773">
        <v>0.96720090000000003</v>
      </c>
      <c r="S6773">
        <v>0.24813840000000001</v>
      </c>
      <c r="T6773">
        <v>-0.15395339999999999</v>
      </c>
      <c r="U6773">
        <v>3.0958860000000001</v>
      </c>
      <c r="V6773">
        <v>-0.20684440000000001</v>
      </c>
      <c r="W6773">
        <v>0.20794299999999999</v>
      </c>
      <c r="X6773">
        <v>0.95602050000000005</v>
      </c>
      <c r="Y6773">
        <v>-0.28574949999999999</v>
      </c>
      <c r="Z6773">
        <v>-3.2254150000000002E-2</v>
      </c>
      <c r="AA6773">
        <v>0.95776139999999998</v>
      </c>
      <c r="AB6773">
        <v>22</v>
      </c>
      <c r="AC6773">
        <v>1.73179999999999</v>
      </c>
      <c r="AD6773">
        <v>-1.1163580702210001</v>
      </c>
      <c r="AE6773">
        <v>22.247070000000001</v>
      </c>
      <c r="AF6773">
        <v>-6.4108051842450697</v>
      </c>
      <c r="AG6773">
        <v>-1.1163580702210001</v>
      </c>
      <c r="AH6773">
        <v>21.315479059443099</v>
      </c>
      <c r="AI6773">
        <v>92.871199245713598</v>
      </c>
      <c r="AJ6773">
        <v>106.73909081945</v>
      </c>
      <c r="AK6773">
        <v>22.2866400784158</v>
      </c>
      <c r="AL6773">
        <v>77.998166602643394</v>
      </c>
      <c r="AM6773">
        <v>102.208327580814</v>
      </c>
      <c r="AN6773">
        <v>1.0000000467403001</v>
      </c>
    </row>
    <row r="6774" spans="1:40" x14ac:dyDescent="0.25">
      <c r="A6774" t="str">
        <f>"20190304155805499"</f>
        <v>20190304155805499</v>
      </c>
      <c r="B6774" t="str">
        <f>"1551686285491237"</f>
        <v>1551686285491237</v>
      </c>
      <c r="C6774" t="s">
        <v>40</v>
      </c>
      <c r="D6774">
        <v>4.5530210000000002</v>
      </c>
      <c r="E6774">
        <v>0.4650126</v>
      </c>
      <c r="F6774" t="s">
        <v>41</v>
      </c>
      <c r="G6774">
        <v>-186.88229999999999</v>
      </c>
      <c r="H6774" s="1">
        <v>-4.1651329999999996E-6</v>
      </c>
      <c r="I6774">
        <v>-21.947299999999998</v>
      </c>
      <c r="J6774">
        <v>-188.3819</v>
      </c>
      <c r="K6774">
        <v>1.1163970000000001</v>
      </c>
      <c r="L6774">
        <v>-44.27234</v>
      </c>
      <c r="M6774">
        <v>0.3511493</v>
      </c>
      <c r="N6774">
        <v>-1.150028E-2</v>
      </c>
      <c r="O6774">
        <v>0.93624879999999999</v>
      </c>
      <c r="P6774">
        <v>0.1461712</v>
      </c>
      <c r="Q6774">
        <v>0.19972400000000001</v>
      </c>
      <c r="R6774">
        <v>0.96888819999999998</v>
      </c>
      <c r="S6774">
        <v>0.2155762</v>
      </c>
      <c r="T6774">
        <v>-0.15349380000000001</v>
      </c>
      <c r="U6774">
        <v>3.0986020000000001</v>
      </c>
      <c r="V6774">
        <v>-0.2065768</v>
      </c>
      <c r="W6774">
        <v>0.20760719999999999</v>
      </c>
      <c r="X6774">
        <v>0.95615130000000004</v>
      </c>
      <c r="Y6774">
        <v>-0.28526859999999998</v>
      </c>
      <c r="Z6774">
        <v>-3.2344879999999999E-2</v>
      </c>
      <c r="AA6774">
        <v>0.95790169999999997</v>
      </c>
      <c r="AB6774">
        <v>22</v>
      </c>
      <c r="AC6774">
        <v>1.49960000000001</v>
      </c>
      <c r="AD6774">
        <v>-1.1164011651329999</v>
      </c>
      <c r="AE6774">
        <v>22.325039999999898</v>
      </c>
      <c r="AF6774">
        <v>-6.4198675371051896</v>
      </c>
      <c r="AG6774">
        <v>-1.1164011651329999</v>
      </c>
      <c r="AH6774">
        <v>21.376577981087699</v>
      </c>
      <c r="AI6774">
        <v>92.863460039803201</v>
      </c>
      <c r="AJ6774">
        <v>106.716195403388</v>
      </c>
      <c r="AK6774">
        <v>22.3476875075926</v>
      </c>
      <c r="AL6774">
        <v>78.017835400167002</v>
      </c>
      <c r="AM6774">
        <v>102.19138810252601</v>
      </c>
      <c r="AN6774">
        <v>1.00000001614088</v>
      </c>
    </row>
    <row r="6775" spans="1:40" x14ac:dyDescent="0.25">
      <c r="A6775" t="str">
        <f>"20190304155805523"</f>
        <v>20190304155805523</v>
      </c>
      <c r="B6775" t="str">
        <f>"1551686285521493"</f>
        <v>1551686285521493</v>
      </c>
      <c r="C6775" t="s">
        <v>40</v>
      </c>
      <c r="D6775">
        <v>4.6328079999999998</v>
      </c>
      <c r="E6775">
        <v>0.46488659999999998</v>
      </c>
      <c r="F6775" t="s">
        <v>41</v>
      </c>
      <c r="G6775">
        <v>-187.07679999999999</v>
      </c>
      <c r="H6775" s="1">
        <v>-4.1724080000000003E-6</v>
      </c>
      <c r="I6775">
        <v>-21.849930000000001</v>
      </c>
      <c r="J6775">
        <v>-188.3142</v>
      </c>
      <c r="K6775">
        <v>1.116433</v>
      </c>
      <c r="L6775">
        <v>-44.054409999999997</v>
      </c>
      <c r="M6775">
        <v>0.34045589999999998</v>
      </c>
      <c r="N6775">
        <v>-1.1519089999999999E-2</v>
      </c>
      <c r="O6775">
        <v>0.94018990000000002</v>
      </c>
      <c r="P6775">
        <v>0.135180299999999</v>
      </c>
      <c r="Q6775">
        <v>0.20021900000000001</v>
      </c>
      <c r="R6775">
        <v>0.97038069999999998</v>
      </c>
      <c r="S6775">
        <v>0.1804962</v>
      </c>
      <c r="T6775">
        <v>-0.15439339999999999</v>
      </c>
      <c r="U6775">
        <v>3.1009220000000002</v>
      </c>
      <c r="V6775">
        <v>-0.20650760000000001</v>
      </c>
      <c r="W6775">
        <v>0.20810210000000001</v>
      </c>
      <c r="X6775">
        <v>0.95605859999999998</v>
      </c>
      <c r="Y6775">
        <v>-0.28518729999999998</v>
      </c>
      <c r="Z6775">
        <v>-3.2827210000000002E-2</v>
      </c>
      <c r="AA6775">
        <v>0.95790949999999997</v>
      </c>
      <c r="AB6775">
        <v>22</v>
      </c>
      <c r="AC6775">
        <v>1.2374000000000001</v>
      </c>
      <c r="AD6775">
        <v>-1.116437172408</v>
      </c>
      <c r="AE6775">
        <v>22.20448</v>
      </c>
      <c r="AF6775">
        <v>-6.3805991787566203</v>
      </c>
      <c r="AG6775">
        <v>-1.116437172408</v>
      </c>
      <c r="AH6775">
        <v>21.245577736564702</v>
      </c>
      <c r="AI6775">
        <v>92.881176487986593</v>
      </c>
      <c r="AJ6775">
        <v>106.71637836888399</v>
      </c>
      <c r="AK6775">
        <v>22.211101980773002</v>
      </c>
      <c r="AL6775">
        <v>77.988845908187997</v>
      </c>
      <c r="AM6775">
        <v>102.18857264613899</v>
      </c>
      <c r="AN6775">
        <v>0.99999995975806399</v>
      </c>
    </row>
    <row r="6776" spans="1:40" x14ac:dyDescent="0.25">
      <c r="A6776" t="str">
        <f>"20190304155805545"</f>
        <v>20190304155805545</v>
      </c>
      <c r="B6776" t="str">
        <f>"1551686285541989"</f>
        <v>1551686285541989</v>
      </c>
      <c r="C6776" t="s">
        <v>40</v>
      </c>
      <c r="D6776">
        <v>4.731662</v>
      </c>
      <c r="E6776">
        <v>0.4650299</v>
      </c>
      <c r="F6776" t="s">
        <v>41</v>
      </c>
      <c r="G6776">
        <v>-187.262</v>
      </c>
      <c r="H6776" s="1">
        <v>-4.337601E-6</v>
      </c>
      <c r="I6776">
        <v>-21.388280000000002</v>
      </c>
      <c r="J6776">
        <v>-188.25299999999999</v>
      </c>
      <c r="K6776">
        <v>1.1164529999999999</v>
      </c>
      <c r="L6776">
        <v>-43.849640000000001</v>
      </c>
      <c r="M6776">
        <v>0.33037080000000002</v>
      </c>
      <c r="N6776">
        <v>-1.1534040000000001E-2</v>
      </c>
      <c r="O6776">
        <v>0.94378070000000003</v>
      </c>
      <c r="P6776">
        <v>0.1247769</v>
      </c>
      <c r="Q6776">
        <v>0.20050580000000001</v>
      </c>
      <c r="R6776">
        <v>0.97171399999999997</v>
      </c>
      <c r="S6776">
        <v>0.144043</v>
      </c>
      <c r="T6776">
        <v>-0.152841899999999</v>
      </c>
      <c r="U6776">
        <v>3.103027</v>
      </c>
      <c r="V6776">
        <v>-0.20650869999999999</v>
      </c>
      <c r="W6776">
        <v>0.2083931</v>
      </c>
      <c r="X6776">
        <v>0.95599500000000004</v>
      </c>
      <c r="Y6776">
        <v>-0.286186</v>
      </c>
      <c r="Z6776">
        <v>-3.2579509999999999E-2</v>
      </c>
      <c r="AA6776">
        <v>0.95762000000000003</v>
      </c>
      <c r="AB6776">
        <v>22</v>
      </c>
      <c r="AC6776">
        <v>0.990999999999985</v>
      </c>
      <c r="AD6776">
        <v>-1.1164573376010001</v>
      </c>
      <c r="AE6776">
        <v>22.461359999999999</v>
      </c>
      <c r="AF6776">
        <v>-6.4697690038307396</v>
      </c>
      <c r="AG6776">
        <v>-1.1164573376010001</v>
      </c>
      <c r="AH6776">
        <v>21.474475541575799</v>
      </c>
      <c r="AI6776">
        <v>92.8498215862206</v>
      </c>
      <c r="AJ6776">
        <v>106.76635444649099</v>
      </c>
      <c r="AK6776">
        <v>22.4556782960424</v>
      </c>
      <c r="AL6776">
        <v>77.971799395686403</v>
      </c>
      <c r="AM6776">
        <v>102.189422263642</v>
      </c>
      <c r="AN6776">
        <v>0.99999998366414899</v>
      </c>
    </row>
    <row r="6777" spans="1:40" x14ac:dyDescent="0.25">
      <c r="A6777" t="str">
        <f>"20190304155805566"</f>
        <v>20190304155805566</v>
      </c>
      <c r="B6777" t="str">
        <f>"1551686285561509"</f>
        <v>1551686285561509</v>
      </c>
      <c r="C6777" t="s">
        <v>40</v>
      </c>
      <c r="D6777">
        <v>4.7700649999999998</v>
      </c>
      <c r="E6777">
        <v>0.46520270000000002</v>
      </c>
      <c r="F6777" t="s">
        <v>41</v>
      </c>
      <c r="G6777">
        <v>-187.42449999999999</v>
      </c>
      <c r="H6777" s="1">
        <v>-4.444792E-6</v>
      </c>
      <c r="I6777">
        <v>-21.071210000000001</v>
      </c>
      <c r="J6777">
        <v>-188.19990000000001</v>
      </c>
      <c r="K6777">
        <v>1.1164590000000001</v>
      </c>
      <c r="L6777">
        <v>-43.664859999999997</v>
      </c>
      <c r="M6777">
        <v>0.32125150000000002</v>
      </c>
      <c r="N6777">
        <v>-1.1545140000000001E-2</v>
      </c>
      <c r="O6777">
        <v>0.94692359999999998</v>
      </c>
      <c r="P6777">
        <v>0.1151705</v>
      </c>
      <c r="Q6777">
        <v>0.19935349999999999</v>
      </c>
      <c r="R6777">
        <v>0.97313609999999995</v>
      </c>
      <c r="S6777">
        <v>0.11289979999999999</v>
      </c>
      <c r="T6777">
        <v>-0.15214939999999999</v>
      </c>
      <c r="U6777">
        <v>3.1042179999999999</v>
      </c>
      <c r="V6777">
        <v>-0.20679400000000001</v>
      </c>
      <c r="W6777">
        <v>0.2072466</v>
      </c>
      <c r="X6777">
        <v>0.95618250000000005</v>
      </c>
      <c r="Y6777">
        <v>-0.28655130000000001</v>
      </c>
      <c r="Z6777">
        <v>-3.2565080000000003E-2</v>
      </c>
      <c r="AA6777">
        <v>0.95751120000000001</v>
      </c>
      <c r="AB6777">
        <v>22</v>
      </c>
      <c r="AC6777">
        <v>0.77540000000001896</v>
      </c>
      <c r="AD6777">
        <v>-1.1164634447920001</v>
      </c>
      <c r="AE6777">
        <v>22.59365</v>
      </c>
      <c r="AF6777">
        <v>-6.5085597071647303</v>
      </c>
      <c r="AG6777">
        <v>-1.1164634447920001</v>
      </c>
      <c r="AH6777">
        <v>21.592337197111899</v>
      </c>
      <c r="AI6777">
        <v>92.834187954094801</v>
      </c>
      <c r="AJ6777">
        <v>106.774337488501</v>
      </c>
      <c r="AK6777">
        <v>22.579567438705901</v>
      </c>
      <c r="AL6777">
        <v>78.038954717522202</v>
      </c>
      <c r="AM6777">
        <v>102.20343616169301</v>
      </c>
      <c r="AN6777">
        <v>0.99999994247690305</v>
      </c>
    </row>
    <row r="6778" spans="1:40" x14ac:dyDescent="0.25">
      <c r="A6778" t="str">
        <f>"20190304155805589"</f>
        <v>20190304155805589</v>
      </c>
      <c r="B6778" t="str">
        <f>"1551686285581029"</f>
        <v>1551686285581029</v>
      </c>
      <c r="C6778" t="s">
        <v>40</v>
      </c>
      <c r="D6778">
        <v>4.6813760000000002</v>
      </c>
      <c r="E6778">
        <v>0.46522190000000002</v>
      </c>
      <c r="F6778" t="s">
        <v>41</v>
      </c>
      <c r="G6778">
        <v>-187.58269999999999</v>
      </c>
      <c r="H6778" s="1">
        <v>-4.2077280000000003E-6</v>
      </c>
      <c r="I6778">
        <v>-21.558399999999999</v>
      </c>
      <c r="J6778">
        <v>-188.13919999999999</v>
      </c>
      <c r="K6778">
        <v>1.116465</v>
      </c>
      <c r="L6778">
        <v>-43.445500000000003</v>
      </c>
      <c r="M6778">
        <v>0.31041970000000002</v>
      </c>
      <c r="N6778">
        <v>-1.155581E-2</v>
      </c>
      <c r="O6778">
        <v>0.95052939999999997</v>
      </c>
      <c r="P6778">
        <v>0.10438269999999999</v>
      </c>
      <c r="Q6778">
        <v>0.19722000000000001</v>
      </c>
      <c r="R6778">
        <v>0.97478640000000005</v>
      </c>
      <c r="S6778">
        <v>8.6669919999999998E-2</v>
      </c>
      <c r="T6778">
        <v>-0.1567984</v>
      </c>
      <c r="U6778">
        <v>3.1046749999999999</v>
      </c>
      <c r="V6778">
        <v>-0.20657020000000001</v>
      </c>
      <c r="W6778">
        <v>0.20513339999999999</v>
      </c>
      <c r="X6778">
        <v>0.9566865</v>
      </c>
      <c r="Y6778">
        <v>-0.28369820000000001</v>
      </c>
      <c r="Z6778">
        <v>-3.4170489999999998E-2</v>
      </c>
      <c r="AA6778">
        <v>0.95830459999999995</v>
      </c>
      <c r="AB6778">
        <v>22</v>
      </c>
      <c r="AC6778">
        <v>0.556499999999999</v>
      </c>
      <c r="AD6778">
        <v>-1.1164692077280001</v>
      </c>
      <c r="AE6778">
        <v>21.8871</v>
      </c>
      <c r="AF6778">
        <v>-6.2493847955971198</v>
      </c>
      <c r="AG6778">
        <v>-1.1164692077280001</v>
      </c>
      <c r="AH6778">
        <v>20.924070155815901</v>
      </c>
      <c r="AI6778">
        <v>92.926784271776697</v>
      </c>
      <c r="AJ6778">
        <v>106.629289107936</v>
      </c>
      <c r="AK6778">
        <v>21.865910127427799</v>
      </c>
      <c r="AL6778">
        <v>78.162691844535004</v>
      </c>
      <c r="AM6778">
        <v>102.18439403633199</v>
      </c>
      <c r="AN6778">
        <v>1.00000000930292</v>
      </c>
    </row>
    <row r="6779" spans="1:40" x14ac:dyDescent="0.25">
      <c r="A6779" t="str">
        <f>"20190304155805612"</f>
        <v>20190304155805612</v>
      </c>
      <c r="B6779" t="str">
        <f>"1551686285601526"</f>
        <v>1551686285601526</v>
      </c>
      <c r="C6779" t="s">
        <v>40</v>
      </c>
      <c r="D6779">
        <v>4.7951220000000001</v>
      </c>
      <c r="E6779">
        <v>0.46551239999999999</v>
      </c>
      <c r="F6779" t="s">
        <v>41</v>
      </c>
      <c r="G6779">
        <v>-187.76410000000001</v>
      </c>
      <c r="H6779" s="1">
        <v>-3.8100540000000002E-6</v>
      </c>
      <c r="I6779">
        <v>-22.41039</v>
      </c>
      <c r="J6779">
        <v>-188.08609999999999</v>
      </c>
      <c r="K6779">
        <v>1.1164620000000001</v>
      </c>
      <c r="L6779">
        <v>-43.244599999999998</v>
      </c>
      <c r="M6779">
        <v>0.30051440000000001</v>
      </c>
      <c r="N6779">
        <v>-1.156311E-2</v>
      </c>
      <c r="O6779">
        <v>0.95370719999999998</v>
      </c>
      <c r="P6779">
        <v>9.5449919999999994E-2</v>
      </c>
      <c r="Q6779">
        <v>0.1982759</v>
      </c>
      <c r="R6779">
        <v>0.97548760000000001</v>
      </c>
      <c r="S6779">
        <v>5.5358890000000001E-2</v>
      </c>
      <c r="T6779">
        <v>-0.1648029</v>
      </c>
      <c r="U6779">
        <v>3.1050110000000002</v>
      </c>
      <c r="V6779">
        <v>-0.2053246</v>
      </c>
      <c r="W6779">
        <v>0.20622070000000001</v>
      </c>
      <c r="X6779">
        <v>0.95672089999999999</v>
      </c>
      <c r="Y6779">
        <v>-0.28338059999999998</v>
      </c>
      <c r="Z6779">
        <v>-3.6722850000000001E-2</v>
      </c>
      <c r="AA6779">
        <v>0.95830420000000005</v>
      </c>
      <c r="AB6779">
        <v>22</v>
      </c>
      <c r="AC6779">
        <v>0.32199999999997397</v>
      </c>
      <c r="AD6779">
        <v>-1.1164658100539999</v>
      </c>
      <c r="AE6779">
        <v>20.834209999999999</v>
      </c>
      <c r="AF6779">
        <v>-5.9372385667346199</v>
      </c>
      <c r="AG6779">
        <v>-1.1164658100539999</v>
      </c>
      <c r="AH6779">
        <v>19.9106728121101</v>
      </c>
      <c r="AI6779">
        <v>93.075861278993202</v>
      </c>
      <c r="AJ6779">
        <v>106.604252675898</v>
      </c>
      <c r="AK6779">
        <v>20.8070226013777</v>
      </c>
      <c r="AL6779">
        <v>78.099033295082094</v>
      </c>
      <c r="AM6779">
        <v>102.11267654304</v>
      </c>
      <c r="AN6779">
        <v>1.0000000244852201</v>
      </c>
    </row>
    <row r="6780" spans="1:40" x14ac:dyDescent="0.25">
      <c r="A6780" t="str">
        <f>"20190304155805633"</f>
        <v>20190304155805633</v>
      </c>
      <c r="B6780" t="str">
        <f>"1551686285630807"</f>
        <v>1551686285630807</v>
      </c>
      <c r="C6780" t="s">
        <v>40</v>
      </c>
      <c r="D6780">
        <v>4.8474019999999998</v>
      </c>
      <c r="E6780">
        <v>0.46578890000000001</v>
      </c>
      <c r="F6780" t="s">
        <v>41</v>
      </c>
      <c r="G6780">
        <v>-187.8732</v>
      </c>
      <c r="H6780" s="1">
        <v>-3.984947E-6</v>
      </c>
      <c r="I6780">
        <v>-21.95759</v>
      </c>
      <c r="J6780">
        <v>-188.0343</v>
      </c>
      <c r="K6780">
        <v>1.1164609999999999</v>
      </c>
      <c r="L6780">
        <v>-43.039790000000004</v>
      </c>
      <c r="M6780">
        <v>0.290435099999999</v>
      </c>
      <c r="N6780">
        <v>-1.156858E-2</v>
      </c>
      <c r="O6780">
        <v>0.95682480000000003</v>
      </c>
      <c r="P6780">
        <v>8.6190349999999999E-2</v>
      </c>
      <c r="Q6780">
        <v>0.1996395</v>
      </c>
      <c r="R6780">
        <v>0.97607140000000003</v>
      </c>
      <c r="S6780">
        <v>3.1051639999999998E-2</v>
      </c>
      <c r="T6780">
        <v>-0.16287470000000001</v>
      </c>
      <c r="U6780">
        <v>3.1054379999999999</v>
      </c>
      <c r="V6780">
        <v>-0.2042388</v>
      </c>
      <c r="W6780">
        <v>0.2076123</v>
      </c>
      <c r="X6780">
        <v>0.95665230000000001</v>
      </c>
      <c r="Y6780">
        <v>-0.2807654</v>
      </c>
      <c r="Z6780">
        <v>-3.6398989999999999E-2</v>
      </c>
      <c r="AA6780">
        <v>0.95908599999999999</v>
      </c>
      <c r="AB6780">
        <v>22</v>
      </c>
      <c r="AC6780">
        <v>0.16110000000000399</v>
      </c>
      <c r="AD6780">
        <v>-1.1164649849470001</v>
      </c>
      <c r="AE6780">
        <v>21.0822</v>
      </c>
      <c r="AF6780">
        <v>-5.9525724855280799</v>
      </c>
      <c r="AG6780">
        <v>-1.1164649849470001</v>
      </c>
      <c r="AH6780">
        <v>20.1635674048594</v>
      </c>
      <c r="AI6780">
        <v>93.039818041831595</v>
      </c>
      <c r="AJ6780">
        <v>106.447351575971</v>
      </c>
      <c r="AK6780">
        <v>21.053481036360399</v>
      </c>
      <c r="AL6780">
        <v>78.017536350892598</v>
      </c>
      <c r="AM6780">
        <v>102.051338065713</v>
      </c>
      <c r="AN6780">
        <v>0.99999998881600904</v>
      </c>
    </row>
    <row r="6781" spans="1:40" x14ac:dyDescent="0.25">
      <c r="A6781" t="str">
        <f>"20190304155805655"</f>
        <v>20190304155805655</v>
      </c>
      <c r="B6781" t="str">
        <f>"1551686285651301"</f>
        <v>1551686285651301</v>
      </c>
      <c r="C6781" t="s">
        <v>40</v>
      </c>
      <c r="D6781">
        <v>4.7210590000000003</v>
      </c>
      <c r="E6781">
        <v>0.46601160000000003</v>
      </c>
      <c r="F6781" t="s">
        <v>41</v>
      </c>
      <c r="G6781">
        <v>-187.99959999999999</v>
      </c>
      <c r="H6781" s="1">
        <v>-4.4252460000000004E-6</v>
      </c>
      <c r="I6781">
        <v>-20.878979999999999</v>
      </c>
      <c r="J6781">
        <v>-187.98589999999999</v>
      </c>
      <c r="K6781">
        <v>1.116452</v>
      </c>
      <c r="L6781">
        <v>-42.840029999999999</v>
      </c>
      <c r="M6781">
        <v>0.28062870000000001</v>
      </c>
      <c r="N6781">
        <v>-1.1572270000000001E-2</v>
      </c>
      <c r="O6781">
        <v>0.95974669999999895</v>
      </c>
      <c r="P6781">
        <v>7.6669189999999998E-2</v>
      </c>
      <c r="Q6781">
        <v>0.2023171</v>
      </c>
      <c r="R6781">
        <v>0.97631429999999997</v>
      </c>
      <c r="S6781">
        <v>4.8522950000000004E-3</v>
      </c>
      <c r="T6781">
        <v>-0.15643560000000001</v>
      </c>
      <c r="U6781">
        <v>3.1051030000000002</v>
      </c>
      <c r="V6781">
        <v>-0.20365510000000001</v>
      </c>
      <c r="W6781">
        <v>0.21030389999999999</v>
      </c>
      <c r="X6781">
        <v>0.9561887</v>
      </c>
      <c r="Y6781">
        <v>-0.27903939999999999</v>
      </c>
      <c r="Z6781">
        <v>-3.4727059999999997E-2</v>
      </c>
      <c r="AA6781">
        <v>0.95965149999999999</v>
      </c>
      <c r="AB6781">
        <v>22</v>
      </c>
      <c r="AC6781">
        <v>-1.37E-2</v>
      </c>
      <c r="AD6781">
        <v>-1.1164564252460001</v>
      </c>
      <c r="AE6781">
        <v>21.96105</v>
      </c>
      <c r="AF6781">
        <v>-6.16054073395168</v>
      </c>
      <c r="AG6781">
        <v>-1.1164564252460001</v>
      </c>
      <c r="AH6781">
        <v>21.020283635573399</v>
      </c>
      <c r="AI6781">
        <v>92.917806943105703</v>
      </c>
      <c r="AJ6781">
        <v>106.33459484620199</v>
      </c>
      <c r="AK6781">
        <v>21.932876263821601</v>
      </c>
      <c r="AL6781">
        <v>77.859837604277601</v>
      </c>
      <c r="AM6781">
        <v>102.02355616561699</v>
      </c>
      <c r="AN6781">
        <v>0.99999998005945401</v>
      </c>
    </row>
    <row r="6782" spans="1:40" x14ac:dyDescent="0.25">
      <c r="A6782" t="str">
        <f>"20190304155805679"</f>
        <v>20190304155805679</v>
      </c>
      <c r="B6782" t="str">
        <f>"1551686285670821"</f>
        <v>1551686285670821</v>
      </c>
      <c r="C6782" t="s">
        <v>40</v>
      </c>
      <c r="D6782">
        <v>4.7812640000000002</v>
      </c>
      <c r="E6782">
        <v>0.46610980000000002</v>
      </c>
      <c r="F6782" t="s">
        <v>41</v>
      </c>
      <c r="G6782">
        <v>-188.1413</v>
      </c>
      <c r="H6782" s="1">
        <v>-7.4978909999999996E-7</v>
      </c>
      <c r="I6782">
        <v>-19.601929999999999</v>
      </c>
      <c r="J6782">
        <v>-187.93440000000001</v>
      </c>
      <c r="K6782">
        <v>1.1164339999999999</v>
      </c>
      <c r="L6782">
        <v>-42.617550000000001</v>
      </c>
      <c r="M6782">
        <v>0.26974490000000001</v>
      </c>
      <c r="N6782">
        <v>-1.1574579999999999E-2</v>
      </c>
      <c r="O6782">
        <v>0.96286229999999995</v>
      </c>
      <c r="P6782">
        <v>6.6402920000000004E-2</v>
      </c>
      <c r="Q6782">
        <v>0.2047052</v>
      </c>
      <c r="R6782">
        <v>0.97656869999999996</v>
      </c>
      <c r="S6782">
        <v>-2.0767210000000001E-2</v>
      </c>
      <c r="T6782">
        <v>-0.14919199999999999</v>
      </c>
      <c r="U6782">
        <v>3.1053160000000002</v>
      </c>
      <c r="V6782">
        <v>-0.2027708</v>
      </c>
      <c r="W6782">
        <v>0.21271380000000001</v>
      </c>
      <c r="X6782">
        <v>0.95584349999999996</v>
      </c>
      <c r="Y6782">
        <v>-0.2760899</v>
      </c>
      <c r="Z6782">
        <v>-3.2812199999999903E-2</v>
      </c>
      <c r="AA6782">
        <v>0.96057159999999997</v>
      </c>
      <c r="AB6782">
        <v>22</v>
      </c>
      <c r="AC6782">
        <v>-0.20689999999999001</v>
      </c>
      <c r="AD6782">
        <v>-1.1164347497890901</v>
      </c>
      <c r="AE6782">
        <v>23.015619999999998</v>
      </c>
      <c r="AF6782">
        <v>-6.3929499159251399</v>
      </c>
      <c r="AG6782">
        <v>-1.1164347497890901</v>
      </c>
      <c r="AH6782">
        <v>22.0546521203444</v>
      </c>
      <c r="AI6782">
        <v>92.783521016807697</v>
      </c>
      <c r="AJ6782">
        <v>106.165211230816</v>
      </c>
      <c r="AK6782">
        <v>22.989648003557502</v>
      </c>
      <c r="AL6782">
        <v>77.718564272191401</v>
      </c>
      <c r="AM6782">
        <v>101.977057006167</v>
      </c>
      <c r="AN6782">
        <v>0.99999997726766399</v>
      </c>
    </row>
    <row r="6783" spans="1:40" x14ac:dyDescent="0.25">
      <c r="A6783" t="str">
        <f>"20190304155805700"</f>
        <v>20190304155805700</v>
      </c>
      <c r="B6783" t="str">
        <f>"1551686285690849"</f>
        <v>1551686285690849</v>
      </c>
      <c r="C6783" t="s">
        <v>40</v>
      </c>
      <c r="D6783">
        <v>4.6668079999999996</v>
      </c>
      <c r="E6783">
        <v>0.46640150000000002</v>
      </c>
      <c r="F6783" t="s">
        <v>41</v>
      </c>
      <c r="G6783">
        <v>-188.3329</v>
      </c>
      <c r="H6783" s="1">
        <v>-1.166277E-6</v>
      </c>
      <c r="I6783">
        <v>-18.337910000000001</v>
      </c>
      <c r="J6783">
        <v>-187.88910000000001</v>
      </c>
      <c r="K6783">
        <v>1.116395</v>
      </c>
      <c r="L6783">
        <v>-42.411650000000002</v>
      </c>
      <c r="M6783">
        <v>0.2597139</v>
      </c>
      <c r="N6783">
        <v>-1.1572229999999999E-2</v>
      </c>
      <c r="O6783">
        <v>0.96561629999999998</v>
      </c>
      <c r="P6783">
        <v>5.7935250000000001E-2</v>
      </c>
      <c r="Q6783">
        <v>0.20319960000000001</v>
      </c>
      <c r="R6783">
        <v>0.97742180000000001</v>
      </c>
      <c r="S6783">
        <v>-5.096436E-2</v>
      </c>
      <c r="T6783">
        <v>-0.14279259999999999</v>
      </c>
      <c r="U6783">
        <v>3.1053769999999998</v>
      </c>
      <c r="V6783">
        <v>-0.2011549</v>
      </c>
      <c r="W6783">
        <v>0.21124960000000001</v>
      </c>
      <c r="X6783">
        <v>0.95650939999999995</v>
      </c>
      <c r="Y6783">
        <v>-0.27543610000000002</v>
      </c>
      <c r="Z6783">
        <v>-3.1089039999999998E-2</v>
      </c>
      <c r="AA6783">
        <v>0.96081660000000002</v>
      </c>
      <c r="AB6783">
        <v>22</v>
      </c>
      <c r="AC6783">
        <v>-0.44379999999998099</v>
      </c>
      <c r="AD6783">
        <v>-1.1163961662769999</v>
      </c>
      <c r="AE6783">
        <v>24.073740000000001</v>
      </c>
      <c r="AF6783">
        <v>-6.6669398640192004</v>
      </c>
      <c r="AG6783">
        <v>-1.1163961662769999</v>
      </c>
      <c r="AH6783">
        <v>23.082659364076498</v>
      </c>
      <c r="AI6783">
        <v>92.660382025222901</v>
      </c>
      <c r="AJ6783">
        <v>106.11024754698801</v>
      </c>
      <c r="AK6783">
        <v>24.0521015894352</v>
      </c>
      <c r="AL6783">
        <v>77.804407455473793</v>
      </c>
      <c r="AM6783">
        <v>101.876296680189</v>
      </c>
      <c r="AN6783">
        <v>0.99999995979126399</v>
      </c>
    </row>
    <row r="6784" spans="1:40" x14ac:dyDescent="0.25">
      <c r="A6784" t="str">
        <f>"20190304155805725"</f>
        <v>20190304155805725</v>
      </c>
      <c r="B6784" t="str">
        <f>"1551686285721104"</f>
        <v>1551686285721104</v>
      </c>
      <c r="C6784" t="s">
        <v>40</v>
      </c>
      <c r="D6784">
        <v>4.7877980000000004</v>
      </c>
      <c r="E6784">
        <v>0.4668041</v>
      </c>
      <c r="F6784" t="s">
        <v>41</v>
      </c>
      <c r="G6784">
        <v>-188.45699999999999</v>
      </c>
      <c r="H6784" s="1">
        <v>-9.0230719999999999E-7</v>
      </c>
      <c r="I6784">
        <v>-18.906860000000002</v>
      </c>
      <c r="J6784">
        <v>-187.83969999999999</v>
      </c>
      <c r="K6784">
        <v>1.116336</v>
      </c>
      <c r="L6784">
        <v>-42.175780000000003</v>
      </c>
      <c r="M6784">
        <v>0.24830060000000001</v>
      </c>
      <c r="N6784">
        <v>-1.1560020000000001E-2</v>
      </c>
      <c r="O6784">
        <v>0.96861399999999998</v>
      </c>
      <c r="P6784">
        <v>4.9341910000000003E-2</v>
      </c>
      <c r="Q6784">
        <v>0.19973630000000001</v>
      </c>
      <c r="R6784">
        <v>0.97860650000000005</v>
      </c>
      <c r="S6784">
        <v>-7.5012209999999996E-2</v>
      </c>
      <c r="T6784">
        <v>-0.1474482</v>
      </c>
      <c r="U6784">
        <v>3.1044010000000002</v>
      </c>
      <c r="V6784">
        <v>-0.19836989999999999</v>
      </c>
      <c r="W6784">
        <v>0.2078507</v>
      </c>
      <c r="X6784">
        <v>0.95783479999999999</v>
      </c>
      <c r="Y6784">
        <v>-0.27153189999999999</v>
      </c>
      <c r="Z6784">
        <v>-3.2729649999999999E-2</v>
      </c>
      <c r="AA6784">
        <v>0.96187279999999997</v>
      </c>
      <c r="AB6784">
        <v>22</v>
      </c>
      <c r="AC6784">
        <v>-0.61729999999999996</v>
      </c>
      <c r="AD6784">
        <v>-1.1163369023072001</v>
      </c>
      <c r="AE6784">
        <v>23.268919999999898</v>
      </c>
      <c r="AF6784">
        <v>-6.3614071750607204</v>
      </c>
      <c r="AG6784">
        <v>-1.1163369023072001</v>
      </c>
      <c r="AH6784">
        <v>22.3354505771715</v>
      </c>
      <c r="AI6784">
        <v>92.752025764688398</v>
      </c>
      <c r="AJ6784">
        <v>105.89759573082</v>
      </c>
      <c r="AK6784">
        <v>23.250506700105198</v>
      </c>
      <c r="AL6784">
        <v>78.003572774239004</v>
      </c>
      <c r="AM6784">
        <v>101.70067961849701</v>
      </c>
      <c r="AN6784">
        <v>1.00000001740376</v>
      </c>
    </row>
    <row r="6785" spans="1:40" x14ac:dyDescent="0.25">
      <c r="A6785" t="str">
        <f>"20190304155805749"</f>
        <v>20190304155805749</v>
      </c>
      <c r="B6785" t="str">
        <f>"1551686285741600"</f>
        <v>1551686285741600</v>
      </c>
      <c r="C6785" t="s">
        <v>40</v>
      </c>
      <c r="D6785">
        <v>4.6358069999999998</v>
      </c>
      <c r="E6785">
        <v>0.4670725</v>
      </c>
      <c r="F6785" t="s">
        <v>41</v>
      </c>
      <c r="G6785">
        <v>-188.55420000000001</v>
      </c>
      <c r="H6785" s="1">
        <v>-4.9635170000000005E-7</v>
      </c>
      <c r="I6785">
        <v>-20.023790000000002</v>
      </c>
      <c r="J6785">
        <v>-187.797</v>
      </c>
      <c r="K6785">
        <v>1.1162650000000001</v>
      </c>
      <c r="L6785">
        <v>-41.95993</v>
      </c>
      <c r="M6785">
        <v>0.23795089999999999</v>
      </c>
      <c r="N6785">
        <v>-1.1542719999999999E-2</v>
      </c>
      <c r="O6785">
        <v>0.97120859999999998</v>
      </c>
      <c r="P6785">
        <v>4.3521890000000001E-2</v>
      </c>
      <c r="Q6785">
        <v>0.1982537</v>
      </c>
      <c r="R6785">
        <v>0.97918400000000005</v>
      </c>
      <c r="S6785">
        <v>-0.10006710000000001</v>
      </c>
      <c r="T6785">
        <v>-0.15635060000000001</v>
      </c>
      <c r="U6785">
        <v>3.1025390000000002</v>
      </c>
      <c r="V6785">
        <v>-0.19385459999999999</v>
      </c>
      <c r="W6785">
        <v>0.20645910000000001</v>
      </c>
      <c r="X6785">
        <v>0.95905949999999995</v>
      </c>
      <c r="Y6785">
        <v>-0.26902969999999998</v>
      </c>
      <c r="Z6785">
        <v>-3.564353E-2</v>
      </c>
      <c r="AA6785">
        <v>0.96247210000000005</v>
      </c>
      <c r="AB6785">
        <v>22</v>
      </c>
      <c r="AC6785">
        <v>-0.75720000000001098</v>
      </c>
      <c r="AD6785">
        <v>-1.1162654963517</v>
      </c>
      <c r="AE6785">
        <v>21.936139999999899</v>
      </c>
      <c r="AF6785">
        <v>-5.9401564493389598</v>
      </c>
      <c r="AG6785">
        <v>-1.1162654963517</v>
      </c>
      <c r="AH6785">
        <v>21.0712996543913</v>
      </c>
      <c r="AI6785">
        <v>92.918886578665195</v>
      </c>
      <c r="AJ6785">
        <v>105.743539930059</v>
      </c>
      <c r="AK6785">
        <v>21.921021336290799</v>
      </c>
      <c r="AL6785">
        <v>78.085073824359</v>
      </c>
      <c r="AM6785">
        <v>101.427224874584</v>
      </c>
      <c r="AN6785">
        <v>1.0000000452271001</v>
      </c>
    </row>
    <row r="6786" spans="1:40" x14ac:dyDescent="0.25">
      <c r="A6786" t="str">
        <f>"20190304155805793"</f>
        <v>20190304155805793</v>
      </c>
      <c r="B6786" t="str">
        <f>"1551686285781617"</f>
        <v>1551686285781617</v>
      </c>
      <c r="C6786" t="s">
        <v>40</v>
      </c>
      <c r="D6786">
        <v>4.7097170000000004</v>
      </c>
      <c r="E6786">
        <v>0.46789579999999997</v>
      </c>
      <c r="F6786" t="s">
        <v>41</v>
      </c>
      <c r="G6786">
        <v>-188.63740000000001</v>
      </c>
      <c r="H6786" s="1">
        <v>-4.229529E-7</v>
      </c>
      <c r="I6786">
        <v>-20.174399999999999</v>
      </c>
      <c r="J6786">
        <v>-187.72130000000001</v>
      </c>
      <c r="K6786">
        <v>1.116115</v>
      </c>
      <c r="L6786">
        <v>-41.546109999999999</v>
      </c>
      <c r="M6786">
        <v>0.2184818</v>
      </c>
      <c r="N6786">
        <v>-1.150258E-2</v>
      </c>
      <c r="O6786">
        <v>0.97577320000000001</v>
      </c>
      <c r="P6786">
        <v>3.5596669999999997E-2</v>
      </c>
      <c r="Q6786">
        <v>0.20176150000000001</v>
      </c>
      <c r="R6786">
        <v>0.97878759999999998</v>
      </c>
      <c r="S6786">
        <v>-0.11964420000000001</v>
      </c>
      <c r="T6786">
        <v>-0.15890489999999999</v>
      </c>
      <c r="U6786">
        <v>3.1012569999999999</v>
      </c>
      <c r="V6786">
        <v>-0.18220919999999999</v>
      </c>
      <c r="W6786">
        <v>0.2101896</v>
      </c>
      <c r="X6786">
        <v>0.96053120000000003</v>
      </c>
      <c r="Y6786">
        <v>-0.25582820000000001</v>
      </c>
      <c r="Z6786">
        <v>-3.6905930000000003E-2</v>
      </c>
      <c r="AA6786">
        <v>0.96601749999999997</v>
      </c>
      <c r="AB6786">
        <v>22</v>
      </c>
      <c r="AC6786">
        <v>-0.91610000000000003</v>
      </c>
      <c r="AD6786">
        <v>-1.1161154229529</v>
      </c>
      <c r="AE6786">
        <v>21.37171</v>
      </c>
      <c r="AF6786">
        <v>-5.5484988219666702</v>
      </c>
      <c r="AG6786">
        <v>-1.1161154229529</v>
      </c>
      <c r="AH6786">
        <v>20.5990800291741</v>
      </c>
      <c r="AI6786">
        <v>92.994875398713901</v>
      </c>
      <c r="AJ6786">
        <v>105.075211968754</v>
      </c>
      <c r="AK6786">
        <v>21.3624355086924</v>
      </c>
      <c r="AL6786">
        <v>77.866536770669995</v>
      </c>
      <c r="AM6786">
        <v>100.74117085991701</v>
      </c>
      <c r="AN6786">
        <v>1.0000000233431099</v>
      </c>
    </row>
    <row r="6787" spans="1:40" x14ac:dyDescent="0.25">
      <c r="A6787" t="str">
        <f>"20190304155805812"</f>
        <v>20190304155805812</v>
      </c>
      <c r="B6787" t="str">
        <f>"1551686285801137"</f>
        <v>1551686285801137</v>
      </c>
      <c r="C6787" t="s">
        <v>40</v>
      </c>
      <c r="D6787">
        <v>4.7710410000000003</v>
      </c>
      <c r="E6787">
        <v>0.46827220000000003</v>
      </c>
      <c r="F6787" t="s">
        <v>41</v>
      </c>
      <c r="G6787">
        <v>-188.792</v>
      </c>
      <c r="H6787" s="1">
        <v>-1.304187E-6</v>
      </c>
      <c r="I6787">
        <v>-17.826609999999999</v>
      </c>
      <c r="J6787">
        <v>-187.6885</v>
      </c>
      <c r="K6787">
        <v>1.1160350000000001</v>
      </c>
      <c r="L6787">
        <v>-41.351410000000001</v>
      </c>
      <c r="M6787">
        <v>0.20949699999999999</v>
      </c>
      <c r="N6787">
        <v>-1.1481699999999999E-2</v>
      </c>
      <c r="O6787">
        <v>0.97774190000000005</v>
      </c>
      <c r="P6787">
        <v>3.243745E-2</v>
      </c>
      <c r="Q6787">
        <v>0.20369979999999999</v>
      </c>
      <c r="R6787">
        <v>0.97849589999999997</v>
      </c>
      <c r="S6787">
        <v>-0.13993839999999999</v>
      </c>
      <c r="T6787">
        <v>-0.145878799999999</v>
      </c>
      <c r="U6787">
        <v>3.1001889999999999</v>
      </c>
      <c r="V6787">
        <v>-0.176358399999999</v>
      </c>
      <c r="W6787">
        <v>0.21223529999999999</v>
      </c>
      <c r="X6787">
        <v>0.96117319999999995</v>
      </c>
      <c r="Y6787">
        <v>-0.25327490000000003</v>
      </c>
      <c r="Z6787">
        <v>-3.3120179999999999E-2</v>
      </c>
      <c r="AA6787">
        <v>0.9668272</v>
      </c>
      <c r="AB6787">
        <v>22</v>
      </c>
      <c r="AC6787">
        <v>-1.1034999999999899</v>
      </c>
      <c r="AD6787">
        <v>-1.1160363041869901</v>
      </c>
      <c r="AE6787">
        <v>23.5247999999999</v>
      </c>
      <c r="AF6787">
        <v>-5.9942478501072598</v>
      </c>
      <c r="AG6787">
        <v>-1.1160363041869901</v>
      </c>
      <c r="AH6787">
        <v>22.7204800160495</v>
      </c>
      <c r="AI6787">
        <v>92.719228457368004</v>
      </c>
      <c r="AJ6787">
        <v>104.77934431633901</v>
      </c>
      <c r="AK6787">
        <v>23.524386420913999</v>
      </c>
      <c r="AL6787">
        <v>77.746621391004595</v>
      </c>
      <c r="AM6787">
        <v>100.39712274051</v>
      </c>
      <c r="AN6787">
        <v>1.0000000141074401</v>
      </c>
    </row>
    <row r="6788" spans="1:40" x14ac:dyDescent="0.25">
      <c r="A6788" t="str">
        <f>"20190304155805836"</f>
        <v>20190304155805836</v>
      </c>
      <c r="B6788" t="str">
        <f>"1551686285831393"</f>
        <v>1551686285831393</v>
      </c>
      <c r="C6788" t="s">
        <v>40</v>
      </c>
      <c r="D6788">
        <v>4.5739299999999998</v>
      </c>
      <c r="E6788">
        <v>0.46873540000000002</v>
      </c>
      <c r="F6788" t="s">
        <v>41</v>
      </c>
      <c r="G6788">
        <v>-188.8768</v>
      </c>
      <c r="H6788" s="1">
        <v>-1.9273510000000001E-6</v>
      </c>
      <c r="I6788">
        <v>-16.338940000000001</v>
      </c>
      <c r="J6788">
        <v>-187.65299999999999</v>
      </c>
      <c r="K6788">
        <v>1.1159539999999999</v>
      </c>
      <c r="L6788">
        <v>-41.128450000000001</v>
      </c>
      <c r="M6788">
        <v>0.19933339999999999</v>
      </c>
      <c r="N6788">
        <v>-1.1456030000000001E-2</v>
      </c>
      <c r="O6788">
        <v>0.97986479999999998</v>
      </c>
      <c r="P6788">
        <v>2.7213919999999999E-2</v>
      </c>
      <c r="Q6788">
        <v>0.20367969999999999</v>
      </c>
      <c r="R6788">
        <v>0.97865930000000001</v>
      </c>
      <c r="S6788">
        <v>-0.14726259999999999</v>
      </c>
      <c r="T6788">
        <v>-0.13830209999999901</v>
      </c>
      <c r="U6788">
        <v>3.0996090000000001</v>
      </c>
      <c r="V6788">
        <v>-0.17145360000000001</v>
      </c>
      <c r="W6788">
        <v>0.2123042</v>
      </c>
      <c r="X6788">
        <v>0.96204500000000004</v>
      </c>
      <c r="Y6788">
        <v>-0.24552019999999999</v>
      </c>
      <c r="Z6788">
        <v>-3.102268E-2</v>
      </c>
      <c r="AA6788">
        <v>0.96889499999999995</v>
      </c>
      <c r="AB6788">
        <v>22</v>
      </c>
      <c r="AC6788">
        <v>-1.22380000000001</v>
      </c>
      <c r="AD6788">
        <v>-1.115955927351</v>
      </c>
      <c r="AE6788">
        <v>24.78951</v>
      </c>
      <c r="AF6788">
        <v>-6.1285489791424999</v>
      </c>
      <c r="AG6788">
        <v>-1.115955927351</v>
      </c>
      <c r="AH6788">
        <v>23.999483270795</v>
      </c>
      <c r="AI6788">
        <v>92.579625502201793</v>
      </c>
      <c r="AJ6788">
        <v>104.32500904540299</v>
      </c>
      <c r="AK6788">
        <v>24.794750805093901</v>
      </c>
      <c r="AL6788">
        <v>77.742581427219093</v>
      </c>
      <c r="AM6788">
        <v>100.105038422486</v>
      </c>
      <c r="AN6788">
        <v>0.9999999961578</v>
      </c>
    </row>
    <row r="6789" spans="1:40" x14ac:dyDescent="0.25">
      <c r="A6789" t="str">
        <f>"20190304155805856"</f>
        <v>20190304155805856</v>
      </c>
      <c r="B6789" t="str">
        <f>"1551686285850913"</f>
        <v>1551686285850913</v>
      </c>
      <c r="C6789" t="s">
        <v>40</v>
      </c>
      <c r="D6789">
        <v>4.5457739999999998</v>
      </c>
      <c r="E6789">
        <v>0.469165</v>
      </c>
      <c r="F6789" t="s">
        <v>41</v>
      </c>
      <c r="G6789">
        <v>-188.97049999999999</v>
      </c>
      <c r="H6789" s="1">
        <v>-2.0997590000000001E-6</v>
      </c>
      <c r="I6789">
        <v>-15.89831</v>
      </c>
      <c r="J6789">
        <v>-187.6234</v>
      </c>
      <c r="K6789">
        <v>1.1158729999999999</v>
      </c>
      <c r="L6789">
        <v>-40.931789999999999</v>
      </c>
      <c r="M6789">
        <v>0.19052189999999999</v>
      </c>
      <c r="N6789">
        <v>-1.142132E-2</v>
      </c>
      <c r="O6789">
        <v>0.9816165</v>
      </c>
      <c r="P6789">
        <v>2.2779629999999999E-2</v>
      </c>
      <c r="Q6789">
        <v>0.2059018</v>
      </c>
      <c r="R6789">
        <v>0.9783075</v>
      </c>
      <c r="S6789">
        <v>-0.16180420000000001</v>
      </c>
      <c r="T6789">
        <v>-0.1370478</v>
      </c>
      <c r="U6789">
        <v>3.0984500000000001</v>
      </c>
      <c r="V6789">
        <v>-0.1670594</v>
      </c>
      <c r="W6789">
        <v>0.21458969999999999</v>
      </c>
      <c r="X6789">
        <v>0.96231100000000003</v>
      </c>
      <c r="Y6789">
        <v>-0.24136460000000001</v>
      </c>
      <c r="Z6789">
        <v>-3.0819619999999999E-2</v>
      </c>
      <c r="AA6789">
        <v>0.96994499999999995</v>
      </c>
      <c r="AB6789">
        <v>22</v>
      </c>
      <c r="AC6789">
        <v>-1.34709999999998</v>
      </c>
      <c r="AD6789">
        <v>-1.1158750997589999</v>
      </c>
      <c r="AE6789">
        <v>25.033480000000001</v>
      </c>
      <c r="AF6789">
        <v>-6.0801130939405796</v>
      </c>
      <c r="AG6789">
        <v>-1.1158750997589999</v>
      </c>
      <c r="AH6789">
        <v>24.270126720328001</v>
      </c>
      <c r="AI6789">
        <v>92.553647709940705</v>
      </c>
      <c r="AJ6789">
        <v>104.06419451581201</v>
      </c>
      <c r="AK6789">
        <v>25.044999570655801</v>
      </c>
      <c r="AL6789">
        <v>77.608543245308795</v>
      </c>
      <c r="AM6789">
        <v>99.848524273474496</v>
      </c>
      <c r="AN6789">
        <v>1.0000000215977201</v>
      </c>
    </row>
    <row r="6790" spans="1:40" x14ac:dyDescent="0.25">
      <c r="A6790" t="str">
        <f>"20190304155805879"</f>
        <v>20190304155805879</v>
      </c>
      <c r="B6790" t="str">
        <f>"1551686285871409"</f>
        <v>1551686285871409</v>
      </c>
      <c r="C6790" t="s">
        <v>40</v>
      </c>
      <c r="D6790">
        <v>4.7783239999999996</v>
      </c>
      <c r="E6790">
        <v>0.4697346</v>
      </c>
      <c r="F6790" t="s">
        <v>41</v>
      </c>
      <c r="G6790">
        <v>-189.1267</v>
      </c>
      <c r="H6790" s="1">
        <v>-2.8331239999999998E-6</v>
      </c>
      <c r="I6790">
        <v>-14.12424</v>
      </c>
      <c r="J6790">
        <v>-187.59180000000001</v>
      </c>
      <c r="K6790">
        <v>1.11575</v>
      </c>
      <c r="L6790">
        <v>-40.708190000000002</v>
      </c>
      <c r="M6790">
        <v>0.1807348</v>
      </c>
      <c r="N6790">
        <v>-1.1359370000000001E-2</v>
      </c>
      <c r="O6790">
        <v>0.98346630000000002</v>
      </c>
      <c r="P6790">
        <v>1.5847159999999999E-2</v>
      </c>
      <c r="Q6790">
        <v>0.20893490000000001</v>
      </c>
      <c r="R6790">
        <v>0.97780109999999998</v>
      </c>
      <c r="S6790">
        <v>-0.1737061</v>
      </c>
      <c r="T6790">
        <v>-0.12894249999999999</v>
      </c>
      <c r="U6790">
        <v>3.0976870000000001</v>
      </c>
      <c r="V6790">
        <v>-0.1641504</v>
      </c>
      <c r="W6790">
        <v>0.2176466</v>
      </c>
      <c r="X6790">
        <v>0.96212509999999996</v>
      </c>
      <c r="Y6790">
        <v>-0.23543249999999999</v>
      </c>
      <c r="Z6790">
        <v>-2.853433E-2</v>
      </c>
      <c r="AA6790">
        <v>0.97147169999999905</v>
      </c>
      <c r="AB6790">
        <v>22</v>
      </c>
      <c r="AC6790">
        <v>-1.5348999999999899</v>
      </c>
      <c r="AD6790">
        <v>-1.1157528331240001</v>
      </c>
      <c r="AE6790">
        <v>26.583950000000002</v>
      </c>
      <c r="AF6790">
        <v>-6.3035074144567798</v>
      </c>
      <c r="AG6790">
        <v>-1.1157528331240001</v>
      </c>
      <c r="AH6790">
        <v>25.823339111321999</v>
      </c>
      <c r="AI6790">
        <v>92.403562334933497</v>
      </c>
      <c r="AJ6790">
        <v>103.71770788946399</v>
      </c>
      <c r="AK6790">
        <v>26.604961059303701</v>
      </c>
      <c r="AL6790">
        <v>77.429156676753294</v>
      </c>
      <c r="AM6790">
        <v>99.682140048290407</v>
      </c>
      <c r="AN6790">
        <v>1.0000000521808601</v>
      </c>
    </row>
    <row r="6791" spans="1:40" x14ac:dyDescent="0.25">
      <c r="A6791" t="str">
        <f>"20190304155805902"</f>
        <v>20190304155805902</v>
      </c>
      <c r="B6791" t="str">
        <f>"1551686285890929"</f>
        <v>1551686285890929</v>
      </c>
      <c r="C6791" t="s">
        <v>40</v>
      </c>
      <c r="D6791">
        <v>4.6028099999999998</v>
      </c>
      <c r="E6791">
        <v>0.46986860000000003</v>
      </c>
      <c r="F6791" t="s">
        <v>41</v>
      </c>
      <c r="G6791">
        <v>-189.3656</v>
      </c>
      <c r="H6791" s="1">
        <v>-3.8101740000000001E-6</v>
      </c>
      <c r="I6791">
        <v>-11.74793</v>
      </c>
      <c r="J6791">
        <v>-187.56280000000001</v>
      </c>
      <c r="K6791">
        <v>1.1155999999999999</v>
      </c>
      <c r="L6791">
        <v>-40.490049999999997</v>
      </c>
      <c r="M6791">
        <v>0.17144529999999999</v>
      </c>
      <c r="N6791">
        <v>-1.1279320000000001E-2</v>
      </c>
      <c r="O6791">
        <v>0.98512909999999998</v>
      </c>
      <c r="P6791">
        <v>9.0621680000000007E-3</v>
      </c>
      <c r="Q6791">
        <v>0.21121989999999999</v>
      </c>
      <c r="R6791">
        <v>0.9773965</v>
      </c>
      <c r="S6791">
        <v>-0.18966669999999999</v>
      </c>
      <c r="T6791">
        <v>-0.119306</v>
      </c>
      <c r="U6791">
        <v>3.0966800000000001</v>
      </c>
      <c r="V6791">
        <v>-0.16160820000000001</v>
      </c>
      <c r="W6791">
        <v>0.21994420000000001</v>
      </c>
      <c r="X6791">
        <v>0.96203289999999997</v>
      </c>
      <c r="Y6791">
        <v>-0.2312767</v>
      </c>
      <c r="Z6791">
        <v>-2.575239E-2</v>
      </c>
      <c r="AA6791">
        <v>0.9725471</v>
      </c>
      <c r="AB6791">
        <v>22</v>
      </c>
      <c r="AC6791">
        <v>-1.80279999999999</v>
      </c>
      <c r="AD6791">
        <v>-1.115603810174</v>
      </c>
      <c r="AE6791">
        <v>28.74212</v>
      </c>
      <c r="AF6791">
        <v>-6.6940729993551598</v>
      </c>
      <c r="AG6791">
        <v>-1.115603810174</v>
      </c>
      <c r="AH6791">
        <v>27.965431959335401</v>
      </c>
      <c r="AI6791">
        <v>92.221747385243702</v>
      </c>
      <c r="AJ6791">
        <v>103.461573853356</v>
      </c>
      <c r="AK6791">
        <v>28.7770841096556</v>
      </c>
      <c r="AL6791">
        <v>77.294244140935206</v>
      </c>
      <c r="AM6791">
        <v>99.5358638161062</v>
      </c>
      <c r="AN6791">
        <v>0.999999981051644</v>
      </c>
    </row>
    <row r="6792" spans="1:40" x14ac:dyDescent="0.25">
      <c r="A6792" t="str">
        <f>"20190304155805926"</f>
        <v>20190304155805926</v>
      </c>
      <c r="B6792" t="str">
        <f>"1551686285921185"</f>
        <v>1551686285921185</v>
      </c>
      <c r="C6792" t="s">
        <v>40</v>
      </c>
      <c r="D6792">
        <v>4.5481939999999996</v>
      </c>
      <c r="E6792">
        <v>0.46968140000000003</v>
      </c>
      <c r="F6792" t="s">
        <v>41</v>
      </c>
      <c r="G6792">
        <v>-189.61</v>
      </c>
      <c r="H6792" s="1">
        <v>-2.4898419999999999E-7</v>
      </c>
      <c r="I6792">
        <v>-9.9480719999999998</v>
      </c>
      <c r="J6792">
        <v>-187.53399999999999</v>
      </c>
      <c r="K6792">
        <v>1.1153959999999901</v>
      </c>
      <c r="L6792">
        <v>-40.259219999999999</v>
      </c>
      <c r="M6792">
        <v>0.16192139999999999</v>
      </c>
      <c r="N6792">
        <v>-1.1184960000000001E-2</v>
      </c>
      <c r="O6792">
        <v>0.98674030000000001</v>
      </c>
      <c r="P6792">
        <v>2.4297139999999999E-3</v>
      </c>
      <c r="Q6792">
        <v>0.21325179999999999</v>
      </c>
      <c r="R6792">
        <v>0.97699429999999998</v>
      </c>
      <c r="S6792">
        <v>-0.2075043</v>
      </c>
      <c r="T6792">
        <v>-0.1130772</v>
      </c>
      <c r="U6792">
        <v>3.0957340000000002</v>
      </c>
      <c r="V6792">
        <v>-0.158686299999999</v>
      </c>
      <c r="W6792">
        <v>0.2219969</v>
      </c>
      <c r="X6792">
        <v>0.96204780000000001</v>
      </c>
      <c r="Y6792">
        <v>-0.22748360000000001</v>
      </c>
      <c r="Z6792">
        <v>-2.401969E-2</v>
      </c>
      <c r="AA6792">
        <v>0.97348559999999995</v>
      </c>
      <c r="AB6792">
        <v>22</v>
      </c>
      <c r="AC6792">
        <v>-2.0759999999999899</v>
      </c>
      <c r="AD6792">
        <v>-1.11539624898419</v>
      </c>
      <c r="AE6792">
        <v>30.311147999999999</v>
      </c>
      <c r="AF6792">
        <v>-6.9475675068015104</v>
      </c>
      <c r="AG6792">
        <v>-1.11539624898419</v>
      </c>
      <c r="AH6792">
        <v>29.5351244891039</v>
      </c>
      <c r="AI6792">
        <v>92.105341859978097</v>
      </c>
      <c r="AJ6792">
        <v>103.237075994557</v>
      </c>
      <c r="AK6792">
        <v>30.361758539990301</v>
      </c>
      <c r="AL6792">
        <v>77.173651911969003</v>
      </c>
      <c r="AM6792">
        <v>99.3663941791241</v>
      </c>
      <c r="AN6792">
        <v>0.99999996745106901</v>
      </c>
    </row>
    <row r="6793" spans="1:40" x14ac:dyDescent="0.25">
      <c r="A6793" t="str">
        <f>"20190304155805948"</f>
        <v>20190304155805948</v>
      </c>
      <c r="B6793" t="str">
        <f>"1551686285941681"</f>
        <v>1551686285941681</v>
      </c>
      <c r="C6793" t="s">
        <v>40</v>
      </c>
      <c r="D6793">
        <v>4.5676670000000001</v>
      </c>
      <c r="E6793">
        <v>0.46963270000000001</v>
      </c>
      <c r="F6793" t="s">
        <v>41</v>
      </c>
      <c r="G6793">
        <v>-189.93049999999999</v>
      </c>
      <c r="H6793" s="1">
        <v>-1.1920059999999999E-6</v>
      </c>
      <c r="I6793">
        <v>-7.617362</v>
      </c>
      <c r="J6793">
        <v>-187.50819999999999</v>
      </c>
      <c r="K6793">
        <v>1.1151789999999999</v>
      </c>
      <c r="L6793">
        <v>-40.038760000000003</v>
      </c>
      <c r="M6793">
        <v>0.1531661</v>
      </c>
      <c r="N6793">
        <v>-1.108751E-2</v>
      </c>
      <c r="O6793">
        <v>0.98813830000000002</v>
      </c>
      <c r="P6793">
        <v>-4.9760100000000003E-3</v>
      </c>
      <c r="Q6793">
        <v>0.2154326</v>
      </c>
      <c r="R6793">
        <v>0.97650610000000004</v>
      </c>
      <c r="S6793">
        <v>-0.22717290000000001</v>
      </c>
      <c r="T6793">
        <v>-0.1057346</v>
      </c>
      <c r="U6793">
        <v>3.0942989999999999</v>
      </c>
      <c r="V6793">
        <v>-0.15728159999999999</v>
      </c>
      <c r="W6793">
        <v>0.22418009999999999</v>
      </c>
      <c r="X6793">
        <v>0.96177219999999997</v>
      </c>
      <c r="Y6793">
        <v>-0.22504440000000001</v>
      </c>
      <c r="Z6793">
        <v>-2.1916959999999999E-2</v>
      </c>
      <c r="AA6793">
        <v>0.97410200000000002</v>
      </c>
      <c r="AB6793">
        <v>22</v>
      </c>
      <c r="AC6793">
        <v>-2.4222999999999999</v>
      </c>
      <c r="AD6793">
        <v>-1.115180192006</v>
      </c>
      <c r="AE6793">
        <v>32.421398000000003</v>
      </c>
      <c r="AF6793">
        <v>-7.35122950788372</v>
      </c>
      <c r="AG6793">
        <v>-1.115180192006</v>
      </c>
      <c r="AH6793">
        <v>31.630541241722302</v>
      </c>
      <c r="AI6793">
        <v>91.966831794092997</v>
      </c>
      <c r="AJ6793">
        <v>103.08379827838699</v>
      </c>
      <c r="AK6793">
        <v>32.492696739152301</v>
      </c>
      <c r="AL6793">
        <v>77.045330103424703</v>
      </c>
      <c r="AM6793">
        <v>99.287546847028807</v>
      </c>
      <c r="AN6793">
        <v>0.99999999181370403</v>
      </c>
    </row>
    <row r="6794" spans="1:40" x14ac:dyDescent="0.25">
      <c r="A6794" t="str">
        <f>"20190304155805971"</f>
        <v>20190304155805971</v>
      </c>
      <c r="B6794" t="str">
        <f>"1551686285961200"</f>
        <v>1551686285961200</v>
      </c>
      <c r="C6794" t="s">
        <v>40</v>
      </c>
      <c r="D6794">
        <v>4.4017929999999996</v>
      </c>
      <c r="E6794">
        <v>0.46966570000000002</v>
      </c>
      <c r="F6794" t="s">
        <v>41</v>
      </c>
      <c r="G6794">
        <v>-190.21180000000001</v>
      </c>
      <c r="H6794" s="1">
        <v>-1.899824E-6</v>
      </c>
      <c r="I6794">
        <v>-6.1137199999999998</v>
      </c>
      <c r="J6794">
        <v>-187.4838</v>
      </c>
      <c r="K6794">
        <v>1.1149290000000001</v>
      </c>
      <c r="L6794">
        <v>-39.817320000000002</v>
      </c>
      <c r="M6794">
        <v>0.1447734</v>
      </c>
      <c r="N6794">
        <v>-1.097836E-2</v>
      </c>
      <c r="O6794">
        <v>0.98940399999999995</v>
      </c>
      <c r="P6794">
        <v>-1.278878E-2</v>
      </c>
      <c r="Q6794">
        <v>0.21518190000000001</v>
      </c>
      <c r="R6794">
        <v>0.97649030000000003</v>
      </c>
      <c r="S6794">
        <v>-0.24652099999999999</v>
      </c>
      <c r="T6794">
        <v>-0.1016845</v>
      </c>
      <c r="U6794">
        <v>3.093353</v>
      </c>
      <c r="V6794">
        <v>-0.1566843</v>
      </c>
      <c r="W6794">
        <v>0.22392319999999999</v>
      </c>
      <c r="X6794">
        <v>0.96192960000000005</v>
      </c>
      <c r="Y6794">
        <v>-0.22285740000000001</v>
      </c>
      <c r="Z6794">
        <v>-2.083231E-2</v>
      </c>
      <c r="AA6794">
        <v>0.97462839999999995</v>
      </c>
      <c r="AB6794">
        <v>22</v>
      </c>
      <c r="AC6794">
        <v>-2.7280000000000002</v>
      </c>
      <c r="AD6794">
        <v>-1.114930899824</v>
      </c>
      <c r="AE6794">
        <v>33.703600000000002</v>
      </c>
      <c r="AF6794">
        <v>-7.5707042642664604</v>
      </c>
      <c r="AG6794">
        <v>-1.114930899824</v>
      </c>
      <c r="AH6794">
        <v>32.917730489685297</v>
      </c>
      <c r="AI6794">
        <v>91.890560404475096</v>
      </c>
      <c r="AJ6794">
        <v>102.952146659186</v>
      </c>
      <c r="AK6794">
        <v>33.795496956842101</v>
      </c>
      <c r="AL6794">
        <v>77.060434283914503</v>
      </c>
      <c r="AM6794">
        <v>99.251399343024701</v>
      </c>
      <c r="AN6794">
        <v>1.0000000623604399</v>
      </c>
    </row>
    <row r="6795" spans="1:40" x14ac:dyDescent="0.25">
      <c r="A6795" t="str">
        <f>"20190304155805992"</f>
        <v>20190304155805992</v>
      </c>
      <c r="B6795" t="str">
        <f>"1551686285981697"</f>
        <v>1551686285981697</v>
      </c>
      <c r="C6795" t="s">
        <v>40</v>
      </c>
      <c r="D6795">
        <v>4.3919949999999996</v>
      </c>
      <c r="E6795">
        <v>0.46978160000000002</v>
      </c>
      <c r="F6795" t="s">
        <v>41</v>
      </c>
      <c r="G6795">
        <v>-190.4248</v>
      </c>
      <c r="H6795" s="1">
        <v>-2.1333029999999998E-6</v>
      </c>
      <c r="I6795">
        <v>-5.7015900000000004</v>
      </c>
      <c r="J6795">
        <v>-187.4624</v>
      </c>
      <c r="K6795">
        <v>1.1146739999999999</v>
      </c>
      <c r="L6795">
        <v>-39.610959999999999</v>
      </c>
      <c r="M6795">
        <v>0.13734660000000001</v>
      </c>
      <c r="N6795">
        <v>-1.0867379999999999E-2</v>
      </c>
      <c r="O6795">
        <v>0.99046339999999999</v>
      </c>
      <c r="P6795">
        <v>-1.8570639999999999E-2</v>
      </c>
      <c r="Q6795">
        <v>0.2116392</v>
      </c>
      <c r="R6795">
        <v>0.97717140000000002</v>
      </c>
      <c r="S6795">
        <v>-0.26646419999999998</v>
      </c>
      <c r="T6795">
        <v>-0.1010166</v>
      </c>
      <c r="U6795">
        <v>3.0910030000000002</v>
      </c>
      <c r="V6795">
        <v>-0.15509700000000001</v>
      </c>
      <c r="W6795">
        <v>0.22039120000000001</v>
      </c>
      <c r="X6795">
        <v>0.96300189999999997</v>
      </c>
      <c r="Y6795">
        <v>-0.22184889999999999</v>
      </c>
      <c r="Z6795">
        <v>-2.080427E-2</v>
      </c>
      <c r="AA6795">
        <v>0.97485909999999998</v>
      </c>
      <c r="AB6795">
        <v>22</v>
      </c>
      <c r="AC6795">
        <v>-2.9624000000000001</v>
      </c>
      <c r="AD6795">
        <v>-1.114676133303</v>
      </c>
      <c r="AE6795">
        <v>33.909370000000003</v>
      </c>
      <c r="AF6795">
        <v>-7.5838011643260899</v>
      </c>
      <c r="AG6795">
        <v>-1.114676133303</v>
      </c>
      <c r="AH6795">
        <v>33.145529613460702</v>
      </c>
      <c r="AI6795">
        <v>91.877632450589999</v>
      </c>
      <c r="AJ6795">
        <v>102.88761769688099</v>
      </c>
      <c r="AK6795">
        <v>34.020327399056498</v>
      </c>
      <c r="AL6795">
        <v>77.267989044738997</v>
      </c>
      <c r="AM6795">
        <v>99.149247706413902</v>
      </c>
      <c r="AN6795">
        <v>1.0000000099250199</v>
      </c>
    </row>
    <row r="6796" spans="1:40" x14ac:dyDescent="0.25">
      <c r="A6796" t="str">
        <f>"20190304155806014"</f>
        <v>20190304155806014</v>
      </c>
      <c r="B6796" t="str">
        <f>"1551686286010977"</f>
        <v>1551686286010977</v>
      </c>
      <c r="C6796" t="s">
        <v>40</v>
      </c>
      <c r="D6796">
        <v>4.7591890000000001</v>
      </c>
      <c r="E6796">
        <v>0.46986480000000003</v>
      </c>
      <c r="F6796" t="s">
        <v>41</v>
      </c>
      <c r="G6796">
        <v>-190.3047</v>
      </c>
      <c r="H6796" s="1">
        <v>-9.4098210000000005E-7</v>
      </c>
      <c r="I6796">
        <v>-8.40640099999999</v>
      </c>
      <c r="J6796">
        <v>-187.441</v>
      </c>
      <c r="K6796">
        <v>1.1144339999999999</v>
      </c>
      <c r="L6796">
        <v>-39.391970000000001</v>
      </c>
      <c r="M6796">
        <v>0.1298213</v>
      </c>
      <c r="N6796">
        <v>-1.0751129999999999E-2</v>
      </c>
      <c r="O6796">
        <v>0.99147909999999995</v>
      </c>
      <c r="P6796">
        <v>-2.3890149999999999E-2</v>
      </c>
      <c r="Q6796">
        <v>0.20888039999999999</v>
      </c>
      <c r="R6796">
        <v>0.97764930000000005</v>
      </c>
      <c r="S6796">
        <v>-0.28132629999999997</v>
      </c>
      <c r="T6796">
        <v>-0.11033030000000001</v>
      </c>
      <c r="U6796">
        <v>3.0886230000000001</v>
      </c>
      <c r="V6796">
        <v>-0.15294759999999999</v>
      </c>
      <c r="W6796">
        <v>0.21763589999999999</v>
      </c>
      <c r="X6796">
        <v>0.96397180000000005</v>
      </c>
      <c r="Y6796">
        <v>-0.2191533</v>
      </c>
      <c r="Z6796">
        <v>-2.392884E-2</v>
      </c>
      <c r="AA6796">
        <v>0.97539699999999996</v>
      </c>
      <c r="AB6796">
        <v>22</v>
      </c>
      <c r="AC6796">
        <v>-2.8637000000000201</v>
      </c>
      <c r="AD6796">
        <v>-1.1144349409820999</v>
      </c>
      <c r="AE6796">
        <v>30.985569000000002</v>
      </c>
      <c r="AF6796">
        <v>-6.8534918830821603</v>
      </c>
      <c r="AG6796">
        <v>-1.1144349409820999</v>
      </c>
      <c r="AH6796">
        <v>30.312650052598698</v>
      </c>
      <c r="AI6796">
        <v>92.053721772897802</v>
      </c>
      <c r="AJ6796">
        <v>102.740001205136</v>
      </c>
      <c r="AK6796">
        <v>31.0977341528361</v>
      </c>
      <c r="AL6796">
        <v>77.4297840327622</v>
      </c>
      <c r="AM6796">
        <v>99.015623679236697</v>
      </c>
      <c r="AN6796">
        <v>0.99999999225490499</v>
      </c>
    </row>
    <row r="6797" spans="1:40" x14ac:dyDescent="0.25">
      <c r="A6797" t="str">
        <f>"20190304155806037"</f>
        <v>20190304155806037</v>
      </c>
      <c r="B6797" t="str">
        <f>"1551686286031473"</f>
        <v>1551686286031473</v>
      </c>
      <c r="C6797" t="s">
        <v>40</v>
      </c>
      <c r="D6797">
        <v>4.7027939999999999</v>
      </c>
      <c r="E6797">
        <v>0.46995959999999998</v>
      </c>
      <c r="F6797" t="s">
        <v>41</v>
      </c>
      <c r="G6797">
        <v>-190.25489999999999</v>
      </c>
      <c r="H6797" s="1">
        <v>-2.105918E-7</v>
      </c>
      <c r="I6797">
        <v>-10.078110000000001</v>
      </c>
      <c r="J6797">
        <v>-187.42070000000001</v>
      </c>
      <c r="K6797">
        <v>1.11422</v>
      </c>
      <c r="L6797">
        <v>-39.171750000000003</v>
      </c>
      <c r="M6797">
        <v>0.122613</v>
      </c>
      <c r="N6797">
        <v>-1.064322E-2</v>
      </c>
      <c r="O6797">
        <v>0.99239750000000004</v>
      </c>
      <c r="P6797">
        <v>-2.944341E-2</v>
      </c>
      <c r="Q6797">
        <v>0.2093081</v>
      </c>
      <c r="R6797">
        <v>0.97740640000000001</v>
      </c>
      <c r="S6797">
        <v>-0.29627989999999998</v>
      </c>
      <c r="T6797">
        <v>-0.1173376</v>
      </c>
      <c r="U6797">
        <v>3.0864259999999999</v>
      </c>
      <c r="V6797">
        <v>-0.1513012</v>
      </c>
      <c r="W6797">
        <v>0.21805150000000001</v>
      </c>
      <c r="X6797">
        <v>0.96413769999999999</v>
      </c>
      <c r="Y6797">
        <v>-0.21680269999999999</v>
      </c>
      <c r="Z6797">
        <v>-2.632176E-2</v>
      </c>
      <c r="AA6797">
        <v>0.97586050000000002</v>
      </c>
      <c r="AB6797">
        <v>22</v>
      </c>
      <c r="AC6797">
        <v>-2.8341999999999801</v>
      </c>
      <c r="AD6797">
        <v>-1.1142202105918</v>
      </c>
      <c r="AE6797">
        <v>29.093640000000001</v>
      </c>
      <c r="AF6797">
        <v>-6.3710161581112201</v>
      </c>
      <c r="AG6797">
        <v>-1.1142202105918</v>
      </c>
      <c r="AH6797">
        <v>28.485174367615901</v>
      </c>
      <c r="AI6797">
        <v>92.186071328820006</v>
      </c>
      <c r="AJ6797">
        <v>102.60732798071299</v>
      </c>
      <c r="AK6797">
        <v>29.2102121238118</v>
      </c>
      <c r="AL6797">
        <v>77.405386144968105</v>
      </c>
      <c r="AM6797">
        <v>98.918633904610701</v>
      </c>
      <c r="AN6797">
        <v>1.0000000071674899</v>
      </c>
    </row>
    <row r="6798" spans="1:40" x14ac:dyDescent="0.25">
      <c r="A6798" t="str">
        <f>"20190304155806059"</f>
        <v>20190304155806059</v>
      </c>
      <c r="B6798" t="str">
        <f>"1551686286050993"</f>
        <v>1551686286050993</v>
      </c>
      <c r="C6798" t="s">
        <v>40</v>
      </c>
      <c r="D6798">
        <v>4.6852510000000001</v>
      </c>
      <c r="E6798">
        <v>0.47005950000000002</v>
      </c>
      <c r="F6798" t="s">
        <v>41</v>
      </c>
      <c r="G6798">
        <v>-190.38380000000001</v>
      </c>
      <c r="H6798" s="1">
        <v>-3.500208E-7</v>
      </c>
      <c r="I6798">
        <v>-9.8330369999999991</v>
      </c>
      <c r="J6798">
        <v>-187.40090000000001</v>
      </c>
      <c r="K6798">
        <v>1.1140030000000001</v>
      </c>
      <c r="L6798">
        <v>-38.9437</v>
      </c>
      <c r="M6798">
        <v>0.1155395</v>
      </c>
      <c r="N6798">
        <v>-1.0539979999999999E-2</v>
      </c>
      <c r="O6798">
        <v>0.99324699999999999</v>
      </c>
      <c r="P6798">
        <v>-3.5978870000000003E-2</v>
      </c>
      <c r="Q6798">
        <v>0.2080332</v>
      </c>
      <c r="R6798">
        <v>0.97745979999999999</v>
      </c>
      <c r="S6798">
        <v>-0.31158449999999999</v>
      </c>
      <c r="T6798">
        <v>-0.1171635</v>
      </c>
      <c r="U6798">
        <v>3.0850520000000001</v>
      </c>
      <c r="V6798">
        <v>-0.1507927</v>
      </c>
      <c r="W6798">
        <v>0.21675620000000001</v>
      </c>
      <c r="X6798">
        <v>0.96450939999999996</v>
      </c>
      <c r="Y6798">
        <v>-0.21468390000000001</v>
      </c>
      <c r="Z6798">
        <v>-2.643583E-2</v>
      </c>
      <c r="AA6798">
        <v>0.97632580000000002</v>
      </c>
      <c r="AB6798">
        <v>22</v>
      </c>
      <c r="AC6798">
        <v>-2.9828999999999999</v>
      </c>
      <c r="AD6798">
        <v>-1.1140033500208</v>
      </c>
      <c r="AE6798">
        <v>29.110662999999999</v>
      </c>
      <c r="AF6798">
        <v>-6.3173838789876298</v>
      </c>
      <c r="AG6798">
        <v>-1.1140033500208</v>
      </c>
      <c r="AH6798">
        <v>28.529676334320101</v>
      </c>
      <c r="AI6798">
        <v>92.183270849092096</v>
      </c>
      <c r="AJ6798">
        <v>102.48565587931699</v>
      </c>
      <c r="AK6798">
        <v>29.241969398099901</v>
      </c>
      <c r="AL6798">
        <v>77.481420332913302</v>
      </c>
      <c r="AM6798">
        <v>98.885768214028502</v>
      </c>
      <c r="AN6798">
        <v>1.00000003565004</v>
      </c>
    </row>
    <row r="6799" spans="1:40" x14ac:dyDescent="0.25">
      <c r="A6799" t="str">
        <f>"20190304155806083"</f>
        <v>20190304155806083</v>
      </c>
      <c r="B6799" t="str">
        <f>"1551686286071489"</f>
        <v>1551686286071489</v>
      </c>
      <c r="C6799" t="s">
        <v>40</v>
      </c>
      <c r="D6799">
        <v>4.5816809999999997</v>
      </c>
      <c r="E6799">
        <v>0.47019050000000001</v>
      </c>
      <c r="F6799" t="s">
        <v>41</v>
      </c>
      <c r="G6799">
        <v>-190.4136</v>
      </c>
      <c r="H6799" s="1">
        <v>-4.2816169999999996E-6</v>
      </c>
      <c r="I6799">
        <v>-10.647040000000001</v>
      </c>
      <c r="J6799">
        <v>-187.38290000000001</v>
      </c>
      <c r="K6799">
        <v>1.113785</v>
      </c>
      <c r="L6799">
        <v>-38.722720000000002</v>
      </c>
      <c r="M6799">
        <v>0.10907790000000001</v>
      </c>
      <c r="N6799">
        <v>-1.0442089999999999E-2</v>
      </c>
      <c r="O6799">
        <v>0.99397840000000004</v>
      </c>
      <c r="P6799">
        <v>-4.1203749999999997E-2</v>
      </c>
      <c r="Q6799">
        <v>0.20532690000000001</v>
      </c>
      <c r="R6799">
        <v>0.97782570000000002</v>
      </c>
      <c r="S6799">
        <v>-0.32823180000000002</v>
      </c>
      <c r="T6799">
        <v>-0.1213721</v>
      </c>
      <c r="U6799">
        <v>3.0829469999999999</v>
      </c>
      <c r="V6799">
        <v>-0.1496055</v>
      </c>
      <c r="W6799">
        <v>0.2140466</v>
      </c>
      <c r="X6799">
        <v>0.96529909999999997</v>
      </c>
      <c r="Y6799">
        <v>-0.21360989999999999</v>
      </c>
      <c r="Z6799">
        <v>-2.7926329999999999E-2</v>
      </c>
      <c r="AA6799">
        <v>0.97651980000000005</v>
      </c>
      <c r="AB6799">
        <v>22</v>
      </c>
      <c r="AC6799">
        <v>-3.0306999999999902</v>
      </c>
      <c r="AD6799">
        <v>-1.1137892816169901</v>
      </c>
      <c r="AE6799">
        <v>28.075679999999998</v>
      </c>
      <c r="AF6799">
        <v>-6.0657812352381404</v>
      </c>
      <c r="AG6799">
        <v>-1.1137892816169901</v>
      </c>
      <c r="AH6799">
        <v>27.534704871308598</v>
      </c>
      <c r="AI6799">
        <v>92.262189607762394</v>
      </c>
      <c r="AJ6799">
        <v>102.423585970706</v>
      </c>
      <c r="AK6799">
        <v>28.216913383778799</v>
      </c>
      <c r="AL6799">
        <v>77.640401217046801</v>
      </c>
      <c r="AM6799">
        <v>98.809813662983899</v>
      </c>
      <c r="AN6799">
        <v>1.0000000525313</v>
      </c>
    </row>
    <row r="6800" spans="1:40" x14ac:dyDescent="0.25">
      <c r="A6800" t="str">
        <f>"20190304155806102"</f>
        <v>20190304155806102</v>
      </c>
      <c r="B6800" t="str">
        <f>"1551686286091012"</f>
        <v>1551686286091012</v>
      </c>
      <c r="C6800" t="s">
        <v>40</v>
      </c>
      <c r="D6800">
        <v>4.5053280000000004</v>
      </c>
      <c r="E6800">
        <v>0.47027869999999999</v>
      </c>
      <c r="F6800" t="s">
        <v>41</v>
      </c>
      <c r="G6800">
        <v>-190.31399999999999</v>
      </c>
      <c r="H6800" s="1">
        <v>-3.5963070000000002E-6</v>
      </c>
      <c r="I6800">
        <v>-12.222569999999999</v>
      </c>
      <c r="J6800">
        <v>-187.36709999999999</v>
      </c>
      <c r="K6800">
        <v>1.113572</v>
      </c>
      <c r="L6800">
        <v>-38.518070000000002</v>
      </c>
      <c r="M6800">
        <v>0.1034373</v>
      </c>
      <c r="N6800">
        <v>-1.035087E-2</v>
      </c>
      <c r="O6800">
        <v>0.99458210000000002</v>
      </c>
      <c r="P6800">
        <v>-4.3879799999999997E-2</v>
      </c>
      <c r="Q6800">
        <v>0.20283950000000001</v>
      </c>
      <c r="R6800">
        <v>0.97822830000000005</v>
      </c>
      <c r="S6800">
        <v>-0.34077449999999998</v>
      </c>
      <c r="T6800">
        <v>-0.12948750000000001</v>
      </c>
      <c r="U6800">
        <v>3.0808719999999998</v>
      </c>
      <c r="V6800">
        <v>-0.146691299999999</v>
      </c>
      <c r="W6800">
        <v>0.21157819999999999</v>
      </c>
      <c r="X6800">
        <v>0.96628999999999998</v>
      </c>
      <c r="Y6800">
        <v>-0.2120553</v>
      </c>
      <c r="Z6800">
        <v>-3.0648180000000001E-2</v>
      </c>
      <c r="AA6800">
        <v>0.97677700000000001</v>
      </c>
      <c r="AB6800">
        <v>23</v>
      </c>
      <c r="AC6800">
        <v>-2.9469000000000198</v>
      </c>
      <c r="AD6800">
        <v>-1.113575596307</v>
      </c>
      <c r="AE6800">
        <v>26.295500000000001</v>
      </c>
      <c r="AF6800">
        <v>-5.6411809487851601</v>
      </c>
      <c r="AG6800">
        <v>-1.113575596307</v>
      </c>
      <c r="AH6800">
        <v>25.803896790553701</v>
      </c>
      <c r="AI6800">
        <v>92.414137849277495</v>
      </c>
      <c r="AJ6800">
        <v>102.33183686352901</v>
      </c>
      <c r="AK6800">
        <v>26.436793729255001</v>
      </c>
      <c r="AL6800">
        <v>77.785145381092903</v>
      </c>
      <c r="AM6800">
        <v>98.632093241135905</v>
      </c>
      <c r="AN6800">
        <v>1.00000001815546</v>
      </c>
    </row>
    <row r="6801" spans="1:40" x14ac:dyDescent="0.25">
      <c r="A6801" t="str">
        <f>"20190304155806126"</f>
        <v>20190304155806126</v>
      </c>
      <c r="B6801" t="str">
        <f>"1551686286121265"</f>
        <v>1551686286121265</v>
      </c>
      <c r="C6801" t="s">
        <v>40</v>
      </c>
      <c r="D6801">
        <v>4.5197570000000002</v>
      </c>
      <c r="E6801">
        <v>0.47044999999999998</v>
      </c>
      <c r="F6801" t="s">
        <v>41</v>
      </c>
      <c r="G6801">
        <v>-190.21039999999999</v>
      </c>
      <c r="H6801" s="1">
        <v>-3.064928E-6</v>
      </c>
      <c r="I6801">
        <v>-13.396940000000001</v>
      </c>
      <c r="J6801">
        <v>-187.35</v>
      </c>
      <c r="K6801">
        <v>1.1133139999999999</v>
      </c>
      <c r="L6801">
        <v>-38.284300000000002</v>
      </c>
      <c r="M6801">
        <v>9.7377599999999995E-2</v>
      </c>
      <c r="N6801">
        <v>-1.0251329999999999E-2</v>
      </c>
      <c r="O6801">
        <v>0.99519469999999999</v>
      </c>
      <c r="P6801">
        <v>-4.7281169999999997E-2</v>
      </c>
      <c r="Q6801">
        <v>0.20368610000000001</v>
      </c>
      <c r="R6801">
        <v>0.97789389999999998</v>
      </c>
      <c r="S6801">
        <v>-0.3485413</v>
      </c>
      <c r="T6801">
        <v>-0.13650599999999999</v>
      </c>
      <c r="U6801">
        <v>3.079437</v>
      </c>
      <c r="V6801">
        <v>-0.1440226</v>
      </c>
      <c r="W6801">
        <v>0.2124384</v>
      </c>
      <c r="X6801">
        <v>0.96650270000000005</v>
      </c>
      <c r="Y6801">
        <v>-0.20857500000000001</v>
      </c>
      <c r="Z6801">
        <v>-3.304323E-2</v>
      </c>
      <c r="AA6801">
        <v>0.97744799999999998</v>
      </c>
      <c r="AB6801">
        <v>23</v>
      </c>
      <c r="AC6801">
        <v>-2.8603999999999901</v>
      </c>
      <c r="AD6801">
        <v>-1.113317064928</v>
      </c>
      <c r="AE6801">
        <v>24.887360000000001</v>
      </c>
      <c r="AF6801">
        <v>-5.2600144521536301</v>
      </c>
      <c r="AG6801">
        <v>-1.113317064928</v>
      </c>
      <c r="AH6801">
        <v>24.442242101426199</v>
      </c>
      <c r="AI6801">
        <v>92.549664802931403</v>
      </c>
      <c r="AJ6801">
        <v>102.14493104908099</v>
      </c>
      <c r="AK6801">
        <v>25.026594372160499</v>
      </c>
      <c r="AL6801">
        <v>77.734713216713303</v>
      </c>
      <c r="AM6801">
        <v>98.475516797263694</v>
      </c>
      <c r="AN6801">
        <v>1.0000000261063</v>
      </c>
    </row>
    <row r="6802" spans="1:40" x14ac:dyDescent="0.25">
      <c r="A6802" t="str">
        <f>"20190304155806150"</f>
        <v>20190304155806150</v>
      </c>
      <c r="B6802" t="str">
        <f>"1551686286141761"</f>
        <v>1551686286141761</v>
      </c>
      <c r="C6802" t="s">
        <v>40</v>
      </c>
      <c r="D6802">
        <v>4.4977140000000002</v>
      </c>
      <c r="E6802">
        <v>0.47057270000000001</v>
      </c>
      <c r="F6802" t="s">
        <v>41</v>
      </c>
      <c r="G6802">
        <v>-190.3349</v>
      </c>
      <c r="H6802" s="1">
        <v>-3.4591940000000001E-6</v>
      </c>
      <c r="I6802">
        <v>-12.555099999999999</v>
      </c>
      <c r="J6802">
        <v>-187.33349999999999</v>
      </c>
      <c r="K6802">
        <v>1.113062</v>
      </c>
      <c r="L6802">
        <v>-38.046019999999999</v>
      </c>
      <c r="M6802">
        <v>9.1616870000000003E-2</v>
      </c>
      <c r="N6802">
        <v>-1.0159960000000001E-2</v>
      </c>
      <c r="O6802">
        <v>0.99574249999999997</v>
      </c>
      <c r="P6802">
        <v>-5.076779E-2</v>
      </c>
      <c r="Q6802">
        <v>0.20476440000000001</v>
      </c>
      <c r="R6802">
        <v>0.97749379999999997</v>
      </c>
      <c r="S6802">
        <v>-0.35711670000000001</v>
      </c>
      <c r="T6802">
        <v>-0.13320019999999999</v>
      </c>
      <c r="U6802">
        <v>3.0783079999999998</v>
      </c>
      <c r="V6802">
        <v>-0.14172470000000001</v>
      </c>
      <c r="W6802">
        <v>0.21353569999999999</v>
      </c>
      <c r="X6802">
        <v>0.96660049999999997</v>
      </c>
      <c r="Y6802">
        <v>-0.20564830000000001</v>
      </c>
      <c r="Z6802">
        <v>-3.2146460000000002E-2</v>
      </c>
      <c r="AA6802">
        <v>0.97809789999999996</v>
      </c>
      <c r="AB6802">
        <v>23</v>
      </c>
      <c r="AC6802">
        <v>-3.0014000000000101</v>
      </c>
      <c r="AD6802">
        <v>-1.1130654591939999</v>
      </c>
      <c r="AE6802">
        <v>25.490919999999999</v>
      </c>
      <c r="AF6802">
        <v>-5.3143006993149404</v>
      </c>
      <c r="AG6802">
        <v>-1.1130654591939999</v>
      </c>
      <c r="AH6802">
        <v>25.061579263587401</v>
      </c>
      <c r="AI6802">
        <v>92.487774269159004</v>
      </c>
      <c r="AJ6802">
        <v>101.972212200732</v>
      </c>
      <c r="AK6802">
        <v>25.643000250053898</v>
      </c>
      <c r="AL6802">
        <v>77.670365237239096</v>
      </c>
      <c r="AM6802">
        <v>98.341374729474495</v>
      </c>
      <c r="AN6802">
        <v>0.999999956182414</v>
      </c>
    </row>
    <row r="6803" spans="1:40" x14ac:dyDescent="0.25">
      <c r="A6803" t="str">
        <f>"20190304155806173"</f>
        <v>20190304155806173</v>
      </c>
      <c r="B6803" t="str">
        <f>"1551686286171040"</f>
        <v>1551686286171040</v>
      </c>
      <c r="C6803" t="s">
        <v>40</v>
      </c>
      <c r="D6803">
        <v>4.5604209999999998</v>
      </c>
      <c r="E6803">
        <v>0.48084329999999997</v>
      </c>
      <c r="F6803" t="s">
        <v>41</v>
      </c>
      <c r="G6803">
        <v>-190.47040000000001</v>
      </c>
      <c r="H6803" s="1">
        <v>-3.8834059999999997E-6</v>
      </c>
      <c r="I6803">
        <v>-11.650309999999999</v>
      </c>
      <c r="J6803">
        <v>-187.31800000000001</v>
      </c>
      <c r="K6803">
        <v>1.112827</v>
      </c>
      <c r="L6803">
        <v>-37.809139999999999</v>
      </c>
      <c r="M6803">
        <v>8.6360430000000002E-2</v>
      </c>
      <c r="N6803">
        <v>-1.007954E-2</v>
      </c>
      <c r="O6803">
        <v>0.99621300000000002</v>
      </c>
      <c r="P6803">
        <v>-5.3993270000000003E-2</v>
      </c>
      <c r="Q6803">
        <v>0.20666789999999999</v>
      </c>
      <c r="R6803">
        <v>0.97692020000000002</v>
      </c>
      <c r="S6803">
        <v>-0.36570740000000002</v>
      </c>
      <c r="T6803">
        <v>-0.12976369999999901</v>
      </c>
      <c r="U6803">
        <v>3.0772710000000001</v>
      </c>
      <c r="V6803">
        <v>-0.13965949999999999</v>
      </c>
      <c r="W6803">
        <v>0.2154577</v>
      </c>
      <c r="X6803">
        <v>0.96647470000000002</v>
      </c>
      <c r="Y6803">
        <v>-0.20322000000000001</v>
      </c>
      <c r="Z6803">
        <v>-3.1185379999999999E-2</v>
      </c>
      <c r="AA6803">
        <v>0.97863630000000001</v>
      </c>
      <c r="AB6803">
        <v>23</v>
      </c>
      <c r="AC6803">
        <v>-3.1524000000000201</v>
      </c>
      <c r="AD6803">
        <v>-1.1128308834059999</v>
      </c>
      <c r="AE6803">
        <v>26.158829999999998</v>
      </c>
      <c r="AF6803">
        <v>-5.3902084508128798</v>
      </c>
      <c r="AG6803">
        <v>-1.1128308834059999</v>
      </c>
      <c r="AH6803">
        <v>25.742911491365099</v>
      </c>
      <c r="AI6803">
        <v>92.422800640921807</v>
      </c>
      <c r="AJ6803">
        <v>101.826088039284</v>
      </c>
      <c r="AK6803">
        <v>26.324707629345799</v>
      </c>
      <c r="AL6803">
        <v>77.557619963818993</v>
      </c>
      <c r="AM6803">
        <v>98.222554083234698</v>
      </c>
      <c r="AN6803">
        <v>1.00000007108481</v>
      </c>
    </row>
    <row r="6804" spans="1:40" x14ac:dyDescent="0.25">
      <c r="A6804" t="str">
        <f>"20190304155806193"</f>
        <v>20190304155806193</v>
      </c>
      <c r="B6804" t="str">
        <f>"1551686286181777"</f>
        <v>1551686286181777</v>
      </c>
      <c r="C6804" t="s">
        <v>40</v>
      </c>
      <c r="D6804">
        <v>4.508985</v>
      </c>
      <c r="E6804">
        <v>0.48052719999999999</v>
      </c>
      <c r="F6804" t="s">
        <v>52</v>
      </c>
      <c r="G6804">
        <v>-229.4581</v>
      </c>
      <c r="H6804">
        <v>8.9509729999999994</v>
      </c>
      <c r="I6804">
        <v>391.87</v>
      </c>
      <c r="J6804">
        <v>-187.3057</v>
      </c>
      <c r="K6804">
        <v>1.1126480000000001</v>
      </c>
      <c r="L6804">
        <v>-37.612400000000001</v>
      </c>
      <c r="M6804">
        <v>8.2282430000000004E-2</v>
      </c>
      <c r="N6804">
        <v>-1.00184E-2</v>
      </c>
      <c r="O6804">
        <v>0.99655870000000002</v>
      </c>
      <c r="P6804">
        <v>-5.4805109999999997E-2</v>
      </c>
      <c r="Q6804">
        <v>0.20658509999999999</v>
      </c>
      <c r="R6804">
        <v>0.97689250000000005</v>
      </c>
      <c r="S6804">
        <v>-0.29840090000000002</v>
      </c>
      <c r="T6804">
        <v>5.5503249999999997E-2</v>
      </c>
      <c r="U6804">
        <v>3.0426329999999999</v>
      </c>
      <c r="V6804">
        <v>-0.13640260000000001</v>
      </c>
      <c r="W6804">
        <v>0.21540419999999999</v>
      </c>
      <c r="X6804">
        <v>0.96695160000000002</v>
      </c>
      <c r="Y6804">
        <v>-0.1791364</v>
      </c>
      <c r="Z6804">
        <v>2.8011629999999999E-2</v>
      </c>
      <c r="AA6804">
        <v>0.98342540000000001</v>
      </c>
      <c r="AB6804">
        <v>23</v>
      </c>
      <c r="AC6804">
        <v>-42.1524</v>
      </c>
      <c r="AD6804">
        <v>7.8383249999999904</v>
      </c>
      <c r="AE6804">
        <v>429.48239999999998</v>
      </c>
      <c r="AF6804">
        <v>-77.324567989192403</v>
      </c>
      <c r="AG6804">
        <v>7.8383249999999904</v>
      </c>
      <c r="AH6804">
        <v>424.417306461897</v>
      </c>
      <c r="AI6804">
        <v>88.959087400077706</v>
      </c>
      <c r="AJ6804">
        <v>100.325464261722</v>
      </c>
      <c r="AK6804">
        <v>431.47488707674802</v>
      </c>
      <c r="AL6804">
        <v>77.560758320494301</v>
      </c>
      <c r="AM6804">
        <v>98.029423791904406</v>
      </c>
      <c r="AN6804">
        <v>1.00000001770348</v>
      </c>
    </row>
    <row r="6805" spans="1:40" x14ac:dyDescent="0.25">
      <c r="A6805" t="str">
        <f>"20190304155806215"</f>
        <v>20190304155806215</v>
      </c>
      <c r="B6805" t="str">
        <f>"1551686286211057"</f>
        <v>1551686286211057</v>
      </c>
      <c r="C6805" t="s">
        <v>40</v>
      </c>
      <c r="D6805">
        <v>4.5629499999999998</v>
      </c>
      <c r="E6805">
        <v>0.48221180000000002</v>
      </c>
      <c r="F6805" t="s">
        <v>52</v>
      </c>
      <c r="G6805">
        <v>-230.05459999999999</v>
      </c>
      <c r="H6805">
        <v>3.4909119999999998</v>
      </c>
      <c r="I6805">
        <v>391.87</v>
      </c>
      <c r="J6805">
        <v>-187.29179999999999</v>
      </c>
      <c r="K6805">
        <v>1.1124719999999999</v>
      </c>
      <c r="L6805">
        <v>-37.378689999999999</v>
      </c>
      <c r="M6805">
        <v>7.7739429999999998E-2</v>
      </c>
      <c r="N6805">
        <v>-9.9532230000000006E-3</v>
      </c>
      <c r="O6805">
        <v>0.99692400000000003</v>
      </c>
      <c r="P6805">
        <v>-5.5660349999999997E-2</v>
      </c>
      <c r="Q6805">
        <v>0.2060883</v>
      </c>
      <c r="R6805">
        <v>0.97694910000000001</v>
      </c>
      <c r="S6805">
        <v>-0.30361939999999998</v>
      </c>
      <c r="T6805">
        <v>1.6891360000000001E-2</v>
      </c>
      <c r="U6805">
        <v>3.050354</v>
      </c>
      <c r="V6805">
        <v>-0.132748</v>
      </c>
      <c r="W6805">
        <v>0.21492919999999999</v>
      </c>
      <c r="X6805">
        <v>0.96756569999999997</v>
      </c>
      <c r="Y6805">
        <v>-0.1760919</v>
      </c>
      <c r="Z6805">
        <v>1.544685E-2</v>
      </c>
      <c r="AA6805">
        <v>0.98425249999999997</v>
      </c>
      <c r="AB6805">
        <v>23</v>
      </c>
      <c r="AC6805">
        <v>-42.762799999999999</v>
      </c>
      <c r="AD6805">
        <v>2.3784399999999999</v>
      </c>
      <c r="AE6805">
        <v>429.24869000000001</v>
      </c>
      <c r="AF6805">
        <v>-76.002266477992194</v>
      </c>
      <c r="AG6805">
        <v>2.3784399999999999</v>
      </c>
      <c r="AH6805">
        <v>424.61210178584997</v>
      </c>
      <c r="AI6805">
        <v>89.684085053541693</v>
      </c>
      <c r="AJ6805">
        <v>100.148034972383</v>
      </c>
      <c r="AK6805">
        <v>431.36694179042303</v>
      </c>
      <c r="AL6805">
        <v>77.5886261916623</v>
      </c>
      <c r="AM6805">
        <v>97.812088977410099</v>
      </c>
      <c r="AN6805">
        <v>0.99999998816656399</v>
      </c>
    </row>
    <row r="6806" spans="1:40" x14ac:dyDescent="0.25">
      <c r="A6806" t="str">
        <f>"20190304155806238"</f>
        <v>20190304155806238</v>
      </c>
      <c r="B6806" t="str">
        <f>"1551686286231553"</f>
        <v>1551686286231553</v>
      </c>
      <c r="C6806" t="s">
        <v>40</v>
      </c>
      <c r="D6806">
        <v>4.6705350000000001</v>
      </c>
      <c r="E6806">
        <v>0.48340280000000002</v>
      </c>
      <c r="F6806" t="s">
        <v>41</v>
      </c>
      <c r="G6806">
        <v>-195.01490000000001</v>
      </c>
      <c r="H6806" s="1">
        <v>-2.893428E-6</v>
      </c>
      <c r="I6806">
        <v>43.223370000000003</v>
      </c>
      <c r="J6806">
        <v>-187.27889999999999</v>
      </c>
      <c r="K6806">
        <v>1.1123449999999999</v>
      </c>
      <c r="L6806">
        <v>-37.149839999999998</v>
      </c>
      <c r="M6806">
        <v>7.3560349999999997E-2</v>
      </c>
      <c r="N6806">
        <v>-9.8971930000000003E-3</v>
      </c>
      <c r="O6806">
        <v>0.99724170000000001</v>
      </c>
      <c r="P6806">
        <v>-5.6811140000000003E-2</v>
      </c>
      <c r="Q6806">
        <v>0.20708119999999999</v>
      </c>
      <c r="R6806">
        <v>0.97667280000000001</v>
      </c>
      <c r="S6806">
        <v>-0.29348750000000001</v>
      </c>
      <c r="T6806">
        <v>-4.2275550000000002E-2</v>
      </c>
      <c r="U6806">
        <v>3.0629879999999998</v>
      </c>
      <c r="V6806">
        <v>-0.12974639999999901</v>
      </c>
      <c r="W6806">
        <v>0.21592890000000001</v>
      </c>
      <c r="X6806">
        <v>0.96775029999999995</v>
      </c>
      <c r="Y6806">
        <v>-0.16833039999999999</v>
      </c>
      <c r="Z6806">
        <v>-3.683127E-3</v>
      </c>
      <c r="AA6806">
        <v>0.98572369999999998</v>
      </c>
      <c r="AB6806">
        <v>23</v>
      </c>
      <c r="AC6806">
        <v>-7.7360000000000104</v>
      </c>
      <c r="AD6806">
        <v>-1.112347893428</v>
      </c>
      <c r="AE6806">
        <v>80.37321</v>
      </c>
      <c r="AF6806">
        <v>-13.6250243334357</v>
      </c>
      <c r="AG6806">
        <v>-1.112347893428</v>
      </c>
      <c r="AH6806">
        <v>79.571247082266098</v>
      </c>
      <c r="AI6806">
        <v>90.789413304360707</v>
      </c>
      <c r="AJ6806">
        <v>99.716553458156497</v>
      </c>
      <c r="AK6806">
        <v>80.736992563197305</v>
      </c>
      <c r="AL6806">
        <v>77.529970866426893</v>
      </c>
      <c r="AM6806">
        <v>97.636116815635106</v>
      </c>
      <c r="AN6806">
        <v>1.0000000306591199</v>
      </c>
    </row>
    <row r="6807" spans="1:40" x14ac:dyDescent="0.25">
      <c r="A6807" t="str">
        <f>"20190304155806260"</f>
        <v>20190304155806260</v>
      </c>
      <c r="B6807" t="str">
        <f>"1551686286251073"</f>
        <v>1551686286251073</v>
      </c>
      <c r="C6807" t="s">
        <v>40</v>
      </c>
      <c r="D6807">
        <v>4.4816269999999996</v>
      </c>
      <c r="E6807">
        <v>0.48439969999999999</v>
      </c>
      <c r="F6807" t="s">
        <v>41</v>
      </c>
      <c r="G6807">
        <v>-193.1885</v>
      </c>
      <c r="H6807" s="1">
        <v>-3.5295729999999999E-6</v>
      </c>
      <c r="I6807">
        <v>25.839020000000001</v>
      </c>
      <c r="J6807">
        <v>-187.2672</v>
      </c>
      <c r="K6807">
        <v>1.1122339999999999</v>
      </c>
      <c r="L6807">
        <v>-36.929839999999999</v>
      </c>
      <c r="M6807">
        <v>6.9776389999999994E-2</v>
      </c>
      <c r="N6807">
        <v>-9.8496520000000004E-3</v>
      </c>
      <c r="O6807">
        <v>0.99751400000000001</v>
      </c>
      <c r="P6807">
        <v>-5.759156E-2</v>
      </c>
      <c r="Q6807">
        <v>0.2075272</v>
      </c>
      <c r="R6807">
        <v>0.97653250000000003</v>
      </c>
      <c r="S6807">
        <v>-0.28768919999999998</v>
      </c>
      <c r="T6807">
        <v>-5.4151060000000001E-2</v>
      </c>
      <c r="U6807">
        <v>3.0664060000000002</v>
      </c>
      <c r="V6807">
        <v>-0.12678030000000001</v>
      </c>
      <c r="W6807">
        <v>0.21638189999999999</v>
      </c>
      <c r="X6807">
        <v>0.96804210000000002</v>
      </c>
      <c r="Y6807">
        <v>-0.16263179999999999</v>
      </c>
      <c r="Z6807">
        <v>-7.5550390000000004E-3</v>
      </c>
      <c r="AA6807">
        <v>0.98665789999999998</v>
      </c>
      <c r="AB6807">
        <v>23</v>
      </c>
      <c r="AC6807">
        <v>-5.9212999999999996</v>
      </c>
      <c r="AD6807">
        <v>-1.112237529573</v>
      </c>
      <c r="AE6807">
        <v>62.768859999999997</v>
      </c>
      <c r="AF6807">
        <v>-10.2836629971418</v>
      </c>
      <c r="AG6807">
        <v>-1.112237529573</v>
      </c>
      <c r="AH6807">
        <v>62.183316609918499</v>
      </c>
      <c r="AI6807">
        <v>91.010978998001804</v>
      </c>
      <c r="AJ6807">
        <v>99.3903873103324</v>
      </c>
      <c r="AK6807">
        <v>63.037732046531801</v>
      </c>
      <c r="AL6807">
        <v>77.503386258013506</v>
      </c>
      <c r="AM6807">
        <v>97.461315729278894</v>
      </c>
      <c r="AN6807">
        <v>0.99999993924405295</v>
      </c>
    </row>
    <row r="6808" spans="1:40" x14ac:dyDescent="0.25">
      <c r="A6808" t="str">
        <f>"20190304155806282"</f>
        <v>20190304155806282</v>
      </c>
      <c r="B6808" t="str">
        <f>"1551686286271569"</f>
        <v>1551686286271569</v>
      </c>
      <c r="C6808" t="s">
        <v>40</v>
      </c>
      <c r="D6808">
        <v>4.9260650000000004</v>
      </c>
      <c r="E6808">
        <v>0.48590329999999898</v>
      </c>
      <c r="F6808" t="s">
        <v>41</v>
      </c>
      <c r="G6808">
        <v>-192.08609999999999</v>
      </c>
      <c r="H6808" s="1">
        <v>-3.1040849999999999E-6</v>
      </c>
      <c r="I6808">
        <v>15.53097</v>
      </c>
      <c r="J6808">
        <v>-187.2559</v>
      </c>
      <c r="K6808">
        <v>1.1121209999999999</v>
      </c>
      <c r="L6808">
        <v>-36.707340000000002</v>
      </c>
      <c r="M6808">
        <v>6.6168699999999997E-2</v>
      </c>
      <c r="N6808">
        <v>-9.8065860000000008E-3</v>
      </c>
      <c r="O6808">
        <v>0.99776019999999999</v>
      </c>
      <c r="P6808">
        <v>-5.6829650000000002E-2</v>
      </c>
      <c r="Q6808">
        <v>0.20600679999999999</v>
      </c>
      <c r="R6808">
        <v>0.97689899999999996</v>
      </c>
      <c r="S6808">
        <v>-0.28193659999999998</v>
      </c>
      <c r="T6808">
        <v>-6.5073249999999999E-2</v>
      </c>
      <c r="U6808">
        <v>3.0693049999999999</v>
      </c>
      <c r="V6808">
        <v>-0.1224695</v>
      </c>
      <c r="W6808">
        <v>0.21488399999999999</v>
      </c>
      <c r="X6808">
        <v>0.96893039999999997</v>
      </c>
      <c r="Y6808">
        <v>-0.1571362</v>
      </c>
      <c r="Z6808">
        <v>-1.111582E-2</v>
      </c>
      <c r="AA6808">
        <v>0.98751440000000001</v>
      </c>
      <c r="AB6808">
        <v>23</v>
      </c>
      <c r="AC6808">
        <v>-4.8301999999999898</v>
      </c>
      <c r="AD6808">
        <v>-1.1121241040849901</v>
      </c>
      <c r="AE6808">
        <v>52.238309999999998</v>
      </c>
      <c r="AF6808">
        <v>-8.2726031494660202</v>
      </c>
      <c r="AG6808">
        <v>-1.1121241040849901</v>
      </c>
      <c r="AH6808">
        <v>51.780922425694897</v>
      </c>
      <c r="AI6808">
        <v>91.214977219688706</v>
      </c>
      <c r="AJ6808">
        <v>99.076958205768094</v>
      </c>
      <c r="AK6808">
        <v>52.449372828922101</v>
      </c>
      <c r="AL6808">
        <v>77.591278270038899</v>
      </c>
      <c r="AM6808">
        <v>97.203790501411504</v>
      </c>
      <c r="AN6808">
        <v>1.0000000159652001</v>
      </c>
    </row>
    <row r="6809" spans="1:40" x14ac:dyDescent="0.25">
      <c r="A6809" t="str">
        <f>"20190304155806305"</f>
        <v>20190304155806305</v>
      </c>
      <c r="B6809" t="str">
        <f>"1551686286301825"</f>
        <v>1551686286301825</v>
      </c>
      <c r="C6809" t="s">
        <v>40</v>
      </c>
      <c r="D6809">
        <v>4.5838830000000002</v>
      </c>
      <c r="E6809">
        <v>0.4854039</v>
      </c>
      <c r="F6809" t="s">
        <v>41</v>
      </c>
      <c r="G6809">
        <v>-191.01910000000001</v>
      </c>
      <c r="H6809" s="1">
        <v>-3.177137E-6</v>
      </c>
      <c r="I6809">
        <v>6.3630149999999999</v>
      </c>
      <c r="J6809">
        <v>-187.24440000000001</v>
      </c>
      <c r="K6809">
        <v>1.111985</v>
      </c>
      <c r="L6809">
        <v>-36.469389999999997</v>
      </c>
      <c r="M6809">
        <v>6.2530299999999997E-2</v>
      </c>
      <c r="N6809">
        <v>-9.7618180000000002E-3</v>
      </c>
      <c r="O6809">
        <v>0.99799530000000003</v>
      </c>
      <c r="P6809">
        <v>-5.5827380000000003E-2</v>
      </c>
      <c r="Q6809">
        <v>0.20499300000000001</v>
      </c>
      <c r="R6809">
        <v>0.97716999999999998</v>
      </c>
      <c r="S6809">
        <v>-0.26841739999999997</v>
      </c>
      <c r="T6809">
        <v>-7.9323770000000002E-2</v>
      </c>
      <c r="U6809">
        <v>3.0720519999999998</v>
      </c>
      <c r="V6809">
        <v>-0.1178756</v>
      </c>
      <c r="W6809">
        <v>0.2138929</v>
      </c>
      <c r="X6809">
        <v>0.96971909999999895</v>
      </c>
      <c r="Y6809">
        <v>-0.14913119999999999</v>
      </c>
      <c r="Z6809">
        <v>-1.5757239999999999E-2</v>
      </c>
      <c r="AA6809">
        <v>0.98869189999999996</v>
      </c>
      <c r="AB6809">
        <v>23</v>
      </c>
      <c r="AC6809">
        <v>-3.77469999999999</v>
      </c>
      <c r="AD6809">
        <v>-1.1119881771369999</v>
      </c>
      <c r="AE6809">
        <v>42.832405000000001</v>
      </c>
      <c r="AF6809">
        <v>-6.4414552409283603</v>
      </c>
      <c r="AG6809">
        <v>-1.1119881771369999</v>
      </c>
      <c r="AH6809">
        <v>42.484119102029901</v>
      </c>
      <c r="AI6809">
        <v>91.482394662029805</v>
      </c>
      <c r="AJ6809">
        <v>98.621537926880194</v>
      </c>
      <c r="AK6809">
        <v>42.984057965744</v>
      </c>
      <c r="AL6809">
        <v>77.6494154728355</v>
      </c>
      <c r="AM6809">
        <v>96.930668584555804</v>
      </c>
      <c r="AN6809">
        <v>0.999999981325289</v>
      </c>
    </row>
    <row r="6810" spans="1:40" x14ac:dyDescent="0.25">
      <c r="A6810" t="str">
        <f>"20190304155806327"</f>
        <v>20190304155806327</v>
      </c>
      <c r="B6810" t="str">
        <f>"1551686286321345"</f>
        <v>1551686286321345</v>
      </c>
      <c r="C6810" t="s">
        <v>40</v>
      </c>
      <c r="D6810">
        <v>4.5631000000000004</v>
      </c>
      <c r="E6810">
        <v>0.48741630000000002</v>
      </c>
      <c r="F6810" t="s">
        <v>41</v>
      </c>
      <c r="G6810">
        <v>-191.17670000000001</v>
      </c>
      <c r="H6810" s="1">
        <v>-4.0237360000000003E-6</v>
      </c>
      <c r="I6810">
        <v>8.2387090000000001</v>
      </c>
      <c r="J6810">
        <v>-187.23439999999999</v>
      </c>
      <c r="K6810">
        <v>1.1118600000000001</v>
      </c>
      <c r="L6810">
        <v>-36.250430000000001</v>
      </c>
      <c r="M6810">
        <v>5.9377770000000003E-2</v>
      </c>
      <c r="N6810">
        <v>-9.7198660000000006E-3</v>
      </c>
      <c r="O6810">
        <v>0.99818830000000003</v>
      </c>
      <c r="P6810">
        <v>-5.5270060000000003E-2</v>
      </c>
      <c r="Q6810">
        <v>0.2050053</v>
      </c>
      <c r="R6810">
        <v>0.97719909999999999</v>
      </c>
      <c r="S6810">
        <v>-0.270080599999999</v>
      </c>
      <c r="T6810">
        <v>-7.6374529999999996E-2</v>
      </c>
      <c r="U6810">
        <v>3.0706790000000002</v>
      </c>
      <c r="V6810">
        <v>-0.11418780000000001</v>
      </c>
      <c r="W6810">
        <v>0.21392040000000001</v>
      </c>
      <c r="X6810">
        <v>0.97015419999999997</v>
      </c>
      <c r="Y6810">
        <v>-0.14657970000000001</v>
      </c>
      <c r="Z6810">
        <v>-1.487346E-2</v>
      </c>
      <c r="AA6810">
        <v>0.98908700000000005</v>
      </c>
      <c r="AB6810">
        <v>23</v>
      </c>
      <c r="AC6810">
        <v>-3.9423000000000101</v>
      </c>
      <c r="AD6810">
        <v>-1.111864023736</v>
      </c>
      <c r="AE6810">
        <v>44.489139000000002</v>
      </c>
      <c r="AF6810">
        <v>-6.5730605550038002</v>
      </c>
      <c r="AG6810">
        <v>-1.111864023736</v>
      </c>
      <c r="AH6810">
        <v>44.149177868518898</v>
      </c>
      <c r="AI6810">
        <v>91.426924989333301</v>
      </c>
      <c r="AJ6810">
        <v>98.468162394215895</v>
      </c>
      <c r="AK6810">
        <v>44.649650313671501</v>
      </c>
      <c r="AL6810">
        <v>77.647802507375999</v>
      </c>
      <c r="AM6810">
        <v>96.712866586914103</v>
      </c>
      <c r="AN6810">
        <v>0.99999998149131897</v>
      </c>
    </row>
    <row r="6811" spans="1:40" x14ac:dyDescent="0.25">
      <c r="A6811" t="str">
        <f>"20190304155806350"</f>
        <v>20190304155806350</v>
      </c>
      <c r="B6811" t="str">
        <f>"1551686286340865"</f>
        <v>1551686286340865</v>
      </c>
      <c r="C6811" t="s">
        <v>40</v>
      </c>
      <c r="D6811">
        <v>4.5146129999999998</v>
      </c>
      <c r="E6811">
        <v>0.53810449999999999</v>
      </c>
      <c r="F6811" t="s">
        <v>41</v>
      </c>
      <c r="G6811">
        <v>-190.7801</v>
      </c>
      <c r="H6811" s="1">
        <v>-3.408942E-6</v>
      </c>
      <c r="I6811">
        <v>7.0515860000000004</v>
      </c>
      <c r="J6811">
        <v>-187.22389999999999</v>
      </c>
      <c r="K6811">
        <v>1.111712</v>
      </c>
      <c r="L6811">
        <v>-36.009549999999997</v>
      </c>
      <c r="M6811">
        <v>5.6133259999999997E-2</v>
      </c>
      <c r="N6811">
        <v>-9.6763109999999999E-3</v>
      </c>
      <c r="O6811">
        <v>0.99837640000000005</v>
      </c>
      <c r="P6811">
        <v>-5.4581909999999997E-2</v>
      </c>
      <c r="Q6811">
        <v>0.2044144</v>
      </c>
      <c r="R6811">
        <v>0.97736160000000005</v>
      </c>
      <c r="S6811">
        <v>-0.25157170000000001</v>
      </c>
      <c r="T6811">
        <v>-7.8887940000000004E-2</v>
      </c>
      <c r="U6811">
        <v>3.072327</v>
      </c>
      <c r="V6811">
        <v>-0.11027389999999999</v>
      </c>
      <c r="W6811">
        <v>0.21334829999999999</v>
      </c>
      <c r="X6811">
        <v>0.97073279999999995</v>
      </c>
      <c r="Y6811">
        <v>-0.1373963</v>
      </c>
      <c r="Z6811">
        <v>-1.5746899999999901E-2</v>
      </c>
      <c r="AA6811">
        <v>0.99039100000000002</v>
      </c>
      <c r="AB6811">
        <v>23</v>
      </c>
      <c r="AC6811">
        <v>-3.5562000000000098</v>
      </c>
      <c r="AD6811">
        <v>-1.111715408942</v>
      </c>
      <c r="AE6811">
        <v>43.061135999999998</v>
      </c>
      <c r="AF6811">
        <v>-5.9639192899331404</v>
      </c>
      <c r="AG6811">
        <v>-1.111715408942</v>
      </c>
      <c r="AH6811">
        <v>42.765293040540698</v>
      </c>
      <c r="AI6811">
        <v>91.474844650064696</v>
      </c>
      <c r="AJ6811">
        <v>97.939094340463001</v>
      </c>
      <c r="AK6811">
        <v>43.193454750582703</v>
      </c>
      <c r="AL6811">
        <v>77.681356277547295</v>
      </c>
      <c r="AM6811">
        <v>96.480938325342805</v>
      </c>
      <c r="AN6811">
        <v>0.99999999956496999</v>
      </c>
    </row>
    <row r="6812" spans="1:40" x14ac:dyDescent="0.25">
      <c r="A6812" t="str">
        <f>"20190304155806376"</f>
        <v>20190304155806376</v>
      </c>
      <c r="B6812" t="str">
        <f>"1551686286371121"</f>
        <v>1551686286371121</v>
      </c>
      <c r="C6812" t="s">
        <v>40</v>
      </c>
      <c r="D6812">
        <v>4.5143399999999998</v>
      </c>
      <c r="E6812">
        <v>0.54108350000000005</v>
      </c>
      <c r="F6812" t="s">
        <v>49</v>
      </c>
      <c r="G6812">
        <v>-168.60560000000001</v>
      </c>
      <c r="H6812">
        <v>5.0255929999999998</v>
      </c>
      <c r="I6812">
        <v>339.94389999999999</v>
      </c>
      <c r="J6812">
        <v>-187.21350000000001</v>
      </c>
      <c r="K6812">
        <v>1.11155</v>
      </c>
      <c r="L6812">
        <v>-35.75909</v>
      </c>
      <c r="M6812">
        <v>5.3055320000000003E-2</v>
      </c>
      <c r="N6812">
        <v>-9.6370989999999997E-3</v>
      </c>
      <c r="O6812">
        <v>0.99854509999999996</v>
      </c>
      <c r="P6812">
        <v>-5.303368E-2</v>
      </c>
      <c r="Q6812">
        <v>0.20139029999999999</v>
      </c>
      <c r="R6812">
        <v>0.97807429999999995</v>
      </c>
      <c r="S6812">
        <v>0.1520996</v>
      </c>
      <c r="T6812">
        <v>3.1973840000000003E-2</v>
      </c>
      <c r="U6812">
        <v>3.0712890000000002</v>
      </c>
      <c r="V6812">
        <v>-0.1056769</v>
      </c>
      <c r="W6812">
        <v>0.21035509999999999</v>
      </c>
      <c r="X6812">
        <v>0.9718966</v>
      </c>
      <c r="Y6812">
        <v>-3.6100059999999998E-3</v>
      </c>
      <c r="Z6812">
        <v>2.0005060000000002E-2</v>
      </c>
      <c r="AA6812">
        <v>0.99979340000000005</v>
      </c>
      <c r="AB6812">
        <v>23</v>
      </c>
      <c r="AC6812">
        <v>18.607900000000001</v>
      </c>
      <c r="AD6812">
        <v>3.9140429999999999</v>
      </c>
      <c r="AE6812">
        <v>375.70299</v>
      </c>
      <c r="AF6812">
        <v>-1.35213135947963</v>
      </c>
      <c r="AG6812">
        <v>3.9140429999999999</v>
      </c>
      <c r="AH6812">
        <v>376.120363564765</v>
      </c>
      <c r="AI6812">
        <v>89.403785003690601</v>
      </c>
      <c r="AJ6812">
        <v>90.205974188094501</v>
      </c>
      <c r="AK6812">
        <v>376.14315875728801</v>
      </c>
      <c r="AL6812">
        <v>77.856836420871105</v>
      </c>
      <c r="AM6812">
        <v>96.205543376908295</v>
      </c>
      <c r="AN6812">
        <v>0.99999993819058797</v>
      </c>
    </row>
    <row r="6813" spans="1:40" x14ac:dyDescent="0.25">
      <c r="A6813" t="str">
        <f>"20190304155806394"</f>
        <v>20190304155806394</v>
      </c>
      <c r="B6813" t="str">
        <f>"1551686286391617"</f>
        <v>1551686286391617</v>
      </c>
      <c r="C6813" t="s">
        <v>40</v>
      </c>
      <c r="D6813">
        <v>4.4892409999999998</v>
      </c>
      <c r="E6813">
        <v>0.53714039999999996</v>
      </c>
      <c r="F6813" t="s">
        <v>72</v>
      </c>
      <c r="G6813">
        <v>-175.08090000000001</v>
      </c>
      <c r="H6813">
        <v>5.2930020000000004</v>
      </c>
      <c r="I6813">
        <v>172.53989999999999</v>
      </c>
      <c r="J6813">
        <v>-187.2054</v>
      </c>
      <c r="K6813">
        <v>1.111423</v>
      </c>
      <c r="L6813">
        <v>-35.55359</v>
      </c>
      <c r="M6813">
        <v>5.0692920000000002E-2</v>
      </c>
      <c r="N6813">
        <v>-9.6074639999999996E-3</v>
      </c>
      <c r="O6813">
        <v>0.99866809999999995</v>
      </c>
      <c r="P6813">
        <v>-5.0549139999999999E-2</v>
      </c>
      <c r="Q6813">
        <v>0.19654279999999999</v>
      </c>
      <c r="R6813">
        <v>0.97919140000000005</v>
      </c>
      <c r="S6813">
        <v>0.1784821</v>
      </c>
      <c r="T6813">
        <v>6.1513190000000002E-2</v>
      </c>
      <c r="U6813">
        <v>3.06427</v>
      </c>
      <c r="V6813">
        <v>-0.1008757</v>
      </c>
      <c r="W6813">
        <v>0.205538</v>
      </c>
      <c r="X6813">
        <v>0.97343630000000003</v>
      </c>
      <c r="Y6813">
        <v>7.4382449999999996E-3</v>
      </c>
      <c r="Z6813">
        <v>2.960482E-2</v>
      </c>
      <c r="AA6813">
        <v>0.99953400000000003</v>
      </c>
      <c r="AB6813">
        <v>23</v>
      </c>
      <c r="AC6813">
        <v>12.1244999999999</v>
      </c>
      <c r="AD6813">
        <v>4.1815789999999904</v>
      </c>
      <c r="AE6813">
        <v>208.09349</v>
      </c>
      <c r="AF6813">
        <v>1.5589293146082801</v>
      </c>
      <c r="AG6813">
        <v>4.1815789999999904</v>
      </c>
      <c r="AH6813">
        <v>208.35672226520001</v>
      </c>
      <c r="AI6813">
        <v>88.850298835180993</v>
      </c>
      <c r="AJ6813">
        <v>89.571319789254602</v>
      </c>
      <c r="AK6813">
        <v>208.40450949209</v>
      </c>
      <c r="AL6813">
        <v>78.139005175628895</v>
      </c>
      <c r="AM6813">
        <v>95.916355132834894</v>
      </c>
      <c r="AN6813">
        <v>1.0000000032260901</v>
      </c>
    </row>
    <row r="6814" spans="1:40" x14ac:dyDescent="0.25">
      <c r="A6814" t="str">
        <f>"20190304155806438"</f>
        <v>20190304155806438</v>
      </c>
      <c r="B6814" t="str">
        <f>"1551686286431633"</f>
        <v>1551686286431633</v>
      </c>
      <c r="C6814" t="s">
        <v>40</v>
      </c>
      <c r="D6814">
        <v>4.8313309999999996</v>
      </c>
      <c r="E6814">
        <v>0.53737780000000002</v>
      </c>
      <c r="F6814" t="s">
        <v>49</v>
      </c>
      <c r="G6814">
        <v>-168.40119999999999</v>
      </c>
      <c r="H6814">
        <v>3.5050940000000002</v>
      </c>
      <c r="I6814">
        <v>338.16820000000001</v>
      </c>
      <c r="J6814">
        <v>-187.1883</v>
      </c>
      <c r="K6814">
        <v>1.1111879999999901</v>
      </c>
      <c r="L6814">
        <v>-35.098140000000001</v>
      </c>
      <c r="M6814">
        <v>4.6052450000000002E-2</v>
      </c>
      <c r="N6814">
        <v>-9.5264349999999998E-3</v>
      </c>
      <c r="O6814">
        <v>0.99889360000000005</v>
      </c>
      <c r="P6814">
        <v>-4.6607339999999997E-2</v>
      </c>
      <c r="Q6814">
        <v>0.1956803</v>
      </c>
      <c r="R6814">
        <v>0.97955959999999997</v>
      </c>
      <c r="S6814">
        <v>0.15435789999999999</v>
      </c>
      <c r="T6814">
        <v>1.9649030000000001E-2</v>
      </c>
      <c r="U6814">
        <v>3.06778</v>
      </c>
      <c r="V6814">
        <v>-9.2314149999999998E-2</v>
      </c>
      <c r="W6814">
        <v>0.204684</v>
      </c>
      <c r="X6814">
        <v>0.97446529999999998</v>
      </c>
      <c r="Y6814">
        <v>4.1961759999999898E-3</v>
      </c>
      <c r="Z6814">
        <v>1.5905499999999999E-2</v>
      </c>
      <c r="AA6814">
        <v>0.99986470000000005</v>
      </c>
      <c r="AB6814">
        <v>23</v>
      </c>
      <c r="AC6814">
        <v>18.787099999999999</v>
      </c>
      <c r="AD6814">
        <v>2.3939059999999999</v>
      </c>
      <c r="AE6814">
        <v>373.26634000000001</v>
      </c>
      <c r="AF6814">
        <v>1.5764913491907899</v>
      </c>
      <c r="AG6814">
        <v>2.3939059999999999</v>
      </c>
      <c r="AH6814">
        <v>373.72017541455102</v>
      </c>
      <c r="AI6814">
        <v>89.632993819613006</v>
      </c>
      <c r="AJ6814">
        <v>89.758306425717294</v>
      </c>
      <c r="AK6814">
        <v>373.73116758278798</v>
      </c>
      <c r="AL6814">
        <v>78.188999038398407</v>
      </c>
      <c r="AM6814">
        <v>95.411658475918799</v>
      </c>
      <c r="AN6814">
        <v>1.00000003152515</v>
      </c>
    </row>
    <row r="6815" spans="1:40" x14ac:dyDescent="0.25">
      <c r="A6815" t="str">
        <f>"20190304155806661"</f>
        <v>20190304155806661</v>
      </c>
      <c r="B6815" t="str">
        <f>"1551686286651234"</f>
        <v>1551686286651234</v>
      </c>
      <c r="C6815" t="s">
        <v>40</v>
      </c>
      <c r="D6815">
        <v>4.5147810000000002</v>
      </c>
      <c r="E6815">
        <v>0.52801949999999997</v>
      </c>
      <c r="F6815" t="s">
        <v>49</v>
      </c>
      <c r="G6815">
        <v>-167.9299</v>
      </c>
      <c r="H6815">
        <v>2.3283830000000001</v>
      </c>
      <c r="I6815">
        <v>314.49709999999999</v>
      </c>
      <c r="J6815">
        <v>-187.11099999999999</v>
      </c>
      <c r="K6815">
        <v>1.1101730000000001</v>
      </c>
      <c r="L6815">
        <v>-32.744050000000001</v>
      </c>
      <c r="M6815">
        <v>3.3599400000000001E-2</v>
      </c>
      <c r="N6815">
        <v>-8.9713199999999996E-3</v>
      </c>
      <c r="O6815">
        <v>0.99939509999999998</v>
      </c>
      <c r="P6815">
        <v>-3.282765E-2</v>
      </c>
      <c r="Q6815">
        <v>0.19266820000000001</v>
      </c>
      <c r="R6815">
        <v>0.98071470000000005</v>
      </c>
      <c r="S6815">
        <v>0.16903689999999999</v>
      </c>
      <c r="T6815">
        <v>1.068377E-2</v>
      </c>
      <c r="U6815">
        <v>3.0685120000000001</v>
      </c>
      <c r="V6815">
        <v>-6.5961580000000006E-2</v>
      </c>
      <c r="W6815">
        <v>0.20137869999999999</v>
      </c>
      <c r="X6815">
        <v>0.97728999999999999</v>
      </c>
      <c r="Y6815">
        <v>2.1418449999999999E-2</v>
      </c>
      <c r="Z6815">
        <v>1.2438569999999999E-2</v>
      </c>
      <c r="AA6815">
        <v>0.99969319999999895</v>
      </c>
      <c r="AB6815">
        <v>24</v>
      </c>
      <c r="AC6815">
        <v>19.181099999999901</v>
      </c>
      <c r="AD6815">
        <v>1.21821</v>
      </c>
      <c r="AE6815">
        <v>347.24115</v>
      </c>
      <c r="AF6815">
        <v>7.5026130412574101</v>
      </c>
      <c r="AG6815">
        <v>1.21821</v>
      </c>
      <c r="AH6815">
        <v>347.68530833428298</v>
      </c>
      <c r="AI6815">
        <v>89.799296203722307</v>
      </c>
      <c r="AJ6815">
        <v>88.763820761668399</v>
      </c>
      <c r="AK6815">
        <v>347.76838106641702</v>
      </c>
      <c r="AL6815">
        <v>78.382407083803898</v>
      </c>
      <c r="AM6815">
        <v>93.861286714239796</v>
      </c>
      <c r="AN6815">
        <v>1.0000000274748899</v>
      </c>
    </row>
    <row r="6816" spans="1:40" x14ac:dyDescent="0.25">
      <c r="A6816" t="str">
        <f>"20190304155806685"</f>
        <v>20190304155806685</v>
      </c>
      <c r="B6816" t="str">
        <f>"1551686286681489"</f>
        <v>1551686286681489</v>
      </c>
      <c r="C6816" t="s">
        <v>40</v>
      </c>
      <c r="D6816">
        <v>4.4386010000000002</v>
      </c>
      <c r="E6816">
        <v>0.52383069999999998</v>
      </c>
      <c r="F6816" t="s">
        <v>42</v>
      </c>
      <c r="G6816">
        <v>-187.07310000000001</v>
      </c>
      <c r="H6816">
        <v>1.0329109999999999</v>
      </c>
      <c r="I6816">
        <v>-31.93272</v>
      </c>
      <c r="J6816">
        <v>-187.10380000000001</v>
      </c>
      <c r="K6816">
        <v>1.11016</v>
      </c>
      <c r="L6816">
        <v>-32.503480000000003</v>
      </c>
      <c r="M6816">
        <v>3.2847620000000001E-2</v>
      </c>
      <c r="N6816">
        <v>-8.9190650000000003E-3</v>
      </c>
      <c r="O6816">
        <v>0.99942059999999999</v>
      </c>
      <c r="P6816">
        <v>-3.0580800000000002E-2</v>
      </c>
      <c r="Q6816">
        <v>0.19215450000000001</v>
      </c>
      <c r="R6816">
        <v>0.98088810000000004</v>
      </c>
      <c r="S6816">
        <v>0.14512630000000001</v>
      </c>
      <c r="T6816">
        <v>-0.2973459</v>
      </c>
      <c r="U6816">
        <v>3.1222530000000002</v>
      </c>
      <c r="V6816">
        <v>-6.2986230000000004E-2</v>
      </c>
      <c r="W6816">
        <v>0.20081869999999999</v>
      </c>
      <c r="X6816">
        <v>0.97760150000000001</v>
      </c>
      <c r="Y6816">
        <v>1.3415E-2</v>
      </c>
      <c r="Z6816">
        <v>-8.5798109999999997E-2</v>
      </c>
      <c r="AA6816">
        <v>0.99622219999999995</v>
      </c>
      <c r="AB6816">
        <v>24</v>
      </c>
      <c r="AC6816">
        <v>3.0699999999995901E-2</v>
      </c>
      <c r="AD6816">
        <v>-7.7248999999999901E-2</v>
      </c>
      <c r="AE6816">
        <v>0.57075999999999605</v>
      </c>
      <c r="AF6816">
        <v>1.1720502118326899E-2</v>
      </c>
      <c r="AG6816">
        <v>-7.7248999999999901E-2</v>
      </c>
      <c r="AH6816">
        <v>0.56120983902100896</v>
      </c>
      <c r="AI6816">
        <v>97.835670130714703</v>
      </c>
      <c r="AJ6816">
        <v>88.803588867087797</v>
      </c>
      <c r="AK6816">
        <v>0.566622680083398</v>
      </c>
      <c r="AL6816">
        <v>78.415162180875299</v>
      </c>
      <c r="AM6816">
        <v>93.686434542642402</v>
      </c>
      <c r="AN6816">
        <v>1.0000000541207701</v>
      </c>
    </row>
    <row r="6817" spans="1:40" x14ac:dyDescent="0.25">
      <c r="A6817" t="str">
        <f>"20190304155806706"</f>
        <v>20190304155806706</v>
      </c>
      <c r="B6817" t="str">
        <f>"1551686286701010"</f>
        <v>1551686286701010</v>
      </c>
      <c r="C6817" t="s">
        <v>40</v>
      </c>
      <c r="D6817">
        <v>4.6556920000000002</v>
      </c>
      <c r="E6817">
        <v>0.52339990000000003</v>
      </c>
      <c r="F6817" t="s">
        <v>41</v>
      </c>
      <c r="G6817">
        <v>-186.34690000000001</v>
      </c>
      <c r="H6817" s="1">
        <v>-4.1327399999999997E-6</v>
      </c>
      <c r="I6817">
        <v>-12.244210000000001</v>
      </c>
      <c r="J6817">
        <v>-187.0968</v>
      </c>
      <c r="K6817">
        <v>1.1101570000000001</v>
      </c>
      <c r="L6817">
        <v>-32.266300000000001</v>
      </c>
      <c r="M6817">
        <v>3.2093570000000002E-2</v>
      </c>
      <c r="N6817">
        <v>-8.8706759999999992E-3</v>
      </c>
      <c r="O6817">
        <v>0.99944549999999999</v>
      </c>
      <c r="P6817">
        <v>-2.7310859999999999E-2</v>
      </c>
      <c r="Q6817">
        <v>0.1907567</v>
      </c>
      <c r="R6817">
        <v>0.98125739999999995</v>
      </c>
      <c r="S6817">
        <v>0.1156464</v>
      </c>
      <c r="T6817">
        <v>-0.1696144</v>
      </c>
      <c r="U6817">
        <v>3.0952760000000001</v>
      </c>
      <c r="V6817">
        <v>-5.8995369999999998E-2</v>
      </c>
      <c r="W6817">
        <v>0.19938069999999999</v>
      </c>
      <c r="X6817">
        <v>0.97814460000000003</v>
      </c>
      <c r="Y6817">
        <v>5.2037940000000003E-3</v>
      </c>
      <c r="Z6817">
        <v>-4.5799899999999998E-2</v>
      </c>
      <c r="AA6817">
        <v>0.99893710000000002</v>
      </c>
      <c r="AB6817">
        <v>24</v>
      </c>
      <c r="AC6817">
        <v>0.74989999999999601</v>
      </c>
      <c r="AD6817">
        <v>-1.1101611327399901</v>
      </c>
      <c r="AE6817">
        <v>20.022089999999999</v>
      </c>
      <c r="AF6817">
        <v>0.106580832435623</v>
      </c>
      <c r="AG6817">
        <v>-1.1101611327399901</v>
      </c>
      <c r="AH6817">
        <v>19.9745204655867</v>
      </c>
      <c r="AI6817">
        <v>93.181116225022606</v>
      </c>
      <c r="AJ6817">
        <v>89.694281826053299</v>
      </c>
      <c r="AK6817">
        <v>20.005631333318</v>
      </c>
      <c r="AL6817">
        <v>78.499253459322304</v>
      </c>
      <c r="AM6817">
        <v>93.451530486587004</v>
      </c>
      <c r="AN6817">
        <v>0.99999998786154298</v>
      </c>
    </row>
    <row r="6818" spans="1:40" x14ac:dyDescent="0.25">
      <c r="A6818" t="str">
        <f>"20190304155806731"</f>
        <v>20190304155806731</v>
      </c>
      <c r="B6818" t="str">
        <f>"1551686286722481"</f>
        <v>1551686286722481</v>
      </c>
      <c r="C6818" t="s">
        <v>40</v>
      </c>
      <c r="D6818">
        <v>4.5997899999999996</v>
      </c>
      <c r="E6818">
        <v>0.52232889999999998</v>
      </c>
      <c r="F6818" t="s">
        <v>41</v>
      </c>
      <c r="G6818">
        <v>-186.20779999999999</v>
      </c>
      <c r="H6818" s="1">
        <v>-1.234859E-6</v>
      </c>
      <c r="I6818">
        <v>-9.6882269999999995</v>
      </c>
      <c r="J6818">
        <v>-187.08949999999999</v>
      </c>
      <c r="K6818">
        <v>1.1101589999999999</v>
      </c>
      <c r="L6818">
        <v>-32.008119999999998</v>
      </c>
      <c r="M6818">
        <v>3.123985E-2</v>
      </c>
      <c r="N6818">
        <v>-8.8241229999999997E-3</v>
      </c>
      <c r="O6818">
        <v>0.99947299999999994</v>
      </c>
      <c r="P6818">
        <v>-2.3976870000000001E-2</v>
      </c>
      <c r="Q6818">
        <v>0.18966640000000001</v>
      </c>
      <c r="R6818">
        <v>0.98155579999999998</v>
      </c>
      <c r="S6818">
        <v>0.12167360000000001</v>
      </c>
      <c r="T6818">
        <v>-0.15194489999999999</v>
      </c>
      <c r="U6818">
        <v>3.0902099999999999</v>
      </c>
      <c r="V6818">
        <v>-5.4846789999999999E-2</v>
      </c>
      <c r="W6818">
        <v>0.1982498</v>
      </c>
      <c r="X6818">
        <v>0.97861580000000004</v>
      </c>
      <c r="Y6818">
        <v>8.0733569999999998E-3</v>
      </c>
      <c r="Z6818">
        <v>-4.0244769999999999E-2</v>
      </c>
      <c r="AA6818">
        <v>0.99915719999999997</v>
      </c>
      <c r="AB6818">
        <v>24</v>
      </c>
      <c r="AC6818">
        <v>0.88169999999999404</v>
      </c>
      <c r="AD6818">
        <v>-1.1101602348590001</v>
      </c>
      <c r="AE6818">
        <v>22.319893</v>
      </c>
      <c r="AF6818">
        <v>0.18351908518649601</v>
      </c>
      <c r="AG6818">
        <v>-1.1101602348590001</v>
      </c>
      <c r="AH6818">
        <v>22.281506467411401</v>
      </c>
      <c r="AI6818">
        <v>92.852266205087801</v>
      </c>
      <c r="AJ6818">
        <v>89.528100521527406</v>
      </c>
      <c r="AK6818">
        <v>22.309900615175</v>
      </c>
      <c r="AL6818">
        <v>78.565369487636403</v>
      </c>
      <c r="AM6818">
        <v>93.207801786178393</v>
      </c>
      <c r="AN6818">
        <v>1.0000000187914899</v>
      </c>
    </row>
    <row r="6819" spans="1:40" x14ac:dyDescent="0.25">
      <c r="A6819" t="str">
        <f>"20190304155806753"</f>
        <v>20190304155806753</v>
      </c>
      <c r="B6819" t="str">
        <f>"1551686286741026"</f>
        <v>1551686286741026</v>
      </c>
      <c r="C6819" t="s">
        <v>40</v>
      </c>
      <c r="D6819">
        <v>4.6362839999999998</v>
      </c>
      <c r="E6819">
        <v>0.52225180000000004</v>
      </c>
      <c r="F6819" t="s">
        <v>41</v>
      </c>
      <c r="G6819">
        <v>-186.09950000000001</v>
      </c>
      <c r="H6819" s="1">
        <v>-2.1753280000000001E-6</v>
      </c>
      <c r="I6819">
        <v>-7.0093479999999904</v>
      </c>
      <c r="J6819">
        <v>-187.08269999999999</v>
      </c>
      <c r="K6819">
        <v>1.1101719999999999</v>
      </c>
      <c r="L6819">
        <v>-31.761659999999999</v>
      </c>
      <c r="M6819">
        <v>3.0366810000000001E-2</v>
      </c>
      <c r="N6819">
        <v>-8.7864380000000006E-3</v>
      </c>
      <c r="O6819">
        <v>0.99950019999999995</v>
      </c>
      <c r="P6819">
        <v>-2.1620150000000001E-2</v>
      </c>
      <c r="Q6819">
        <v>0.18745999999999999</v>
      </c>
      <c r="R6819">
        <v>0.98203430000000003</v>
      </c>
      <c r="S6819">
        <v>0.1222076</v>
      </c>
      <c r="T6819">
        <v>-0.1370382</v>
      </c>
      <c r="U6819">
        <v>3.0858460000000001</v>
      </c>
      <c r="V6819">
        <v>-5.1666289999999997E-2</v>
      </c>
      <c r="W6819">
        <v>0.19601009999999999</v>
      </c>
      <c r="X6819">
        <v>0.97923979999999999</v>
      </c>
      <c r="Y6819">
        <v>9.1820070000000007E-3</v>
      </c>
      <c r="Z6819">
        <v>-3.5541749999999997E-2</v>
      </c>
      <c r="AA6819">
        <v>0.99932600000000005</v>
      </c>
      <c r="AB6819">
        <v>24</v>
      </c>
      <c r="AC6819">
        <v>0.98319999999998198</v>
      </c>
      <c r="AD6819">
        <v>-1.1101741753279999</v>
      </c>
      <c r="AE6819">
        <v>24.752312</v>
      </c>
      <c r="AF6819">
        <v>0.23060559618985299</v>
      </c>
      <c r="AG6819">
        <v>-1.1101741753279999</v>
      </c>
      <c r="AH6819">
        <v>24.721102031600001</v>
      </c>
      <c r="AI6819">
        <v>92.571197047307393</v>
      </c>
      <c r="AJ6819">
        <v>89.465543884208799</v>
      </c>
      <c r="AK6819">
        <v>24.747091774536599</v>
      </c>
      <c r="AL6819">
        <v>78.696262858702795</v>
      </c>
      <c r="AM6819">
        <v>93.020218362122804</v>
      </c>
      <c r="AN6819">
        <v>0.99999997536420604</v>
      </c>
    </row>
    <row r="6820" spans="1:40" x14ac:dyDescent="0.25">
      <c r="A6820" t="str">
        <f>"20190304155806777"</f>
        <v>20190304155806777</v>
      </c>
      <c r="B6820" t="str">
        <f>"1551686286771281"</f>
        <v>1551686286771281</v>
      </c>
      <c r="C6820" t="s">
        <v>40</v>
      </c>
      <c r="D6820">
        <v>4.6036830000000002</v>
      </c>
      <c r="E6820">
        <v>0.52136709999999997</v>
      </c>
      <c r="F6820" t="s">
        <v>41</v>
      </c>
      <c r="G6820">
        <v>-186.06100000000001</v>
      </c>
      <c r="H6820" s="1">
        <v>-2.0888100000000001E-6</v>
      </c>
      <c r="I6820">
        <v>-7.2936399999999901</v>
      </c>
      <c r="J6820">
        <v>-187.0762</v>
      </c>
      <c r="K6820">
        <v>1.110217</v>
      </c>
      <c r="L6820">
        <v>-31.513280000000002</v>
      </c>
      <c r="M6820">
        <v>2.9434020000000002E-2</v>
      </c>
      <c r="N6820">
        <v>-8.7533219999999991E-3</v>
      </c>
      <c r="O6820">
        <v>0.99952839999999998</v>
      </c>
      <c r="P6820">
        <v>-1.995734E-2</v>
      </c>
      <c r="Q6820">
        <v>0.18582670000000001</v>
      </c>
      <c r="R6820">
        <v>0.98237989999999997</v>
      </c>
      <c r="S6820">
        <v>0.12879939999999901</v>
      </c>
      <c r="T6820">
        <v>-0.13994870000000001</v>
      </c>
      <c r="U6820">
        <v>3.0844420000000001</v>
      </c>
      <c r="V6820">
        <v>-4.9119669999999997E-2</v>
      </c>
      <c r="W6820">
        <v>0.19434609999999999</v>
      </c>
      <c r="X6820">
        <v>0.97970239999999997</v>
      </c>
      <c r="Y6820">
        <v>1.2263049999999999E-2</v>
      </c>
      <c r="Z6820">
        <v>-3.6534299999999999E-2</v>
      </c>
      <c r="AA6820">
        <v>0.99925710000000001</v>
      </c>
      <c r="AB6820">
        <v>24</v>
      </c>
      <c r="AC6820">
        <v>1.0152000000000201</v>
      </c>
      <c r="AD6820">
        <v>-1.1102190888099901</v>
      </c>
      <c r="AE6820">
        <v>24.219639999999998</v>
      </c>
      <c r="AF6820">
        <v>0.30121959328607101</v>
      </c>
      <c r="AG6820">
        <v>-1.1102190888099901</v>
      </c>
      <c r="AH6820">
        <v>24.188290998029402</v>
      </c>
      <c r="AI6820">
        <v>92.6277727907176</v>
      </c>
      <c r="AJ6820">
        <v>89.286525892604999</v>
      </c>
      <c r="AK6820">
        <v>24.215630098634399</v>
      </c>
      <c r="AL6820">
        <v>78.793472552322797</v>
      </c>
      <c r="AM6820">
        <v>92.870254415422494</v>
      </c>
      <c r="AN6820">
        <v>0.99999997056593903</v>
      </c>
    </row>
    <row r="6821" spans="1:40" x14ac:dyDescent="0.25">
      <c r="A6821" t="str">
        <f>"20190304155806799"</f>
        <v>20190304155806799</v>
      </c>
      <c r="B6821" t="str">
        <f>"1551686286791778"</f>
        <v>1551686286791778</v>
      </c>
      <c r="C6821" t="s">
        <v>40</v>
      </c>
      <c r="D6821">
        <v>4.9438690000000003</v>
      </c>
      <c r="E6821">
        <v>0.52087050000000001</v>
      </c>
      <c r="F6821" t="s">
        <v>41</v>
      </c>
      <c r="G6821">
        <v>-185.93299999999999</v>
      </c>
      <c r="H6821" s="1">
        <v>-3.5212970000000002E-6</v>
      </c>
      <c r="I6821">
        <v>-3.840624</v>
      </c>
      <c r="J6821">
        <v>-187.06979999999999</v>
      </c>
      <c r="K6821">
        <v>1.1102860000000001</v>
      </c>
      <c r="L6821">
        <v>-31.26108</v>
      </c>
      <c r="M6821">
        <v>2.8418220000000001E-2</v>
      </c>
      <c r="N6821">
        <v>-8.7242159999999999E-3</v>
      </c>
      <c r="O6821">
        <v>0.99955799999999995</v>
      </c>
      <c r="P6821">
        <v>-1.8131000000000001E-2</v>
      </c>
      <c r="Q6821">
        <v>0.18778629999999999</v>
      </c>
      <c r="R6821">
        <v>0.98204259999999999</v>
      </c>
      <c r="S6821">
        <v>0.1272278</v>
      </c>
      <c r="T6821">
        <v>-0.1235598</v>
      </c>
      <c r="U6821">
        <v>3.0797729999999999</v>
      </c>
      <c r="V6821">
        <v>-4.6316160000000002E-2</v>
      </c>
      <c r="W6821">
        <v>0.1962719</v>
      </c>
      <c r="X6821">
        <v>0.97945510000000002</v>
      </c>
      <c r="Y6821">
        <v>1.2840799999999999E-2</v>
      </c>
      <c r="Z6821">
        <v>-3.1330950000000003E-2</v>
      </c>
      <c r="AA6821">
        <v>0.99942660000000005</v>
      </c>
      <c r="AB6821">
        <v>24</v>
      </c>
      <c r="AC6821">
        <v>1.13679999999999</v>
      </c>
      <c r="AD6821">
        <v>-1.1102895212970001</v>
      </c>
      <c r="AE6821">
        <v>27.420456000000001</v>
      </c>
      <c r="AF6821">
        <v>0.35648711608580502</v>
      </c>
      <c r="AG6821">
        <v>-1.1102895212970001</v>
      </c>
      <c r="AH6821">
        <v>27.396846398894599</v>
      </c>
      <c r="AI6821">
        <v>92.320512904123603</v>
      </c>
      <c r="AJ6821">
        <v>89.254510746192594</v>
      </c>
      <c r="AK6821">
        <v>27.421652366144201</v>
      </c>
      <c r="AL6821">
        <v>78.680966762088303</v>
      </c>
      <c r="AM6821">
        <v>92.707367723331402</v>
      </c>
      <c r="AN6821">
        <v>1.00000006916138</v>
      </c>
    </row>
    <row r="6822" spans="1:40" x14ac:dyDescent="0.25">
      <c r="A6822" t="str">
        <f>"20190304155806836"</f>
        <v>20190304155806836</v>
      </c>
      <c r="B6822" t="str">
        <f>"1551686286831794"</f>
        <v>1551686286831794</v>
      </c>
      <c r="C6822" t="s">
        <v>40</v>
      </c>
      <c r="D6822">
        <v>4.9095570000000004</v>
      </c>
      <c r="E6822">
        <v>0.51996549999999997</v>
      </c>
      <c r="F6822" t="s">
        <v>41</v>
      </c>
      <c r="G6822">
        <v>-185.7056</v>
      </c>
      <c r="H6822" s="1">
        <v>-1.8344970000000001E-6</v>
      </c>
      <c r="I6822">
        <v>1.68117599999999</v>
      </c>
      <c r="J6822">
        <v>-187.06059999999999</v>
      </c>
      <c r="K6822">
        <v>1.110392</v>
      </c>
      <c r="L6822">
        <v>-30.867370000000001</v>
      </c>
      <c r="M6822">
        <v>2.665824E-2</v>
      </c>
      <c r="N6822">
        <v>-8.6861219999999992E-3</v>
      </c>
      <c r="O6822">
        <v>0.99960680000000002</v>
      </c>
      <c r="P6822">
        <v>-1.800324E-2</v>
      </c>
      <c r="Q6822">
        <v>0.18722240000000001</v>
      </c>
      <c r="R6822">
        <v>0.98215260000000004</v>
      </c>
      <c r="S6822">
        <v>0.12742609999999999</v>
      </c>
      <c r="T6822">
        <v>-0.1037083</v>
      </c>
      <c r="U6822">
        <v>3.077026</v>
      </c>
      <c r="V6822">
        <v>-4.4512280000000001E-2</v>
      </c>
      <c r="W6822">
        <v>0.195664</v>
      </c>
      <c r="X6822">
        <v>0.97966030000000004</v>
      </c>
      <c r="Y6822">
        <v>1.470991E-2</v>
      </c>
      <c r="Z6822">
        <v>-2.4973080000000002E-2</v>
      </c>
      <c r="AA6822">
        <v>0.99957989999999997</v>
      </c>
      <c r="AB6822">
        <v>24</v>
      </c>
      <c r="AC6822">
        <v>1.35499999999998</v>
      </c>
      <c r="AD6822">
        <v>-1.1103938344969999</v>
      </c>
      <c r="AE6822">
        <v>32.548546000000002</v>
      </c>
      <c r="AF6822">
        <v>0.48623374429403698</v>
      </c>
      <c r="AG6822">
        <v>-1.1103938344969999</v>
      </c>
      <c r="AH6822">
        <v>32.535300680348399</v>
      </c>
      <c r="AI6822">
        <v>91.954464825596503</v>
      </c>
      <c r="AJ6822">
        <v>89.143789452900094</v>
      </c>
      <c r="AK6822">
        <v>32.557874440486103</v>
      </c>
      <c r="AL6822">
        <v>78.716485043525793</v>
      </c>
      <c r="AM6822">
        <v>92.601527182118502</v>
      </c>
      <c r="AN6822">
        <v>1.0000000236814399</v>
      </c>
    </row>
    <row r="6823" spans="1:40" x14ac:dyDescent="0.25">
      <c r="A6823" t="str">
        <f>"20190304155806862"</f>
        <v>20190304155806862</v>
      </c>
      <c r="B6823" t="str">
        <f>"1551686286851314"</f>
        <v>1551686286851314</v>
      </c>
      <c r="C6823" t="s">
        <v>40</v>
      </c>
      <c r="D6823">
        <v>4.6517010000000001</v>
      </c>
      <c r="E6823">
        <v>0.51961429999999997</v>
      </c>
      <c r="F6823" t="s">
        <v>41</v>
      </c>
      <c r="G6823">
        <v>-185.5804</v>
      </c>
      <c r="H6823" s="1">
        <v>-3.9788830000000003E-6</v>
      </c>
      <c r="I6823">
        <v>7.0802069999999997</v>
      </c>
      <c r="J6823">
        <v>-187.05439999999999</v>
      </c>
      <c r="K6823">
        <v>1.1104769999999999</v>
      </c>
      <c r="L6823">
        <v>-30.575530000000001</v>
      </c>
      <c r="M6823">
        <v>2.5208120000000001E-2</v>
      </c>
      <c r="N6823">
        <v>-8.6567940000000006E-3</v>
      </c>
      <c r="O6823">
        <v>0.9996448</v>
      </c>
      <c r="P6823">
        <v>-1.7891110000000002E-2</v>
      </c>
      <c r="Q6823">
        <v>0.1871535</v>
      </c>
      <c r="R6823">
        <v>0.98216769999999998</v>
      </c>
      <c r="S6823">
        <v>0.1199036</v>
      </c>
      <c r="T6823">
        <v>-8.9944960000000004E-2</v>
      </c>
      <c r="U6823">
        <v>3.0738530000000002</v>
      </c>
      <c r="V6823">
        <v>-4.3015009999999999E-2</v>
      </c>
      <c r="W6823">
        <v>0.1955616</v>
      </c>
      <c r="X6823">
        <v>0.97974760000000005</v>
      </c>
      <c r="Y6823">
        <v>1.376514E-2</v>
      </c>
      <c r="Z6823">
        <v>-2.0572440000000001E-2</v>
      </c>
      <c r="AA6823">
        <v>0.99969359999999996</v>
      </c>
      <c r="AB6823">
        <v>24</v>
      </c>
      <c r="AC6823">
        <v>1.47399999999998</v>
      </c>
      <c r="AD6823">
        <v>-1.1104809788829999</v>
      </c>
      <c r="AE6823">
        <v>37.655737000000002</v>
      </c>
      <c r="AF6823">
        <v>0.52381086118466003</v>
      </c>
      <c r="AG6823">
        <v>-1.1104809788829999</v>
      </c>
      <c r="AH6823">
        <v>37.648236345628703</v>
      </c>
      <c r="AI6823">
        <v>91.689356127710099</v>
      </c>
      <c r="AJ6823">
        <v>89.202878589645806</v>
      </c>
      <c r="AK6823">
        <v>37.668252491442701</v>
      </c>
      <c r="AL6823">
        <v>78.722467382437202</v>
      </c>
      <c r="AM6823">
        <v>92.513909503872199</v>
      </c>
      <c r="AN6823">
        <v>0.99999999509281001</v>
      </c>
    </row>
    <row r="6824" spans="1:40" x14ac:dyDescent="0.25">
      <c r="A6824" t="str">
        <f>"20190304155806885"</f>
        <v>20190304155806885</v>
      </c>
      <c r="B6824" t="str">
        <f>"1551686286881569"</f>
        <v>1551686286881569</v>
      </c>
      <c r="C6824" t="s">
        <v>40</v>
      </c>
      <c r="D6824">
        <v>4.7427570000000001</v>
      </c>
      <c r="E6824">
        <v>0.51946320000000001</v>
      </c>
      <c r="F6824" t="s">
        <v>41</v>
      </c>
      <c r="G6824">
        <v>-185.6559</v>
      </c>
      <c r="H6824" s="1">
        <v>-3.678422E-6</v>
      </c>
      <c r="I6824">
        <v>6.4110430000000003</v>
      </c>
      <c r="J6824">
        <v>-187.0496</v>
      </c>
      <c r="K6824">
        <v>1.1105259999999999</v>
      </c>
      <c r="L6824">
        <v>-30.328029999999998</v>
      </c>
      <c r="M6824">
        <v>2.3902090000000001E-2</v>
      </c>
      <c r="N6824">
        <v>-8.6321190000000006E-3</v>
      </c>
      <c r="O6824">
        <v>0.99967709999999999</v>
      </c>
      <c r="P6824">
        <v>-1.914163E-2</v>
      </c>
      <c r="Q6824">
        <v>0.1867993</v>
      </c>
      <c r="R6824">
        <v>0.98221159999999996</v>
      </c>
      <c r="S6824">
        <v>0.1162415</v>
      </c>
      <c r="T6824">
        <v>-9.2298149999999995E-2</v>
      </c>
      <c r="U6824">
        <v>3.0741580000000002</v>
      </c>
      <c r="V6824">
        <v>-4.3011830000000001E-2</v>
      </c>
      <c r="W6824">
        <v>0.19517770000000001</v>
      </c>
      <c r="X6824">
        <v>0.97982429999999998</v>
      </c>
      <c r="Y6824">
        <v>1.3877810000000001E-2</v>
      </c>
      <c r="Z6824">
        <v>-2.1359900000000001E-2</v>
      </c>
      <c r="AA6824">
        <v>0.99967550000000005</v>
      </c>
      <c r="AB6824">
        <v>24</v>
      </c>
      <c r="AC6824">
        <v>1.3936999999999899</v>
      </c>
      <c r="AD6824">
        <v>-1.110529678422</v>
      </c>
      <c r="AE6824">
        <v>36.739072999999998</v>
      </c>
      <c r="AF6824">
        <v>0.51465893591401601</v>
      </c>
      <c r="AG6824">
        <v>-1.110529678422</v>
      </c>
      <c r="AH6824">
        <v>36.728379082281897</v>
      </c>
      <c r="AI6824">
        <v>91.731713872463402</v>
      </c>
      <c r="AJ6824">
        <v>89.197191493752896</v>
      </c>
      <c r="AK6824">
        <v>36.748768414720701</v>
      </c>
      <c r="AL6824">
        <v>78.744895546621095</v>
      </c>
      <c r="AM6824">
        <v>92.513527374493293</v>
      </c>
      <c r="AN6824">
        <v>1.00000000548386</v>
      </c>
    </row>
    <row r="6825" spans="1:40" x14ac:dyDescent="0.25">
      <c r="A6825" t="str">
        <f>"20190304155806929"</f>
        <v>20190304155806929</v>
      </c>
      <c r="B6825" t="str">
        <f>"1551686286921586"</f>
        <v>1551686286921586</v>
      </c>
      <c r="C6825" t="s">
        <v>40</v>
      </c>
      <c r="D6825">
        <v>4.6909130000000001</v>
      </c>
      <c r="E6825">
        <v>0.51925650000000001</v>
      </c>
      <c r="F6825" t="s">
        <v>41</v>
      </c>
      <c r="G6825">
        <v>-185.76390000000001</v>
      </c>
      <c r="H6825" s="1">
        <v>-3.1088970000000001E-6</v>
      </c>
      <c r="I6825">
        <v>5.1281319999999999</v>
      </c>
      <c r="J6825">
        <v>-187.0411</v>
      </c>
      <c r="K6825">
        <v>1.110589</v>
      </c>
      <c r="L6825">
        <v>-29.836880000000001</v>
      </c>
      <c r="M6825">
        <v>2.114949E-2</v>
      </c>
      <c r="N6825">
        <v>-8.5878199999999995E-3</v>
      </c>
      <c r="O6825">
        <v>0.9997395</v>
      </c>
      <c r="P6825">
        <v>-2.2673370000000002E-2</v>
      </c>
      <c r="Q6825">
        <v>0.18553169999999999</v>
      </c>
      <c r="R6825">
        <v>0.98237669999999999</v>
      </c>
      <c r="S6825">
        <v>0.111496</v>
      </c>
      <c r="T6825">
        <v>-9.6307279999999995E-2</v>
      </c>
      <c r="U6825">
        <v>3.0748289999999998</v>
      </c>
      <c r="V6825">
        <v>-4.3878979999999998E-2</v>
      </c>
      <c r="W6825">
        <v>0.19385769999999999</v>
      </c>
      <c r="X6825">
        <v>0.98004789999999997</v>
      </c>
      <c r="Y6825">
        <v>1.5080649999999999E-2</v>
      </c>
      <c r="Z6825">
        <v>-2.2701809999999999E-2</v>
      </c>
      <c r="AA6825">
        <v>0.99962850000000003</v>
      </c>
      <c r="AB6825">
        <v>25</v>
      </c>
      <c r="AC6825">
        <v>1.2771999999999899</v>
      </c>
      <c r="AD6825">
        <v>-1.1105921088969899</v>
      </c>
      <c r="AE6825">
        <v>34.965011999999902</v>
      </c>
      <c r="AF6825">
        <v>0.53685400023983698</v>
      </c>
      <c r="AG6825">
        <v>-1.1105921088969899</v>
      </c>
      <c r="AH6825">
        <v>34.948991190930798</v>
      </c>
      <c r="AI6825">
        <v>91.819890476166407</v>
      </c>
      <c r="AJ6825">
        <v>89.119944571735104</v>
      </c>
      <c r="AK6825">
        <v>34.970753670941598</v>
      </c>
      <c r="AL6825">
        <v>78.821999000851505</v>
      </c>
      <c r="AM6825">
        <v>92.563550728798901</v>
      </c>
      <c r="AN6825">
        <v>1.00000002951476</v>
      </c>
    </row>
    <row r="6826" spans="1:40" x14ac:dyDescent="0.25">
      <c r="A6826" t="str">
        <f>"20190304155806951"</f>
        <v>20190304155806951</v>
      </c>
      <c r="B6826" t="str">
        <f>"1551686286941105"</f>
        <v>1551686286941105</v>
      </c>
      <c r="C6826" t="s">
        <v>40</v>
      </c>
      <c r="D6826">
        <v>4.6818900000000001</v>
      </c>
      <c r="E6826">
        <v>0.51901759999999997</v>
      </c>
      <c r="F6826" t="s">
        <v>41</v>
      </c>
      <c r="G6826">
        <v>-185.91419999999999</v>
      </c>
      <c r="H6826" s="1">
        <v>-2.7791779999999998E-6</v>
      </c>
      <c r="I6826">
        <v>4.4216939999999996</v>
      </c>
      <c r="J6826">
        <v>-187.0376</v>
      </c>
      <c r="K6826">
        <v>1.1106049999999901</v>
      </c>
      <c r="L6826">
        <v>-29.60181</v>
      </c>
      <c r="M6826">
        <v>1.978765E-2</v>
      </c>
      <c r="N6826">
        <v>-8.5634460000000006E-3</v>
      </c>
      <c r="O6826">
        <v>0.99976750000000003</v>
      </c>
      <c r="P6826">
        <v>-2.439094E-2</v>
      </c>
      <c r="Q6826">
        <v>0.18631310000000001</v>
      </c>
      <c r="R6826">
        <v>0.98218760000000005</v>
      </c>
      <c r="S6826">
        <v>0.1011505</v>
      </c>
      <c r="T6826">
        <v>-9.9684480000000006E-2</v>
      </c>
      <c r="U6826">
        <v>3.0749819999999999</v>
      </c>
      <c r="V6826">
        <v>-4.4265279999999997E-2</v>
      </c>
      <c r="W6826">
        <v>0.19461129999999999</v>
      </c>
      <c r="X6826">
        <v>0.97988109999999995</v>
      </c>
      <c r="Y6826">
        <v>1.308115E-2</v>
      </c>
      <c r="Z6826">
        <v>-2.382389E-2</v>
      </c>
      <c r="AA6826">
        <v>0.99963060000000004</v>
      </c>
      <c r="AB6826">
        <v>25</v>
      </c>
      <c r="AC6826">
        <v>1.1234</v>
      </c>
      <c r="AD6826">
        <v>-1.11060777917799</v>
      </c>
      <c r="AE6826">
        <v>34.023504000000003</v>
      </c>
      <c r="AF6826">
        <v>0.44943177247333099</v>
      </c>
      <c r="AG6826">
        <v>-1.11060777917799</v>
      </c>
      <c r="AH6826">
        <v>34.002880712336498</v>
      </c>
      <c r="AI6826">
        <v>91.870576007921301</v>
      </c>
      <c r="AJ6826">
        <v>89.242739326537901</v>
      </c>
      <c r="AK6826">
        <v>34.023981767198599</v>
      </c>
      <c r="AL6826">
        <v>78.777981956878605</v>
      </c>
      <c r="AM6826">
        <v>92.586528725950203</v>
      </c>
      <c r="AN6826">
        <v>0.99999997161918797</v>
      </c>
    </row>
    <row r="6827" spans="1:40" x14ac:dyDescent="0.25">
      <c r="A6827" t="str">
        <f>"20190304155806976"</f>
        <v>20190304155806976</v>
      </c>
      <c r="B6827" t="str">
        <f>"1551686286971361"</f>
        <v>1551686286971361</v>
      </c>
      <c r="C6827" t="s">
        <v>40</v>
      </c>
      <c r="D6827">
        <v>6.0787589999999998</v>
      </c>
      <c r="E6827">
        <v>0.51890649999999905</v>
      </c>
      <c r="F6827" t="s">
        <v>41</v>
      </c>
      <c r="G6827">
        <v>-185.9564</v>
      </c>
      <c r="H6827" s="1">
        <v>-3.2139540000000001E-6</v>
      </c>
      <c r="I6827">
        <v>5.452642</v>
      </c>
      <c r="J6827">
        <v>-187.03389999999999</v>
      </c>
      <c r="K6827">
        <v>1.1106100000000001</v>
      </c>
      <c r="L6827">
        <v>-29.325410000000002</v>
      </c>
      <c r="M6827">
        <v>1.8177860000000001E-2</v>
      </c>
      <c r="N6827">
        <v>-8.5365110000000001E-3</v>
      </c>
      <c r="O6827">
        <v>0.99979830000000003</v>
      </c>
      <c r="P6827">
        <v>-2.6136320000000001E-2</v>
      </c>
      <c r="Q6827">
        <v>0.18743370000000001</v>
      </c>
      <c r="R6827">
        <v>0.98192950000000001</v>
      </c>
      <c r="S6827">
        <v>9.4848630000000003E-2</v>
      </c>
      <c r="T6827">
        <v>-9.7431420000000005E-2</v>
      </c>
      <c r="U6827">
        <v>3.075256</v>
      </c>
      <c r="V6827">
        <v>-4.4432060000000002E-2</v>
      </c>
      <c r="W6827">
        <v>0.19570190000000001</v>
      </c>
      <c r="X6827">
        <v>0.97965630000000004</v>
      </c>
      <c r="Y6827">
        <v>1.2642469999999999E-2</v>
      </c>
      <c r="Z6827">
        <v>-2.3118860000000001E-2</v>
      </c>
      <c r="AA6827">
        <v>0.99965280000000001</v>
      </c>
      <c r="AB6827">
        <v>25</v>
      </c>
      <c r="AC6827">
        <v>1.0774999999999799</v>
      </c>
      <c r="AD6827">
        <v>-1.1106132139539999</v>
      </c>
      <c r="AE6827">
        <v>34.778051999999903</v>
      </c>
      <c r="AF6827">
        <v>0.44465531311936901</v>
      </c>
      <c r="AG6827">
        <v>-1.1106132139539999</v>
      </c>
      <c r="AH6827">
        <v>34.756481846062798</v>
      </c>
      <c r="AI6827">
        <v>91.830064498673906</v>
      </c>
      <c r="AJ6827">
        <v>89.267029296123894</v>
      </c>
      <c r="AK6827">
        <v>34.777064430083598</v>
      </c>
      <c r="AL6827">
        <v>78.714269926408704</v>
      </c>
      <c r="AM6827">
        <v>92.596855724123799</v>
      </c>
      <c r="AN6827">
        <v>0.99999995387456997</v>
      </c>
    </row>
    <row r="6828" spans="1:40" x14ac:dyDescent="0.25">
      <c r="A6828" t="str">
        <f>"20190304155806999"</f>
        <v>20190304155806999</v>
      </c>
      <c r="B6828" t="str">
        <f>"1551686286990881"</f>
        <v>1551686286990881</v>
      </c>
      <c r="C6828" t="s">
        <v>40</v>
      </c>
      <c r="D6828">
        <v>4.8266090000000004</v>
      </c>
      <c r="E6828">
        <v>0.5186191</v>
      </c>
      <c r="F6828" t="s">
        <v>41</v>
      </c>
      <c r="G6828">
        <v>-185.9076</v>
      </c>
      <c r="H6828" s="1">
        <v>-1.145075E-6</v>
      </c>
      <c r="I6828">
        <v>9.8131769999999996</v>
      </c>
      <c r="J6828">
        <v>-187.03100000000001</v>
      </c>
      <c r="K6828">
        <v>1.1106069999999999</v>
      </c>
      <c r="L6828">
        <v>-29.071529999999999</v>
      </c>
      <c r="M6828">
        <v>1.670257E-2</v>
      </c>
      <c r="N6828">
        <v>-8.5133980000000001E-3</v>
      </c>
      <c r="O6828">
        <v>0.9998243</v>
      </c>
      <c r="P6828">
        <v>-2.7288130000000001E-2</v>
      </c>
      <c r="Q6828">
        <v>0.18719830000000001</v>
      </c>
      <c r="R6828">
        <v>0.98194309999999996</v>
      </c>
      <c r="S6828">
        <v>8.8470460000000001E-2</v>
      </c>
      <c r="T6828">
        <v>-8.7235209999999994E-2</v>
      </c>
      <c r="U6828">
        <v>3.0742189999999998</v>
      </c>
      <c r="V6828">
        <v>-4.4136799999999997E-2</v>
      </c>
      <c r="W6828">
        <v>0.19544520000000001</v>
      </c>
      <c r="X6828">
        <v>0.97972099999999995</v>
      </c>
      <c r="Y6828">
        <v>1.205845E-2</v>
      </c>
      <c r="Z6828">
        <v>-1.9843179999999998E-2</v>
      </c>
      <c r="AA6828">
        <v>0.99973040000000002</v>
      </c>
      <c r="AB6828">
        <v>25</v>
      </c>
      <c r="AC6828">
        <v>1.12339999999997</v>
      </c>
      <c r="AD6828">
        <v>-1.1106081450749901</v>
      </c>
      <c r="AE6828">
        <v>38.884706999999999</v>
      </c>
      <c r="AF6828">
        <v>0.47335939923343201</v>
      </c>
      <c r="AG6828">
        <v>-1.1106081450749901</v>
      </c>
      <c r="AH6828">
        <v>38.866367322266001</v>
      </c>
      <c r="AI6828">
        <v>91.636662690825403</v>
      </c>
      <c r="AJ6828">
        <v>89.302220486148101</v>
      </c>
      <c r="AK6828">
        <v>38.885113197752901</v>
      </c>
      <c r="AL6828">
        <v>78.729268587218002</v>
      </c>
      <c r="AM6828">
        <v>92.5794523564809</v>
      </c>
      <c r="AN6828">
        <v>1.0000000605791299</v>
      </c>
    </row>
    <row r="6829" spans="1:40" x14ac:dyDescent="0.25">
      <c r="A6829" t="str">
        <f>"20190304155807019"</f>
        <v>20190304155807019</v>
      </c>
      <c r="B6829" t="str">
        <f>"1551686287012353"</f>
        <v>1551686287012353</v>
      </c>
      <c r="C6829" t="s">
        <v>40</v>
      </c>
      <c r="D6829">
        <v>4.6949959999999997</v>
      </c>
      <c r="E6829">
        <v>0.51840200000000003</v>
      </c>
      <c r="F6829" t="s">
        <v>41</v>
      </c>
      <c r="G6829">
        <v>-185.8843</v>
      </c>
      <c r="H6829" s="1">
        <v>-2.619574E-6</v>
      </c>
      <c r="I6829">
        <v>14.037280000000001</v>
      </c>
      <c r="J6829">
        <v>-187.02860000000001</v>
      </c>
      <c r="K6829">
        <v>1.1105989999999999</v>
      </c>
      <c r="L6829">
        <v>-28.84357</v>
      </c>
      <c r="M6829">
        <v>1.538602E-2</v>
      </c>
      <c r="N6829">
        <v>-8.4905550000000003E-3</v>
      </c>
      <c r="O6829">
        <v>0.9998456</v>
      </c>
      <c r="P6829">
        <v>-2.8784790000000001E-2</v>
      </c>
      <c r="Q6829">
        <v>0.18615719999999999</v>
      </c>
      <c r="R6829">
        <v>0.98209820000000003</v>
      </c>
      <c r="S6829">
        <v>8.1726069999999998E-2</v>
      </c>
      <c r="T6829">
        <v>-7.9156879999999999E-2</v>
      </c>
      <c r="U6829">
        <v>3.0725099999999999</v>
      </c>
      <c r="V6829">
        <v>-4.4340669999999999E-2</v>
      </c>
      <c r="W6829">
        <v>0.19438259999999999</v>
      </c>
      <c r="X6829">
        <v>0.97992310000000005</v>
      </c>
      <c r="Y6829">
        <v>1.1199850000000001E-2</v>
      </c>
      <c r="Z6829">
        <v>-1.725753E-2</v>
      </c>
      <c r="AA6829">
        <v>0.99978829999999996</v>
      </c>
      <c r="AB6829">
        <v>25</v>
      </c>
      <c r="AC6829">
        <v>1.1443000000000101</v>
      </c>
      <c r="AD6829">
        <v>-1.1106016195739901</v>
      </c>
      <c r="AE6829">
        <v>42.880850000000002</v>
      </c>
      <c r="AF6829">
        <v>0.48405068572382398</v>
      </c>
      <c r="AG6829">
        <v>-1.1106016195739901</v>
      </c>
      <c r="AH6829">
        <v>42.864647676122701</v>
      </c>
      <c r="AI6829">
        <v>91.484078409535201</v>
      </c>
      <c r="AJ6829">
        <v>89.353012702531998</v>
      </c>
      <c r="AK6829">
        <v>42.881764905631897</v>
      </c>
      <c r="AL6829">
        <v>78.791340774558606</v>
      </c>
      <c r="AM6829">
        <v>92.590817053275799</v>
      </c>
      <c r="AN6829">
        <v>0.99999998605620899</v>
      </c>
    </row>
    <row r="6830" spans="1:40" x14ac:dyDescent="0.25">
      <c r="A6830" t="str">
        <f>"20190304155807042"</f>
        <v>20190304155807042</v>
      </c>
      <c r="B6830" t="str">
        <f>"1551686287030898"</f>
        <v>1551686287030898</v>
      </c>
      <c r="C6830" t="s">
        <v>40</v>
      </c>
      <c r="D6830">
        <v>4.801177</v>
      </c>
      <c r="E6830">
        <v>0.51845750000000002</v>
      </c>
      <c r="F6830" t="s">
        <v>41</v>
      </c>
      <c r="G6830">
        <v>-185.9751</v>
      </c>
      <c r="H6830" s="1">
        <v>-2.7977389999999999E-6</v>
      </c>
      <c r="I6830">
        <v>14.490130000000001</v>
      </c>
      <c r="J6830">
        <v>-187.02619999999999</v>
      </c>
      <c r="K6830">
        <v>1.110592</v>
      </c>
      <c r="L6830">
        <v>-28.58325</v>
      </c>
      <c r="M6830">
        <v>1.3895960000000001E-2</v>
      </c>
      <c r="N6830">
        <v>-8.4636850000000003E-3</v>
      </c>
      <c r="O6830">
        <v>0.99986759999999997</v>
      </c>
      <c r="P6830">
        <v>-3.026585E-2</v>
      </c>
      <c r="Q6830">
        <v>0.18659290000000001</v>
      </c>
      <c r="R6830">
        <v>0.98197100000000004</v>
      </c>
      <c r="S6830">
        <v>7.4676510000000001E-2</v>
      </c>
      <c r="T6830">
        <v>-7.8726770000000001E-2</v>
      </c>
      <c r="U6830">
        <v>3.071777</v>
      </c>
      <c r="V6830">
        <v>-4.4358040000000001E-2</v>
      </c>
      <c r="W6830">
        <v>0.19479089999999999</v>
      </c>
      <c r="X6830">
        <v>0.97984119999999997</v>
      </c>
      <c r="Y6830">
        <v>1.0403569999999999E-2</v>
      </c>
      <c r="Z6830">
        <v>-1.7152069999999998E-2</v>
      </c>
      <c r="AA6830">
        <v>0.99979879999999999</v>
      </c>
      <c r="AB6830">
        <v>25</v>
      </c>
      <c r="AC6830">
        <v>1.0510999999999899</v>
      </c>
      <c r="AD6830">
        <v>-1.1105947977390001</v>
      </c>
      <c r="AE6830">
        <v>43.07338</v>
      </c>
      <c r="AF6830">
        <v>0.452130686087788</v>
      </c>
      <c r="AG6830">
        <v>-1.1105947977390001</v>
      </c>
      <c r="AH6830">
        <v>43.0552211511595</v>
      </c>
      <c r="AI6830">
        <v>91.477516077628707</v>
      </c>
      <c r="AJ6830">
        <v>89.398348742800906</v>
      </c>
      <c r="AK6830">
        <v>43.071915575434097</v>
      </c>
      <c r="AL6830">
        <v>78.767490660053895</v>
      </c>
      <c r="AM6830">
        <v>92.592046938042699</v>
      </c>
      <c r="AN6830">
        <v>0.99999995382644402</v>
      </c>
    </row>
    <row r="6831" spans="1:40" x14ac:dyDescent="0.25">
      <c r="A6831" t="str">
        <f>"20190304155807063"</f>
        <v>20190304155807063</v>
      </c>
      <c r="B6831" t="str">
        <f>"1551686287051394"</f>
        <v>1551686287051394</v>
      </c>
      <c r="C6831" t="s">
        <v>40</v>
      </c>
      <c r="D6831">
        <v>4.561706</v>
      </c>
      <c r="E6831">
        <v>0.5181152</v>
      </c>
      <c r="F6831" t="s">
        <v>41</v>
      </c>
      <c r="G6831">
        <v>-185.977</v>
      </c>
      <c r="H6831" s="1">
        <v>-4.0023450000000004E-6</v>
      </c>
      <c r="I6831">
        <v>17.29888</v>
      </c>
      <c r="J6831">
        <v>-187.02440000000001</v>
      </c>
      <c r="K6831">
        <v>1.1105959999999999</v>
      </c>
      <c r="L6831">
        <v>-28.352260000000001</v>
      </c>
      <c r="M6831">
        <v>1.258573E-2</v>
      </c>
      <c r="N6831">
        <v>-8.4391290000000001E-3</v>
      </c>
      <c r="O6831">
        <v>0.99988520000000003</v>
      </c>
      <c r="P6831">
        <v>-3.0863379999999999E-2</v>
      </c>
      <c r="Q6831">
        <v>0.18734990000000001</v>
      </c>
      <c r="R6831">
        <v>0.98180820000000002</v>
      </c>
      <c r="S6831">
        <v>7.0236209999999993E-2</v>
      </c>
      <c r="T6831">
        <v>-7.434404E-2</v>
      </c>
      <c r="U6831">
        <v>3.0713810000000001</v>
      </c>
      <c r="V6831">
        <v>-4.3668440000000003E-2</v>
      </c>
      <c r="W6831">
        <v>0.19552520000000001</v>
      </c>
      <c r="X6831">
        <v>0.97972599999999999</v>
      </c>
      <c r="Y6831">
        <v>1.0273030000000001E-2</v>
      </c>
      <c r="Z6831">
        <v>-1.5755350000000001E-2</v>
      </c>
      <c r="AA6831">
        <v>0.99982309999999996</v>
      </c>
      <c r="AB6831">
        <v>25</v>
      </c>
      <c r="AC6831">
        <v>1.0474000000000101</v>
      </c>
      <c r="AD6831">
        <v>-1.110600002345</v>
      </c>
      <c r="AE6831">
        <v>45.651139999999998</v>
      </c>
      <c r="AF6831">
        <v>0.47246418188033801</v>
      </c>
      <c r="AG6831">
        <v>-1.110600002345</v>
      </c>
      <c r="AH6831">
        <v>45.633712648344499</v>
      </c>
      <c r="AI6831">
        <v>91.394072981684602</v>
      </c>
      <c r="AJ6831">
        <v>89.406814943619295</v>
      </c>
      <c r="AK6831">
        <v>45.649670150397</v>
      </c>
      <c r="AL6831">
        <v>78.724594467928497</v>
      </c>
      <c r="AM6831">
        <v>92.552103737729993</v>
      </c>
      <c r="AN6831">
        <v>1.00000003578153</v>
      </c>
    </row>
    <row r="6832" spans="1:40" x14ac:dyDescent="0.25">
      <c r="A6832" t="str">
        <f>"20190304155807085"</f>
        <v>20190304155807085</v>
      </c>
      <c r="B6832" t="str">
        <f>"1551686287081650"</f>
        <v>1551686287081650</v>
      </c>
      <c r="C6832" t="s">
        <v>40</v>
      </c>
      <c r="D6832">
        <v>4.6703960000000002</v>
      </c>
      <c r="E6832">
        <v>0.51774140000000002</v>
      </c>
      <c r="F6832" t="s">
        <v>41</v>
      </c>
      <c r="G6832">
        <v>-185.97980000000001</v>
      </c>
      <c r="H6832" s="1">
        <v>-1.233226E-6</v>
      </c>
      <c r="I6832">
        <v>20.128640000000001</v>
      </c>
      <c r="J6832">
        <v>-187.02279999999999</v>
      </c>
      <c r="K6832">
        <v>1.1105910000000001</v>
      </c>
      <c r="L6832">
        <v>-28.095279999999999</v>
      </c>
      <c r="M6832">
        <v>1.114073E-2</v>
      </c>
      <c r="N6832">
        <v>-8.4099440000000008E-3</v>
      </c>
      <c r="O6832">
        <v>0.99990250000000003</v>
      </c>
      <c r="P6832">
        <v>-3.1760999999999998E-2</v>
      </c>
      <c r="Q6832">
        <v>0.1874691</v>
      </c>
      <c r="R6832">
        <v>0.98175690000000004</v>
      </c>
      <c r="S6832">
        <v>6.6177369999999999E-2</v>
      </c>
      <c r="T6832">
        <v>-7.0352670000000006E-2</v>
      </c>
      <c r="U6832">
        <v>3.0711059999999999</v>
      </c>
      <c r="V6832">
        <v>-4.314627E-2</v>
      </c>
      <c r="W6832">
        <v>0.19561680000000001</v>
      </c>
      <c r="X6832">
        <v>0.97973080000000001</v>
      </c>
      <c r="Y6832">
        <v>1.039988E-2</v>
      </c>
      <c r="Z6832">
        <v>-1.448897E-2</v>
      </c>
      <c r="AA6832">
        <v>0.99984090000000003</v>
      </c>
      <c r="AB6832">
        <v>25</v>
      </c>
      <c r="AC6832">
        <v>1.04299999999997</v>
      </c>
      <c r="AD6832">
        <v>-1.1105922332260001</v>
      </c>
      <c r="AE6832">
        <v>48.22392</v>
      </c>
      <c r="AF6832">
        <v>0.505398628813996</v>
      </c>
      <c r="AG6832">
        <v>-1.1105922332260001</v>
      </c>
      <c r="AH6832">
        <v>48.206991312414402</v>
      </c>
      <c r="AI6832">
        <v>91.319673705750205</v>
      </c>
      <c r="AJ6832">
        <v>89.399337175744193</v>
      </c>
      <c r="AK6832">
        <v>48.222431028285001</v>
      </c>
      <c r="AL6832">
        <v>78.719242271973002</v>
      </c>
      <c r="AM6832">
        <v>92.521613977570595</v>
      </c>
      <c r="AN6832">
        <v>0.99999998676289603</v>
      </c>
    </row>
    <row r="6833" spans="1:40" x14ac:dyDescent="0.25">
      <c r="A6833" t="str">
        <f>"20190304155807108"</f>
        <v>20190304155807108</v>
      </c>
      <c r="B6833" t="str">
        <f>"1551686287101171"</f>
        <v>1551686287101171</v>
      </c>
      <c r="C6833" t="s">
        <v>40</v>
      </c>
      <c r="D6833">
        <v>4.7307050000000004</v>
      </c>
      <c r="E6833">
        <v>0.5174609</v>
      </c>
      <c r="F6833" t="s">
        <v>41</v>
      </c>
      <c r="G6833">
        <v>-185.98560000000001</v>
      </c>
      <c r="H6833" s="1">
        <v>-2.725629E-6</v>
      </c>
      <c r="I6833">
        <v>24.32639</v>
      </c>
      <c r="J6833">
        <v>-187.0215</v>
      </c>
      <c r="K6833">
        <v>1.110587</v>
      </c>
      <c r="L6833">
        <v>-27.836849999999998</v>
      </c>
      <c r="M6833">
        <v>9.7026449999999993E-3</v>
      </c>
      <c r="N6833">
        <v>-8.3769829999999993E-3</v>
      </c>
      <c r="O6833">
        <v>0.99991790000000003</v>
      </c>
      <c r="P6833">
        <v>-3.2558230000000001E-2</v>
      </c>
      <c r="Q6833">
        <v>0.18955060000000001</v>
      </c>
      <c r="R6833">
        <v>0.98133099999999995</v>
      </c>
      <c r="S6833">
        <v>6.0745239999999999E-2</v>
      </c>
      <c r="T6833">
        <v>-6.5043089999999998E-2</v>
      </c>
      <c r="U6833">
        <v>3.0701290000000001</v>
      </c>
      <c r="V6833">
        <v>-4.2529989999999997E-2</v>
      </c>
      <c r="W6833">
        <v>0.19766500000000001</v>
      </c>
      <c r="X6833">
        <v>0.97934659999999996</v>
      </c>
      <c r="Y6833">
        <v>1.007713E-2</v>
      </c>
      <c r="Z6833">
        <v>-1.280188E-2</v>
      </c>
      <c r="AA6833">
        <v>0.99986730000000001</v>
      </c>
      <c r="AB6833">
        <v>25</v>
      </c>
      <c r="AC6833">
        <v>1.0358999999999901</v>
      </c>
      <c r="AD6833">
        <v>-1.110589725629</v>
      </c>
      <c r="AE6833">
        <v>52.163240000000002</v>
      </c>
      <c r="AF6833">
        <v>0.52947219587676198</v>
      </c>
      <c r="AG6833">
        <v>-1.110589725629</v>
      </c>
      <c r="AH6833">
        <v>52.147207133603999</v>
      </c>
      <c r="AI6833">
        <v>91.219992620352002</v>
      </c>
      <c r="AJ6833">
        <v>89.418272205880896</v>
      </c>
      <c r="AK6833">
        <v>52.1617193177131</v>
      </c>
      <c r="AL6833">
        <v>78.599552391012594</v>
      </c>
      <c r="AM6833">
        <v>92.486615889926497</v>
      </c>
      <c r="AN6833">
        <v>1.00000000760298</v>
      </c>
    </row>
    <row r="6834" spans="1:40" x14ac:dyDescent="0.25">
      <c r="A6834" t="str">
        <f>"20190304155807132"</f>
        <v>20190304155807132</v>
      </c>
      <c r="B6834" t="str">
        <f>"1551686287121667"</f>
        <v>1551686287121667</v>
      </c>
      <c r="C6834" t="s">
        <v>40</v>
      </c>
      <c r="D6834">
        <v>4.7499890000000002</v>
      </c>
      <c r="E6834">
        <v>0.51708589999999999</v>
      </c>
      <c r="F6834" t="s">
        <v>41</v>
      </c>
      <c r="G6834">
        <v>-185.88640000000001</v>
      </c>
      <c r="H6834" s="1">
        <v>-2.6529449999999998E-6</v>
      </c>
      <c r="I6834">
        <v>34.115929999999999</v>
      </c>
      <c r="J6834">
        <v>-187.0206</v>
      </c>
      <c r="K6834">
        <v>1.1105670000000001</v>
      </c>
      <c r="L6834">
        <v>-27.583069999999999</v>
      </c>
      <c r="M6834">
        <v>8.3103480000000004E-3</v>
      </c>
      <c r="N6834">
        <v>-8.3423919999999901E-3</v>
      </c>
      <c r="O6834">
        <v>0.99993069999999895</v>
      </c>
      <c r="P6834">
        <v>-3.4030169999999998E-2</v>
      </c>
      <c r="Q6834">
        <v>0.1917307</v>
      </c>
      <c r="R6834">
        <v>0.98085739999999999</v>
      </c>
      <c r="S6834">
        <v>5.6243899999999999E-2</v>
      </c>
      <c r="T6834">
        <v>-5.5025940000000002E-2</v>
      </c>
      <c r="U6834">
        <v>3.06955</v>
      </c>
      <c r="V6834">
        <v>-4.2632490000000002E-2</v>
      </c>
      <c r="W6834">
        <v>0.19980870000000001</v>
      </c>
      <c r="X6834">
        <v>0.97890699999999997</v>
      </c>
      <c r="Y6834">
        <v>1.000829E-2</v>
      </c>
      <c r="Z6834">
        <v>-9.5795900000000007E-3</v>
      </c>
      <c r="AA6834">
        <v>0.99990400000000002</v>
      </c>
      <c r="AB6834">
        <v>25</v>
      </c>
      <c r="AC6834">
        <v>1.1341999999999901</v>
      </c>
      <c r="AD6834">
        <v>-1.110569652945</v>
      </c>
      <c r="AE6834">
        <v>61.698999999999998</v>
      </c>
      <c r="AF6834">
        <v>0.621201646294682</v>
      </c>
      <c r="AG6834">
        <v>-1.110569652945</v>
      </c>
      <c r="AH6834">
        <v>61.686316044389798</v>
      </c>
      <c r="AI6834">
        <v>91.031360914411806</v>
      </c>
      <c r="AJ6834">
        <v>89.4230320148787</v>
      </c>
      <c r="AK6834">
        <v>61.699439572558099</v>
      </c>
      <c r="AL6834">
        <v>78.474227213144701</v>
      </c>
      <c r="AM6834">
        <v>92.493719189325702</v>
      </c>
      <c r="AN6834">
        <v>0.99999998022414405</v>
      </c>
    </row>
    <row r="6835" spans="1:40" x14ac:dyDescent="0.25">
      <c r="A6835" t="str">
        <f>"20190304155807152"</f>
        <v>20190304155807152</v>
      </c>
      <c r="B6835" t="str">
        <f>"1551686287150946"</f>
        <v>1551686287150946</v>
      </c>
      <c r="C6835" t="s">
        <v>40</v>
      </c>
      <c r="D6835">
        <v>4.685778</v>
      </c>
      <c r="E6835">
        <v>0.517266</v>
      </c>
      <c r="F6835" t="s">
        <v>41</v>
      </c>
      <c r="G6835">
        <v>-185.9188</v>
      </c>
      <c r="H6835" s="1">
        <v>-1.7883169999999999E-6</v>
      </c>
      <c r="I6835">
        <v>41.712130000000002</v>
      </c>
      <c r="J6835">
        <v>-187.02010000000001</v>
      </c>
      <c r="K6835">
        <v>1.110552</v>
      </c>
      <c r="L6835">
        <v>-27.33511</v>
      </c>
      <c r="M6835">
        <v>6.9776040000000001E-3</v>
      </c>
      <c r="N6835">
        <v>-8.305626E-3</v>
      </c>
      <c r="O6835">
        <v>0.99994119999999997</v>
      </c>
      <c r="P6835">
        <v>-3.5481720000000001E-2</v>
      </c>
      <c r="Q6835">
        <v>0.19333339999999999</v>
      </c>
      <c r="R6835">
        <v>0.98049129999999995</v>
      </c>
      <c r="S6835">
        <v>4.8812870000000001E-2</v>
      </c>
      <c r="T6835">
        <v>-4.919946E-2</v>
      </c>
      <c r="U6835">
        <v>3.069855</v>
      </c>
      <c r="V6835">
        <v>-4.2770679999999998E-2</v>
      </c>
      <c r="W6835">
        <v>0.20137360000000001</v>
      </c>
      <c r="X6835">
        <v>0.97858029999999996</v>
      </c>
      <c r="Y6835">
        <v>8.9199740000000007E-3</v>
      </c>
      <c r="Z6835">
        <v>-7.7180159999999899E-3</v>
      </c>
      <c r="AA6835">
        <v>0.9999304</v>
      </c>
      <c r="AB6835">
        <v>25</v>
      </c>
      <c r="AC6835">
        <v>1.1012999999999999</v>
      </c>
      <c r="AD6835">
        <v>-1.110553788317</v>
      </c>
      <c r="AE6835">
        <v>69.047240000000002</v>
      </c>
      <c r="AF6835">
        <v>0.61931211805148401</v>
      </c>
      <c r="AG6835">
        <v>-1.110553788317</v>
      </c>
      <c r="AH6835">
        <v>69.035389207033802</v>
      </c>
      <c r="AI6835">
        <v>90.921585265216393</v>
      </c>
      <c r="AJ6835">
        <v>89.4860169670998</v>
      </c>
      <c r="AK6835">
        <v>69.047098709380606</v>
      </c>
      <c r="AL6835">
        <v>78.382705441602198</v>
      </c>
      <c r="AM6835">
        <v>92.502626302215305</v>
      </c>
      <c r="AN6835">
        <v>1.0000000306963499</v>
      </c>
    </row>
    <row r="6836" spans="1:40" x14ac:dyDescent="0.25">
      <c r="A6836" t="str">
        <f>"20190304155807177"</f>
        <v>20190304155807177</v>
      </c>
      <c r="B6836" t="str">
        <f>"1551686287171442"</f>
        <v>1551686287171442</v>
      </c>
      <c r="C6836" t="s">
        <v>40</v>
      </c>
      <c r="D6836">
        <v>4.7167329999999996</v>
      </c>
      <c r="E6836">
        <v>0.51734880000000005</v>
      </c>
      <c r="F6836" t="s">
        <v>41</v>
      </c>
      <c r="G6836">
        <v>-185.77950000000001</v>
      </c>
      <c r="H6836" s="1">
        <v>-2.729764E-6</v>
      </c>
      <c r="I6836">
        <v>54.250790000000002</v>
      </c>
      <c r="J6836">
        <v>-187.0198</v>
      </c>
      <c r="K6836">
        <v>1.110528</v>
      </c>
      <c r="L6836">
        <v>-27.06372</v>
      </c>
      <c r="M6836">
        <v>5.5493369999999997E-3</v>
      </c>
      <c r="N6836">
        <v>-8.2635350000000007E-3</v>
      </c>
      <c r="O6836">
        <v>0.99995049999999996</v>
      </c>
      <c r="P6836">
        <v>-3.6822300000000002E-2</v>
      </c>
      <c r="Q6836">
        <v>0.19475139999999999</v>
      </c>
      <c r="R6836">
        <v>0.98016119999999995</v>
      </c>
      <c r="S6836">
        <v>4.6676639999999998E-2</v>
      </c>
      <c r="T6836">
        <v>-4.1783809999999998E-2</v>
      </c>
      <c r="U6836">
        <v>3.0696110000000001</v>
      </c>
      <c r="V6836">
        <v>-4.2703230000000002E-2</v>
      </c>
      <c r="W6836">
        <v>0.20274990000000001</v>
      </c>
      <c r="X6836">
        <v>0.97829900000000003</v>
      </c>
      <c r="Y6836">
        <v>9.6540789999999994E-3</v>
      </c>
      <c r="Z6836">
        <v>-5.3465240000000001E-3</v>
      </c>
      <c r="AA6836">
        <v>0.99993909999999997</v>
      </c>
      <c r="AB6836">
        <v>25</v>
      </c>
      <c r="AC6836">
        <v>1.24029999999999</v>
      </c>
      <c r="AD6836">
        <v>-1.1105307297639999</v>
      </c>
      <c r="AE6836">
        <v>81.314509999999999</v>
      </c>
      <c r="AF6836">
        <v>0.78887678633793301</v>
      </c>
      <c r="AG6836">
        <v>-1.1105307297639999</v>
      </c>
      <c r="AH6836">
        <v>81.304979471145103</v>
      </c>
      <c r="AI6836">
        <v>90.782507706852698</v>
      </c>
      <c r="AJ6836">
        <v>89.444094415858402</v>
      </c>
      <c r="AK6836">
        <v>81.316390056919602</v>
      </c>
      <c r="AL6836">
        <v>78.302188174910398</v>
      </c>
      <c r="AM6836">
        <v>92.499402189814504</v>
      </c>
      <c r="AN6836">
        <v>1.0000000106017199</v>
      </c>
    </row>
    <row r="6837" spans="1:40" x14ac:dyDescent="0.25">
      <c r="A6837" t="str">
        <f>"20190304155807202"</f>
        <v>20190304155807202</v>
      </c>
      <c r="B6837" t="str">
        <f>"1551686287191467"</f>
        <v>1551686287191467</v>
      </c>
      <c r="C6837" t="s">
        <v>40</v>
      </c>
      <c r="D6837">
        <v>4.729603</v>
      </c>
      <c r="E6837">
        <v>0.5171422</v>
      </c>
      <c r="F6837" t="s">
        <v>41</v>
      </c>
      <c r="G6837">
        <v>-185.5916</v>
      </c>
      <c r="H6837" s="1">
        <v>-2.9348280000000002E-6</v>
      </c>
      <c r="I6837">
        <v>74.651129999999995</v>
      </c>
      <c r="J6837">
        <v>-187.0198</v>
      </c>
      <c r="K6837">
        <v>1.1104959999999999</v>
      </c>
      <c r="L6837">
        <v>-26.793399999999998</v>
      </c>
      <c r="M6837">
        <v>4.1671470000000004E-3</v>
      </c>
      <c r="N6837">
        <v>-8.2191550000000006E-3</v>
      </c>
      <c r="O6837">
        <v>0.9999576</v>
      </c>
      <c r="P6837">
        <v>-3.7654439999999997E-2</v>
      </c>
      <c r="Q6837">
        <v>0.19491269999999999</v>
      </c>
      <c r="R6837">
        <v>0.98009749999999995</v>
      </c>
      <c r="S6837">
        <v>4.3090820000000002E-2</v>
      </c>
      <c r="T6837">
        <v>-3.3507589999999997E-2</v>
      </c>
      <c r="U6837">
        <v>3.069</v>
      </c>
      <c r="V6837">
        <v>-4.2168940000000002E-2</v>
      </c>
      <c r="W6837">
        <v>0.20287169999999999</v>
      </c>
      <c r="X6837">
        <v>0.97829690000000002</v>
      </c>
      <c r="Y6837">
        <v>9.8714619999999993E-3</v>
      </c>
      <c r="Z6837">
        <v>-2.6976880000000002E-3</v>
      </c>
      <c r="AA6837">
        <v>0.99994760000000005</v>
      </c>
      <c r="AB6837">
        <v>25</v>
      </c>
      <c r="AC6837">
        <v>1.4281999999999999</v>
      </c>
      <c r="AD6837">
        <v>-1.1104989348280001</v>
      </c>
      <c r="AE6837">
        <v>101.44453</v>
      </c>
      <c r="AF6837">
        <v>1.00531862877385</v>
      </c>
      <c r="AG6837">
        <v>-1.1104989348280001</v>
      </c>
      <c r="AH6837">
        <v>101.437447641529</v>
      </c>
      <c r="AI6837">
        <v>90.627196737359995</v>
      </c>
      <c r="AJ6837">
        <v>89.432175887142705</v>
      </c>
      <c r="AK6837">
        <v>101.448507418579</v>
      </c>
      <c r="AL6837">
        <v>78.295061141157504</v>
      </c>
      <c r="AM6837">
        <v>92.4681746284095</v>
      </c>
      <c r="AN6837">
        <v>0.99999998535561097</v>
      </c>
    </row>
    <row r="6838" spans="1:40" x14ac:dyDescent="0.25">
      <c r="A6838" t="str">
        <f>"20190304155807222"</f>
        <v>20190304155807222</v>
      </c>
      <c r="B6838" t="str">
        <f>"1551686287211963"</f>
        <v>1551686287211963</v>
      </c>
      <c r="C6838" t="s">
        <v>40</v>
      </c>
      <c r="D6838">
        <v>4.7359309999999999</v>
      </c>
      <c r="E6838">
        <v>0.51689609999999997</v>
      </c>
      <c r="F6838" t="s">
        <v>41</v>
      </c>
      <c r="G6838">
        <v>-185.7424</v>
      </c>
      <c r="H6838" s="1">
        <v>-3.320713E-6</v>
      </c>
      <c r="I6838">
        <v>75.612960000000001</v>
      </c>
      <c r="J6838">
        <v>-187.02010000000001</v>
      </c>
      <c r="K6838">
        <v>1.110457</v>
      </c>
      <c r="L6838">
        <v>-26.548739999999999</v>
      </c>
      <c r="M6838">
        <v>2.9654759999999999E-3</v>
      </c>
      <c r="N6838">
        <v>-8.1798530000000008E-3</v>
      </c>
      <c r="O6838">
        <v>0.99996220000000002</v>
      </c>
      <c r="P6838">
        <v>-3.916012E-2</v>
      </c>
      <c r="Q6838">
        <v>0.1939728</v>
      </c>
      <c r="R6838">
        <v>0.98022500000000001</v>
      </c>
      <c r="S6838">
        <v>3.82843E-2</v>
      </c>
      <c r="T6838">
        <v>-3.3280369999999997E-2</v>
      </c>
      <c r="U6838">
        <v>3.069</v>
      </c>
      <c r="V6838">
        <v>-4.2481829999999998E-2</v>
      </c>
      <c r="W6838">
        <v>0.20189670000000001</v>
      </c>
      <c r="X6838">
        <v>0.97848500000000005</v>
      </c>
      <c r="Y6838">
        <v>9.5073659999999997E-3</v>
      </c>
      <c r="Z6838">
        <v>-2.663084E-3</v>
      </c>
      <c r="AA6838">
        <v>0.99995120000000004</v>
      </c>
      <c r="AB6838">
        <v>26</v>
      </c>
      <c r="AC6838">
        <v>1.27770000000001</v>
      </c>
      <c r="AD6838">
        <v>-1.1104603207129999</v>
      </c>
      <c r="AE6838">
        <v>102.1617</v>
      </c>
      <c r="AF6838">
        <v>0.97461106080847504</v>
      </c>
      <c r="AG6838">
        <v>-1.1104603207129999</v>
      </c>
      <c r="AH6838">
        <v>102.152972497874</v>
      </c>
      <c r="AI6838">
        <v>90.622784506203402</v>
      </c>
      <c r="AJ6838">
        <v>89.453374631532498</v>
      </c>
      <c r="AK6838">
        <v>102.163656840361</v>
      </c>
      <c r="AL6838">
        <v>78.352104439330006</v>
      </c>
      <c r="AM6838">
        <v>92.485987988674196</v>
      </c>
      <c r="AN6838">
        <v>0.999999939288017</v>
      </c>
    </row>
    <row r="6839" spans="1:40" x14ac:dyDescent="0.25">
      <c r="A6839" t="str">
        <f>"20190304155807243"</f>
        <v>20190304155807243</v>
      </c>
      <c r="B6839" t="str">
        <f>"1551686287241243"</f>
        <v>1551686287241243</v>
      </c>
      <c r="C6839" t="s">
        <v>40</v>
      </c>
      <c r="D6839">
        <v>4.7257610000000003</v>
      </c>
      <c r="E6839">
        <v>0.51659739999999998</v>
      </c>
      <c r="F6839" t="s">
        <v>41</v>
      </c>
      <c r="G6839">
        <v>-186.0445</v>
      </c>
      <c r="H6839" s="1">
        <v>-3.6283550000000001E-6</v>
      </c>
      <c r="I6839">
        <v>66.455010000000001</v>
      </c>
      <c r="J6839">
        <v>-187.02070000000001</v>
      </c>
      <c r="K6839">
        <v>1.1104179999999999</v>
      </c>
      <c r="L6839">
        <v>-26.304079999999999</v>
      </c>
      <c r="M6839">
        <v>1.826084E-3</v>
      </c>
      <c r="N6839">
        <v>-8.1408100000000001E-3</v>
      </c>
      <c r="O6839">
        <v>0.9999652</v>
      </c>
      <c r="P6839">
        <v>-4.1173300000000003E-2</v>
      </c>
      <c r="Q6839">
        <v>0.19258110000000001</v>
      </c>
      <c r="R6839">
        <v>0.98041690000000004</v>
      </c>
      <c r="S6839">
        <v>3.2196040000000002E-2</v>
      </c>
      <c r="T6839">
        <v>-3.6644459999999997E-2</v>
      </c>
      <c r="U6839">
        <v>3.069061</v>
      </c>
      <c r="V6839">
        <v>-4.3357949999999999E-2</v>
      </c>
      <c r="W6839">
        <v>0.2004707</v>
      </c>
      <c r="X6839">
        <v>0.97873980000000005</v>
      </c>
      <c r="Y6839">
        <v>8.6630969999999998E-3</v>
      </c>
      <c r="Z6839">
        <v>-3.7979770000000001E-3</v>
      </c>
      <c r="AA6839">
        <v>0.99995520000000004</v>
      </c>
      <c r="AB6839">
        <v>26</v>
      </c>
      <c r="AC6839">
        <v>0.97620000000000495</v>
      </c>
      <c r="AD6839">
        <v>-1.1104216283549999</v>
      </c>
      <c r="AE6839">
        <v>92.75909</v>
      </c>
      <c r="AF6839">
        <v>0.80669127929098605</v>
      </c>
      <c r="AG6839">
        <v>-1.1104216283549999</v>
      </c>
      <c r="AH6839">
        <v>92.747428270573806</v>
      </c>
      <c r="AI6839">
        <v>90.685916884899896</v>
      </c>
      <c r="AJ6839">
        <v>89.501669846073796</v>
      </c>
      <c r="AK6839">
        <v>92.757583182282403</v>
      </c>
      <c r="AL6839">
        <v>78.435514425705605</v>
      </c>
      <c r="AM6839">
        <v>92.536531548336299</v>
      </c>
      <c r="AN6839">
        <v>1.0000000047453601</v>
      </c>
    </row>
    <row r="6840" spans="1:40" x14ac:dyDescent="0.25">
      <c r="A6840" t="str">
        <f>"20190304155807265"</f>
        <v>20190304155807265</v>
      </c>
      <c r="B6840" t="str">
        <f>"1551686287261739"</f>
        <v>1551686287261739</v>
      </c>
      <c r="C6840" t="s">
        <v>40</v>
      </c>
      <c r="D6840">
        <v>4.7780959999999997</v>
      </c>
      <c r="E6840">
        <v>0.51648459999999996</v>
      </c>
      <c r="F6840" t="s">
        <v>41</v>
      </c>
      <c r="G6840">
        <v>-186.36420000000001</v>
      </c>
      <c r="H6840" s="1">
        <v>-4.1455469999999998E-6</v>
      </c>
      <c r="I6840">
        <v>57.7928</v>
      </c>
      <c r="J6840">
        <v>-187.0215</v>
      </c>
      <c r="K6840">
        <v>1.1103609999999999</v>
      </c>
      <c r="L6840">
        <v>-26.052520000000001</v>
      </c>
      <c r="M6840">
        <v>7.3165289999999896E-4</v>
      </c>
      <c r="N6840">
        <v>-8.0997840000000005E-3</v>
      </c>
      <c r="O6840">
        <v>0.99996689999999999</v>
      </c>
      <c r="P6840">
        <v>-4.3655020000000003E-2</v>
      </c>
      <c r="Q6840">
        <v>0.19226370000000001</v>
      </c>
      <c r="R6840">
        <v>0.98037180000000002</v>
      </c>
      <c r="S6840">
        <v>2.39563E-2</v>
      </c>
      <c r="T6840">
        <v>-4.0521740000000001E-2</v>
      </c>
      <c r="U6840">
        <v>3.0688780000000002</v>
      </c>
      <c r="V6840">
        <v>-4.4741709999999997E-2</v>
      </c>
      <c r="W6840">
        <v>0.20011609999999999</v>
      </c>
      <c r="X6840">
        <v>0.97875009999999996</v>
      </c>
      <c r="Y6840">
        <v>7.0736009999999997E-3</v>
      </c>
      <c r="Z6840">
        <v>-5.1030779999999996E-3</v>
      </c>
      <c r="AA6840">
        <v>0.99996200000000002</v>
      </c>
      <c r="AB6840">
        <v>26</v>
      </c>
      <c r="AC6840">
        <v>0.657299999999992</v>
      </c>
      <c r="AD6840">
        <v>-1.1103651455470001</v>
      </c>
      <c r="AE6840">
        <v>83.845320000000001</v>
      </c>
      <c r="AF6840">
        <v>0.59584764646354305</v>
      </c>
      <c r="AG6840">
        <v>-1.1103651455470001</v>
      </c>
      <c r="AH6840">
        <v>83.831077302780699</v>
      </c>
      <c r="AI6840">
        <v>90.758834455384203</v>
      </c>
      <c r="AJ6840">
        <v>89.592764621607799</v>
      </c>
      <c r="AK6840">
        <v>83.840547868671806</v>
      </c>
      <c r="AL6840">
        <v>78.456251864409893</v>
      </c>
      <c r="AM6840">
        <v>92.617346082804701</v>
      </c>
      <c r="AN6840">
        <v>1.0000000161714699</v>
      </c>
    </row>
    <row r="6841" spans="1:40" x14ac:dyDescent="0.25">
      <c r="A6841" t="str">
        <f>"20190304155807287"</f>
        <v>20190304155807287</v>
      </c>
      <c r="B6841" t="str">
        <f>"1551686287281259"</f>
        <v>1551686287281259</v>
      </c>
      <c r="C6841" t="s">
        <v>40</v>
      </c>
      <c r="D6841">
        <v>4.6781389999999998</v>
      </c>
      <c r="E6841">
        <v>0.51669290000000001</v>
      </c>
      <c r="F6841" t="s">
        <v>41</v>
      </c>
      <c r="G6841">
        <v>-186.58699999999999</v>
      </c>
      <c r="H6841" s="1">
        <v>-3.7706430000000001E-6</v>
      </c>
      <c r="I6841">
        <v>57.011000000000003</v>
      </c>
      <c r="J6841">
        <v>-187.0224</v>
      </c>
      <c r="K6841">
        <v>1.1102879999999999</v>
      </c>
      <c r="L6841">
        <v>-25.80209</v>
      </c>
      <c r="M6841">
        <v>-2.67376E-4</v>
      </c>
      <c r="N6841">
        <v>-8.0605969999999992E-3</v>
      </c>
      <c r="O6841">
        <v>0.99996750000000001</v>
      </c>
      <c r="P6841">
        <v>-4.6795219999999998E-2</v>
      </c>
      <c r="Q6841">
        <v>0.19175980000000001</v>
      </c>
      <c r="R6841">
        <v>0.98032560000000002</v>
      </c>
      <c r="S6841">
        <v>1.6052250000000001E-2</v>
      </c>
      <c r="T6841">
        <v>-4.1022900000000001E-2</v>
      </c>
      <c r="U6841">
        <v>3.0688170000000001</v>
      </c>
      <c r="V6841">
        <v>-4.6872240000000003E-2</v>
      </c>
      <c r="W6841">
        <v>0.19957649999999999</v>
      </c>
      <c r="X6841">
        <v>0.97876050000000003</v>
      </c>
      <c r="Y6841">
        <v>5.4975220000000003E-3</v>
      </c>
      <c r="Z6841">
        <v>-5.3059530000000004E-3</v>
      </c>
      <c r="AA6841">
        <v>0.99997080000000005</v>
      </c>
      <c r="AB6841">
        <v>26</v>
      </c>
      <c r="AC6841">
        <v>0.43539999999998702</v>
      </c>
      <c r="AD6841">
        <v>-1.110291770643</v>
      </c>
      <c r="AE6841">
        <v>82.813090000000003</v>
      </c>
      <c r="AF6841">
        <v>0.45746070835837099</v>
      </c>
      <c r="AG6841">
        <v>-1.110291770643</v>
      </c>
      <c r="AH6841">
        <v>82.798087823145806</v>
      </c>
      <c r="AI6841">
        <v>90.768257465480502</v>
      </c>
      <c r="AJ6841">
        <v>89.683443158211603</v>
      </c>
      <c r="AK6841">
        <v>82.806795405238404</v>
      </c>
      <c r="AL6841">
        <v>78.487804426857195</v>
      </c>
      <c r="AM6841">
        <v>92.741765035616694</v>
      </c>
      <c r="AN6841">
        <v>0.99999995129755703</v>
      </c>
    </row>
    <row r="6842" spans="1:40" x14ac:dyDescent="0.25">
      <c r="A6842" t="str">
        <f>"20190304155807311"</f>
        <v>20190304155807311</v>
      </c>
      <c r="B6842" t="str">
        <f>"1551686287300779"</f>
        <v>1551686287300779</v>
      </c>
      <c r="C6842" t="s">
        <v>40</v>
      </c>
      <c r="D6842">
        <v>4.6578169999999997</v>
      </c>
      <c r="E6842">
        <v>0.51696929999999996</v>
      </c>
      <c r="F6842" t="s">
        <v>41</v>
      </c>
      <c r="G6842">
        <v>-186.76900000000001</v>
      </c>
      <c r="H6842" s="1">
        <v>-1.8335849999999999E-6</v>
      </c>
      <c r="I6842">
        <v>62.509909999999998</v>
      </c>
      <c r="J6842">
        <v>-187.02369999999999</v>
      </c>
      <c r="K6842">
        <v>1.110204</v>
      </c>
      <c r="L6842">
        <v>-25.52441</v>
      </c>
      <c r="M6842">
        <v>-1.2527020000000001E-3</v>
      </c>
      <c r="N6842">
        <v>-8.0218849999999994E-3</v>
      </c>
      <c r="O6842">
        <v>0.99996700000000005</v>
      </c>
      <c r="P6842">
        <v>-5.0001440000000001E-2</v>
      </c>
      <c r="Q6842">
        <v>0.1920548</v>
      </c>
      <c r="R6842">
        <v>0.98010960000000003</v>
      </c>
      <c r="S6842">
        <v>8.8043210000000004E-3</v>
      </c>
      <c r="T6842">
        <v>-3.8574219999999999E-2</v>
      </c>
      <c r="U6842">
        <v>3.0681759999999998</v>
      </c>
      <c r="V6842">
        <v>-4.9074649999999997E-2</v>
      </c>
      <c r="W6842">
        <v>0.1998376</v>
      </c>
      <c r="X6842">
        <v>0.97859929999999995</v>
      </c>
      <c r="Y6842">
        <v>4.1219150000000003E-3</v>
      </c>
      <c r="Z6842">
        <v>-4.5496030000000002E-3</v>
      </c>
      <c r="AA6842">
        <v>0.99998120000000001</v>
      </c>
      <c r="AB6842">
        <v>26</v>
      </c>
      <c r="AC6842">
        <v>0.25469999999998499</v>
      </c>
      <c r="AD6842">
        <v>-1.110205833585</v>
      </c>
      <c r="AE6842">
        <v>88.034319999999994</v>
      </c>
      <c r="AF6842">
        <v>0.36492608481502398</v>
      </c>
      <c r="AG6842">
        <v>-1.110205833585</v>
      </c>
      <c r="AH6842">
        <v>88.019933383652202</v>
      </c>
      <c r="AI6842">
        <v>90.722633915665796</v>
      </c>
      <c r="AJ6842">
        <v>89.762456026806902</v>
      </c>
      <c r="AK6842">
        <v>88.027691102873305</v>
      </c>
      <c r="AL6842">
        <v>78.472537382781695</v>
      </c>
      <c r="AM6842">
        <v>92.870855166659396</v>
      </c>
      <c r="AN6842">
        <v>0.99999998880343599</v>
      </c>
    </row>
    <row r="6843" spans="1:40" x14ac:dyDescent="0.25">
      <c r="A6843" t="str">
        <f>"20190304155807332"</f>
        <v>20190304155807332</v>
      </c>
      <c r="B6843" t="str">
        <f>"1551686287321275"</f>
        <v>1551686287321275</v>
      </c>
      <c r="C6843" t="s">
        <v>40</v>
      </c>
      <c r="D6843">
        <v>4.6380109999999997</v>
      </c>
      <c r="E6843">
        <v>0.51692819999999995</v>
      </c>
      <c r="F6843" t="s">
        <v>41</v>
      </c>
      <c r="G6843">
        <v>-186.95500000000001</v>
      </c>
      <c r="H6843" s="1">
        <v>-2.2956609999999999E-6</v>
      </c>
      <c r="I6843">
        <v>73.724959999999996</v>
      </c>
      <c r="J6843">
        <v>-187.0248</v>
      </c>
      <c r="K6843">
        <v>1.1101270000000001</v>
      </c>
      <c r="L6843">
        <v>-25.289180000000002</v>
      </c>
      <c r="M6843">
        <v>-1.971988E-3</v>
      </c>
      <c r="N6843">
        <v>-7.9932479999999997E-3</v>
      </c>
      <c r="O6843">
        <v>0.99996609999999997</v>
      </c>
      <c r="P6843">
        <v>-5.2366290000000003E-2</v>
      </c>
      <c r="Q6843">
        <v>0.19295770000000001</v>
      </c>
      <c r="R6843">
        <v>0.97980869999999998</v>
      </c>
      <c r="S6843">
        <v>2.120972E-3</v>
      </c>
      <c r="T6843">
        <v>-3.431559E-2</v>
      </c>
      <c r="U6843">
        <v>3.0677189999999999</v>
      </c>
      <c r="V6843">
        <v>-5.0699889999999997E-2</v>
      </c>
      <c r="W6843">
        <v>0.20071729999999999</v>
      </c>
      <c r="X6843">
        <v>0.97833639999999999</v>
      </c>
      <c r="Y6843">
        <v>2.6632259999999999E-3</v>
      </c>
      <c r="Z6843">
        <v>-3.192163E-3</v>
      </c>
      <c r="AA6843">
        <v>0.99999139999999997</v>
      </c>
      <c r="AB6843">
        <v>26</v>
      </c>
      <c r="AC6843">
        <v>6.9799999999986498E-2</v>
      </c>
      <c r="AD6843">
        <v>-1.110129295661</v>
      </c>
      <c r="AE6843">
        <v>99.014139999999998</v>
      </c>
      <c r="AF6843">
        <v>0.26502748458484598</v>
      </c>
      <c r="AG6843">
        <v>-1.110129295661</v>
      </c>
      <c r="AH6843">
        <v>99.001364854124702</v>
      </c>
      <c r="AI6843">
        <v>90.642443969274296</v>
      </c>
      <c r="AJ6843">
        <v>89.846619083782102</v>
      </c>
      <c r="AK6843">
        <v>99.007943467179302</v>
      </c>
      <c r="AL6843">
        <v>78.421092236500499</v>
      </c>
      <c r="AM6843">
        <v>92.966559831512399</v>
      </c>
      <c r="AN6843">
        <v>1.00000001246513</v>
      </c>
    </row>
    <row r="6844" spans="1:40" x14ac:dyDescent="0.25">
      <c r="A6844" t="str">
        <f>"20190304155807355"</f>
        <v>20190304155807355</v>
      </c>
      <c r="B6844" t="str">
        <f>"1551686287351531"</f>
        <v>1551686287351531</v>
      </c>
      <c r="C6844" t="s">
        <v>40</v>
      </c>
      <c r="D6844">
        <v>4.7253299999999996</v>
      </c>
      <c r="E6844">
        <v>0.48684680000000002</v>
      </c>
      <c r="F6844" t="s">
        <v>41</v>
      </c>
      <c r="G6844">
        <v>-187.18989999999999</v>
      </c>
      <c r="H6844" s="1">
        <v>-3.2741219999999999E-6</v>
      </c>
      <c r="I6844">
        <v>86.102909999999994</v>
      </c>
      <c r="J6844">
        <v>-187.02619999999999</v>
      </c>
      <c r="K6844">
        <v>1.1100460000000001</v>
      </c>
      <c r="L6844">
        <v>-25.015080000000001</v>
      </c>
      <c r="M6844">
        <v>-2.6930109999999999E-3</v>
      </c>
      <c r="N6844">
        <v>-7.9641109999999994E-3</v>
      </c>
      <c r="O6844">
        <v>0.99996470000000004</v>
      </c>
      <c r="P6844">
        <v>-5.3947710000000003E-2</v>
      </c>
      <c r="Q6844">
        <v>0.19405990000000001</v>
      </c>
      <c r="R6844">
        <v>0.97950519999999996</v>
      </c>
      <c r="S6844">
        <v>-4.5471189999999996E-3</v>
      </c>
      <c r="T6844">
        <v>-3.0571580000000001E-2</v>
      </c>
      <c r="U6844">
        <v>3.067596</v>
      </c>
      <c r="V6844">
        <v>-5.15363E-2</v>
      </c>
      <c r="W6844">
        <v>0.20179820000000001</v>
      </c>
      <c r="X6844">
        <v>0.97807029999999995</v>
      </c>
      <c r="Y6844">
        <v>1.21071E-3</v>
      </c>
      <c r="Z6844">
        <v>-2.0013980000000002E-3</v>
      </c>
      <c r="AA6844">
        <v>0.99999729999999998</v>
      </c>
      <c r="AB6844">
        <v>26</v>
      </c>
      <c r="AC6844">
        <v>-0.16370000000000501</v>
      </c>
      <c r="AD6844">
        <v>-1.1100492741219901</v>
      </c>
      <c r="AE6844">
        <v>111.11799000000001</v>
      </c>
      <c r="AF6844">
        <v>0.13553851516179499</v>
      </c>
      <c r="AG6844">
        <v>-1.1100492741219901</v>
      </c>
      <c r="AH6844">
        <v>111.106939831497</v>
      </c>
      <c r="AI6844">
        <v>90.572412265303598</v>
      </c>
      <c r="AJ6844">
        <v>89.930105346796196</v>
      </c>
      <c r="AK6844">
        <v>111.112567510611</v>
      </c>
      <c r="AL6844">
        <v>78.357867486389196</v>
      </c>
      <c r="AM6844">
        <v>93.016229271613199</v>
      </c>
      <c r="AN6844">
        <v>1.0000000077415101</v>
      </c>
    </row>
    <row r="6845" spans="1:40" x14ac:dyDescent="0.25">
      <c r="A6845" t="str">
        <f>"20190304155807377"</f>
        <v>20190304155807377</v>
      </c>
      <c r="B6845" t="str">
        <f>"1551686287371051"</f>
        <v>1551686287371051</v>
      </c>
      <c r="C6845" t="s">
        <v>40</v>
      </c>
      <c r="D6845">
        <v>4.6292309999999999</v>
      </c>
      <c r="E6845">
        <v>0.48848320000000001</v>
      </c>
      <c r="F6845" t="s">
        <v>44</v>
      </c>
      <c r="G6845">
        <v>-212.85820000000001</v>
      </c>
      <c r="H6845">
        <v>-0.05</v>
      </c>
      <c r="I6845">
        <v>291.8356</v>
      </c>
      <c r="J6845">
        <v>-187.02760000000001</v>
      </c>
      <c r="K6845">
        <v>1.1099600000000001</v>
      </c>
      <c r="L6845">
        <v>-24.748439999999999</v>
      </c>
      <c r="M6845">
        <v>-3.2713389999999998E-3</v>
      </c>
      <c r="N6845">
        <v>-7.9395490000000006E-3</v>
      </c>
      <c r="O6845">
        <v>0.99996309999999999</v>
      </c>
      <c r="P6845">
        <v>-5.468874E-2</v>
      </c>
      <c r="Q6845">
        <v>0.19531660000000001</v>
      </c>
      <c r="R6845">
        <v>0.97921429999999998</v>
      </c>
      <c r="S6845">
        <v>-0.24876400000000001</v>
      </c>
      <c r="T6845">
        <v>-1.117134E-2</v>
      </c>
      <c r="U6845">
        <v>3.0512999999999999</v>
      </c>
      <c r="V6845">
        <v>-5.1675270000000002E-2</v>
      </c>
      <c r="W6845">
        <v>0.20303789999999999</v>
      </c>
      <c r="X6845">
        <v>0.97780630000000002</v>
      </c>
      <c r="Y6845">
        <v>-7.7992249999999999E-2</v>
      </c>
      <c r="Z6845">
        <v>4.2890640000000004E-3</v>
      </c>
      <c r="AA6845">
        <v>0.99694470000000002</v>
      </c>
      <c r="AB6845">
        <v>26</v>
      </c>
      <c r="AC6845">
        <v>-25.8306</v>
      </c>
      <c r="AD6845">
        <v>-1.1599600000000001</v>
      </c>
      <c r="AE6845">
        <v>316.58404000000002</v>
      </c>
      <c r="AF6845">
        <v>-24.7944447247589</v>
      </c>
      <c r="AG6845">
        <v>-1.1599600000000001</v>
      </c>
      <c r="AH6845">
        <v>316.662626195923</v>
      </c>
      <c r="AI6845">
        <v>90.209237580743704</v>
      </c>
      <c r="AJ6845">
        <v>94.477081896596999</v>
      </c>
      <c r="AK6845">
        <v>317.63395414487701</v>
      </c>
      <c r="AL6845">
        <v>78.285335664854102</v>
      </c>
      <c r="AM6845">
        <v>93.025162626842501</v>
      </c>
      <c r="AN6845">
        <v>0.99999994134283399</v>
      </c>
    </row>
    <row r="6846" spans="1:40" x14ac:dyDescent="0.25">
      <c r="A6846" t="str">
        <f>"20190304155807400"</f>
        <v>20190304155807400</v>
      </c>
      <c r="B6846" t="str">
        <f>"1551686287391017"</f>
        <v>1551686287391017</v>
      </c>
      <c r="C6846" t="s">
        <v>40</v>
      </c>
      <c r="D6846">
        <v>4.6375909999999996</v>
      </c>
      <c r="E6846">
        <v>0.49091940000000001</v>
      </c>
      <c r="F6846" t="s">
        <v>41</v>
      </c>
      <c r="G6846">
        <v>-194.5592</v>
      </c>
      <c r="H6846" s="1">
        <v>-2.405728E-6</v>
      </c>
      <c r="I6846">
        <v>72.369159999999994</v>
      </c>
      <c r="J6846">
        <v>-187.0291</v>
      </c>
      <c r="K6846">
        <v>1.109877</v>
      </c>
      <c r="L6846">
        <v>-24.47617</v>
      </c>
      <c r="M6846">
        <v>-3.7261360000000001E-3</v>
      </c>
      <c r="N6846">
        <v>-7.9182390000000005E-3</v>
      </c>
      <c r="O6846">
        <v>0.99996169999999995</v>
      </c>
      <c r="P6846">
        <v>-5.4975929999999999E-2</v>
      </c>
      <c r="Q6846">
        <v>0.19596620000000001</v>
      </c>
      <c r="R6846">
        <v>0.97906839999999995</v>
      </c>
      <c r="S6846">
        <v>-0.23710629999999999</v>
      </c>
      <c r="T6846">
        <v>-3.4943219999999997E-2</v>
      </c>
      <c r="U6846">
        <v>3.057404</v>
      </c>
      <c r="V6846">
        <v>-5.1477149999999999E-2</v>
      </c>
      <c r="W6846">
        <v>0.2036761</v>
      </c>
      <c r="X6846">
        <v>0.97768409999999994</v>
      </c>
      <c r="Y6846">
        <v>-7.3597640000000006E-2</v>
      </c>
      <c r="Z6846">
        <v>-3.4786460000000002E-3</v>
      </c>
      <c r="AA6846">
        <v>0.997282</v>
      </c>
      <c r="AB6846">
        <v>26</v>
      </c>
      <c r="AC6846">
        <v>-7.5301</v>
      </c>
      <c r="AD6846">
        <v>-1.1098794057279999</v>
      </c>
      <c r="AE6846">
        <v>96.845330000000004</v>
      </c>
      <c r="AF6846">
        <v>-7.1682417224400501</v>
      </c>
      <c r="AG6846">
        <v>-1.1098794057279999</v>
      </c>
      <c r="AH6846">
        <v>96.860071635322498</v>
      </c>
      <c r="AI6846">
        <v>90.654709564332904</v>
      </c>
      <c r="AJ6846">
        <v>94.232524685009196</v>
      </c>
      <c r="AK6846">
        <v>97.131297730887994</v>
      </c>
      <c r="AL6846">
        <v>78.247990124315294</v>
      </c>
      <c r="AM6846">
        <v>93.013961719355606</v>
      </c>
      <c r="AN6846">
        <v>1.0000000250380701</v>
      </c>
    </row>
    <row r="6847" spans="1:40" x14ac:dyDescent="0.25">
      <c r="A6847" t="str">
        <f>"20190304155807422"</f>
        <v>20190304155807422</v>
      </c>
      <c r="B6847" t="str">
        <f>"1551686287411514"</f>
        <v>1551686287411514</v>
      </c>
      <c r="C6847" t="s">
        <v>40</v>
      </c>
      <c r="D6847">
        <v>4.692056</v>
      </c>
      <c r="E6847">
        <v>0.49186930000000001</v>
      </c>
      <c r="F6847" t="s">
        <v>41</v>
      </c>
      <c r="G6847">
        <v>-193.48589999999999</v>
      </c>
      <c r="H6847" s="1">
        <v>-3.668512E-6</v>
      </c>
      <c r="I6847">
        <v>65.978459999999998</v>
      </c>
      <c r="J6847">
        <v>-187.03039999999999</v>
      </c>
      <c r="K6847">
        <v>1.1097919999999999</v>
      </c>
      <c r="L6847">
        <v>-24.221920000000001</v>
      </c>
      <c r="M6847">
        <v>-4.0242300000000002E-3</v>
      </c>
      <c r="N6847">
        <v>-7.9015679999999994E-3</v>
      </c>
      <c r="O6847">
        <v>0.99996070000000004</v>
      </c>
      <c r="P6847">
        <v>-5.4850500000000003E-2</v>
      </c>
      <c r="Q6847">
        <v>0.1949967</v>
      </c>
      <c r="R6847">
        <v>0.97926899999999995</v>
      </c>
      <c r="S6847">
        <v>-0.21838379999999999</v>
      </c>
      <c r="T6847">
        <v>-3.7538769999999999E-2</v>
      </c>
      <c r="U6847">
        <v>3.0593870000000001</v>
      </c>
      <c r="V6847">
        <v>-5.1017270000000003E-2</v>
      </c>
      <c r="W6847">
        <v>0.2027032</v>
      </c>
      <c r="X6847">
        <v>0.97791030000000001</v>
      </c>
      <c r="Y6847">
        <v>-6.7179660000000002E-2</v>
      </c>
      <c r="Z6847">
        <v>-4.3393040000000004E-3</v>
      </c>
      <c r="AA6847">
        <v>0.99773140000000005</v>
      </c>
      <c r="AB6847">
        <v>26</v>
      </c>
      <c r="AC6847">
        <v>-6.4554999999999998</v>
      </c>
      <c r="AD6847">
        <v>-1.1097956685120001</v>
      </c>
      <c r="AE6847">
        <v>90.200379999999996</v>
      </c>
      <c r="AF6847">
        <v>-6.0915318846284601</v>
      </c>
      <c r="AG6847">
        <v>-1.1097956685120001</v>
      </c>
      <c r="AH6847">
        <v>90.212042074326803</v>
      </c>
      <c r="AI6847">
        <v>90.703220444084195</v>
      </c>
      <c r="AJ6847">
        <v>93.863010382225497</v>
      </c>
      <c r="AK6847">
        <v>90.4242829241538</v>
      </c>
      <c r="AL6847">
        <v>78.304919930889298</v>
      </c>
      <c r="AM6847">
        <v>92.9863952640831</v>
      </c>
      <c r="AN6847">
        <v>0.99999995198728997</v>
      </c>
    </row>
    <row r="6848" spans="1:40" x14ac:dyDescent="0.25">
      <c r="A6848" t="str">
        <f>"20190304155807442"</f>
        <v>20190304155807442</v>
      </c>
      <c r="B6848" t="str">
        <f>"1551686287440794"</f>
        <v>1551686287440794</v>
      </c>
      <c r="C6848" t="s">
        <v>40</v>
      </c>
      <c r="D6848">
        <v>4.6180059999999896</v>
      </c>
      <c r="E6848">
        <v>0.49170979999999997</v>
      </c>
      <c r="F6848" t="s">
        <v>41</v>
      </c>
      <c r="G6848">
        <v>-191.59229999999999</v>
      </c>
      <c r="H6848" s="1">
        <v>-1.609308E-6</v>
      </c>
      <c r="I6848">
        <v>42.352870000000003</v>
      </c>
      <c r="J6848">
        <v>-187.0317</v>
      </c>
      <c r="K6848">
        <v>1.109701</v>
      </c>
      <c r="L6848">
        <v>-23.97766</v>
      </c>
      <c r="M6848">
        <v>-4.2037009999999998E-3</v>
      </c>
      <c r="N6848">
        <v>-7.8882889999999997E-3</v>
      </c>
      <c r="O6848">
        <v>0.99996010000000002</v>
      </c>
      <c r="P6848">
        <v>-5.521703E-2</v>
      </c>
      <c r="Q6848">
        <v>0.1938406</v>
      </c>
      <c r="R6848">
        <v>0.97947790000000001</v>
      </c>
      <c r="S6848">
        <v>-0.2098083</v>
      </c>
      <c r="T6848">
        <v>-5.1041839999999998E-2</v>
      </c>
      <c r="U6848">
        <v>3.0619200000000002</v>
      </c>
      <c r="V6848">
        <v>-5.1166839999999998E-2</v>
      </c>
      <c r="W6848">
        <v>0.20154549999999999</v>
      </c>
      <c r="X6848">
        <v>0.97814179999999995</v>
      </c>
      <c r="Y6848">
        <v>-6.4158110000000004E-2</v>
      </c>
      <c r="Z6848">
        <v>-8.7441020000000001E-3</v>
      </c>
      <c r="AA6848">
        <v>0.99790140000000005</v>
      </c>
      <c r="AB6848">
        <v>26</v>
      </c>
      <c r="AC6848">
        <v>-4.5605999999999902</v>
      </c>
      <c r="AD6848">
        <v>-1.109702609308</v>
      </c>
      <c r="AE6848">
        <v>66.330529999999996</v>
      </c>
      <c r="AF6848">
        <v>-4.2805248885989302</v>
      </c>
      <c r="AG6848">
        <v>-1.109702609308</v>
      </c>
      <c r="AH6848">
        <v>66.330638004696397</v>
      </c>
      <c r="AI6848">
        <v>90.956472046816103</v>
      </c>
      <c r="AJ6848">
        <v>93.692357066491397</v>
      </c>
      <c r="AK6848">
        <v>66.477875051125807</v>
      </c>
      <c r="AL6848">
        <v>78.372649858209499</v>
      </c>
      <c r="AM6848">
        <v>92.994427138891794</v>
      </c>
      <c r="AN6848">
        <v>1.0000000074965301</v>
      </c>
    </row>
    <row r="6849" spans="1:40" x14ac:dyDescent="0.25">
      <c r="A6849" t="str">
        <f>"20190304155807466"</f>
        <v>20190304155807466</v>
      </c>
      <c r="B6849" t="str">
        <f>"1551686287461289"</f>
        <v>1551686287461289</v>
      </c>
      <c r="C6849" t="s">
        <v>40</v>
      </c>
      <c r="D6849">
        <v>4.677028</v>
      </c>
      <c r="E6849">
        <v>0.49184640000000002</v>
      </c>
      <c r="F6849" t="s">
        <v>41</v>
      </c>
      <c r="G6849">
        <v>-191.9992</v>
      </c>
      <c r="H6849" s="1">
        <v>-4.046864E-6</v>
      </c>
      <c r="I6849">
        <v>47.836590000000001</v>
      </c>
      <c r="J6849">
        <v>-187.03309999999999</v>
      </c>
      <c r="K6849">
        <v>1.1096159999999999</v>
      </c>
      <c r="L6849">
        <v>-23.701049999999999</v>
      </c>
      <c r="M6849">
        <v>-4.3083499999999999E-3</v>
      </c>
      <c r="N6849">
        <v>-7.8760259999999995E-3</v>
      </c>
      <c r="O6849">
        <v>0.99995970000000001</v>
      </c>
      <c r="P6849">
        <v>-5.59056E-2</v>
      </c>
      <c r="Q6849">
        <v>0.19298199999999999</v>
      </c>
      <c r="R6849">
        <v>0.97960840000000005</v>
      </c>
      <c r="S6849">
        <v>-0.21168519999999999</v>
      </c>
      <c r="T6849">
        <v>-4.7288660000000003E-2</v>
      </c>
      <c r="U6849">
        <v>3.0602719999999999</v>
      </c>
      <c r="V6849">
        <v>-5.1711590000000002E-2</v>
      </c>
      <c r="W6849">
        <v>0.200686</v>
      </c>
      <c r="X6849">
        <v>0.97828979999999999</v>
      </c>
      <c r="Y6849">
        <v>-6.4700369999999993E-2</v>
      </c>
      <c r="Z6849">
        <v>-7.5413809999999998E-3</v>
      </c>
      <c r="AA6849">
        <v>0.99787619999999999</v>
      </c>
      <c r="AB6849">
        <v>26</v>
      </c>
      <c r="AC6849">
        <v>-4.9661000000000097</v>
      </c>
      <c r="AD6849">
        <v>-1.1096200468639901</v>
      </c>
      <c r="AE6849">
        <v>71.537639999999996</v>
      </c>
      <c r="AF6849">
        <v>-4.6567201632631701</v>
      </c>
      <c r="AG6849">
        <v>-1.1096200468639901</v>
      </c>
      <c r="AH6849">
        <v>71.541242749530696</v>
      </c>
      <c r="AI6849">
        <v>90.886722412850503</v>
      </c>
      <c r="AJ6849">
        <v>93.724209154680295</v>
      </c>
      <c r="AK6849">
        <v>71.701225327567599</v>
      </c>
      <c r="AL6849">
        <v>78.422922062214298</v>
      </c>
      <c r="AM6849">
        <v>93.025791517397707</v>
      </c>
      <c r="AN6849">
        <v>0.99999994596018205</v>
      </c>
    </row>
    <row r="6850" spans="1:40" x14ac:dyDescent="0.25">
      <c r="A6850" t="str">
        <f>"20190304155807489"</f>
        <v>20190304155807489</v>
      </c>
      <c r="B6850" t="str">
        <f>"1551686287480809"</f>
        <v>1551686287480809</v>
      </c>
      <c r="C6850" t="s">
        <v>40</v>
      </c>
      <c r="D6850">
        <v>4.670026</v>
      </c>
      <c r="E6850">
        <v>0.49224420000000002</v>
      </c>
      <c r="F6850" t="s">
        <v>41</v>
      </c>
      <c r="G6850">
        <v>-191.65180000000001</v>
      </c>
      <c r="H6850" s="1">
        <v>-1.843576E-6</v>
      </c>
      <c r="I6850">
        <v>42.862009999999998</v>
      </c>
      <c r="J6850">
        <v>-187.0343</v>
      </c>
      <c r="K6850">
        <v>1.1095489999999999</v>
      </c>
      <c r="L6850">
        <v>-23.434170000000002</v>
      </c>
      <c r="M6850">
        <v>-4.3350209999999997E-3</v>
      </c>
      <c r="N6850">
        <v>-7.8665890000000002E-3</v>
      </c>
      <c r="O6850">
        <v>0.99995959999999995</v>
      </c>
      <c r="P6850">
        <v>-5.644383E-2</v>
      </c>
      <c r="Q6850">
        <v>0.19239229999999999</v>
      </c>
      <c r="R6850">
        <v>0.97969349999999999</v>
      </c>
      <c r="S6850">
        <v>-0.21235660000000001</v>
      </c>
      <c r="T6850">
        <v>-5.1016810000000003E-2</v>
      </c>
      <c r="U6850">
        <v>3.0603639999999999</v>
      </c>
      <c r="V6850">
        <v>-5.2194299999999999E-2</v>
      </c>
      <c r="W6850">
        <v>0.20009550000000001</v>
      </c>
      <c r="X6850">
        <v>0.97838519999999896</v>
      </c>
      <c r="Y6850">
        <v>-6.4888559999999998E-2</v>
      </c>
      <c r="Z6850">
        <v>-8.7652430000000007E-3</v>
      </c>
      <c r="AA6850">
        <v>0.99785400000000002</v>
      </c>
      <c r="AB6850">
        <v>26</v>
      </c>
      <c r="AC6850">
        <v>-4.6174999999999997</v>
      </c>
      <c r="AD6850">
        <v>-1.109550843576</v>
      </c>
      <c r="AE6850">
        <v>66.296179999999893</v>
      </c>
      <c r="AF6850">
        <v>-4.3288456990336197</v>
      </c>
      <c r="AG6850">
        <v>-1.109550843576</v>
      </c>
      <c r="AH6850">
        <v>66.297094255606794</v>
      </c>
      <c r="AI6850">
        <v>90.956777953533603</v>
      </c>
      <c r="AJ6850">
        <v>93.735804941254798</v>
      </c>
      <c r="AK6850">
        <v>66.447533550142694</v>
      </c>
      <c r="AL6850">
        <v>78.457456647177693</v>
      </c>
      <c r="AM6850">
        <v>93.053685802326399</v>
      </c>
      <c r="AN6850">
        <v>1.00000002682588</v>
      </c>
    </row>
    <row r="6851" spans="1:40" x14ac:dyDescent="0.25">
      <c r="A6851" t="str">
        <f>"20190304155807511"</f>
        <v>20190304155807511</v>
      </c>
      <c r="B6851" t="str">
        <f>"1551686287501305"</f>
        <v>1551686287501305</v>
      </c>
      <c r="C6851" t="s">
        <v>40</v>
      </c>
      <c r="D6851">
        <v>4.774591</v>
      </c>
      <c r="E6851">
        <v>0.49222050000000001</v>
      </c>
      <c r="F6851" t="s">
        <v>41</v>
      </c>
      <c r="G6851">
        <v>-190.8536</v>
      </c>
      <c r="H6851" s="1">
        <v>-1.3552050000000001E-6</v>
      </c>
      <c r="I6851">
        <v>32.218690000000002</v>
      </c>
      <c r="J6851">
        <v>-187.03540000000001</v>
      </c>
      <c r="K6851">
        <v>1.1095090000000001</v>
      </c>
      <c r="L6851">
        <v>-23.180019999999999</v>
      </c>
      <c r="M6851">
        <v>-4.3082950000000002E-3</v>
      </c>
      <c r="N6851">
        <v>-7.8595850000000005E-3</v>
      </c>
      <c r="O6851">
        <v>0.99995979999999995</v>
      </c>
      <c r="P6851">
        <v>-5.6696370000000003E-2</v>
      </c>
      <c r="Q6851">
        <v>0.19182959999999999</v>
      </c>
      <c r="R6851">
        <v>0.97978929999999997</v>
      </c>
      <c r="S6851">
        <v>-0.210144</v>
      </c>
      <c r="T6851">
        <v>-6.104851E-2</v>
      </c>
      <c r="U6851">
        <v>3.0620729999999998</v>
      </c>
      <c r="V6851">
        <v>-5.2455179999999997E-2</v>
      </c>
      <c r="W6851">
        <v>0.19953109999999999</v>
      </c>
      <c r="X6851">
        <v>0.97848650000000004</v>
      </c>
      <c r="Y6851">
        <v>-6.4156089999999999E-2</v>
      </c>
      <c r="Z6851">
        <v>-1.203135E-2</v>
      </c>
      <c r="AA6851">
        <v>0.99786730000000001</v>
      </c>
      <c r="AB6851">
        <v>27</v>
      </c>
      <c r="AC6851">
        <v>-3.8181999999999898</v>
      </c>
      <c r="AD6851">
        <v>-1.1095103552050001</v>
      </c>
      <c r="AE6851">
        <v>55.398710000000001</v>
      </c>
      <c r="AF6851">
        <v>-3.5780547889899998</v>
      </c>
      <c r="AG6851">
        <v>-1.1095103552050001</v>
      </c>
      <c r="AH6851">
        <v>55.392532817173397</v>
      </c>
      <c r="AI6851">
        <v>91.145093075848195</v>
      </c>
      <c r="AJ6851">
        <v>93.695859559746395</v>
      </c>
      <c r="AK6851">
        <v>55.519061422208402</v>
      </c>
      <c r="AL6851">
        <v>78.490459829001594</v>
      </c>
      <c r="AM6851">
        <v>93.0686026647125</v>
      </c>
      <c r="AN6851">
        <v>1.00000001822914</v>
      </c>
    </row>
    <row r="6852" spans="1:40" x14ac:dyDescent="0.25">
      <c r="A6852" t="str">
        <f>"20190304155807532"</f>
        <v>20190304155807532</v>
      </c>
      <c r="B6852" t="str">
        <f>"1551686287520825"</f>
        <v>1551686287520825</v>
      </c>
      <c r="C6852" t="s">
        <v>40</v>
      </c>
      <c r="D6852">
        <v>4.8129189999999999</v>
      </c>
      <c r="E6852">
        <v>0.4922356</v>
      </c>
      <c r="F6852" t="s">
        <v>41</v>
      </c>
      <c r="G6852">
        <v>-191.34530000000001</v>
      </c>
      <c r="H6852" s="1">
        <v>-4.3443689999999996E-6</v>
      </c>
      <c r="I6852">
        <v>39.051659999999998</v>
      </c>
      <c r="J6852">
        <v>-187.03649999999999</v>
      </c>
      <c r="K6852">
        <v>1.1094790000000001</v>
      </c>
      <c r="L6852">
        <v>-22.9194</v>
      </c>
      <c r="M6852">
        <v>-4.2469730000000002E-3</v>
      </c>
      <c r="N6852">
        <v>-7.8541840000000002E-3</v>
      </c>
      <c r="O6852">
        <v>0.99996010000000002</v>
      </c>
      <c r="P6852">
        <v>-5.6533880000000002E-2</v>
      </c>
      <c r="Q6852">
        <v>0.1914344</v>
      </c>
      <c r="R6852">
        <v>0.97987590000000002</v>
      </c>
      <c r="S6852">
        <v>-0.21194460000000001</v>
      </c>
      <c r="T6852">
        <v>-5.456138E-2</v>
      </c>
      <c r="U6852">
        <v>3.0603030000000002</v>
      </c>
      <c r="V6852">
        <v>-5.2343790000000001E-2</v>
      </c>
      <c r="W6852">
        <v>0.19913400000000001</v>
      </c>
      <c r="X6852">
        <v>0.97857329999999998</v>
      </c>
      <c r="Y6852">
        <v>-6.4843070000000003E-2</v>
      </c>
      <c r="Z6852">
        <v>-9.9332899999999991E-3</v>
      </c>
      <c r="AA6852">
        <v>0.99784600000000001</v>
      </c>
      <c r="AB6852">
        <v>27</v>
      </c>
      <c r="AC6852">
        <v>-4.3088000000000104</v>
      </c>
      <c r="AD6852">
        <v>-1.109483344369</v>
      </c>
      <c r="AE6852">
        <v>61.971060000000001</v>
      </c>
      <c r="AF6852">
        <v>-4.0442735328645902</v>
      </c>
      <c r="AG6852">
        <v>-1.109483344369</v>
      </c>
      <c r="AH6852">
        <v>61.969033859142201</v>
      </c>
      <c r="AI6852">
        <v>91.023527642791805</v>
      </c>
      <c r="AJ6852">
        <v>93.733988499963303</v>
      </c>
      <c r="AK6852">
        <v>62.110774098666397</v>
      </c>
      <c r="AL6852">
        <v>78.513677281512997</v>
      </c>
      <c r="AM6852">
        <v>93.061827724546205</v>
      </c>
      <c r="AN6852">
        <v>0.99999996289022597</v>
      </c>
    </row>
    <row r="6853" spans="1:40" x14ac:dyDescent="0.25">
      <c r="A6853" t="str">
        <f>"20190304155807554"</f>
        <v>20190304155807554</v>
      </c>
      <c r="B6853" t="str">
        <f>"1551686287551081"</f>
        <v>1551686287551081</v>
      </c>
      <c r="C6853" t="s">
        <v>40</v>
      </c>
      <c r="D6853">
        <v>4.6864520000000001</v>
      </c>
      <c r="E6853">
        <v>0.49268659999999997</v>
      </c>
      <c r="F6853" t="s">
        <v>41</v>
      </c>
      <c r="G6853">
        <v>-191.36170000000001</v>
      </c>
      <c r="H6853" s="1">
        <v>-3.9553710000000002E-7</v>
      </c>
      <c r="I6853">
        <v>39.666539999999998</v>
      </c>
      <c r="J6853">
        <v>-187.0376</v>
      </c>
      <c r="K6853">
        <v>1.1094599999999999</v>
      </c>
      <c r="L6853">
        <v>-22.655059999999999</v>
      </c>
      <c r="M6853">
        <v>-4.1703740000000001E-3</v>
      </c>
      <c r="N6853">
        <v>-7.8503389999999996E-3</v>
      </c>
      <c r="O6853">
        <v>0.99996050000000003</v>
      </c>
      <c r="P6853">
        <v>-5.5743180000000003E-2</v>
      </c>
      <c r="Q6853">
        <v>0.1903166</v>
      </c>
      <c r="R6853">
        <v>0.98013890000000004</v>
      </c>
      <c r="S6853">
        <v>-0.21147160000000001</v>
      </c>
      <c r="T6853">
        <v>-5.4245469999999997E-2</v>
      </c>
      <c r="U6853">
        <v>3.0599980000000002</v>
      </c>
      <c r="V6853">
        <v>-5.1623589999999997E-2</v>
      </c>
      <c r="W6853">
        <v>0.1980152</v>
      </c>
      <c r="X6853">
        <v>0.9788386</v>
      </c>
      <c r="Y6853">
        <v>-6.4772960000000004E-2</v>
      </c>
      <c r="Z6853">
        <v>-9.8360589999999994E-3</v>
      </c>
      <c r="AA6853">
        <v>0.99785159999999995</v>
      </c>
      <c r="AB6853">
        <v>27</v>
      </c>
      <c r="AC6853">
        <v>-4.3241000000000103</v>
      </c>
      <c r="AD6853">
        <v>-1.1094603955371001</v>
      </c>
      <c r="AE6853">
        <v>62.321599999999997</v>
      </c>
      <c r="AF6853">
        <v>-4.0628685827285498</v>
      </c>
      <c r="AG6853">
        <v>-1.1094603955371001</v>
      </c>
      <c r="AH6853">
        <v>62.319436179241301</v>
      </c>
      <c r="AI6853">
        <v>91.017757371536504</v>
      </c>
      <c r="AJ6853">
        <v>93.730076421267597</v>
      </c>
      <c r="AK6853">
        <v>62.461587629424798</v>
      </c>
      <c r="AL6853">
        <v>78.579082837506803</v>
      </c>
      <c r="AM6853">
        <v>93.018961493789803</v>
      </c>
      <c r="AN6853">
        <v>1.0000000096627399</v>
      </c>
    </row>
    <row r="6854" spans="1:40" x14ac:dyDescent="0.25">
      <c r="A6854" t="str">
        <f>"20190304155807576"</f>
        <v>20190304155807576</v>
      </c>
      <c r="B6854" t="str">
        <f>"1551686287571577"</f>
        <v>1551686287571577</v>
      </c>
      <c r="C6854" t="s">
        <v>40</v>
      </c>
      <c r="D6854">
        <v>4.7105670000000002</v>
      </c>
      <c r="E6854">
        <v>0.49292770000000002</v>
      </c>
      <c r="F6854" t="s">
        <v>41</v>
      </c>
      <c r="G6854">
        <v>-191.04650000000001</v>
      </c>
      <c r="H6854" s="1">
        <v>-3.3336850000000002E-6</v>
      </c>
      <c r="I6854">
        <v>36.710929999999998</v>
      </c>
      <c r="J6854">
        <v>-187.03870000000001</v>
      </c>
      <c r="K6854">
        <v>1.1094440000000001</v>
      </c>
      <c r="L6854">
        <v>-22.386869999999998</v>
      </c>
      <c r="M6854">
        <v>-4.0930389999999997E-3</v>
      </c>
      <c r="N6854">
        <v>-7.8479409999999902E-3</v>
      </c>
      <c r="O6854">
        <v>0.99996079999999998</v>
      </c>
      <c r="P6854">
        <v>-5.4998390000000001E-2</v>
      </c>
      <c r="Q6854">
        <v>0.18912329999999999</v>
      </c>
      <c r="R6854">
        <v>0.9804119</v>
      </c>
      <c r="S6854">
        <v>-0.20664979999999999</v>
      </c>
      <c r="T6854">
        <v>-5.7189700000000003E-2</v>
      </c>
      <c r="U6854">
        <v>3.0601500000000001</v>
      </c>
      <c r="V6854">
        <v>-5.0952280000000003E-2</v>
      </c>
      <c r="W6854">
        <v>0.19682169999999999</v>
      </c>
      <c r="X6854">
        <v>0.97911440000000005</v>
      </c>
      <c r="Y6854">
        <v>-6.3280920000000004E-2</v>
      </c>
      <c r="Z6854">
        <v>-1.0799019999999999E-2</v>
      </c>
      <c r="AA6854">
        <v>0.99793730000000003</v>
      </c>
      <c r="AB6854">
        <v>27</v>
      </c>
      <c r="AC6854">
        <v>-4.0077999999999996</v>
      </c>
      <c r="AD6854">
        <v>-1.1094473336849999</v>
      </c>
      <c r="AE6854">
        <v>59.097799999999999</v>
      </c>
      <c r="AF6854">
        <v>-3.7645487106167601</v>
      </c>
      <c r="AG6854">
        <v>-1.1094473336849999</v>
      </c>
      <c r="AH6854">
        <v>59.092978827719499</v>
      </c>
      <c r="AI6854">
        <v>91.073403831863303</v>
      </c>
      <c r="AJ6854">
        <v>93.645131401205802</v>
      </c>
      <c r="AK6854">
        <v>59.223161407629497</v>
      </c>
      <c r="AL6854">
        <v>78.648837643507207</v>
      </c>
      <c r="AM6854">
        <v>92.978936478395994</v>
      </c>
      <c r="AN6854">
        <v>0.99999996235772304</v>
      </c>
    </row>
    <row r="6855" spans="1:40" x14ac:dyDescent="0.25">
      <c r="A6855" t="str">
        <f>"20190304155807601"</f>
        <v>20190304155807601</v>
      </c>
      <c r="B6855" t="str">
        <f>"1551686287591097"</f>
        <v>1551686287591097</v>
      </c>
      <c r="C6855" t="s">
        <v>40</v>
      </c>
      <c r="D6855">
        <v>4.7263789999999997</v>
      </c>
      <c r="E6855">
        <v>0.49289129999999998</v>
      </c>
      <c r="F6855" t="s">
        <v>41</v>
      </c>
      <c r="G6855">
        <v>-190.8707</v>
      </c>
      <c r="H6855" s="1">
        <v>-2.7599E-6</v>
      </c>
      <c r="I6855">
        <v>35.482469999999999</v>
      </c>
      <c r="J6855">
        <v>-187.03980000000001</v>
      </c>
      <c r="K6855">
        <v>1.10944</v>
      </c>
      <c r="L6855">
        <v>-22.088899999999999</v>
      </c>
      <c r="M6855">
        <v>-4.0166059999999998E-3</v>
      </c>
      <c r="N6855">
        <v>-7.8467459999999999E-3</v>
      </c>
      <c r="O6855">
        <v>0.99996110000000005</v>
      </c>
      <c r="P6855">
        <v>-5.463411E-2</v>
      </c>
      <c r="Q6855">
        <v>0.18865109999999999</v>
      </c>
      <c r="R6855">
        <v>0.98052329999999999</v>
      </c>
      <c r="S6855">
        <v>-0.20262150000000001</v>
      </c>
      <c r="T6855">
        <v>-5.8662649999999997E-2</v>
      </c>
      <c r="U6855">
        <v>3.0598749999999999</v>
      </c>
      <c r="V6855">
        <v>-5.0663039999999999E-2</v>
      </c>
      <c r="W6855">
        <v>0.1963491</v>
      </c>
      <c r="X6855">
        <v>0.97922430000000005</v>
      </c>
      <c r="Y6855">
        <v>-6.2054900000000003E-2</v>
      </c>
      <c r="Z6855">
        <v>-1.128357E-2</v>
      </c>
      <c r="AA6855">
        <v>0.99800900000000003</v>
      </c>
      <c r="AB6855">
        <v>27</v>
      </c>
      <c r="AC6855">
        <v>-3.8308999999999802</v>
      </c>
      <c r="AD6855">
        <v>-1.1094427598999901</v>
      </c>
      <c r="AE6855">
        <v>57.571369999999902</v>
      </c>
      <c r="AF6855">
        <v>-3.5982900803534301</v>
      </c>
      <c r="AG6855">
        <v>-1.1094427598999901</v>
      </c>
      <c r="AH6855">
        <v>57.565010076233101</v>
      </c>
      <c r="AI6855">
        <v>91.101967003796702</v>
      </c>
      <c r="AJ6855">
        <v>93.576807247493406</v>
      </c>
      <c r="AK6855">
        <v>57.688031166063197</v>
      </c>
      <c r="AL6855">
        <v>78.6764546280899</v>
      </c>
      <c r="AM6855">
        <v>92.961724352344604</v>
      </c>
      <c r="AN6855">
        <v>0.99999997120166995</v>
      </c>
    </row>
    <row r="6856" spans="1:40" x14ac:dyDescent="0.25">
      <c r="A6856" t="str">
        <f>"20190304155807624"</f>
        <v>20190304155807624</v>
      </c>
      <c r="B6856" t="str">
        <f>"1551686287621354"</f>
        <v>1551686287621354</v>
      </c>
      <c r="C6856" t="s">
        <v>40</v>
      </c>
      <c r="D6856">
        <v>4.7056529999999999</v>
      </c>
      <c r="E6856">
        <v>0.49345119999999998</v>
      </c>
      <c r="F6856" t="s">
        <v>41</v>
      </c>
      <c r="G6856">
        <v>-190.93790000000001</v>
      </c>
      <c r="H6856" s="1">
        <v>-3.4862059999999999E-6</v>
      </c>
      <c r="I6856">
        <v>37.133839999999999</v>
      </c>
      <c r="J6856">
        <v>-187.04079999999999</v>
      </c>
      <c r="K6856">
        <v>1.1094329999999999</v>
      </c>
      <c r="L6856">
        <v>-21.81812</v>
      </c>
      <c r="M6856">
        <v>-3.9576910000000002E-3</v>
      </c>
      <c r="N6856">
        <v>-7.8438229999999998E-3</v>
      </c>
      <c r="O6856">
        <v>0.9999614</v>
      </c>
      <c r="P6856">
        <v>-5.4374930000000002E-2</v>
      </c>
      <c r="Q6856">
        <v>0.1892122</v>
      </c>
      <c r="R6856">
        <v>0.98042960000000001</v>
      </c>
      <c r="S6856">
        <v>-0.2013702</v>
      </c>
      <c r="T6856">
        <v>-5.7312729999999999E-2</v>
      </c>
      <c r="U6856">
        <v>3.0593870000000001</v>
      </c>
      <c r="V6856">
        <v>-5.046258E-2</v>
      </c>
      <c r="W6856">
        <v>0.19690630000000001</v>
      </c>
      <c r="X6856">
        <v>0.97912279999999996</v>
      </c>
      <c r="Y6856">
        <v>-6.1718269999999999E-2</v>
      </c>
      <c r="Z6856">
        <v>-1.084982E-2</v>
      </c>
      <c r="AA6856">
        <v>0.99803470000000005</v>
      </c>
      <c r="AB6856">
        <v>27</v>
      </c>
      <c r="AC6856">
        <v>-3.89710000000002</v>
      </c>
      <c r="AD6856">
        <v>-1.109436486206</v>
      </c>
      <c r="AE6856">
        <v>58.95196</v>
      </c>
      <c r="AF6856">
        <v>-3.6624571783534998</v>
      </c>
      <c r="AG6856">
        <v>-1.109436486206</v>
      </c>
      <c r="AH6856">
        <v>58.946136315384301</v>
      </c>
      <c r="AI6856">
        <v>91.076172750872999</v>
      </c>
      <c r="AJ6856">
        <v>93.555346424302599</v>
      </c>
      <c r="AK6856">
        <v>59.0702245502086</v>
      </c>
      <c r="AL6856">
        <v>78.643894221567194</v>
      </c>
      <c r="AM6856">
        <v>92.950331619716593</v>
      </c>
      <c r="AN6856">
        <v>1.00000001021989</v>
      </c>
    </row>
    <row r="6857" spans="1:40" x14ac:dyDescent="0.25">
      <c r="A6857" t="str">
        <f>"20190304155807643"</f>
        <v>20190304155807643</v>
      </c>
      <c r="B6857" t="str">
        <f>"1551686287640874"</f>
        <v>1551686287640874</v>
      </c>
      <c r="C6857" t="s">
        <v>40</v>
      </c>
      <c r="D6857">
        <v>4.703138</v>
      </c>
      <c r="E6857">
        <v>0.49394529999999998</v>
      </c>
      <c r="F6857" t="s">
        <v>41</v>
      </c>
      <c r="G6857">
        <v>-190.89940000000001</v>
      </c>
      <c r="H6857" s="1">
        <v>-4.0159099999999998E-6</v>
      </c>
      <c r="I6857">
        <v>38.392449999999997</v>
      </c>
      <c r="J6857">
        <v>-187.04179999999999</v>
      </c>
      <c r="K6857">
        <v>1.109434</v>
      </c>
      <c r="L6857">
        <v>-21.571349999999999</v>
      </c>
      <c r="M6857">
        <v>-3.9116180000000004E-3</v>
      </c>
      <c r="N6857">
        <v>-7.8377840000000004E-3</v>
      </c>
      <c r="O6857">
        <v>0.99996160000000001</v>
      </c>
      <c r="P6857">
        <v>-5.3691219999999998E-2</v>
      </c>
      <c r="Q6857">
        <v>0.189804</v>
      </c>
      <c r="R6857">
        <v>0.98035280000000002</v>
      </c>
      <c r="S6857">
        <v>-0.19609070000000001</v>
      </c>
      <c r="T6857">
        <v>-5.6381109999999998E-2</v>
      </c>
      <c r="U6857">
        <v>3.0598749999999999</v>
      </c>
      <c r="V6857">
        <v>-4.9824889999999997E-2</v>
      </c>
      <c r="W6857">
        <v>0.19749159999999999</v>
      </c>
      <c r="X6857">
        <v>0.97903759999999995</v>
      </c>
      <c r="Y6857">
        <v>-6.00394E-2</v>
      </c>
      <c r="Z6857">
        <v>-1.0551100000000001E-2</v>
      </c>
      <c r="AA6857">
        <v>0.99814020000000003</v>
      </c>
      <c r="AB6857">
        <v>27</v>
      </c>
      <c r="AC6857">
        <v>-3.8576000000000099</v>
      </c>
      <c r="AD6857">
        <v>-1.1094380159099999</v>
      </c>
      <c r="AE6857">
        <v>59.9637999999999</v>
      </c>
      <c r="AF6857">
        <v>-3.6217731112035598</v>
      </c>
      <c r="AG6857">
        <v>-1.1094380159099999</v>
      </c>
      <c r="AH6857">
        <v>59.9579911317118</v>
      </c>
      <c r="AI6857">
        <v>91.058128331811702</v>
      </c>
      <c r="AJ6857">
        <v>93.456761501172096</v>
      </c>
      <c r="AK6857">
        <v>60.077523199035198</v>
      </c>
      <c r="AL6857">
        <v>78.609687605844002</v>
      </c>
      <c r="AM6857">
        <v>92.913366311527298</v>
      </c>
      <c r="AN6857">
        <v>1.0000000369739099</v>
      </c>
    </row>
    <row r="6858" spans="1:40" x14ac:dyDescent="0.25">
      <c r="A6858" t="str">
        <f>"20190304155807666"</f>
        <v>20190304155807666</v>
      </c>
      <c r="B6858" t="str">
        <f>"1551686287661370"</f>
        <v>1551686287661370</v>
      </c>
      <c r="C6858" t="s">
        <v>40</v>
      </c>
      <c r="D6858">
        <v>4.686153</v>
      </c>
      <c r="E6858">
        <v>0.4940968</v>
      </c>
      <c r="F6858" t="s">
        <v>41</v>
      </c>
      <c r="G6858">
        <v>-190.8278</v>
      </c>
      <c r="H6858" s="1">
        <v>-4.267347E-6</v>
      </c>
      <c r="I6858">
        <v>39.095109999999998</v>
      </c>
      <c r="J6858">
        <v>-187.0428</v>
      </c>
      <c r="K6858">
        <v>1.1094299999999999</v>
      </c>
      <c r="L6858">
        <v>-21.301120000000001</v>
      </c>
      <c r="M6858">
        <v>-3.8663249999999999E-3</v>
      </c>
      <c r="N6858">
        <v>-7.8300009999999996E-3</v>
      </c>
      <c r="O6858">
        <v>0.99996189999999996</v>
      </c>
      <c r="P6858">
        <v>-5.2725769999999998E-2</v>
      </c>
      <c r="Q6858">
        <v>0.1884837</v>
      </c>
      <c r="R6858">
        <v>0.98065990000000003</v>
      </c>
      <c r="S6858">
        <v>-0.19099430000000001</v>
      </c>
      <c r="T6858">
        <v>-5.596864E-2</v>
      </c>
      <c r="U6858">
        <v>3.060486</v>
      </c>
      <c r="V6858">
        <v>-4.8903530000000001E-2</v>
      </c>
      <c r="W6858">
        <v>0.19616529999999999</v>
      </c>
      <c r="X6858">
        <v>0.97935059999999996</v>
      </c>
      <c r="Y6858">
        <v>-5.8416620000000002E-2</v>
      </c>
      <c r="Z6858">
        <v>-1.0422570000000001E-2</v>
      </c>
      <c r="AA6858">
        <v>0.99823790000000001</v>
      </c>
      <c r="AB6858">
        <v>27</v>
      </c>
      <c r="AC6858">
        <v>-3.7849999999999899</v>
      </c>
      <c r="AD6858">
        <v>-1.1094342673469999</v>
      </c>
      <c r="AE6858">
        <v>60.396230000000003</v>
      </c>
      <c r="AF6858">
        <v>-3.5502598255354298</v>
      </c>
      <c r="AG6858">
        <v>-1.1094342673469999</v>
      </c>
      <c r="AH6858">
        <v>60.3901153346931</v>
      </c>
      <c r="AI6858">
        <v>91.050655828741398</v>
      </c>
      <c r="AJ6858">
        <v>93.364475226370104</v>
      </c>
      <c r="AK6858">
        <v>60.504555360401604</v>
      </c>
      <c r="AL6858">
        <v>78.687194659396198</v>
      </c>
      <c r="AM6858">
        <v>92.858670304887298</v>
      </c>
      <c r="AN6858">
        <v>0.99999998894545505</v>
      </c>
    </row>
    <row r="6859" spans="1:40" x14ac:dyDescent="0.25">
      <c r="A6859" t="str">
        <f>"20190304155807689"</f>
        <v>20190304155807689</v>
      </c>
      <c r="B6859" t="str">
        <f>"1551686287680890"</f>
        <v>1551686287680890</v>
      </c>
      <c r="C6859" t="s">
        <v>40</v>
      </c>
      <c r="D6859">
        <v>4.7198599999999997</v>
      </c>
      <c r="E6859">
        <v>0.4940561</v>
      </c>
      <c r="F6859" t="s">
        <v>41</v>
      </c>
      <c r="G6859">
        <v>-190.5504</v>
      </c>
      <c r="H6859" s="1">
        <v>-2.8199980000000001E-6</v>
      </c>
      <c r="I6859">
        <v>35.821249999999999</v>
      </c>
      <c r="J6859">
        <v>-187.0438</v>
      </c>
      <c r="K6859">
        <v>1.109434</v>
      </c>
      <c r="L6859">
        <v>-21.019500000000001</v>
      </c>
      <c r="M6859">
        <v>-3.8190390000000002E-3</v>
      </c>
      <c r="N6859">
        <v>-7.8227829999999998E-3</v>
      </c>
      <c r="O6859">
        <v>0.99996209999999996</v>
      </c>
      <c r="P6859">
        <v>-5.2014520000000002E-2</v>
      </c>
      <c r="Q6859">
        <v>0.18772749999999999</v>
      </c>
      <c r="R6859">
        <v>0.98084289999999996</v>
      </c>
      <c r="S6859">
        <v>-0.18792719999999999</v>
      </c>
      <c r="T6859">
        <v>-5.9440850000000003E-2</v>
      </c>
      <c r="U6859">
        <v>3.060486</v>
      </c>
      <c r="V6859">
        <v>-4.823947E-2</v>
      </c>
      <c r="W6859">
        <v>0.1954031</v>
      </c>
      <c r="X6859">
        <v>0.97953590000000001</v>
      </c>
      <c r="Y6859">
        <v>-5.7466320000000001E-2</v>
      </c>
      <c r="Z6859">
        <v>-1.1562879999999999E-2</v>
      </c>
      <c r="AA6859">
        <v>0.99828050000000002</v>
      </c>
      <c r="AB6859">
        <v>27</v>
      </c>
      <c r="AC6859">
        <v>-3.5065999999999899</v>
      </c>
      <c r="AD6859">
        <v>-1.109436819998</v>
      </c>
      <c r="AE6859">
        <v>56.84075</v>
      </c>
      <c r="AF6859">
        <v>-3.2882427837649502</v>
      </c>
      <c r="AG6859">
        <v>-1.109436819998</v>
      </c>
      <c r="AH6859">
        <v>56.832158714005701</v>
      </c>
      <c r="AI6859">
        <v>91.116478496896704</v>
      </c>
      <c r="AJ6859">
        <v>93.3113755346468</v>
      </c>
      <c r="AK6859">
        <v>56.938015901122597</v>
      </c>
      <c r="AL6859">
        <v>78.731727456188395</v>
      </c>
      <c r="AM6859">
        <v>92.819382980399993</v>
      </c>
      <c r="AN6859">
        <v>0.99999999867214995</v>
      </c>
    </row>
    <row r="6860" spans="1:40" x14ac:dyDescent="0.25">
      <c r="A6860" t="str">
        <f>"20190304155807712"</f>
        <v>20190304155807712</v>
      </c>
      <c r="B6860" t="str">
        <f>"1551686287701385"</f>
        <v>1551686287701385</v>
      </c>
      <c r="C6860" t="s">
        <v>40</v>
      </c>
      <c r="D6860">
        <v>4.832389</v>
      </c>
      <c r="E6860">
        <v>0.49430200000000002</v>
      </c>
      <c r="F6860" t="s">
        <v>41</v>
      </c>
      <c r="G6860">
        <v>-190.45439999999999</v>
      </c>
      <c r="H6860" s="1">
        <v>-2.4331789999999999E-6</v>
      </c>
      <c r="I6860">
        <v>34.979080000000003</v>
      </c>
      <c r="J6860">
        <v>-187.04480000000001</v>
      </c>
      <c r="K6860">
        <v>1.1094269999999999</v>
      </c>
      <c r="L6860">
        <v>-20.74963</v>
      </c>
      <c r="M6860">
        <v>-3.7598969999999999E-3</v>
      </c>
      <c r="N6860">
        <v>-7.8171219999999993E-3</v>
      </c>
      <c r="O6860">
        <v>0.99996240000000003</v>
      </c>
      <c r="P6860">
        <v>-5.0960850000000002E-2</v>
      </c>
      <c r="Q6860">
        <v>0.18867619999999999</v>
      </c>
      <c r="R6860">
        <v>0.98071620000000004</v>
      </c>
      <c r="S6860">
        <v>-0.1863861</v>
      </c>
      <c r="T6860">
        <v>-6.0630320000000001E-2</v>
      </c>
      <c r="U6860">
        <v>3.0603030000000002</v>
      </c>
      <c r="V6860">
        <v>-4.7241560000000002E-2</v>
      </c>
      <c r="W6860">
        <v>0.1963463</v>
      </c>
      <c r="X6860">
        <v>0.97939589999999999</v>
      </c>
      <c r="Y6860">
        <v>-5.7027849999999998E-2</v>
      </c>
      <c r="Z6860">
        <v>-1.195804E-2</v>
      </c>
      <c r="AA6860">
        <v>0.99830099999999999</v>
      </c>
      <c r="AB6860">
        <v>27</v>
      </c>
      <c r="AC6860">
        <v>-3.4095999999999802</v>
      </c>
      <c r="AD6860">
        <v>-1.109429433179</v>
      </c>
      <c r="AE6860">
        <v>55.7287099999999</v>
      </c>
      <c r="AF6860">
        <v>-3.1987722945940398</v>
      </c>
      <c r="AG6860">
        <v>-1.109429433179</v>
      </c>
      <c r="AH6860">
        <v>55.719136174827099</v>
      </c>
      <c r="AI6860">
        <v>91.138796843883995</v>
      </c>
      <c r="AJ6860">
        <v>93.285679141447702</v>
      </c>
      <c r="AK6860">
        <v>55.8219053233477</v>
      </c>
      <c r="AL6860">
        <v>78.676618361859397</v>
      </c>
      <c r="AM6860">
        <v>92.7615448598672</v>
      </c>
      <c r="AN6860">
        <v>0.99999998172586602</v>
      </c>
    </row>
    <row r="6861" spans="1:40" x14ac:dyDescent="0.25">
      <c r="A6861" t="str">
        <f>"20190304155807736"</f>
        <v>20190304155807736</v>
      </c>
      <c r="B6861" t="str">
        <f>"1551686287731642"</f>
        <v>1551686287731642</v>
      </c>
      <c r="C6861" t="s">
        <v>40</v>
      </c>
      <c r="D6861">
        <v>4.7698489999999998</v>
      </c>
      <c r="E6861">
        <v>0.49471900000000002</v>
      </c>
      <c r="F6861" t="s">
        <v>41</v>
      </c>
      <c r="G6861">
        <v>-190.55850000000001</v>
      </c>
      <c r="H6861" s="1">
        <v>-3.9775350000000004E-6</v>
      </c>
      <c r="I6861">
        <v>38.514470000000003</v>
      </c>
      <c r="J6861">
        <v>-187.04580000000001</v>
      </c>
      <c r="K6861">
        <v>1.10941</v>
      </c>
      <c r="L6861">
        <v>-20.457370000000001</v>
      </c>
      <c r="M6861">
        <v>-3.6640969999999998E-3</v>
      </c>
      <c r="N6861">
        <v>-7.8121140000000002E-3</v>
      </c>
      <c r="O6861">
        <v>0.99996269999999998</v>
      </c>
      <c r="P6861">
        <v>-4.9622680000000002E-2</v>
      </c>
      <c r="Q6861">
        <v>0.18978809999999999</v>
      </c>
      <c r="R6861">
        <v>0.98057030000000001</v>
      </c>
      <c r="S6861">
        <v>-0.18145749999999999</v>
      </c>
      <c r="T6861">
        <v>-5.7294369999999997E-2</v>
      </c>
      <c r="U6861">
        <v>3.0605769999999999</v>
      </c>
      <c r="V6861">
        <v>-4.5989780000000001E-2</v>
      </c>
      <c r="W6861">
        <v>0.1974533</v>
      </c>
      <c r="X6861">
        <v>0.97923289999999996</v>
      </c>
      <c r="Y6861">
        <v>-5.551731E-2</v>
      </c>
      <c r="Z6861">
        <v>-1.0875350000000001E-2</v>
      </c>
      <c r="AA6861">
        <v>0.99839849999999997</v>
      </c>
      <c r="AB6861">
        <v>27</v>
      </c>
      <c r="AC6861">
        <v>-3.5126999999999899</v>
      </c>
      <c r="AD6861">
        <v>-1.109413977535</v>
      </c>
      <c r="AE6861">
        <v>58.97184</v>
      </c>
      <c r="AF6861">
        <v>-3.2954290915415201</v>
      </c>
      <c r="AG6861">
        <v>-1.109413977535</v>
      </c>
      <c r="AH6861">
        <v>58.963521131211003</v>
      </c>
      <c r="AI6861">
        <v>91.076228645312</v>
      </c>
      <c r="AJ6861">
        <v>93.198892273489903</v>
      </c>
      <c r="AK6861">
        <v>59.0659586941726</v>
      </c>
      <c r="AL6861">
        <v>78.611925329316406</v>
      </c>
      <c r="AM6861">
        <v>92.688926690545102</v>
      </c>
      <c r="AN6861">
        <v>0.999999968993873</v>
      </c>
    </row>
    <row r="6862" spans="1:40" x14ac:dyDescent="0.25">
      <c r="A6862" t="str">
        <f>"20190304155807757"</f>
        <v>20190304155807757</v>
      </c>
      <c r="B6862" t="str">
        <f>"1551686287751162"</f>
        <v>1551686287751162</v>
      </c>
      <c r="C6862" t="s">
        <v>40</v>
      </c>
      <c r="D6862">
        <v>4.6703380000000001</v>
      </c>
      <c r="E6862">
        <v>0.5060907</v>
      </c>
      <c r="F6862" t="s">
        <v>52</v>
      </c>
      <c r="G6862">
        <v>-211.15049999999999</v>
      </c>
      <c r="H6862">
        <v>13.031079999999999</v>
      </c>
      <c r="I6862">
        <v>391.87</v>
      </c>
      <c r="J6862">
        <v>-187.04669999999999</v>
      </c>
      <c r="K6862">
        <v>1.1093820000000001</v>
      </c>
      <c r="L6862">
        <v>-20.17868</v>
      </c>
      <c r="M6862">
        <v>-3.5408689999999999E-3</v>
      </c>
      <c r="N6862">
        <v>-7.8084640000000002E-3</v>
      </c>
      <c r="O6862">
        <v>0.99996320000000005</v>
      </c>
      <c r="P6862">
        <v>-4.8787440000000001E-2</v>
      </c>
      <c r="Q6862">
        <v>0.19049820000000001</v>
      </c>
      <c r="R6862">
        <v>0.98047450000000003</v>
      </c>
      <c r="S6862">
        <v>-0.17733759999999901</v>
      </c>
      <c r="T6862">
        <v>8.7707279999999999E-2</v>
      </c>
      <c r="U6862">
        <v>3.0334780000000001</v>
      </c>
      <c r="V6862">
        <v>-4.5265020000000003E-2</v>
      </c>
      <c r="W6862">
        <v>0.1981609</v>
      </c>
      <c r="X6862">
        <v>0.97912379999999999</v>
      </c>
      <c r="Y6862">
        <v>-5.4790499999999999E-2</v>
      </c>
      <c r="Z6862">
        <v>3.6657960000000003E-2</v>
      </c>
      <c r="AA6862">
        <v>0.99782470000000001</v>
      </c>
      <c r="AB6862">
        <v>27</v>
      </c>
      <c r="AC6862">
        <v>-24.1038</v>
      </c>
      <c r="AD6862">
        <v>11.921697999999999</v>
      </c>
      <c r="AE6862">
        <v>412.04867999999999</v>
      </c>
      <c r="AF6862">
        <v>-22.625718464767999</v>
      </c>
      <c r="AG6862">
        <v>11.921697999999999</v>
      </c>
      <c r="AH6862">
        <v>411.78791419128902</v>
      </c>
      <c r="AI6862">
        <v>88.344185607728406</v>
      </c>
      <c r="AJ6862">
        <v>93.144958698450694</v>
      </c>
      <c r="AK6862">
        <v>412.58130870564497</v>
      </c>
      <c r="AL6862">
        <v>78.570566428030901</v>
      </c>
      <c r="AM6862">
        <v>92.646906697790996</v>
      </c>
      <c r="AN6862">
        <v>1.0000000400254201</v>
      </c>
    </row>
    <row r="6863" spans="1:40" x14ac:dyDescent="0.25">
      <c r="A6863" t="str">
        <f>"20190304155807781"</f>
        <v>20190304155807781</v>
      </c>
      <c r="B6863" t="str">
        <f>"1551686287771658"</f>
        <v>1551686287771658</v>
      </c>
      <c r="C6863" t="s">
        <v>40</v>
      </c>
      <c r="D6863">
        <v>4.6683240000000001</v>
      </c>
      <c r="E6863">
        <v>0.51363740000000002</v>
      </c>
      <c r="F6863" t="s">
        <v>52</v>
      </c>
      <c r="G6863">
        <v>-198.37010000000001</v>
      </c>
      <c r="H6863">
        <v>11.584569999999999</v>
      </c>
      <c r="I6863">
        <v>391.87</v>
      </c>
      <c r="J6863">
        <v>-187.04750000000001</v>
      </c>
      <c r="K6863">
        <v>1.1093489999999999</v>
      </c>
      <c r="L6863">
        <v>-19.90015</v>
      </c>
      <c r="M6863">
        <v>-3.3700729999999999E-3</v>
      </c>
      <c r="N6863">
        <v>-7.8060330000000004E-3</v>
      </c>
      <c r="O6863">
        <v>0.99996390000000002</v>
      </c>
      <c r="P6863">
        <v>-4.8337459999999999E-2</v>
      </c>
      <c r="Q6863">
        <v>0.19057470000000001</v>
      </c>
      <c r="R6863">
        <v>0.98048190000000002</v>
      </c>
      <c r="S6863">
        <v>-8.3557129999999993E-2</v>
      </c>
      <c r="T6863">
        <v>7.7297690000000002E-2</v>
      </c>
      <c r="U6863">
        <v>3.0405579999999999</v>
      </c>
      <c r="V6863">
        <v>-4.4967359999999998E-2</v>
      </c>
      <c r="W6863">
        <v>0.198239</v>
      </c>
      <c r="X6863">
        <v>0.97912169999999998</v>
      </c>
      <c r="Y6863">
        <v>-2.408793E-2</v>
      </c>
      <c r="Z6863">
        <v>3.3207670000000002E-2</v>
      </c>
      <c r="AA6863">
        <v>0.99915810000000005</v>
      </c>
      <c r="AB6863">
        <v>27</v>
      </c>
      <c r="AC6863">
        <v>-11.3225999999999</v>
      </c>
      <c r="AD6863">
        <v>10.475220999999999</v>
      </c>
      <c r="AE6863">
        <v>411.77015</v>
      </c>
      <c r="AF6863">
        <v>-9.9283775488047592</v>
      </c>
      <c r="AG6863">
        <v>10.475220999999999</v>
      </c>
      <c r="AH6863">
        <v>411.53983672084001</v>
      </c>
      <c r="AI6863">
        <v>88.542347879383797</v>
      </c>
      <c r="AJ6863">
        <v>91.381989684926495</v>
      </c>
      <c r="AK6863">
        <v>411.792836440808</v>
      </c>
      <c r="AL6863">
        <v>78.566000988405307</v>
      </c>
      <c r="AM6863">
        <v>92.629530944383802</v>
      </c>
      <c r="AN6863">
        <v>1.0000000339986199</v>
      </c>
    </row>
    <row r="6864" spans="1:40" x14ac:dyDescent="0.25">
      <c r="A6864" t="str">
        <f>"20190304155807804"</f>
        <v>20190304155807804</v>
      </c>
      <c r="B6864" t="str">
        <f>"1551686287801913"</f>
        <v>1551686287801913</v>
      </c>
      <c r="C6864" t="s">
        <v>40</v>
      </c>
      <c r="D6864">
        <v>4.697228</v>
      </c>
      <c r="E6864">
        <v>0.51974089999999995</v>
      </c>
      <c r="F6864" t="s">
        <v>52</v>
      </c>
      <c r="G6864">
        <v>-189.9699</v>
      </c>
      <c r="H6864">
        <v>11.03314</v>
      </c>
      <c r="I6864">
        <v>391.87</v>
      </c>
      <c r="J6864">
        <v>-187.04820000000001</v>
      </c>
      <c r="K6864">
        <v>1.1093</v>
      </c>
      <c r="L6864">
        <v>-19.608149999999998</v>
      </c>
      <c r="M6864">
        <v>-3.1196219999999998E-3</v>
      </c>
      <c r="N6864">
        <v>-7.8048029999999999E-3</v>
      </c>
      <c r="O6864">
        <v>0.99996470000000004</v>
      </c>
      <c r="P6864">
        <v>-4.8053890000000002E-2</v>
      </c>
      <c r="Q6864">
        <v>0.190553</v>
      </c>
      <c r="R6864">
        <v>0.98050000000000004</v>
      </c>
      <c r="S6864">
        <v>-2.1606449999999999E-2</v>
      </c>
      <c r="T6864">
        <v>7.3371049999999993E-2</v>
      </c>
      <c r="U6864">
        <v>3.044403</v>
      </c>
      <c r="V6864">
        <v>-4.4907290000000002E-2</v>
      </c>
      <c r="W6864">
        <v>0.1982208</v>
      </c>
      <c r="X6864">
        <v>0.97912809999999995</v>
      </c>
      <c r="Y6864">
        <v>-3.9738940000000004E-3</v>
      </c>
      <c r="Z6864">
        <v>3.1894459999999999E-2</v>
      </c>
      <c r="AA6864">
        <v>0.99948329999999996</v>
      </c>
      <c r="AB6864">
        <v>28</v>
      </c>
      <c r="AC6864">
        <v>-2.92169999999998</v>
      </c>
      <c r="AD6864">
        <v>9.9238400000000002</v>
      </c>
      <c r="AE6864">
        <v>411.47815000000003</v>
      </c>
      <c r="AF6864">
        <v>-1.63703828047675</v>
      </c>
      <c r="AG6864">
        <v>9.9238400000000002</v>
      </c>
      <c r="AH6864">
        <v>411.246070948213</v>
      </c>
      <c r="AI6864">
        <v>88.617666262203301</v>
      </c>
      <c r="AJ6864">
        <v>90.228074857323605</v>
      </c>
      <c r="AK6864">
        <v>411.36904765067101</v>
      </c>
      <c r="AL6864">
        <v>78.567064411568893</v>
      </c>
      <c r="AM6864">
        <v>92.626006044564306</v>
      </c>
      <c r="AN6864">
        <v>0.99999999322869604</v>
      </c>
    </row>
    <row r="6865" spans="1:40" x14ac:dyDescent="0.25">
      <c r="A6865" t="str">
        <f>"20190304155807828"</f>
        <v>20190304155807828</v>
      </c>
      <c r="B6865" t="str">
        <f>"1551686287821434"</f>
        <v>1551686287821434</v>
      </c>
      <c r="C6865" t="s">
        <v>40</v>
      </c>
      <c r="D6865">
        <v>4.6792920000000002</v>
      </c>
      <c r="E6865">
        <v>0.52214240000000001</v>
      </c>
      <c r="F6865" t="s">
        <v>52</v>
      </c>
      <c r="G6865">
        <v>-183.2672</v>
      </c>
      <c r="H6865">
        <v>10.80983</v>
      </c>
      <c r="I6865">
        <v>391.87</v>
      </c>
      <c r="J6865">
        <v>-187.0488</v>
      </c>
      <c r="K6865">
        <v>1.10924</v>
      </c>
      <c r="L6865">
        <v>-19.31061</v>
      </c>
      <c r="M6865">
        <v>-2.776284E-3</v>
      </c>
      <c r="N6865">
        <v>-7.8049030000000002E-3</v>
      </c>
      <c r="O6865">
        <v>0.99996569999999996</v>
      </c>
      <c r="P6865">
        <v>-4.8152500000000001E-2</v>
      </c>
      <c r="Q6865">
        <v>0.18970229999999999</v>
      </c>
      <c r="R6865">
        <v>0.98066010000000003</v>
      </c>
      <c r="S6865">
        <v>2.7999880000000001E-2</v>
      </c>
      <c r="T6865">
        <v>7.1834560000000006E-2</v>
      </c>
      <c r="U6865">
        <v>3.0470890000000002</v>
      </c>
      <c r="V6865">
        <v>-4.5313880000000001E-2</v>
      </c>
      <c r="W6865">
        <v>0.1973781</v>
      </c>
      <c r="X6865">
        <v>0.97927960000000003</v>
      </c>
      <c r="Y6865">
        <v>1.1961100000000001E-2</v>
      </c>
      <c r="Z6865">
        <v>3.136891E-2</v>
      </c>
      <c r="AA6865">
        <v>0.99943630000000006</v>
      </c>
      <c r="AB6865">
        <v>28</v>
      </c>
      <c r="AC6865">
        <v>3.7815999999999899</v>
      </c>
      <c r="AD6865">
        <v>9.70059</v>
      </c>
      <c r="AE6865">
        <v>411.18061</v>
      </c>
      <c r="AF6865">
        <v>4.9204359243800804</v>
      </c>
      <c r="AG6865">
        <v>9.70059</v>
      </c>
      <c r="AH6865">
        <v>410.93982278741601</v>
      </c>
      <c r="AI6865">
        <v>88.647831590017503</v>
      </c>
      <c r="AJ6865">
        <v>89.313995079993703</v>
      </c>
      <c r="AK6865">
        <v>411.08375069879202</v>
      </c>
      <c r="AL6865">
        <v>78.616320809714693</v>
      </c>
      <c r="AM6865">
        <v>92.649338786847807</v>
      </c>
      <c r="AN6865">
        <v>0.99999999852821198</v>
      </c>
    </row>
    <row r="6866" spans="1:40" x14ac:dyDescent="0.25">
      <c r="A6866" t="str">
        <f>"20190304155807846"</f>
        <v>20190304155807846</v>
      </c>
      <c r="B6866" t="str">
        <f>"1551686287841930"</f>
        <v>1551686287841930</v>
      </c>
      <c r="C6866" t="s">
        <v>40</v>
      </c>
      <c r="D6866">
        <v>4.6801329999999997</v>
      </c>
      <c r="E6866">
        <v>0.52363000000000004</v>
      </c>
      <c r="F6866" t="s">
        <v>52</v>
      </c>
      <c r="G6866">
        <v>-180.63239999999999</v>
      </c>
      <c r="H6866">
        <v>10.615550000000001</v>
      </c>
      <c r="I6866">
        <v>391.87</v>
      </c>
      <c r="J6866">
        <v>-187.04910000000001</v>
      </c>
      <c r="K6866">
        <v>1.1091879999999901</v>
      </c>
      <c r="L6866">
        <v>-19.086729999999999</v>
      </c>
      <c r="M6866">
        <v>-2.4492350000000001E-3</v>
      </c>
      <c r="N6866">
        <v>-7.80582699999999E-3</v>
      </c>
      <c r="O6866">
        <v>0.99996660000000004</v>
      </c>
      <c r="P6866">
        <v>-4.8234369999999999E-2</v>
      </c>
      <c r="Q6866">
        <v>0.18889449999999999</v>
      </c>
      <c r="R6866">
        <v>0.98081209999999996</v>
      </c>
      <c r="S6866">
        <v>4.7561649999999997E-2</v>
      </c>
      <c r="T6866">
        <v>7.0465680000000003E-2</v>
      </c>
      <c r="U6866">
        <v>3.047882</v>
      </c>
      <c r="V6866">
        <v>-4.56926E-2</v>
      </c>
      <c r="W6866">
        <v>0.19657820000000001</v>
      </c>
      <c r="X6866">
        <v>0.97942289999999999</v>
      </c>
      <c r="Y6866">
        <v>1.8045510000000001E-2</v>
      </c>
      <c r="Z6866">
        <v>3.0913179999999998E-2</v>
      </c>
      <c r="AA6866">
        <v>0.9993592</v>
      </c>
      <c r="AB6866">
        <v>28</v>
      </c>
      <c r="AC6866">
        <v>6.4167000000000103</v>
      </c>
      <c r="AD6866">
        <v>9.5063619999999993</v>
      </c>
      <c r="AE6866">
        <v>410.95672999999999</v>
      </c>
      <c r="AF6866">
        <v>7.4192718603767602</v>
      </c>
      <c r="AG6866">
        <v>9.5063619999999993</v>
      </c>
      <c r="AH6866">
        <v>410.720057306071</v>
      </c>
      <c r="AI6866">
        <v>88.6743077639874</v>
      </c>
      <c r="AJ6866">
        <v>88.965118141300906</v>
      </c>
      <c r="AK6866">
        <v>410.89704548331298</v>
      </c>
      <c r="AL6866">
        <v>78.663067702159296</v>
      </c>
      <c r="AM6866">
        <v>92.671058936767807</v>
      </c>
      <c r="AN6866">
        <v>1.0000000097271999</v>
      </c>
    </row>
    <row r="6867" spans="1:40" x14ac:dyDescent="0.25">
      <c r="A6867" t="str">
        <f>"20190304155807868"</f>
        <v>20190304155807868</v>
      </c>
      <c r="B6867" t="str">
        <f>"1551686287861450"</f>
        <v>1551686287861450</v>
      </c>
      <c r="C6867" t="s">
        <v>40</v>
      </c>
      <c r="D6867">
        <v>4.6924250000000001</v>
      </c>
      <c r="E6867">
        <v>0.52448479999999997</v>
      </c>
      <c r="F6867" t="s">
        <v>52</v>
      </c>
      <c r="G6867">
        <v>-179.09229999999999</v>
      </c>
      <c r="H6867">
        <v>9.8583130000000008</v>
      </c>
      <c r="I6867">
        <v>391.87</v>
      </c>
      <c r="J6867">
        <v>-187.04929999999999</v>
      </c>
      <c r="K6867">
        <v>1.1091200000000001</v>
      </c>
      <c r="L6867">
        <v>-18.809139999999999</v>
      </c>
      <c r="M6867">
        <v>-1.9760699999999999E-3</v>
      </c>
      <c r="N6867">
        <v>-7.8078619999999996E-3</v>
      </c>
      <c r="O6867">
        <v>0.99996759999999996</v>
      </c>
      <c r="P6867">
        <v>-4.808374E-2</v>
      </c>
      <c r="Q6867">
        <v>0.1881583</v>
      </c>
      <c r="R6867">
        <v>0.98096099999999997</v>
      </c>
      <c r="S6867">
        <v>5.9036249999999998E-2</v>
      </c>
      <c r="T6867">
        <v>6.4914349999999996E-2</v>
      </c>
      <c r="U6867">
        <v>3.0491030000000001</v>
      </c>
      <c r="V6867">
        <v>-4.5976349999999999E-2</v>
      </c>
      <c r="W6867">
        <v>0.19585250000000001</v>
      </c>
      <c r="X6867">
        <v>0.97955499999999995</v>
      </c>
      <c r="Y6867">
        <v>2.1326870000000001E-2</v>
      </c>
      <c r="Z6867">
        <v>2.9085949999999999E-2</v>
      </c>
      <c r="AA6867">
        <v>0.99934940000000005</v>
      </c>
      <c r="AB6867">
        <v>28</v>
      </c>
      <c r="AC6867">
        <v>7.9569999999999901</v>
      </c>
      <c r="AD6867">
        <v>8.749193</v>
      </c>
      <c r="AE6867">
        <v>410.67914000000002</v>
      </c>
      <c r="AF6867">
        <v>8.7645634290369294</v>
      </c>
      <c r="AG6867">
        <v>8.749193</v>
      </c>
      <c r="AH6867">
        <v>410.47638138933399</v>
      </c>
      <c r="AI6867">
        <v>88.779219027450793</v>
      </c>
      <c r="AJ6867">
        <v>88.776796372847897</v>
      </c>
      <c r="AK6867">
        <v>410.66315348316198</v>
      </c>
      <c r="AL6867">
        <v>78.705471574722907</v>
      </c>
      <c r="AM6867">
        <v>92.687259991738998</v>
      </c>
      <c r="AN6867">
        <v>1.0000000122702799</v>
      </c>
    </row>
    <row r="6868" spans="1:40" x14ac:dyDescent="0.25">
      <c r="A6868" t="str">
        <f>"20190304155807890"</f>
        <v>20190304155807890</v>
      </c>
      <c r="B6868" t="str">
        <f>"1551686287881946"</f>
        <v>1551686287881946</v>
      </c>
      <c r="C6868" t="s">
        <v>40</v>
      </c>
      <c r="D6868">
        <v>4.6856710000000001</v>
      </c>
      <c r="E6868">
        <v>0.52527959999999996</v>
      </c>
      <c r="F6868" t="s">
        <v>52</v>
      </c>
      <c r="G6868">
        <v>-178.23990000000001</v>
      </c>
      <c r="H6868">
        <v>9.996086</v>
      </c>
      <c r="I6868">
        <v>391.87</v>
      </c>
      <c r="J6868">
        <v>-187.04929999999999</v>
      </c>
      <c r="K6868">
        <v>1.109065</v>
      </c>
      <c r="L6868">
        <v>-18.533169999999998</v>
      </c>
      <c r="M6868">
        <v>-1.43092E-3</v>
      </c>
      <c r="N6868">
        <v>-7.8106099999999999E-3</v>
      </c>
      <c r="O6868">
        <v>0.99996850000000004</v>
      </c>
      <c r="P6868">
        <v>-4.7469560000000001E-2</v>
      </c>
      <c r="Q6868">
        <v>0.18747649999999999</v>
      </c>
      <c r="R6868">
        <v>0.98112140000000003</v>
      </c>
      <c r="S6868">
        <v>6.5399170000000006E-2</v>
      </c>
      <c r="T6868">
        <v>6.5974350000000001E-2</v>
      </c>
      <c r="U6868">
        <v>3.0487669999999998</v>
      </c>
      <c r="V6868">
        <v>-4.5870500000000002E-2</v>
      </c>
      <c r="W6868">
        <v>0.19518099999999999</v>
      </c>
      <c r="X6868">
        <v>0.97969390000000001</v>
      </c>
      <c r="Y6868">
        <v>2.2868639999999999E-2</v>
      </c>
      <c r="Z6868">
        <v>2.943751E-2</v>
      </c>
      <c r="AA6868">
        <v>0.999305</v>
      </c>
      <c r="AB6868">
        <v>28</v>
      </c>
      <c r="AC6868">
        <v>8.8093999999999806</v>
      </c>
      <c r="AD6868">
        <v>8.8870210000000007</v>
      </c>
      <c r="AE6868">
        <v>410.40316999999999</v>
      </c>
      <c r="AF6868">
        <v>9.3922608705130308</v>
      </c>
      <c r="AG6868">
        <v>8.8870210000000007</v>
      </c>
      <c r="AH6868">
        <v>410.19788591340603</v>
      </c>
      <c r="AI6868">
        <v>88.759194508060702</v>
      </c>
      <c r="AJ6868">
        <v>88.688333330478997</v>
      </c>
      <c r="AK6868">
        <v>410.40163171500899</v>
      </c>
      <c r="AL6868">
        <v>78.744701920561596</v>
      </c>
      <c r="AM6868">
        <v>92.680702663157604</v>
      </c>
      <c r="AN6868">
        <v>0.99999993161422696</v>
      </c>
    </row>
    <row r="6869" spans="1:40" x14ac:dyDescent="0.25">
      <c r="A6869" t="str">
        <f>"20190304155807912"</f>
        <v>20190304155807912</v>
      </c>
      <c r="B6869" t="str">
        <f>"1551686287901466"</f>
        <v>1551686287901466</v>
      </c>
      <c r="C6869" t="s">
        <v>40</v>
      </c>
      <c r="D6869">
        <v>4.7053589999999996</v>
      </c>
      <c r="E6869">
        <v>0.52591339999999998</v>
      </c>
      <c r="F6869" t="s">
        <v>52</v>
      </c>
      <c r="G6869">
        <v>-177.2595</v>
      </c>
      <c r="H6869">
        <v>9.5381490000000007</v>
      </c>
      <c r="I6869">
        <v>391.00349999999997</v>
      </c>
      <c r="J6869">
        <v>-187.04910000000001</v>
      </c>
      <c r="K6869">
        <v>1.109011</v>
      </c>
      <c r="L6869">
        <v>-18.26465</v>
      </c>
      <c r="M6869">
        <v>-8.3733179999999905E-4</v>
      </c>
      <c r="N6869">
        <v>-7.8137959999999996E-3</v>
      </c>
      <c r="O6869">
        <v>0.99996910000000006</v>
      </c>
      <c r="P6869">
        <v>-4.6754299999999999E-2</v>
      </c>
      <c r="Q6869">
        <v>0.18758040000000001</v>
      </c>
      <c r="R6869">
        <v>0.98113589999999995</v>
      </c>
      <c r="S6869">
        <v>7.2891239999999996E-2</v>
      </c>
      <c r="T6869">
        <v>6.2759759999999998E-2</v>
      </c>
      <c r="U6869">
        <v>3.049255</v>
      </c>
      <c r="V6869">
        <v>-4.57153E-2</v>
      </c>
      <c r="W6869">
        <v>0.19529270000000001</v>
      </c>
      <c r="X6869">
        <v>0.97967890000000002</v>
      </c>
      <c r="Y6869">
        <v>2.472649E-2</v>
      </c>
      <c r="Z6869">
        <v>2.8383140000000001E-2</v>
      </c>
      <c r="AA6869">
        <v>0.99929120000000005</v>
      </c>
      <c r="AB6869">
        <v>28</v>
      </c>
      <c r="AC6869">
        <v>9.7896000000000001</v>
      </c>
      <c r="AD6869">
        <v>8.429138</v>
      </c>
      <c r="AE6869">
        <v>409.26814999999999</v>
      </c>
      <c r="AF6869">
        <v>10.128006630418</v>
      </c>
      <c r="AG6869">
        <v>8.429138</v>
      </c>
      <c r="AH6869">
        <v>409.08638199182701</v>
      </c>
      <c r="AI6869">
        <v>88.819961153338298</v>
      </c>
      <c r="AJ6869">
        <v>88.581782375210594</v>
      </c>
      <c r="AK6869">
        <v>409.29853996428102</v>
      </c>
      <c r="AL6869">
        <v>78.738176469231803</v>
      </c>
      <c r="AM6869">
        <v>92.6716866817343</v>
      </c>
      <c r="AN6869">
        <v>0.99999993721629299</v>
      </c>
    </row>
    <row r="6870" spans="1:40" x14ac:dyDescent="0.25">
      <c r="A6870" t="str">
        <f>"20190304155807935"</f>
        <v>20190304155807935</v>
      </c>
      <c r="B6870" t="str">
        <f>"1551686287931722"</f>
        <v>1551686287931722</v>
      </c>
      <c r="C6870" t="s">
        <v>40</v>
      </c>
      <c r="D6870">
        <v>4.6929749999999997</v>
      </c>
      <c r="E6870">
        <v>0.52689419999999898</v>
      </c>
      <c r="F6870" t="s">
        <v>52</v>
      </c>
      <c r="G6870">
        <v>-176.36359999999999</v>
      </c>
      <c r="H6870">
        <v>9.4719370000000005</v>
      </c>
      <c r="I6870">
        <v>391.00349999999997</v>
      </c>
      <c r="J6870">
        <v>-187.0487</v>
      </c>
      <c r="K6870">
        <v>1.1089789999999999</v>
      </c>
      <c r="L6870">
        <v>-17.976839999999999</v>
      </c>
      <c r="M6870">
        <v>-1.5359299999999999E-4</v>
      </c>
      <c r="N6870">
        <v>-7.8176730000000007E-3</v>
      </c>
      <c r="O6870">
        <v>0.99996940000000001</v>
      </c>
      <c r="P6870">
        <v>-4.4993449999999997E-2</v>
      </c>
      <c r="Q6870">
        <v>0.1876409</v>
      </c>
      <c r="R6870">
        <v>0.98120669999999999</v>
      </c>
      <c r="S6870">
        <v>7.9620360000000001E-2</v>
      </c>
      <c r="T6870">
        <v>6.2314269999999998E-2</v>
      </c>
      <c r="U6870">
        <v>3.0495610000000002</v>
      </c>
      <c r="V6870">
        <v>-4.4607529999999999E-2</v>
      </c>
      <c r="W6870">
        <v>0.19536010000000001</v>
      </c>
      <c r="X6870">
        <v>0.97971660000000005</v>
      </c>
      <c r="Y6870">
        <v>2.624433E-2</v>
      </c>
      <c r="Z6870">
        <v>2.8238019999999999E-2</v>
      </c>
      <c r="AA6870">
        <v>0.9992567</v>
      </c>
      <c r="AB6870">
        <v>28</v>
      </c>
      <c r="AC6870">
        <v>10.6851</v>
      </c>
      <c r="AD6870">
        <v>8.3629579999999901</v>
      </c>
      <c r="AE6870">
        <v>408.98034000000001</v>
      </c>
      <c r="AF6870">
        <v>10.7434291893048</v>
      </c>
      <c r="AG6870">
        <v>8.3629579999999901</v>
      </c>
      <c r="AH6870">
        <v>408.80787429757203</v>
      </c>
      <c r="AI6870">
        <v>88.828471524708505</v>
      </c>
      <c r="AJ6870">
        <v>88.494619256830703</v>
      </c>
      <c r="AK6870">
        <v>409.03451984515198</v>
      </c>
      <c r="AL6870">
        <v>78.7342397008982</v>
      </c>
      <c r="AM6870">
        <v>92.606936799566</v>
      </c>
      <c r="AN6870">
        <v>1.0000000083601299</v>
      </c>
    </row>
    <row r="6871" spans="1:40" x14ac:dyDescent="0.25">
      <c r="A6871" t="str">
        <f>"20190304155807958"</f>
        <v>20190304155807958</v>
      </c>
      <c r="B6871" t="str">
        <f>"1551686287951242"</f>
        <v>1551686287951242</v>
      </c>
      <c r="C6871" t="s">
        <v>40</v>
      </c>
      <c r="D6871">
        <v>4.8261379999999896</v>
      </c>
      <c r="E6871">
        <v>0.52706940000000002</v>
      </c>
      <c r="F6871" t="s">
        <v>47</v>
      </c>
      <c r="G6871">
        <v>-177.59450000000001</v>
      </c>
      <c r="H6871">
        <v>7.2262289999999902</v>
      </c>
      <c r="I6871">
        <v>293.6841</v>
      </c>
      <c r="J6871">
        <v>-187.0479</v>
      </c>
      <c r="K6871">
        <v>1.1089610000000001</v>
      </c>
      <c r="L6871">
        <v>-17.685759999999998</v>
      </c>
      <c r="M6871">
        <v>5.7088389999999998E-4</v>
      </c>
      <c r="N6871">
        <v>-7.8220679999999997E-3</v>
      </c>
      <c r="O6871">
        <v>0.9999692</v>
      </c>
      <c r="P6871">
        <v>-4.3296090000000002E-2</v>
      </c>
      <c r="Q6871">
        <v>0.187865</v>
      </c>
      <c r="R6871">
        <v>0.98124020000000001</v>
      </c>
      <c r="S6871">
        <v>9.2529299999999995E-2</v>
      </c>
      <c r="T6871">
        <v>5.9870239999999998E-2</v>
      </c>
      <c r="U6871">
        <v>3.050262</v>
      </c>
      <c r="V6871">
        <v>-4.3607609999999998E-2</v>
      </c>
      <c r="W6871">
        <v>0.19558970000000001</v>
      </c>
      <c r="X6871">
        <v>0.97971580000000003</v>
      </c>
      <c r="Y6871">
        <v>2.9740229999999999E-2</v>
      </c>
      <c r="Z6871">
        <v>2.743516E-2</v>
      </c>
      <c r="AA6871">
        <v>0.99918110000000004</v>
      </c>
      <c r="AB6871">
        <v>28</v>
      </c>
      <c r="AC6871">
        <v>9.4533999999999807</v>
      </c>
      <c r="AD6871">
        <v>6.1172679999999904</v>
      </c>
      <c r="AE6871">
        <v>311.36986000000002</v>
      </c>
      <c r="AF6871">
        <v>9.2720614629871498</v>
      </c>
      <c r="AG6871">
        <v>6.1172679999999904</v>
      </c>
      <c r="AH6871">
        <v>311.25517939052702</v>
      </c>
      <c r="AI6871">
        <v>88.874578821065597</v>
      </c>
      <c r="AJ6871">
        <v>88.293705730060793</v>
      </c>
      <c r="AK6871">
        <v>311.45333324430197</v>
      </c>
      <c r="AL6871">
        <v>78.720825741397306</v>
      </c>
      <c r="AM6871">
        <v>92.548579854308699</v>
      </c>
      <c r="AN6871">
        <v>1.0000000015828201</v>
      </c>
    </row>
    <row r="6872" spans="1:40" x14ac:dyDescent="0.25">
      <c r="A6872" t="str">
        <f>"20190304155807979"</f>
        <v>20190304155807979</v>
      </c>
      <c r="B6872" t="str">
        <f>"1551686287971737"</f>
        <v>1551686287971737</v>
      </c>
      <c r="C6872" t="s">
        <v>40</v>
      </c>
      <c r="D6872">
        <v>4.689222</v>
      </c>
      <c r="E6872">
        <v>0.52768680000000001</v>
      </c>
      <c r="F6872" t="s">
        <v>52</v>
      </c>
      <c r="G6872">
        <v>-173.7637</v>
      </c>
      <c r="H6872">
        <v>9.0578420000000008</v>
      </c>
      <c r="I6872">
        <v>391.00349999999997</v>
      </c>
      <c r="J6872">
        <v>-187.0471</v>
      </c>
      <c r="K6872">
        <v>1.10894</v>
      </c>
      <c r="L6872">
        <v>-17.417939999999899</v>
      </c>
      <c r="M6872">
        <v>1.255014E-3</v>
      </c>
      <c r="N6872">
        <v>-7.8265309999999994E-3</v>
      </c>
      <c r="O6872">
        <v>0.99996859999999999</v>
      </c>
      <c r="P6872">
        <v>-4.0783729999999997E-2</v>
      </c>
      <c r="Q6872">
        <v>0.18831210000000001</v>
      </c>
      <c r="R6872">
        <v>0.98126210000000003</v>
      </c>
      <c r="S6872">
        <v>9.9151610000000001E-2</v>
      </c>
      <c r="T6872">
        <v>5.9329029999999998E-2</v>
      </c>
      <c r="U6872">
        <v>3.0503849999999999</v>
      </c>
      <c r="V6872">
        <v>-4.1757460000000003E-2</v>
      </c>
      <c r="W6872">
        <v>0.19604089999999999</v>
      </c>
      <c r="X6872">
        <v>0.97970619999999997</v>
      </c>
      <c r="Y6872">
        <v>3.1222400000000001E-2</v>
      </c>
      <c r="Z6872">
        <v>2.7260409999999999E-2</v>
      </c>
      <c r="AA6872">
        <v>0.99914060000000005</v>
      </c>
      <c r="AB6872">
        <v>28</v>
      </c>
      <c r="AC6872">
        <v>13.2834</v>
      </c>
      <c r="AD6872">
        <v>7.9489019999999897</v>
      </c>
      <c r="AE6872">
        <v>408.42144000000002</v>
      </c>
      <c r="AF6872">
        <v>12.7659687242157</v>
      </c>
      <c r="AG6872">
        <v>7.9489019999999897</v>
      </c>
      <c r="AH6872">
        <v>408.28329994390998</v>
      </c>
      <c r="AI6872">
        <v>88.885189223461595</v>
      </c>
      <c r="AJ6872">
        <v>88.209091810093199</v>
      </c>
      <c r="AK6872">
        <v>408.56016449668999</v>
      </c>
      <c r="AL6872">
        <v>78.694463276880001</v>
      </c>
      <c r="AM6872">
        <v>92.440608201564601</v>
      </c>
      <c r="AN6872">
        <v>0.99999997912844996</v>
      </c>
    </row>
    <row r="6873" spans="1:40" x14ac:dyDescent="0.25">
      <c r="A6873" t="str">
        <f>"20190304155808113"</f>
        <v>20190304155808113</v>
      </c>
      <c r="B6873" t="str">
        <f>"1551686288111306"</f>
        <v>1551686288111306</v>
      </c>
      <c r="C6873" t="s">
        <v>40</v>
      </c>
      <c r="D6873">
        <v>4.4497849999999897</v>
      </c>
      <c r="E6873">
        <v>0.52780070000000001</v>
      </c>
      <c r="F6873" t="s">
        <v>46</v>
      </c>
      <c r="G6873">
        <v>0</v>
      </c>
      <c r="H6873">
        <v>0</v>
      </c>
      <c r="I6873">
        <v>0</v>
      </c>
      <c r="J6873">
        <v>-187.03720000000001</v>
      </c>
      <c r="K6873">
        <v>1.108914</v>
      </c>
      <c r="L6873">
        <v>-15.701599999999999</v>
      </c>
      <c r="M6873">
        <v>5.6613130000000003E-3</v>
      </c>
      <c r="N6873">
        <v>-7.8621569999999998E-3</v>
      </c>
      <c r="O6873">
        <v>0.99995310000000004</v>
      </c>
      <c r="P6873">
        <v>-3.3092660000000003E-2</v>
      </c>
      <c r="Q6873">
        <v>0.192607</v>
      </c>
      <c r="R6873">
        <v>0.98071779999999997</v>
      </c>
      <c r="S6873">
        <v>0.1117554</v>
      </c>
      <c r="T6873">
        <v>5.6463960000000001E-2</v>
      </c>
      <c r="U6873">
        <v>3.0510860000000002</v>
      </c>
      <c r="V6873">
        <v>-3.8362710000000001E-2</v>
      </c>
      <c r="W6873">
        <v>0.20036419999999999</v>
      </c>
      <c r="X6873">
        <v>0.97897009999999995</v>
      </c>
      <c r="Y6873">
        <v>3.0933809999999999E-2</v>
      </c>
      <c r="Z6873">
        <v>2.6351369999999999E-2</v>
      </c>
      <c r="AA6873">
        <v>0.99917400000000001</v>
      </c>
      <c r="AB6873">
        <v>29</v>
      </c>
      <c r="AC6873">
        <v>0.1117554</v>
      </c>
      <c r="AD6873">
        <v>5.6463960000000001E-2</v>
      </c>
      <c r="AE6873">
        <v>3.0510860000000002</v>
      </c>
      <c r="AF6873">
        <v>9.4447619847659106E-2</v>
      </c>
      <c r="AG6873">
        <v>5.6463960000000001E-2</v>
      </c>
      <c r="AH6873">
        <v>3.0506264288083602</v>
      </c>
      <c r="AI6873">
        <v>88.940142794498598</v>
      </c>
      <c r="AJ6873">
        <v>88.226684873821299</v>
      </c>
      <c r="AK6873">
        <v>3.0526103812668</v>
      </c>
      <c r="AL6873">
        <v>78.441742546340805</v>
      </c>
      <c r="AM6873">
        <v>92.244090305880505</v>
      </c>
      <c r="AN6873">
        <v>0.99999998342709695</v>
      </c>
    </row>
    <row r="6874" spans="1:40" x14ac:dyDescent="0.25">
      <c r="A6874" t="str">
        <f>"20190304155808135"</f>
        <v>20190304155808135</v>
      </c>
      <c r="B6874" t="str">
        <f>"1551686288131802"</f>
        <v>1551686288131802</v>
      </c>
      <c r="C6874" t="s">
        <v>40</v>
      </c>
      <c r="D6874">
        <v>7.6688869999999998</v>
      </c>
      <c r="E6874">
        <v>0.52737460000000003</v>
      </c>
      <c r="F6874" t="s">
        <v>43</v>
      </c>
      <c r="G6874">
        <v>-170.08879999999999</v>
      </c>
      <c r="H6874">
        <v>7.9692479999999897</v>
      </c>
      <c r="I6874">
        <v>361.71899999999999</v>
      </c>
      <c r="J6874">
        <v>-187.03489999999999</v>
      </c>
      <c r="K6874">
        <v>1.1089150000000001</v>
      </c>
      <c r="L6874">
        <v>-15.421779999999901</v>
      </c>
      <c r="M6874">
        <v>6.3749380000000001E-3</v>
      </c>
      <c r="N6874">
        <v>-7.8687210000000004E-3</v>
      </c>
      <c r="O6874">
        <v>0.99994870000000002</v>
      </c>
      <c r="P6874">
        <v>-3.2746190000000001E-2</v>
      </c>
      <c r="Q6874">
        <v>0.19322239999999999</v>
      </c>
      <c r="R6874">
        <v>0.98060840000000005</v>
      </c>
      <c r="S6874">
        <v>0.13708499999999901</v>
      </c>
      <c r="T6874">
        <v>5.5489419999999998E-2</v>
      </c>
      <c r="U6874">
        <v>3.0527039999999999</v>
      </c>
      <c r="V6874">
        <v>-3.8712440000000001E-2</v>
      </c>
      <c r="W6874">
        <v>0.2009859</v>
      </c>
      <c r="X6874">
        <v>0.9788289</v>
      </c>
      <c r="Y6874">
        <v>3.8477610000000002E-2</v>
      </c>
      <c r="Z6874">
        <v>2.6023439999999998E-2</v>
      </c>
      <c r="AA6874">
        <v>0.99892060000000005</v>
      </c>
      <c r="AB6874">
        <v>29</v>
      </c>
      <c r="AC6874">
        <v>16.946100000000001</v>
      </c>
      <c r="AD6874">
        <v>6.8603329999999998</v>
      </c>
      <c r="AE6874">
        <v>377.14078000000001</v>
      </c>
      <c r="AF6874">
        <v>14.5366317262654</v>
      </c>
      <c r="AG6874">
        <v>6.8603329999999998</v>
      </c>
      <c r="AH6874">
        <v>377.116617041783</v>
      </c>
      <c r="AI6874">
        <v>88.958589575113393</v>
      </c>
      <c r="AJ6874">
        <v>87.792525018971503</v>
      </c>
      <c r="AK6874">
        <v>377.45903179001402</v>
      </c>
      <c r="AL6874">
        <v>78.405382307543505</v>
      </c>
      <c r="AM6874">
        <v>92.264853466523306</v>
      </c>
      <c r="AN6874">
        <v>1.0000000002423799</v>
      </c>
    </row>
    <row r="6875" spans="1:40" x14ac:dyDescent="0.25">
      <c r="A6875" t="str">
        <f>"20190304155808159"</f>
        <v>20190304155808159</v>
      </c>
      <c r="B6875" t="str">
        <f>"1551686288151321"</f>
        <v>1551686288151321</v>
      </c>
      <c r="C6875" t="s">
        <v>40</v>
      </c>
      <c r="D6875">
        <v>4.826867</v>
      </c>
      <c r="E6875">
        <v>0.52791299999999997</v>
      </c>
      <c r="F6875" t="s">
        <v>46</v>
      </c>
      <c r="G6875">
        <v>0</v>
      </c>
      <c r="H6875">
        <v>0</v>
      </c>
      <c r="I6875">
        <v>0</v>
      </c>
      <c r="J6875">
        <v>-187.03210000000001</v>
      </c>
      <c r="K6875">
        <v>1.1089059999999999</v>
      </c>
      <c r="L6875">
        <v>-15.107760000000001</v>
      </c>
      <c r="M6875">
        <v>7.1769640000000001E-3</v>
      </c>
      <c r="N6875">
        <v>-7.8762019999999901E-3</v>
      </c>
      <c r="O6875">
        <v>0.99994329999999998</v>
      </c>
      <c r="P6875">
        <v>-3.2738759999999999E-2</v>
      </c>
      <c r="Q6875">
        <v>0.19261139999999999</v>
      </c>
      <c r="R6875">
        <v>0.98072879999999996</v>
      </c>
      <c r="S6875">
        <v>0.13562009999999999</v>
      </c>
      <c r="T6875">
        <v>2.8066750000000001E-2</v>
      </c>
      <c r="U6875">
        <v>3.058319</v>
      </c>
      <c r="V6875">
        <v>-3.9491249999999999E-2</v>
      </c>
      <c r="W6875">
        <v>0.2003847</v>
      </c>
      <c r="X6875">
        <v>0.97892109999999999</v>
      </c>
      <c r="Y6875">
        <v>3.71236E-2</v>
      </c>
      <c r="Z6875">
        <v>1.704311E-2</v>
      </c>
      <c r="AA6875">
        <v>0.99916539999999998</v>
      </c>
      <c r="AB6875">
        <v>29</v>
      </c>
      <c r="AC6875">
        <v>0.13562009999999999</v>
      </c>
      <c r="AD6875">
        <v>2.8066750000000001E-2</v>
      </c>
      <c r="AE6875">
        <v>3.058319</v>
      </c>
      <c r="AF6875">
        <v>0.113656928849155</v>
      </c>
      <c r="AG6875">
        <v>2.8066750000000001E-2</v>
      </c>
      <c r="AH6875">
        <v>3.0589564778725</v>
      </c>
      <c r="AI6875">
        <v>89.474673003547807</v>
      </c>
      <c r="AJ6875">
        <v>87.872127907864495</v>
      </c>
      <c r="AK6875">
        <v>3.0611959057611999</v>
      </c>
      <c r="AL6875">
        <v>78.440544489145395</v>
      </c>
      <c r="AM6875">
        <v>92.310151130904799</v>
      </c>
      <c r="AN6875">
        <v>1.0000000534229201</v>
      </c>
    </row>
    <row r="6876" spans="1:40" x14ac:dyDescent="0.25">
      <c r="A6876" t="str">
        <f>"20190304155808229"</f>
        <v>20190304155808229</v>
      </c>
      <c r="B6876" t="str">
        <f>"1551686288221594"</f>
        <v>1551686288221594</v>
      </c>
      <c r="C6876" t="s">
        <v>40</v>
      </c>
      <c r="D6876">
        <v>6.0905100000000001</v>
      </c>
      <c r="E6876">
        <v>0.52745019999999998</v>
      </c>
      <c r="F6876" t="s">
        <v>43</v>
      </c>
      <c r="G6876">
        <v>-168.85159999999999</v>
      </c>
      <c r="H6876">
        <v>2.4971969999999999</v>
      </c>
      <c r="I6876">
        <v>381.38529999999997</v>
      </c>
      <c r="J6876">
        <v>-187.02260000000001</v>
      </c>
      <c r="K6876">
        <v>1.1088880000000001</v>
      </c>
      <c r="L6876">
        <v>-14.21045</v>
      </c>
      <c r="M6876">
        <v>9.4766639999999992E-3</v>
      </c>
      <c r="N6876">
        <v>-7.8981980000000004E-3</v>
      </c>
      <c r="O6876">
        <v>0.99992389999999998</v>
      </c>
      <c r="P6876">
        <v>-3.1800630000000003E-2</v>
      </c>
      <c r="Q6876">
        <v>0.193327</v>
      </c>
      <c r="R6876">
        <v>0.98061889999999996</v>
      </c>
      <c r="S6876">
        <v>0.1403809</v>
      </c>
      <c r="T6876">
        <v>1.072037E-2</v>
      </c>
      <c r="U6876">
        <v>3.0615230000000002</v>
      </c>
      <c r="V6876">
        <v>-4.0800780000000002E-2</v>
      </c>
      <c r="W6876">
        <v>0.20112279999999999</v>
      </c>
      <c r="X6876">
        <v>0.97871600000000003</v>
      </c>
      <c r="Y6876">
        <v>3.6332469999999999E-2</v>
      </c>
      <c r="Z6876">
        <v>1.1394720000000001E-2</v>
      </c>
      <c r="AA6876">
        <v>0.99927480000000002</v>
      </c>
      <c r="AB6876">
        <v>29</v>
      </c>
      <c r="AC6876">
        <v>18.170999999999999</v>
      </c>
      <c r="AD6876">
        <v>1.388309</v>
      </c>
      <c r="AE6876">
        <v>395.59575000000001</v>
      </c>
      <c r="AF6876">
        <v>14.420961803121701</v>
      </c>
      <c r="AG6876">
        <v>1.388309</v>
      </c>
      <c r="AH6876">
        <v>395.74532693013401</v>
      </c>
      <c r="AI6876">
        <v>89.799135566577903</v>
      </c>
      <c r="AJ6876">
        <v>87.913064894065201</v>
      </c>
      <c r="AK6876">
        <v>396.01042325707198</v>
      </c>
      <c r="AL6876">
        <v>78.397375551024595</v>
      </c>
      <c r="AM6876">
        <v>92.387168159284002</v>
      </c>
      <c r="AN6876">
        <v>1.0000000464922201</v>
      </c>
    </row>
    <row r="6877" spans="1:40" x14ac:dyDescent="0.25">
      <c r="A6877" t="str">
        <f>"20190304155808249"</f>
        <v>20190304155808249</v>
      </c>
      <c r="B6877" t="str">
        <f>"1551686288241114"</f>
        <v>1551686288241114</v>
      </c>
      <c r="C6877" t="s">
        <v>40</v>
      </c>
      <c r="D6877">
        <v>4.4681769999999998</v>
      </c>
      <c r="E6877">
        <v>0.52776250000000002</v>
      </c>
      <c r="F6877" t="s">
        <v>43</v>
      </c>
      <c r="G6877">
        <v>-168.75360000000001</v>
      </c>
      <c r="H6877">
        <v>4.3320829999999999</v>
      </c>
      <c r="I6877">
        <v>381.38529999999997</v>
      </c>
      <c r="J6877">
        <v>-187.01920000000001</v>
      </c>
      <c r="K6877">
        <v>1.1088880000000001</v>
      </c>
      <c r="L6877">
        <v>-13.93234</v>
      </c>
      <c r="M6877">
        <v>1.0188529999999999E-2</v>
      </c>
      <c r="N6877">
        <v>-7.9051290000000003E-3</v>
      </c>
      <c r="O6877">
        <v>0.9999169</v>
      </c>
      <c r="P6877">
        <v>-3.1668259999999997E-2</v>
      </c>
      <c r="Q6877">
        <v>0.193716</v>
      </c>
      <c r="R6877">
        <v>0.98054640000000004</v>
      </c>
      <c r="S6877">
        <v>0.1412659</v>
      </c>
      <c r="T6877">
        <v>2.4924160000000001E-2</v>
      </c>
      <c r="U6877">
        <v>3.0589599999999999</v>
      </c>
      <c r="V6877">
        <v>-4.1364379999999999E-2</v>
      </c>
      <c r="W6877">
        <v>0.2015189</v>
      </c>
      <c r="X6877">
        <v>0.9786108</v>
      </c>
      <c r="Y6877">
        <v>3.594555E-2</v>
      </c>
      <c r="Z6877">
        <v>1.6042799999999999E-2</v>
      </c>
      <c r="AA6877">
        <v>0.99922500000000003</v>
      </c>
      <c r="AB6877">
        <v>29</v>
      </c>
      <c r="AC6877">
        <v>18.265599999999999</v>
      </c>
      <c r="AD6877">
        <v>3.223195</v>
      </c>
      <c r="AE6877">
        <v>395.31763999999998</v>
      </c>
      <c r="AF6877">
        <v>14.2358762341778</v>
      </c>
      <c r="AG6877">
        <v>3.223195</v>
      </c>
      <c r="AH6877">
        <v>395.456992050579</v>
      </c>
      <c r="AI6877">
        <v>89.533320061162897</v>
      </c>
      <c r="AJ6877">
        <v>87.938325579685497</v>
      </c>
      <c r="AK6877">
        <v>395.72627120252599</v>
      </c>
      <c r="AL6877">
        <v>78.374205627266903</v>
      </c>
      <c r="AM6877">
        <v>92.420364124457095</v>
      </c>
      <c r="AN6877">
        <v>0.99999998843331706</v>
      </c>
    </row>
    <row r="6878" spans="1:40" x14ac:dyDescent="0.25">
      <c r="A6878" t="str">
        <f>"20190304155808271"</f>
        <v>20190304155808271</v>
      </c>
      <c r="B6878" t="str">
        <f>"1551686288261610"</f>
        <v>1551686288261610</v>
      </c>
      <c r="C6878" t="s">
        <v>40</v>
      </c>
      <c r="D6878">
        <v>6.0054509999999999</v>
      </c>
      <c r="E6878">
        <v>0.52740730000000002</v>
      </c>
      <c r="F6878" t="s">
        <v>43</v>
      </c>
      <c r="G6878">
        <v>-169.6001</v>
      </c>
      <c r="H6878">
        <v>6.6740890000000004</v>
      </c>
      <c r="I6878">
        <v>357.05259999999998</v>
      </c>
      <c r="J6878">
        <v>-187.01560000000001</v>
      </c>
      <c r="K6878">
        <v>1.108894</v>
      </c>
      <c r="L6878">
        <v>-13.65231</v>
      </c>
      <c r="M6878">
        <v>1.0892249999999999E-2</v>
      </c>
      <c r="N6878">
        <v>-7.912189E-3</v>
      </c>
      <c r="O6878">
        <v>0.99990939999999995</v>
      </c>
      <c r="P6878">
        <v>-3.0904549999999999E-2</v>
      </c>
      <c r="Q6878">
        <v>0.19296569999999999</v>
      </c>
      <c r="R6878">
        <v>0.98071870000000005</v>
      </c>
      <c r="S6878">
        <v>0.14344789999999999</v>
      </c>
      <c r="T6878">
        <v>4.5830490000000002E-2</v>
      </c>
      <c r="U6878">
        <v>3.0550839999999999</v>
      </c>
      <c r="V6878">
        <v>-4.129567E-2</v>
      </c>
      <c r="W6878">
        <v>0.20077619999999999</v>
      </c>
      <c r="X6878">
        <v>0.97876640000000004</v>
      </c>
      <c r="Y6878">
        <v>3.600747E-2</v>
      </c>
      <c r="Z6878">
        <v>2.2894049999999999E-2</v>
      </c>
      <c r="AA6878">
        <v>0.99908920000000001</v>
      </c>
      <c r="AB6878">
        <v>29</v>
      </c>
      <c r="AC6878">
        <v>17.415500000000002</v>
      </c>
      <c r="AD6878">
        <v>5.5651950000000001</v>
      </c>
      <c r="AE6878">
        <v>370.70490999999998</v>
      </c>
      <c r="AF6878">
        <v>13.373522553138701</v>
      </c>
      <c r="AG6878">
        <v>5.5651950000000001</v>
      </c>
      <c r="AH6878">
        <v>370.789235186486</v>
      </c>
      <c r="AI6878">
        <v>89.140667896738094</v>
      </c>
      <c r="AJ6878">
        <v>87.9343672336081</v>
      </c>
      <c r="AK6878">
        <v>371.07206770524601</v>
      </c>
      <c r="AL6878">
        <v>78.417647715910405</v>
      </c>
      <c r="AM6878">
        <v>92.415964763451896</v>
      </c>
      <c r="AN6878">
        <v>1.00000004030807</v>
      </c>
    </row>
    <row r="6879" spans="1:40" x14ac:dyDescent="0.25">
      <c r="A6879" t="str">
        <f>"20190304155808291"</f>
        <v>20190304155808291</v>
      </c>
      <c r="B6879" t="str">
        <f>"1551686288281131"</f>
        <v>1551686288281131</v>
      </c>
      <c r="C6879" t="s">
        <v>40</v>
      </c>
      <c r="D6879">
        <v>4.4315360000000004</v>
      </c>
      <c r="E6879">
        <v>0.52688489999999999</v>
      </c>
      <c r="F6879" t="s">
        <v>43</v>
      </c>
      <c r="G6879">
        <v>-168.84350000000001</v>
      </c>
      <c r="H6879">
        <v>9.1856779999999993</v>
      </c>
      <c r="I6879">
        <v>375.8383</v>
      </c>
      <c r="J6879">
        <v>-187.012</v>
      </c>
      <c r="K6879">
        <v>1.1088979999999999</v>
      </c>
      <c r="L6879">
        <v>-13.383089999999999</v>
      </c>
      <c r="M6879">
        <v>1.1549169999999999E-2</v>
      </c>
      <c r="N6879">
        <v>-7.9189619999999999E-3</v>
      </c>
      <c r="O6879">
        <v>0.99990199999999996</v>
      </c>
      <c r="P6879">
        <v>-3.0033959999999998E-2</v>
      </c>
      <c r="Q6879">
        <v>0.19264890000000001</v>
      </c>
      <c r="R6879">
        <v>0.98080800000000001</v>
      </c>
      <c r="S6879">
        <v>0.14234920000000001</v>
      </c>
      <c r="T6879">
        <v>6.3269140000000001E-2</v>
      </c>
      <c r="U6879">
        <v>3.0510250000000001</v>
      </c>
      <c r="V6879">
        <v>-4.1075720000000003E-2</v>
      </c>
      <c r="W6879">
        <v>0.20046510000000001</v>
      </c>
      <c r="X6879">
        <v>0.97883940000000003</v>
      </c>
      <c r="Y6879">
        <v>3.5048089999999997E-2</v>
      </c>
      <c r="Z6879">
        <v>2.8627329999999999E-2</v>
      </c>
      <c r="AA6879">
        <v>0.99897550000000002</v>
      </c>
      <c r="AB6879">
        <v>29</v>
      </c>
      <c r="AC6879">
        <v>18.168499999999899</v>
      </c>
      <c r="AD6879">
        <v>8.0767799999999994</v>
      </c>
      <c r="AE6879">
        <v>389.22138999999999</v>
      </c>
      <c r="AF6879">
        <v>13.6660915262496</v>
      </c>
      <c r="AG6879">
        <v>8.0767799999999994</v>
      </c>
      <c r="AH6879">
        <v>389.23802236934398</v>
      </c>
      <c r="AI6879">
        <v>88.812001555054294</v>
      </c>
      <c r="AJ6879">
        <v>87.989179318124002</v>
      </c>
      <c r="AK6879">
        <v>389.56159267921998</v>
      </c>
      <c r="AL6879">
        <v>78.435842121381896</v>
      </c>
      <c r="AM6879">
        <v>92.402932909930399</v>
      </c>
      <c r="AN6879">
        <v>1.00000002104194</v>
      </c>
    </row>
    <row r="6880" spans="1:40" x14ac:dyDescent="0.25">
      <c r="A6880" t="str">
        <f>"20190304155808314"</f>
        <v>20190304155808314</v>
      </c>
      <c r="B6880" t="str">
        <f>"1551686288311385"</f>
        <v>1551686288311385</v>
      </c>
      <c r="C6880" t="s">
        <v>40</v>
      </c>
      <c r="D6880">
        <v>4.8814739999999999</v>
      </c>
      <c r="E6880">
        <v>0.5260013</v>
      </c>
      <c r="F6880" t="s">
        <v>43</v>
      </c>
      <c r="G6880">
        <v>-168.84350000000001</v>
      </c>
      <c r="H6880">
        <v>10.93404</v>
      </c>
      <c r="I6880">
        <v>381.71210000000002</v>
      </c>
      <c r="J6880">
        <v>-187.0078</v>
      </c>
      <c r="K6880">
        <v>1.1089209999999901</v>
      </c>
      <c r="L6880">
        <v>-13.083130000000001</v>
      </c>
      <c r="M6880">
        <v>1.225743E-2</v>
      </c>
      <c r="N6880">
        <v>-7.926476E-3</v>
      </c>
      <c r="O6880">
        <v>0.99989349999999999</v>
      </c>
      <c r="P6880">
        <v>-2.8769119999999999E-2</v>
      </c>
      <c r="Q6880">
        <v>0.1925386</v>
      </c>
      <c r="R6880">
        <v>0.98086759999999995</v>
      </c>
      <c r="S6880">
        <v>0.14016719999999999</v>
      </c>
      <c r="T6880">
        <v>7.5800060000000002E-2</v>
      </c>
      <c r="U6880">
        <v>3.0480960000000001</v>
      </c>
      <c r="V6880">
        <v>-4.051416E-2</v>
      </c>
      <c r="W6880">
        <v>0.20035990000000001</v>
      </c>
      <c r="X6880">
        <v>0.97888430000000004</v>
      </c>
      <c r="Y6880">
        <v>3.3665920000000002E-2</v>
      </c>
      <c r="Z6880">
        <v>3.2758379999999997E-2</v>
      </c>
      <c r="AA6880">
        <v>0.99889609999999995</v>
      </c>
      <c r="AB6880">
        <v>29</v>
      </c>
      <c r="AC6880">
        <v>18.164300000000001</v>
      </c>
      <c r="AD6880">
        <v>9.8251190000000008</v>
      </c>
      <c r="AE6880">
        <v>394.79523</v>
      </c>
      <c r="AF6880">
        <v>13.3153792232215</v>
      </c>
      <c r="AG6880">
        <v>9.8251190000000008</v>
      </c>
      <c r="AH6880">
        <v>394.74425772859001</v>
      </c>
      <c r="AI6880">
        <v>88.575022067090302</v>
      </c>
      <c r="AJ6880">
        <v>88.068050744297594</v>
      </c>
      <c r="AK6880">
        <v>395.09095319548697</v>
      </c>
      <c r="AL6880">
        <v>78.441993974316802</v>
      </c>
      <c r="AM6880">
        <v>92.3700107376104</v>
      </c>
      <c r="AN6880">
        <v>0.99999997973750199</v>
      </c>
    </row>
    <row r="6881" spans="1:40" x14ac:dyDescent="0.25">
      <c r="A6881" t="str">
        <f>"20190304155808337"</f>
        <v>20190304155808337</v>
      </c>
      <c r="B6881" t="str">
        <f>"1551686288331882"</f>
        <v>1551686288331882</v>
      </c>
      <c r="C6881" t="s">
        <v>40</v>
      </c>
      <c r="D6881">
        <v>3.8766729999999998</v>
      </c>
      <c r="E6881">
        <v>0.52569409999999905</v>
      </c>
      <c r="F6881" t="s">
        <v>46</v>
      </c>
      <c r="G6881">
        <v>0</v>
      </c>
      <c r="H6881">
        <v>0</v>
      </c>
      <c r="I6881">
        <v>0</v>
      </c>
      <c r="J6881">
        <v>-187.0034</v>
      </c>
      <c r="K6881">
        <v>1.1089469999999999</v>
      </c>
      <c r="L6881">
        <v>-12.782349999999999</v>
      </c>
      <c r="M6881">
        <v>1.293178E-2</v>
      </c>
      <c r="N6881">
        <v>-7.9340119999999903E-3</v>
      </c>
      <c r="O6881">
        <v>0.99988489999999997</v>
      </c>
      <c r="P6881">
        <v>-2.7096680000000001E-2</v>
      </c>
      <c r="Q6881">
        <v>0.19348509999999999</v>
      </c>
      <c r="R6881">
        <v>0.98072899999999996</v>
      </c>
      <c r="S6881">
        <v>0.13708499999999901</v>
      </c>
      <c r="T6881">
        <v>6.5970899999999999E-2</v>
      </c>
      <c r="U6881">
        <v>3.0495909999999999</v>
      </c>
      <c r="V6881">
        <v>-3.9510679999999999E-2</v>
      </c>
      <c r="W6881">
        <v>0.20130909999999999</v>
      </c>
      <c r="X6881">
        <v>0.97873060000000001</v>
      </c>
      <c r="Y6881">
        <v>3.1965800000000003E-2</v>
      </c>
      <c r="Z6881">
        <v>2.9537669999999999E-2</v>
      </c>
      <c r="AA6881">
        <v>0.99905239999999995</v>
      </c>
      <c r="AB6881">
        <v>29</v>
      </c>
      <c r="AC6881">
        <v>0.13708499999999901</v>
      </c>
      <c r="AD6881">
        <v>6.5970899999999999E-2</v>
      </c>
      <c r="AE6881">
        <v>3.0495909999999999</v>
      </c>
      <c r="AF6881">
        <v>9.7590077518286897E-2</v>
      </c>
      <c r="AG6881">
        <v>6.5970899999999999E-2</v>
      </c>
      <c r="AH6881">
        <v>3.0496844944939898</v>
      </c>
      <c r="AI6881">
        <v>88.761402426497796</v>
      </c>
      <c r="AJ6881">
        <v>88.167157234120594</v>
      </c>
      <c r="AK6881">
        <v>3.0519586332114499</v>
      </c>
      <c r="AL6881">
        <v>78.386478127089305</v>
      </c>
      <c r="AM6881">
        <v>92.311735891238101</v>
      </c>
      <c r="AN6881">
        <v>1.0000000174766099</v>
      </c>
    </row>
    <row r="6882" spans="1:40" x14ac:dyDescent="0.25">
      <c r="A6882" t="str">
        <f>"20190304155808360"</f>
        <v>20190304155808360</v>
      </c>
      <c r="B6882" t="str">
        <f>"1551686288351402"</f>
        <v>1551686288351402</v>
      </c>
      <c r="C6882" t="s">
        <v>40</v>
      </c>
      <c r="D6882">
        <v>4.2790350000000004</v>
      </c>
      <c r="E6882">
        <v>0.4739003</v>
      </c>
      <c r="F6882" t="s">
        <v>43</v>
      </c>
      <c r="G6882">
        <v>-168.84350000000001</v>
      </c>
      <c r="H6882">
        <v>9.7038759999999993</v>
      </c>
      <c r="I6882">
        <v>383.37369999999999</v>
      </c>
      <c r="J6882">
        <v>-186.99870000000001</v>
      </c>
      <c r="K6882">
        <v>1.1089800000000001</v>
      </c>
      <c r="L6882">
        <v>-12.474489999999999</v>
      </c>
      <c r="M6882">
        <v>1.357031E-2</v>
      </c>
      <c r="N6882">
        <v>-7.9417169999999992E-3</v>
      </c>
      <c r="O6882">
        <v>0.9998764</v>
      </c>
      <c r="P6882">
        <v>-2.5479310000000002E-2</v>
      </c>
      <c r="Q6882">
        <v>0.19398679999999999</v>
      </c>
      <c r="R6882">
        <v>0.98067320000000002</v>
      </c>
      <c r="S6882">
        <v>0.13980100000000001</v>
      </c>
      <c r="T6882">
        <v>6.616735E-2</v>
      </c>
      <c r="U6882">
        <v>3.049744</v>
      </c>
      <c r="V6882">
        <v>-3.8533520000000002E-2</v>
      </c>
      <c r="W6882">
        <v>0.20181360000000001</v>
      </c>
      <c r="X6882">
        <v>0.97866560000000002</v>
      </c>
      <c r="Y6882">
        <v>3.221313E-2</v>
      </c>
      <c r="Z6882">
        <v>2.9607629999999999E-2</v>
      </c>
      <c r="AA6882">
        <v>0.9990424</v>
      </c>
      <c r="AB6882">
        <v>29</v>
      </c>
      <c r="AC6882">
        <v>18.155200000000001</v>
      </c>
      <c r="AD6882">
        <v>8.5948959999999897</v>
      </c>
      <c r="AE6882">
        <v>395.84818999999999</v>
      </c>
      <c r="AF6882">
        <v>12.775565957264</v>
      </c>
      <c r="AG6882">
        <v>8.5948959999999897</v>
      </c>
      <c r="AH6882">
        <v>395.87188009126999</v>
      </c>
      <c r="AI6882">
        <v>88.756876107882505</v>
      </c>
      <c r="AJ6882">
        <v>88.151593761966197</v>
      </c>
      <c r="AK6882">
        <v>396.17121648319699</v>
      </c>
      <c r="AL6882">
        <v>78.356966020211502</v>
      </c>
      <c r="AM6882">
        <v>92.254772439822901</v>
      </c>
      <c r="AN6882">
        <v>0.99999995896595395</v>
      </c>
    </row>
    <row r="6883" spans="1:40" x14ac:dyDescent="0.25">
      <c r="A6883" t="str">
        <f>"20190304155808381"</f>
        <v>20190304155808381</v>
      </c>
      <c r="B6883" t="str">
        <f>"1551686288371898"</f>
        <v>1551686288371898</v>
      </c>
      <c r="C6883" t="s">
        <v>40</v>
      </c>
      <c r="D6883">
        <v>4.9111120000000001</v>
      </c>
      <c r="E6883">
        <v>0.52170190000000005</v>
      </c>
      <c r="F6883" t="s">
        <v>41</v>
      </c>
      <c r="G6883">
        <v>-191.35230000000001</v>
      </c>
      <c r="H6883" s="1">
        <v>-3.9840450000000001E-6</v>
      </c>
      <c r="I6883">
        <v>38.037289999999999</v>
      </c>
      <c r="J6883">
        <v>-186.99440000000001</v>
      </c>
      <c r="K6883">
        <v>1.109022</v>
      </c>
      <c r="L6883">
        <v>-12.19894</v>
      </c>
      <c r="M6883">
        <v>1.408678E-2</v>
      </c>
      <c r="N6883">
        <v>-7.9486379999999992E-3</v>
      </c>
      <c r="O6883">
        <v>0.99986920000000001</v>
      </c>
      <c r="P6883">
        <v>-2.3551240000000001E-2</v>
      </c>
      <c r="Q6883">
        <v>0.19470489999999999</v>
      </c>
      <c r="R6883">
        <v>0.98057910000000004</v>
      </c>
      <c r="S6883">
        <v>-0.26422119999999999</v>
      </c>
      <c r="T6883">
        <v>-6.7304729999999993E-2</v>
      </c>
      <c r="U6883">
        <v>3.065582</v>
      </c>
      <c r="V6883">
        <v>-3.7127390000000003E-2</v>
      </c>
      <c r="W6883">
        <v>0.2025332</v>
      </c>
      <c r="X6883">
        <v>0.97857139999999998</v>
      </c>
      <c r="Y6883">
        <v>-9.9877740000000007E-2</v>
      </c>
      <c r="Z6883">
        <v>-1.3898799999999999E-2</v>
      </c>
      <c r="AA6883">
        <v>0.99490259999999997</v>
      </c>
      <c r="AB6883">
        <v>30</v>
      </c>
      <c r="AC6883">
        <v>-4.3578999999999999</v>
      </c>
      <c r="AD6883">
        <v>-1.1090259840450001</v>
      </c>
      <c r="AE6883">
        <v>50.236229999999999</v>
      </c>
      <c r="AF6883">
        <v>-5.0627077007277501</v>
      </c>
      <c r="AG6883">
        <v>-1.1090259840450001</v>
      </c>
      <c r="AH6883">
        <v>50.145597954138303</v>
      </c>
      <c r="AI6883">
        <v>91.260547726553995</v>
      </c>
      <c r="AJ6883">
        <v>95.765056497006</v>
      </c>
      <c r="AK6883">
        <v>50.412716075156801</v>
      </c>
      <c r="AL6883">
        <v>78.314867838169803</v>
      </c>
      <c r="AM6883">
        <v>92.172782618115704</v>
      </c>
      <c r="AN6883">
        <v>1.0000000625442</v>
      </c>
    </row>
    <row r="6884" spans="1:40" x14ac:dyDescent="0.25">
      <c r="A6884" t="str">
        <f>"20190304155808406"</f>
        <v>20190304155808406</v>
      </c>
      <c r="B6884" t="str">
        <f>"1551686288401178"</f>
        <v>1551686288401178</v>
      </c>
      <c r="C6884" t="s">
        <v>40</v>
      </c>
      <c r="D6884">
        <v>4.8999480000000002</v>
      </c>
      <c r="E6884">
        <v>0.51898290000000002</v>
      </c>
      <c r="F6884" t="s">
        <v>46</v>
      </c>
      <c r="G6884">
        <v>0</v>
      </c>
      <c r="H6884">
        <v>0</v>
      </c>
      <c r="I6884">
        <v>0</v>
      </c>
      <c r="J6884">
        <v>-186.98920000000001</v>
      </c>
      <c r="K6884">
        <v>1.1090719999999901</v>
      </c>
      <c r="L6884">
        <v>-11.87195</v>
      </c>
      <c r="M6884">
        <v>1.462637E-2</v>
      </c>
      <c r="N6884">
        <v>-7.9569110000000005E-3</v>
      </c>
      <c r="O6884">
        <v>0.99986140000000001</v>
      </c>
      <c r="P6884">
        <v>-2.155578E-2</v>
      </c>
      <c r="Q6884">
        <v>0.1948278</v>
      </c>
      <c r="R6884">
        <v>0.98060060000000004</v>
      </c>
      <c r="S6884">
        <v>0.1189423</v>
      </c>
      <c r="T6884">
        <v>5.57847E-2</v>
      </c>
      <c r="U6884">
        <v>3.0512079999999999</v>
      </c>
      <c r="V6884">
        <v>-3.5686410000000002E-2</v>
      </c>
      <c r="W6884">
        <v>0.20265839999999999</v>
      </c>
      <c r="X6884">
        <v>0.978599</v>
      </c>
      <c r="Y6884">
        <v>2.4320140000000001E-2</v>
      </c>
      <c r="Z6884">
        <v>2.6219940000000001E-2</v>
      </c>
      <c r="AA6884">
        <v>0.99936029999999998</v>
      </c>
      <c r="AB6884">
        <v>30</v>
      </c>
      <c r="AC6884">
        <v>0.1189423</v>
      </c>
      <c r="AD6884">
        <v>5.57847E-2</v>
      </c>
      <c r="AE6884">
        <v>3.0512079999999999</v>
      </c>
      <c r="AF6884">
        <v>7.4275277514736393E-2</v>
      </c>
      <c r="AG6884">
        <v>5.57847E-2</v>
      </c>
      <c r="AH6884">
        <v>3.0516028513084401</v>
      </c>
      <c r="AI6884">
        <v>88.953033523434399</v>
      </c>
      <c r="AJ6884">
        <v>88.605709836816601</v>
      </c>
      <c r="AK6884">
        <v>3.0530163300771598</v>
      </c>
      <c r="AL6884">
        <v>78.307541457863195</v>
      </c>
      <c r="AM6884">
        <v>92.088470397076094</v>
      </c>
      <c r="AN6884">
        <v>0.99999997487512304</v>
      </c>
    </row>
    <row r="6885" spans="1:40" x14ac:dyDescent="0.25">
      <c r="A6885" t="str">
        <f>"20190304155808428"</f>
        <v>20190304155808428</v>
      </c>
      <c r="B6885" t="str">
        <f>"1551686288421674"</f>
        <v>1551686288421674</v>
      </c>
      <c r="C6885" t="s">
        <v>40</v>
      </c>
      <c r="D6885">
        <v>4.9069250000000002</v>
      </c>
      <c r="E6885">
        <v>0.51591149999999997</v>
      </c>
      <c r="F6885" t="s">
        <v>46</v>
      </c>
      <c r="G6885">
        <v>0</v>
      </c>
      <c r="H6885">
        <v>0</v>
      </c>
      <c r="I6885">
        <v>0</v>
      </c>
      <c r="J6885">
        <v>-186.98439999999999</v>
      </c>
      <c r="K6885">
        <v>1.1091219999999999</v>
      </c>
      <c r="L6885">
        <v>-11.57428</v>
      </c>
      <c r="M6885">
        <v>1.5043020000000001E-2</v>
      </c>
      <c r="N6885">
        <v>-7.9644999999999994E-3</v>
      </c>
      <c r="O6885">
        <v>0.9998551</v>
      </c>
      <c r="P6885">
        <v>-2.0294840000000001E-2</v>
      </c>
      <c r="Q6885">
        <v>0.1945877</v>
      </c>
      <c r="R6885">
        <v>0.98067519999999997</v>
      </c>
      <c r="S6885">
        <v>0.10325620000000001</v>
      </c>
      <c r="T6885">
        <v>2.4705769999999998E-2</v>
      </c>
      <c r="U6885">
        <v>3.056702</v>
      </c>
      <c r="V6885">
        <v>-3.4860820000000001E-2</v>
      </c>
      <c r="W6885">
        <v>0.20242070000000001</v>
      </c>
      <c r="X6885">
        <v>0.97867800000000005</v>
      </c>
      <c r="Y6885">
        <v>1.8717939999999999E-2</v>
      </c>
      <c r="Z6885">
        <v>1.6039810000000002E-2</v>
      </c>
      <c r="AA6885">
        <v>0.99969609999999998</v>
      </c>
      <c r="AB6885">
        <v>30</v>
      </c>
      <c r="AC6885">
        <v>0.10325620000000001</v>
      </c>
      <c r="AD6885">
        <v>2.4705769999999998E-2</v>
      </c>
      <c r="AE6885">
        <v>3.056702</v>
      </c>
      <c r="AF6885">
        <v>5.7257290372724097E-2</v>
      </c>
      <c r="AG6885">
        <v>2.4705769999999998E-2</v>
      </c>
      <c r="AH6885">
        <v>3.0577099162074899</v>
      </c>
      <c r="AI6885">
        <v>89.537151171262593</v>
      </c>
      <c r="AJ6885">
        <v>88.927230570615905</v>
      </c>
      <c r="AK6885">
        <v>3.0583457463219701</v>
      </c>
      <c r="AL6885">
        <v>78.3214494692767</v>
      </c>
      <c r="AM6885">
        <v>92.040031283621502</v>
      </c>
      <c r="AN6885">
        <v>1.00000002212178</v>
      </c>
    </row>
    <row r="6886" spans="1:40" x14ac:dyDescent="0.25">
      <c r="A6886" t="str">
        <f>"20190304155808451"</f>
        <v>20190304155808451</v>
      </c>
      <c r="B6886" t="str">
        <f>"1551686288441194"</f>
        <v>1551686288441194</v>
      </c>
      <c r="C6886" t="s">
        <v>40</v>
      </c>
      <c r="D6886">
        <v>4.9319059999999997</v>
      </c>
      <c r="E6886">
        <v>0.51409759999999904</v>
      </c>
      <c r="F6886" t="s">
        <v>52</v>
      </c>
      <c r="G6886">
        <v>-175.999</v>
      </c>
      <c r="H6886">
        <v>0.662321099999999</v>
      </c>
      <c r="I6886">
        <v>391.00349999999997</v>
      </c>
      <c r="J6886">
        <v>-186.9795</v>
      </c>
      <c r="K6886">
        <v>1.1091799999999901</v>
      </c>
      <c r="L6886">
        <v>-11.27631</v>
      </c>
      <c r="M6886">
        <v>1.53881E-2</v>
      </c>
      <c r="N6886">
        <v>-7.9723269999999995E-3</v>
      </c>
      <c r="O6886">
        <v>0.99984980000000001</v>
      </c>
      <c r="P6886">
        <v>-1.9628429999999999E-2</v>
      </c>
      <c r="Q6886">
        <v>0.19524420000000001</v>
      </c>
      <c r="R6886">
        <v>0.98055820000000005</v>
      </c>
      <c r="S6886">
        <v>8.3541870000000004E-2</v>
      </c>
      <c r="T6886">
        <v>-3.397822E-3</v>
      </c>
      <c r="U6886">
        <v>3.0615230000000002</v>
      </c>
      <c r="V6886">
        <v>-3.4556860000000002E-2</v>
      </c>
      <c r="W6886">
        <v>0.20307900000000001</v>
      </c>
      <c r="X6886">
        <v>0.97855230000000004</v>
      </c>
      <c r="Y6886">
        <v>1.1890360000000001E-2</v>
      </c>
      <c r="Z6886">
        <v>6.8612830000000001E-3</v>
      </c>
      <c r="AA6886">
        <v>0.99990579999999996</v>
      </c>
      <c r="AB6886">
        <v>30</v>
      </c>
      <c r="AC6886">
        <v>10.9804999999999</v>
      </c>
      <c r="AD6886">
        <v>-0.4468589</v>
      </c>
      <c r="AE6886">
        <v>402.27981</v>
      </c>
      <c r="AF6886">
        <v>4.7886751239645697</v>
      </c>
      <c r="AG6886">
        <v>-0.4468589</v>
      </c>
      <c r="AH6886">
        <v>402.40065375124402</v>
      </c>
      <c r="AI6886">
        <v>90.063621431846002</v>
      </c>
      <c r="AJ6886">
        <v>89.318197123178606</v>
      </c>
      <c r="AK6886">
        <v>402.42939409509802</v>
      </c>
      <c r="AL6886">
        <v>78.282930573787894</v>
      </c>
      <c r="AM6886">
        <v>92.022518140105504</v>
      </c>
      <c r="AN6886">
        <v>0.99999993032467205</v>
      </c>
    </row>
    <row r="6887" spans="1:40" x14ac:dyDescent="0.25">
      <c r="A6887" t="str">
        <f>"20190304155808472"</f>
        <v>20190304155808472</v>
      </c>
      <c r="B6887" t="str">
        <f>"1551686288461690"</f>
        <v>1551686288461690</v>
      </c>
      <c r="C6887" t="s">
        <v>40</v>
      </c>
      <c r="D6887">
        <v>4.9827000000000004</v>
      </c>
      <c r="E6887">
        <v>0.51290639999999998</v>
      </c>
      <c r="F6887" t="s">
        <v>41</v>
      </c>
      <c r="G6887">
        <v>-180.4554</v>
      </c>
      <c r="H6887" s="1">
        <v>-5.79233799999999E-6</v>
      </c>
      <c r="I6887">
        <v>269.18830000000003</v>
      </c>
      <c r="J6887">
        <v>-186.97460000000001</v>
      </c>
      <c r="K6887">
        <v>1.109227</v>
      </c>
      <c r="L6887">
        <v>-10.97583</v>
      </c>
      <c r="M6887">
        <v>1.5666090000000001E-2</v>
      </c>
      <c r="N6887">
        <v>-7.9800819999999995E-3</v>
      </c>
      <c r="O6887">
        <v>0.9998454</v>
      </c>
      <c r="P6887">
        <v>-1.964598E-2</v>
      </c>
      <c r="Q6887">
        <v>0.1954534</v>
      </c>
      <c r="R6887">
        <v>0.98051619999999995</v>
      </c>
      <c r="S6887">
        <v>7.1258539999999995E-2</v>
      </c>
      <c r="T6887">
        <v>-1.211488E-2</v>
      </c>
      <c r="U6887">
        <v>3.0633240000000002</v>
      </c>
      <c r="V6887">
        <v>-3.4870249999999998E-2</v>
      </c>
      <c r="W6887">
        <v>0.20329140000000001</v>
      </c>
      <c r="X6887">
        <v>0.97849710000000001</v>
      </c>
      <c r="Y6887">
        <v>7.5897869999999997E-3</v>
      </c>
      <c r="Z6887">
        <v>4.0252270000000001E-3</v>
      </c>
      <c r="AA6887">
        <v>0.99996309999999999</v>
      </c>
      <c r="AB6887">
        <v>30</v>
      </c>
      <c r="AC6887">
        <v>6.5192000000000103</v>
      </c>
      <c r="AD6887">
        <v>-1.1092327923380001</v>
      </c>
      <c r="AE6887">
        <v>280.16413</v>
      </c>
      <c r="AF6887">
        <v>2.12915016748974</v>
      </c>
      <c r="AG6887">
        <v>-1.1092327923380001</v>
      </c>
      <c r="AH6887">
        <v>280.22748917605202</v>
      </c>
      <c r="AI6887">
        <v>90.226787855156701</v>
      </c>
      <c r="AJ6887">
        <v>89.564678784641799</v>
      </c>
      <c r="AK6887">
        <v>280.23777291389098</v>
      </c>
      <c r="AL6887">
        <v>78.270501934836801</v>
      </c>
      <c r="AM6887">
        <v>92.040959588723496</v>
      </c>
      <c r="AN6887">
        <v>0.99999995117871499</v>
      </c>
    </row>
    <row r="6888" spans="1:40" x14ac:dyDescent="0.25">
      <c r="A6888" t="str">
        <f>"20190304155808493"</f>
        <v>20190304155808493</v>
      </c>
      <c r="B6888" t="str">
        <f>"1551686288490971"</f>
        <v>1551686288490971</v>
      </c>
      <c r="C6888" t="s">
        <v>40</v>
      </c>
      <c r="D6888">
        <v>4.9596710000000002</v>
      </c>
      <c r="E6888">
        <v>0.51211110000000004</v>
      </c>
      <c r="F6888" t="s">
        <v>41</v>
      </c>
      <c r="G6888">
        <v>-182.9014</v>
      </c>
      <c r="H6888" s="1">
        <v>-2.3625010000000001E-6</v>
      </c>
      <c r="I6888">
        <v>191.0402</v>
      </c>
      <c r="J6888">
        <v>-186.9699</v>
      </c>
      <c r="K6888">
        <v>1.109262</v>
      </c>
      <c r="L6888">
        <v>-10.691129999999999</v>
      </c>
      <c r="M6888">
        <v>1.588434E-2</v>
      </c>
      <c r="N6888">
        <v>-7.9872729999999996E-3</v>
      </c>
      <c r="O6888">
        <v>0.99984189999999995</v>
      </c>
      <c r="P6888">
        <v>-2.013065E-2</v>
      </c>
      <c r="Q6888">
        <v>0.1943925</v>
      </c>
      <c r="R6888">
        <v>0.98071719999999896</v>
      </c>
      <c r="S6888">
        <v>6.1782839999999999E-2</v>
      </c>
      <c r="T6888">
        <v>-1.682496E-2</v>
      </c>
      <c r="U6888">
        <v>3.064209</v>
      </c>
      <c r="V6888">
        <v>-3.5591129999999999E-2</v>
      </c>
      <c r="W6888">
        <v>0.2022362</v>
      </c>
      <c r="X6888">
        <v>0.97868980000000005</v>
      </c>
      <c r="Y6888">
        <v>4.2741810000000002E-3</v>
      </c>
      <c r="Z6888">
        <v>2.496954E-3</v>
      </c>
      <c r="AA6888">
        <v>0.99998770000000003</v>
      </c>
      <c r="AB6888">
        <v>30</v>
      </c>
      <c r="AC6888">
        <v>4.0685000000000002</v>
      </c>
      <c r="AD6888">
        <v>-1.1092643625009999</v>
      </c>
      <c r="AE6888">
        <v>201.73133000000001</v>
      </c>
      <c r="AF6888">
        <v>0.86348921165856396</v>
      </c>
      <c r="AG6888">
        <v>-1.1092643625009999</v>
      </c>
      <c r="AH6888">
        <v>201.76440657091001</v>
      </c>
      <c r="AI6888">
        <v>90.314995816474394</v>
      </c>
      <c r="AJ6888">
        <v>89.754793294444895</v>
      </c>
      <c r="AK6888">
        <v>201.76930351259099</v>
      </c>
      <c r="AL6888">
        <v>78.332243137885797</v>
      </c>
      <c r="AM6888">
        <v>92.082706182873494</v>
      </c>
      <c r="AN6888">
        <v>0.99999996687457704</v>
      </c>
    </row>
    <row r="6889" spans="1:40" x14ac:dyDescent="0.25">
      <c r="A6889" t="str">
        <f>"20190304155808515"</f>
        <v>20190304155808515</v>
      </c>
      <c r="B6889" t="str">
        <f>"1551686288511466"</f>
        <v>1551686288511466</v>
      </c>
      <c r="C6889" t="s">
        <v>40</v>
      </c>
      <c r="D6889">
        <v>4.947063</v>
      </c>
      <c r="E6889">
        <v>0.51185069999999999</v>
      </c>
      <c r="F6889" t="s">
        <v>41</v>
      </c>
      <c r="G6889">
        <v>-185.0779</v>
      </c>
      <c r="H6889" s="1">
        <v>-3.6783640000000001E-6</v>
      </c>
      <c r="I6889">
        <v>96.171899999999994</v>
      </c>
      <c r="J6889">
        <v>-186.96520000000001</v>
      </c>
      <c r="K6889">
        <v>1.1092820000000001</v>
      </c>
      <c r="L6889">
        <v>-10.407590000000001</v>
      </c>
      <c r="M6889">
        <v>1.6064439999999999E-2</v>
      </c>
      <c r="N6889">
        <v>-7.9944189999999991E-3</v>
      </c>
      <c r="O6889">
        <v>0.99983900000000003</v>
      </c>
      <c r="P6889">
        <v>-2.085704E-2</v>
      </c>
      <c r="Q6889">
        <v>0.19189510000000001</v>
      </c>
      <c r="R6889">
        <v>0.9811938</v>
      </c>
      <c r="S6889">
        <v>5.4290770000000002E-2</v>
      </c>
      <c r="T6889">
        <v>-3.1830070000000002E-2</v>
      </c>
      <c r="U6889">
        <v>3.0664060000000002</v>
      </c>
      <c r="V6889">
        <v>-3.6518290000000002E-2</v>
      </c>
      <c r="W6889">
        <v>0.19974739999999999</v>
      </c>
      <c r="X6889">
        <v>0.97916669999999995</v>
      </c>
      <c r="Y6889">
        <v>1.637351E-3</v>
      </c>
      <c r="Z6889">
        <v>-2.3836809999999999E-3</v>
      </c>
      <c r="AA6889">
        <v>0.99999579999999999</v>
      </c>
      <c r="AB6889">
        <v>30</v>
      </c>
      <c r="AC6889">
        <v>1.88730000000001</v>
      </c>
      <c r="AD6889">
        <v>-1.1092856783639999</v>
      </c>
      <c r="AE6889">
        <v>106.57949000000001</v>
      </c>
      <c r="AF6889">
        <v>0.17484297557697301</v>
      </c>
      <c r="AG6889">
        <v>-1.1092856783639999</v>
      </c>
      <c r="AH6889">
        <v>106.584512900162</v>
      </c>
      <c r="AI6889">
        <v>90.596287450832193</v>
      </c>
      <c r="AJ6889">
        <v>89.906011151904806</v>
      </c>
      <c r="AK6889">
        <v>106.59042862728001</v>
      </c>
      <c r="AL6889">
        <v>78.477812143086794</v>
      </c>
      <c r="AM6889">
        <v>92.135871853448293</v>
      </c>
      <c r="AN6889">
        <v>1.0000000178500801</v>
      </c>
    </row>
    <row r="6890" spans="1:40" x14ac:dyDescent="0.25">
      <c r="A6890" t="str">
        <f>"20190304155808537"</f>
        <v>20190304155808537</v>
      </c>
      <c r="B6890" t="str">
        <f>"1551686288530987"</f>
        <v>1551686288530987</v>
      </c>
      <c r="C6890" t="s">
        <v>40</v>
      </c>
      <c r="D6890">
        <v>4.9978790000000002</v>
      </c>
      <c r="E6890">
        <v>0.51732520000000004</v>
      </c>
      <c r="F6890" t="s">
        <v>41</v>
      </c>
      <c r="G6890">
        <v>-185.7431</v>
      </c>
      <c r="H6890" s="1">
        <v>-2.8490679999999999E-6</v>
      </c>
      <c r="I6890">
        <v>64.513850000000005</v>
      </c>
      <c r="J6890">
        <v>-186.96019999999999</v>
      </c>
      <c r="K6890">
        <v>1.1092959999999901</v>
      </c>
      <c r="L6890">
        <v>-10.1076</v>
      </c>
      <c r="M6890">
        <v>1.6223620000000001E-2</v>
      </c>
      <c r="N6890">
        <v>-8.0020309999999997E-3</v>
      </c>
      <c r="O6890">
        <v>0.99983639999999996</v>
      </c>
      <c r="P6890">
        <v>-2.1624109999999998E-2</v>
      </c>
      <c r="Q6890">
        <v>0.18950620000000001</v>
      </c>
      <c r="R6890">
        <v>0.9816414</v>
      </c>
      <c r="S6890">
        <v>5.0033569999999999E-2</v>
      </c>
      <c r="T6890">
        <v>-4.541647E-2</v>
      </c>
      <c r="U6890">
        <v>3.0674440000000001</v>
      </c>
      <c r="V6890">
        <v>-3.7461630000000003E-2</v>
      </c>
      <c r="W6890">
        <v>0.19736819999999999</v>
      </c>
      <c r="X6890">
        <v>0.97961339999999997</v>
      </c>
      <c r="Y6890" s="1">
        <v>8.4476249999999999E-5</v>
      </c>
      <c r="Z6890">
        <v>-6.7998700000000004E-3</v>
      </c>
      <c r="AA6890">
        <v>0.99997689999999995</v>
      </c>
      <c r="AB6890">
        <v>30</v>
      </c>
      <c r="AC6890">
        <v>1.2170999999999801</v>
      </c>
      <c r="AD6890">
        <v>-1.10929884906799</v>
      </c>
      <c r="AE6890">
        <v>74.621449999999996</v>
      </c>
      <c r="AF6890">
        <v>6.2696492128897496E-3</v>
      </c>
      <c r="AG6890">
        <v>-1.10929884906799</v>
      </c>
      <c r="AH6890">
        <v>74.614890073510693</v>
      </c>
      <c r="AI6890">
        <v>90.851753046975901</v>
      </c>
      <c r="AJ6890">
        <v>89.995185619951599</v>
      </c>
      <c r="AK6890">
        <v>74.623135848925102</v>
      </c>
      <c r="AL6890">
        <v>78.616899399898699</v>
      </c>
      <c r="AM6890">
        <v>92.189994461146995</v>
      </c>
      <c r="AN6890">
        <v>0.99999999677652796</v>
      </c>
    </row>
    <row r="6891" spans="1:40" x14ac:dyDescent="0.25">
      <c r="A6891" t="str">
        <f>"20190304155808561"</f>
        <v>20190304155808561</v>
      </c>
      <c r="B6891" t="str">
        <f>"1551686288551482"</f>
        <v>1551686288551482</v>
      </c>
      <c r="C6891" t="s">
        <v>40</v>
      </c>
      <c r="D6891">
        <v>4.2309929999999998</v>
      </c>
      <c r="E6891">
        <v>0.4648177</v>
      </c>
      <c r="F6891" t="s">
        <v>52</v>
      </c>
      <c r="G6891">
        <v>-176.64670000000001</v>
      </c>
      <c r="H6891">
        <v>64.102699999999999</v>
      </c>
      <c r="I6891">
        <v>391.00349999999997</v>
      </c>
      <c r="J6891">
        <v>-186.95500000000001</v>
      </c>
      <c r="K6891">
        <v>1.10931</v>
      </c>
      <c r="L6891">
        <v>-9.796265</v>
      </c>
      <c r="M6891">
        <v>1.6367659999999999E-2</v>
      </c>
      <c r="N6891">
        <v>-8.0099939999999994E-3</v>
      </c>
      <c r="O6891">
        <v>0.99983390000000005</v>
      </c>
      <c r="P6891">
        <v>-2.2594550000000001E-2</v>
      </c>
      <c r="Q6891">
        <v>0.18791279999999999</v>
      </c>
      <c r="R6891">
        <v>0.98192579999999996</v>
      </c>
      <c r="S6891">
        <v>7.6309199999999994E-2</v>
      </c>
      <c r="T6891">
        <v>0.46608539999999998</v>
      </c>
      <c r="U6891">
        <v>2.9678040000000001</v>
      </c>
      <c r="V6891">
        <v>-3.858818E-2</v>
      </c>
      <c r="W6891">
        <v>0.19578280000000001</v>
      </c>
      <c r="X6891">
        <v>0.97988779999999998</v>
      </c>
      <c r="Y6891">
        <v>8.9993969999999993E-3</v>
      </c>
      <c r="Z6891">
        <v>0.1629931</v>
      </c>
      <c r="AA6891">
        <v>0.98658619999999997</v>
      </c>
      <c r="AB6891">
        <v>30</v>
      </c>
      <c r="AC6891">
        <v>10.308299999999999</v>
      </c>
      <c r="AD6891">
        <v>62.993389999999998</v>
      </c>
      <c r="AE6891">
        <v>400.79976499999998</v>
      </c>
      <c r="AF6891">
        <v>3.6562952029492801</v>
      </c>
      <c r="AG6891">
        <v>62.993389999999998</v>
      </c>
      <c r="AH6891">
        <v>391.256309370211</v>
      </c>
      <c r="AI6891">
        <v>80.854098317740196</v>
      </c>
      <c r="AJ6891">
        <v>89.4645857948491</v>
      </c>
      <c r="AK6891">
        <v>396.31179051385999</v>
      </c>
      <c r="AL6891">
        <v>78.709544092751699</v>
      </c>
      <c r="AM6891">
        <v>92.255154117239499</v>
      </c>
      <c r="AN6891">
        <v>1.00000002650019</v>
      </c>
    </row>
    <row r="6892" spans="1:40" x14ac:dyDescent="0.25">
      <c r="A6892" t="str">
        <f>"20190304155808580"</f>
        <v>20190304155808580</v>
      </c>
      <c r="B6892" t="str">
        <f>"1551686288571979"</f>
        <v>1551686288571979</v>
      </c>
      <c r="C6892" t="s">
        <v>40</v>
      </c>
      <c r="D6892">
        <v>5.0126749999999998</v>
      </c>
      <c r="E6892">
        <v>0.47760560000000002</v>
      </c>
      <c r="F6892" t="s">
        <v>41</v>
      </c>
      <c r="G6892">
        <v>-195.27709999999999</v>
      </c>
      <c r="H6892" s="1">
        <v>-4.3061799999999998E-6</v>
      </c>
      <c r="I6892">
        <v>66.890010000000004</v>
      </c>
      <c r="J6892">
        <v>-186.9503</v>
      </c>
      <c r="K6892">
        <v>1.1093189999999999</v>
      </c>
      <c r="L6892">
        <v>-9.5178530000000006</v>
      </c>
      <c r="M6892">
        <v>1.6487140000000001E-2</v>
      </c>
      <c r="N6892">
        <v>-8.017148E-3</v>
      </c>
      <c r="O6892">
        <v>0.9998319</v>
      </c>
      <c r="P6892">
        <v>-2.3089539999999999E-2</v>
      </c>
      <c r="Q6892">
        <v>0.18889919999999999</v>
      </c>
      <c r="R6892">
        <v>0.98172499999999996</v>
      </c>
      <c r="S6892">
        <v>-0.33164979999999999</v>
      </c>
      <c r="T6892">
        <v>-4.420781E-2</v>
      </c>
      <c r="U6892">
        <v>3.0560610000000001</v>
      </c>
      <c r="V6892">
        <v>-3.9202620000000001E-2</v>
      </c>
      <c r="W6892">
        <v>0.19677359999999999</v>
      </c>
      <c r="X6892">
        <v>0.97966489999999995</v>
      </c>
      <c r="Y6892">
        <v>-0.124252</v>
      </c>
      <c r="Z6892">
        <v>-6.339028E-3</v>
      </c>
      <c r="AA6892">
        <v>0.99223039999999996</v>
      </c>
      <c r="AB6892">
        <v>30</v>
      </c>
      <c r="AC6892">
        <v>-8.3267999999999898</v>
      </c>
      <c r="AD6892">
        <v>-1.1093233061800001</v>
      </c>
      <c r="AE6892">
        <v>76.407863000000006</v>
      </c>
      <c r="AF6892">
        <v>-9.5834594543670892</v>
      </c>
      <c r="AG6892">
        <v>-1.1093233061800001</v>
      </c>
      <c r="AH6892">
        <v>76.244304730168906</v>
      </c>
      <c r="AI6892">
        <v>90.827064353732496</v>
      </c>
      <c r="AJ6892">
        <v>97.164170309203001</v>
      </c>
      <c r="AK6892">
        <v>76.852243279542506</v>
      </c>
      <c r="AL6892">
        <v>78.651649038339499</v>
      </c>
      <c r="AM6892">
        <v>92.291545709871798</v>
      </c>
      <c r="AN6892">
        <v>1.0000000056819101</v>
      </c>
    </row>
    <row r="6893" spans="1:40" x14ac:dyDescent="0.25">
      <c r="A6893" t="str">
        <f>"20190304155808604"</f>
        <v>20190304155808604</v>
      </c>
      <c r="B6893" t="str">
        <f>"1551686288601830"</f>
        <v>1551686288601830</v>
      </c>
      <c r="C6893" t="s">
        <v>40</v>
      </c>
      <c r="D6893">
        <v>4.9640069999999996</v>
      </c>
      <c r="E6893">
        <v>0.48612529999999998</v>
      </c>
      <c r="F6893" t="s">
        <v>41</v>
      </c>
      <c r="G6893">
        <v>-190.24350000000001</v>
      </c>
      <c r="H6893" s="1">
        <v>-2.1174479999999999E-6</v>
      </c>
      <c r="I6893">
        <v>34.373909999999903</v>
      </c>
      <c r="J6893">
        <v>-186.94479999999999</v>
      </c>
      <c r="K6893">
        <v>1.109332</v>
      </c>
      <c r="L6893">
        <v>-9.1955869999999997</v>
      </c>
      <c r="M6893">
        <v>1.662081E-2</v>
      </c>
      <c r="N6893">
        <v>-8.0254219999999904E-3</v>
      </c>
      <c r="O6893">
        <v>0.99982959999999999</v>
      </c>
      <c r="P6893">
        <v>-2.3078749999999999E-2</v>
      </c>
      <c r="Q6893">
        <v>0.19105159999999999</v>
      </c>
      <c r="R6893">
        <v>0.98130859999999998</v>
      </c>
      <c r="S6893">
        <v>-0.2299957</v>
      </c>
      <c r="T6893">
        <v>-7.7473399999999998E-2</v>
      </c>
      <c r="U6893">
        <v>3.0653380000000001</v>
      </c>
      <c r="V6893">
        <v>-3.9319699999999902E-2</v>
      </c>
      <c r="W6893">
        <v>0.1989302</v>
      </c>
      <c r="X6893">
        <v>0.9792246</v>
      </c>
      <c r="Y6893">
        <v>-9.136205E-2</v>
      </c>
      <c r="Z6893">
        <v>-1.7143849999999999E-2</v>
      </c>
      <c r="AA6893">
        <v>0.9956701</v>
      </c>
      <c r="AB6893">
        <v>30</v>
      </c>
      <c r="AC6893">
        <v>-3.2987000000000202</v>
      </c>
      <c r="AD6893">
        <v>-1.109334117448</v>
      </c>
      <c r="AE6893">
        <v>43.569496999999998</v>
      </c>
      <c r="AF6893">
        <v>-4.0198368885752096</v>
      </c>
      <c r="AG6893">
        <v>-1.109334117448</v>
      </c>
      <c r="AH6893">
        <v>43.480622525515201</v>
      </c>
      <c r="AI6893">
        <v>91.455283890087898</v>
      </c>
      <c r="AJ6893">
        <v>95.282050281427004</v>
      </c>
      <c r="AK6893">
        <v>43.680135599620399</v>
      </c>
      <c r="AL6893">
        <v>78.525593450860001</v>
      </c>
      <c r="AM6893">
        <v>92.299414501890496</v>
      </c>
      <c r="AN6893">
        <v>1.0000000402626401</v>
      </c>
    </row>
    <row r="6894" spans="1:40" x14ac:dyDescent="0.25">
      <c r="A6894" t="str">
        <f>"20190304155808629"</f>
        <v>20190304155808629</v>
      </c>
      <c r="B6894" t="str">
        <f>"1551686288621349"</f>
        <v>1551686288621349</v>
      </c>
      <c r="C6894" t="s">
        <v>40</v>
      </c>
      <c r="D6894">
        <v>4.9500080000000004</v>
      </c>
      <c r="E6894">
        <v>0.48962620000000001</v>
      </c>
      <c r="F6894" t="s">
        <v>41</v>
      </c>
      <c r="G6894">
        <v>-189.53989999999999</v>
      </c>
      <c r="H6894" s="1">
        <v>-3.1332590000000002E-7</v>
      </c>
      <c r="I6894">
        <v>40.172890000000002</v>
      </c>
      <c r="J6894">
        <v>-186.9392</v>
      </c>
      <c r="K6894">
        <v>1.109327</v>
      </c>
      <c r="L6894">
        <v>-8.8678279999999994</v>
      </c>
      <c r="M6894">
        <v>1.675567E-2</v>
      </c>
      <c r="N6894">
        <v>-8.0340310000000005E-3</v>
      </c>
      <c r="O6894">
        <v>0.99982729999999997</v>
      </c>
      <c r="P6894">
        <v>-2.233918E-2</v>
      </c>
      <c r="Q6894">
        <v>0.19156480000000001</v>
      </c>
      <c r="R6894">
        <v>0.98122569999999998</v>
      </c>
      <c r="S6894">
        <v>-0.16120909999999999</v>
      </c>
      <c r="T6894">
        <v>-6.8911790000000001E-2</v>
      </c>
      <c r="U6894">
        <v>3.0667719999999998</v>
      </c>
      <c r="V6894">
        <v>-3.8713169999999998E-2</v>
      </c>
      <c r="W6894">
        <v>0.1994503</v>
      </c>
      <c r="X6894">
        <v>0.97914290000000004</v>
      </c>
      <c r="Y6894">
        <v>-6.9205740000000002E-2</v>
      </c>
      <c r="Z6894">
        <v>-1.4381400000000001E-2</v>
      </c>
      <c r="AA6894">
        <v>0.99749880000000002</v>
      </c>
      <c r="AB6894">
        <v>30</v>
      </c>
      <c r="AC6894">
        <v>-2.6006999999999798</v>
      </c>
      <c r="AD6894">
        <v>-1.1093273133258901</v>
      </c>
      <c r="AE6894">
        <v>49.040717999999998</v>
      </c>
      <c r="AF6894">
        <v>-3.4203262775498202</v>
      </c>
      <c r="AG6894">
        <v>-1.1093273133258901</v>
      </c>
      <c r="AH6894">
        <v>48.965270334277498</v>
      </c>
      <c r="AI6894">
        <v>91.294682575528498</v>
      </c>
      <c r="AJ6894">
        <v>93.9957393338738</v>
      </c>
      <c r="AK6894">
        <v>49.097117408681498</v>
      </c>
      <c r="AL6894">
        <v>78.495183788648703</v>
      </c>
      <c r="AM6894">
        <v>92.264170559956696</v>
      </c>
      <c r="AN6894">
        <v>0.99999997516097405</v>
      </c>
    </row>
    <row r="6895" spans="1:40" x14ac:dyDescent="0.25">
      <c r="A6895" t="str">
        <f>"20190304155808651"</f>
        <v>20190304155808651</v>
      </c>
      <c r="B6895" t="str">
        <f>"1551686288641845"</f>
        <v>1551686288641845</v>
      </c>
      <c r="C6895" t="s">
        <v>40</v>
      </c>
      <c r="D6895">
        <v>4.9700280000000001</v>
      </c>
      <c r="E6895">
        <v>0.49172310000000002</v>
      </c>
      <c r="F6895" t="s">
        <v>41</v>
      </c>
      <c r="G6895">
        <v>-189.0076</v>
      </c>
      <c r="H6895" s="1">
        <v>-4.4471780000000002E-6</v>
      </c>
      <c r="I6895">
        <v>39.588909999999998</v>
      </c>
      <c r="J6895">
        <v>-186.934</v>
      </c>
      <c r="K6895">
        <v>1.109332</v>
      </c>
      <c r="L6895">
        <v>-8.5668030000000002</v>
      </c>
      <c r="M6895">
        <v>1.687806E-2</v>
      </c>
      <c r="N6895">
        <v>-8.0419099999999993E-3</v>
      </c>
      <c r="O6895">
        <v>0.99982519999999997</v>
      </c>
      <c r="P6895">
        <v>-2.1562209999999998E-2</v>
      </c>
      <c r="Q6895">
        <v>0.19081690000000001</v>
      </c>
      <c r="R6895">
        <v>0.98138879999999995</v>
      </c>
      <c r="S6895">
        <v>-0.1309662</v>
      </c>
      <c r="T6895">
        <v>-7.0239780000000002E-2</v>
      </c>
      <c r="U6895">
        <v>3.068146</v>
      </c>
      <c r="V6895">
        <v>-3.806114E-2</v>
      </c>
      <c r="W6895">
        <v>0.1987111</v>
      </c>
      <c r="X6895">
        <v>0.97931880000000004</v>
      </c>
      <c r="Y6895">
        <v>-5.9492059999999999E-2</v>
      </c>
      <c r="Z6895">
        <v>-1.480824E-2</v>
      </c>
      <c r="AA6895">
        <v>0.99811890000000003</v>
      </c>
      <c r="AB6895">
        <v>30</v>
      </c>
      <c r="AC6895">
        <v>-2.0735999999999701</v>
      </c>
      <c r="AD6895">
        <v>-1.1093364471780001</v>
      </c>
      <c r="AE6895">
        <v>48.155712999999999</v>
      </c>
      <c r="AF6895">
        <v>-2.8845779674724898</v>
      </c>
      <c r="AG6895">
        <v>-1.1093364471780001</v>
      </c>
      <c r="AH6895">
        <v>48.0883813507537</v>
      </c>
      <c r="AI6895">
        <v>91.319134489742794</v>
      </c>
      <c r="AJ6895">
        <v>93.432769748377794</v>
      </c>
      <c r="AK6895">
        <v>48.187590086442199</v>
      </c>
      <c r="AL6895">
        <v>78.538402582625395</v>
      </c>
      <c r="AM6895">
        <v>92.225675325554406</v>
      </c>
      <c r="AN6895">
        <v>1.0000000318373701</v>
      </c>
    </row>
    <row r="6896" spans="1:40" x14ac:dyDescent="0.25">
      <c r="A6896" t="str">
        <f>"20190304155808672"</f>
        <v>20190304155808672</v>
      </c>
      <c r="B6896" t="str">
        <f>"1551686288661365"</f>
        <v>1551686288661365</v>
      </c>
      <c r="C6896" t="s">
        <v>40</v>
      </c>
      <c r="D6896">
        <v>4.9870679999999998</v>
      </c>
      <c r="E6896">
        <v>0.4931546</v>
      </c>
      <c r="F6896" t="s">
        <v>41</v>
      </c>
      <c r="G6896">
        <v>-188.69489999999999</v>
      </c>
      <c r="H6896" s="1">
        <v>-4.6112850000000001E-7</v>
      </c>
      <c r="I6896">
        <v>39.982700000000001</v>
      </c>
      <c r="J6896">
        <v>-186.92910000000001</v>
      </c>
      <c r="K6896">
        <v>1.109332</v>
      </c>
      <c r="L6896">
        <v>-8.2820429999999998</v>
      </c>
      <c r="M6896">
        <v>1.69891E-2</v>
      </c>
      <c r="N6896">
        <v>-8.0492900000000006E-3</v>
      </c>
      <c r="O6896">
        <v>0.99982329999999997</v>
      </c>
      <c r="P6896">
        <v>-2.1077410000000001E-2</v>
      </c>
      <c r="Q6896">
        <v>0.19038169999999999</v>
      </c>
      <c r="R6896">
        <v>0.98148389999999996</v>
      </c>
      <c r="S6896">
        <v>-0.1112823</v>
      </c>
      <c r="T6896">
        <v>-7.0104239999999998E-2</v>
      </c>
      <c r="U6896">
        <v>3.068085</v>
      </c>
      <c r="V6896">
        <v>-3.7689489999999999E-2</v>
      </c>
      <c r="W6896">
        <v>0.1982834</v>
      </c>
      <c r="X6896">
        <v>0.97941979999999995</v>
      </c>
      <c r="Y6896">
        <v>-5.3209810000000003E-2</v>
      </c>
      <c r="Z6896">
        <v>-1.476452E-2</v>
      </c>
      <c r="AA6896">
        <v>0.99847419999999998</v>
      </c>
      <c r="AB6896">
        <v>31</v>
      </c>
      <c r="AC6896">
        <v>-1.7657999999999801</v>
      </c>
      <c r="AD6896">
        <v>-1.1093324611285</v>
      </c>
      <c r="AE6896">
        <v>48.264743000000003</v>
      </c>
      <c r="AF6896">
        <v>-2.5841828779648202</v>
      </c>
      <c r="AG6896">
        <v>-1.1093324611285</v>
      </c>
      <c r="AH6896">
        <v>48.202346153321301</v>
      </c>
      <c r="AI6896">
        <v>91.316486833500704</v>
      </c>
      <c r="AJ6896">
        <v>93.068754460182305</v>
      </c>
      <c r="AK6896">
        <v>48.284312093481098</v>
      </c>
      <c r="AL6896">
        <v>78.563404844474704</v>
      </c>
      <c r="AM6896">
        <v>92.2037370855452</v>
      </c>
      <c r="AN6896">
        <v>0.99999997450202904</v>
      </c>
    </row>
    <row r="6897" spans="1:40" x14ac:dyDescent="0.25">
      <c r="A6897" t="str">
        <f>"20190304155808694"</f>
        <v>20190304155808694</v>
      </c>
      <c r="B6897" t="str">
        <f>"1551686288691621"</f>
        <v>1551686288691621</v>
      </c>
      <c r="C6897" t="s">
        <v>40</v>
      </c>
      <c r="D6897">
        <v>5.2178559999999896</v>
      </c>
      <c r="E6897">
        <v>0.49449120000000002</v>
      </c>
      <c r="F6897" t="s">
        <v>41</v>
      </c>
      <c r="G6897">
        <v>-188.45070000000001</v>
      </c>
      <c r="H6897" s="1">
        <v>-4.5411699999999901E-6</v>
      </c>
      <c r="I6897">
        <v>39.577719999999999</v>
      </c>
      <c r="J6897">
        <v>-186.9237</v>
      </c>
      <c r="K6897">
        <v>1.1093489999999999</v>
      </c>
      <c r="L6897">
        <v>-7.9726869999999996</v>
      </c>
      <c r="M6897">
        <v>1.7104040000000001E-2</v>
      </c>
      <c r="N6897">
        <v>-8.0572899999999999E-3</v>
      </c>
      <c r="O6897">
        <v>0.99982119999999997</v>
      </c>
      <c r="P6897">
        <v>-2.0350050000000001E-2</v>
      </c>
      <c r="Q6897">
        <v>0.19076380000000001</v>
      </c>
      <c r="R6897">
        <v>0.98142499999999999</v>
      </c>
      <c r="S6897">
        <v>-9.7549440000000001E-2</v>
      </c>
      <c r="T6897">
        <v>-7.1119790000000002E-2</v>
      </c>
      <c r="U6897">
        <v>3.068298</v>
      </c>
      <c r="V6897">
        <v>-3.7077039999999999E-2</v>
      </c>
      <c r="W6897">
        <v>0.19867219999999999</v>
      </c>
      <c r="X6897">
        <v>0.97936440000000002</v>
      </c>
      <c r="Y6897">
        <v>-4.8858169999999999E-2</v>
      </c>
      <c r="Z6897">
        <v>-1.508984E-2</v>
      </c>
      <c r="AA6897">
        <v>0.99869169999999996</v>
      </c>
      <c r="AB6897">
        <v>31</v>
      </c>
      <c r="AC6897">
        <v>-1.5270000000000099</v>
      </c>
      <c r="AD6897">
        <v>-1.10935354117</v>
      </c>
      <c r="AE6897">
        <v>47.550407</v>
      </c>
      <c r="AF6897">
        <v>-2.3388354171380601</v>
      </c>
      <c r="AG6897">
        <v>-1.10935354117</v>
      </c>
      <c r="AH6897">
        <v>47.491509337939299</v>
      </c>
      <c r="AI6897">
        <v>91.336508860199302</v>
      </c>
      <c r="AJ6897">
        <v>92.819392828556204</v>
      </c>
      <c r="AK6897">
        <v>47.562004537060297</v>
      </c>
      <c r="AL6897">
        <v>78.540676232293606</v>
      </c>
      <c r="AM6897">
        <v>92.168083575240402</v>
      </c>
      <c r="AN6897">
        <v>0.99999998896768005</v>
      </c>
    </row>
    <row r="6898" spans="1:40" x14ac:dyDescent="0.25">
      <c r="A6898" t="str">
        <f>"20190304155808716"</f>
        <v>20190304155808716</v>
      </c>
      <c r="B6898" t="str">
        <f>"1551686288711910"</f>
        <v>1551686288711910</v>
      </c>
      <c r="C6898" t="s">
        <v>40</v>
      </c>
      <c r="D6898">
        <v>5.0054629999999998</v>
      </c>
      <c r="E6898">
        <v>0.49432769999999998</v>
      </c>
      <c r="F6898" t="s">
        <v>41</v>
      </c>
      <c r="G6898">
        <v>-188.54570000000001</v>
      </c>
      <c r="H6898" s="1">
        <v>-7.7137499999999998E-7</v>
      </c>
      <c r="I6898">
        <v>50.777709999999999</v>
      </c>
      <c r="J6898">
        <v>-186.91839999999999</v>
      </c>
      <c r="K6898">
        <v>1.1093660000000001</v>
      </c>
      <c r="L6898">
        <v>-7.667999</v>
      </c>
      <c r="M6898">
        <v>1.7205660000000001E-2</v>
      </c>
      <c r="N6898">
        <v>-8.065226E-3</v>
      </c>
      <c r="O6898">
        <v>0.99981949999999997</v>
      </c>
      <c r="P6898">
        <v>-1.9540410000000001E-2</v>
      </c>
      <c r="Q6898">
        <v>0.19214390000000001</v>
      </c>
      <c r="R6898">
        <v>0.98117220000000005</v>
      </c>
      <c r="S6898">
        <v>-8.4655759999999997E-2</v>
      </c>
      <c r="T6898">
        <v>-5.789888E-2</v>
      </c>
      <c r="U6898">
        <v>3.066284</v>
      </c>
      <c r="V6898">
        <v>-3.6367009999999998E-2</v>
      </c>
      <c r="W6898">
        <v>0.2000567</v>
      </c>
      <c r="X6898">
        <v>0.97910920000000001</v>
      </c>
      <c r="Y6898">
        <v>-4.4787180000000003E-2</v>
      </c>
      <c r="Z6898">
        <v>-1.079549E-2</v>
      </c>
      <c r="AA6898">
        <v>0.9989382</v>
      </c>
      <c r="AB6898">
        <v>31</v>
      </c>
      <c r="AC6898">
        <v>-1.62730000000001</v>
      </c>
      <c r="AD6898">
        <v>-1.1093667713749999</v>
      </c>
      <c r="AE6898">
        <v>58.445708999999901</v>
      </c>
      <c r="AF6898">
        <v>-2.6317413050728402</v>
      </c>
      <c r="AG6898">
        <v>-1.1093667713749999</v>
      </c>
      <c r="AH6898">
        <v>58.388037154624598</v>
      </c>
      <c r="AI6898">
        <v>91.087379285342095</v>
      </c>
      <c r="AJ6898">
        <v>92.580762904071506</v>
      </c>
      <c r="AK6898">
        <v>58.457844979951801</v>
      </c>
      <c r="AL6898">
        <v>78.459725685626594</v>
      </c>
      <c r="AM6898">
        <v>92.127156772954805</v>
      </c>
      <c r="AN6898">
        <v>1.00000003407793</v>
      </c>
    </row>
    <row r="6899" spans="1:40" x14ac:dyDescent="0.25">
      <c r="A6899" t="str">
        <f>"20190304155808740"</f>
        <v>20190304155808740</v>
      </c>
      <c r="B6899" t="str">
        <f>"1551686288731430"</f>
        <v>1551686288731430</v>
      </c>
      <c r="C6899" t="s">
        <v>40</v>
      </c>
      <c r="D6899">
        <v>4.951759</v>
      </c>
      <c r="E6899">
        <v>0.49441410000000002</v>
      </c>
      <c r="F6899" t="s">
        <v>41</v>
      </c>
      <c r="G6899">
        <v>-188.55760000000001</v>
      </c>
      <c r="H6899" s="1">
        <v>-1.5422949999999999E-6</v>
      </c>
      <c r="I6899">
        <v>52.631469999999901</v>
      </c>
      <c r="J6899">
        <v>-186.9128</v>
      </c>
      <c r="K6899">
        <v>1.10938</v>
      </c>
      <c r="L6899">
        <v>-7.3477479999999904</v>
      </c>
      <c r="M6899">
        <v>1.7291359999999999E-2</v>
      </c>
      <c r="N6899">
        <v>-8.0736460000000003E-3</v>
      </c>
      <c r="O6899">
        <v>0.99981790000000004</v>
      </c>
      <c r="P6899">
        <v>-1.9059599999999999E-2</v>
      </c>
      <c r="Q6899">
        <v>0.193136</v>
      </c>
      <c r="R6899">
        <v>0.98098680000000005</v>
      </c>
      <c r="S6899">
        <v>-8.3374019999999993E-2</v>
      </c>
      <c r="T6899">
        <v>-5.6424740000000001E-2</v>
      </c>
      <c r="U6899">
        <v>3.0669559999999998</v>
      </c>
      <c r="V6899">
        <v>-3.597434E-2</v>
      </c>
      <c r="W6899">
        <v>0.20105410000000001</v>
      </c>
      <c r="X6899">
        <v>0.97891930000000005</v>
      </c>
      <c r="Y6899">
        <v>-4.4449860000000001E-2</v>
      </c>
      <c r="Z6899">
        <v>-1.0303140000000001E-2</v>
      </c>
      <c r="AA6899">
        <v>0.99895849999999997</v>
      </c>
      <c r="AB6899">
        <v>31</v>
      </c>
      <c r="AC6899">
        <v>-1.6448</v>
      </c>
      <c r="AD6899">
        <v>-1.109381542295</v>
      </c>
      <c r="AE6899">
        <v>59.979217999999896</v>
      </c>
      <c r="AF6899">
        <v>-2.6807936999151099</v>
      </c>
      <c r="AG6899">
        <v>-1.109381542295</v>
      </c>
      <c r="AH6899">
        <v>59.921324341585702</v>
      </c>
      <c r="AI6899">
        <v>91.059591477777403</v>
      </c>
      <c r="AJ6899">
        <v>92.5616224570188</v>
      </c>
      <c r="AK6899">
        <v>59.991520176750001</v>
      </c>
      <c r="AL6899">
        <v>78.401392718701402</v>
      </c>
      <c r="AM6899">
        <v>92.104617547225004</v>
      </c>
      <c r="AN6899">
        <v>0.999999950088866</v>
      </c>
    </row>
    <row r="6900" spans="1:40" x14ac:dyDescent="0.25">
      <c r="A6900" t="str">
        <f>"20190304155808763"</f>
        <v>20190304155808763</v>
      </c>
      <c r="B6900" t="str">
        <f>"1551686288751926"</f>
        <v>1551686288751926</v>
      </c>
      <c r="C6900" t="s">
        <v>40</v>
      </c>
      <c r="D6900">
        <v>4.983905</v>
      </c>
      <c r="E6900">
        <v>0.49488320000000002</v>
      </c>
      <c r="F6900" t="s">
        <v>41</v>
      </c>
      <c r="G6900">
        <v>-188.5574</v>
      </c>
      <c r="H6900" s="1">
        <v>-2.5421059999999999E-6</v>
      </c>
      <c r="I6900">
        <v>54.962009999999999</v>
      </c>
      <c r="J6900">
        <v>-186.90710000000001</v>
      </c>
      <c r="K6900">
        <v>1.1093980000000001</v>
      </c>
      <c r="L6900">
        <v>-7.027863</v>
      </c>
      <c r="M6900">
        <v>1.7350999999999998E-2</v>
      </c>
      <c r="N6900">
        <v>-8.0821419999999901E-3</v>
      </c>
      <c r="O6900">
        <v>0.99981679999999995</v>
      </c>
      <c r="P6900">
        <v>-1.797433E-2</v>
      </c>
      <c r="Q6900">
        <v>0.19289799999999999</v>
      </c>
      <c r="R6900">
        <v>0.98105419999999999</v>
      </c>
      <c r="S6900">
        <v>-8.0963129999999994E-2</v>
      </c>
      <c r="T6900">
        <v>-5.4611560000000003E-2</v>
      </c>
      <c r="U6900">
        <v>3.0673219999999999</v>
      </c>
      <c r="V6900">
        <v>-3.4958410000000002E-2</v>
      </c>
      <c r="W6900">
        <v>0.20082340000000001</v>
      </c>
      <c r="X6900">
        <v>0.97900350000000003</v>
      </c>
      <c r="Y6900">
        <v>-4.3721929999999999E-2</v>
      </c>
      <c r="Z6900">
        <v>-9.7025759999999992E-3</v>
      </c>
      <c r="AA6900">
        <v>0.99899660000000001</v>
      </c>
      <c r="AB6900">
        <v>31</v>
      </c>
      <c r="AC6900">
        <v>-1.6502999999999799</v>
      </c>
      <c r="AD6900">
        <v>-1.10940054210599</v>
      </c>
      <c r="AE6900">
        <v>61.989872999999903</v>
      </c>
      <c r="AF6900">
        <v>-2.72480086666729</v>
      </c>
      <c r="AG6900">
        <v>-1.10940054210599</v>
      </c>
      <c r="AH6900">
        <v>61.932083341376902</v>
      </c>
      <c r="AI6900">
        <v>91.025248245249401</v>
      </c>
      <c r="AJ6900">
        <v>92.519194648398397</v>
      </c>
      <c r="AK6900">
        <v>62.001921392236497</v>
      </c>
      <c r="AL6900">
        <v>78.414886545904395</v>
      </c>
      <c r="AM6900">
        <v>92.045057746835695</v>
      </c>
      <c r="AN6900">
        <v>0.99999999071476897</v>
      </c>
    </row>
    <row r="6901" spans="1:40" x14ac:dyDescent="0.25">
      <c r="A6901" t="str">
        <f>"20190304155808784"</f>
        <v>20190304155808784</v>
      </c>
      <c r="B6901" t="str">
        <f>"1551686288781207"</f>
        <v>1551686288781207</v>
      </c>
      <c r="C6901" t="s">
        <v>40</v>
      </c>
      <c r="D6901">
        <v>5.057429</v>
      </c>
      <c r="E6901">
        <v>0.4951141</v>
      </c>
      <c r="F6901" t="s">
        <v>41</v>
      </c>
      <c r="G6901">
        <v>-188.59110000000001</v>
      </c>
      <c r="H6901" s="1">
        <v>-1.601988E-6</v>
      </c>
      <c r="I6901">
        <v>62.784480000000002</v>
      </c>
      <c r="J6901">
        <v>-186.90209999999999</v>
      </c>
      <c r="K6901">
        <v>1.1094109999999999</v>
      </c>
      <c r="L6901">
        <v>-6.7393799999999997</v>
      </c>
      <c r="M6901">
        <v>1.7385080000000001E-2</v>
      </c>
      <c r="N6901">
        <v>-8.0898250000000001E-3</v>
      </c>
      <c r="O6901">
        <v>0.99981609999999999</v>
      </c>
      <c r="P6901">
        <v>-1.66740999999999E-2</v>
      </c>
      <c r="Q6901">
        <v>0.1923501</v>
      </c>
      <c r="R6901">
        <v>0.98118470000000002</v>
      </c>
      <c r="S6901">
        <v>-7.3959349999999993E-2</v>
      </c>
      <c r="T6901">
        <v>-4.872489E-2</v>
      </c>
      <c r="U6901">
        <v>3.0661619999999998</v>
      </c>
      <c r="V6901">
        <v>-3.370223E-2</v>
      </c>
      <c r="W6901">
        <v>0.20028290000000001</v>
      </c>
      <c r="X6901">
        <v>0.97915830000000004</v>
      </c>
      <c r="Y6901">
        <v>-4.1486330000000002E-2</v>
      </c>
      <c r="Z6901">
        <v>-7.785391E-3</v>
      </c>
      <c r="AA6901">
        <v>0.99910869999999996</v>
      </c>
      <c r="AB6901">
        <v>31</v>
      </c>
      <c r="AC6901">
        <v>-1.68900000000002</v>
      </c>
      <c r="AD6901">
        <v>-1.109412601988</v>
      </c>
      <c r="AE6901">
        <v>69.523859999999999</v>
      </c>
      <c r="AF6901">
        <v>-2.89672501774261</v>
      </c>
      <c r="AG6901">
        <v>-1.109412601988</v>
      </c>
      <c r="AH6901">
        <v>69.466309540432306</v>
      </c>
      <c r="AI6901">
        <v>90.9141708792652</v>
      </c>
      <c r="AJ6901">
        <v>92.387834035544401</v>
      </c>
      <c r="AK6901">
        <v>69.535530294354004</v>
      </c>
      <c r="AL6901">
        <v>78.446497595167898</v>
      </c>
      <c r="AM6901">
        <v>91.971319167940706</v>
      </c>
      <c r="AN6901">
        <v>1.0000000283991299</v>
      </c>
    </row>
    <row r="6902" spans="1:40" x14ac:dyDescent="0.25">
      <c r="A6902" t="str">
        <f>"20190304155808806"</f>
        <v>20190304155808806</v>
      </c>
      <c r="B6902" t="str">
        <f>"1551686288801680"</f>
        <v>1551686288801680</v>
      </c>
      <c r="C6902" t="s">
        <v>40</v>
      </c>
      <c r="D6902">
        <v>4.8303960000000004</v>
      </c>
      <c r="E6902">
        <v>0.49474360000000001</v>
      </c>
      <c r="F6902" t="s">
        <v>41</v>
      </c>
      <c r="G6902">
        <v>-188.34119999999999</v>
      </c>
      <c r="H6902" s="1">
        <v>-3.9424529999999997E-6</v>
      </c>
      <c r="I6902">
        <v>58.136819999999901</v>
      </c>
      <c r="J6902">
        <v>-186.89670000000001</v>
      </c>
      <c r="K6902">
        <v>1.1094310000000001</v>
      </c>
      <c r="L6902">
        <v>-6.4282839999999997</v>
      </c>
      <c r="M6902">
        <v>1.7399040000000001E-2</v>
      </c>
      <c r="N6902">
        <v>-8.0981319999999992E-3</v>
      </c>
      <c r="O6902">
        <v>0.99981580000000003</v>
      </c>
      <c r="P6902">
        <v>-1.4701799999999999E-2</v>
      </c>
      <c r="Q6902">
        <v>0.19407920000000001</v>
      </c>
      <c r="R6902">
        <v>0.98087570000000002</v>
      </c>
      <c r="S6902">
        <v>-6.8023680000000003E-2</v>
      </c>
      <c r="T6902">
        <v>-5.244124E-2</v>
      </c>
      <c r="U6902">
        <v>3.0666500000000001</v>
      </c>
      <c r="V6902">
        <v>-3.174693E-2</v>
      </c>
      <c r="W6902">
        <v>0.20201630000000001</v>
      </c>
      <c r="X6902">
        <v>0.9788675</v>
      </c>
      <c r="Y6902">
        <v>-3.9563340000000002E-2</v>
      </c>
      <c r="Z6902">
        <v>-8.9862469999999993E-3</v>
      </c>
      <c r="AA6902">
        <v>0.99917670000000003</v>
      </c>
      <c r="AB6902">
        <v>31</v>
      </c>
      <c r="AC6902">
        <v>-1.4444999999999699</v>
      </c>
      <c r="AD6902">
        <v>-1.1094349424529999</v>
      </c>
      <c r="AE6902">
        <v>64.565103999999906</v>
      </c>
      <c r="AF6902">
        <v>-2.5669314835998498</v>
      </c>
      <c r="AG6902">
        <v>-1.1094349424529999</v>
      </c>
      <c r="AH6902">
        <v>64.511157911242407</v>
      </c>
      <c r="AI6902">
        <v>90.9844719795815</v>
      </c>
      <c r="AJ6902">
        <v>92.278625877485894</v>
      </c>
      <c r="AK6902">
        <v>64.571739005406101</v>
      </c>
      <c r="AL6902">
        <v>78.345108619937093</v>
      </c>
      <c r="AM6902">
        <v>91.857583116728506</v>
      </c>
      <c r="AN6902">
        <v>1.00000001779318</v>
      </c>
    </row>
    <row r="6903" spans="1:40" x14ac:dyDescent="0.25">
      <c r="A6903" t="str">
        <f>"20190304155808841"</f>
        <v>20190304155808841</v>
      </c>
      <c r="B6903" t="str">
        <f>"1551686288831936"</f>
        <v>1551686288831936</v>
      </c>
      <c r="C6903" t="s">
        <v>40</v>
      </c>
      <c r="D6903">
        <v>5.1941709999999999</v>
      </c>
      <c r="E6903">
        <v>0.49441309999999999</v>
      </c>
      <c r="F6903" t="s">
        <v>41</v>
      </c>
      <c r="G6903">
        <v>-188.44579999999999</v>
      </c>
      <c r="H6903" s="1">
        <v>-3.6684229999999999E-6</v>
      </c>
      <c r="I6903">
        <v>67.541309999999996</v>
      </c>
      <c r="J6903">
        <v>-186.88810000000001</v>
      </c>
      <c r="K6903">
        <v>1.1094660000000001</v>
      </c>
      <c r="L6903">
        <v>-5.934723</v>
      </c>
      <c r="M6903">
        <v>1.7344459999999999E-2</v>
      </c>
      <c r="N6903">
        <v>-8.111343E-3</v>
      </c>
      <c r="O6903">
        <v>0.9998167</v>
      </c>
      <c r="P6903">
        <v>-1.2729620000000001E-2</v>
      </c>
      <c r="Q6903">
        <v>0.194769</v>
      </c>
      <c r="R6903">
        <v>0.98076649999999999</v>
      </c>
      <c r="S6903">
        <v>-6.4224240000000002E-2</v>
      </c>
      <c r="T6903">
        <v>-4.5994760000000003E-2</v>
      </c>
      <c r="U6903">
        <v>3.0666199999999999</v>
      </c>
      <c r="V6903">
        <v>-2.9738210000000001E-2</v>
      </c>
      <c r="W6903">
        <v>0.2027148</v>
      </c>
      <c r="X6903">
        <v>0.97878620000000005</v>
      </c>
      <c r="Y6903">
        <v>-3.8272420000000001E-2</v>
      </c>
      <c r="Z6903">
        <v>-6.8739140000000001E-3</v>
      </c>
      <c r="AA6903">
        <v>0.99924369999999996</v>
      </c>
      <c r="AB6903">
        <v>31</v>
      </c>
      <c r="AC6903">
        <v>-1.5576999999999801</v>
      </c>
      <c r="AD6903">
        <v>-1.1094696684229901</v>
      </c>
      <c r="AE6903">
        <v>73.476033000000001</v>
      </c>
      <c r="AF6903">
        <v>-2.8312644246546501</v>
      </c>
      <c r="AG6903">
        <v>-1.1094696684229901</v>
      </c>
      <c r="AH6903">
        <v>73.421228482645404</v>
      </c>
      <c r="AI6903">
        <v>90.865088925731996</v>
      </c>
      <c r="AJ6903">
        <v>92.208341772698105</v>
      </c>
      <c r="AK6903">
        <v>73.484173623225004</v>
      </c>
      <c r="AL6903">
        <v>78.304242232534506</v>
      </c>
      <c r="AM6903">
        <v>91.740267614273804</v>
      </c>
      <c r="AN6903">
        <v>1.00000003829174</v>
      </c>
    </row>
    <row r="6904" spans="1:40" x14ac:dyDescent="0.25">
      <c r="A6904" t="str">
        <f>"20190304155808861"</f>
        <v>20190304155808861</v>
      </c>
      <c r="B6904" t="str">
        <f>"1551686288851457"</f>
        <v>1551686288851457</v>
      </c>
      <c r="C6904" t="s">
        <v>40</v>
      </c>
      <c r="D6904">
        <v>5.0351610000000004</v>
      </c>
      <c r="E6904">
        <v>0.49431960000000003</v>
      </c>
      <c r="F6904" t="s">
        <v>41</v>
      </c>
      <c r="G6904">
        <v>-188.48249999999999</v>
      </c>
      <c r="H6904" s="1">
        <v>-2.4326760000000002E-6</v>
      </c>
      <c r="I6904">
        <v>74.675960000000003</v>
      </c>
      <c r="J6904">
        <v>-186.88339999999999</v>
      </c>
      <c r="K6904">
        <v>1.1094900000000001</v>
      </c>
      <c r="L6904">
        <v>-5.6625670000000001</v>
      </c>
      <c r="M6904">
        <v>1.727192E-2</v>
      </c>
      <c r="N6904">
        <v>-8.1186479999999991E-3</v>
      </c>
      <c r="O6904">
        <v>0.99981779999999998</v>
      </c>
      <c r="P6904">
        <v>-1.135658E-2</v>
      </c>
      <c r="Q6904">
        <v>0.19474369999999999</v>
      </c>
      <c r="R6904">
        <v>0.9807884</v>
      </c>
      <c r="S6904">
        <v>-6.0653690000000003E-2</v>
      </c>
      <c r="T6904">
        <v>-4.220426E-2</v>
      </c>
      <c r="U6904">
        <v>3.0664370000000001</v>
      </c>
      <c r="V6904">
        <v>-2.830732E-2</v>
      </c>
      <c r="W6904">
        <v>0.20269570000000001</v>
      </c>
      <c r="X6904">
        <v>0.97883249999999999</v>
      </c>
      <c r="Y6904">
        <v>-3.7038550000000003E-2</v>
      </c>
      <c r="Z6904">
        <v>-5.633122E-3</v>
      </c>
      <c r="AA6904">
        <v>0.99929800000000002</v>
      </c>
      <c r="AB6904">
        <v>31</v>
      </c>
      <c r="AC6904">
        <v>-1.59909999999999</v>
      </c>
      <c r="AD6904">
        <v>-1.1094924326759901</v>
      </c>
      <c r="AE6904">
        <v>80.338526999999999</v>
      </c>
      <c r="AF6904">
        <v>-2.9859386238127601</v>
      </c>
      <c r="AG6904">
        <v>-1.1094924326759901</v>
      </c>
      <c r="AH6904">
        <v>80.283615818059602</v>
      </c>
      <c r="AI6904">
        <v>90.791210932233795</v>
      </c>
      <c r="AJ6904">
        <v>92.129984561224205</v>
      </c>
      <c r="AK6904">
        <v>80.346784451806997</v>
      </c>
      <c r="AL6904">
        <v>78.305358819644496</v>
      </c>
      <c r="AM6904">
        <v>91.656502050967106</v>
      </c>
      <c r="AN6904">
        <v>0.99999995711015999</v>
      </c>
    </row>
    <row r="6905" spans="1:40" x14ac:dyDescent="0.25">
      <c r="A6905" t="str">
        <f>"20190304155808884"</f>
        <v>20190304155808884</v>
      </c>
      <c r="B6905" t="str">
        <f>"1551686288881712"</f>
        <v>1551686288881712</v>
      </c>
      <c r="C6905" t="s">
        <v>40</v>
      </c>
      <c r="D6905">
        <v>4.9497519999999904</v>
      </c>
      <c r="E6905">
        <v>0.49525740000000001</v>
      </c>
      <c r="F6905" t="s">
        <v>41</v>
      </c>
      <c r="G6905">
        <v>-188.38890000000001</v>
      </c>
      <c r="H6905" s="1">
        <v>-2.5149249999999999E-6</v>
      </c>
      <c r="I6905">
        <v>74.828980000000001</v>
      </c>
      <c r="J6905">
        <v>-186.87780000000001</v>
      </c>
      <c r="K6905">
        <v>1.109529</v>
      </c>
      <c r="L6905">
        <v>-5.336182</v>
      </c>
      <c r="M6905">
        <v>1.7139749999999999E-2</v>
      </c>
      <c r="N6905">
        <v>-8.1274380000000007E-3</v>
      </c>
      <c r="O6905">
        <v>0.99982009999999999</v>
      </c>
      <c r="P6905">
        <v>-1.034262E-2</v>
      </c>
      <c r="Q6905">
        <v>0.19372590000000001</v>
      </c>
      <c r="R6905">
        <v>0.98100109999999996</v>
      </c>
      <c r="S6905">
        <v>-5.7357789999999999E-2</v>
      </c>
      <c r="T6905">
        <v>-4.2268510000000002E-2</v>
      </c>
      <c r="U6905">
        <v>3.0664980000000002</v>
      </c>
      <c r="V6905">
        <v>-2.7185910000000001E-2</v>
      </c>
      <c r="W6905">
        <v>0.20168610000000001</v>
      </c>
      <c r="X6905">
        <v>0.97907290000000002</v>
      </c>
      <c r="Y6905">
        <v>-3.583248E-2</v>
      </c>
      <c r="Z6905">
        <v>-5.6455699999999999E-3</v>
      </c>
      <c r="AA6905">
        <v>0.99934179999999995</v>
      </c>
      <c r="AB6905">
        <v>31</v>
      </c>
      <c r="AC6905">
        <v>-1.5110999999999899</v>
      </c>
      <c r="AD6905">
        <v>-1.109531514925</v>
      </c>
      <c r="AE6905">
        <v>80.165161999999995</v>
      </c>
      <c r="AF6905">
        <v>-2.8843818481178598</v>
      </c>
      <c r="AG6905">
        <v>-1.109531514925</v>
      </c>
      <c r="AH6905">
        <v>80.112143584628797</v>
      </c>
      <c r="AI6905">
        <v>90.792966581063695</v>
      </c>
      <c r="AJ6905">
        <v>92.062003884294299</v>
      </c>
      <c r="AK6905">
        <v>80.171729858800802</v>
      </c>
      <c r="AL6905">
        <v>78.364425677559694</v>
      </c>
      <c r="AM6905">
        <v>91.590522804087001</v>
      </c>
      <c r="AN6905">
        <v>1.0000000500750701</v>
      </c>
    </row>
    <row r="6906" spans="1:40" x14ac:dyDescent="0.25">
      <c r="A6906" t="str">
        <f>"20190304155808907"</f>
        <v>20190304155808907</v>
      </c>
      <c r="B6906" t="str">
        <f>"1551686288901232"</f>
        <v>1551686288901232</v>
      </c>
      <c r="C6906" t="s">
        <v>40</v>
      </c>
      <c r="D6906">
        <v>5.0905809999999896</v>
      </c>
      <c r="E6906">
        <v>0.49628860000000002</v>
      </c>
      <c r="F6906" t="s">
        <v>41</v>
      </c>
      <c r="G6906">
        <v>-187.96260000000001</v>
      </c>
      <c r="H6906" s="1">
        <v>-3.1382739999999998E-6</v>
      </c>
      <c r="I6906">
        <v>66.105739999999997</v>
      </c>
      <c r="J6906">
        <v>-186.8725</v>
      </c>
      <c r="K6906">
        <v>1.1095729999999999</v>
      </c>
      <c r="L6906">
        <v>-5.0179140000000002</v>
      </c>
      <c r="M6906">
        <v>1.6948350000000001E-2</v>
      </c>
      <c r="N6906">
        <v>-8.1361239999999998E-3</v>
      </c>
      <c r="O6906">
        <v>0.99982329999999997</v>
      </c>
      <c r="P6906">
        <v>-1.01198E-2</v>
      </c>
      <c r="Q6906">
        <v>0.193132</v>
      </c>
      <c r="R6906">
        <v>0.98112060000000001</v>
      </c>
      <c r="S6906">
        <v>-4.6569819999999998E-2</v>
      </c>
      <c r="T6906">
        <v>-4.7632460000000001E-2</v>
      </c>
      <c r="U6906">
        <v>3.0670169999999999</v>
      </c>
      <c r="V6906">
        <v>-2.6799380000000001E-2</v>
      </c>
      <c r="W6906">
        <v>0.201099</v>
      </c>
      <c r="X6906">
        <v>0.97920419999999997</v>
      </c>
      <c r="Y6906">
        <v>-3.2123600000000002E-2</v>
      </c>
      <c r="Z6906">
        <v>-7.3837269999999997E-3</v>
      </c>
      <c r="AA6906">
        <v>0.99945660000000003</v>
      </c>
      <c r="AB6906">
        <v>31</v>
      </c>
      <c r="AC6906">
        <v>-1.0901000000000001</v>
      </c>
      <c r="AD6906">
        <v>-1.1095761382739999</v>
      </c>
      <c r="AE6906">
        <v>71.123654000000002</v>
      </c>
      <c r="AF6906">
        <v>-2.2948534588897398</v>
      </c>
      <c r="AG6906">
        <v>-1.1095761382739999</v>
      </c>
      <c r="AH6906">
        <v>71.077666702904395</v>
      </c>
      <c r="AI6906">
        <v>90.893892099934007</v>
      </c>
      <c r="AJ6906">
        <v>91.849241325444893</v>
      </c>
      <c r="AK6906">
        <v>71.123359141238396</v>
      </c>
      <c r="AL6906">
        <v>78.398766379471297</v>
      </c>
      <c r="AM6906">
        <v>91.567709942523805</v>
      </c>
      <c r="AN6906">
        <v>0.99999993993351</v>
      </c>
    </row>
    <row r="6907" spans="1:40" x14ac:dyDescent="0.25">
      <c r="A6907" t="str">
        <f>"20190304155808929"</f>
        <v>20190304155808929</v>
      </c>
      <c r="B6907" t="str">
        <f>"1551686288921729"</f>
        <v>1551686288921729</v>
      </c>
      <c r="C6907" t="s">
        <v>40</v>
      </c>
      <c r="D6907">
        <v>4.9353559999999996</v>
      </c>
      <c r="E6907">
        <v>0.49727189999999999</v>
      </c>
      <c r="F6907" t="s">
        <v>41</v>
      </c>
      <c r="G6907">
        <v>-187.6918</v>
      </c>
      <c r="H6907" s="1">
        <v>-1.4051549999999999E-6</v>
      </c>
      <c r="I6907">
        <v>61.953800000000001</v>
      </c>
      <c r="J6907">
        <v>-186.86750000000001</v>
      </c>
      <c r="K6907">
        <v>1.1096200000000001</v>
      </c>
      <c r="L6907">
        <v>-4.7073359999999997</v>
      </c>
      <c r="M6907">
        <v>1.6688140000000001E-2</v>
      </c>
      <c r="N6907">
        <v>-8.1446869999999994E-3</v>
      </c>
      <c r="O6907">
        <v>0.99982760000000004</v>
      </c>
      <c r="P6907">
        <v>-1.009289E-2</v>
      </c>
      <c r="Q6907">
        <v>0.19324620000000001</v>
      </c>
      <c r="R6907">
        <v>0.98109840000000004</v>
      </c>
      <c r="S6907">
        <v>-3.7521359999999997E-2</v>
      </c>
      <c r="T6907">
        <v>-5.0819280000000001E-2</v>
      </c>
      <c r="U6907">
        <v>3.0673520000000001</v>
      </c>
      <c r="V6907">
        <v>-2.6543779999999999E-2</v>
      </c>
      <c r="W6907">
        <v>0.20121810000000001</v>
      </c>
      <c r="X6907">
        <v>0.97918680000000002</v>
      </c>
      <c r="Y6907">
        <v>-2.8913970000000001E-2</v>
      </c>
      <c r="Z6907">
        <v>-8.4130339999999998E-3</v>
      </c>
      <c r="AA6907">
        <v>0.9995465</v>
      </c>
      <c r="AB6907">
        <v>31</v>
      </c>
      <c r="AC6907">
        <v>-0.82429999999999304</v>
      </c>
      <c r="AD6907">
        <v>-1.109621405155</v>
      </c>
      <c r="AE6907">
        <v>66.661135999999999</v>
      </c>
      <c r="AF6907">
        <v>-1.9361360581830001</v>
      </c>
      <c r="AG6907">
        <v>-1.109621405155</v>
      </c>
      <c r="AH6907">
        <v>66.619639777432397</v>
      </c>
      <c r="AI6907">
        <v>90.953831638136705</v>
      </c>
      <c r="AJ6907">
        <v>91.664692402301299</v>
      </c>
      <c r="AK6907">
        <v>66.657004782493999</v>
      </c>
      <c r="AL6907">
        <v>78.391801259903602</v>
      </c>
      <c r="AM6907">
        <v>91.552792789665403</v>
      </c>
      <c r="AN6907">
        <v>1.0000000426592599</v>
      </c>
    </row>
    <row r="6908" spans="1:40" x14ac:dyDescent="0.25">
      <c r="A6908" t="str">
        <f>"20190304155808951"</f>
        <v>20190304155808951</v>
      </c>
      <c r="B6908" t="str">
        <f>"1551686288941248"</f>
        <v>1551686288941248</v>
      </c>
      <c r="C6908" t="s">
        <v>40</v>
      </c>
      <c r="D6908">
        <v>4.9758940000000003</v>
      </c>
      <c r="E6908">
        <v>0.49791180000000002</v>
      </c>
      <c r="F6908" t="s">
        <v>41</v>
      </c>
      <c r="G6908">
        <v>-187.54580000000001</v>
      </c>
      <c r="H6908" s="1">
        <v>-2.8905309999999999E-6</v>
      </c>
      <c r="I6908">
        <v>65.355900000000005</v>
      </c>
      <c r="J6908">
        <v>-186.86259999999999</v>
      </c>
      <c r="K6908">
        <v>1.109683</v>
      </c>
      <c r="L6908">
        <v>-4.3948970000000003</v>
      </c>
      <c r="M6908">
        <v>1.6329050000000001E-2</v>
      </c>
      <c r="N6908">
        <v>-8.1534880000000004E-3</v>
      </c>
      <c r="O6908">
        <v>0.99983339999999998</v>
      </c>
      <c r="P6908">
        <v>-1.035611E-2</v>
      </c>
      <c r="Q6908">
        <v>0.1917431</v>
      </c>
      <c r="R6908">
        <v>0.98139050000000005</v>
      </c>
      <c r="S6908">
        <v>-2.9693600000000001E-2</v>
      </c>
      <c r="T6908">
        <v>-4.857421E-2</v>
      </c>
      <c r="U6908">
        <v>3.0670470000000001</v>
      </c>
      <c r="V6908">
        <v>-2.6492760000000001E-2</v>
      </c>
      <c r="W6908">
        <v>0.19972129999999999</v>
      </c>
      <c r="X6908">
        <v>0.97949450000000005</v>
      </c>
      <c r="Y6908">
        <v>-2.6005750000000001E-2</v>
      </c>
      <c r="Z6908">
        <v>-7.6756130000000004E-3</v>
      </c>
      <c r="AA6908">
        <v>0.99963230000000003</v>
      </c>
      <c r="AB6908">
        <v>31</v>
      </c>
      <c r="AC6908">
        <v>-0.68320000000002701</v>
      </c>
      <c r="AD6908">
        <v>-1.1096858905310001</v>
      </c>
      <c r="AE6908">
        <v>69.750796999999906</v>
      </c>
      <c r="AF6908">
        <v>-1.82165002252876</v>
      </c>
      <c r="AG6908">
        <v>-1.1096858905310001</v>
      </c>
      <c r="AH6908">
        <v>69.712697298549003</v>
      </c>
      <c r="AI6908">
        <v>90.911645381716994</v>
      </c>
      <c r="AJ6908">
        <v>91.496845135256095</v>
      </c>
      <c r="AK6908">
        <v>69.745322253319202</v>
      </c>
      <c r="AL6908">
        <v>78.479337753617799</v>
      </c>
      <c r="AM6908">
        <v>91.549322989549594</v>
      </c>
      <c r="AN6908">
        <v>0.99999996976817795</v>
      </c>
    </row>
    <row r="6909" spans="1:40" x14ac:dyDescent="0.25">
      <c r="A6909" t="str">
        <f>"20190304155808973"</f>
        <v>20190304155808973</v>
      </c>
      <c r="B6909" t="str">
        <f>"1551686288971504"</f>
        <v>1551686288971504</v>
      </c>
      <c r="C6909" t="s">
        <v>40</v>
      </c>
      <c r="D6909">
        <v>4.9154869999999997</v>
      </c>
      <c r="E6909">
        <v>0.49921979999999999</v>
      </c>
      <c r="F6909" t="s">
        <v>41</v>
      </c>
      <c r="G6909">
        <v>-187.36799999999999</v>
      </c>
      <c r="H6909" s="1">
        <v>-3.2356049999999999E-6</v>
      </c>
      <c r="I6909">
        <v>56.086759999999998</v>
      </c>
      <c r="J6909">
        <v>-186.8578</v>
      </c>
      <c r="K6909">
        <v>1.1097589999999999</v>
      </c>
      <c r="L6909">
        <v>-4.0754999999999999</v>
      </c>
      <c r="M6909">
        <v>1.584636E-2</v>
      </c>
      <c r="N6909">
        <v>-8.1627149999999992E-3</v>
      </c>
      <c r="O6909">
        <v>0.99984110000000004</v>
      </c>
      <c r="P6909">
        <v>-1.047852E-2</v>
      </c>
      <c r="Q6909">
        <v>0.19083359999999999</v>
      </c>
      <c r="R6909">
        <v>0.98156650000000001</v>
      </c>
      <c r="S6909">
        <v>-2.5634770000000001E-2</v>
      </c>
      <c r="T6909">
        <v>-5.6283239999999998E-2</v>
      </c>
      <c r="U6909">
        <v>3.0676269999999999</v>
      </c>
      <c r="V6909">
        <v>-2.618521E-2</v>
      </c>
      <c r="W6909">
        <v>0.1988171</v>
      </c>
      <c r="X6909">
        <v>0.97968670000000002</v>
      </c>
      <c r="Y6909">
        <v>-2.4198500000000001E-2</v>
      </c>
      <c r="Z6909">
        <v>-1.0175439999999999E-2</v>
      </c>
      <c r="AA6909">
        <v>0.99965539999999997</v>
      </c>
      <c r="AB6909">
        <v>32</v>
      </c>
      <c r="AC6909">
        <v>-0.51019999999999699</v>
      </c>
      <c r="AD6909">
        <v>-1.1097622356050001</v>
      </c>
      <c r="AE6909">
        <v>60.162260000000003</v>
      </c>
      <c r="AF6909">
        <v>-1.4630227719919799</v>
      </c>
      <c r="AG6909">
        <v>-1.1097622356050001</v>
      </c>
      <c r="AH6909">
        <v>60.126163263449399</v>
      </c>
      <c r="AI6909">
        <v>91.057088317513703</v>
      </c>
      <c r="AJ6909">
        <v>91.393877273761603</v>
      </c>
      <c r="AK6909">
        <v>60.154197830524801</v>
      </c>
      <c r="AL6909">
        <v>78.532204833762606</v>
      </c>
      <c r="AM6909">
        <v>91.531045489222706</v>
      </c>
      <c r="AN6909">
        <v>0.99999996731602103</v>
      </c>
    </row>
    <row r="6910" spans="1:40" x14ac:dyDescent="0.25">
      <c r="A6910" t="str">
        <f>"20190304155808995"</f>
        <v>20190304155808995</v>
      </c>
      <c r="B6910" t="str">
        <f>"1551686288991024"</f>
        <v>1551686288991024</v>
      </c>
      <c r="C6910" t="s">
        <v>40</v>
      </c>
      <c r="D6910">
        <v>4.8435779999999999</v>
      </c>
      <c r="E6910">
        <v>0.50000359999999999</v>
      </c>
      <c r="F6910" t="s">
        <v>41</v>
      </c>
      <c r="G6910">
        <v>-187.17339999999999</v>
      </c>
      <c r="H6910" s="1">
        <v>-2.5497369999999999E-6</v>
      </c>
      <c r="I6910">
        <v>54.407530000000001</v>
      </c>
      <c r="J6910">
        <v>-186.8535</v>
      </c>
      <c r="K6910">
        <v>1.1098380000000001</v>
      </c>
      <c r="L6910">
        <v>-3.7747799999999998</v>
      </c>
      <c r="M6910">
        <v>1.530199E-2</v>
      </c>
      <c r="N6910">
        <v>-8.1715350000000006E-3</v>
      </c>
      <c r="O6910">
        <v>0.99984949999999995</v>
      </c>
      <c r="P6910">
        <v>-9.8163239999999995E-3</v>
      </c>
      <c r="Q6910">
        <v>0.18991089999999999</v>
      </c>
      <c r="R6910">
        <v>0.98175230000000002</v>
      </c>
      <c r="S6910">
        <v>-1.6555790000000001E-2</v>
      </c>
      <c r="T6910">
        <v>-5.8207750000000003E-2</v>
      </c>
      <c r="U6910">
        <v>3.0674739999999998</v>
      </c>
      <c r="V6910">
        <v>-2.5030460000000001E-2</v>
      </c>
      <c r="W6910">
        <v>0.19790060000000001</v>
      </c>
      <c r="X6910">
        <v>0.97990239999999995</v>
      </c>
      <c r="Y6910">
        <v>-2.069617E-2</v>
      </c>
      <c r="Z6910">
        <v>-1.0795839999999999E-2</v>
      </c>
      <c r="AA6910">
        <v>0.99972749999999999</v>
      </c>
      <c r="AB6910">
        <v>32</v>
      </c>
      <c r="AC6910">
        <v>-0.31989999999998903</v>
      </c>
      <c r="AD6910">
        <v>-1.1098405497370001</v>
      </c>
      <c r="AE6910">
        <v>58.182310000000001</v>
      </c>
      <c r="AF6910">
        <v>-1.2097572441493301</v>
      </c>
      <c r="AG6910">
        <v>-1.1098405497370001</v>
      </c>
      <c r="AH6910">
        <v>58.149444297746001</v>
      </c>
      <c r="AI6910">
        <v>91.093178254099499</v>
      </c>
      <c r="AJ6910">
        <v>91.191825436074495</v>
      </c>
      <c r="AK6910">
        <v>58.1726149555981</v>
      </c>
      <c r="AL6910">
        <v>78.585780719441004</v>
      </c>
      <c r="AM6910">
        <v>91.463235440633895</v>
      </c>
      <c r="AN6910">
        <v>0.999999942466964</v>
      </c>
    </row>
    <row r="6911" spans="1:40" x14ac:dyDescent="0.25">
      <c r="A6911" t="str">
        <f>"20190304155809020"</f>
        <v>20190304155809020</v>
      </c>
      <c r="B6911" t="str">
        <f>"1551686289011521"</f>
        <v>1551686289011521</v>
      </c>
      <c r="C6911" t="s">
        <v>40</v>
      </c>
      <c r="D6911">
        <v>4.982558</v>
      </c>
      <c r="E6911">
        <v>0.50081399999999998</v>
      </c>
      <c r="F6911" t="s">
        <v>41</v>
      </c>
      <c r="G6911">
        <v>-187.0453</v>
      </c>
      <c r="H6911" s="1">
        <v>-2.034968E-6</v>
      </c>
      <c r="I6911">
        <v>53.154589999999999</v>
      </c>
      <c r="J6911">
        <v>-186.84880000000001</v>
      </c>
      <c r="K6911">
        <v>1.1099410000000001</v>
      </c>
      <c r="L6911">
        <v>-3.419861</v>
      </c>
      <c r="M6911">
        <v>1.452434E-2</v>
      </c>
      <c r="N6911">
        <v>-8.1819839999999998E-3</v>
      </c>
      <c r="O6911">
        <v>0.99986109999999995</v>
      </c>
      <c r="P6911">
        <v>-9.6994230000000004E-3</v>
      </c>
      <c r="Q6911">
        <v>0.1900819</v>
      </c>
      <c r="R6911">
        <v>0.98172029999999999</v>
      </c>
      <c r="S6911">
        <v>-1.0330199999999999E-2</v>
      </c>
      <c r="T6911">
        <v>-5.979574E-2</v>
      </c>
      <c r="U6911">
        <v>3.0672299999999999</v>
      </c>
      <c r="V6911">
        <v>-2.4197860000000002E-2</v>
      </c>
      <c r="W6911">
        <v>0.19807640000000001</v>
      </c>
      <c r="X6911">
        <v>0.97988779999999998</v>
      </c>
      <c r="Y6911">
        <v>-1.7890050000000001E-2</v>
      </c>
      <c r="Z6911">
        <v>-1.130535E-2</v>
      </c>
      <c r="AA6911">
        <v>0.99977609999999995</v>
      </c>
      <c r="AB6911">
        <v>32</v>
      </c>
      <c r="AC6911">
        <v>-0.19649999999998599</v>
      </c>
      <c r="AD6911">
        <v>-1.109943034968</v>
      </c>
      <c r="AE6911">
        <v>56.574451000000003</v>
      </c>
      <c r="AF6911">
        <v>-1.01782152272752</v>
      </c>
      <c r="AG6911">
        <v>-1.109943034968</v>
      </c>
      <c r="AH6911">
        <v>56.543864674448201</v>
      </c>
      <c r="AI6911">
        <v>91.124376424700202</v>
      </c>
      <c r="AJ6911">
        <v>91.031245042968393</v>
      </c>
      <c r="AK6911">
        <v>56.563915763632501</v>
      </c>
      <c r="AL6911">
        <v>78.575504771557107</v>
      </c>
      <c r="AM6911">
        <v>91.414604334593093</v>
      </c>
      <c r="AN6911">
        <v>0.999999948627188</v>
      </c>
    </row>
    <row r="6912" spans="1:40" x14ac:dyDescent="0.25">
      <c r="A6912" t="str">
        <f>"20190304155809042"</f>
        <v>20190304155809042</v>
      </c>
      <c r="B6912" t="str">
        <f>"1551686289031041"</f>
        <v>1551686289031041</v>
      </c>
      <c r="C6912" t="s">
        <v>40</v>
      </c>
      <c r="D6912">
        <v>4.865246</v>
      </c>
      <c r="E6912">
        <v>0.5013898</v>
      </c>
      <c r="F6912" t="s">
        <v>41</v>
      </c>
      <c r="G6912">
        <v>-186.94120000000001</v>
      </c>
      <c r="H6912" s="1">
        <v>-3.7359679999999999E-6</v>
      </c>
      <c r="I6912">
        <v>57.076639999999998</v>
      </c>
      <c r="J6912">
        <v>-186.845</v>
      </c>
      <c r="K6912">
        <v>1.1100350000000001</v>
      </c>
      <c r="L6912">
        <v>-3.1005549999999999</v>
      </c>
      <c r="M6912">
        <v>1.3682039999999999E-2</v>
      </c>
      <c r="N6912">
        <v>-8.1916190000000007E-3</v>
      </c>
      <c r="O6912">
        <v>0.99987289999999995</v>
      </c>
      <c r="P6912">
        <v>-9.6009849999999994E-3</v>
      </c>
      <c r="Q6912">
        <v>0.18897929999999999</v>
      </c>
      <c r="R6912">
        <v>0.98193410000000003</v>
      </c>
      <c r="S6912">
        <v>-4.6844479999999999E-3</v>
      </c>
      <c r="T6912">
        <v>-5.6265709999999997E-2</v>
      </c>
      <c r="U6912">
        <v>3.0667110000000002</v>
      </c>
      <c r="V6912">
        <v>-2.332234E-2</v>
      </c>
      <c r="W6912">
        <v>0.1969812</v>
      </c>
      <c r="X6912">
        <v>0.98012980000000005</v>
      </c>
      <c r="Y6912">
        <v>-1.520812E-2</v>
      </c>
      <c r="Z6912">
        <v>-1.014957E-2</v>
      </c>
      <c r="AA6912">
        <v>0.99983279999999997</v>
      </c>
      <c r="AB6912">
        <v>32</v>
      </c>
      <c r="AC6912">
        <v>-9.6200000000010194E-2</v>
      </c>
      <c r="AD6912">
        <v>-1.110038735968</v>
      </c>
      <c r="AE6912">
        <v>60.177194999999998</v>
      </c>
      <c r="AF6912">
        <v>-0.91925257624940804</v>
      </c>
      <c r="AG6912">
        <v>-1.110038735968</v>
      </c>
      <c r="AH6912">
        <v>60.149778989119397</v>
      </c>
      <c r="AI6912">
        <v>91.057125953577099</v>
      </c>
      <c r="AJ6912">
        <v>90.875567522861601</v>
      </c>
      <c r="AK6912">
        <v>60.167043501689498</v>
      </c>
      <c r="AL6912">
        <v>78.639516631633896</v>
      </c>
      <c r="AM6912">
        <v>91.363104695760597</v>
      </c>
      <c r="AN6912">
        <v>0.99999997477227698</v>
      </c>
    </row>
    <row r="6913" spans="1:40" x14ac:dyDescent="0.25">
      <c r="A6913" t="str">
        <f>"20190304155809065"</f>
        <v>20190304155809065</v>
      </c>
      <c r="B6913" t="str">
        <f>"1551686289061296"</f>
        <v>1551686289061296</v>
      </c>
      <c r="C6913" t="s">
        <v>40</v>
      </c>
      <c r="D6913">
        <v>4.903607</v>
      </c>
      <c r="E6913">
        <v>0.50180290000000005</v>
      </c>
      <c r="F6913" t="s">
        <v>41</v>
      </c>
      <c r="G6913">
        <v>-186.8544</v>
      </c>
      <c r="H6913" s="1">
        <v>-2.5625060000000002E-6</v>
      </c>
      <c r="I6913">
        <v>54.305370000000003</v>
      </c>
      <c r="J6913">
        <v>-186.8415</v>
      </c>
      <c r="K6913">
        <v>1.1101430000000001</v>
      </c>
      <c r="L6913">
        <v>-2.7850649999999999</v>
      </c>
      <c r="M6913">
        <v>1.269965E-2</v>
      </c>
      <c r="N6913">
        <v>-8.20162199999999E-3</v>
      </c>
      <c r="O6913">
        <v>0.99988569999999999</v>
      </c>
      <c r="P6913">
        <v>-9.5837270000000002E-3</v>
      </c>
      <c r="Q6913">
        <v>0.18590029999999999</v>
      </c>
      <c r="R6913">
        <v>0.98252189999999995</v>
      </c>
      <c r="S6913">
        <v>-5.0354000000000002E-4</v>
      </c>
      <c r="T6913">
        <v>-5.9297559999999999E-2</v>
      </c>
      <c r="U6913">
        <v>3.066589</v>
      </c>
      <c r="V6913">
        <v>-2.2397360000000002E-2</v>
      </c>
      <c r="W6913">
        <v>0.193912</v>
      </c>
      <c r="X6913">
        <v>0.98076319999999995</v>
      </c>
      <c r="Y6913">
        <v>-1.2862800000000001E-2</v>
      </c>
      <c r="Z6913">
        <v>-1.1129150000000001E-2</v>
      </c>
      <c r="AA6913">
        <v>0.9998553</v>
      </c>
      <c r="AB6913">
        <v>32</v>
      </c>
      <c r="AC6913">
        <v>-1.29000000000019E-2</v>
      </c>
      <c r="AD6913">
        <v>-1.1101455625059999</v>
      </c>
      <c r="AE6913">
        <v>57.090434999999999</v>
      </c>
      <c r="AF6913">
        <v>-0.73767297188807501</v>
      </c>
      <c r="AG6913">
        <v>-1.1101455625059999</v>
      </c>
      <c r="AH6913">
        <v>57.064089622669897</v>
      </c>
      <c r="AI6913">
        <v>91.114419264291698</v>
      </c>
      <c r="AJ6913">
        <v>90.740626795875599</v>
      </c>
      <c r="AK6913">
        <v>57.079654072598501</v>
      </c>
      <c r="AL6913">
        <v>78.818827100684302</v>
      </c>
      <c r="AM6913">
        <v>91.308217099212598</v>
      </c>
      <c r="AN6913">
        <v>0.99999997997660395</v>
      </c>
    </row>
    <row r="6914" spans="1:40" x14ac:dyDescent="0.25">
      <c r="A6914" t="str">
        <f>"20190304155809084"</f>
        <v>20190304155809084</v>
      </c>
      <c r="B6914" t="str">
        <f>"1551686289081793"</f>
        <v>1551686289081793</v>
      </c>
      <c r="C6914" t="s">
        <v>40</v>
      </c>
      <c r="D6914">
        <v>4.8632249999999999</v>
      </c>
      <c r="E6914">
        <v>0.50223209999999996</v>
      </c>
      <c r="F6914" t="s">
        <v>41</v>
      </c>
      <c r="G6914">
        <v>-186.79810000000001</v>
      </c>
      <c r="H6914" s="1">
        <v>-3.7583379999999999E-6</v>
      </c>
      <c r="I6914">
        <v>47.069609999999997</v>
      </c>
      <c r="J6914">
        <v>-186.8389</v>
      </c>
      <c r="K6914">
        <v>1.1102590000000001</v>
      </c>
      <c r="L6914">
        <v>-2.5025019999999998</v>
      </c>
      <c r="M6914">
        <v>1.16808E-2</v>
      </c>
      <c r="N6914">
        <v>-8.2110840000000004E-3</v>
      </c>
      <c r="O6914">
        <v>0.99989810000000001</v>
      </c>
      <c r="P6914">
        <v>-9.0740549999999993E-3</v>
      </c>
      <c r="Q6914">
        <v>0.18432509999999999</v>
      </c>
      <c r="R6914">
        <v>0.98282340000000001</v>
      </c>
      <c r="S6914">
        <v>2.6702879999999998E-3</v>
      </c>
      <c r="T6914">
        <v>-6.8279619999999999E-2</v>
      </c>
      <c r="U6914">
        <v>3.0663149999999999</v>
      </c>
      <c r="V6914">
        <v>-2.0941999999999999E-2</v>
      </c>
      <c r="W6914">
        <v>0.19234560000000001</v>
      </c>
      <c r="X6914">
        <v>0.98110379999999997</v>
      </c>
      <c r="Y6914">
        <v>-1.080913E-2</v>
      </c>
      <c r="Z6914">
        <v>-1.404944E-2</v>
      </c>
      <c r="AA6914">
        <v>0.99984289999999998</v>
      </c>
      <c r="AB6914">
        <v>32</v>
      </c>
      <c r="AC6914">
        <v>4.0799999999990101E-2</v>
      </c>
      <c r="AD6914">
        <v>-1.110262758338</v>
      </c>
      <c r="AE6914">
        <v>49.572111999999997</v>
      </c>
      <c r="AF6914">
        <v>-0.537994339634289</v>
      </c>
      <c r="AG6914">
        <v>-1.110262758338</v>
      </c>
      <c r="AH6914">
        <v>49.544353884864101</v>
      </c>
      <c r="AI6914">
        <v>91.283677586290594</v>
      </c>
      <c r="AJ6914">
        <v>90.622141397925404</v>
      </c>
      <c r="AK6914">
        <v>49.559712702664797</v>
      </c>
      <c r="AL6914">
        <v>78.910297875622902</v>
      </c>
      <c r="AM6914">
        <v>91.2228125421843</v>
      </c>
      <c r="AN6914">
        <v>1.00000003178889</v>
      </c>
    </row>
    <row r="6915" spans="1:40" x14ac:dyDescent="0.25">
      <c r="A6915" t="str">
        <f>"20190304155809107"</f>
        <v>20190304155809107</v>
      </c>
      <c r="B6915" t="str">
        <f>"1551686289101313"</f>
        <v>1551686289101313</v>
      </c>
      <c r="C6915" t="s">
        <v>40</v>
      </c>
      <c r="D6915">
        <v>4.8511939999999996</v>
      </c>
      <c r="E6915">
        <v>0.50269679999999894</v>
      </c>
      <c r="F6915" t="s">
        <v>41</v>
      </c>
      <c r="G6915">
        <v>-186.7311</v>
      </c>
      <c r="H6915" s="1">
        <v>-3.0431140000000001E-6</v>
      </c>
      <c r="I6915">
        <v>45.37473</v>
      </c>
      <c r="J6915">
        <v>-186.8364</v>
      </c>
      <c r="K6915">
        <v>1.1103909999999999</v>
      </c>
      <c r="L6915">
        <v>-2.1896059999999999</v>
      </c>
      <c r="M6915">
        <v>1.040305E-2</v>
      </c>
      <c r="N6915">
        <v>-8.2219589999999992E-3</v>
      </c>
      <c r="O6915">
        <v>0.99991209999999997</v>
      </c>
      <c r="P6915">
        <v>-8.3425859999999904E-3</v>
      </c>
      <c r="Q6915">
        <v>0.18341479999999999</v>
      </c>
      <c r="R6915">
        <v>0.98300019999999999</v>
      </c>
      <c r="S6915">
        <v>6.8969729999999998E-3</v>
      </c>
      <c r="T6915">
        <v>-7.1095820000000004E-2</v>
      </c>
      <c r="U6915">
        <v>3.0658259999999999</v>
      </c>
      <c r="V6915">
        <v>-1.9019330000000001E-2</v>
      </c>
      <c r="W6915">
        <v>0.19144520000000001</v>
      </c>
      <c r="X6915">
        <v>0.98131900000000005</v>
      </c>
      <c r="Y6915">
        <v>-8.1530690000000006E-3</v>
      </c>
      <c r="Z6915">
        <v>-1.496081E-2</v>
      </c>
      <c r="AA6915">
        <v>0.99985489999999999</v>
      </c>
      <c r="AB6915">
        <v>32</v>
      </c>
      <c r="AC6915">
        <v>0.10529999999999901</v>
      </c>
      <c r="AD6915">
        <v>-1.11039404311399</v>
      </c>
      <c r="AE6915">
        <v>47.564335999999997</v>
      </c>
      <c r="AF6915">
        <v>-0.389324403728944</v>
      </c>
      <c r="AG6915">
        <v>-1.11039404311399</v>
      </c>
      <c r="AH6915">
        <v>47.536950241617802</v>
      </c>
      <c r="AI6915">
        <v>91.338057917814993</v>
      </c>
      <c r="AJ6915">
        <v>90.469238063495197</v>
      </c>
      <c r="AK6915">
        <v>47.551510877114801</v>
      </c>
      <c r="AL6915">
        <v>78.962863444432401</v>
      </c>
      <c r="AM6915">
        <v>91.110333052850805</v>
      </c>
      <c r="AN6915">
        <v>0.99999998963884396</v>
      </c>
    </row>
    <row r="6916" spans="1:40" x14ac:dyDescent="0.25">
      <c r="A6916" t="str">
        <f>"20190304155809130"</f>
        <v>20190304155809130</v>
      </c>
      <c r="B6916" t="str">
        <f>"1551686289121809"</f>
        <v>1551686289121809</v>
      </c>
      <c r="C6916" t="s">
        <v>40</v>
      </c>
      <c r="D6916">
        <v>4.8067769999999896</v>
      </c>
      <c r="E6916">
        <v>0.50322770000000006</v>
      </c>
      <c r="F6916" t="s">
        <v>41</v>
      </c>
      <c r="G6916">
        <v>-186.65700000000001</v>
      </c>
      <c r="H6916" s="1">
        <v>-2.7067380000000001E-6</v>
      </c>
      <c r="I6916">
        <v>44.559939999999997</v>
      </c>
      <c r="J6916">
        <v>-186.83430000000001</v>
      </c>
      <c r="K6916">
        <v>1.1105370000000001</v>
      </c>
      <c r="L6916">
        <v>-1.8533630000000001</v>
      </c>
      <c r="M6916">
        <v>8.8606810000000005E-3</v>
      </c>
      <c r="N6916">
        <v>-8.2338389999999997E-3</v>
      </c>
      <c r="O6916">
        <v>0.99992689999999995</v>
      </c>
      <c r="P6916">
        <v>-7.8818299999999994E-3</v>
      </c>
      <c r="Q6916">
        <v>0.18288650000000001</v>
      </c>
      <c r="R6916">
        <v>0.98310240000000004</v>
      </c>
      <c r="S6916">
        <v>1.176453E-2</v>
      </c>
      <c r="T6916">
        <v>-7.2813630000000004E-2</v>
      </c>
      <c r="U6916">
        <v>3.065582</v>
      </c>
      <c r="V6916">
        <v>-1.711143E-2</v>
      </c>
      <c r="W6916">
        <v>0.19092809999999999</v>
      </c>
      <c r="X6916">
        <v>0.98145479999999996</v>
      </c>
      <c r="Y6916">
        <v>-5.0232799999999998E-3</v>
      </c>
      <c r="Z6916">
        <v>-1.5511459999999999E-2</v>
      </c>
      <c r="AA6916">
        <v>0.99986710000000001</v>
      </c>
      <c r="AB6916">
        <v>32</v>
      </c>
      <c r="AC6916">
        <v>0.17730000000000201</v>
      </c>
      <c r="AD6916">
        <v>-1.1105397067380001</v>
      </c>
      <c r="AE6916">
        <v>46.413302999999999</v>
      </c>
      <c r="AF6916">
        <v>-0.23384047673997599</v>
      </c>
      <c r="AG6916">
        <v>-1.1105397067380001</v>
      </c>
      <c r="AH6916">
        <v>46.386495545491798</v>
      </c>
      <c r="AI6916">
        <v>91.371439612902805</v>
      </c>
      <c r="AJ6916">
        <v>90.288833177534698</v>
      </c>
      <c r="AK6916">
        <v>46.400376601927803</v>
      </c>
      <c r="AL6916">
        <v>78.993047246345796</v>
      </c>
      <c r="AM6916">
        <v>90.998837032097299</v>
      </c>
      <c r="AN6916">
        <v>0.99999993242464502</v>
      </c>
    </row>
    <row r="6917" spans="1:40" x14ac:dyDescent="0.25">
      <c r="A6917" t="str">
        <f>"20190304155809151"</f>
        <v>20190304155809151</v>
      </c>
      <c r="B6917" t="str">
        <f>"1551686289141329"</f>
        <v>1551686289141329</v>
      </c>
      <c r="C6917" t="s">
        <v>40</v>
      </c>
      <c r="D6917">
        <v>4.8432979999999999</v>
      </c>
      <c r="E6917">
        <v>0.50365569999999904</v>
      </c>
      <c r="F6917" t="s">
        <v>41</v>
      </c>
      <c r="G6917">
        <v>-186.57990000000001</v>
      </c>
      <c r="H6917" s="1">
        <v>-2.7955670000000001E-6</v>
      </c>
      <c r="I6917">
        <v>44.735129999999998</v>
      </c>
      <c r="J6917">
        <v>-186.8331</v>
      </c>
      <c r="K6917">
        <v>1.110662</v>
      </c>
      <c r="L6917">
        <v>-1.55365</v>
      </c>
      <c r="M6917">
        <v>7.3359180000000003E-3</v>
      </c>
      <c r="N6917">
        <v>-8.244431E-3</v>
      </c>
      <c r="O6917">
        <v>0.99993909999999997</v>
      </c>
      <c r="P6917">
        <v>-7.9170339999999999E-3</v>
      </c>
      <c r="Q6917">
        <v>0.18319940000000001</v>
      </c>
      <c r="R6917">
        <v>0.98304389999999997</v>
      </c>
      <c r="S6917">
        <v>1.6738889999999999E-2</v>
      </c>
      <c r="T6917">
        <v>-7.3067670000000001E-2</v>
      </c>
      <c r="U6917">
        <v>3.065277</v>
      </c>
      <c r="V6917">
        <v>-1.5705960000000001E-2</v>
      </c>
      <c r="W6917">
        <v>0.191251</v>
      </c>
      <c r="X6917">
        <v>0.9814155</v>
      </c>
      <c r="Y6917">
        <v>-1.8758939999999999E-3</v>
      </c>
      <c r="Z6917">
        <v>-1.5586549999999999E-2</v>
      </c>
      <c r="AA6917">
        <v>0.99987669999999995</v>
      </c>
      <c r="AB6917">
        <v>32</v>
      </c>
      <c r="AC6917">
        <v>0.25319999999999199</v>
      </c>
      <c r="AD6917">
        <v>-1.1106647955669999</v>
      </c>
      <c r="AE6917">
        <v>46.288780000000003</v>
      </c>
      <c r="AF6917">
        <v>-8.6339344550102698E-2</v>
      </c>
      <c r="AG6917">
        <v>-1.1106647955669999</v>
      </c>
      <c r="AH6917">
        <v>46.262758088674502</v>
      </c>
      <c r="AI6917">
        <v>91.375276253563896</v>
      </c>
      <c r="AJ6917">
        <v>90.106929947752704</v>
      </c>
      <c r="AK6917">
        <v>46.276168993789298</v>
      </c>
      <c r="AL6917">
        <v>78.974199902752204</v>
      </c>
      <c r="AM6917">
        <v>90.916847563954207</v>
      </c>
      <c r="AN6917">
        <v>1.0000000029103799</v>
      </c>
    </row>
    <row r="6918" spans="1:40" x14ac:dyDescent="0.25">
      <c r="A6918" t="str">
        <f>"20190304155809174"</f>
        <v>20190304155809174</v>
      </c>
      <c r="B6918" t="str">
        <f>"1551686289171584"</f>
        <v>1551686289171584</v>
      </c>
      <c r="C6918" t="s">
        <v>40</v>
      </c>
      <c r="D6918">
        <v>4.779382</v>
      </c>
      <c r="E6918">
        <v>0.50349809999999995</v>
      </c>
      <c r="F6918" t="s">
        <v>41</v>
      </c>
      <c r="G6918">
        <v>-186.5164</v>
      </c>
      <c r="H6918" s="1">
        <v>-3.606533E-6</v>
      </c>
      <c r="I6918">
        <v>46.599269999999997</v>
      </c>
      <c r="J6918">
        <v>-186.83240000000001</v>
      </c>
      <c r="K6918">
        <v>1.110784</v>
      </c>
      <c r="L6918">
        <v>-1.2174990000000001</v>
      </c>
      <c r="M6918">
        <v>5.5014800000000004E-3</v>
      </c>
      <c r="N6918">
        <v>-8.2560059999999998E-3</v>
      </c>
      <c r="O6918">
        <v>0.99995080000000003</v>
      </c>
      <c r="P6918">
        <v>-8.3019700000000005E-3</v>
      </c>
      <c r="Q6918">
        <v>0.1850222</v>
      </c>
      <c r="R6918">
        <v>0.98269930000000005</v>
      </c>
      <c r="S6918">
        <v>2.0156859999999999E-2</v>
      </c>
      <c r="T6918">
        <v>-7.0697549999999998E-2</v>
      </c>
      <c r="U6918">
        <v>3.0650940000000002</v>
      </c>
      <c r="V6918">
        <v>-1.434591E-2</v>
      </c>
      <c r="W6918">
        <v>0.19308249999999999</v>
      </c>
      <c r="X6918">
        <v>0.98107759999999999</v>
      </c>
      <c r="Y6918">
        <v>1.073612E-3</v>
      </c>
      <c r="Z6918">
        <v>-1.4804019999999999E-2</v>
      </c>
      <c r="AA6918">
        <v>0.9998899</v>
      </c>
      <c r="AB6918">
        <v>32</v>
      </c>
      <c r="AC6918">
        <v>0.316000000000002</v>
      </c>
      <c r="AD6918">
        <v>-1.110787606533</v>
      </c>
      <c r="AE6918">
        <v>47.816769000000001</v>
      </c>
      <c r="AF6918">
        <v>5.28947146871485E-2</v>
      </c>
      <c r="AG6918">
        <v>-1.110787606533</v>
      </c>
      <c r="AH6918">
        <v>47.791994659177199</v>
      </c>
      <c r="AI6918">
        <v>91.3314352541787</v>
      </c>
      <c r="AJ6918">
        <v>89.936586813455094</v>
      </c>
      <c r="AK6918">
        <v>47.804930712851103</v>
      </c>
      <c r="AL6918">
        <v>78.867269215453803</v>
      </c>
      <c r="AM6918">
        <v>90.837753832925102</v>
      </c>
      <c r="AN6918">
        <v>0.99999995708086797</v>
      </c>
    </row>
    <row r="6919" spans="1:40" x14ac:dyDescent="0.25">
      <c r="A6919" t="str">
        <f>"20190304155809196"</f>
        <v>20190304155809196</v>
      </c>
      <c r="B6919" t="str">
        <f>"1551686289191104"</f>
        <v>1551686289191104</v>
      </c>
      <c r="C6919" t="s">
        <v>40</v>
      </c>
      <c r="D6919">
        <v>4.7978399999999999</v>
      </c>
      <c r="E6919">
        <v>0.47709220000000002</v>
      </c>
      <c r="F6919" t="s">
        <v>41</v>
      </c>
      <c r="G6919">
        <v>-186.53059999999999</v>
      </c>
      <c r="H6919" s="1">
        <v>-1.458465E-6</v>
      </c>
      <c r="I6919">
        <v>51.221209999999999</v>
      </c>
      <c r="J6919">
        <v>-186.83240000000001</v>
      </c>
      <c r="K6919">
        <v>1.110873</v>
      </c>
      <c r="L6919">
        <v>-0.88522339999999999</v>
      </c>
      <c r="M6919">
        <v>3.5897199999999998E-3</v>
      </c>
      <c r="N6919">
        <v>-8.2665849999999999E-3</v>
      </c>
      <c r="O6919">
        <v>0.99995940000000005</v>
      </c>
      <c r="P6919">
        <v>-9.2661870000000004E-3</v>
      </c>
      <c r="Q6919">
        <v>0.1860742</v>
      </c>
      <c r="R6919">
        <v>0.98249200000000003</v>
      </c>
      <c r="S6919">
        <v>1.7639160000000001E-2</v>
      </c>
      <c r="T6919">
        <v>-6.4928410000000006E-2</v>
      </c>
      <c r="U6919">
        <v>3.0651860000000002</v>
      </c>
      <c r="V6919">
        <v>-1.3477569999999999E-2</v>
      </c>
      <c r="W6919">
        <v>0.19414310000000001</v>
      </c>
      <c r="X6919">
        <v>0.98088059999999999</v>
      </c>
      <c r="Y6919">
        <v>2.1640209999999999E-3</v>
      </c>
      <c r="Z6919">
        <v>-1.291202E-2</v>
      </c>
      <c r="AA6919">
        <v>0.99991430000000003</v>
      </c>
      <c r="AB6919">
        <v>32</v>
      </c>
      <c r="AC6919">
        <v>0.301800000000014</v>
      </c>
      <c r="AD6919">
        <v>-1.1108744584649899</v>
      </c>
      <c r="AE6919">
        <v>52.1064334</v>
      </c>
      <c r="AF6919">
        <v>0.114692032712661</v>
      </c>
      <c r="AG6919">
        <v>-1.1108744584649899</v>
      </c>
      <c r="AH6919">
        <v>52.083509176264101</v>
      </c>
      <c r="AI6919">
        <v>91.221857280859396</v>
      </c>
      <c r="AJ6919">
        <v>89.8738303370815</v>
      </c>
      <c r="AK6919">
        <v>52.095480844683898</v>
      </c>
      <c r="AL6919">
        <v>78.805329423913193</v>
      </c>
      <c r="AM6919">
        <v>90.787210276379298</v>
      </c>
      <c r="AN6919">
        <v>0.999999969813537</v>
      </c>
    </row>
    <row r="6920" spans="1:40" x14ac:dyDescent="0.25">
      <c r="A6920" t="str">
        <f>"20190304155809220"</f>
        <v>20190304155809220</v>
      </c>
      <c r="B6920" t="str">
        <f>"1551686289211601"</f>
        <v>1551686289211601</v>
      </c>
      <c r="C6920" t="s">
        <v>40</v>
      </c>
      <c r="D6920">
        <v>5.0159609999999999</v>
      </c>
      <c r="E6920">
        <v>0.47526370000000001</v>
      </c>
      <c r="F6920" t="s">
        <v>41</v>
      </c>
      <c r="G6920">
        <v>-188.97030000000001</v>
      </c>
      <c r="H6920" s="1">
        <v>-1.5512080000000001E-6</v>
      </c>
      <c r="I6920">
        <v>32.82291</v>
      </c>
      <c r="J6920">
        <v>-186.8331</v>
      </c>
      <c r="K6920">
        <v>1.1109500000000001</v>
      </c>
      <c r="L6920">
        <v>-0.56381230000000004</v>
      </c>
      <c r="M6920">
        <v>1.673197E-3</v>
      </c>
      <c r="N6920">
        <v>-8.2762730000000007E-3</v>
      </c>
      <c r="O6920">
        <v>0.99996439999999998</v>
      </c>
      <c r="P6920">
        <v>-1.050736E-2</v>
      </c>
      <c r="Q6920">
        <v>0.18728030000000001</v>
      </c>
      <c r="R6920">
        <v>0.98225030000000002</v>
      </c>
      <c r="S6920">
        <v>-0.1947632</v>
      </c>
      <c r="T6920">
        <v>-0.10120030000000001</v>
      </c>
      <c r="U6920">
        <v>3.0708009999999999</v>
      </c>
      <c r="V6920">
        <v>-1.2872450000000001E-2</v>
      </c>
      <c r="W6920">
        <v>0.1953568</v>
      </c>
      <c r="X6920">
        <v>0.98064770000000001</v>
      </c>
      <c r="Y6920">
        <v>-6.4936670000000002E-2</v>
      </c>
      <c r="Z6920">
        <v>-2.4596639999999999E-2</v>
      </c>
      <c r="AA6920">
        <v>0.99758619999999998</v>
      </c>
      <c r="AB6920">
        <v>32</v>
      </c>
      <c r="AC6920">
        <v>-2.1372</v>
      </c>
      <c r="AD6920">
        <v>-1.1109515512079999</v>
      </c>
      <c r="AE6920">
        <v>33.386722300000002</v>
      </c>
      <c r="AF6920">
        <v>-2.1906458053925899</v>
      </c>
      <c r="AG6920">
        <v>-1.1109515512079999</v>
      </c>
      <c r="AH6920">
        <v>33.346327699285702</v>
      </c>
      <c r="AI6920">
        <v>91.904034036112904</v>
      </c>
      <c r="AJ6920">
        <v>93.758574742326701</v>
      </c>
      <c r="AK6920">
        <v>33.436667199677103</v>
      </c>
      <c r="AL6920">
        <v>78.734431773059796</v>
      </c>
      <c r="AM6920">
        <v>90.752048570628901</v>
      </c>
      <c r="AN6920">
        <v>0.99999994539526404</v>
      </c>
    </row>
    <row r="6921" spans="1:40" x14ac:dyDescent="0.25">
      <c r="A6921" t="str">
        <f>"20190304155809243"</f>
        <v>20190304155809243</v>
      </c>
      <c r="B6921" t="str">
        <f>"1551686289231121"</f>
        <v>1551686289231121</v>
      </c>
      <c r="C6921" t="s">
        <v>40</v>
      </c>
      <c r="D6921">
        <v>4.9409010000000002</v>
      </c>
      <c r="E6921">
        <v>0.4744428</v>
      </c>
      <c r="F6921" t="s">
        <v>41</v>
      </c>
      <c r="G6921">
        <v>-189.70910000000001</v>
      </c>
      <c r="H6921" s="1">
        <v>-5.402478E-7</v>
      </c>
      <c r="I6921">
        <v>40.771819999999998</v>
      </c>
      <c r="J6921">
        <v>-186.83439999999999</v>
      </c>
      <c r="K6921">
        <v>1.1110059999999999</v>
      </c>
      <c r="L6921">
        <v>-0.22634889999999999</v>
      </c>
      <c r="M6921">
        <v>-3.8102749999999999E-4</v>
      </c>
      <c r="N6921">
        <v>-8.2861369999999903E-3</v>
      </c>
      <c r="O6921">
        <v>0.99996560000000001</v>
      </c>
      <c r="P6921">
        <v>-1.202254E-2</v>
      </c>
      <c r="Q6921">
        <v>0.18726280000000001</v>
      </c>
      <c r="R6921">
        <v>0.98223629999999995</v>
      </c>
      <c r="S6921">
        <v>-0.21343989999999999</v>
      </c>
      <c r="T6921">
        <v>-8.2447409999999999E-2</v>
      </c>
      <c r="U6921">
        <v>3.0676570000000001</v>
      </c>
      <c r="V6921">
        <v>-1.239644E-2</v>
      </c>
      <c r="W6921">
        <v>0.1953493</v>
      </c>
      <c r="X6921">
        <v>0.98065539999999995</v>
      </c>
      <c r="Y6921">
        <v>-6.9007639999999995E-2</v>
      </c>
      <c r="Z6921">
        <v>-1.8518280000000002E-2</v>
      </c>
      <c r="AA6921">
        <v>0.99744429999999995</v>
      </c>
      <c r="AB6921">
        <v>32</v>
      </c>
      <c r="AC6921">
        <v>-2.87470000000001</v>
      </c>
      <c r="AD6921">
        <v>-1.1110065402478</v>
      </c>
      <c r="AE6921">
        <v>40.998168900000003</v>
      </c>
      <c r="AF6921">
        <v>-2.8569900532818799</v>
      </c>
      <c r="AG6921">
        <v>-1.1110065402478</v>
      </c>
      <c r="AH6921">
        <v>40.969322588805902</v>
      </c>
      <c r="AI6921">
        <v>91.5496054616398</v>
      </c>
      <c r="AJ6921">
        <v>93.989055442688695</v>
      </c>
      <c r="AK6921">
        <v>41.0838425793239</v>
      </c>
      <c r="AL6921">
        <v>78.734870752290703</v>
      </c>
      <c r="AM6921">
        <v>90.724235918752399</v>
      </c>
      <c r="AN6921">
        <v>1.0000000171421599</v>
      </c>
    </row>
    <row r="6922" spans="1:40" x14ac:dyDescent="0.25">
      <c r="A6922" t="str">
        <f>"20190304155809264"</f>
        <v>20190304155809264</v>
      </c>
      <c r="B6922" t="str">
        <f>"1551686289261376"</f>
        <v>1551686289261376</v>
      </c>
      <c r="C6922" t="s">
        <v>40</v>
      </c>
      <c r="D6922">
        <v>5.491479</v>
      </c>
      <c r="E6922">
        <v>0.4743444</v>
      </c>
      <c r="F6922" t="s">
        <v>41</v>
      </c>
      <c r="G6922">
        <v>-190.03960000000001</v>
      </c>
      <c r="H6922" s="1">
        <v>-1.7127299999999999E-6</v>
      </c>
      <c r="I6922">
        <v>43.556959999999997</v>
      </c>
      <c r="J6922">
        <v>-186.8364</v>
      </c>
      <c r="K6922">
        <v>1.11103</v>
      </c>
      <c r="L6922">
        <v>8.8195800000000005E-2</v>
      </c>
      <c r="M6922">
        <v>-2.314328E-3</v>
      </c>
      <c r="N6922">
        <v>-8.2950960000000001E-3</v>
      </c>
      <c r="O6922">
        <v>0.99996289999999999</v>
      </c>
      <c r="P6922">
        <v>-1.349851E-2</v>
      </c>
      <c r="Q6922">
        <v>0.18498980000000001</v>
      </c>
      <c r="R6922">
        <v>0.98264770000000001</v>
      </c>
      <c r="S6922">
        <v>-0.224472</v>
      </c>
      <c r="T6922">
        <v>-7.780898E-2</v>
      </c>
      <c r="U6922">
        <v>3.0663450000000001</v>
      </c>
      <c r="V6922">
        <v>-1.198199E-2</v>
      </c>
      <c r="W6922">
        <v>0.19308910000000001</v>
      </c>
      <c r="X6922">
        <v>0.98110810000000004</v>
      </c>
      <c r="Y6922">
        <v>-7.0680899999999894E-2</v>
      </c>
      <c r="Z6922">
        <v>-1.700873E-2</v>
      </c>
      <c r="AA6922">
        <v>0.99735399999999996</v>
      </c>
      <c r="AB6922">
        <v>32</v>
      </c>
      <c r="AC6922">
        <v>-3.2031999999999998</v>
      </c>
      <c r="AD6922">
        <v>-1.11103171272999</v>
      </c>
      <c r="AE6922">
        <v>43.468764200000003</v>
      </c>
      <c r="AF6922">
        <v>-3.1005723824698901</v>
      </c>
      <c r="AG6922">
        <v>-1.11103171272999</v>
      </c>
      <c r="AH6922">
        <v>43.447831054476097</v>
      </c>
      <c r="AI6922">
        <v>91.461112889841999</v>
      </c>
      <c r="AJ6922">
        <v>94.081885184741395</v>
      </c>
      <c r="AK6922">
        <v>43.572490907726703</v>
      </c>
      <c r="AL6922">
        <v>78.866884703409198</v>
      </c>
      <c r="AM6922">
        <v>90.699702029562005</v>
      </c>
      <c r="AN6922">
        <v>1.0000000362543799</v>
      </c>
    </row>
    <row r="6923" spans="1:40" x14ac:dyDescent="0.25">
      <c r="A6923" t="str">
        <f>"20190304155809285"</f>
        <v>20190304155809285</v>
      </c>
      <c r="B6923" t="str">
        <f>"1551686289281873"</f>
        <v>1551686289281873</v>
      </c>
      <c r="C6923" t="s">
        <v>40</v>
      </c>
      <c r="D6923">
        <v>4.9253640000000001</v>
      </c>
      <c r="E6923">
        <v>0.47424699999999997</v>
      </c>
      <c r="F6923" t="s">
        <v>41</v>
      </c>
      <c r="G6923">
        <v>-189.3065</v>
      </c>
      <c r="H6923" s="1">
        <v>-1.620555E-6</v>
      </c>
      <c r="I6923">
        <v>33.123559999999998</v>
      </c>
      <c r="J6923">
        <v>-186.8389</v>
      </c>
      <c r="K6923">
        <v>1.111056</v>
      </c>
      <c r="L6923">
        <v>0.39999390000000001</v>
      </c>
      <c r="M6923">
        <v>-4.2306790000000002E-3</v>
      </c>
      <c r="N6923">
        <v>-8.3038039999999997E-3</v>
      </c>
      <c r="O6923">
        <v>0.99995650000000003</v>
      </c>
      <c r="P6923">
        <v>-1.450362E-2</v>
      </c>
      <c r="Q6923">
        <v>0.18397179999999999</v>
      </c>
      <c r="R6923">
        <v>0.98282449999999999</v>
      </c>
      <c r="S6923">
        <v>-0.22949220000000001</v>
      </c>
      <c r="T6923">
        <v>-0.1032236</v>
      </c>
      <c r="U6923">
        <v>3.0692439999999999</v>
      </c>
      <c r="V6923">
        <v>-1.1112189999999999E-2</v>
      </c>
      <c r="W6923">
        <v>0.192084</v>
      </c>
      <c r="X6923">
        <v>0.98131559999999995</v>
      </c>
      <c r="Y6923">
        <v>-7.030778E-2</v>
      </c>
      <c r="Z6923">
        <v>-2.5224839999999998E-2</v>
      </c>
      <c r="AA6923">
        <v>0.99720629999999999</v>
      </c>
      <c r="AB6923">
        <v>32</v>
      </c>
      <c r="AC6923">
        <v>-2.4676</v>
      </c>
      <c r="AD6923">
        <v>-1.111057620555</v>
      </c>
      <c r="AE6923">
        <v>32.723566099999999</v>
      </c>
      <c r="AF6923">
        <v>-2.3264634573234502</v>
      </c>
      <c r="AG6923">
        <v>-1.111057620555</v>
      </c>
      <c r="AH6923">
        <v>32.696234283957601</v>
      </c>
      <c r="AI6923">
        <v>91.941326686766004</v>
      </c>
      <c r="AJ6923">
        <v>94.0699568814901</v>
      </c>
      <c r="AK6923">
        <v>32.797722750305397</v>
      </c>
      <c r="AL6923">
        <v>78.925571183059702</v>
      </c>
      <c r="AM6923">
        <v>90.648776374116594</v>
      </c>
      <c r="AN6923">
        <v>1.0000000253129699</v>
      </c>
    </row>
    <row r="6924" spans="1:40" x14ac:dyDescent="0.25">
      <c r="A6924" t="str">
        <f>"20190304155809308"</f>
        <v>20190304155809308</v>
      </c>
      <c r="B6924" t="str">
        <f>"1551686289301392"</f>
        <v>1551686289301392</v>
      </c>
      <c r="C6924" t="s">
        <v>40</v>
      </c>
      <c r="D6924">
        <v>4.7746380000000004</v>
      </c>
      <c r="E6924">
        <v>0.47472569999999997</v>
      </c>
      <c r="F6924" t="s">
        <v>41</v>
      </c>
      <c r="G6924">
        <v>-189.00229999999999</v>
      </c>
      <c r="H6924" s="1">
        <v>-4.1767470000000004E-6</v>
      </c>
      <c r="I6924">
        <v>28.956330000000001</v>
      </c>
      <c r="J6924">
        <v>-186.84209999999999</v>
      </c>
      <c r="K6924">
        <v>1.1110719999999901</v>
      </c>
      <c r="L6924">
        <v>0.72149659999999904</v>
      </c>
      <c r="M6924">
        <v>-6.1899379999999999E-3</v>
      </c>
      <c r="N6924">
        <v>-8.3125739999999997E-3</v>
      </c>
      <c r="O6924">
        <v>0.99994629999999995</v>
      </c>
      <c r="P6924">
        <v>-1.645522E-2</v>
      </c>
      <c r="Q6924">
        <v>0.18443499999999999</v>
      </c>
      <c r="R6924">
        <v>0.982707</v>
      </c>
      <c r="S6924">
        <v>-0.23268130000000001</v>
      </c>
      <c r="T6924">
        <v>-0.1194991</v>
      </c>
      <c r="U6924">
        <v>3.0713499999999998</v>
      </c>
      <c r="V6924">
        <v>-1.114763E-2</v>
      </c>
      <c r="W6924">
        <v>0.19255530000000001</v>
      </c>
      <c r="X6924">
        <v>0.98122279999999995</v>
      </c>
      <c r="Y6924">
        <v>-6.9319619999999998E-2</v>
      </c>
      <c r="Z6924">
        <v>-3.046921E-2</v>
      </c>
      <c r="AA6924">
        <v>0.99712909999999999</v>
      </c>
      <c r="AB6924">
        <v>33</v>
      </c>
      <c r="AC6924">
        <v>-2.1602000000000001</v>
      </c>
      <c r="AD6924">
        <v>-1.1110761767470001</v>
      </c>
      <c r="AE6924">
        <v>28.2348333999999</v>
      </c>
      <c r="AF6924">
        <v>-1.98232889223475</v>
      </c>
      <c r="AG6924">
        <v>-1.1110761767470001</v>
      </c>
      <c r="AH6924">
        <v>28.204243699069998</v>
      </c>
      <c r="AI6924">
        <v>92.250393941080404</v>
      </c>
      <c r="AJ6924">
        <v>94.020409402212394</v>
      </c>
      <c r="AK6924">
        <v>28.295644200902299</v>
      </c>
      <c r="AL6924">
        <v>78.898053696531505</v>
      </c>
      <c r="AM6924">
        <v>90.650906881586494</v>
      </c>
      <c r="AN6924">
        <v>0.99999999822627295</v>
      </c>
    </row>
    <row r="6925" spans="1:40" x14ac:dyDescent="0.25">
      <c r="A6925" t="str">
        <f>"20190304155809331"</f>
        <v>20190304155809331</v>
      </c>
      <c r="B6925" t="str">
        <f>"1551686289321889"</f>
        <v>1551686289321889</v>
      </c>
      <c r="C6925" t="s">
        <v>40</v>
      </c>
      <c r="D6925">
        <v>4.7604739999999897</v>
      </c>
      <c r="E6925">
        <v>0.47514679999999998</v>
      </c>
      <c r="F6925" t="s">
        <v>41</v>
      </c>
      <c r="G6925">
        <v>-189.17259999999999</v>
      </c>
      <c r="H6925" s="1">
        <v>-7.7823849999999897E-7</v>
      </c>
      <c r="I6925">
        <v>31.104759999999999</v>
      </c>
      <c r="J6925">
        <v>-186.846</v>
      </c>
      <c r="K6925">
        <v>1.1110719999999901</v>
      </c>
      <c r="L6925">
        <v>1.0504150000000001</v>
      </c>
      <c r="M6925">
        <v>-8.1629719999999992E-3</v>
      </c>
      <c r="N6925">
        <v>-8.3212049999999999E-3</v>
      </c>
      <c r="O6925">
        <v>0.99993209999999999</v>
      </c>
      <c r="P6925">
        <v>-1.8678380000000001E-2</v>
      </c>
      <c r="Q6925">
        <v>0.18436440000000001</v>
      </c>
      <c r="R6925">
        <v>0.98268040000000001</v>
      </c>
      <c r="S6925">
        <v>-0.23547360000000001</v>
      </c>
      <c r="T6925">
        <v>-0.1122625</v>
      </c>
      <c r="U6925">
        <v>3.0699160000000001</v>
      </c>
      <c r="V6925">
        <v>-1.143225E-2</v>
      </c>
      <c r="W6925">
        <v>0.19249169999999999</v>
      </c>
      <c r="X6925">
        <v>0.98123199999999999</v>
      </c>
      <c r="Y6925">
        <v>-6.8294090000000002E-2</v>
      </c>
      <c r="Z6925">
        <v>-2.8131900000000001E-2</v>
      </c>
      <c r="AA6925">
        <v>0.9972685</v>
      </c>
      <c r="AB6925">
        <v>33</v>
      </c>
      <c r="AC6925">
        <v>-2.3266000000000102</v>
      </c>
      <c r="AD6925">
        <v>-1.1110727782384999</v>
      </c>
      <c r="AE6925">
        <v>30.054345000000001</v>
      </c>
      <c r="AF6925">
        <v>-2.0783576642554298</v>
      </c>
      <c r="AG6925">
        <v>-1.1110727782384999</v>
      </c>
      <c r="AH6925">
        <v>30.031536876131</v>
      </c>
      <c r="AI6925">
        <v>92.113746786293106</v>
      </c>
      <c r="AJ6925">
        <v>93.958890165308205</v>
      </c>
      <c r="AK6925">
        <v>30.123865297161402</v>
      </c>
      <c r="AL6925">
        <v>78.901767135208999</v>
      </c>
      <c r="AM6925">
        <v>90.667518017619003</v>
      </c>
      <c r="AN6925">
        <v>0.99999999436647602</v>
      </c>
    </row>
    <row r="6926" spans="1:40" x14ac:dyDescent="0.25">
      <c r="A6926" t="str">
        <f>"20190304155809353"</f>
        <v>20190304155809353</v>
      </c>
      <c r="B6926" t="str">
        <f>"1551686289341409"</f>
        <v>1551686289341409</v>
      </c>
      <c r="C6926" t="s">
        <v>40</v>
      </c>
      <c r="D6926">
        <v>4.8219690000000002</v>
      </c>
      <c r="E6926">
        <v>0.47539209999999898</v>
      </c>
      <c r="F6926" t="s">
        <v>41</v>
      </c>
      <c r="G6926">
        <v>-189.3058</v>
      </c>
      <c r="H6926" s="1">
        <v>-1.3892369999999999E-6</v>
      </c>
      <c r="I6926">
        <v>32.584069999999997</v>
      </c>
      <c r="J6926">
        <v>-186.85050000000001</v>
      </c>
      <c r="K6926">
        <v>1.111054</v>
      </c>
      <c r="L6926">
        <v>1.3700559999999999</v>
      </c>
      <c r="M6926">
        <v>-1.003772E-2</v>
      </c>
      <c r="N6926">
        <v>-8.3295109999999995E-3</v>
      </c>
      <c r="O6926">
        <v>0.99991490000000005</v>
      </c>
      <c r="P6926">
        <v>-2.0972029999999999E-2</v>
      </c>
      <c r="Q6926">
        <v>0.18312390000000001</v>
      </c>
      <c r="R6926">
        <v>0.98286609999999996</v>
      </c>
      <c r="S6926">
        <v>-0.23936460000000001</v>
      </c>
      <c r="T6926">
        <v>-0.1081208</v>
      </c>
      <c r="U6926">
        <v>3.0686040000000001</v>
      </c>
      <c r="V6926">
        <v>-1.1871700000000001E-2</v>
      </c>
      <c r="W6926">
        <v>0.19125990000000001</v>
      </c>
      <c r="X6926">
        <v>0.9814676</v>
      </c>
      <c r="Y6926">
        <v>-6.7716440000000003E-2</v>
      </c>
      <c r="Z6926">
        <v>-2.6794020000000002E-2</v>
      </c>
      <c r="AA6926">
        <v>0.99734469999999997</v>
      </c>
      <c r="AB6926">
        <v>33</v>
      </c>
      <c r="AC6926">
        <v>-2.45529999999999</v>
      </c>
      <c r="AD6926">
        <v>-1.1110553892370001</v>
      </c>
      <c r="AE6926">
        <v>31.214013999999999</v>
      </c>
      <c r="AF6926">
        <v>-2.1391542700862201</v>
      </c>
      <c r="AG6926">
        <v>-1.1110553892370001</v>
      </c>
      <c r="AH6926">
        <v>31.197803678125201</v>
      </c>
      <c r="AI6926">
        <v>92.034853513776497</v>
      </c>
      <c r="AJ6926">
        <v>93.922486781143803</v>
      </c>
      <c r="AK6926">
        <v>31.290787452667701</v>
      </c>
      <c r="AL6926">
        <v>78.973679992885096</v>
      </c>
      <c r="AM6926">
        <v>90.693008241224604</v>
      </c>
      <c r="AN6926">
        <v>0.99999996822932902</v>
      </c>
    </row>
    <row r="6927" spans="1:40" x14ac:dyDescent="0.25">
      <c r="A6927" t="str">
        <f>"20190304155809375"</f>
        <v>20190304155809375</v>
      </c>
      <c r="B6927" t="str">
        <f>"1551686289371664"</f>
        <v>1551686289371664</v>
      </c>
      <c r="C6927" t="s">
        <v>40</v>
      </c>
      <c r="D6927">
        <v>4.7985259999999998</v>
      </c>
      <c r="E6927">
        <v>0.47529389999999999</v>
      </c>
      <c r="F6927" t="s">
        <v>41</v>
      </c>
      <c r="G6927">
        <v>-189.2664</v>
      </c>
      <c r="H6927" s="1">
        <v>-9.998466E-7</v>
      </c>
      <c r="I6927">
        <v>31.6601</v>
      </c>
      <c r="J6927">
        <v>-186.85560000000001</v>
      </c>
      <c r="K6927">
        <v>1.111029</v>
      </c>
      <c r="L6927">
        <v>1.6968080000000001</v>
      </c>
      <c r="M6927">
        <v>-1.1915480000000001E-2</v>
      </c>
      <c r="N6927">
        <v>-8.3379249999999995E-3</v>
      </c>
      <c r="O6927">
        <v>0.99989430000000001</v>
      </c>
      <c r="P6927">
        <v>-2.3309960000000001E-2</v>
      </c>
      <c r="Q6927">
        <v>0.18244189999999999</v>
      </c>
      <c r="R6927">
        <v>0.98294029999999999</v>
      </c>
      <c r="S6927">
        <v>-0.24470520000000001</v>
      </c>
      <c r="T6927">
        <v>-0.1125379</v>
      </c>
      <c r="U6927">
        <v>3.0680540000000001</v>
      </c>
      <c r="V6927">
        <v>-1.2352119999999999E-2</v>
      </c>
      <c r="W6927">
        <v>0.19058539999999999</v>
      </c>
      <c r="X6927">
        <v>0.98159289999999999</v>
      </c>
      <c r="Y6927">
        <v>-6.7578490000000005E-2</v>
      </c>
      <c r="Z6927">
        <v>-2.822247E-2</v>
      </c>
      <c r="AA6927">
        <v>0.9973147</v>
      </c>
      <c r="AB6927">
        <v>33</v>
      </c>
      <c r="AC6927">
        <v>-2.4107999999999898</v>
      </c>
      <c r="AD6927">
        <v>-1.1110299998466</v>
      </c>
      <c r="AE6927">
        <v>29.963291999999999</v>
      </c>
      <c r="AF6927">
        <v>-2.0507879413297898</v>
      </c>
      <c r="AG6927">
        <v>-1.1110299998466</v>
      </c>
      <c r="AH6927">
        <v>29.948979401051901</v>
      </c>
      <c r="AI6927">
        <v>92.119592593410403</v>
      </c>
      <c r="AJ6927">
        <v>93.917273889260599</v>
      </c>
      <c r="AK6927">
        <v>30.0396652112751</v>
      </c>
      <c r="AL6927">
        <v>79.013050512859095</v>
      </c>
      <c r="AM6927">
        <v>90.720957732432296</v>
      </c>
      <c r="AN6927">
        <v>0.99999999544603202</v>
      </c>
    </row>
    <row r="6928" spans="1:40" x14ac:dyDescent="0.25">
      <c r="A6928" t="str">
        <f>"20190304155809397"</f>
        <v>20190304155809397</v>
      </c>
      <c r="B6928" t="str">
        <f>"1551686289391186"</f>
        <v>1551686289391186</v>
      </c>
      <c r="C6928" t="s">
        <v>40</v>
      </c>
      <c r="D6928">
        <v>4.8191819999999996</v>
      </c>
      <c r="E6928">
        <v>0.47575430000000002</v>
      </c>
      <c r="F6928" t="s">
        <v>41</v>
      </c>
      <c r="G6928">
        <v>-189.38</v>
      </c>
      <c r="H6928" s="1">
        <v>-1.272874E-6</v>
      </c>
      <c r="I6928">
        <v>32.343490000000003</v>
      </c>
      <c r="J6928">
        <v>-186.8612</v>
      </c>
      <c r="K6928">
        <v>1.111005</v>
      </c>
      <c r="L6928">
        <v>2.0186769999999998</v>
      </c>
      <c r="M6928">
        <v>-1.371927E-2</v>
      </c>
      <c r="N6928">
        <v>-8.3461679999999993E-3</v>
      </c>
      <c r="O6928">
        <v>0.99987110000000001</v>
      </c>
      <c r="P6928">
        <v>-2.5159629999999999E-2</v>
      </c>
      <c r="Q6928">
        <v>0.182085</v>
      </c>
      <c r="R6928">
        <v>0.98296090000000003</v>
      </c>
      <c r="S6928">
        <v>-0.25260929999999998</v>
      </c>
      <c r="T6928">
        <v>-0.1111771</v>
      </c>
      <c r="U6928">
        <v>3.0667110000000002</v>
      </c>
      <c r="V6928">
        <v>-1.241663E-2</v>
      </c>
      <c r="W6928">
        <v>0.19023760000000001</v>
      </c>
      <c r="X6928">
        <v>0.98165950000000002</v>
      </c>
      <c r="Y6928">
        <v>-6.8367819999999996E-2</v>
      </c>
      <c r="Z6928">
        <v>-2.7783229999999999E-2</v>
      </c>
      <c r="AA6928">
        <v>0.99727330000000003</v>
      </c>
      <c r="AB6928">
        <v>33</v>
      </c>
      <c r="AC6928">
        <v>-2.5188000000000001</v>
      </c>
      <c r="AD6928">
        <v>-1.111006272874</v>
      </c>
      <c r="AE6928">
        <v>30.324812999999999</v>
      </c>
      <c r="AF6928">
        <v>-2.0997151079896201</v>
      </c>
      <c r="AG6928">
        <v>-1.111006272874</v>
      </c>
      <c r="AH6928">
        <v>30.316102834871199</v>
      </c>
      <c r="AI6928">
        <v>92.093790443252303</v>
      </c>
      <c r="AJ6928">
        <v>93.962019690305397</v>
      </c>
      <c r="AK6928">
        <v>30.409032039306499</v>
      </c>
      <c r="AL6928">
        <v>79.033348811575806</v>
      </c>
      <c r="AM6928">
        <v>90.724673432063497</v>
      </c>
      <c r="AN6928">
        <v>0.999999945547282</v>
      </c>
    </row>
    <row r="6929" spans="1:40" x14ac:dyDescent="0.25">
      <c r="A6929" t="str">
        <f>"20190304155809420"</f>
        <v>20190304155809420</v>
      </c>
      <c r="B6929" t="str">
        <f>"1551686289411681"</f>
        <v>1551686289411681</v>
      </c>
      <c r="C6929" t="s">
        <v>40</v>
      </c>
      <c r="D6929">
        <v>4.8846850000000002</v>
      </c>
      <c r="E6929">
        <v>0.47569410000000001</v>
      </c>
      <c r="F6929" t="s">
        <v>41</v>
      </c>
      <c r="G6929">
        <v>-189.43090000000001</v>
      </c>
      <c r="H6929" s="1">
        <v>-1.55939E-6</v>
      </c>
      <c r="I6929">
        <v>33.032420000000002</v>
      </c>
      <c r="J6929">
        <v>-186.86760000000001</v>
      </c>
      <c r="K6929">
        <v>1.1109770000000001</v>
      </c>
      <c r="L6929">
        <v>2.35791</v>
      </c>
      <c r="M6929">
        <v>-1.556192E-2</v>
      </c>
      <c r="N6929">
        <v>-8.3548069999999901E-3</v>
      </c>
      <c r="O6929">
        <v>0.99984399999999996</v>
      </c>
      <c r="P6929">
        <v>-2.6695770000000001E-2</v>
      </c>
      <c r="Q6929">
        <v>0.18242530000000001</v>
      </c>
      <c r="R6929">
        <v>0.98285719999999999</v>
      </c>
      <c r="S6929">
        <v>-0.25402829999999998</v>
      </c>
      <c r="T6929">
        <v>-0.10982840000000001</v>
      </c>
      <c r="U6929">
        <v>3.0658569999999998</v>
      </c>
      <c r="V6929">
        <v>-1.213025E-2</v>
      </c>
      <c r="W6929">
        <v>0.1905878</v>
      </c>
      <c r="X6929">
        <v>0.9815952</v>
      </c>
      <c r="Y6929">
        <v>-6.701174E-2</v>
      </c>
      <c r="Z6929">
        <v>-2.7346949999999998E-2</v>
      </c>
      <c r="AA6929">
        <v>0.99737730000000002</v>
      </c>
      <c r="AB6929">
        <v>33</v>
      </c>
      <c r="AC6929">
        <v>-2.5632999999999901</v>
      </c>
      <c r="AD6929">
        <v>-1.1109785593899999</v>
      </c>
      <c r="AE6929">
        <v>30.674509999999898</v>
      </c>
      <c r="AF6929">
        <v>-2.0829053110100699</v>
      </c>
      <c r="AG6929">
        <v>-1.1109785593899999</v>
      </c>
      <c r="AH6929">
        <v>30.670732703338299</v>
      </c>
      <c r="AI6929">
        <v>92.069741032235896</v>
      </c>
      <c r="AJ6929">
        <v>93.885095346955097</v>
      </c>
      <c r="AK6929">
        <v>30.7614468524106</v>
      </c>
      <c r="AL6929">
        <v>79.012910425660607</v>
      </c>
      <c r="AM6929">
        <v>90.708007489911694</v>
      </c>
      <c r="AN6929">
        <v>0.999999994568471</v>
      </c>
    </row>
    <row r="6930" spans="1:40" x14ac:dyDescent="0.25">
      <c r="A6930" t="str">
        <f>"20190304155809442"</f>
        <v>20190304155809442</v>
      </c>
      <c r="B6930" t="str">
        <f>"1551686289431201"</f>
        <v>1551686289431201</v>
      </c>
      <c r="C6930" t="s">
        <v>40</v>
      </c>
      <c r="D6930">
        <v>4.8140470000000004</v>
      </c>
      <c r="E6930">
        <v>0.47577079999999999</v>
      </c>
      <c r="F6930" t="s">
        <v>41</v>
      </c>
      <c r="G6930">
        <v>-189.5299</v>
      </c>
      <c r="H6930" s="1">
        <v>-1.917805E-6</v>
      </c>
      <c r="I6930">
        <v>33.908819999999999</v>
      </c>
      <c r="J6930">
        <v>-186.87469999999999</v>
      </c>
      <c r="K6930">
        <v>1.11094</v>
      </c>
      <c r="L6930">
        <v>2.6988530000000002</v>
      </c>
      <c r="M6930">
        <v>-1.734515E-2</v>
      </c>
      <c r="N6930">
        <v>-8.3632819999999997E-3</v>
      </c>
      <c r="O6930">
        <v>0.9998146</v>
      </c>
      <c r="P6930">
        <v>-2.7751020000000001E-2</v>
      </c>
      <c r="Q6930">
        <v>0.1832008</v>
      </c>
      <c r="R6930">
        <v>0.98268370000000005</v>
      </c>
      <c r="S6930">
        <v>-0.25865169999999998</v>
      </c>
      <c r="T6930">
        <v>-0.10793750000000001</v>
      </c>
      <c r="U6930">
        <v>3.0653380000000001</v>
      </c>
      <c r="V6930">
        <v>-1.142076E-2</v>
      </c>
      <c r="W6930">
        <v>0.19137409999999999</v>
      </c>
      <c r="X6930">
        <v>0.98145070000000001</v>
      </c>
      <c r="Y6930">
        <v>-6.6741620000000002E-2</v>
      </c>
      <c r="Z6930">
        <v>-2.6727790000000001E-2</v>
      </c>
      <c r="AA6930">
        <v>0.99741230000000003</v>
      </c>
      <c r="AB6930">
        <v>33</v>
      </c>
      <c r="AC6930">
        <v>-2.6551999999999998</v>
      </c>
      <c r="AD6930">
        <v>-1.110941917805</v>
      </c>
      <c r="AE6930">
        <v>31.209966999999999</v>
      </c>
      <c r="AF6930">
        <v>-2.11078477897978</v>
      </c>
      <c r="AG6930">
        <v>-1.110941917805</v>
      </c>
      <c r="AH6930">
        <v>31.212064666906599</v>
      </c>
      <c r="AI6930">
        <v>92.033846519287493</v>
      </c>
      <c r="AJ6930">
        <v>93.868862752686496</v>
      </c>
      <c r="AK6930">
        <v>31.303076288107398</v>
      </c>
      <c r="AL6930">
        <v>78.967013788065103</v>
      </c>
      <c r="AM6930">
        <v>90.666698605834398</v>
      </c>
      <c r="AN6930">
        <v>0.99999997822013797</v>
      </c>
    </row>
    <row r="6931" spans="1:40" x14ac:dyDescent="0.25">
      <c r="A6931" t="str">
        <f>"20190304155809467"</f>
        <v>20190304155809467</v>
      </c>
      <c r="B6931" t="str">
        <f>"1551686289461457"</f>
        <v>1551686289461457</v>
      </c>
      <c r="C6931" t="s">
        <v>40</v>
      </c>
      <c r="D6931">
        <v>4.8151320000000002</v>
      </c>
      <c r="E6931">
        <v>0.47591139999999998</v>
      </c>
      <c r="F6931" t="s">
        <v>41</v>
      </c>
      <c r="G6931">
        <v>-189.56540000000001</v>
      </c>
      <c r="H6931" s="1">
        <v>-2.0649229999999999E-6</v>
      </c>
      <c r="I6931">
        <v>34.266469999999998</v>
      </c>
      <c r="J6931">
        <v>-186.8826</v>
      </c>
      <c r="K6931">
        <v>1.110881</v>
      </c>
      <c r="L6931">
        <v>3.0540470000000002</v>
      </c>
      <c r="M6931">
        <v>-1.9121409999999998E-2</v>
      </c>
      <c r="N6931">
        <v>-8.371837E-3</v>
      </c>
      <c r="O6931">
        <v>0.99978210000000001</v>
      </c>
      <c r="P6931">
        <v>-2.9062069999999999E-2</v>
      </c>
      <c r="Q6931">
        <v>0.18338960000000001</v>
      </c>
      <c r="R6931">
        <v>0.9826106</v>
      </c>
      <c r="S6931">
        <v>-0.26130679999999901</v>
      </c>
      <c r="T6931">
        <v>-0.10788639999999999</v>
      </c>
      <c r="U6931">
        <v>3.0656129999999999</v>
      </c>
      <c r="V6931">
        <v>-1.096403E-2</v>
      </c>
      <c r="W6931">
        <v>0.19157389999999999</v>
      </c>
      <c r="X6931">
        <v>0.98141690000000004</v>
      </c>
      <c r="Y6931">
        <v>-6.5819320000000001E-2</v>
      </c>
      <c r="Z6931">
        <v>-2.6698329999999999E-2</v>
      </c>
      <c r="AA6931">
        <v>0.99747430000000004</v>
      </c>
      <c r="AB6931">
        <v>33</v>
      </c>
      <c r="AC6931">
        <v>-2.6828000000000101</v>
      </c>
      <c r="AD6931">
        <v>-1.1108830649229999</v>
      </c>
      <c r="AE6931">
        <v>31.212423000000001</v>
      </c>
      <c r="AF6931">
        <v>-2.0828439650420401</v>
      </c>
      <c r="AG6931">
        <v>-1.1108830649229999</v>
      </c>
      <c r="AH6931">
        <v>31.218761209838799</v>
      </c>
      <c r="AI6931">
        <v>92.0334265510769</v>
      </c>
      <c r="AJ6931">
        <v>93.816985918053803</v>
      </c>
      <c r="AK6931">
        <v>31.307880024741099</v>
      </c>
      <c r="AL6931">
        <v>78.955349977749094</v>
      </c>
      <c r="AM6931">
        <v>90.640060827837203</v>
      </c>
      <c r="AN6931">
        <v>0.99999995036032896</v>
      </c>
    </row>
    <row r="6932" spans="1:40" x14ac:dyDescent="0.25">
      <c r="A6932" t="str">
        <f>"20190304155809487"</f>
        <v>20190304155809487</v>
      </c>
      <c r="B6932" t="str">
        <f>"1551686289480978"</f>
        <v>1551686289480978</v>
      </c>
      <c r="C6932" t="s">
        <v>40</v>
      </c>
      <c r="D6932">
        <v>4.7859389999999999</v>
      </c>
      <c r="E6932">
        <v>0.47600700000000001</v>
      </c>
      <c r="F6932" t="s">
        <v>41</v>
      </c>
      <c r="G6932">
        <v>-189.6437</v>
      </c>
      <c r="H6932" s="1">
        <v>-2.4272319999999999E-6</v>
      </c>
      <c r="I6932">
        <v>35.143359999999902</v>
      </c>
      <c r="J6932">
        <v>-186.88980000000001</v>
      </c>
      <c r="K6932">
        <v>1.1108290000000001</v>
      </c>
      <c r="L6932">
        <v>3.3591310000000001</v>
      </c>
      <c r="M6932">
        <v>-2.0565219999999999E-2</v>
      </c>
      <c r="N6932">
        <v>-8.3789590000000001E-3</v>
      </c>
      <c r="O6932">
        <v>0.99975340000000001</v>
      </c>
      <c r="P6932">
        <v>-2.9968910000000001E-2</v>
      </c>
      <c r="Q6932">
        <v>0.18282689999999999</v>
      </c>
      <c r="R6932">
        <v>0.98268820000000001</v>
      </c>
      <c r="S6932">
        <v>-0.26373289999999999</v>
      </c>
      <c r="T6932">
        <v>-0.10610890000000001</v>
      </c>
      <c r="U6932">
        <v>3.0650940000000002</v>
      </c>
      <c r="V6932">
        <v>-1.0422320000000001E-2</v>
      </c>
      <c r="W6932">
        <v>0.1910221</v>
      </c>
      <c r="X6932">
        <v>0.98153040000000003</v>
      </c>
      <c r="Y6932">
        <v>-6.5177949999999998E-2</v>
      </c>
      <c r="Z6932">
        <v>-2.6118599999999999E-2</v>
      </c>
      <c r="AA6932">
        <v>0.99753179999999997</v>
      </c>
      <c r="AB6932">
        <v>33</v>
      </c>
      <c r="AC6932">
        <v>-2.7538999999999798</v>
      </c>
      <c r="AD6932">
        <v>-1.1108314272319999</v>
      </c>
      <c r="AE6932">
        <v>31.784229</v>
      </c>
      <c r="AF6932">
        <v>-2.0971025330162898</v>
      </c>
      <c r="AG6932">
        <v>-1.1108314272319999</v>
      </c>
      <c r="AH6932">
        <v>31.795596031991199</v>
      </c>
      <c r="AI6932">
        <v>91.996573973498101</v>
      </c>
      <c r="AJ6932">
        <v>93.773520904529803</v>
      </c>
      <c r="AK6932">
        <v>31.8840353864326</v>
      </c>
      <c r="AL6932">
        <v>78.987561175300797</v>
      </c>
      <c r="AM6932">
        <v>90.608368835987307</v>
      </c>
      <c r="AN6932">
        <v>0.99999999678337603</v>
      </c>
    </row>
    <row r="6933" spans="1:40" x14ac:dyDescent="0.25">
      <c r="A6933" t="str">
        <f>"20190304155809509"</f>
        <v>20190304155809509</v>
      </c>
      <c r="B6933" t="str">
        <f>"1551686289501474"</f>
        <v>1551686289501474</v>
      </c>
      <c r="C6933" t="s">
        <v>40</v>
      </c>
      <c r="D6933">
        <v>4.826746</v>
      </c>
      <c r="E6933">
        <v>0.47589219999999999</v>
      </c>
      <c r="F6933" t="s">
        <v>41</v>
      </c>
      <c r="G6933">
        <v>-189.62569999999999</v>
      </c>
      <c r="H6933" s="1">
        <v>-2.3477130000000001E-6</v>
      </c>
      <c r="I6933">
        <v>34.950600000000001</v>
      </c>
      <c r="J6933">
        <v>-186.89789999999999</v>
      </c>
      <c r="K6933">
        <v>1.1107610000000001</v>
      </c>
      <c r="L6933">
        <v>3.6847530000000002</v>
      </c>
      <c r="M6933">
        <v>-2.2012839999999999E-2</v>
      </c>
      <c r="N6933">
        <v>-8.3863529999999992E-3</v>
      </c>
      <c r="O6933">
        <v>0.99972249999999996</v>
      </c>
      <c r="P6933">
        <v>-3.1284060000000002E-2</v>
      </c>
      <c r="Q6933">
        <v>0.18211079999999999</v>
      </c>
      <c r="R6933">
        <v>0.98278019999999999</v>
      </c>
      <c r="S6933">
        <v>-0.26542660000000001</v>
      </c>
      <c r="T6933">
        <v>-0.1077664</v>
      </c>
      <c r="U6933">
        <v>3.064819</v>
      </c>
      <c r="V6933">
        <v>-1.0276789999999999E-2</v>
      </c>
      <c r="W6933">
        <v>0.19031719999999999</v>
      </c>
      <c r="X6933">
        <v>0.98166889999999996</v>
      </c>
      <c r="Y6933">
        <v>-6.4286609999999994E-2</v>
      </c>
      <c r="Z6933">
        <v>-2.6651649999999999E-2</v>
      </c>
      <c r="AA6933">
        <v>0.99757549999999995</v>
      </c>
      <c r="AB6933">
        <v>33</v>
      </c>
      <c r="AC6933">
        <v>-2.7277999999999998</v>
      </c>
      <c r="AD6933">
        <v>-1.1107633477129999</v>
      </c>
      <c r="AE6933">
        <v>31.265846999999901</v>
      </c>
      <c r="AF6933">
        <v>-2.0363140047578998</v>
      </c>
      <c r="AG6933">
        <v>-1.1107633477129999</v>
      </c>
      <c r="AH6933">
        <v>31.279139133059001</v>
      </c>
      <c r="AI6933">
        <v>92.029501276997493</v>
      </c>
      <c r="AJ6933">
        <v>93.724776103740496</v>
      </c>
      <c r="AK6933">
        <v>31.365026938388901</v>
      </c>
      <c r="AL6933">
        <v>79.028704232960607</v>
      </c>
      <c r="AM6933">
        <v>90.599789995578604</v>
      </c>
      <c r="AN6933">
        <v>1.0000000391278701</v>
      </c>
    </row>
    <row r="6934" spans="1:40" x14ac:dyDescent="0.25">
      <c r="A6934" t="str">
        <f>"20190304155809531"</f>
        <v>20190304155809531</v>
      </c>
      <c r="B6934" t="str">
        <f>"1551686289520993"</f>
        <v>1551686289520993</v>
      </c>
      <c r="C6934" t="s">
        <v>40</v>
      </c>
      <c r="D6934">
        <v>4.7594690000000002</v>
      </c>
      <c r="E6934">
        <v>0.50985429999999998</v>
      </c>
      <c r="F6934" t="s">
        <v>41</v>
      </c>
      <c r="G6934">
        <v>-189.64619999999999</v>
      </c>
      <c r="H6934" s="1">
        <v>-2.3287089999999999E-6</v>
      </c>
      <c r="I6934">
        <v>34.914749999999998</v>
      </c>
      <c r="J6934">
        <v>-186.90620000000001</v>
      </c>
      <c r="K6934">
        <v>1.110684</v>
      </c>
      <c r="L6934">
        <v>4.0023799999999996</v>
      </c>
      <c r="M6934">
        <v>-2.331507E-2</v>
      </c>
      <c r="N6934">
        <v>-8.3934049999999996E-3</v>
      </c>
      <c r="O6934">
        <v>0.9996929</v>
      </c>
      <c r="P6934">
        <v>-3.2165329999999999E-2</v>
      </c>
      <c r="Q6934">
        <v>0.1829837</v>
      </c>
      <c r="R6934">
        <v>0.98258959999999995</v>
      </c>
      <c r="S6934">
        <v>-0.26965329999999998</v>
      </c>
      <c r="T6934">
        <v>-0.1089842</v>
      </c>
      <c r="U6934">
        <v>3.0641780000000001</v>
      </c>
      <c r="V6934">
        <v>-9.8472290000000007E-3</v>
      </c>
      <c r="W6934">
        <v>0.1911986</v>
      </c>
      <c r="X6934">
        <v>0.98150199999999999</v>
      </c>
      <c r="Y6934">
        <v>-6.4369220000000005E-2</v>
      </c>
      <c r="Z6934">
        <v>-2.7044240000000001E-2</v>
      </c>
      <c r="AA6934">
        <v>0.99755959999999999</v>
      </c>
      <c r="AB6934">
        <v>33</v>
      </c>
      <c r="AC6934">
        <v>-2.7399999999999798</v>
      </c>
      <c r="AD6934">
        <v>-1.1106863287090001</v>
      </c>
      <c r="AE6934">
        <v>30.912369999999999</v>
      </c>
      <c r="AF6934">
        <v>-2.01592342083423</v>
      </c>
      <c r="AG6934">
        <v>-1.1106863287090001</v>
      </c>
      <c r="AH6934">
        <v>30.928235577661599</v>
      </c>
      <c r="AI6934">
        <v>92.052355126448205</v>
      </c>
      <c r="AJ6934">
        <v>93.729302490087804</v>
      </c>
      <c r="AK6934">
        <v>31.013760289696901</v>
      </c>
      <c r="AL6934">
        <v>78.977258885363</v>
      </c>
      <c r="AM6934">
        <v>90.574818729135899</v>
      </c>
      <c r="AN6934">
        <v>1.00000002428246</v>
      </c>
    </row>
    <row r="6935" spans="1:40" x14ac:dyDescent="0.25">
      <c r="A6935" t="str">
        <f>"20190304155809555"</f>
        <v>20190304155809555</v>
      </c>
      <c r="B6935" t="str">
        <f>"1551686289551249"</f>
        <v>1551686289551249</v>
      </c>
      <c r="C6935" t="s">
        <v>40</v>
      </c>
      <c r="D6935">
        <v>4.7892340000000004</v>
      </c>
      <c r="E6935">
        <v>0.51443930000000004</v>
      </c>
      <c r="F6935" t="s">
        <v>41</v>
      </c>
      <c r="G6935">
        <v>-186.9623</v>
      </c>
      <c r="H6935" s="1">
        <v>-4.7628100000000002E-6</v>
      </c>
      <c r="I6935">
        <v>69.478949999999998</v>
      </c>
      <c r="J6935">
        <v>-186.91579999999999</v>
      </c>
      <c r="K6935">
        <v>1.110595</v>
      </c>
      <c r="L6935">
        <v>4.3568419999999897</v>
      </c>
      <c r="M6935">
        <v>-2.463071E-2</v>
      </c>
      <c r="N6935">
        <v>-8.4012410000000003E-3</v>
      </c>
      <c r="O6935">
        <v>0.99966129999999997</v>
      </c>
      <c r="P6935">
        <v>-3.3162539999999997E-2</v>
      </c>
      <c r="Q6935">
        <v>0.18370439999999999</v>
      </c>
      <c r="R6935">
        <v>0.98242200000000002</v>
      </c>
      <c r="S6935">
        <v>-2.6245119999999999E-3</v>
      </c>
      <c r="T6935">
        <v>-5.195379E-2</v>
      </c>
      <c r="U6935">
        <v>3.0627439999999999</v>
      </c>
      <c r="V6935">
        <v>-9.5107460000000005E-3</v>
      </c>
      <c r="W6935">
        <v>0.19192960000000001</v>
      </c>
      <c r="X6935">
        <v>0.98136259999999997</v>
      </c>
      <c r="Y6935">
        <v>2.3772410000000001E-2</v>
      </c>
      <c r="Z6935">
        <v>-8.5500519999999903E-3</v>
      </c>
      <c r="AA6935">
        <v>0.99968080000000004</v>
      </c>
      <c r="AB6935">
        <v>33</v>
      </c>
      <c r="AC6935">
        <v>-4.6500000000008798E-2</v>
      </c>
      <c r="AD6935">
        <v>-1.1105997628099999</v>
      </c>
      <c r="AE6935">
        <v>65.122107999999997</v>
      </c>
      <c r="AF6935">
        <v>1.5571216227643501</v>
      </c>
      <c r="AG6935">
        <v>-1.1105997628099999</v>
      </c>
      <c r="AH6935">
        <v>65.084565735554193</v>
      </c>
      <c r="AI6935">
        <v>90.977317820683396</v>
      </c>
      <c r="AJ6935">
        <v>88.629483351155301</v>
      </c>
      <c r="AK6935">
        <v>65.112662029492398</v>
      </c>
      <c r="AL6935">
        <v>78.934584967786193</v>
      </c>
      <c r="AM6935">
        <v>90.555257095087498</v>
      </c>
      <c r="AN6935">
        <v>0.99999998916219801</v>
      </c>
    </row>
    <row r="6936" spans="1:40" x14ac:dyDescent="0.25">
      <c r="A6936" t="str">
        <f>"20190304155809576"</f>
        <v>20190304155809576</v>
      </c>
      <c r="B6936" t="str">
        <f>"1551686289571747"</f>
        <v>1551686289571747</v>
      </c>
      <c r="C6936" t="s">
        <v>40</v>
      </c>
      <c r="D6936">
        <v>4.7403969999999997</v>
      </c>
      <c r="E6936">
        <v>0.51583729999999905</v>
      </c>
      <c r="F6936" t="s">
        <v>78</v>
      </c>
      <c r="G6936">
        <v>-185.58189999999999</v>
      </c>
      <c r="H6936" s="1">
        <v>-8.4165210000000006E-6</v>
      </c>
      <c r="I6936">
        <v>139.5642</v>
      </c>
      <c r="J6936">
        <v>-186.92490000000001</v>
      </c>
      <c r="K6936">
        <v>1.1105039999999999</v>
      </c>
      <c r="L6936">
        <v>4.6820680000000001</v>
      </c>
      <c r="M6936">
        <v>-2.573365E-2</v>
      </c>
      <c r="N6936">
        <v>-8.4084910000000006E-3</v>
      </c>
      <c r="O6936">
        <v>0.99963349999999995</v>
      </c>
      <c r="P6936">
        <v>-3.3840389999999998E-2</v>
      </c>
      <c r="Q6936">
        <v>0.184645</v>
      </c>
      <c r="R6936">
        <v>0.9822225</v>
      </c>
      <c r="S6936">
        <v>3.0181880000000001E-2</v>
      </c>
      <c r="T6936">
        <v>-2.5130030000000001E-2</v>
      </c>
      <c r="U6936">
        <v>3.0593870000000001</v>
      </c>
      <c r="V6936">
        <v>-9.0710229999999992E-3</v>
      </c>
      <c r="W6936">
        <v>0.19287860000000001</v>
      </c>
      <c r="X6936">
        <v>0.98118070000000002</v>
      </c>
      <c r="Y6936">
        <v>3.5592409999999998E-2</v>
      </c>
      <c r="Z6936">
        <v>2.026489E-4</v>
      </c>
      <c r="AA6936">
        <v>0.99936630000000004</v>
      </c>
      <c r="AB6936">
        <v>33</v>
      </c>
      <c r="AC6936">
        <v>1.34300000000001</v>
      </c>
      <c r="AD6936">
        <v>-1.1105124165210001</v>
      </c>
      <c r="AE6936">
        <v>134.88213200000001</v>
      </c>
      <c r="AF6936">
        <v>4.81336115631973</v>
      </c>
      <c r="AG6936">
        <v>-1.1105124165210001</v>
      </c>
      <c r="AH6936">
        <v>134.79376287992599</v>
      </c>
      <c r="AI6936">
        <v>90.471725903013905</v>
      </c>
      <c r="AJ6936">
        <v>87.954889441610007</v>
      </c>
      <c r="AK6936">
        <v>134.884247393008</v>
      </c>
      <c r="AL6936">
        <v>78.879176140445693</v>
      </c>
      <c r="AM6936">
        <v>90.529684824977807</v>
      </c>
      <c r="AN6936">
        <v>1.00000000192435</v>
      </c>
    </row>
    <row r="6937" spans="1:40" x14ac:dyDescent="0.25">
      <c r="A6937" t="str">
        <f>"20190304155809599"</f>
        <v>20190304155809599</v>
      </c>
      <c r="B6937" t="str">
        <f>"1551686289591265"</f>
        <v>1551686289591265</v>
      </c>
      <c r="C6937" t="s">
        <v>40</v>
      </c>
      <c r="D6937">
        <v>4.7653759999999998</v>
      </c>
      <c r="E6937">
        <v>0.5176347</v>
      </c>
      <c r="F6937" t="s">
        <v>78</v>
      </c>
      <c r="G6937">
        <v>-185.0575</v>
      </c>
      <c r="H6937" s="1">
        <v>-1.19729399999999E-5</v>
      </c>
      <c r="I6937">
        <v>152.69980000000001</v>
      </c>
      <c r="J6937">
        <v>-186.93450000000001</v>
      </c>
      <c r="K6937">
        <v>1.1104039999999999</v>
      </c>
      <c r="L6937">
        <v>5.0171510000000001</v>
      </c>
      <c r="M6937">
        <v>-2.6747699999999999E-2</v>
      </c>
      <c r="N6937">
        <v>-8.4160599999999995E-3</v>
      </c>
      <c r="O6937">
        <v>0.99960680000000002</v>
      </c>
      <c r="P6937">
        <v>-3.5485849999999999E-2</v>
      </c>
      <c r="Q6937">
        <v>0.1840859</v>
      </c>
      <c r="R6937">
        <v>0.98226939999999996</v>
      </c>
      <c r="S6937">
        <v>3.8604739999999999E-2</v>
      </c>
      <c r="T6937">
        <v>-2.2957439999999999E-2</v>
      </c>
      <c r="U6937">
        <v>3.0599370000000001</v>
      </c>
      <c r="V6937">
        <v>-9.6732910000000005E-3</v>
      </c>
      <c r="W6937">
        <v>0.19232830000000001</v>
      </c>
      <c r="X6937">
        <v>0.98128289999999996</v>
      </c>
      <c r="Y6937">
        <v>3.9354559999999997E-2</v>
      </c>
      <c r="Z6937">
        <v>9.2236339999999997E-4</v>
      </c>
      <c r="AA6937">
        <v>0.99922489999999997</v>
      </c>
      <c r="AB6937">
        <v>33</v>
      </c>
      <c r="AC6937">
        <v>1.877</v>
      </c>
      <c r="AD6937">
        <v>-1.1104159729400001</v>
      </c>
      <c r="AE6937">
        <v>147.682649</v>
      </c>
      <c r="AF6937">
        <v>5.8263101047524</v>
      </c>
      <c r="AG6937">
        <v>-1.1104159729400001</v>
      </c>
      <c r="AH6937">
        <v>147.571258099365</v>
      </c>
      <c r="AI6937">
        <v>90.430784579757102</v>
      </c>
      <c r="AJ6937">
        <v>87.739060479942907</v>
      </c>
      <c r="AK6937">
        <v>147.69040297222799</v>
      </c>
      <c r="AL6937">
        <v>78.911306906288601</v>
      </c>
      <c r="AM6937">
        <v>90.5647920659828</v>
      </c>
      <c r="AN6937">
        <v>0.99999993868603299</v>
      </c>
    </row>
    <row r="6938" spans="1:40" x14ac:dyDescent="0.25">
      <c r="A6938" t="str">
        <f>"20190304155809620"</f>
        <v>20190304155809620</v>
      </c>
      <c r="B6938" t="str">
        <f>"1551686289611761"</f>
        <v>1551686289611761</v>
      </c>
      <c r="C6938" t="s">
        <v>40</v>
      </c>
      <c r="D6938">
        <v>4.7792949999999896</v>
      </c>
      <c r="E6938">
        <v>0.51822820000000003</v>
      </c>
      <c r="F6938" t="s">
        <v>41</v>
      </c>
      <c r="G6938">
        <v>-183.916</v>
      </c>
      <c r="H6938" s="1">
        <v>-3.7287439999999999E-6</v>
      </c>
      <c r="I6938">
        <v>195.80889999999999</v>
      </c>
      <c r="J6938">
        <v>-186.9442</v>
      </c>
      <c r="K6938">
        <v>1.11029</v>
      </c>
      <c r="L6938">
        <v>5.3473509999999997</v>
      </c>
      <c r="M6938">
        <v>-2.7603240000000001E-2</v>
      </c>
      <c r="N6938">
        <v>-8.4235030000000006E-3</v>
      </c>
      <c r="O6938">
        <v>0.99958349999999996</v>
      </c>
      <c r="P6938">
        <v>-3.7686379999999998E-2</v>
      </c>
      <c r="Q6938">
        <v>0.1822318</v>
      </c>
      <c r="R6938">
        <v>0.98253310000000005</v>
      </c>
      <c r="S6938">
        <v>4.840088E-2</v>
      </c>
      <c r="T6938">
        <v>-1.7804739999999999E-2</v>
      </c>
      <c r="U6938">
        <v>3.0592350000000001</v>
      </c>
      <c r="V6938">
        <v>-1.0972020000000001E-2</v>
      </c>
      <c r="W6938">
        <v>0.19048390000000001</v>
      </c>
      <c r="X6938">
        <v>0.98162899999999997</v>
      </c>
      <c r="Y6938">
        <v>4.341134E-2</v>
      </c>
      <c r="Z6938">
        <v>2.6119400000000001E-3</v>
      </c>
      <c r="AA6938">
        <v>0.99905390000000005</v>
      </c>
      <c r="AB6938">
        <v>34</v>
      </c>
      <c r="AC6938">
        <v>3.0281999999999898</v>
      </c>
      <c r="AD6938">
        <v>-1.110293728744</v>
      </c>
      <c r="AE6938">
        <v>190.46154899999999</v>
      </c>
      <c r="AF6938">
        <v>8.2843067912156005</v>
      </c>
      <c r="AG6938">
        <v>-1.110293728744</v>
      </c>
      <c r="AH6938">
        <v>190.29891362017901</v>
      </c>
      <c r="AI6938">
        <v>90.333970539534803</v>
      </c>
      <c r="AJ6938">
        <v>87.507309414082499</v>
      </c>
      <c r="AK6938">
        <v>190.48238505487899</v>
      </c>
      <c r="AL6938">
        <v>79.018974583231596</v>
      </c>
      <c r="AM6938">
        <v>90.640388844350994</v>
      </c>
      <c r="AN6938">
        <v>0.999999997511545</v>
      </c>
    </row>
    <row r="6939" spans="1:40" x14ac:dyDescent="0.25">
      <c r="A6939" t="str">
        <f>"20190304155809645"</f>
        <v>20190304155809645</v>
      </c>
      <c r="B6939" t="str">
        <f>"1551686289641041"</f>
        <v>1551686289641041</v>
      </c>
      <c r="C6939" t="s">
        <v>40</v>
      </c>
      <c r="D6939">
        <v>4.7542879999999998</v>
      </c>
      <c r="E6939">
        <v>0.51976540000000004</v>
      </c>
      <c r="F6939" t="s">
        <v>78</v>
      </c>
      <c r="G6939">
        <v>-184.7465</v>
      </c>
      <c r="H6939" s="1">
        <v>-1.017345E-5</v>
      </c>
      <c r="I6939">
        <v>145.8749</v>
      </c>
      <c r="J6939">
        <v>-186.9554</v>
      </c>
      <c r="K6939">
        <v>1.1101379999999901</v>
      </c>
      <c r="L6939">
        <v>5.7194520000000004</v>
      </c>
      <c r="M6939">
        <v>-2.8376740000000001E-2</v>
      </c>
      <c r="N6939">
        <v>-8.4318659999999997E-3</v>
      </c>
      <c r="O6939">
        <v>0.9995617</v>
      </c>
      <c r="P6939">
        <v>-4.0230170000000003E-2</v>
      </c>
      <c r="Q6939">
        <v>0.17973149999999999</v>
      </c>
      <c r="R6939">
        <v>0.98289280000000001</v>
      </c>
      <c r="S6939">
        <v>4.7851560000000001E-2</v>
      </c>
      <c r="T6939">
        <v>-2.4174210000000002E-2</v>
      </c>
      <c r="U6939">
        <v>3.0596619999999999</v>
      </c>
      <c r="V6939">
        <v>-1.2674029999999999E-2</v>
      </c>
      <c r="W6939">
        <v>0.1879952</v>
      </c>
      <c r="X6939">
        <v>0.98208810000000002</v>
      </c>
      <c r="Y6939">
        <v>4.4002529999999998E-2</v>
      </c>
      <c r="Z6939">
        <v>5.4214019999999897E-4</v>
      </c>
      <c r="AA6939">
        <v>0.99903120000000001</v>
      </c>
      <c r="AB6939">
        <v>34</v>
      </c>
      <c r="AC6939">
        <v>2.2088999999999999</v>
      </c>
      <c r="AD6939">
        <v>-1.1101481734499901</v>
      </c>
      <c r="AE6939">
        <v>140.15544800000001</v>
      </c>
      <c r="AF6939">
        <v>6.1849187069565801</v>
      </c>
      <c r="AG6939">
        <v>-1.1101481734499901</v>
      </c>
      <c r="AH6939">
        <v>140.02753656989901</v>
      </c>
      <c r="AI6939">
        <v>90.453793034762796</v>
      </c>
      <c r="AJ6939">
        <v>87.470929170617694</v>
      </c>
      <c r="AK6939">
        <v>140.16845810029099</v>
      </c>
      <c r="AL6939">
        <v>79.164189819725394</v>
      </c>
      <c r="AM6939">
        <v>90.739371670923802</v>
      </c>
      <c r="AN6939">
        <v>0.99999993121054298</v>
      </c>
    </row>
    <row r="6940" spans="1:40" x14ac:dyDescent="0.25">
      <c r="A6940" t="str">
        <f>"20190304155809669"</f>
        <v>20190304155809669</v>
      </c>
      <c r="B6940" t="str">
        <f>"1551686289661539"</f>
        <v>1551686289661539</v>
      </c>
      <c r="C6940" t="s">
        <v>40</v>
      </c>
      <c r="D6940">
        <v>4.7491849999999998</v>
      </c>
      <c r="E6940">
        <v>0.52050019999999997</v>
      </c>
      <c r="F6940" t="s">
        <v>53</v>
      </c>
      <c r="G6940">
        <v>-183.48650000000001</v>
      </c>
      <c r="H6940" s="1">
        <v>4.260871E-6</v>
      </c>
      <c r="I6940">
        <v>206.43260000000001</v>
      </c>
      <c r="J6940">
        <v>-186.96619999999999</v>
      </c>
      <c r="K6940">
        <v>1.10997099999999</v>
      </c>
      <c r="L6940">
        <v>6.0806879999999897</v>
      </c>
      <c r="M6940">
        <v>-2.8915400000000001E-2</v>
      </c>
      <c r="N6940">
        <v>-8.4401540000000001E-3</v>
      </c>
      <c r="O6940">
        <v>0.99954620000000005</v>
      </c>
      <c r="P6940">
        <v>-4.2339420000000003E-2</v>
      </c>
      <c r="Q6940">
        <v>0.17758940000000001</v>
      </c>
      <c r="R6940">
        <v>0.98319350000000005</v>
      </c>
      <c r="S6940">
        <v>5.2841190000000003E-2</v>
      </c>
      <c r="T6940">
        <v>-1.6910669999999999E-2</v>
      </c>
      <c r="U6940">
        <v>3.0574650000000001</v>
      </c>
      <c r="V6940">
        <v>-1.4167630000000001E-2</v>
      </c>
      <c r="W6940">
        <v>0.18586720000000001</v>
      </c>
      <c r="X6940">
        <v>0.98247269999999998</v>
      </c>
      <c r="Y6940">
        <v>4.6182189999999998E-2</v>
      </c>
      <c r="Z6940">
        <v>2.9183030000000001E-3</v>
      </c>
      <c r="AA6940">
        <v>0.99892879999999995</v>
      </c>
      <c r="AB6940">
        <v>34</v>
      </c>
      <c r="AC6940">
        <v>3.4796999999999798</v>
      </c>
      <c r="AD6940">
        <v>-1.10996673912899</v>
      </c>
      <c r="AE6940">
        <v>200.351912</v>
      </c>
      <c r="AF6940">
        <v>9.2714226236920396</v>
      </c>
      <c r="AG6940">
        <v>-1.10996673912899</v>
      </c>
      <c r="AH6940">
        <v>200.161369244312</v>
      </c>
      <c r="AI6940">
        <v>90.317382150040004</v>
      </c>
      <c r="AJ6940">
        <v>87.347969953523602</v>
      </c>
      <c r="AK6940">
        <v>200.379053399767</v>
      </c>
      <c r="AL6940">
        <v>79.288303458189901</v>
      </c>
      <c r="AM6940">
        <v>90.826169668580604</v>
      </c>
      <c r="AN6940">
        <v>0.99999997201047297</v>
      </c>
    </row>
    <row r="6941" spans="1:40" x14ac:dyDescent="0.25">
      <c r="A6941" t="str">
        <f>"20190304155809688"</f>
        <v>20190304155809688</v>
      </c>
      <c r="B6941" t="str">
        <f>"1551686289681057"</f>
        <v>1551686289681057</v>
      </c>
      <c r="C6941" t="s">
        <v>40</v>
      </c>
      <c r="D6941">
        <v>4.7570639999999997</v>
      </c>
      <c r="E6941">
        <v>0.52081679999999997</v>
      </c>
      <c r="F6941" t="s">
        <v>41</v>
      </c>
      <c r="G6941">
        <v>-183.93430000000001</v>
      </c>
      <c r="H6941" s="1">
        <v>-2.0008240000000002E-6</v>
      </c>
      <c r="I6941">
        <v>180.785</v>
      </c>
      <c r="J6941">
        <v>-186.9752</v>
      </c>
      <c r="K6941">
        <v>1.1098250000000001</v>
      </c>
      <c r="L6941">
        <v>6.3782350000000001</v>
      </c>
      <c r="M6941">
        <v>-2.919397E-2</v>
      </c>
      <c r="N6941">
        <v>-8.4472279999999993E-3</v>
      </c>
      <c r="O6941">
        <v>0.99953809999999998</v>
      </c>
      <c r="P6941">
        <v>-4.3912710000000001E-2</v>
      </c>
      <c r="Q6941">
        <v>0.1763121</v>
      </c>
      <c r="R6941">
        <v>0.98335430000000001</v>
      </c>
      <c r="S6941">
        <v>5.3054810000000001E-2</v>
      </c>
      <c r="T6941">
        <v>-1.9422890000000002E-2</v>
      </c>
      <c r="U6941">
        <v>3.0570680000000001</v>
      </c>
      <c r="V6941">
        <v>-1.5396429999999999E-2</v>
      </c>
      <c r="W6941">
        <v>0.1846025</v>
      </c>
      <c r="X6941">
        <v>0.98269269999999997</v>
      </c>
      <c r="Y6941">
        <v>4.6532469999999999E-2</v>
      </c>
      <c r="Z6941">
        <v>2.1040970000000001E-3</v>
      </c>
      <c r="AA6941">
        <v>0.99891450000000004</v>
      </c>
      <c r="AB6941">
        <v>34</v>
      </c>
      <c r="AC6941">
        <v>3.0408999999999899</v>
      </c>
      <c r="AD6941">
        <v>-1.1098270008239901</v>
      </c>
      <c r="AE6941">
        <v>174.40676499999901</v>
      </c>
      <c r="AF6941">
        <v>8.1310820036003992</v>
      </c>
      <c r="AG6941">
        <v>-1.1098270008239901</v>
      </c>
      <c r="AH6941">
        <v>174.23658907834999</v>
      </c>
      <c r="AI6941">
        <v>90.364552691249401</v>
      </c>
      <c r="AJ6941">
        <v>87.328121894583802</v>
      </c>
      <c r="AK6941">
        <v>174.42974283125801</v>
      </c>
      <c r="AL6941">
        <v>79.362042237020702</v>
      </c>
      <c r="AM6941">
        <v>90.897613554755793</v>
      </c>
      <c r="AN6941">
        <v>1.00000003784814</v>
      </c>
    </row>
    <row r="6942" spans="1:40" x14ac:dyDescent="0.25">
      <c r="A6942" t="str">
        <f>"20190304155809711"</f>
        <v>20190304155809711</v>
      </c>
      <c r="B6942" t="str">
        <f>"1551686289701553"</f>
        <v>1551686289701553</v>
      </c>
      <c r="C6942" t="s">
        <v>40</v>
      </c>
      <c r="D6942">
        <v>4.7255209999999996</v>
      </c>
      <c r="E6942">
        <v>0.52220230000000001</v>
      </c>
      <c r="F6942" t="s">
        <v>41</v>
      </c>
      <c r="G6942">
        <v>-183.9562</v>
      </c>
      <c r="H6942" s="1">
        <v>-4.2791799999999999E-6</v>
      </c>
      <c r="I6942">
        <v>187.1086</v>
      </c>
      <c r="J6942">
        <v>-186.9847</v>
      </c>
      <c r="K6942">
        <v>1.1096779999999999</v>
      </c>
      <c r="L6942">
        <v>6.6988830000000004</v>
      </c>
      <c r="M6942">
        <v>-2.9332230000000001E-2</v>
      </c>
      <c r="N6942">
        <v>-8.4551399999999999E-3</v>
      </c>
      <c r="O6942">
        <v>0.99953400000000003</v>
      </c>
      <c r="P6942">
        <v>-4.5205019999999999E-2</v>
      </c>
      <c r="Q6942">
        <v>0.17570759999999999</v>
      </c>
      <c r="R6942">
        <v>0.98340399999999994</v>
      </c>
      <c r="S6942">
        <v>5.1055910000000003E-2</v>
      </c>
      <c r="T6942">
        <v>-1.876891E-2</v>
      </c>
      <c r="U6942">
        <v>3.0564269999999998</v>
      </c>
      <c r="V6942">
        <v>-1.648165E-2</v>
      </c>
      <c r="W6942">
        <v>0.18401100000000001</v>
      </c>
      <c r="X6942">
        <v>0.98278600000000005</v>
      </c>
      <c r="Y6942">
        <v>4.6021230000000003E-2</v>
      </c>
      <c r="Z6942">
        <v>2.3242330000000002E-3</v>
      </c>
      <c r="AA6942">
        <v>0.99893779999999999</v>
      </c>
      <c r="AB6942">
        <v>34</v>
      </c>
      <c r="AC6942">
        <v>3.0285000000000002</v>
      </c>
      <c r="AD6942">
        <v>-1.1096822791800001</v>
      </c>
      <c r="AE6942">
        <v>180.409717</v>
      </c>
      <c r="AF6942">
        <v>8.3188904014601892</v>
      </c>
      <c r="AG6942">
        <v>-1.1096822791800001</v>
      </c>
      <c r="AH6942">
        <v>180.23643142537699</v>
      </c>
      <c r="AI6942">
        <v>90.352379897928301</v>
      </c>
      <c r="AJ6942">
        <v>87.357364021919395</v>
      </c>
      <c r="AK6942">
        <v>180.43172266879</v>
      </c>
      <c r="AL6942">
        <v>79.396523067318697</v>
      </c>
      <c r="AM6942">
        <v>90.960779325668199</v>
      </c>
      <c r="AN6942">
        <v>1.00000000735186</v>
      </c>
    </row>
    <row r="6943" spans="1:40" x14ac:dyDescent="0.25">
      <c r="A6943" t="str">
        <f>"20190304155809732"</f>
        <v>20190304155809732</v>
      </c>
      <c r="B6943" t="str">
        <f>"1551686289721073"</f>
        <v>1551686289721073</v>
      </c>
      <c r="C6943" t="s">
        <v>40</v>
      </c>
      <c r="D6943">
        <v>4.7154379999999998</v>
      </c>
      <c r="E6943">
        <v>0.52327440000000003</v>
      </c>
      <c r="F6943" t="s">
        <v>41</v>
      </c>
      <c r="G6943">
        <v>-182.09829999999999</v>
      </c>
      <c r="H6943" s="1">
        <v>-2.7186620000000001E-6</v>
      </c>
      <c r="I6943">
        <v>261.45890000000003</v>
      </c>
      <c r="J6943">
        <v>-186.9949</v>
      </c>
      <c r="K6943">
        <v>1.1095109999999999</v>
      </c>
      <c r="L6943">
        <v>7.0446169999999997</v>
      </c>
      <c r="M6943">
        <v>-2.9280170000000001E-2</v>
      </c>
      <c r="N6943">
        <v>-8.4637830000000008E-3</v>
      </c>
      <c r="O6943">
        <v>0.99953539999999996</v>
      </c>
      <c r="P6943">
        <v>-4.5901310000000001E-2</v>
      </c>
      <c r="Q6943">
        <v>0.17586060000000001</v>
      </c>
      <c r="R6943">
        <v>0.98334440000000001</v>
      </c>
      <c r="S6943">
        <v>5.8609010000000003E-2</v>
      </c>
      <c r="T6943">
        <v>-1.3309959999999999E-2</v>
      </c>
      <c r="U6943">
        <v>3.0556950000000001</v>
      </c>
      <c r="V6943">
        <v>-1.7158260000000002E-2</v>
      </c>
      <c r="W6943">
        <v>0.1841788</v>
      </c>
      <c r="X6943">
        <v>0.98274300000000003</v>
      </c>
      <c r="Y6943">
        <v>4.8441560000000002E-2</v>
      </c>
      <c r="Z6943">
        <v>4.1162500000000001E-3</v>
      </c>
      <c r="AA6943">
        <v>0.99881759999999997</v>
      </c>
      <c r="AB6943">
        <v>34</v>
      </c>
      <c r="AC6943">
        <v>4.8966000000000003</v>
      </c>
      <c r="AD6943">
        <v>-1.1095137186620001</v>
      </c>
      <c r="AE6943">
        <v>254.41428300000001</v>
      </c>
      <c r="AF6943">
        <v>12.343826088524301</v>
      </c>
      <c r="AG6943">
        <v>-1.1095137186620001</v>
      </c>
      <c r="AH6943">
        <v>254.156983127134</v>
      </c>
      <c r="AI6943">
        <v>90.249826728523203</v>
      </c>
      <c r="AJ6943">
        <v>87.219459316421407</v>
      </c>
      <c r="AK6943">
        <v>254.45898124350299</v>
      </c>
      <c r="AL6943">
        <v>79.386741793764401</v>
      </c>
      <c r="AM6943">
        <v>91.000257448431</v>
      </c>
      <c r="AN6943">
        <v>1.00000002015233</v>
      </c>
    </row>
    <row r="6944" spans="1:40" x14ac:dyDescent="0.25">
      <c r="A6944" t="str">
        <f>"20190304155809756"</f>
        <v>20190304155809756</v>
      </c>
      <c r="B6944" t="str">
        <f>"1551686289751330"</f>
        <v>1551686289751330</v>
      </c>
      <c r="C6944" t="s">
        <v>40</v>
      </c>
      <c r="D6944">
        <v>4.7228019999999997</v>
      </c>
      <c r="E6944">
        <v>0.524458599999999</v>
      </c>
      <c r="F6944" t="s">
        <v>52</v>
      </c>
      <c r="G6944">
        <v>-178.75099999999901</v>
      </c>
      <c r="H6944">
        <v>0.32937430000000001</v>
      </c>
      <c r="I6944">
        <v>391.87</v>
      </c>
      <c r="J6944">
        <v>-187.005</v>
      </c>
      <c r="K6944">
        <v>1.109359</v>
      </c>
      <c r="L6944">
        <v>7.3952029999999898</v>
      </c>
      <c r="M6944">
        <v>-2.9064719999999999E-2</v>
      </c>
      <c r="N6944">
        <v>-8.4725670000000003E-3</v>
      </c>
      <c r="O6944">
        <v>0.99954160000000003</v>
      </c>
      <c r="P6944">
        <v>-4.596509E-2</v>
      </c>
      <c r="Q6944">
        <v>0.17578729999999901</v>
      </c>
      <c r="R6944">
        <v>0.98335450000000002</v>
      </c>
      <c r="S6944">
        <v>6.5444950000000002E-2</v>
      </c>
      <c r="T6944">
        <v>-6.193161E-3</v>
      </c>
      <c r="U6944">
        <v>3.0549620000000002</v>
      </c>
      <c r="V6944">
        <v>-1.736745E-2</v>
      </c>
      <c r="W6944">
        <v>0.18412020000000001</v>
      </c>
      <c r="X6944">
        <v>0.98275029999999997</v>
      </c>
      <c r="Y6944">
        <v>5.0464960000000003E-2</v>
      </c>
      <c r="Z6944">
        <v>6.4508279999999996E-3</v>
      </c>
      <c r="AA6944">
        <v>0.99870499999999995</v>
      </c>
      <c r="AB6944">
        <v>34</v>
      </c>
      <c r="AC6944">
        <v>8.2540000000000102</v>
      </c>
      <c r="AD6944">
        <v>-0.77998469999999998</v>
      </c>
      <c r="AE6944">
        <v>384.47479700000002</v>
      </c>
      <c r="AF6944">
        <v>19.425486477362501</v>
      </c>
      <c r="AG6944">
        <v>-0.77998469999999998</v>
      </c>
      <c r="AH6944">
        <v>384.07086816699899</v>
      </c>
      <c r="AI6944">
        <v>90.116209591327305</v>
      </c>
      <c r="AJ6944">
        <v>87.104568779237397</v>
      </c>
      <c r="AK6944">
        <v>384.562595263199</v>
      </c>
      <c r="AL6944">
        <v>79.390157681881007</v>
      </c>
      <c r="AM6944">
        <v>91.012442340680494</v>
      </c>
      <c r="AN6944">
        <v>1.0000000142588099</v>
      </c>
    </row>
    <row r="6945" spans="1:40" x14ac:dyDescent="0.25">
      <c r="A6945" t="str">
        <f>"20190304155809778"</f>
        <v>20190304155809778</v>
      </c>
      <c r="B6945" t="str">
        <f>"1551686289771826"</f>
        <v>1551686289771826</v>
      </c>
      <c r="C6945" t="s">
        <v>40</v>
      </c>
      <c r="D6945">
        <v>4.7056120000000004</v>
      </c>
      <c r="E6945">
        <v>0.52533560000000001</v>
      </c>
      <c r="F6945" t="s">
        <v>52</v>
      </c>
      <c r="G6945">
        <v>-177.56</v>
      </c>
      <c r="H6945">
        <v>0.8041954</v>
      </c>
      <c r="I6945">
        <v>391.87</v>
      </c>
      <c r="J6945">
        <v>-187.0146</v>
      </c>
      <c r="K6945">
        <v>1.109232</v>
      </c>
      <c r="L6945">
        <v>7.734375</v>
      </c>
      <c r="M6945">
        <v>-2.8711980000000002E-2</v>
      </c>
      <c r="N6945">
        <v>-8.4810489999999992E-3</v>
      </c>
      <c r="O6945">
        <v>0.99955179999999999</v>
      </c>
      <c r="P6945">
        <v>-4.6017009999999997E-2</v>
      </c>
      <c r="Q6945">
        <v>0.17561559999999901</v>
      </c>
      <c r="R6945">
        <v>0.9833828</v>
      </c>
      <c r="S6945">
        <v>7.5042719999999993E-2</v>
      </c>
      <c r="T6945">
        <v>-2.424598E-3</v>
      </c>
      <c r="U6945">
        <v>3.0547179999999998</v>
      </c>
      <c r="V6945">
        <v>-1.77082E-2</v>
      </c>
      <c r="W6945">
        <v>0.18396270000000001</v>
      </c>
      <c r="X6945">
        <v>0.98277369999999997</v>
      </c>
      <c r="Y6945">
        <v>5.3250159999999998E-2</v>
      </c>
      <c r="Z6945">
        <v>7.6915169999999897E-3</v>
      </c>
      <c r="AA6945">
        <v>0.99855159999999998</v>
      </c>
      <c r="AB6945">
        <v>34</v>
      </c>
      <c r="AC6945">
        <v>9.4545999999999992</v>
      </c>
      <c r="AD6945">
        <v>-0.30503659999999899</v>
      </c>
      <c r="AE6945">
        <v>384.135625</v>
      </c>
      <c r="AF6945">
        <v>20.4803794016543</v>
      </c>
      <c r="AG6945">
        <v>-0.30503659999999899</v>
      </c>
      <c r="AH6945">
        <v>383.70553269452103</v>
      </c>
      <c r="AI6945">
        <v>90.045484002667095</v>
      </c>
      <c r="AJ6945">
        <v>86.944722555015105</v>
      </c>
      <c r="AK6945">
        <v>384.251837742058</v>
      </c>
      <c r="AL6945">
        <v>79.399338442003696</v>
      </c>
      <c r="AM6945">
        <v>91.032277665046607</v>
      </c>
      <c r="AN6945">
        <v>1.0000000003751099</v>
      </c>
    </row>
    <row r="6946" spans="1:40" x14ac:dyDescent="0.25">
      <c r="A6946" t="str">
        <f>"20190304155809801"</f>
        <v>20190304155809801</v>
      </c>
      <c r="B6946" t="str">
        <f>"1551686289791346"</f>
        <v>1551686289791346</v>
      </c>
      <c r="C6946" t="s">
        <v>40</v>
      </c>
      <c r="D6946">
        <v>4.6849530000000001</v>
      </c>
      <c r="E6946">
        <v>0.52610319999999899</v>
      </c>
      <c r="F6946" t="s">
        <v>52</v>
      </c>
      <c r="G6946">
        <v>-176.74539999999999</v>
      </c>
      <c r="H6946">
        <v>1.36937</v>
      </c>
      <c r="I6946">
        <v>391.00349999999997</v>
      </c>
      <c r="J6946">
        <v>-187.024</v>
      </c>
      <c r="K6946">
        <v>1.109113</v>
      </c>
      <c r="L6946">
        <v>8.0747070000000001</v>
      </c>
      <c r="M6946">
        <v>-2.8222830000000001E-2</v>
      </c>
      <c r="N6946">
        <v>-8.4896659999999999E-3</v>
      </c>
      <c r="O6946">
        <v>0.99956560000000005</v>
      </c>
      <c r="P6946">
        <v>-4.5612739999999999E-2</v>
      </c>
      <c r="Q6946">
        <v>0.17663570000000001</v>
      </c>
      <c r="R6946">
        <v>0.98321879999999995</v>
      </c>
      <c r="S6946">
        <v>8.1832890000000005E-2</v>
      </c>
      <c r="T6946">
        <v>2.0729300000000002E-3</v>
      </c>
      <c r="U6946">
        <v>3.0541689999999999</v>
      </c>
      <c r="V6946">
        <v>-1.773516E-2</v>
      </c>
      <c r="W6946">
        <v>0.18499470000000001</v>
      </c>
      <c r="X6946">
        <v>0.98257950000000005</v>
      </c>
      <c r="Y6946">
        <v>5.4984329999999998E-2</v>
      </c>
      <c r="Z6946">
        <v>9.1705310000000009E-3</v>
      </c>
      <c r="AA6946">
        <v>0.99844509999999997</v>
      </c>
      <c r="AB6946">
        <v>34</v>
      </c>
      <c r="AC6946">
        <v>10.278600000000001</v>
      </c>
      <c r="AD6946">
        <v>0.26025700000000002</v>
      </c>
      <c r="AE6946">
        <v>382.92879299999998</v>
      </c>
      <c r="AF6946">
        <v>21.0822193223459</v>
      </c>
      <c r="AG6946">
        <v>0.26025700000000002</v>
      </c>
      <c r="AH6946">
        <v>382.48596665436401</v>
      </c>
      <c r="AI6946">
        <v>89.9610730152408</v>
      </c>
      <c r="AJ6946">
        <v>86.845109994790405</v>
      </c>
      <c r="AK6946">
        <v>383.06662918190199</v>
      </c>
      <c r="AL6946">
        <v>79.339176866486298</v>
      </c>
      <c r="AM6946">
        <v>91.0340532128088</v>
      </c>
      <c r="AN6946">
        <v>1.0000000243742799</v>
      </c>
    </row>
    <row r="6947" spans="1:40" x14ac:dyDescent="0.25">
      <c r="A6947" t="str">
        <f>"20190304155809824"</f>
        <v>20190304155809824</v>
      </c>
      <c r="B6947" t="str">
        <f>"1551686289821601"</f>
        <v>1551686289821601</v>
      </c>
      <c r="C6947" t="s">
        <v>40</v>
      </c>
      <c r="D6947">
        <v>4.7149419999999997</v>
      </c>
      <c r="E6947">
        <v>0.52731380000000005</v>
      </c>
      <c r="F6947" t="s">
        <v>52</v>
      </c>
      <c r="G6947">
        <v>-175.91849999999999</v>
      </c>
      <c r="H6947">
        <v>1.860903</v>
      </c>
      <c r="I6947">
        <v>391.00349999999997</v>
      </c>
      <c r="J6947">
        <v>-187.03370000000001</v>
      </c>
      <c r="K6947">
        <v>1.1089979999999999</v>
      </c>
      <c r="L6947">
        <v>8.4368590000000001</v>
      </c>
      <c r="M6947">
        <v>-2.7574629999999999E-2</v>
      </c>
      <c r="N6947">
        <v>-8.4991559999999904E-3</v>
      </c>
      <c r="O6947">
        <v>0.99958360000000002</v>
      </c>
      <c r="P6947">
        <v>-4.5029029999999998E-2</v>
      </c>
      <c r="Q6947">
        <v>0.1772175</v>
      </c>
      <c r="R6947">
        <v>0.98314109999999999</v>
      </c>
      <c r="S6947">
        <v>8.857727E-2</v>
      </c>
      <c r="T6947">
        <v>5.9962269999999998E-3</v>
      </c>
      <c r="U6947">
        <v>3.05423</v>
      </c>
      <c r="V6947">
        <v>-1.773595E-2</v>
      </c>
      <c r="W6947">
        <v>0.18559030000000001</v>
      </c>
      <c r="X6947">
        <v>0.98246710000000004</v>
      </c>
      <c r="Y6947">
        <v>5.653917E-2</v>
      </c>
      <c r="Z6947">
        <v>1.0462620000000001E-2</v>
      </c>
      <c r="AA6947">
        <v>0.99834560000000006</v>
      </c>
      <c r="AB6947">
        <v>34</v>
      </c>
      <c r="AC6947">
        <v>11.1152</v>
      </c>
      <c r="AD6947">
        <v>0.75190500000000005</v>
      </c>
      <c r="AE6947">
        <v>382.566641</v>
      </c>
      <c r="AF6947">
        <v>21.6604042823528</v>
      </c>
      <c r="AG6947">
        <v>0.75190500000000005</v>
      </c>
      <c r="AH6947">
        <v>382.11317518200798</v>
      </c>
      <c r="AI6947">
        <v>89.887436808779199</v>
      </c>
      <c r="AJ6947">
        <v>86.755612986708599</v>
      </c>
      <c r="AK6947">
        <v>382.72734044287898</v>
      </c>
      <c r="AL6947">
        <v>79.3044494879246</v>
      </c>
      <c r="AM6947">
        <v>91.034217545294297</v>
      </c>
      <c r="AN6947">
        <v>0.99999996297945004</v>
      </c>
    </row>
    <row r="6948" spans="1:40" x14ac:dyDescent="0.25">
      <c r="A6948" t="str">
        <f>"20190304155809846"</f>
        <v>20190304155809846</v>
      </c>
      <c r="B6948" t="str">
        <f>"1551686289841122"</f>
        <v>1551686289841122</v>
      </c>
      <c r="C6948" t="s">
        <v>40</v>
      </c>
      <c r="D6948">
        <v>4.7007019999999997</v>
      </c>
      <c r="E6948">
        <v>0.52807939999999998</v>
      </c>
      <c r="F6948" t="s">
        <v>52</v>
      </c>
      <c r="G6948">
        <v>-174.57169999999999</v>
      </c>
      <c r="H6948">
        <v>2.7518370000000001</v>
      </c>
      <c r="I6948">
        <v>391.00349999999997</v>
      </c>
      <c r="J6948">
        <v>-187.04259999999999</v>
      </c>
      <c r="K6948">
        <v>1.1088979999999999</v>
      </c>
      <c r="L6948">
        <v>8.7799379999999996</v>
      </c>
      <c r="M6948">
        <v>-2.6863640000000001E-2</v>
      </c>
      <c r="N6948">
        <v>-8.5081189999999998E-3</v>
      </c>
      <c r="O6948">
        <v>0.99960289999999996</v>
      </c>
      <c r="P6948">
        <v>-4.4232130000000001E-2</v>
      </c>
      <c r="Q6948">
        <v>0.17779329999999999</v>
      </c>
      <c r="R6948">
        <v>0.98307330000000004</v>
      </c>
      <c r="S6948">
        <v>9.9472050000000006E-2</v>
      </c>
      <c r="T6948">
        <v>1.3113140000000001E-2</v>
      </c>
      <c r="U6948">
        <v>3.0536500000000002</v>
      </c>
      <c r="V6948">
        <v>-1.7592469999999999E-2</v>
      </c>
      <c r="W6948">
        <v>0.1861787</v>
      </c>
      <c r="X6948">
        <v>0.98235839999999996</v>
      </c>
      <c r="Y6948">
        <v>5.9392430000000003E-2</v>
      </c>
      <c r="Z6948">
        <v>1.279857E-2</v>
      </c>
      <c r="AA6948">
        <v>0.9981527</v>
      </c>
      <c r="AB6948">
        <v>34</v>
      </c>
      <c r="AC6948">
        <v>12.4709</v>
      </c>
      <c r="AD6948">
        <v>1.6429389999999999</v>
      </c>
      <c r="AE6948">
        <v>382.22356200000002</v>
      </c>
      <c r="AF6948">
        <v>22.734267247601998</v>
      </c>
      <c r="AG6948">
        <v>1.6429389999999999</v>
      </c>
      <c r="AH6948">
        <v>381.74353883180203</v>
      </c>
      <c r="AI6948">
        <v>89.753849387255002</v>
      </c>
      <c r="AJ6948">
        <v>86.591845649417905</v>
      </c>
      <c r="AK6948">
        <v>382.42342448609401</v>
      </c>
      <c r="AL6948">
        <v>79.270139228207</v>
      </c>
      <c r="AM6948">
        <v>91.025966232721103</v>
      </c>
      <c r="AN6948">
        <v>1.0000000146924699</v>
      </c>
    </row>
    <row r="6949" spans="1:40" x14ac:dyDescent="0.25">
      <c r="A6949" t="str">
        <f>"20190304155809868"</f>
        <v>20190304155809868</v>
      </c>
      <c r="B6949" t="str">
        <f>"1551686289861617"</f>
        <v>1551686289861617</v>
      </c>
      <c r="C6949" t="s">
        <v>40</v>
      </c>
      <c r="D6949">
        <v>4.7147259999999998</v>
      </c>
      <c r="E6949">
        <v>0.52874330000000003</v>
      </c>
      <c r="F6949" t="s">
        <v>46</v>
      </c>
      <c r="G6949">
        <v>0</v>
      </c>
      <c r="H6949">
        <v>0</v>
      </c>
      <c r="I6949">
        <v>0</v>
      </c>
      <c r="J6949">
        <v>-187.05080000000001</v>
      </c>
      <c r="K6949">
        <v>1.108811</v>
      </c>
      <c r="L6949">
        <v>9.1090999999999998</v>
      </c>
      <c r="M6949">
        <v>-2.6116460000000001E-2</v>
      </c>
      <c r="N6949">
        <v>-8.5164660000000003E-3</v>
      </c>
      <c r="O6949">
        <v>0.99962260000000003</v>
      </c>
      <c r="P6949">
        <v>-4.3540790000000003E-2</v>
      </c>
      <c r="Q6949">
        <v>0.17753849999999999</v>
      </c>
      <c r="R6949">
        <v>0.98315019999999997</v>
      </c>
      <c r="S6949">
        <v>0.1077881</v>
      </c>
      <c r="T6949">
        <v>1.6894099999999999E-2</v>
      </c>
      <c r="U6949">
        <v>3.053436</v>
      </c>
      <c r="V6949">
        <v>-1.7596110000000002E-2</v>
      </c>
      <c r="W6949">
        <v>0.18593599999999999</v>
      </c>
      <c r="X6949">
        <v>0.98240430000000001</v>
      </c>
      <c r="Y6949">
        <v>6.1363479999999998E-2</v>
      </c>
      <c r="Z6949">
        <v>1.404303E-2</v>
      </c>
      <c r="AA6949">
        <v>0.99801669999999998</v>
      </c>
      <c r="AB6949">
        <v>34</v>
      </c>
      <c r="AC6949">
        <v>0.1077881</v>
      </c>
      <c r="AD6949">
        <v>1.6894099999999999E-2</v>
      </c>
      <c r="AE6949">
        <v>3.053436</v>
      </c>
      <c r="AF6949">
        <v>0.18749343273807201</v>
      </c>
      <c r="AG6949">
        <v>1.6894099999999999E-2</v>
      </c>
      <c r="AH6949">
        <v>3.0494860383719402</v>
      </c>
      <c r="AI6949">
        <v>89.683183860720604</v>
      </c>
      <c r="AJ6949">
        <v>86.481677118276394</v>
      </c>
      <c r="AK6949">
        <v>3.0552911966226901</v>
      </c>
      <c r="AL6949">
        <v>79.284292029172704</v>
      </c>
      <c r="AM6949">
        <v>91.026130531655696</v>
      </c>
      <c r="AN6949">
        <v>1.0000000139208101</v>
      </c>
    </row>
    <row r="6950" spans="1:40" x14ac:dyDescent="0.25">
      <c r="A6950" t="str">
        <f>"20190304155809889"</f>
        <v>20190304155809889</v>
      </c>
      <c r="B6950" t="str">
        <f>"1551686289881138"</f>
        <v>1551686289881138</v>
      </c>
      <c r="C6950" t="s">
        <v>40</v>
      </c>
      <c r="D6950">
        <v>4.7052930000000002</v>
      </c>
      <c r="E6950">
        <v>0.52939269999999905</v>
      </c>
      <c r="F6950" t="s">
        <v>46</v>
      </c>
      <c r="G6950">
        <v>0</v>
      </c>
      <c r="H6950">
        <v>0</v>
      </c>
      <c r="I6950">
        <v>0</v>
      </c>
      <c r="J6950">
        <v>-187.05869999999999</v>
      </c>
      <c r="K6950">
        <v>1.108746</v>
      </c>
      <c r="L6950">
        <v>9.4395749999999996</v>
      </c>
      <c r="M6950">
        <v>-2.5322549999999999E-2</v>
      </c>
      <c r="N6950">
        <v>-8.524574E-3</v>
      </c>
      <c r="O6950">
        <v>0.99964299999999995</v>
      </c>
      <c r="P6950">
        <v>-4.2773230000000002E-2</v>
      </c>
      <c r="Q6950">
        <v>0.17750279999999999</v>
      </c>
      <c r="R6950">
        <v>0.98319040000000002</v>
      </c>
      <c r="S6950">
        <v>0.115356399999999</v>
      </c>
      <c r="T6950">
        <v>1.8914819999999999E-2</v>
      </c>
      <c r="U6950">
        <v>3.0531009999999998</v>
      </c>
      <c r="V6950">
        <v>-1.7578389999999999E-2</v>
      </c>
      <c r="W6950">
        <v>0.1859112</v>
      </c>
      <c r="X6950">
        <v>0.98240930000000004</v>
      </c>
      <c r="Y6950">
        <v>6.3045030000000002E-2</v>
      </c>
      <c r="Z6950">
        <v>1.4712080000000001E-2</v>
      </c>
      <c r="AA6950">
        <v>0.99790219999999996</v>
      </c>
      <c r="AB6950">
        <v>34</v>
      </c>
      <c r="AC6950">
        <v>0.115356399999999</v>
      </c>
      <c r="AD6950">
        <v>1.8914819999999999E-2</v>
      </c>
      <c r="AE6950">
        <v>3.0531009999999998</v>
      </c>
      <c r="AF6950">
        <v>0.19262713442179899</v>
      </c>
      <c r="AG6950">
        <v>1.8914819999999999E-2</v>
      </c>
      <c r="AH6950">
        <v>3.0490838136413401</v>
      </c>
      <c r="AI6950">
        <v>89.645280555748201</v>
      </c>
      <c r="AJ6950">
        <v>86.385119416652799</v>
      </c>
      <c r="AK6950">
        <v>3.0552209553387102</v>
      </c>
      <c r="AL6950">
        <v>79.285738065244402</v>
      </c>
      <c r="AM6950">
        <v>91.025092180850194</v>
      </c>
      <c r="AN6950">
        <v>1.00000000340346</v>
      </c>
    </row>
    <row r="6951" spans="1:40" x14ac:dyDescent="0.25">
      <c r="A6951" t="str">
        <f>"20190304155809911"</f>
        <v>20190304155809911</v>
      </c>
      <c r="B6951" t="str">
        <f>"1551686289901633"</f>
        <v>1551686289901633</v>
      </c>
      <c r="C6951" t="s">
        <v>40</v>
      </c>
      <c r="D6951">
        <v>4.6995189999999996</v>
      </c>
      <c r="E6951">
        <v>0.53002649999999996</v>
      </c>
      <c r="F6951" t="s">
        <v>46</v>
      </c>
      <c r="G6951">
        <v>0</v>
      </c>
      <c r="H6951">
        <v>0</v>
      </c>
      <c r="I6951">
        <v>0</v>
      </c>
      <c r="J6951">
        <v>-187.06639999999999</v>
      </c>
      <c r="K6951">
        <v>1.1086819999999999</v>
      </c>
      <c r="L6951">
        <v>9.7691649999999992</v>
      </c>
      <c r="M6951">
        <v>-2.450068E-2</v>
      </c>
      <c r="N6951">
        <v>-8.5325829999999998E-3</v>
      </c>
      <c r="O6951">
        <v>0.99966339999999998</v>
      </c>
      <c r="P6951">
        <v>-4.2061040000000001E-2</v>
      </c>
      <c r="Q6951">
        <v>0.17662259999999999</v>
      </c>
      <c r="R6951">
        <v>0.98337949999999996</v>
      </c>
      <c r="S6951">
        <v>0.12306209999999999</v>
      </c>
      <c r="T6951">
        <v>2.1057610000000001E-2</v>
      </c>
      <c r="U6951">
        <v>3.0528559999999998</v>
      </c>
      <c r="V6951">
        <v>-1.764926E-2</v>
      </c>
      <c r="W6951">
        <v>0.1850425</v>
      </c>
      <c r="X6951">
        <v>0.982572</v>
      </c>
      <c r="Y6951">
        <v>6.4742129999999995E-2</v>
      </c>
      <c r="Z6951">
        <v>1.5420710000000001E-2</v>
      </c>
      <c r="AA6951">
        <v>0.99778290000000003</v>
      </c>
      <c r="AB6951">
        <v>34</v>
      </c>
      <c r="AC6951">
        <v>0.12306209999999999</v>
      </c>
      <c r="AD6951">
        <v>2.1057610000000001E-2</v>
      </c>
      <c r="AE6951">
        <v>3.0528559999999998</v>
      </c>
      <c r="AF6951">
        <v>0.197815530147573</v>
      </c>
      <c r="AG6951">
        <v>2.1057610000000001E-2</v>
      </c>
      <c r="AH6951">
        <v>3.0487794722694801</v>
      </c>
      <c r="AI6951">
        <v>89.605100504469604</v>
      </c>
      <c r="AJ6951">
        <v>86.2876520677912</v>
      </c>
      <c r="AK6951">
        <v>3.05526278369606</v>
      </c>
      <c r="AL6951">
        <v>79.336389525798197</v>
      </c>
      <c r="AM6951">
        <v>91.029053723143605</v>
      </c>
      <c r="AN6951">
        <v>0.99999997918439798</v>
      </c>
    </row>
    <row r="6952" spans="1:40" x14ac:dyDescent="0.25">
      <c r="A6952" t="str">
        <f>"20190304155809932"</f>
        <v>20190304155809932</v>
      </c>
      <c r="B6952" t="str">
        <f>"1551686289921154"</f>
        <v>1551686289921154</v>
      </c>
      <c r="C6952" t="s">
        <v>40</v>
      </c>
      <c r="D6952">
        <v>4.7220040000000001</v>
      </c>
      <c r="E6952">
        <v>0.53064489999999997</v>
      </c>
      <c r="F6952" t="s">
        <v>46</v>
      </c>
      <c r="G6952">
        <v>0</v>
      </c>
      <c r="H6952">
        <v>0</v>
      </c>
      <c r="I6952">
        <v>0</v>
      </c>
      <c r="J6952">
        <v>-187.07390000000001</v>
      </c>
      <c r="K6952">
        <v>1.1086389999999999</v>
      </c>
      <c r="L6952">
        <v>10.105650000000001</v>
      </c>
      <c r="M6952">
        <v>-2.3644200000000001E-2</v>
      </c>
      <c r="N6952">
        <v>-8.5407339999999995E-3</v>
      </c>
      <c r="O6952">
        <v>0.99968400000000002</v>
      </c>
      <c r="P6952">
        <v>-4.1381330000000001E-2</v>
      </c>
      <c r="Q6952">
        <v>0.17610329999999999</v>
      </c>
      <c r="R6952">
        <v>0.98350150000000003</v>
      </c>
      <c r="S6952">
        <v>0.1300964</v>
      </c>
      <c r="T6952">
        <v>2.0265100000000001E-2</v>
      </c>
      <c r="U6952">
        <v>3.0526430000000002</v>
      </c>
      <c r="V6952">
        <v>-1.7794359999999999E-2</v>
      </c>
      <c r="W6952">
        <v>0.184534</v>
      </c>
      <c r="X6952">
        <v>0.98266500000000001</v>
      </c>
      <c r="Y6952">
        <v>6.6185270000000004E-2</v>
      </c>
      <c r="Z6952">
        <v>1.516994E-2</v>
      </c>
      <c r="AA6952">
        <v>0.99769200000000002</v>
      </c>
      <c r="AB6952">
        <v>34</v>
      </c>
      <c r="AC6952">
        <v>0.1300964</v>
      </c>
      <c r="AD6952">
        <v>2.0265100000000001E-2</v>
      </c>
      <c r="AE6952">
        <v>3.0526430000000002</v>
      </c>
      <c r="AF6952">
        <v>0.20223106186543299</v>
      </c>
      <c r="AG6952">
        <v>2.0265100000000001E-2</v>
      </c>
      <c r="AH6952">
        <v>3.0485792858308001</v>
      </c>
      <c r="AI6952">
        <v>89.6199733413725</v>
      </c>
      <c r="AJ6952">
        <v>86.204778077456197</v>
      </c>
      <c r="AK6952">
        <v>3.0553467460597399</v>
      </c>
      <c r="AL6952">
        <v>79.366034867757804</v>
      </c>
      <c r="AM6952">
        <v>91.037413879578494</v>
      </c>
      <c r="AN6952">
        <v>0.99999996931440405</v>
      </c>
    </row>
    <row r="6953" spans="1:40" x14ac:dyDescent="0.25">
      <c r="A6953" t="str">
        <f>"20190304155809955"</f>
        <v>20190304155809955</v>
      </c>
      <c r="B6953" t="str">
        <f>"1551686289951409"</f>
        <v>1551686289951409</v>
      </c>
      <c r="C6953" t="s">
        <v>40</v>
      </c>
      <c r="D6953">
        <v>4.7904679999999997</v>
      </c>
      <c r="E6953">
        <v>0.53098400000000001</v>
      </c>
      <c r="F6953" t="s">
        <v>46</v>
      </c>
      <c r="G6953">
        <v>0</v>
      </c>
      <c r="H6953">
        <v>0</v>
      </c>
      <c r="I6953">
        <v>0</v>
      </c>
      <c r="J6953">
        <v>-187.0813</v>
      </c>
      <c r="K6953">
        <v>1.108611</v>
      </c>
      <c r="L6953">
        <v>10.454319999999999</v>
      </c>
      <c r="M6953">
        <v>-2.274928E-2</v>
      </c>
      <c r="N6953">
        <v>-8.5492309999999992E-3</v>
      </c>
      <c r="O6953">
        <v>0.9997047</v>
      </c>
      <c r="P6953">
        <v>-4.0774119999999997E-2</v>
      </c>
      <c r="Q6953">
        <v>0.1754704</v>
      </c>
      <c r="R6953">
        <v>0.98363999999999996</v>
      </c>
      <c r="S6953">
        <v>0.13781740000000001</v>
      </c>
      <c r="T6953">
        <v>1.967549E-2</v>
      </c>
      <c r="U6953">
        <v>3.0526119999999999</v>
      </c>
      <c r="V6953">
        <v>-1.805375E-2</v>
      </c>
      <c r="W6953">
        <v>0.1839121</v>
      </c>
      <c r="X6953">
        <v>0.98277689999999995</v>
      </c>
      <c r="Y6953">
        <v>6.7811029999999994E-2</v>
      </c>
      <c r="Z6953">
        <v>1.498534E-2</v>
      </c>
      <c r="AA6953">
        <v>0.99758570000000002</v>
      </c>
      <c r="AB6953">
        <v>35</v>
      </c>
      <c r="AC6953">
        <v>0.13781740000000001</v>
      </c>
      <c r="AD6953">
        <v>1.967549E-2</v>
      </c>
      <c r="AE6953">
        <v>3.0526119999999999</v>
      </c>
      <c r="AF6953">
        <v>0.207220398637044</v>
      </c>
      <c r="AG6953">
        <v>1.967549E-2</v>
      </c>
      <c r="AH6953">
        <v>3.0485601786760301</v>
      </c>
      <c r="AI6953">
        <v>89.631067913811293</v>
      </c>
      <c r="AJ6953">
        <v>86.111403910215401</v>
      </c>
      <c r="AK6953">
        <v>3.0556581257606799</v>
      </c>
      <c r="AL6953">
        <v>79.402288108796697</v>
      </c>
      <c r="AM6953">
        <v>91.052413162745296</v>
      </c>
      <c r="AN6953">
        <v>1.00000001679454</v>
      </c>
    </row>
    <row r="6954" spans="1:40" x14ac:dyDescent="0.25">
      <c r="A6954" t="str">
        <f>"20190304155809978"</f>
        <v>20190304155809978</v>
      </c>
      <c r="B6954" t="str">
        <f>"1551686289970930"</f>
        <v>1551686289970930</v>
      </c>
      <c r="C6954" t="s">
        <v>40</v>
      </c>
      <c r="D6954">
        <v>4.8129650000000002</v>
      </c>
      <c r="E6954">
        <v>0.508656</v>
      </c>
      <c r="F6954" t="s">
        <v>46</v>
      </c>
      <c r="G6954">
        <v>0</v>
      </c>
      <c r="H6954">
        <v>0</v>
      </c>
      <c r="I6954">
        <v>0</v>
      </c>
      <c r="J6954">
        <v>-187.08879999999999</v>
      </c>
      <c r="K6954">
        <v>1.1085860000000001</v>
      </c>
      <c r="L6954">
        <v>10.82208</v>
      </c>
      <c r="M6954">
        <v>-2.1804980000000002E-2</v>
      </c>
      <c r="N6954">
        <v>-8.5582869999999995E-3</v>
      </c>
      <c r="O6954">
        <v>0.99972559999999999</v>
      </c>
      <c r="P6954">
        <v>-3.993302E-2</v>
      </c>
      <c r="Q6954">
        <v>0.17463789999999901</v>
      </c>
      <c r="R6954">
        <v>0.98382259999999999</v>
      </c>
      <c r="S6954">
        <v>0.1426239</v>
      </c>
      <c r="T6954">
        <v>2.080309E-2</v>
      </c>
      <c r="U6954">
        <v>3.0520939999999999</v>
      </c>
      <c r="V6954">
        <v>-1.812921E-2</v>
      </c>
      <c r="W6954">
        <v>0.18309130000000001</v>
      </c>
      <c r="X6954">
        <v>0.98292880000000005</v>
      </c>
      <c r="Y6954">
        <v>6.8443809999999994E-2</v>
      </c>
      <c r="Z6954">
        <v>1.536391E-2</v>
      </c>
      <c r="AA6954">
        <v>0.99753670000000005</v>
      </c>
      <c r="AB6954">
        <v>35</v>
      </c>
      <c r="AC6954">
        <v>0.1426239</v>
      </c>
      <c r="AD6954">
        <v>2.080309E-2</v>
      </c>
      <c r="AE6954">
        <v>3.0520939999999999</v>
      </c>
      <c r="AF6954">
        <v>0.20913357973447599</v>
      </c>
      <c r="AG6954">
        <v>2.080309E-2</v>
      </c>
      <c r="AH6954">
        <v>3.0481169647159199</v>
      </c>
      <c r="AI6954">
        <v>89.609885284134293</v>
      </c>
      <c r="AJ6954">
        <v>86.075044918958099</v>
      </c>
      <c r="AK6954">
        <v>3.0553537689300501</v>
      </c>
      <c r="AL6954">
        <v>79.450129301915098</v>
      </c>
      <c r="AM6954">
        <v>91.056647701116702</v>
      </c>
      <c r="AN6954">
        <v>1.0000000591301701</v>
      </c>
    </row>
    <row r="6955" spans="1:40" x14ac:dyDescent="0.25">
      <c r="A6955" t="str">
        <f>"20190304155810011"</f>
        <v>20190304155810011</v>
      </c>
      <c r="B6955" t="str">
        <f>"1551686290001186"</f>
        <v>1551686290001186</v>
      </c>
      <c r="C6955" t="s">
        <v>40</v>
      </c>
      <c r="D6955">
        <v>4.7547079999999999</v>
      </c>
      <c r="E6955">
        <v>0.51261190000000001</v>
      </c>
      <c r="F6955" t="s">
        <v>41</v>
      </c>
      <c r="G6955">
        <v>-187.9067</v>
      </c>
      <c r="H6955" s="1">
        <v>-1.7789480000000001E-6</v>
      </c>
      <c r="I6955">
        <v>92.913989999999998</v>
      </c>
      <c r="J6955">
        <v>-187.0985</v>
      </c>
      <c r="K6955">
        <v>1.108555</v>
      </c>
      <c r="L6955">
        <v>11.324920000000001</v>
      </c>
      <c r="M6955">
        <v>-2.0519820000000001E-2</v>
      </c>
      <c r="N6955">
        <v>-8.5710819999999903E-3</v>
      </c>
      <c r="O6955">
        <v>0.99975270000000005</v>
      </c>
      <c r="P6955">
        <v>-3.8288089999999997E-2</v>
      </c>
      <c r="Q6955">
        <v>0.1741943</v>
      </c>
      <c r="R6955">
        <v>0.98396660000000002</v>
      </c>
      <c r="S6955">
        <v>-3.0441280000000001E-2</v>
      </c>
      <c r="T6955">
        <v>-4.1261079999999999E-2</v>
      </c>
      <c r="U6955">
        <v>3.0554199999999998</v>
      </c>
      <c r="V6955">
        <v>-1.7736479999999999E-2</v>
      </c>
      <c r="W6955">
        <v>0.1826615</v>
      </c>
      <c r="X6955">
        <v>0.98301590000000005</v>
      </c>
      <c r="Y6955">
        <v>1.055823E-2</v>
      </c>
      <c r="Z6955">
        <v>-4.9280979999999997E-3</v>
      </c>
      <c r="AA6955">
        <v>0.99993209999999999</v>
      </c>
      <c r="AB6955">
        <v>35</v>
      </c>
      <c r="AC6955">
        <v>-0.80819999999999903</v>
      </c>
      <c r="AD6955">
        <v>-1.108556778948</v>
      </c>
      <c r="AE6955">
        <v>81.589069999999893</v>
      </c>
      <c r="AF6955">
        <v>0.86606485477234796</v>
      </c>
      <c r="AG6955">
        <v>-1.108556778948</v>
      </c>
      <c r="AH6955">
        <v>81.573416910591405</v>
      </c>
      <c r="AI6955">
        <v>90.778539612712706</v>
      </c>
      <c r="AJ6955">
        <v>89.391713642767797</v>
      </c>
      <c r="AK6955">
        <v>81.585545980485904</v>
      </c>
      <c r="AL6955">
        <v>79.475177162289597</v>
      </c>
      <c r="AM6955">
        <v>91.033671167017602</v>
      </c>
      <c r="AN6955">
        <v>1.00000003297892</v>
      </c>
    </row>
    <row r="6956" spans="1:40" x14ac:dyDescent="0.25">
      <c r="A6956" t="str">
        <f>"20190304155810034"</f>
        <v>20190304155810034</v>
      </c>
      <c r="B6956" t="str">
        <f>"1551686290031442"</f>
        <v>1551686290031442</v>
      </c>
      <c r="C6956" t="s">
        <v>40</v>
      </c>
      <c r="D6956">
        <v>4.7577400000000001</v>
      </c>
      <c r="E6956">
        <v>0.51402300000000001</v>
      </c>
      <c r="F6956" t="s">
        <v>78</v>
      </c>
      <c r="G6956">
        <v>-186.88640000000001</v>
      </c>
      <c r="H6956" s="1">
        <v>-4.0820500000000002E-6</v>
      </c>
      <c r="I6956">
        <v>127.37090000000001</v>
      </c>
      <c r="J6956">
        <v>-187.10489999999999</v>
      </c>
      <c r="K6956">
        <v>1.1085469999999999</v>
      </c>
      <c r="L6956">
        <v>11.67737</v>
      </c>
      <c r="M6956">
        <v>-1.962361E-2</v>
      </c>
      <c r="N6956">
        <v>-8.5801409999999995E-3</v>
      </c>
      <c r="O6956">
        <v>0.99977059999999995</v>
      </c>
      <c r="P6956">
        <v>-3.7532580000000003E-2</v>
      </c>
      <c r="Q6956">
        <v>0.17526269999999999</v>
      </c>
      <c r="R6956">
        <v>0.98380599999999996</v>
      </c>
      <c r="S6956">
        <v>5.5847170000000003E-3</v>
      </c>
      <c r="T6956">
        <v>-2.9176589999999999E-2</v>
      </c>
      <c r="U6956">
        <v>3.0542600000000002</v>
      </c>
      <c r="V6956">
        <v>-1.7857979999999999E-2</v>
      </c>
      <c r="W6956">
        <v>0.18373719999999999</v>
      </c>
      <c r="X6956">
        <v>0.98281320000000005</v>
      </c>
      <c r="Y6956">
        <v>2.1450770000000001E-2</v>
      </c>
      <c r="Z6956">
        <v>-9.681968E-4</v>
      </c>
      <c r="AA6956">
        <v>0.99976940000000003</v>
      </c>
      <c r="AB6956">
        <v>35</v>
      </c>
      <c r="AC6956">
        <v>0.21849999999997699</v>
      </c>
      <c r="AD6956">
        <v>-1.10855108205</v>
      </c>
      <c r="AE6956">
        <v>115.69353</v>
      </c>
      <c r="AF6956">
        <v>2.48863777385204</v>
      </c>
      <c r="AG6956">
        <v>-1.10855108205</v>
      </c>
      <c r="AH6956">
        <v>115.656343862195</v>
      </c>
      <c r="AI6956">
        <v>90.549028733427903</v>
      </c>
      <c r="AJ6956">
        <v>88.767327098506101</v>
      </c>
      <c r="AK6956">
        <v>115.688426729043</v>
      </c>
      <c r="AL6956">
        <v>79.412482968549298</v>
      </c>
      <c r="AM6956">
        <v>91.040965162309007</v>
      </c>
      <c r="AN6956">
        <v>1.0000000261038799</v>
      </c>
    </row>
    <row r="6957" spans="1:40" x14ac:dyDescent="0.25">
      <c r="A6957" t="str">
        <f>"20190304155810058"</f>
        <v>20190304155810058</v>
      </c>
      <c r="B6957" t="str">
        <f>"1551686290050962"</f>
        <v>1551686290050962</v>
      </c>
      <c r="C6957" t="s">
        <v>40</v>
      </c>
      <c r="D6957">
        <v>4.8092329999999999</v>
      </c>
      <c r="E6957">
        <v>0.51477220000000001</v>
      </c>
      <c r="F6957" t="s">
        <v>41</v>
      </c>
      <c r="G6957">
        <v>-186.0171</v>
      </c>
      <c r="H6957" s="1">
        <v>-1.5172540000000001E-6</v>
      </c>
      <c r="I6957">
        <v>190.99250000000001</v>
      </c>
      <c r="J6957">
        <v>-187.11160000000001</v>
      </c>
      <c r="K6957">
        <v>1.108538</v>
      </c>
      <c r="L6957">
        <v>12.065770000000001</v>
      </c>
      <c r="M6957">
        <v>-1.8638470000000001E-2</v>
      </c>
      <c r="N6957">
        <v>-8.5900969999999997E-3</v>
      </c>
      <c r="O6957">
        <v>0.99978940000000005</v>
      </c>
      <c r="P6957">
        <v>-3.6788059999999997E-2</v>
      </c>
      <c r="Q6957">
        <v>0.1766703</v>
      </c>
      <c r="R6957">
        <v>0.98358239999999997</v>
      </c>
      <c r="S6957">
        <v>1.852417E-2</v>
      </c>
      <c r="T6957">
        <v>-1.887691E-2</v>
      </c>
      <c r="U6957">
        <v>3.0534669999999999</v>
      </c>
      <c r="V6957">
        <v>-1.8078980000000001E-2</v>
      </c>
      <c r="W6957">
        <v>0.18515400000000001</v>
      </c>
      <c r="X6957">
        <v>0.98254319999999895</v>
      </c>
      <c r="Y6957">
        <v>2.4702669999999999E-2</v>
      </c>
      <c r="Z6957">
        <v>2.411252E-3</v>
      </c>
      <c r="AA6957">
        <v>0.99969200000000003</v>
      </c>
      <c r="AB6957">
        <v>35</v>
      </c>
      <c r="AC6957">
        <v>1.09450000000001</v>
      </c>
      <c r="AD6957">
        <v>-1.108539517254</v>
      </c>
      <c r="AE6957">
        <v>178.92672999999999</v>
      </c>
      <c r="AF6957">
        <v>4.4291833479273404</v>
      </c>
      <c r="AG6957">
        <v>-1.108539517254</v>
      </c>
      <c r="AH6957">
        <v>178.86838008822099</v>
      </c>
      <c r="AI6957">
        <v>90.354978111074502</v>
      </c>
      <c r="AJ6957">
        <v>88.581517522583994</v>
      </c>
      <c r="AK6957">
        <v>178.926643964433</v>
      </c>
      <c r="AL6957">
        <v>79.329888899780002</v>
      </c>
      <c r="AM6957">
        <v>91.054134183828396</v>
      </c>
      <c r="AN6957">
        <v>0.99999999655004002</v>
      </c>
    </row>
    <row r="6958" spans="1:40" x14ac:dyDescent="0.25">
      <c r="A6958" t="str">
        <f>"20190304155810081"</f>
        <v>20190304155810081</v>
      </c>
      <c r="B6958" t="str">
        <f>"1551686290071458"</f>
        <v>1551686290071458</v>
      </c>
      <c r="C6958" t="s">
        <v>40</v>
      </c>
      <c r="D6958">
        <v>4.7814160000000001</v>
      </c>
      <c r="E6958">
        <v>0.51544719999999999</v>
      </c>
      <c r="F6958" t="s">
        <v>41</v>
      </c>
      <c r="G6958">
        <v>-184.5737</v>
      </c>
      <c r="H6958" s="1">
        <v>-4.4018979999999997E-6</v>
      </c>
      <c r="I6958">
        <v>307.64999999999998</v>
      </c>
      <c r="J6958">
        <v>-187.1173</v>
      </c>
      <c r="K6958">
        <v>1.1085320000000001</v>
      </c>
      <c r="L6958">
        <v>12.41513</v>
      </c>
      <c r="M6958">
        <v>-1.77530999999999E-2</v>
      </c>
      <c r="N6958">
        <v>-8.5991049999999992E-3</v>
      </c>
      <c r="O6958">
        <v>0.99980550000000001</v>
      </c>
      <c r="P6958">
        <v>-3.632266E-2</v>
      </c>
      <c r="Q6958">
        <v>0.17780650000000001</v>
      </c>
      <c r="R6958">
        <v>0.98339489999999996</v>
      </c>
      <c r="S6958">
        <v>2.62145999999999E-2</v>
      </c>
      <c r="T6958">
        <v>-1.1450170000000001E-2</v>
      </c>
      <c r="U6958">
        <v>3.0531009999999998</v>
      </c>
      <c r="V6958">
        <v>-1.848205E-2</v>
      </c>
      <c r="W6958">
        <v>0.1862982</v>
      </c>
      <c r="X6958">
        <v>0.98231939999999995</v>
      </c>
      <c r="Y6958">
        <v>2.6336160000000001E-2</v>
      </c>
      <c r="Z6958">
        <v>4.851129E-3</v>
      </c>
      <c r="AA6958">
        <v>0.99964140000000001</v>
      </c>
      <c r="AB6958">
        <v>35</v>
      </c>
      <c r="AC6958">
        <v>2.5435999999999899</v>
      </c>
      <c r="AD6958">
        <v>-1.108536401898</v>
      </c>
      <c r="AE6958">
        <v>295.23487</v>
      </c>
      <c r="AF6958">
        <v>7.7846169204877498</v>
      </c>
      <c r="AG6958">
        <v>-1.108536401898</v>
      </c>
      <c r="AH6958">
        <v>295.139018854401</v>
      </c>
      <c r="AI6958">
        <v>90.215126001325302</v>
      </c>
      <c r="AJ6958">
        <v>88.489110974281502</v>
      </c>
      <c r="AK6958">
        <v>295.24374601994799</v>
      </c>
      <c r="AL6958">
        <v>79.263170350985305</v>
      </c>
      <c r="AM6958">
        <v>91.077876030319004</v>
      </c>
      <c r="AN6958">
        <v>1.0000000045559001</v>
      </c>
    </row>
    <row r="6959" spans="1:40" x14ac:dyDescent="0.25">
      <c r="A6959" t="str">
        <f>"20190304155810102"</f>
        <v>20190304155810102</v>
      </c>
      <c r="B6959" t="str">
        <f>"1551686290090978"</f>
        <v>1551686290090978</v>
      </c>
      <c r="C6959" t="s">
        <v>40</v>
      </c>
      <c r="D6959">
        <v>4.7013299999999996</v>
      </c>
      <c r="E6959">
        <v>0.51573219999999997</v>
      </c>
      <c r="F6959" t="s">
        <v>52</v>
      </c>
      <c r="G6959">
        <v>-183.07230000000001</v>
      </c>
      <c r="H6959">
        <v>0.18477250000000001</v>
      </c>
      <c r="I6959">
        <v>391.87</v>
      </c>
      <c r="J6959">
        <v>-187.12219999999999</v>
      </c>
      <c r="K6959">
        <v>1.1085259999999999</v>
      </c>
      <c r="L6959">
        <v>12.73288</v>
      </c>
      <c r="M6959">
        <v>-1.6947960000000001E-2</v>
      </c>
      <c r="N6959">
        <v>-8.6073409999999993E-3</v>
      </c>
      <c r="O6959">
        <v>0.99981929999999997</v>
      </c>
      <c r="P6959">
        <v>-3.5823359999999999E-2</v>
      </c>
      <c r="Q6959">
        <v>0.17811250000000001</v>
      </c>
      <c r="R6959">
        <v>0.98335779999999995</v>
      </c>
      <c r="S6959">
        <v>3.2547E-2</v>
      </c>
      <c r="T6959">
        <v>-7.4328179999999999E-3</v>
      </c>
      <c r="U6959">
        <v>3.0531920000000001</v>
      </c>
      <c r="V6959">
        <v>-1.8772259999999999E-2</v>
      </c>
      <c r="W6959">
        <v>0.18661249999999999</v>
      </c>
      <c r="X6959">
        <v>0.98225419999999997</v>
      </c>
      <c r="Y6959">
        <v>2.7603969999999999E-2</v>
      </c>
      <c r="Z6959">
        <v>6.1748059999999997E-3</v>
      </c>
      <c r="AA6959">
        <v>0.99959989999999999</v>
      </c>
      <c r="AB6959">
        <v>35</v>
      </c>
      <c r="AC6959">
        <v>4.0498999999999796</v>
      </c>
      <c r="AD6959">
        <v>-0.92375350000000001</v>
      </c>
      <c r="AE6959">
        <v>379.13711999999998</v>
      </c>
      <c r="AF6959">
        <v>10.4750950404432</v>
      </c>
      <c r="AG6959">
        <v>-0.92375350000000001</v>
      </c>
      <c r="AH6959">
        <v>379.01177186195099</v>
      </c>
      <c r="AI6959">
        <v>90.139591625787006</v>
      </c>
      <c r="AJ6959">
        <v>88.416867142432395</v>
      </c>
      <c r="AK6959">
        <v>379.15762440780497</v>
      </c>
      <c r="AL6959">
        <v>79.244840454919</v>
      </c>
      <c r="AM6959">
        <v>91.094869687790606</v>
      </c>
      <c r="AN6959">
        <v>0.99999996815969805</v>
      </c>
    </row>
    <row r="6960" spans="1:40" x14ac:dyDescent="0.25">
      <c r="A6960" t="str">
        <f>"20190304155810123"</f>
        <v>20190304155810123</v>
      </c>
      <c r="B6960" t="str">
        <f>"1551686290111853"</f>
        <v>1551686290111853</v>
      </c>
      <c r="C6960" t="s">
        <v>40</v>
      </c>
      <c r="D6960">
        <v>4.7148680000000001</v>
      </c>
      <c r="E6960">
        <v>0.51584180000000002</v>
      </c>
      <c r="F6960" t="s">
        <v>52</v>
      </c>
      <c r="G6960">
        <v>-182.62989999999999</v>
      </c>
      <c r="H6960">
        <v>0.27314949999999999</v>
      </c>
      <c r="I6960">
        <v>391.87</v>
      </c>
      <c r="J6960">
        <v>-187.12729999999999</v>
      </c>
      <c r="K6960">
        <v>1.1085160000000001</v>
      </c>
      <c r="L6960">
        <v>13.08145</v>
      </c>
      <c r="M6960">
        <v>-1.6064740000000001E-2</v>
      </c>
      <c r="N6960">
        <v>-8.6164309999999904E-3</v>
      </c>
      <c r="O6960">
        <v>0.99983379999999999</v>
      </c>
      <c r="P6960">
        <v>-3.5287739999999998E-2</v>
      </c>
      <c r="Q6960">
        <v>0.17794289999999999</v>
      </c>
      <c r="R6960">
        <v>0.9834079</v>
      </c>
      <c r="S6960">
        <v>3.6178589999999997E-2</v>
      </c>
      <c r="T6960">
        <v>-6.7275759999999999E-3</v>
      </c>
      <c r="U6960">
        <v>3.0533139999999999</v>
      </c>
      <c r="V6960">
        <v>-1.9102580000000001E-2</v>
      </c>
      <c r="W6960">
        <v>0.1864528</v>
      </c>
      <c r="X6960">
        <v>0.98227819999999999</v>
      </c>
      <c r="Y6960">
        <v>2.7909260000000002E-2</v>
      </c>
      <c r="Z6960">
        <v>6.4148819999999898E-3</v>
      </c>
      <c r="AA6960">
        <v>0.99958990000000003</v>
      </c>
      <c r="AB6960">
        <v>35</v>
      </c>
      <c r="AC6960">
        <v>4.4973999999999901</v>
      </c>
      <c r="AD6960">
        <v>-0.83536650000000001</v>
      </c>
      <c r="AE6960">
        <v>378.78854999999999</v>
      </c>
      <c r="AF6960">
        <v>10.5821337595278</v>
      </c>
      <c r="AG6960">
        <v>-0.83536650000000001</v>
      </c>
      <c r="AH6960">
        <v>378.665571446309</v>
      </c>
      <c r="AI6960">
        <v>90.126349533714901</v>
      </c>
      <c r="AJ6960">
        <v>88.399236991555298</v>
      </c>
      <c r="AK6960">
        <v>378.814327066511</v>
      </c>
      <c r="AL6960">
        <v>79.254154497198002</v>
      </c>
      <c r="AM6960">
        <v>91.114103179278601</v>
      </c>
      <c r="AN6960">
        <v>1.00000000869286</v>
      </c>
    </row>
    <row r="6961" spans="1:40" x14ac:dyDescent="0.25">
      <c r="A6961" t="str">
        <f>"20190304155810146"</f>
        <v>20190304155810146</v>
      </c>
      <c r="B6961" t="str">
        <f>"1551686290141133"</f>
        <v>1551686290141133</v>
      </c>
      <c r="C6961" t="s">
        <v>40</v>
      </c>
      <c r="D6961">
        <v>4.7451439999999998</v>
      </c>
      <c r="E6961">
        <v>0.51622869999999998</v>
      </c>
      <c r="F6961" t="s">
        <v>52</v>
      </c>
      <c r="G6961">
        <v>-182.36060000000001</v>
      </c>
      <c r="H6961">
        <v>0.2948151</v>
      </c>
      <c r="I6961">
        <v>391.87</v>
      </c>
      <c r="J6961">
        <v>-187.13200000000001</v>
      </c>
      <c r="K6961">
        <v>1.1085130000000001</v>
      </c>
      <c r="L6961">
        <v>13.423159999999999</v>
      </c>
      <c r="M6961">
        <v>-1.5198929999999999E-2</v>
      </c>
      <c r="N6961">
        <v>-8.6253230000000007E-3</v>
      </c>
      <c r="O6961">
        <v>0.99984729999999999</v>
      </c>
      <c r="P6961">
        <v>-3.4933659999999998E-2</v>
      </c>
      <c r="Q6961">
        <v>0.17801139999999999</v>
      </c>
      <c r="R6961">
        <v>0.98340819999999995</v>
      </c>
      <c r="S6961">
        <v>3.8421629999999998E-2</v>
      </c>
      <c r="T6961">
        <v>-6.5587759999999997E-3</v>
      </c>
      <c r="U6961">
        <v>3.0531920000000001</v>
      </c>
      <c r="V6961">
        <v>-1.9598299999999999E-2</v>
      </c>
      <c r="W6961">
        <v>0.18653149999999999</v>
      </c>
      <c r="X6961">
        <v>0.9822535</v>
      </c>
      <c r="Y6961">
        <v>2.777837E-2</v>
      </c>
      <c r="Z6961">
        <v>6.478915E-3</v>
      </c>
      <c r="AA6961">
        <v>0.99959310000000001</v>
      </c>
      <c r="AB6961">
        <v>35</v>
      </c>
      <c r="AC6961">
        <v>4.7713999999999999</v>
      </c>
      <c r="AD6961">
        <v>-0.81369789999999897</v>
      </c>
      <c r="AE6961">
        <v>378.44684000000001</v>
      </c>
      <c r="AF6961">
        <v>10.523001100534</v>
      </c>
      <c r="AG6961">
        <v>-0.81369789999999897</v>
      </c>
      <c r="AH6961">
        <v>378.32885062128099</v>
      </c>
      <c r="AI6961">
        <v>90.123182146633496</v>
      </c>
      <c r="AJ6961">
        <v>88.406761367548398</v>
      </c>
      <c r="AK6961">
        <v>378.476042661691</v>
      </c>
      <c r="AL6961">
        <v>79.249564879936699</v>
      </c>
      <c r="AM6961">
        <v>91.143035787882198</v>
      </c>
      <c r="AN6961">
        <v>1.0000000160586899</v>
      </c>
    </row>
    <row r="6962" spans="1:40" x14ac:dyDescent="0.25">
      <c r="A6962" t="str">
        <f>"20190304155810167"</f>
        <v>20190304155810167</v>
      </c>
      <c r="B6962" t="str">
        <f>"1551686290161629"</f>
        <v>1551686290161629</v>
      </c>
      <c r="C6962" t="s">
        <v>40</v>
      </c>
      <c r="D6962">
        <v>4.5207860000000002</v>
      </c>
      <c r="E6962">
        <v>0.51635679999999995</v>
      </c>
      <c r="F6962" t="s">
        <v>52</v>
      </c>
      <c r="G6962">
        <v>-181.78399999999999</v>
      </c>
      <c r="H6962">
        <v>0.1209335</v>
      </c>
      <c r="I6962">
        <v>391.87</v>
      </c>
      <c r="J6962">
        <v>-187.13659999999999</v>
      </c>
      <c r="K6962">
        <v>1.1085160000000001</v>
      </c>
      <c r="L6962">
        <v>13.7807</v>
      </c>
      <c r="M6962">
        <v>-1.4294019999999999E-2</v>
      </c>
      <c r="N6962">
        <v>-8.634592E-3</v>
      </c>
      <c r="O6962">
        <v>0.99986050000000004</v>
      </c>
      <c r="P6962">
        <v>-3.482594E-2</v>
      </c>
      <c r="Q6962">
        <v>0.178507</v>
      </c>
      <c r="R6962">
        <v>0.98332209999999998</v>
      </c>
      <c r="S6962">
        <v>4.315186E-2</v>
      </c>
      <c r="T6962">
        <v>-7.9685450000000005E-3</v>
      </c>
      <c r="U6962">
        <v>3.0535890000000001</v>
      </c>
      <c r="V6962">
        <v>-2.037943E-2</v>
      </c>
      <c r="W6962">
        <v>0.18703690000000001</v>
      </c>
      <c r="X6962">
        <v>0.9821415</v>
      </c>
      <c r="Y6962">
        <v>2.8420170000000002E-2</v>
      </c>
      <c r="Z6962">
        <v>6.0270339999999997E-3</v>
      </c>
      <c r="AA6962">
        <v>0.99957790000000002</v>
      </c>
      <c r="AB6962">
        <v>35</v>
      </c>
      <c r="AC6962">
        <v>5.3525999999999598</v>
      </c>
      <c r="AD6962">
        <v>-0.98758250000000003</v>
      </c>
      <c r="AE6962">
        <v>378.08929999999998</v>
      </c>
      <c r="AF6962">
        <v>10.756597515922101</v>
      </c>
      <c r="AG6962">
        <v>-0.98758250000000003</v>
      </c>
      <c r="AH6962">
        <v>377.97157841919898</v>
      </c>
      <c r="AI6962">
        <v>90.149644269240696</v>
      </c>
      <c r="AJ6962">
        <v>88.369873892664501</v>
      </c>
      <c r="AK6962">
        <v>378.12589676193102</v>
      </c>
      <c r="AL6962">
        <v>79.220088936308102</v>
      </c>
      <c r="AM6962">
        <v>91.188716481685006</v>
      </c>
      <c r="AN6962">
        <v>1.0000000245754901</v>
      </c>
    </row>
    <row r="6963" spans="1:40" x14ac:dyDescent="0.25">
      <c r="A6963" t="str">
        <f>"20190304155810191"</f>
        <v>20190304155810191</v>
      </c>
      <c r="B6963" t="str">
        <f>"1551686290181149"</f>
        <v>1551686290181149</v>
      </c>
      <c r="C6963" t="s">
        <v>40</v>
      </c>
      <c r="D6963">
        <v>4.739827</v>
      </c>
      <c r="E6963">
        <v>0.51638549999999905</v>
      </c>
      <c r="F6963" t="s">
        <v>52</v>
      </c>
      <c r="G6963">
        <v>-181.54820000000001</v>
      </c>
      <c r="H6963">
        <v>0.29445460000000001</v>
      </c>
      <c r="I6963">
        <v>391.87</v>
      </c>
      <c r="J6963">
        <v>-187.14099999999999</v>
      </c>
      <c r="K6963">
        <v>1.108519</v>
      </c>
      <c r="L6963">
        <v>14.1427</v>
      </c>
      <c r="M6963">
        <v>-1.337967E-2</v>
      </c>
      <c r="N6963">
        <v>-8.6439429999999994E-3</v>
      </c>
      <c r="O6963">
        <v>0.99987309999999996</v>
      </c>
      <c r="P6963">
        <v>-3.4430269999999999E-2</v>
      </c>
      <c r="Q6963">
        <v>0.17949100000000001</v>
      </c>
      <c r="R6963">
        <v>0.9831569</v>
      </c>
      <c r="S6963">
        <v>4.5135500000000002E-2</v>
      </c>
      <c r="T6963">
        <v>-6.5748689999999997E-3</v>
      </c>
      <c r="U6963">
        <v>3.0536799999999999</v>
      </c>
      <c r="V6963">
        <v>-2.0882109999999999E-2</v>
      </c>
      <c r="W6963">
        <v>0.1880299</v>
      </c>
      <c r="X6963">
        <v>0.98194130000000002</v>
      </c>
      <c r="Y6963">
        <v>2.8154829999999999E-2</v>
      </c>
      <c r="Z6963">
        <v>6.4926009999999998E-3</v>
      </c>
      <c r="AA6963">
        <v>0.99958250000000004</v>
      </c>
      <c r="AB6963">
        <v>35</v>
      </c>
      <c r="AC6963">
        <v>5.59279999999998</v>
      </c>
      <c r="AD6963">
        <v>-0.81406440000000002</v>
      </c>
      <c r="AE6963">
        <v>377.72730000000001</v>
      </c>
      <c r="AF6963">
        <v>10.6463054717732</v>
      </c>
      <c r="AG6963">
        <v>-0.81406440000000002</v>
      </c>
      <c r="AH6963">
        <v>377.61690026330803</v>
      </c>
      <c r="AI6963">
        <v>90.123468668686399</v>
      </c>
      <c r="AJ6963">
        <v>88.3850647905941</v>
      </c>
      <c r="AK6963">
        <v>377.76782537097398</v>
      </c>
      <c r="AL6963">
        <v>79.162166434311402</v>
      </c>
      <c r="AM6963">
        <v>91.218276951746105</v>
      </c>
      <c r="AN6963">
        <v>1.0000000112288701</v>
      </c>
    </row>
    <row r="6964" spans="1:40" x14ac:dyDescent="0.25">
      <c r="A6964" t="str">
        <f>"20190304155810211"</f>
        <v>20190304155810211</v>
      </c>
      <c r="B6964" t="str">
        <f>"1551686290201645"</f>
        <v>1551686290201645</v>
      </c>
      <c r="C6964" t="s">
        <v>40</v>
      </c>
      <c r="D6964">
        <v>4.7312589999999997</v>
      </c>
      <c r="E6964">
        <v>0.51633359999999995</v>
      </c>
      <c r="F6964" t="s">
        <v>52</v>
      </c>
      <c r="G6964">
        <v>-181.45179999999999</v>
      </c>
      <c r="H6964">
        <v>0.79911989999999999</v>
      </c>
      <c r="I6964">
        <v>391.87</v>
      </c>
      <c r="J6964">
        <v>-187.1446</v>
      </c>
      <c r="K6964">
        <v>1.108514</v>
      </c>
      <c r="L6964">
        <v>14.47437</v>
      </c>
      <c r="M6964">
        <v>-1.254418E-2</v>
      </c>
      <c r="N6964">
        <v>-8.65247699999999E-3</v>
      </c>
      <c r="O6964">
        <v>0.99988390000000005</v>
      </c>
      <c r="P6964">
        <v>-3.3880800000000003E-2</v>
      </c>
      <c r="Q6964">
        <v>0.17957129999999999</v>
      </c>
      <c r="R6964">
        <v>0.98316130000000002</v>
      </c>
      <c r="S6964">
        <v>4.5989990000000001E-2</v>
      </c>
      <c r="T6964">
        <v>-2.5011299999999998E-3</v>
      </c>
      <c r="U6964">
        <v>3.0534669999999999</v>
      </c>
      <c r="V6964">
        <v>-2.115332E-2</v>
      </c>
      <c r="W6964">
        <v>0.18811890000000001</v>
      </c>
      <c r="X6964">
        <v>0.98191850000000003</v>
      </c>
      <c r="Y6964">
        <v>2.7600309999999999E-2</v>
      </c>
      <c r="Z6964">
        <v>7.8345120000000001E-3</v>
      </c>
      <c r="AA6964">
        <v>0.99958829999999999</v>
      </c>
      <c r="AB6964">
        <v>35</v>
      </c>
      <c r="AC6964">
        <v>5.6928000000000001</v>
      </c>
      <c r="AD6964">
        <v>-0.30939409999999901</v>
      </c>
      <c r="AE6964">
        <v>377.39562999999998</v>
      </c>
      <c r="AF6964">
        <v>10.426640894448701</v>
      </c>
      <c r="AG6964">
        <v>-0.30939409999999901</v>
      </c>
      <c r="AH6964">
        <v>377.29426609129598</v>
      </c>
      <c r="AI6964">
        <v>90.046966541771198</v>
      </c>
      <c r="AJ6964">
        <v>88.417016741739701</v>
      </c>
      <c r="AK6964">
        <v>377.43843708665997</v>
      </c>
      <c r="AL6964">
        <v>79.156975015929504</v>
      </c>
      <c r="AM6964">
        <v>91.234123318204894</v>
      </c>
      <c r="AN6964">
        <v>1.0000000620632301</v>
      </c>
    </row>
    <row r="6965" spans="1:40" x14ac:dyDescent="0.25">
      <c r="A6965" t="str">
        <f>"20190304155810236"</f>
        <v>20190304155810236</v>
      </c>
      <c r="B6965" t="str">
        <f>"1551686290231902"</f>
        <v>1551686290231902</v>
      </c>
      <c r="C6965" t="s">
        <v>40</v>
      </c>
      <c r="D6965">
        <v>4.6494070000000001</v>
      </c>
      <c r="E6965">
        <v>0.51626019999999995</v>
      </c>
      <c r="F6965" t="s">
        <v>52</v>
      </c>
      <c r="G6965">
        <v>-181.2544</v>
      </c>
      <c r="H6965">
        <v>0.99534990000000001</v>
      </c>
      <c r="I6965">
        <v>391.87</v>
      </c>
      <c r="J6965">
        <v>-187.14859999999999</v>
      </c>
      <c r="K6965">
        <v>1.1085119999999999</v>
      </c>
      <c r="L6965">
        <v>14.860900000000001</v>
      </c>
      <c r="M6965">
        <v>-1.157293E-2</v>
      </c>
      <c r="N6965">
        <v>-8.6624400000000004E-3</v>
      </c>
      <c r="O6965">
        <v>0.99989550000000005</v>
      </c>
      <c r="P6965">
        <v>-3.3415729999999998E-2</v>
      </c>
      <c r="Q6965">
        <v>0.17892379999999999</v>
      </c>
      <c r="R6965">
        <v>0.98329529999999998</v>
      </c>
      <c r="S6965">
        <v>4.76532E-2</v>
      </c>
      <c r="T6965">
        <v>-9.1552729999999996E-4</v>
      </c>
      <c r="U6965">
        <v>3.0531920000000001</v>
      </c>
      <c r="V6965">
        <v>-2.164247E-2</v>
      </c>
      <c r="W6965">
        <v>0.18748329999999999</v>
      </c>
      <c r="X6965">
        <v>0.98202929999999999</v>
      </c>
      <c r="Y6965">
        <v>2.7175080000000001E-2</v>
      </c>
      <c r="Z6965">
        <v>8.3634799999999995E-3</v>
      </c>
      <c r="AA6965">
        <v>0.99959569999999998</v>
      </c>
      <c r="AB6965">
        <v>35</v>
      </c>
      <c r="AC6965">
        <v>5.8941999999999801</v>
      </c>
      <c r="AD6965">
        <v>-0.1131621</v>
      </c>
      <c r="AE6965">
        <v>377.00909999999999</v>
      </c>
      <c r="AF6965">
        <v>10.2570679922911</v>
      </c>
      <c r="AG6965">
        <v>-0.1131621</v>
      </c>
      <c r="AH6965">
        <v>376.91560066058901</v>
      </c>
      <c r="AI6965">
        <v>90.017195656216302</v>
      </c>
      <c r="AJ6965">
        <v>88.441184982043296</v>
      </c>
      <c r="AK6965">
        <v>377.05515547568399</v>
      </c>
      <c r="AL6965">
        <v>79.194050858538006</v>
      </c>
      <c r="AM6965">
        <v>91.262509672244093</v>
      </c>
      <c r="AN6965">
        <v>0.99999996517253897</v>
      </c>
    </row>
    <row r="6966" spans="1:40" x14ac:dyDescent="0.25">
      <c r="A6966" t="str">
        <f>"20190304155810260"</f>
        <v>20190304155810260</v>
      </c>
      <c r="B6966" t="str">
        <f>"1551686290251421"</f>
        <v>1551686290251421</v>
      </c>
      <c r="C6966" t="s">
        <v>40</v>
      </c>
      <c r="D6966">
        <v>4.6817760000000002</v>
      </c>
      <c r="E6966">
        <v>0.51625690000000002</v>
      </c>
      <c r="F6966" t="s">
        <v>52</v>
      </c>
      <c r="G6966">
        <v>-181.1189</v>
      </c>
      <c r="H6966">
        <v>0.85060499999999895</v>
      </c>
      <c r="I6966">
        <v>391.87</v>
      </c>
      <c r="J6966">
        <v>-187.15199999999999</v>
      </c>
      <c r="K6966">
        <v>1.108509</v>
      </c>
      <c r="L6966">
        <v>15.232760000000001</v>
      </c>
      <c r="M6966">
        <v>-1.0640709999999999E-2</v>
      </c>
      <c r="N6966">
        <v>-8.6720559999999992E-3</v>
      </c>
      <c r="O6966">
        <v>0.99990579999999996</v>
      </c>
      <c r="P6966">
        <v>-3.2726199999999997E-2</v>
      </c>
      <c r="Q6966">
        <v>0.17907319999999999</v>
      </c>
      <c r="R6966">
        <v>0.98329129999999998</v>
      </c>
      <c r="S6966">
        <v>4.8828129999999997E-2</v>
      </c>
      <c r="T6966">
        <v>-2.0885470000000001E-3</v>
      </c>
      <c r="U6966">
        <v>3.0530089999999999</v>
      </c>
      <c r="V6966">
        <v>-2.1868909999999998E-2</v>
      </c>
      <c r="W6966">
        <v>0.18764210000000001</v>
      </c>
      <c r="X6966">
        <v>0.98199400000000003</v>
      </c>
      <c r="Y6966">
        <v>2.662865E-2</v>
      </c>
      <c r="Z6966">
        <v>7.9889469999999997E-3</v>
      </c>
      <c r="AA6966">
        <v>0.99961350000000004</v>
      </c>
      <c r="AB6966">
        <v>35</v>
      </c>
      <c r="AC6966">
        <v>6.0331000000000099</v>
      </c>
      <c r="AD6966">
        <v>-0.25790400000000002</v>
      </c>
      <c r="AE6966">
        <v>376.637239999999</v>
      </c>
      <c r="AF6966">
        <v>10.040591986240001</v>
      </c>
      <c r="AG6966">
        <v>-0.25790400000000002</v>
      </c>
      <c r="AH6966">
        <v>376.551540076707</v>
      </c>
      <c r="AI6966">
        <v>90.039228515834907</v>
      </c>
      <c r="AJ6966">
        <v>88.472593524954505</v>
      </c>
      <c r="AK6966">
        <v>376.685468708374</v>
      </c>
      <c r="AL6966">
        <v>79.184788402015997</v>
      </c>
      <c r="AM6966">
        <v>91.275760510369906</v>
      </c>
      <c r="AN6966">
        <v>1.00000001147649</v>
      </c>
    </row>
    <row r="6967" spans="1:40" x14ac:dyDescent="0.25">
      <c r="A6967" t="str">
        <f>"20190304155810281"</f>
        <v>20190304155810281</v>
      </c>
      <c r="B6967" t="str">
        <f>"1551686290271917"</f>
        <v>1551686290271917</v>
      </c>
      <c r="C6967" t="s">
        <v>40</v>
      </c>
      <c r="D6967">
        <v>4.7173360000000004</v>
      </c>
      <c r="E6967">
        <v>0.51615940000000005</v>
      </c>
      <c r="F6967" t="s">
        <v>52</v>
      </c>
      <c r="G6967">
        <v>-180.8708</v>
      </c>
      <c r="H6967">
        <v>0.74815180000000003</v>
      </c>
      <c r="I6967">
        <v>391.87</v>
      </c>
      <c r="J6967">
        <v>-187.1549</v>
      </c>
      <c r="K6967">
        <v>1.1085050000000001</v>
      </c>
      <c r="L6967">
        <v>15.578189999999999</v>
      </c>
      <c r="M6967">
        <v>-9.7764189999999997E-3</v>
      </c>
      <c r="N6967">
        <v>-8.6810289999999998E-3</v>
      </c>
      <c r="O6967">
        <v>0.99991450000000004</v>
      </c>
      <c r="P6967">
        <v>-3.235416E-2</v>
      </c>
      <c r="Q6967">
        <v>0.1789075</v>
      </c>
      <c r="R6967">
        <v>0.98333380000000004</v>
      </c>
      <c r="S6967">
        <v>5.0918579999999998E-2</v>
      </c>
      <c r="T6967">
        <v>-2.921224E-3</v>
      </c>
      <c r="U6967">
        <v>3.0531920000000001</v>
      </c>
      <c r="V6967">
        <v>-2.234626E-2</v>
      </c>
      <c r="W6967">
        <v>0.1874866</v>
      </c>
      <c r="X6967">
        <v>0.98201289999999997</v>
      </c>
      <c r="Y6967">
        <v>2.6447869999999998E-2</v>
      </c>
      <c r="Z6967">
        <v>7.72529599999999E-3</v>
      </c>
      <c r="AA6967">
        <v>0.99962030000000002</v>
      </c>
      <c r="AB6967">
        <v>35</v>
      </c>
      <c r="AC6967">
        <v>6.2840999999999898</v>
      </c>
      <c r="AD6967">
        <v>-0.36035319999999899</v>
      </c>
      <c r="AE6967">
        <v>376.29181</v>
      </c>
      <c r="AF6967">
        <v>9.9627156493650606</v>
      </c>
      <c r="AG6967">
        <v>-0.36035319999999899</v>
      </c>
      <c r="AH6967">
        <v>376.21204230363901</v>
      </c>
      <c r="AI6967">
        <v>90.054861283342504</v>
      </c>
      <c r="AJ6967">
        <v>88.483067748196305</v>
      </c>
      <c r="AK6967">
        <v>376.34410628016201</v>
      </c>
      <c r="AL6967">
        <v>79.193858292237707</v>
      </c>
      <c r="AM6967">
        <v>91.303572957139394</v>
      </c>
      <c r="AN6967">
        <v>0.99999995814097797</v>
      </c>
    </row>
    <row r="6968" spans="1:40" x14ac:dyDescent="0.25">
      <c r="A6968" t="str">
        <f>"20190304155810303"</f>
        <v>20190304155810303</v>
      </c>
      <c r="B6968" t="str">
        <f>"1551686290291437"</f>
        <v>1551686290291437</v>
      </c>
      <c r="C6968" t="s">
        <v>40</v>
      </c>
      <c r="D6968">
        <v>4.6561260000000004</v>
      </c>
      <c r="E6968">
        <v>0.51592729999999998</v>
      </c>
      <c r="F6968" t="s">
        <v>52</v>
      </c>
      <c r="G6968">
        <v>-180.8021</v>
      </c>
      <c r="H6968">
        <v>0.75135989999999997</v>
      </c>
      <c r="I6968">
        <v>391.87</v>
      </c>
      <c r="J6968">
        <v>-187.1575</v>
      </c>
      <c r="K6968">
        <v>1.1085</v>
      </c>
      <c r="L6968">
        <v>15.92853</v>
      </c>
      <c r="M6968">
        <v>-8.9026439999999995E-3</v>
      </c>
      <c r="N6968">
        <v>-8.6900580000000005E-3</v>
      </c>
      <c r="O6968">
        <v>0.99992259999999999</v>
      </c>
      <c r="P6968">
        <v>-3.2099229999999999E-2</v>
      </c>
      <c r="Q6968">
        <v>0.17927390000000001</v>
      </c>
      <c r="R6968">
        <v>0.98327540000000002</v>
      </c>
      <c r="S6968">
        <v>5.1544189999999997E-2</v>
      </c>
      <c r="T6968">
        <v>-2.8977389999999999E-3</v>
      </c>
      <c r="U6968">
        <v>3.05307</v>
      </c>
      <c r="V6968">
        <v>-2.2949560000000001E-2</v>
      </c>
      <c r="W6968">
        <v>0.18786269999999999</v>
      </c>
      <c r="X6968">
        <v>0.9819272</v>
      </c>
      <c r="Y6968">
        <v>2.577979E-2</v>
      </c>
      <c r="Z6968">
        <v>7.7419029999999996E-3</v>
      </c>
      <c r="AA6968">
        <v>0.99963769999999996</v>
      </c>
      <c r="AB6968">
        <v>36</v>
      </c>
      <c r="AC6968">
        <v>6.3554000000000004</v>
      </c>
      <c r="AD6968">
        <v>-0.35714010000000002</v>
      </c>
      <c r="AE6968">
        <v>375.94146999999998</v>
      </c>
      <c r="AF6968">
        <v>9.7021388530049908</v>
      </c>
      <c r="AG6968">
        <v>-0.35714010000000002</v>
      </c>
      <c r="AH6968">
        <v>375.86964945156302</v>
      </c>
      <c r="AI6968">
        <v>90.054422592333296</v>
      </c>
      <c r="AJ6968">
        <v>88.521380489738505</v>
      </c>
      <c r="AK6968">
        <v>375.995016491196</v>
      </c>
      <c r="AL6968">
        <v>79.171920544086404</v>
      </c>
      <c r="AM6968">
        <v>91.338870728004906</v>
      </c>
      <c r="AN6968">
        <v>1.0000000512276599</v>
      </c>
    </row>
    <row r="6969" spans="1:40" x14ac:dyDescent="0.25">
      <c r="A6969" t="str">
        <f>"20190304155810325"</f>
        <v>20190304155810325</v>
      </c>
      <c r="B6969" t="str">
        <f>"1551686290321693"</f>
        <v>1551686290321693</v>
      </c>
      <c r="C6969" t="s">
        <v>40</v>
      </c>
      <c r="D6969">
        <v>4.657254</v>
      </c>
      <c r="E6969">
        <v>0.51574399999999998</v>
      </c>
      <c r="F6969" t="s">
        <v>52</v>
      </c>
      <c r="G6969">
        <v>-180.982</v>
      </c>
      <c r="H6969">
        <v>0.71257399999999904</v>
      </c>
      <c r="I6969">
        <v>391.87</v>
      </c>
      <c r="J6969">
        <v>-187.15989999999999</v>
      </c>
      <c r="K6969">
        <v>1.108501</v>
      </c>
      <c r="L6969">
        <v>16.284300000000002</v>
      </c>
      <c r="M6969">
        <v>-8.0211759999999997E-3</v>
      </c>
      <c r="N6969">
        <v>-8.6991410000000005E-3</v>
      </c>
      <c r="O6969">
        <v>0.99992999999999999</v>
      </c>
      <c r="P6969">
        <v>-3.1727659999999998E-2</v>
      </c>
      <c r="Q6969">
        <v>0.17949010000000001</v>
      </c>
      <c r="R6969">
        <v>0.98324800000000001</v>
      </c>
      <c r="S6969">
        <v>5.0155640000000001E-2</v>
      </c>
      <c r="T6969">
        <v>-3.2155510000000001E-3</v>
      </c>
      <c r="U6969">
        <v>3.0532530000000002</v>
      </c>
      <c r="V6969">
        <v>-2.3444840000000002E-2</v>
      </c>
      <c r="W6969">
        <v>0.18808849999999999</v>
      </c>
      <c r="X6969">
        <v>0.98187219999999997</v>
      </c>
      <c r="Y6969">
        <v>2.4443090000000001E-2</v>
      </c>
      <c r="Z6969">
        <v>7.6468739999999997E-3</v>
      </c>
      <c r="AA6969">
        <v>0.99967200000000001</v>
      </c>
      <c r="AB6969">
        <v>36</v>
      </c>
      <c r="AC6969">
        <v>6.1778999999999904</v>
      </c>
      <c r="AD6969">
        <v>-0.39592699999999997</v>
      </c>
      <c r="AE6969">
        <v>375.58569999999997</v>
      </c>
      <c r="AF6969">
        <v>9.19044400197828</v>
      </c>
      <c r="AG6969">
        <v>-0.39592699999999997</v>
      </c>
      <c r="AH6969">
        <v>375.52364335163998</v>
      </c>
      <c r="AI6969">
        <v>90.060390730256401</v>
      </c>
      <c r="AJ6969">
        <v>88.598041513704104</v>
      </c>
      <c r="AK6969">
        <v>375.636297148229</v>
      </c>
      <c r="AL6969">
        <v>79.158747572770096</v>
      </c>
      <c r="AM6969">
        <v>91.367830946806293</v>
      </c>
      <c r="AN6969">
        <v>0.99999998074385699</v>
      </c>
    </row>
    <row r="6970" spans="1:40" x14ac:dyDescent="0.25">
      <c r="A6970" t="str">
        <f>"20190304155810347"</f>
        <v>20190304155810347</v>
      </c>
      <c r="B6970" t="str">
        <f>"1551686290341214"</f>
        <v>1551686290341214</v>
      </c>
      <c r="C6970" t="s">
        <v>40</v>
      </c>
      <c r="D6970">
        <v>4.6555730000000004</v>
      </c>
      <c r="E6970">
        <v>0.51571739999999999</v>
      </c>
      <c r="F6970" t="s">
        <v>52</v>
      </c>
      <c r="G6970">
        <v>-180.9813</v>
      </c>
      <c r="H6970">
        <v>0.62149809999999905</v>
      </c>
      <c r="I6970">
        <v>391.87</v>
      </c>
      <c r="J6970">
        <v>-187.1619</v>
      </c>
      <c r="K6970">
        <v>1.108495</v>
      </c>
      <c r="L6970">
        <v>16.62256</v>
      </c>
      <c r="M6970">
        <v>-7.1935660000000002E-3</v>
      </c>
      <c r="N6970">
        <v>-8.7077549999999993E-3</v>
      </c>
      <c r="O6970">
        <v>0.99993620000000005</v>
      </c>
      <c r="P6970">
        <v>-3.1489419999999997E-2</v>
      </c>
      <c r="Q6970">
        <v>0.17984420000000001</v>
      </c>
      <c r="R6970">
        <v>0.98319100000000004</v>
      </c>
      <c r="S6970">
        <v>5.0231930000000001E-2</v>
      </c>
      <c r="T6970">
        <v>-3.959298E-3</v>
      </c>
      <c r="U6970">
        <v>3.0534669999999999</v>
      </c>
      <c r="V6970">
        <v>-2.40223E-2</v>
      </c>
      <c r="W6970">
        <v>0.1884509</v>
      </c>
      <c r="X6970">
        <v>0.98178880000000002</v>
      </c>
      <c r="Y6970">
        <v>2.3639520000000001E-2</v>
      </c>
      <c r="Z6970">
        <v>7.4119769999999897E-3</v>
      </c>
      <c r="AA6970">
        <v>0.9996931</v>
      </c>
      <c r="AB6970">
        <v>36</v>
      </c>
      <c r="AC6970">
        <v>6.1805999999999903</v>
      </c>
      <c r="AD6970">
        <v>-0.48699690000000001</v>
      </c>
      <c r="AE6970">
        <v>375.24743999999998</v>
      </c>
      <c r="AF6970">
        <v>8.8798947218959903</v>
      </c>
      <c r="AG6970">
        <v>-0.48699690000000001</v>
      </c>
      <c r="AH6970">
        <v>375.192636097616</v>
      </c>
      <c r="AI6970">
        <v>90.074348579911003</v>
      </c>
      <c r="AJ6970">
        <v>88.644201738851706</v>
      </c>
      <c r="AK6970">
        <v>375.29802008288101</v>
      </c>
      <c r="AL6970">
        <v>79.137606049695904</v>
      </c>
      <c r="AM6970">
        <v>91.401627146523793</v>
      </c>
      <c r="AN6970">
        <v>1.00000003020676</v>
      </c>
    </row>
    <row r="6971" spans="1:40" x14ac:dyDescent="0.25">
      <c r="A6971" t="str">
        <f>"20190304155810369"</f>
        <v>20190304155810369</v>
      </c>
      <c r="B6971" t="str">
        <f>"1551686290361709"</f>
        <v>1551686290361709</v>
      </c>
      <c r="C6971" t="s">
        <v>40</v>
      </c>
      <c r="D6971">
        <v>4.6126189999999996</v>
      </c>
      <c r="E6971">
        <v>0.51587989999999995</v>
      </c>
      <c r="F6971" t="s">
        <v>52</v>
      </c>
      <c r="G6971">
        <v>-180.9213</v>
      </c>
      <c r="H6971">
        <v>0.72869869999999903</v>
      </c>
      <c r="I6971">
        <v>391.87</v>
      </c>
      <c r="J6971">
        <v>-187.16370000000001</v>
      </c>
      <c r="K6971">
        <v>1.1085039999999999</v>
      </c>
      <c r="L6971">
        <v>16.99072</v>
      </c>
      <c r="M6971">
        <v>-6.3109369999999904E-3</v>
      </c>
      <c r="N6971">
        <v>-8.7170259999999992E-3</v>
      </c>
      <c r="O6971">
        <v>0.99994209999999994</v>
      </c>
      <c r="P6971">
        <v>-3.1102479999999998E-2</v>
      </c>
      <c r="Q6971">
        <v>0.18021999999999999</v>
      </c>
      <c r="R6971">
        <v>0.98313439999999996</v>
      </c>
      <c r="S6971">
        <v>5.078125E-2</v>
      </c>
      <c r="T6971">
        <v>-3.0905009999999998E-3</v>
      </c>
      <c r="U6971">
        <v>3.0534669999999999</v>
      </c>
      <c r="V6971">
        <v>-2.4506859999999998E-2</v>
      </c>
      <c r="W6971">
        <v>0.1888358</v>
      </c>
      <c r="X6971">
        <v>0.98170279999999999</v>
      </c>
      <c r="Y6971">
        <v>2.29369E-2</v>
      </c>
      <c r="Z6971">
        <v>7.705623E-3</v>
      </c>
      <c r="AA6971">
        <v>0.99970720000000002</v>
      </c>
      <c r="AB6971">
        <v>36</v>
      </c>
      <c r="AC6971">
        <v>6.2423999999999999</v>
      </c>
      <c r="AD6971">
        <v>-0.37980530000000001</v>
      </c>
      <c r="AE6971">
        <v>374.87927999999999</v>
      </c>
      <c r="AF6971">
        <v>8.6081962336419409</v>
      </c>
      <c r="AG6971">
        <v>-0.37980530000000001</v>
      </c>
      <c r="AH6971">
        <v>374.83203249588098</v>
      </c>
      <c r="AI6971">
        <v>90.058040655776793</v>
      </c>
      <c r="AJ6971">
        <v>88.6844063766452</v>
      </c>
      <c r="AK6971">
        <v>374.931057501851</v>
      </c>
      <c r="AL6971">
        <v>79.115149014659394</v>
      </c>
      <c r="AM6971">
        <v>91.430013317361798</v>
      </c>
      <c r="AN6971">
        <v>0.99999996653826895</v>
      </c>
    </row>
    <row r="6972" spans="1:40" x14ac:dyDescent="0.25">
      <c r="A6972" t="str">
        <f>"20190304155810390"</f>
        <v>20190304155810390</v>
      </c>
      <c r="B6972" t="str">
        <f>"1551686290381230"</f>
        <v>1551686290381230</v>
      </c>
      <c r="C6972" t="s">
        <v>40</v>
      </c>
      <c r="D6972">
        <v>4.7377549999999999</v>
      </c>
      <c r="E6972">
        <v>0.53181959999999995</v>
      </c>
      <c r="F6972" t="s">
        <v>52</v>
      </c>
      <c r="G6972">
        <v>-180.56970000000001</v>
      </c>
      <c r="H6972">
        <v>0.87629889999999999</v>
      </c>
      <c r="I6972">
        <v>391.87</v>
      </c>
      <c r="J6972">
        <v>-187.1652</v>
      </c>
      <c r="K6972">
        <v>1.10853</v>
      </c>
      <c r="L6972">
        <v>17.329039999999999</v>
      </c>
      <c r="M6972">
        <v>-5.5266019999999898E-3</v>
      </c>
      <c r="N6972">
        <v>-8.7253969999999993E-3</v>
      </c>
      <c r="O6972">
        <v>0.99994669999999997</v>
      </c>
      <c r="P6972">
        <v>-3.0459400000000001E-2</v>
      </c>
      <c r="Q6972">
        <v>0.18024979999999999</v>
      </c>
      <c r="R6972">
        <v>0.98314919999999995</v>
      </c>
      <c r="S6972">
        <v>5.3710939999999999E-2</v>
      </c>
      <c r="T6972">
        <v>-1.891375E-3</v>
      </c>
      <c r="U6972">
        <v>3.0534970000000001</v>
      </c>
      <c r="V6972">
        <v>-2.464243E-2</v>
      </c>
      <c r="W6972">
        <v>0.18887329999999999</v>
      </c>
      <c r="X6972">
        <v>0.98169229999999996</v>
      </c>
      <c r="Y6972">
        <v>2.3111429999999999E-2</v>
      </c>
      <c r="Z6972">
        <v>8.1065770000000002E-3</v>
      </c>
      <c r="AA6972">
        <v>0.99970000000000003</v>
      </c>
      <c r="AB6972">
        <v>36</v>
      </c>
      <c r="AC6972">
        <v>6.5954999999999799</v>
      </c>
      <c r="AD6972">
        <v>-0.2322311</v>
      </c>
      <c r="AE6972">
        <v>374.54095999999998</v>
      </c>
      <c r="AF6972">
        <v>8.6654134733964998</v>
      </c>
      <c r="AG6972">
        <v>-0.2322311</v>
      </c>
      <c r="AH6972">
        <v>374.49864363546197</v>
      </c>
      <c r="AI6972">
        <v>90.035520287927199</v>
      </c>
      <c r="AJ6972">
        <v>88.674486411353698</v>
      </c>
      <c r="AK6972">
        <v>374.59895542666601</v>
      </c>
      <c r="AL6972">
        <v>79.112962216574701</v>
      </c>
      <c r="AM6972">
        <v>91.437936098486503</v>
      </c>
      <c r="AN6972">
        <v>1.0000000723442399</v>
      </c>
    </row>
    <row r="6973" spans="1:40" x14ac:dyDescent="0.25">
      <c r="A6973" t="str">
        <f>"20190304155810413"</f>
        <v>20190304155810413</v>
      </c>
      <c r="B6973" t="str">
        <f>"1551686290401725"</f>
        <v>1551686290401725</v>
      </c>
      <c r="C6973" t="s">
        <v>40</v>
      </c>
      <c r="D6973">
        <v>4.7011669999999999</v>
      </c>
      <c r="E6973">
        <v>0.53411900000000001</v>
      </c>
      <c r="F6973" t="s">
        <v>49</v>
      </c>
      <c r="G6973">
        <v>-168.40190000000001</v>
      </c>
      <c r="H6973">
        <v>5.6954260000000003</v>
      </c>
      <c r="I6973">
        <v>333.10079999999999</v>
      </c>
      <c r="J6973">
        <v>-187.16640000000001</v>
      </c>
      <c r="K6973">
        <v>1.10856</v>
      </c>
      <c r="L6973">
        <v>17.690249999999999</v>
      </c>
      <c r="M6973">
        <v>-4.7286009999999998E-3</v>
      </c>
      <c r="N6973">
        <v>-8.7342229999999993E-3</v>
      </c>
      <c r="O6973">
        <v>0.99995060000000002</v>
      </c>
      <c r="P6973">
        <v>-2.902045E-2</v>
      </c>
      <c r="Q6973">
        <v>0.1809008</v>
      </c>
      <c r="R6973">
        <v>0.98307310000000003</v>
      </c>
      <c r="S6973">
        <v>0.18116760000000001</v>
      </c>
      <c r="T6973">
        <v>4.4288639999999997E-2</v>
      </c>
      <c r="U6973">
        <v>3.0489199999999999</v>
      </c>
      <c r="V6973">
        <v>-2.3999429999999999E-2</v>
      </c>
      <c r="W6973">
        <v>0.1895288</v>
      </c>
      <c r="X6973">
        <v>0.98158179999999995</v>
      </c>
      <c r="Y6973">
        <v>6.4021040000000001E-2</v>
      </c>
      <c r="Z6973">
        <v>2.3230529999999999E-2</v>
      </c>
      <c r="AA6973">
        <v>0.99767810000000001</v>
      </c>
      <c r="AB6973">
        <v>36</v>
      </c>
      <c r="AC6973">
        <v>18.764500000000002</v>
      </c>
      <c r="AD6973">
        <v>4.5868659999999997</v>
      </c>
      <c r="AE6973">
        <v>315.41055</v>
      </c>
      <c r="AF6973">
        <v>20.251530055151399</v>
      </c>
      <c r="AG6973">
        <v>4.5868659999999997</v>
      </c>
      <c r="AH6973">
        <v>315.251854332812</v>
      </c>
      <c r="AI6973">
        <v>89.168128462093094</v>
      </c>
      <c r="AJ6973">
        <v>86.324414822372106</v>
      </c>
      <c r="AK6973">
        <v>315.93495449151101</v>
      </c>
      <c r="AL6973">
        <v>79.074713037350406</v>
      </c>
      <c r="AM6973">
        <v>91.400588466060597</v>
      </c>
      <c r="AN6973">
        <v>0.99999998438050197</v>
      </c>
    </row>
    <row r="6974" spans="1:40" x14ac:dyDescent="0.25">
      <c r="A6974" t="str">
        <f>"20190304155810435"</f>
        <v>20190304155810435</v>
      </c>
      <c r="B6974" t="str">
        <f>"1551686290431983"</f>
        <v>1551686290431983</v>
      </c>
      <c r="C6974" t="s">
        <v>40</v>
      </c>
      <c r="D6974">
        <v>4.6925910000000002</v>
      </c>
      <c r="E6974">
        <v>0.53400990000000004</v>
      </c>
      <c r="F6974" t="s">
        <v>98</v>
      </c>
      <c r="G6974">
        <v>-168.35050000000001</v>
      </c>
      <c r="H6974">
        <v>4.3796189999999999</v>
      </c>
      <c r="I6974">
        <v>299.56279999999998</v>
      </c>
      <c r="J6974">
        <v>-187.16739999999999</v>
      </c>
      <c r="K6974">
        <v>1.1085929999999999</v>
      </c>
      <c r="L6974">
        <v>18.056760000000001</v>
      </c>
      <c r="M6974">
        <v>-3.9571839999999999E-3</v>
      </c>
      <c r="N6974">
        <v>-8.7431799999999997E-3</v>
      </c>
      <c r="O6974">
        <v>0.99995389999999995</v>
      </c>
      <c r="P6974">
        <v>-2.8263300000000002E-2</v>
      </c>
      <c r="Q6974">
        <v>0.18130969999999999</v>
      </c>
      <c r="R6974">
        <v>0.9830198</v>
      </c>
      <c r="S6974">
        <v>0.2036743</v>
      </c>
      <c r="T6974">
        <v>3.5408620000000002E-2</v>
      </c>
      <c r="U6974">
        <v>3.0511469999999998</v>
      </c>
      <c r="V6974">
        <v>-2.4013389999999999E-2</v>
      </c>
      <c r="W6974">
        <v>0.1899441</v>
      </c>
      <c r="X6974">
        <v>0.98150119999999996</v>
      </c>
      <c r="Y6974">
        <v>7.0540259999999994E-2</v>
      </c>
      <c r="Z6974">
        <v>2.0320069999999999E-2</v>
      </c>
      <c r="AA6974">
        <v>0.99730189999999996</v>
      </c>
      <c r="AB6974">
        <v>36</v>
      </c>
      <c r="AC6974">
        <v>18.816899999999901</v>
      </c>
      <c r="AD6974">
        <v>3.271026</v>
      </c>
      <c r="AE6974">
        <v>281.50603999999998</v>
      </c>
      <c r="AF6974">
        <v>19.9280878016068</v>
      </c>
      <c r="AG6974">
        <v>3.271026</v>
      </c>
      <c r="AH6974">
        <v>281.3915469419</v>
      </c>
      <c r="AI6974">
        <v>89.3356609956369</v>
      </c>
      <c r="AJ6974">
        <v>85.949088763350403</v>
      </c>
      <c r="AK6974">
        <v>282.115279601932</v>
      </c>
      <c r="AL6974">
        <v>79.0504780955781</v>
      </c>
      <c r="AM6974">
        <v>91.401517872289304</v>
      </c>
      <c r="AN6974">
        <v>1.00000000481277</v>
      </c>
    </row>
    <row r="6975" spans="1:40" x14ac:dyDescent="0.25">
      <c r="A6975" t="str">
        <f>"20190304155810461"</f>
        <v>20190304155810461</v>
      </c>
      <c r="B6975" t="str">
        <f>"1551686290451502"</f>
        <v>1551686290451502</v>
      </c>
      <c r="C6975" t="s">
        <v>40</v>
      </c>
      <c r="D6975">
        <v>4.7290449999999904</v>
      </c>
      <c r="E6975">
        <v>0.53441149999999904</v>
      </c>
      <c r="F6975" t="s">
        <v>98</v>
      </c>
      <c r="G6975">
        <v>-168.35050000000001</v>
      </c>
      <c r="H6975">
        <v>4.3390459999999997</v>
      </c>
      <c r="I6975">
        <v>298.60559999999998</v>
      </c>
      <c r="J6975">
        <v>-187.16829999999999</v>
      </c>
      <c r="K6975">
        <v>1.1086240000000001</v>
      </c>
      <c r="L6975">
        <v>18.45993</v>
      </c>
      <c r="M6975">
        <v>-3.1649550000000001E-3</v>
      </c>
      <c r="N6975">
        <v>-8.7531729999999995E-3</v>
      </c>
      <c r="O6975">
        <v>0.99995670000000003</v>
      </c>
      <c r="P6975">
        <v>-2.7123479999999998E-2</v>
      </c>
      <c r="Q6975">
        <v>0.18185280000000001</v>
      </c>
      <c r="R6975">
        <v>0.98295160000000004</v>
      </c>
      <c r="S6975">
        <v>0.2046509</v>
      </c>
      <c r="T6975">
        <v>3.5134789999999999E-2</v>
      </c>
      <c r="U6975">
        <v>3.0512079999999999</v>
      </c>
      <c r="V6975">
        <v>-2.366917E-2</v>
      </c>
      <c r="W6975">
        <v>0.1904932</v>
      </c>
      <c r="X6975">
        <v>0.98140309999999997</v>
      </c>
      <c r="Y6975">
        <v>7.0066499999999907E-2</v>
      </c>
      <c r="Z6975">
        <v>2.024022E-2</v>
      </c>
      <c r="AA6975">
        <v>0.99733700000000003</v>
      </c>
      <c r="AB6975">
        <v>36</v>
      </c>
      <c r="AC6975">
        <v>18.817799999999899</v>
      </c>
      <c r="AD6975">
        <v>3.2304219999999999</v>
      </c>
      <c r="AE6975">
        <v>280.14567</v>
      </c>
      <c r="AF6975">
        <v>19.7017801747946</v>
      </c>
      <c r="AG6975">
        <v>3.2304219999999999</v>
      </c>
      <c r="AH6975">
        <v>280.04763660019302</v>
      </c>
      <c r="AI6975">
        <v>89.340736959912405</v>
      </c>
      <c r="AJ6975">
        <v>85.975784481002805</v>
      </c>
      <c r="AK6975">
        <v>280.758391742274</v>
      </c>
      <c r="AL6975">
        <v>79.018431451926304</v>
      </c>
      <c r="AM6975">
        <v>91.3815736856114</v>
      </c>
      <c r="AN6975">
        <v>0.99999996677216796</v>
      </c>
    </row>
    <row r="6976" spans="1:40" x14ac:dyDescent="0.25">
      <c r="A6976" t="str">
        <f>"20190304155810482"</f>
        <v>20190304155810482</v>
      </c>
      <c r="B6976" t="str">
        <f>"1551686290471997"</f>
        <v>1551686290471997</v>
      </c>
      <c r="C6976" t="s">
        <v>40</v>
      </c>
      <c r="D6976">
        <v>4.682118</v>
      </c>
      <c r="E6976">
        <v>0.53465499999999999</v>
      </c>
      <c r="F6976" t="s">
        <v>98</v>
      </c>
      <c r="G6976">
        <v>-167.8503</v>
      </c>
      <c r="H6976">
        <v>4.422669</v>
      </c>
      <c r="I6976">
        <v>297.38529999999997</v>
      </c>
      <c r="J6976">
        <v>-187.1688</v>
      </c>
      <c r="K6976">
        <v>1.1086579999999999</v>
      </c>
      <c r="L6976">
        <v>18.803249999999998</v>
      </c>
      <c r="M6976">
        <v>-2.547292E-3</v>
      </c>
      <c r="N6976">
        <v>-8.7616359999999997E-3</v>
      </c>
      <c r="O6976">
        <v>0.99995840000000003</v>
      </c>
      <c r="P6976">
        <v>-2.6729650000000001E-2</v>
      </c>
      <c r="Q6976">
        <v>0.18196999999999999</v>
      </c>
      <c r="R6976">
        <v>0.9829407</v>
      </c>
      <c r="S6976">
        <v>0.21131900000000001</v>
      </c>
      <c r="T6976">
        <v>3.6252979999999997E-2</v>
      </c>
      <c r="U6976">
        <v>3.0511469999999998</v>
      </c>
      <c r="V6976">
        <v>-2.3899759999999999E-2</v>
      </c>
      <c r="W6976">
        <v>0.1906168</v>
      </c>
      <c r="X6976">
        <v>0.98137350000000001</v>
      </c>
      <c r="Y6976">
        <v>7.1620710000000004E-2</v>
      </c>
      <c r="Z6976">
        <v>2.0612740000000001E-2</v>
      </c>
      <c r="AA6976">
        <v>0.99721890000000002</v>
      </c>
      <c r="AB6976">
        <v>36</v>
      </c>
      <c r="AC6976">
        <v>19.3185</v>
      </c>
      <c r="AD6976">
        <v>3.3140109999999998</v>
      </c>
      <c r="AE6976">
        <v>278.58204999999998</v>
      </c>
      <c r="AF6976">
        <v>20.025274056994299</v>
      </c>
      <c r="AG6976">
        <v>3.3140109999999998</v>
      </c>
      <c r="AH6976">
        <v>278.49271215782397</v>
      </c>
      <c r="AI6976">
        <v>89.319978738067604</v>
      </c>
      <c r="AJ6976">
        <v>85.887173047137793</v>
      </c>
      <c r="AK6976">
        <v>279.231418352209</v>
      </c>
      <c r="AL6976">
        <v>79.011217374888204</v>
      </c>
      <c r="AM6976">
        <v>91.395070031982002</v>
      </c>
      <c r="AN6976">
        <v>0.99999995473627201</v>
      </c>
    </row>
    <row r="6977" spans="1:40" x14ac:dyDescent="0.25">
      <c r="A6977" t="str">
        <f>"20190304155810503"</f>
        <v>20190304155810503</v>
      </c>
      <c r="B6977" t="str">
        <f>"1551686290491517"</f>
        <v>1551686290491517</v>
      </c>
      <c r="C6977" t="s">
        <v>40</v>
      </c>
      <c r="D6977">
        <v>4.6611159999999998</v>
      </c>
      <c r="E6977">
        <v>0.5352806</v>
      </c>
      <c r="F6977" t="s">
        <v>98</v>
      </c>
      <c r="G6977">
        <v>-167.59010000000001</v>
      </c>
      <c r="H6977">
        <v>4.3489009999999997</v>
      </c>
      <c r="I6977">
        <v>297.38529999999997</v>
      </c>
      <c r="J6977">
        <v>-187.16919999999999</v>
      </c>
      <c r="K6977">
        <v>1.1087020000000001</v>
      </c>
      <c r="L6977">
        <v>19.147770000000001</v>
      </c>
      <c r="M6977">
        <v>-1.9871609999999999E-3</v>
      </c>
      <c r="N6977">
        <v>-8.7698919999999996E-3</v>
      </c>
      <c r="O6977">
        <v>0.99995959999999995</v>
      </c>
      <c r="P6977">
        <v>-2.6118039999999999E-2</v>
      </c>
      <c r="Q6977">
        <v>0.1811294</v>
      </c>
      <c r="R6977">
        <v>0.9831124</v>
      </c>
      <c r="S6977">
        <v>0.214447</v>
      </c>
      <c r="T6977">
        <v>3.5491469999999997E-2</v>
      </c>
      <c r="U6977">
        <v>3.0513309999999998</v>
      </c>
      <c r="V6977">
        <v>-2.38611E-2</v>
      </c>
      <c r="W6977">
        <v>0.18978310000000001</v>
      </c>
      <c r="X6977">
        <v>0.98153610000000002</v>
      </c>
      <c r="Y6977">
        <v>7.2075479999999997E-2</v>
      </c>
      <c r="Z6977">
        <v>2.037069E-2</v>
      </c>
      <c r="AA6977">
        <v>0.9971911</v>
      </c>
      <c r="AB6977">
        <v>36</v>
      </c>
      <c r="AC6977">
        <v>19.579099999999901</v>
      </c>
      <c r="AD6977">
        <v>3.2401990000000001</v>
      </c>
      <c r="AE6977">
        <v>278.23752999999999</v>
      </c>
      <c r="AF6977">
        <v>20.129268948157701</v>
      </c>
      <c r="AG6977">
        <v>3.2401990000000001</v>
      </c>
      <c r="AH6977">
        <v>278.16053505027497</v>
      </c>
      <c r="AI6977">
        <v>89.334351318249205</v>
      </c>
      <c r="AJ6977">
        <v>85.860968476742102</v>
      </c>
      <c r="AK6977">
        <v>278.90673999995403</v>
      </c>
      <c r="AL6977">
        <v>79.059874076337806</v>
      </c>
      <c r="AM6977">
        <v>91.392583630090797</v>
      </c>
      <c r="AN6977">
        <v>1.0000000463710099</v>
      </c>
    </row>
    <row r="6978" spans="1:40" x14ac:dyDescent="0.25">
      <c r="A6978" t="str">
        <f>"20190304155810525"</f>
        <v>20190304155810525</v>
      </c>
      <c r="B6978" t="str">
        <f>"1551686290521773"</f>
        <v>1551686290521773</v>
      </c>
      <c r="C6978" t="s">
        <v>40</v>
      </c>
      <c r="D6978">
        <v>4.8963640000000002</v>
      </c>
      <c r="E6978">
        <v>0.53612910000000003</v>
      </c>
      <c r="F6978" t="s">
        <v>98</v>
      </c>
      <c r="G6978">
        <v>-166.98249999999999</v>
      </c>
      <c r="H6978">
        <v>3.5305230000000001</v>
      </c>
      <c r="I6978">
        <v>297.38529999999997</v>
      </c>
      <c r="J6978">
        <v>-187.1694</v>
      </c>
      <c r="K6978">
        <v>1.1087549999999999</v>
      </c>
      <c r="L6978">
        <v>19.50488</v>
      </c>
      <c r="M6978">
        <v>-1.4709879999999999E-3</v>
      </c>
      <c r="N6978">
        <v>-8.7783489999999995E-3</v>
      </c>
      <c r="O6978">
        <v>0.99996039999999997</v>
      </c>
      <c r="P6978">
        <v>-2.6420039999999999E-2</v>
      </c>
      <c r="Q6978">
        <v>0.18061469999999999</v>
      </c>
      <c r="R6978">
        <v>0.98319900000000005</v>
      </c>
      <c r="S6978">
        <v>0.2214661</v>
      </c>
      <c r="T6978">
        <v>2.6570440000000001E-2</v>
      </c>
      <c r="U6978">
        <v>3.052521</v>
      </c>
      <c r="V6978">
        <v>-2.4695709999999999E-2</v>
      </c>
      <c r="W6978">
        <v>0.18927550000000001</v>
      </c>
      <c r="X6978">
        <v>0.98161339999999997</v>
      </c>
      <c r="Y6978">
        <v>7.3817720000000003E-2</v>
      </c>
      <c r="Z6978">
        <v>1.7458950000000001E-2</v>
      </c>
      <c r="AA6978">
        <v>0.99711890000000003</v>
      </c>
      <c r="AB6978">
        <v>36</v>
      </c>
      <c r="AC6978">
        <v>20.186900000000001</v>
      </c>
      <c r="AD6978">
        <v>2.4217680000000001</v>
      </c>
      <c r="AE6978">
        <v>277.88042000000002</v>
      </c>
      <c r="AF6978">
        <v>20.5940966794027</v>
      </c>
      <c r="AG6978">
        <v>2.4217680000000001</v>
      </c>
      <c r="AH6978">
        <v>277.82943210124699</v>
      </c>
      <c r="AI6978">
        <v>89.501946350616294</v>
      </c>
      <c r="AJ6978">
        <v>85.760705339828107</v>
      </c>
      <c r="AK6978">
        <v>278.60218075239101</v>
      </c>
      <c r="AL6978">
        <v>79.089493544442405</v>
      </c>
      <c r="AM6978">
        <v>91.441159564923296</v>
      </c>
      <c r="AN6978">
        <v>0.99999998002610602</v>
      </c>
    </row>
    <row r="6979" spans="1:40" x14ac:dyDescent="0.25">
      <c r="A6979" t="str">
        <f>"20190304155810548"</f>
        <v>20190304155810548</v>
      </c>
      <c r="B6979" t="str">
        <f>"1551686290541293"</f>
        <v>1551686290541293</v>
      </c>
      <c r="C6979" t="s">
        <v>40</v>
      </c>
      <c r="D6979">
        <v>4.6287060000000002</v>
      </c>
      <c r="E6979">
        <v>0.5360994</v>
      </c>
      <c r="F6979" t="s">
        <v>98</v>
      </c>
      <c r="G6979">
        <v>-168.35050000000001</v>
      </c>
      <c r="H6979">
        <v>2.786924</v>
      </c>
      <c r="I6979">
        <v>271.90910000000002</v>
      </c>
      <c r="J6979">
        <v>-187.1695</v>
      </c>
      <c r="K6979">
        <v>1.1088100000000001</v>
      </c>
      <c r="L6979">
        <v>19.882899999999999</v>
      </c>
      <c r="M6979">
        <v>-9.914717999999999E-4</v>
      </c>
      <c r="N6979">
        <v>-8.7872479999999992E-3</v>
      </c>
      <c r="O6979">
        <v>0.99996090000000004</v>
      </c>
      <c r="P6979">
        <v>-2.647826E-2</v>
      </c>
      <c r="Q6979">
        <v>0.179891299999999</v>
      </c>
      <c r="R6979">
        <v>0.98333009999999998</v>
      </c>
      <c r="S6979">
        <v>0.2276764</v>
      </c>
      <c r="T6979">
        <v>2.0303849999999998E-2</v>
      </c>
      <c r="U6979">
        <v>3.0536500000000002</v>
      </c>
      <c r="V6979">
        <v>-2.5252520000000001E-2</v>
      </c>
      <c r="W6979">
        <v>0.18855910000000001</v>
      </c>
      <c r="X6979">
        <v>0.98173710000000003</v>
      </c>
      <c r="Y6979">
        <v>7.5331579999999995E-2</v>
      </c>
      <c r="Z6979">
        <v>1.541736E-2</v>
      </c>
      <c r="AA6979">
        <v>0.99703929999999996</v>
      </c>
      <c r="AB6979">
        <v>36</v>
      </c>
      <c r="AC6979">
        <v>18.8189999999999</v>
      </c>
      <c r="AD6979">
        <v>1.6781140000000001</v>
      </c>
      <c r="AE6979">
        <v>252.02619999999999</v>
      </c>
      <c r="AF6979">
        <v>19.068036564228301</v>
      </c>
      <c r="AG6979">
        <v>1.6781140000000001</v>
      </c>
      <c r="AH6979">
        <v>251.996306457629</v>
      </c>
      <c r="AI6979">
        <v>89.619544580621593</v>
      </c>
      <c r="AJ6979">
        <v>85.672793587542699</v>
      </c>
      <c r="AK6979">
        <v>252.72226762455901</v>
      </c>
      <c r="AL6979">
        <v>79.131292909968096</v>
      </c>
      <c r="AM6979">
        <v>91.473453377596996</v>
      </c>
      <c r="AN6979">
        <v>0.99999997873778401</v>
      </c>
    </row>
    <row r="6980" spans="1:40" x14ac:dyDescent="0.25">
      <c r="A6980" t="str">
        <f>"20190304155810570"</f>
        <v>20190304155810570</v>
      </c>
      <c r="B6980" t="str">
        <f>"1551686290561790"</f>
        <v>1551686290561790</v>
      </c>
      <c r="C6980" t="s">
        <v>40</v>
      </c>
      <c r="D6980">
        <v>4.641095</v>
      </c>
      <c r="E6980">
        <v>0.53607859999999996</v>
      </c>
      <c r="F6980" t="s">
        <v>98</v>
      </c>
      <c r="G6980">
        <v>-168.35050000000001</v>
      </c>
      <c r="H6980">
        <v>2.5754800000000002</v>
      </c>
      <c r="I6980">
        <v>272.56720000000001</v>
      </c>
      <c r="J6980">
        <v>-187.1695</v>
      </c>
      <c r="K6980">
        <v>1.108857</v>
      </c>
      <c r="L6980">
        <v>20.233180000000001</v>
      </c>
      <c r="M6980">
        <v>-6.0433549999999996E-4</v>
      </c>
      <c r="N6980">
        <v>-8.7954920000000002E-3</v>
      </c>
      <c r="O6980">
        <v>0.99996110000000005</v>
      </c>
      <c r="P6980">
        <v>-2.6768210000000001E-2</v>
      </c>
      <c r="Q6980">
        <v>0.17900579999999999</v>
      </c>
      <c r="R6980">
        <v>0.98348380000000002</v>
      </c>
      <c r="S6980">
        <v>0.2274323</v>
      </c>
      <c r="T6980">
        <v>1.7725939999999999E-2</v>
      </c>
      <c r="U6980">
        <v>3.053741</v>
      </c>
      <c r="V6980">
        <v>-2.5947910000000001E-2</v>
      </c>
      <c r="W6980">
        <v>0.18768099999999999</v>
      </c>
      <c r="X6980">
        <v>0.98188719999999996</v>
      </c>
      <c r="Y6980">
        <v>7.4864680000000003E-2</v>
      </c>
      <c r="Z6980">
        <v>1.458372E-2</v>
      </c>
      <c r="AA6980">
        <v>0.9970871</v>
      </c>
      <c r="AB6980">
        <v>36</v>
      </c>
      <c r="AC6980">
        <v>18.8189999999999</v>
      </c>
      <c r="AD6980">
        <v>1.46662299999999</v>
      </c>
      <c r="AE6980">
        <v>252.33402000000001</v>
      </c>
      <c r="AF6980">
        <v>18.9708595450521</v>
      </c>
      <c r="AG6980">
        <v>1.46662299999999</v>
      </c>
      <c r="AH6980">
        <v>252.314123959028</v>
      </c>
      <c r="AI6980">
        <v>89.667898690553699</v>
      </c>
      <c r="AJ6980">
        <v>85.700165906397899</v>
      </c>
      <c r="AK6980">
        <v>253.03055476387399</v>
      </c>
      <c r="AL6980">
        <v>79.1825187480311</v>
      </c>
      <c r="AM6980">
        <v>91.513778556330493</v>
      </c>
      <c r="AN6980">
        <v>0.99999996265910296</v>
      </c>
    </row>
    <row r="6981" spans="1:40" x14ac:dyDescent="0.25">
      <c r="A6981" t="str">
        <f>"20190304155810592"</f>
        <v>20190304155810592</v>
      </c>
      <c r="B6981" t="str">
        <f>"1551686290581313"</f>
        <v>1551686290581313</v>
      </c>
      <c r="C6981" t="s">
        <v>40</v>
      </c>
      <c r="D6981">
        <v>4.8376890000000001</v>
      </c>
      <c r="E6981">
        <v>0.53608809999999996</v>
      </c>
      <c r="F6981" t="s">
        <v>98</v>
      </c>
      <c r="G6981">
        <v>-166.57579999999999</v>
      </c>
      <c r="H6981">
        <v>1.9639260000000001</v>
      </c>
      <c r="I6981">
        <v>297.38529999999997</v>
      </c>
      <c r="J6981">
        <v>-187.1694</v>
      </c>
      <c r="K6981">
        <v>1.1089020000000001</v>
      </c>
      <c r="L6981">
        <v>20.591830000000002</v>
      </c>
      <c r="M6981">
        <v>-2.5851710000000003E-4</v>
      </c>
      <c r="N6981">
        <v>-8.8040689999999994E-3</v>
      </c>
      <c r="O6981">
        <v>0.99996119999999999</v>
      </c>
      <c r="P6981">
        <v>-2.6699339999999998E-2</v>
      </c>
      <c r="Q6981">
        <v>0.178875799999999</v>
      </c>
      <c r="R6981">
        <v>0.98350930000000003</v>
      </c>
      <c r="S6981">
        <v>0.22698969999999999</v>
      </c>
      <c r="T6981">
        <v>9.4256400000000008E-3</v>
      </c>
      <c r="U6981">
        <v>3.05484</v>
      </c>
      <c r="V6981">
        <v>-2.6239760000000001E-2</v>
      </c>
      <c r="W6981">
        <v>0.1875569</v>
      </c>
      <c r="X6981">
        <v>0.98190319999999998</v>
      </c>
      <c r="Y6981">
        <v>7.4351390000000003E-2</v>
      </c>
      <c r="Z6981">
        <v>1.188094E-2</v>
      </c>
      <c r="AA6981">
        <v>0.99716130000000003</v>
      </c>
      <c r="AB6981">
        <v>36</v>
      </c>
      <c r="AC6981">
        <v>20.593599999999999</v>
      </c>
      <c r="AD6981">
        <v>0.85502399999999901</v>
      </c>
      <c r="AE6981">
        <v>276.79347000000001</v>
      </c>
      <c r="AF6981">
        <v>20.664961828988599</v>
      </c>
      <c r="AG6981">
        <v>0.85502399999999901</v>
      </c>
      <c r="AH6981">
        <v>276.78551016434801</v>
      </c>
      <c r="AI6981">
        <v>89.8234981946011</v>
      </c>
      <c r="AJ6981">
        <v>85.730186721879804</v>
      </c>
      <c r="AK6981">
        <v>277.55718392859598</v>
      </c>
      <c r="AL6981">
        <v>79.189758167489401</v>
      </c>
      <c r="AM6981">
        <v>91.530771843515893</v>
      </c>
      <c r="AN6981">
        <v>1.00000000495635</v>
      </c>
    </row>
    <row r="6982" spans="1:40" x14ac:dyDescent="0.25">
      <c r="A6982" t="str">
        <f>"20190304155810615"</f>
        <v>20190304155810615</v>
      </c>
      <c r="B6982" t="str">
        <f>"1551686290611291"</f>
        <v>1551686290611291</v>
      </c>
      <c r="C6982" t="s">
        <v>40</v>
      </c>
      <c r="D6982">
        <v>4.6040330000000003</v>
      </c>
      <c r="E6982">
        <v>0.53582980000000002</v>
      </c>
      <c r="F6982" t="s">
        <v>98</v>
      </c>
      <c r="G6982">
        <v>-166.55189999999999</v>
      </c>
      <c r="H6982">
        <v>1.9771700000000001</v>
      </c>
      <c r="I6982">
        <v>297.38529999999997</v>
      </c>
      <c r="J6982">
        <v>-187.16919999999999</v>
      </c>
      <c r="K6982">
        <v>1.1089420000000001</v>
      </c>
      <c r="L6982">
        <v>20.965389999999999</v>
      </c>
      <c r="M6982" s="1">
        <v>6.3623690000000005E-5</v>
      </c>
      <c r="N6982">
        <v>-8.813052E-3</v>
      </c>
      <c r="O6982">
        <v>0.99996110000000005</v>
      </c>
      <c r="P6982">
        <v>-2.681656E-2</v>
      </c>
      <c r="Q6982">
        <v>0.17897750000000001</v>
      </c>
      <c r="R6982">
        <v>0.98348769999999996</v>
      </c>
      <c r="S6982">
        <v>0.22753909999999999</v>
      </c>
      <c r="T6982">
        <v>9.5832350000000007E-3</v>
      </c>
      <c r="U6982">
        <v>3.0547490000000002</v>
      </c>
      <c r="V6982">
        <v>-2.6691019999999999E-2</v>
      </c>
      <c r="W6982">
        <v>0.18766459999999999</v>
      </c>
      <c r="X6982">
        <v>0.98187049999999998</v>
      </c>
      <c r="Y6982">
        <v>7.4210620000000005E-2</v>
      </c>
      <c r="Z6982">
        <v>1.194135E-2</v>
      </c>
      <c r="AA6982">
        <v>0.99717109999999998</v>
      </c>
      <c r="AB6982">
        <v>36</v>
      </c>
      <c r="AC6982">
        <v>20.6173</v>
      </c>
      <c r="AD6982">
        <v>0.868228</v>
      </c>
      <c r="AE6982">
        <v>276.41991000000002</v>
      </c>
      <c r="AF6982">
        <v>20.599510314764199</v>
      </c>
      <c r="AG6982">
        <v>0.868228</v>
      </c>
      <c r="AH6982">
        <v>276.41850925898001</v>
      </c>
      <c r="AI6982">
        <v>89.820532731496101</v>
      </c>
      <c r="AJ6982">
        <v>85.738030262175201</v>
      </c>
      <c r="AK6982">
        <v>277.18637395446598</v>
      </c>
      <c r="AL6982">
        <v>79.183476306075306</v>
      </c>
      <c r="AM6982">
        <v>91.557136373925104</v>
      </c>
      <c r="AN6982">
        <v>1.0000000457060201</v>
      </c>
    </row>
    <row r="6983" spans="1:40" x14ac:dyDescent="0.25">
      <c r="A6983" t="str">
        <f>"20190304155810636"</f>
        <v>20190304155810636</v>
      </c>
      <c r="B6983" t="str">
        <f>"1551686290631787"</f>
        <v>1551686290631787</v>
      </c>
      <c r="C6983" t="s">
        <v>40</v>
      </c>
      <c r="D6983">
        <v>4.6017659999999996</v>
      </c>
      <c r="E6983">
        <v>0.53579169999999998</v>
      </c>
      <c r="F6983" t="s">
        <v>98</v>
      </c>
      <c r="G6983">
        <v>-167.89850000000001</v>
      </c>
      <c r="H6983">
        <v>9.7213750000000001</v>
      </c>
      <c r="I6983">
        <v>285.33049999999997</v>
      </c>
      <c r="J6983">
        <v>-187.16890000000001</v>
      </c>
      <c r="K6983">
        <v>1.1089709999999999</v>
      </c>
      <c r="L6983">
        <v>21.319179999999999</v>
      </c>
      <c r="M6983">
        <v>3.4521029999999998E-4</v>
      </c>
      <c r="N6983">
        <v>-8.8217090000000005E-3</v>
      </c>
      <c r="O6983">
        <v>0.99996099999999999</v>
      </c>
      <c r="P6983">
        <v>-2.7078729999999999E-2</v>
      </c>
      <c r="Q6983">
        <v>0.1799441</v>
      </c>
      <c r="R6983">
        <v>0.98330410000000001</v>
      </c>
      <c r="S6983">
        <v>0.22148129999999999</v>
      </c>
      <c r="T6983">
        <v>9.8984959999999997E-2</v>
      </c>
      <c r="U6983">
        <v>3.0383909999999998</v>
      </c>
      <c r="V6983">
        <v>-2.724159E-2</v>
      </c>
      <c r="W6983">
        <v>0.18863730000000001</v>
      </c>
      <c r="X6983">
        <v>0.98166889999999996</v>
      </c>
      <c r="Y6983">
        <v>7.2302619999999998E-2</v>
      </c>
      <c r="Z6983">
        <v>4.1290819999999999E-2</v>
      </c>
      <c r="AA6983">
        <v>0.99652770000000002</v>
      </c>
      <c r="AB6983">
        <v>37</v>
      </c>
      <c r="AC6983">
        <v>19.270399999999899</v>
      </c>
      <c r="AD6983">
        <v>8.6124039999999997</v>
      </c>
      <c r="AE6983">
        <v>264.01132000000001</v>
      </c>
      <c r="AF6983">
        <v>19.1589758568979</v>
      </c>
      <c r="AG6983">
        <v>8.6124039999999997</v>
      </c>
      <c r="AH6983">
        <v>263.73878602110102</v>
      </c>
      <c r="AI6983">
        <v>88.134579968321702</v>
      </c>
      <c r="AJ6983">
        <v>85.845117749406796</v>
      </c>
      <c r="AK6983">
        <v>264.57397285150398</v>
      </c>
      <c r="AL6983">
        <v>79.126730542642406</v>
      </c>
      <c r="AM6983">
        <v>91.589566162272106</v>
      </c>
      <c r="AN6983">
        <v>0.99999998220211295</v>
      </c>
    </row>
    <row r="6984" spans="1:40" x14ac:dyDescent="0.25">
      <c r="A6984" t="str">
        <f>"20190304155810662"</f>
        <v>20190304155810662</v>
      </c>
      <c r="B6984" t="str">
        <f>"1551686290651307"</f>
        <v>1551686290651307</v>
      </c>
      <c r="C6984" t="s">
        <v>40</v>
      </c>
      <c r="D6984">
        <v>4.717981</v>
      </c>
      <c r="E6984">
        <v>0.53794909999999996</v>
      </c>
      <c r="F6984" t="s">
        <v>98</v>
      </c>
      <c r="G6984">
        <v>-167.45939999999999</v>
      </c>
      <c r="H6984">
        <v>6.6740940000000002</v>
      </c>
      <c r="I6984">
        <v>292.36369999999999</v>
      </c>
      <c r="J6984">
        <v>-187.16849999999999</v>
      </c>
      <c r="K6984">
        <v>1.108995</v>
      </c>
      <c r="L6984">
        <v>21.730499999999999</v>
      </c>
      <c r="M6984">
        <v>6.5456889999999999E-4</v>
      </c>
      <c r="N6984">
        <v>-8.8317599999999993E-3</v>
      </c>
      <c r="O6984">
        <v>0.99996079999999998</v>
      </c>
      <c r="P6984">
        <v>-2.7587919999999998E-2</v>
      </c>
      <c r="Q6984">
        <v>0.18013899999999999</v>
      </c>
      <c r="R6984">
        <v>0.98325419999999997</v>
      </c>
      <c r="S6984">
        <v>0.2214661</v>
      </c>
      <c r="T6984">
        <v>6.253338E-2</v>
      </c>
      <c r="U6984">
        <v>3.0455930000000002</v>
      </c>
      <c r="V6984">
        <v>-2.8066190000000001E-2</v>
      </c>
      <c r="W6984">
        <v>0.18884000000000001</v>
      </c>
      <c r="X6984">
        <v>0.98160670000000005</v>
      </c>
      <c r="Y6984">
        <v>7.1845049999999994E-2</v>
      </c>
      <c r="Z6984">
        <v>2.9303429999999998E-2</v>
      </c>
      <c r="AA6984">
        <v>0.99698529999999996</v>
      </c>
      <c r="AB6984">
        <v>37</v>
      </c>
      <c r="AC6984">
        <v>19.709099999999999</v>
      </c>
      <c r="AD6984">
        <v>5.565099</v>
      </c>
      <c r="AE6984">
        <v>270.63319999999999</v>
      </c>
      <c r="AF6984">
        <v>19.5237287905282</v>
      </c>
      <c r="AG6984">
        <v>5.565099</v>
      </c>
      <c r="AH6984">
        <v>270.532253129639</v>
      </c>
      <c r="AI6984">
        <v>88.824594993904398</v>
      </c>
      <c r="AJ6984">
        <v>85.872243391455797</v>
      </c>
      <c r="AK6984">
        <v>271.29291604493602</v>
      </c>
      <c r="AL6984">
        <v>79.114904167477903</v>
      </c>
      <c r="AM6984">
        <v>91.637760056476495</v>
      </c>
      <c r="AN6984">
        <v>0.99999998505300203</v>
      </c>
    </row>
    <row r="6985" spans="1:40" x14ac:dyDescent="0.25">
      <c r="A6985" t="str">
        <f>"20190304155810684"</f>
        <v>20190304155810684</v>
      </c>
      <c r="B6985" t="str">
        <f>"1551686290671803"</f>
        <v>1551686290671803</v>
      </c>
      <c r="C6985" t="s">
        <v>40</v>
      </c>
      <c r="D6985">
        <v>4.6060089999999896</v>
      </c>
      <c r="E6985">
        <v>0.53861689999999995</v>
      </c>
      <c r="F6985" t="s">
        <v>98</v>
      </c>
      <c r="G6985">
        <v>-167.85140000000001</v>
      </c>
      <c r="H6985">
        <v>4.5495449999999904</v>
      </c>
      <c r="I6985">
        <v>269.69009999999997</v>
      </c>
      <c r="J6985">
        <v>-187.1679</v>
      </c>
      <c r="K6985">
        <v>1.109011</v>
      </c>
      <c r="L6985">
        <v>22.09451</v>
      </c>
      <c r="M6985">
        <v>9.2066330000000005E-4</v>
      </c>
      <c r="N6985">
        <v>-8.8406149999999996E-3</v>
      </c>
      <c r="O6985">
        <v>0.99996050000000003</v>
      </c>
      <c r="P6985">
        <v>-2.8076549999999999E-2</v>
      </c>
      <c r="Q6985">
        <v>0.17976819999999999</v>
      </c>
      <c r="R6985">
        <v>0.98330830000000002</v>
      </c>
      <c r="S6985">
        <v>0.23760990000000001</v>
      </c>
      <c r="T6985">
        <v>4.2321320000000003E-2</v>
      </c>
      <c r="U6985">
        <v>3.0500180000000001</v>
      </c>
      <c r="V6985">
        <v>-2.882415E-2</v>
      </c>
      <c r="W6985">
        <v>0.18847810000000001</v>
      </c>
      <c r="X6985">
        <v>0.98165429999999998</v>
      </c>
      <c r="Y6985">
        <v>7.673286E-2</v>
      </c>
      <c r="Z6985">
        <v>2.2671920000000002E-2</v>
      </c>
      <c r="AA6985">
        <v>0.99679390000000001</v>
      </c>
      <c r="AB6985">
        <v>37</v>
      </c>
      <c r="AC6985">
        <v>19.316499999999898</v>
      </c>
      <c r="AD6985">
        <v>3.4405339999999902</v>
      </c>
      <c r="AE6985">
        <v>247.59558999999999</v>
      </c>
      <c r="AF6985">
        <v>19.084867877136599</v>
      </c>
      <c r="AG6985">
        <v>3.4405339999999902</v>
      </c>
      <c r="AH6985">
        <v>247.56575579681299</v>
      </c>
      <c r="AI6985">
        <v>89.2061408375002</v>
      </c>
      <c r="AJ6985">
        <v>85.591781570311795</v>
      </c>
      <c r="AK6985">
        <v>248.32412870951501</v>
      </c>
      <c r="AL6985">
        <v>79.136018783294702</v>
      </c>
      <c r="AM6985">
        <v>91.681883082453695</v>
      </c>
      <c r="AN6985">
        <v>0.99999999525566097</v>
      </c>
    </row>
    <row r="6986" spans="1:40" x14ac:dyDescent="0.25">
      <c r="A6986" t="str">
        <f>"20190304155810704"</f>
        <v>20190304155810704</v>
      </c>
      <c r="B6986" t="str">
        <f>"1551686290702060"</f>
        <v>1551686290702060</v>
      </c>
      <c r="C6986" t="s">
        <v>40</v>
      </c>
      <c r="D6986">
        <v>4.5508160000000002</v>
      </c>
      <c r="E6986">
        <v>0.53646319999999903</v>
      </c>
      <c r="F6986" t="s">
        <v>98</v>
      </c>
      <c r="G6986">
        <v>-167.52209999999999</v>
      </c>
      <c r="H6986">
        <v>2.6428600000000002</v>
      </c>
      <c r="I6986">
        <v>269.69009999999997</v>
      </c>
      <c r="J6986">
        <v>-187.16739999999999</v>
      </c>
      <c r="K6986">
        <v>1.1090180000000001</v>
      </c>
      <c r="L6986">
        <v>22.438749999999999</v>
      </c>
      <c r="M6986">
        <v>1.1697159999999999E-3</v>
      </c>
      <c r="N6986">
        <v>-8.849015E-3</v>
      </c>
      <c r="O6986">
        <v>0.99996019999999997</v>
      </c>
      <c r="P6986">
        <v>-2.7952290000000001E-2</v>
      </c>
      <c r="Q6986">
        <v>0.17969669999999999</v>
      </c>
      <c r="R6986">
        <v>0.98332489999999995</v>
      </c>
      <c r="S6986">
        <v>0.2423553</v>
      </c>
      <c r="T6986">
        <v>1.8922810000000002E-2</v>
      </c>
      <c r="U6986">
        <v>3.0543819999999999</v>
      </c>
      <c r="V6986">
        <v>-2.8950429999999999E-2</v>
      </c>
      <c r="W6986">
        <v>0.18841440000000001</v>
      </c>
      <c r="X6986">
        <v>0.98166279999999995</v>
      </c>
      <c r="Y6986">
        <v>7.7922149999999996E-2</v>
      </c>
      <c r="Z6986">
        <v>1.5024239999999999E-2</v>
      </c>
      <c r="AA6986">
        <v>0.99684629999999996</v>
      </c>
      <c r="AB6986">
        <v>37</v>
      </c>
      <c r="AC6986">
        <v>19.645299999999899</v>
      </c>
      <c r="AD6986">
        <v>1.5338419999999899</v>
      </c>
      <c r="AE6986">
        <v>247.25135</v>
      </c>
      <c r="AF6986">
        <v>19.3553211822591</v>
      </c>
      <c r="AG6986">
        <v>1.5338419999999899</v>
      </c>
      <c r="AH6986">
        <v>247.26470503933001</v>
      </c>
      <c r="AI6986">
        <v>89.645669037874598</v>
      </c>
      <c r="AJ6986">
        <v>85.524143030127107</v>
      </c>
      <c r="AK6986">
        <v>248.02583633068599</v>
      </c>
      <c r="AL6986">
        <v>79.139734975618296</v>
      </c>
      <c r="AM6986">
        <v>91.6892326156038</v>
      </c>
      <c r="AN6986">
        <v>0.99999998321419203</v>
      </c>
    </row>
    <row r="6987" spans="1:40" x14ac:dyDescent="0.25">
      <c r="A6987" t="str">
        <f>"20190304155810727"</f>
        <v>20190304155810727</v>
      </c>
      <c r="B6987" t="str">
        <f>"1551686290721584"</f>
        <v>1551686290721584</v>
      </c>
      <c r="C6987" t="s">
        <v>40</v>
      </c>
      <c r="D6987">
        <v>4.5414479999999999</v>
      </c>
      <c r="E6987">
        <v>0.50694269999999997</v>
      </c>
      <c r="F6987" t="s">
        <v>98</v>
      </c>
      <c r="G6987">
        <v>-166.9126</v>
      </c>
      <c r="H6987">
        <v>2.7696269999999998</v>
      </c>
      <c r="I6987">
        <v>297.38529999999997</v>
      </c>
      <c r="J6987">
        <v>-187.16669999999999</v>
      </c>
      <c r="K6987">
        <v>1.1090230000000001</v>
      </c>
      <c r="L6987">
        <v>22.803889999999999</v>
      </c>
      <c r="M6987">
        <v>1.4339279999999999E-3</v>
      </c>
      <c r="N6987">
        <v>-8.8579290000000005E-3</v>
      </c>
      <c r="O6987">
        <v>0.99995979999999995</v>
      </c>
      <c r="P6987">
        <v>-2.83243E-2</v>
      </c>
      <c r="Q6987">
        <v>0.17948510000000001</v>
      </c>
      <c r="R6987">
        <v>0.98335280000000003</v>
      </c>
      <c r="S6987">
        <v>0.2249756</v>
      </c>
      <c r="T6987">
        <v>1.8445610000000001E-2</v>
      </c>
      <c r="U6987">
        <v>3.0538940000000001</v>
      </c>
      <c r="V6987">
        <v>-2.958773E-2</v>
      </c>
      <c r="W6987">
        <v>0.18821160000000001</v>
      </c>
      <c r="X6987">
        <v>0.98168270000000002</v>
      </c>
      <c r="Y6987">
        <v>7.2030109999999994E-2</v>
      </c>
      <c r="Z6987">
        <v>1.488097E-2</v>
      </c>
      <c r="AA6987">
        <v>0.99729140000000005</v>
      </c>
      <c r="AB6987">
        <v>37</v>
      </c>
      <c r="AC6987">
        <v>20.254099999999902</v>
      </c>
      <c r="AD6987">
        <v>1.660604</v>
      </c>
      <c r="AE6987">
        <v>274.58140999999898</v>
      </c>
      <c r="AF6987">
        <v>19.8596113360733</v>
      </c>
      <c r="AG6987">
        <v>1.660604</v>
      </c>
      <c r="AH6987">
        <v>274.60018246828997</v>
      </c>
      <c r="AI6987">
        <v>89.654419041949396</v>
      </c>
      <c r="AJ6987">
        <v>85.863461413126998</v>
      </c>
      <c r="AK6987">
        <v>275.32239643676502</v>
      </c>
      <c r="AL6987">
        <v>79.151566216764195</v>
      </c>
      <c r="AM6987">
        <v>91.726361284612295</v>
      </c>
      <c r="AN6987">
        <v>0.999999981810201</v>
      </c>
    </row>
    <row r="6988" spans="1:40" x14ac:dyDescent="0.25">
      <c r="A6988" t="str">
        <f>"20190304155810749"</f>
        <v>20190304155810749</v>
      </c>
      <c r="B6988" t="str">
        <f>"1551686290741104"</f>
        <v>1551686290741104</v>
      </c>
      <c r="C6988" t="s">
        <v>40</v>
      </c>
      <c r="D6988">
        <v>4.534726</v>
      </c>
      <c r="E6988">
        <v>0.50919409999999998</v>
      </c>
      <c r="F6988" t="s">
        <v>41</v>
      </c>
      <c r="G6988">
        <v>-187.4195</v>
      </c>
      <c r="H6988" s="1">
        <v>-1.0207799999999999E-6</v>
      </c>
      <c r="I6988">
        <v>100.63</v>
      </c>
      <c r="J6988">
        <v>-187.16589999999999</v>
      </c>
      <c r="K6988">
        <v>1.1090310000000001</v>
      </c>
      <c r="L6988">
        <v>23.18488</v>
      </c>
      <c r="M6988">
        <v>1.7107589999999901E-3</v>
      </c>
      <c r="N6988">
        <v>-8.867336E-3</v>
      </c>
      <c r="O6988">
        <v>0.99995919999999905</v>
      </c>
      <c r="P6988">
        <v>-2.8476620000000001E-2</v>
      </c>
      <c r="Q6988">
        <v>0.17941089999999901</v>
      </c>
      <c r="R6988">
        <v>0.98336199999999996</v>
      </c>
      <c r="S6988">
        <v>-9.9334720000000005E-3</v>
      </c>
      <c r="T6988">
        <v>-4.358327E-2</v>
      </c>
      <c r="U6988">
        <v>3.0584720000000001</v>
      </c>
      <c r="V6988">
        <v>-3.0015960000000001E-2</v>
      </c>
      <c r="W6988">
        <v>0.18814610000000001</v>
      </c>
      <c r="X6988">
        <v>0.98168230000000001</v>
      </c>
      <c r="Y6988">
        <v>-4.9580939999999997E-3</v>
      </c>
      <c r="Z6988">
        <v>-5.3813940000000003E-3</v>
      </c>
      <c r="AA6988">
        <v>0.99997320000000001</v>
      </c>
      <c r="AB6988">
        <v>37</v>
      </c>
      <c r="AC6988">
        <v>-0.25360000000000499</v>
      </c>
      <c r="AD6988">
        <v>-1.10903202078</v>
      </c>
      <c r="AE6988">
        <v>77.445119999999903</v>
      </c>
      <c r="AF6988">
        <v>-0.38601561782340299</v>
      </c>
      <c r="AG6988">
        <v>-1.10903202078</v>
      </c>
      <c r="AH6988">
        <v>77.428694739942301</v>
      </c>
      <c r="AI6988">
        <v>90.820596550103403</v>
      </c>
      <c r="AJ6988">
        <v>90.285641938920307</v>
      </c>
      <c r="AK6988">
        <v>77.437598937541296</v>
      </c>
      <c r="AL6988">
        <v>79.155387835068794</v>
      </c>
      <c r="AM6988">
        <v>91.751332571100903</v>
      </c>
      <c r="AN6988">
        <v>1.0000000254666099</v>
      </c>
    </row>
    <row r="6989" spans="1:40" x14ac:dyDescent="0.25">
      <c r="A6989" t="str">
        <f>"20190304155810774"</f>
        <v>20190304155810774</v>
      </c>
      <c r="B6989" t="str">
        <f>"1551686290761600"</f>
        <v>1551686290761600</v>
      </c>
      <c r="C6989" t="s">
        <v>40</v>
      </c>
      <c r="D6989">
        <v>4.5336550000000004</v>
      </c>
      <c r="E6989">
        <v>0.50859129999999997</v>
      </c>
      <c r="F6989" t="s">
        <v>41</v>
      </c>
      <c r="G6989">
        <v>-186.96850000000001</v>
      </c>
      <c r="H6989" s="1">
        <v>-4.323892E-6</v>
      </c>
      <c r="I6989">
        <v>108.4584</v>
      </c>
      <c r="J6989">
        <v>-187.16499999999999</v>
      </c>
      <c r="K6989">
        <v>1.1090370000000001</v>
      </c>
      <c r="L6989">
        <v>23.5687</v>
      </c>
      <c r="M6989">
        <v>1.9908170000000002E-3</v>
      </c>
      <c r="N6989">
        <v>-8.8768149999999997E-3</v>
      </c>
      <c r="O6989">
        <v>0.99995860000000003</v>
      </c>
      <c r="P6989">
        <v>-2.8893410000000001E-2</v>
      </c>
      <c r="Q6989">
        <v>0.17962839999999999</v>
      </c>
      <c r="R6989">
        <v>0.98331009999999996</v>
      </c>
      <c r="S6989">
        <v>7.0800780000000001E-3</v>
      </c>
      <c r="T6989">
        <v>-3.9774179999999999E-2</v>
      </c>
      <c r="U6989">
        <v>3.0582280000000002</v>
      </c>
      <c r="V6989">
        <v>-3.0711599999999999E-2</v>
      </c>
      <c r="W6989">
        <v>0.18837180000000001</v>
      </c>
      <c r="X6989">
        <v>0.98161750000000003</v>
      </c>
      <c r="Y6989">
        <v>3.2413960000000002E-4</v>
      </c>
      <c r="Z6989">
        <v>-4.1279189999999999E-3</v>
      </c>
      <c r="AA6989">
        <v>0.99999139999999997</v>
      </c>
      <c r="AB6989">
        <v>37</v>
      </c>
      <c r="AC6989">
        <v>0.19649999999998599</v>
      </c>
      <c r="AD6989">
        <v>-1.1090413238920001</v>
      </c>
      <c r="AE6989">
        <v>84.889700000000005</v>
      </c>
      <c r="AF6989">
        <v>2.7488399019108201E-2</v>
      </c>
      <c r="AG6989">
        <v>-1.1090413238920001</v>
      </c>
      <c r="AH6989">
        <v>84.875436417519197</v>
      </c>
      <c r="AI6989">
        <v>90.748623753245695</v>
      </c>
      <c r="AJ6989">
        <v>89.981443757336905</v>
      </c>
      <c r="AK6989">
        <v>84.882686310781494</v>
      </c>
      <c r="AL6989">
        <v>79.142220758071105</v>
      </c>
      <c r="AM6989">
        <v>91.792012928370099</v>
      </c>
      <c r="AN6989">
        <v>1.00000002685802</v>
      </c>
    </row>
    <row r="6990" spans="1:40" x14ac:dyDescent="0.25">
      <c r="A6990" t="str">
        <f>"20190304155810794"</f>
        <v>20190304155810794</v>
      </c>
      <c r="B6990" t="str">
        <f>"1551686290791856"</f>
        <v>1551686290791856</v>
      </c>
      <c r="C6990" t="s">
        <v>40</v>
      </c>
      <c r="D6990">
        <v>4.5714129999999997</v>
      </c>
      <c r="E6990">
        <v>0.5085326</v>
      </c>
      <c r="F6990" t="s">
        <v>78</v>
      </c>
      <c r="G6990">
        <v>-187.1361</v>
      </c>
      <c r="H6990" s="1">
        <v>-7.4105480000000001E-6</v>
      </c>
      <c r="I6990">
        <v>137.0778</v>
      </c>
      <c r="J6990">
        <v>-187.16399999999999</v>
      </c>
      <c r="K6990">
        <v>1.1090519999999999</v>
      </c>
      <c r="L6990">
        <v>23.917850000000001</v>
      </c>
      <c r="M6990">
        <v>2.2459849999999998E-3</v>
      </c>
      <c r="N6990">
        <v>-8.8854339999999993E-3</v>
      </c>
      <c r="O6990">
        <v>0.99995800000000001</v>
      </c>
      <c r="P6990">
        <v>-2.8819939999999999E-2</v>
      </c>
      <c r="Q6990">
        <v>0.18029899999999999</v>
      </c>
      <c r="R6990">
        <v>0.98318950000000005</v>
      </c>
      <c r="S6990">
        <v>7.7819819999999998E-4</v>
      </c>
      <c r="T6990">
        <v>-2.9862639999999999E-2</v>
      </c>
      <c r="U6990">
        <v>3.0563959999999999</v>
      </c>
      <c r="V6990">
        <v>-3.0890520000000001E-2</v>
      </c>
      <c r="W6990">
        <v>0.18904979999999999</v>
      </c>
      <c r="X6990">
        <v>0.98148150000000001</v>
      </c>
      <c r="Y6990">
        <v>-1.9912969999999999E-3</v>
      </c>
      <c r="Z6990">
        <v>-8.8463349999999997E-4</v>
      </c>
      <c r="AA6990">
        <v>0.99999760000000004</v>
      </c>
      <c r="AB6990">
        <v>37</v>
      </c>
      <c r="AC6990">
        <v>2.7900000000016599E-2</v>
      </c>
      <c r="AD6990">
        <v>-1.1090594105480001</v>
      </c>
      <c r="AE6990">
        <v>113.15994999999999</v>
      </c>
      <c r="AF6990">
        <v>-0.22624392247580399</v>
      </c>
      <c r="AG6990">
        <v>-1.1090594105480001</v>
      </c>
      <c r="AH6990">
        <v>113.148858610913</v>
      </c>
      <c r="AI6990">
        <v>90.561581109436801</v>
      </c>
      <c r="AJ6990">
        <v>90.114564166019704</v>
      </c>
      <c r="AK6990">
        <v>113.154520033629</v>
      </c>
      <c r="AL6990">
        <v>79.102663108790594</v>
      </c>
      <c r="AM6990">
        <v>91.802695584753806</v>
      </c>
      <c r="AN6990">
        <v>0.99999999297408004</v>
      </c>
    </row>
    <row r="6991" spans="1:40" x14ac:dyDescent="0.25">
      <c r="A6991" t="str">
        <f>"20190304155810816"</f>
        <v>20190304155810816</v>
      </c>
      <c r="B6991" t="str">
        <f>"1551686290811376"</f>
        <v>1551686290811376</v>
      </c>
      <c r="C6991" t="s">
        <v>40</v>
      </c>
      <c r="D6991">
        <v>4.5637600000000003</v>
      </c>
      <c r="E6991">
        <v>0.50925010000000004</v>
      </c>
      <c r="F6991" t="s">
        <v>78</v>
      </c>
      <c r="G6991">
        <v>-187.15790000000001</v>
      </c>
      <c r="H6991" s="1">
        <v>-1.007278E-5</v>
      </c>
      <c r="I6991">
        <v>146.3526</v>
      </c>
      <c r="J6991">
        <v>-187.16300000000001</v>
      </c>
      <c r="K6991">
        <v>1.1090530000000001</v>
      </c>
      <c r="L6991">
        <v>24.279720000000001</v>
      </c>
      <c r="M6991">
        <v>2.5104540000000001E-3</v>
      </c>
      <c r="N6991">
        <v>-8.8944079999999995E-3</v>
      </c>
      <c r="O6991">
        <v>0.99995730000000005</v>
      </c>
      <c r="P6991">
        <v>-2.8711839999999999E-2</v>
      </c>
      <c r="Q6991">
        <v>0.1801693</v>
      </c>
      <c r="R6991">
        <v>0.98321650000000005</v>
      </c>
      <c r="S6991">
        <v>1.5258789999999999E-4</v>
      </c>
      <c r="T6991">
        <v>-2.768576E-2</v>
      </c>
      <c r="U6991">
        <v>3.0563660000000001</v>
      </c>
      <c r="V6991">
        <v>-3.1044760000000001E-2</v>
      </c>
      <c r="W6991">
        <v>0.18892900000000001</v>
      </c>
      <c r="X6991">
        <v>0.98149989999999998</v>
      </c>
      <c r="Y6991">
        <v>-2.4604330000000002E-3</v>
      </c>
      <c r="Z6991">
        <v>-1.635622E-4</v>
      </c>
      <c r="AA6991">
        <v>0.99999700000000002</v>
      </c>
      <c r="AB6991">
        <v>37</v>
      </c>
      <c r="AC6991">
        <v>5.0999999999703496E-3</v>
      </c>
      <c r="AD6991">
        <v>-1.1090630727799999</v>
      </c>
      <c r="AE6991">
        <v>122.07288</v>
      </c>
      <c r="AF6991">
        <v>-0.30134561284349598</v>
      </c>
      <c r="AG6991">
        <v>-1.1090630727799999</v>
      </c>
      <c r="AH6991">
        <v>122.06243284105901</v>
      </c>
      <c r="AI6991">
        <v>90.5205753285192</v>
      </c>
      <c r="AJ6991">
        <v>90.141450537329106</v>
      </c>
      <c r="AK6991">
        <v>122.067843190399</v>
      </c>
      <c r="AL6991">
        <v>79.109711522063805</v>
      </c>
      <c r="AM6991">
        <v>91.811656731493599</v>
      </c>
      <c r="AN6991">
        <v>0.99999999893223301</v>
      </c>
    </row>
    <row r="6992" spans="1:40" x14ac:dyDescent="0.25">
      <c r="A6992" t="str">
        <f>"20190304155810838"</f>
        <v>20190304155810838</v>
      </c>
      <c r="B6992" t="str">
        <f>"1551686290831872"</f>
        <v>1551686290831872</v>
      </c>
      <c r="C6992" t="s">
        <v>40</v>
      </c>
      <c r="D6992">
        <v>4.6656469999999999</v>
      </c>
      <c r="E6992">
        <v>0.50956179999999995</v>
      </c>
      <c r="F6992" t="s">
        <v>78</v>
      </c>
      <c r="G6992">
        <v>-186.92959999999999</v>
      </c>
      <c r="H6992" s="1">
        <v>-9.8431909999999996E-6</v>
      </c>
      <c r="I6992">
        <v>145.4059</v>
      </c>
      <c r="J6992">
        <v>-187.1618</v>
      </c>
      <c r="K6992">
        <v>1.1090530000000001</v>
      </c>
      <c r="L6992">
        <v>24.656490000000002</v>
      </c>
      <c r="M6992">
        <v>2.7854070000000002E-3</v>
      </c>
      <c r="N6992">
        <v>-8.90368699999999E-3</v>
      </c>
      <c r="O6992">
        <v>0.99995650000000003</v>
      </c>
      <c r="P6992">
        <v>-2.851476E-2</v>
      </c>
      <c r="Q6992">
        <v>0.179869899999999</v>
      </c>
      <c r="R6992">
        <v>0.98327699999999996</v>
      </c>
      <c r="S6992">
        <v>5.8898930000000002E-3</v>
      </c>
      <c r="T6992">
        <v>-2.798629E-2</v>
      </c>
      <c r="U6992">
        <v>3.0565190000000002</v>
      </c>
      <c r="V6992">
        <v>-3.1119540000000001E-2</v>
      </c>
      <c r="W6992">
        <v>0.18863920000000001</v>
      </c>
      <c r="X6992">
        <v>0.98155329999999996</v>
      </c>
      <c r="Y6992">
        <v>0</v>
      </c>
      <c r="Z6992">
        <v>0</v>
      </c>
      <c r="AA6992">
        <v>1</v>
      </c>
      <c r="AB6992">
        <v>37</v>
      </c>
      <c r="AC6992">
        <v>0.23220000000000601</v>
      </c>
      <c r="AD6992">
        <v>-1.1090628431909999</v>
      </c>
      <c r="AE6992">
        <v>120.74941</v>
      </c>
      <c r="AF6992">
        <v>-0.104141693587383</v>
      </c>
      <c r="AG6992">
        <v>-1.1090628431909999</v>
      </c>
      <c r="AH6992">
        <v>120.739402670283</v>
      </c>
      <c r="AI6992">
        <v>90.526280634034507</v>
      </c>
      <c r="AJ6992">
        <v>90.049419476179494</v>
      </c>
      <c r="AK6992">
        <v>120.744541172921</v>
      </c>
      <c r="AL6992">
        <v>79.126620185109999</v>
      </c>
      <c r="AM6992">
        <v>91.815918963926507</v>
      </c>
      <c r="AN6992">
        <v>1.00000002714367</v>
      </c>
    </row>
    <row r="6993" spans="1:40" x14ac:dyDescent="0.25">
      <c r="A6993" t="str">
        <f>"20190304155810861"</f>
        <v>20190304155810861</v>
      </c>
      <c r="B6993" t="str">
        <f>"1551686290851392"</f>
        <v>1551686290851392</v>
      </c>
      <c r="C6993" t="s">
        <v>40</v>
      </c>
      <c r="D6993">
        <v>4.5727140000000004</v>
      </c>
      <c r="E6993">
        <v>0.51008969999999998</v>
      </c>
      <c r="F6993" t="s">
        <v>78</v>
      </c>
      <c r="G6993">
        <v>-186.76400000000001</v>
      </c>
      <c r="H6993" s="1">
        <v>-1.4227090000000001E-5</v>
      </c>
      <c r="I6993">
        <v>157.86709999999999</v>
      </c>
      <c r="J6993">
        <v>-187.16050000000001</v>
      </c>
      <c r="K6993">
        <v>1.1090599999999999</v>
      </c>
      <c r="L6993">
        <v>25.02524</v>
      </c>
      <c r="M6993">
        <v>3.0541209999999999E-3</v>
      </c>
      <c r="N6993">
        <v>-8.9127709999999999E-3</v>
      </c>
      <c r="O6993">
        <v>0.99995560000000006</v>
      </c>
      <c r="P6993">
        <v>-2.815991E-2</v>
      </c>
      <c r="Q6993">
        <v>0.17973789999999901</v>
      </c>
      <c r="R6993">
        <v>0.98331139999999995</v>
      </c>
      <c r="S6993">
        <v>9.1247559999999995E-3</v>
      </c>
      <c r="T6993">
        <v>-2.5442719999999999E-2</v>
      </c>
      <c r="U6993">
        <v>3.055939</v>
      </c>
      <c r="V6993">
        <v>-3.1029950000000001E-2</v>
      </c>
      <c r="W6993">
        <v>0.18851599999999999</v>
      </c>
      <c r="X6993">
        <v>0.9815798</v>
      </c>
      <c r="Y6993">
        <v>0</v>
      </c>
      <c r="Z6993">
        <v>0</v>
      </c>
      <c r="AA6993">
        <v>1</v>
      </c>
      <c r="AB6993">
        <v>37</v>
      </c>
      <c r="AC6993">
        <v>0.39650000000000302</v>
      </c>
      <c r="AD6993">
        <v>-1.10907422708999</v>
      </c>
      <c r="AE6993">
        <v>132.84186</v>
      </c>
      <c r="AF6993">
        <v>-9.2324422677509902E-3</v>
      </c>
      <c r="AG6993">
        <v>-1.10907422708999</v>
      </c>
      <c r="AH6993">
        <v>132.83319261832301</v>
      </c>
      <c r="AI6993">
        <v>90.4783728705942</v>
      </c>
      <c r="AJ6993">
        <v>90.003982287598902</v>
      </c>
      <c r="AK6993">
        <v>132.83782289715401</v>
      </c>
      <c r="AL6993">
        <v>79.133807928828404</v>
      </c>
      <c r="AM6993">
        <v>91.810645751158603</v>
      </c>
      <c r="AN6993">
        <v>1.0000000219105201</v>
      </c>
    </row>
    <row r="6994" spans="1:40" x14ac:dyDescent="0.25">
      <c r="A6994" t="str">
        <f>"20190304155810884"</f>
        <v>20190304155810884</v>
      </c>
      <c r="B6994" t="str">
        <f>"1551686290881648"</f>
        <v>1551686290881648</v>
      </c>
      <c r="C6994" t="s">
        <v>40</v>
      </c>
      <c r="D6994">
        <v>4.6013919999999997</v>
      </c>
      <c r="E6994">
        <v>0.51118299999999905</v>
      </c>
      <c r="F6994" t="s">
        <v>41</v>
      </c>
      <c r="G6994">
        <v>-186.5034</v>
      </c>
      <c r="H6994" s="1">
        <v>-1.385379E-6</v>
      </c>
      <c r="I6994">
        <v>160.82939999999999</v>
      </c>
      <c r="J6994">
        <v>-187.1591</v>
      </c>
      <c r="K6994">
        <v>1.1090580000000001</v>
      </c>
      <c r="L6994">
        <v>25.409759999999999</v>
      </c>
      <c r="M6994">
        <v>3.3339049999999999E-3</v>
      </c>
      <c r="N6994">
        <v>-8.9222629999999997E-3</v>
      </c>
      <c r="O6994">
        <v>0.99995460000000003</v>
      </c>
      <c r="P6994">
        <v>-2.7882669999999998E-2</v>
      </c>
      <c r="Q6994">
        <v>0.18015539999999999</v>
      </c>
      <c r="R6994">
        <v>0.98324290000000003</v>
      </c>
      <c r="S6994">
        <v>1.478577E-2</v>
      </c>
      <c r="T6994">
        <v>-2.495646E-2</v>
      </c>
      <c r="U6994">
        <v>3.0559080000000001</v>
      </c>
      <c r="V6994">
        <v>-3.102736E-2</v>
      </c>
      <c r="W6994">
        <v>0.1889421</v>
      </c>
      <c r="X6994">
        <v>0.98149790000000003</v>
      </c>
      <c r="Y6994">
        <v>1.5042219999999999E-3</v>
      </c>
      <c r="Z6994">
        <v>7.5598429999999904E-4</v>
      </c>
      <c r="AA6994">
        <v>0.99999859999999896</v>
      </c>
      <c r="AB6994">
        <v>37</v>
      </c>
      <c r="AC6994">
        <v>0.65569999999999595</v>
      </c>
      <c r="AD6994">
        <v>-1.1090593853790001</v>
      </c>
      <c r="AE6994">
        <v>135.41963999999999</v>
      </c>
      <c r="AF6994">
        <v>0.20418845704365399</v>
      </c>
      <c r="AG6994">
        <v>-1.1090593853790001</v>
      </c>
      <c r="AH6994">
        <v>135.41199123167101</v>
      </c>
      <c r="AI6994">
        <v>90.469256292533601</v>
      </c>
      <c r="AJ6994">
        <v>89.9136034568253</v>
      </c>
      <c r="AK6994">
        <v>135.41668684092201</v>
      </c>
      <c r="AL6994">
        <v>79.108946872841599</v>
      </c>
      <c r="AM6994">
        <v>91.810645695383997</v>
      </c>
      <c r="AN6994">
        <v>0.999999970962694</v>
      </c>
    </row>
    <row r="6995" spans="1:40" x14ac:dyDescent="0.25">
      <c r="A6995" t="str">
        <f>"20190304155810906"</f>
        <v>20190304155810906</v>
      </c>
      <c r="B6995" t="str">
        <f>"1551686290901168"</f>
        <v>1551686290901168</v>
      </c>
      <c r="C6995" t="s">
        <v>40</v>
      </c>
      <c r="D6995">
        <v>4.5960419999999997</v>
      </c>
      <c r="E6995">
        <v>0.51179370000000002</v>
      </c>
      <c r="F6995" t="s">
        <v>41</v>
      </c>
      <c r="G6995">
        <v>-186.07550000000001</v>
      </c>
      <c r="H6995" s="1">
        <v>-1.07568E-6</v>
      </c>
      <c r="I6995">
        <v>159.72640000000001</v>
      </c>
      <c r="J6995">
        <v>-187.1576</v>
      </c>
      <c r="K6995">
        <v>1.109059</v>
      </c>
      <c r="L6995">
        <v>25.783359999999998</v>
      </c>
      <c r="M6995">
        <v>3.6054360000000001E-3</v>
      </c>
      <c r="N6995">
        <v>-8.9314819999999993E-3</v>
      </c>
      <c r="O6995">
        <v>0.9999536</v>
      </c>
      <c r="P6995">
        <v>-2.787999E-2</v>
      </c>
      <c r="Q6995">
        <v>0.18077009999999999</v>
      </c>
      <c r="R6995">
        <v>0.98313019999999995</v>
      </c>
      <c r="S6995">
        <v>2.4658200000000002E-2</v>
      </c>
      <c r="T6995">
        <v>-2.5237320000000001E-2</v>
      </c>
      <c r="U6995">
        <v>3.0564580000000001</v>
      </c>
      <c r="V6995">
        <v>-3.1291239999999998E-2</v>
      </c>
      <c r="W6995">
        <v>0.18956480000000001</v>
      </c>
      <c r="X6995">
        <v>0.98136939999999995</v>
      </c>
      <c r="Y6995">
        <v>4.4614559999999999E-3</v>
      </c>
      <c r="Z6995">
        <v>6.7486460000000005E-4</v>
      </c>
      <c r="AA6995">
        <v>0.99998980000000004</v>
      </c>
      <c r="AB6995">
        <v>37</v>
      </c>
      <c r="AC6995">
        <v>1.0820999999999901</v>
      </c>
      <c r="AD6995">
        <v>-1.10906007568</v>
      </c>
      <c r="AE6995">
        <v>133.94304</v>
      </c>
      <c r="AF6995">
        <v>0.59910956620642197</v>
      </c>
      <c r="AG6995">
        <v>-1.10906007568</v>
      </c>
      <c r="AH6995">
        <v>133.93688885824301</v>
      </c>
      <c r="AI6995">
        <v>90.474420259970401</v>
      </c>
      <c r="AJ6995">
        <v>89.743713468590002</v>
      </c>
      <c r="AK6995">
        <v>133.942820425543</v>
      </c>
      <c r="AL6995">
        <v>79.072611673786</v>
      </c>
      <c r="AM6995">
        <v>91.826273344576705</v>
      </c>
      <c r="AN6995">
        <v>0.99999992717806596</v>
      </c>
    </row>
    <row r="6996" spans="1:40" x14ac:dyDescent="0.25">
      <c r="A6996" t="str">
        <f>"20190304155810926"</f>
        <v>20190304155810926</v>
      </c>
      <c r="B6996" t="str">
        <f>"1551686290921664"</f>
        <v>1551686290921664</v>
      </c>
      <c r="C6996" t="s">
        <v>40</v>
      </c>
      <c r="D6996">
        <v>4.6068150000000001</v>
      </c>
      <c r="E6996">
        <v>0.51234579999999996</v>
      </c>
      <c r="F6996" t="s">
        <v>41</v>
      </c>
      <c r="G6996">
        <v>-185.84059999999999</v>
      </c>
      <c r="H6996" s="1">
        <v>-1.848861E-6</v>
      </c>
      <c r="I6996">
        <v>161.577</v>
      </c>
      <c r="J6996">
        <v>-187.15610000000001</v>
      </c>
      <c r="K6996">
        <v>1.1090530000000001</v>
      </c>
      <c r="L6996">
        <v>26.129670000000001</v>
      </c>
      <c r="M6996">
        <v>3.856983E-3</v>
      </c>
      <c r="N6996">
        <v>-8.9400079999999993E-3</v>
      </c>
      <c r="O6996">
        <v>0.99995259999999997</v>
      </c>
      <c r="P6996">
        <v>-2.8005229999999999E-2</v>
      </c>
      <c r="Q6996">
        <v>0.181393</v>
      </c>
      <c r="R6996">
        <v>0.98301179999999999</v>
      </c>
      <c r="S6996">
        <v>2.964783E-2</v>
      </c>
      <c r="T6996">
        <v>-2.4966599999999999E-2</v>
      </c>
      <c r="U6996">
        <v>3.056915</v>
      </c>
      <c r="V6996">
        <v>-3.1662610000000001E-2</v>
      </c>
      <c r="W6996">
        <v>0.190195</v>
      </c>
      <c r="X6996">
        <v>0.98123559999999999</v>
      </c>
      <c r="Y6996">
        <v>5.8406760000000004E-3</v>
      </c>
      <c r="Z6996">
        <v>7.732428E-4</v>
      </c>
      <c r="AA6996">
        <v>0.9999827</v>
      </c>
      <c r="AB6996">
        <v>37</v>
      </c>
      <c r="AC6996">
        <v>1.3155000000000101</v>
      </c>
      <c r="AD6996">
        <v>-1.1090548488609999</v>
      </c>
      <c r="AE6996">
        <v>135.44732999999999</v>
      </c>
      <c r="AF6996">
        <v>0.79299812623376198</v>
      </c>
      <c r="AG6996">
        <v>-1.1090548488609999</v>
      </c>
      <c r="AH6996">
        <v>135.44231665319899</v>
      </c>
      <c r="AI6996">
        <v>90.469141804980396</v>
      </c>
      <c r="AJ6996">
        <v>89.664544082241505</v>
      </c>
      <c r="AK6996">
        <v>135.44917862088101</v>
      </c>
      <c r="AL6996">
        <v>79.035835395644796</v>
      </c>
      <c r="AM6996">
        <v>91.848184748551304</v>
      </c>
      <c r="AN6996">
        <v>0.999999980802185</v>
      </c>
    </row>
    <row r="6997" spans="1:40" x14ac:dyDescent="0.25">
      <c r="A6997" t="str">
        <f>"20190304155810948"</f>
        <v>20190304155810948</v>
      </c>
      <c r="B6997" t="str">
        <f>"1551686290941184"</f>
        <v>1551686290941184</v>
      </c>
      <c r="C6997" t="s">
        <v>40</v>
      </c>
      <c r="D6997">
        <v>4.6166999999999998</v>
      </c>
      <c r="E6997">
        <v>0.51256849999999998</v>
      </c>
      <c r="F6997" t="s">
        <v>41</v>
      </c>
      <c r="G6997">
        <v>-185.584</v>
      </c>
      <c r="H6997" s="1">
        <v>-1.167337E-6</v>
      </c>
      <c r="I6997">
        <v>169.62559999999999</v>
      </c>
      <c r="J6997">
        <v>-187.15440000000001</v>
      </c>
      <c r="K6997">
        <v>1.1090610000000001</v>
      </c>
      <c r="L6997">
        <v>26.503779999999999</v>
      </c>
      <c r="M6997">
        <v>4.1271260000000001E-3</v>
      </c>
      <c r="N6997">
        <v>-8.9491869999999904E-3</v>
      </c>
      <c r="O6997">
        <v>0.99995140000000005</v>
      </c>
      <c r="P6997">
        <v>-2.8112689999999999E-2</v>
      </c>
      <c r="Q6997">
        <v>0.1816448</v>
      </c>
      <c r="R6997">
        <v>0.98296229999999996</v>
      </c>
      <c r="S6997">
        <v>3.3493040000000002E-2</v>
      </c>
      <c r="T6997">
        <v>-2.362823E-2</v>
      </c>
      <c r="U6997">
        <v>3.057159</v>
      </c>
      <c r="V6997">
        <v>-3.2035729999999998E-2</v>
      </c>
      <c r="W6997">
        <v>0.19045570000000001</v>
      </c>
      <c r="X6997">
        <v>0.98117290000000001</v>
      </c>
      <c r="Y6997">
        <v>6.8272960000000001E-3</v>
      </c>
      <c r="Z6997">
        <v>1.2208589999999999E-3</v>
      </c>
      <c r="AA6997">
        <v>0.99997590000000003</v>
      </c>
      <c r="AB6997">
        <v>37</v>
      </c>
      <c r="AC6997">
        <v>1.5704</v>
      </c>
      <c r="AD6997">
        <v>-1.109062167337</v>
      </c>
      <c r="AE6997">
        <v>143.12182000000001</v>
      </c>
      <c r="AF6997">
        <v>0.97962234517878599</v>
      </c>
      <c r="AG6997">
        <v>-1.109062167337</v>
      </c>
      <c r="AH6997">
        <v>143.11848951162099</v>
      </c>
      <c r="AI6997">
        <v>90.443980517477002</v>
      </c>
      <c r="AJ6997">
        <v>89.607826008065302</v>
      </c>
      <c r="AK6997">
        <v>143.126139188194</v>
      </c>
      <c r="AL6997">
        <v>79.020620045656003</v>
      </c>
      <c r="AM6997">
        <v>91.870068251364899</v>
      </c>
      <c r="AN6997">
        <v>0.999999960676765</v>
      </c>
    </row>
    <row r="6998" spans="1:40" x14ac:dyDescent="0.25">
      <c r="A6998" t="str">
        <f>"20190304155810972"</f>
        <v>20190304155810972</v>
      </c>
      <c r="B6998" t="str">
        <f>"1551686290961680"</f>
        <v>1551686290961680</v>
      </c>
      <c r="C6998" t="s">
        <v>40</v>
      </c>
      <c r="D6998">
        <v>4.6704339999999904</v>
      </c>
      <c r="E6998">
        <v>0.51285760000000002</v>
      </c>
      <c r="F6998" t="s">
        <v>41</v>
      </c>
      <c r="G6998">
        <v>-185.5026</v>
      </c>
      <c r="H6998" s="1">
        <v>-2.0145860000000002E-6</v>
      </c>
      <c r="I6998">
        <v>172.05160000000001</v>
      </c>
      <c r="J6998">
        <v>-187.15270000000001</v>
      </c>
      <c r="K6998">
        <v>1.109062</v>
      </c>
      <c r="L6998">
        <v>26.87921</v>
      </c>
      <c r="M6998">
        <v>4.3947580000000003E-3</v>
      </c>
      <c r="N6998">
        <v>-8.9584239999999996E-3</v>
      </c>
      <c r="O6998">
        <v>0.99995020000000001</v>
      </c>
      <c r="P6998">
        <v>-2.791211E-2</v>
      </c>
      <c r="Q6998">
        <v>0.1820881</v>
      </c>
      <c r="R6998">
        <v>0.98288600000000004</v>
      </c>
      <c r="S6998">
        <v>3.4698489999999999E-2</v>
      </c>
      <c r="T6998">
        <v>-2.3296480000000001E-2</v>
      </c>
      <c r="U6998">
        <v>3.057312</v>
      </c>
      <c r="V6998">
        <v>-3.2097899999999999E-2</v>
      </c>
      <c r="W6998">
        <v>0.1909074</v>
      </c>
      <c r="X6998">
        <v>0.98108309999999999</v>
      </c>
      <c r="Y6998">
        <v>6.9533260000000001E-3</v>
      </c>
      <c r="Z6998">
        <v>1.3389949999999999E-3</v>
      </c>
      <c r="AA6998">
        <v>0.9999749</v>
      </c>
      <c r="AB6998">
        <v>37</v>
      </c>
      <c r="AC6998">
        <v>1.6500999999999999</v>
      </c>
      <c r="AD6998">
        <v>-1.109064014586</v>
      </c>
      <c r="AE6998">
        <v>145.17238999999901</v>
      </c>
      <c r="AF6998">
        <v>1.01200187259796</v>
      </c>
      <c r="AG6998">
        <v>-1.109064014586</v>
      </c>
      <c r="AH6998">
        <v>145.16976844328701</v>
      </c>
      <c r="AI6998">
        <v>90.437707573605095</v>
      </c>
      <c r="AJ6998">
        <v>89.600588348848802</v>
      </c>
      <c r="AK6998">
        <v>145.17753214825001</v>
      </c>
      <c r="AL6998">
        <v>78.994256021788999</v>
      </c>
      <c r="AM6998">
        <v>91.873866186643795</v>
      </c>
      <c r="AN6998">
        <v>0.99999997983238897</v>
      </c>
    </row>
    <row r="6999" spans="1:40" x14ac:dyDescent="0.25">
      <c r="A6999" t="str">
        <f>"20190304155810995"</f>
        <v>20190304155810995</v>
      </c>
      <c r="B6999" t="str">
        <f>"1551686290991936"</f>
        <v>1551686290991936</v>
      </c>
      <c r="C6999" t="s">
        <v>40</v>
      </c>
      <c r="D6999">
        <v>4.6147900000000002</v>
      </c>
      <c r="E6999">
        <v>0.51315379999999999</v>
      </c>
      <c r="F6999" t="s">
        <v>41</v>
      </c>
      <c r="G6999">
        <v>-185.24539999999999</v>
      </c>
      <c r="H6999" s="1">
        <v>-2.4432449999999999E-6</v>
      </c>
      <c r="I6999">
        <v>183.11019999999999</v>
      </c>
      <c r="J6999">
        <v>-187.1507</v>
      </c>
      <c r="K6999">
        <v>1.109062</v>
      </c>
      <c r="L6999">
        <v>27.27563</v>
      </c>
      <c r="M6999">
        <v>4.6692870000000003E-3</v>
      </c>
      <c r="N6999">
        <v>-8.968106E-3</v>
      </c>
      <c r="O6999">
        <v>0.99994890000000003</v>
      </c>
      <c r="P6999">
        <v>-2.742907E-2</v>
      </c>
      <c r="Q6999">
        <v>0.182892</v>
      </c>
      <c r="R6999">
        <v>0.98275029999999997</v>
      </c>
      <c r="S6999">
        <v>3.7323000000000002E-2</v>
      </c>
      <c r="T6999">
        <v>-2.1703480000000001E-2</v>
      </c>
      <c r="U6999">
        <v>3.057312</v>
      </c>
      <c r="V6999">
        <v>-3.1885990000000003E-2</v>
      </c>
      <c r="W6999">
        <v>0.19171859999999999</v>
      </c>
      <c r="X6999">
        <v>0.98093180000000002</v>
      </c>
      <c r="Y6999">
        <v>7.5370480000000002E-3</v>
      </c>
      <c r="Z6999">
        <v>1.869695E-3</v>
      </c>
      <c r="AA6999">
        <v>0.99996980000000002</v>
      </c>
      <c r="AB6999">
        <v>38</v>
      </c>
      <c r="AC6999">
        <v>1.90530000000001</v>
      </c>
      <c r="AD6999">
        <v>-1.1090644432449901</v>
      </c>
      <c r="AE6999">
        <v>155.83457000000001</v>
      </c>
      <c r="AF6999">
        <v>1.1775540103925899</v>
      </c>
      <c r="AG6999">
        <v>-1.1090644432449901</v>
      </c>
      <c r="AH6999">
        <v>155.833875908652</v>
      </c>
      <c r="AI6999">
        <v>90.407753606565606</v>
      </c>
      <c r="AJ6999">
        <v>89.567054400515701</v>
      </c>
      <c r="AK6999">
        <v>155.84227134542101</v>
      </c>
      <c r="AL6999">
        <v>78.946902887170694</v>
      </c>
      <c r="AM6999">
        <v>91.861790592777297</v>
      </c>
      <c r="AN6999">
        <v>0.99999996709773897</v>
      </c>
    </row>
    <row r="7000" spans="1:40" x14ac:dyDescent="0.25">
      <c r="A7000" t="str">
        <f>"20190304155811017"</f>
        <v>20190304155811017</v>
      </c>
      <c r="B7000" t="str">
        <f>"1551686291011456"</f>
        <v>1551686291011456</v>
      </c>
      <c r="C7000" t="s">
        <v>40</v>
      </c>
      <c r="D7000">
        <v>4.7129580000000004</v>
      </c>
      <c r="E7000">
        <v>0.51326910000000003</v>
      </c>
      <c r="F7000" t="s">
        <v>41</v>
      </c>
      <c r="G7000">
        <v>-184.9888</v>
      </c>
      <c r="H7000" s="1">
        <v>-3.6066779999999999E-6</v>
      </c>
      <c r="I7000">
        <v>185.96799999999999</v>
      </c>
      <c r="J7000">
        <v>-187.14879999999999</v>
      </c>
      <c r="K7000">
        <v>1.1090709999999999</v>
      </c>
      <c r="L7000">
        <v>27.63156</v>
      </c>
      <c r="M7000">
        <v>4.9077970000000002E-3</v>
      </c>
      <c r="N7000">
        <v>-8.9767749999999993E-3</v>
      </c>
      <c r="O7000">
        <v>0.99994769999999999</v>
      </c>
      <c r="P7000">
        <v>-2.6746809999999999E-2</v>
      </c>
      <c r="Q7000">
        <v>0.183336</v>
      </c>
      <c r="R7000">
        <v>0.98268639999999996</v>
      </c>
      <c r="S7000">
        <v>4.1656489999999997E-2</v>
      </c>
      <c r="T7000">
        <v>-2.137029E-2</v>
      </c>
      <c r="U7000">
        <v>3.0577999999999999</v>
      </c>
      <c r="V7000">
        <v>-3.1440210000000003E-2</v>
      </c>
      <c r="W7000">
        <v>0.1921697</v>
      </c>
      <c r="X7000">
        <v>0.98085800000000001</v>
      </c>
      <c r="Y7000">
        <v>8.7134099999999996E-3</v>
      </c>
      <c r="Z7000">
        <v>1.988512E-3</v>
      </c>
      <c r="AA7000">
        <v>0.99996010000000002</v>
      </c>
      <c r="AB7000">
        <v>38</v>
      </c>
      <c r="AC7000">
        <v>2.1599999999999899</v>
      </c>
      <c r="AD7000">
        <v>-1.109074606678</v>
      </c>
      <c r="AE7000">
        <v>158.33643999999899</v>
      </c>
      <c r="AF7000">
        <v>1.38279176328466</v>
      </c>
      <c r="AG7000">
        <v>-1.109074606678</v>
      </c>
      <c r="AH7000">
        <v>158.33736705797699</v>
      </c>
      <c r="AI7000">
        <v>90.401306609384406</v>
      </c>
      <c r="AJ7000">
        <v>89.499637266077798</v>
      </c>
      <c r="AK7000">
        <v>158.34728910340201</v>
      </c>
      <c r="AL7000">
        <v>78.920567978603898</v>
      </c>
      <c r="AM7000">
        <v>91.835917917292804</v>
      </c>
      <c r="AN7000">
        <v>1.0000000482834599</v>
      </c>
    </row>
    <row r="7001" spans="1:40" x14ac:dyDescent="0.25">
      <c r="A7001" t="str">
        <f>"20190304155811038"</f>
        <v>20190304155811038</v>
      </c>
      <c r="B7001" t="str">
        <f>"1551686291031952"</f>
        <v>1551686291031952</v>
      </c>
      <c r="C7001" t="s">
        <v>40</v>
      </c>
      <c r="D7001">
        <v>4.6517439999999999</v>
      </c>
      <c r="E7001">
        <v>0.51352140000000002</v>
      </c>
      <c r="F7001" t="s">
        <v>53</v>
      </c>
      <c r="G7001">
        <v>-184.58709999999999</v>
      </c>
      <c r="H7001" s="1">
        <v>5.7855900000000003E-6</v>
      </c>
      <c r="I7001">
        <v>202.35400000000001</v>
      </c>
      <c r="J7001">
        <v>-187.14670000000001</v>
      </c>
      <c r="K7001">
        <v>1.109081</v>
      </c>
      <c r="L7001">
        <v>28.01202</v>
      </c>
      <c r="M7001">
        <v>5.1472159999999996E-3</v>
      </c>
      <c r="N7001">
        <v>-8.9860510000000001E-3</v>
      </c>
      <c r="O7001">
        <v>0.99994640000000001</v>
      </c>
      <c r="P7001">
        <v>-2.544308E-2</v>
      </c>
      <c r="Q7001">
        <v>0.18377270000000001</v>
      </c>
      <c r="R7001">
        <v>0.98263940000000005</v>
      </c>
      <c r="S7001">
        <v>4.483032E-2</v>
      </c>
      <c r="T7001">
        <v>-1.9409059999999999E-2</v>
      </c>
      <c r="U7001">
        <v>3.057709</v>
      </c>
      <c r="V7001">
        <v>-3.037579E-2</v>
      </c>
      <c r="W7001">
        <v>0.19261420000000001</v>
      </c>
      <c r="X7001">
        <v>0.98080429999999996</v>
      </c>
      <c r="Y7001">
        <v>9.5120640000000006E-3</v>
      </c>
      <c r="Z7001">
        <v>2.6389429999999999E-3</v>
      </c>
      <c r="AA7001">
        <v>0.99995129999999999</v>
      </c>
      <c r="AB7001">
        <v>38</v>
      </c>
      <c r="AC7001">
        <v>2.5596000000000099</v>
      </c>
      <c r="AD7001">
        <v>-1.10907521441</v>
      </c>
      <c r="AE7001">
        <v>174.34198000000001</v>
      </c>
      <c r="AF7001">
        <v>1.6620868007084599</v>
      </c>
      <c r="AG7001">
        <v>-1.10907521441</v>
      </c>
      <c r="AH7001">
        <v>174.34579164287101</v>
      </c>
      <c r="AI7001">
        <v>90.364457231331798</v>
      </c>
      <c r="AJ7001">
        <v>89.453799984693305</v>
      </c>
      <c r="AK7001">
        <v>174.35724144394899</v>
      </c>
      <c r="AL7001">
        <v>78.894614580064399</v>
      </c>
      <c r="AM7001">
        <v>91.773899691334606</v>
      </c>
      <c r="AN7001">
        <v>0.99999999677912599</v>
      </c>
    </row>
    <row r="7002" spans="1:40" x14ac:dyDescent="0.25">
      <c r="A7002" t="str">
        <f>"20190304155811073"</f>
        <v>20190304155811073</v>
      </c>
      <c r="B7002" t="str">
        <f>"1551686291071968"</f>
        <v>1551686291071968</v>
      </c>
      <c r="C7002" t="s">
        <v>40</v>
      </c>
      <c r="D7002">
        <v>4.6931779999999996</v>
      </c>
      <c r="E7002">
        <v>0.51326669999999996</v>
      </c>
      <c r="F7002" t="s">
        <v>53</v>
      </c>
      <c r="G7002">
        <v>-184.1208</v>
      </c>
      <c r="H7002" s="1">
        <v>3.1474179999999998E-6</v>
      </c>
      <c r="I7002">
        <v>212.20609999999999</v>
      </c>
      <c r="J7002">
        <v>-187.14340000000001</v>
      </c>
      <c r="K7002">
        <v>1.1091040000000001</v>
      </c>
      <c r="L7002">
        <v>28.596039999999999</v>
      </c>
      <c r="M7002">
        <v>5.4631910000000001E-3</v>
      </c>
      <c r="N7002">
        <v>-9.0002490000000001E-3</v>
      </c>
      <c r="O7002">
        <v>0.99994459999999996</v>
      </c>
      <c r="P7002">
        <v>-2.4346340000000001E-2</v>
      </c>
      <c r="Q7002">
        <v>0.18361469999999999</v>
      </c>
      <c r="R7002">
        <v>0.98269680000000004</v>
      </c>
      <c r="S7002">
        <v>5.0231930000000001E-2</v>
      </c>
      <c r="T7002">
        <v>-1.8411400000000001E-2</v>
      </c>
      <c r="U7002">
        <v>3.0577390000000002</v>
      </c>
      <c r="V7002">
        <v>-2.9603089999999999E-2</v>
      </c>
      <c r="W7002">
        <v>0.19246779999999999</v>
      </c>
      <c r="X7002">
        <v>0.98085670000000003</v>
      </c>
      <c r="Y7002">
        <v>1.096185E-2</v>
      </c>
      <c r="Z7002">
        <v>2.9795120000000001E-3</v>
      </c>
      <c r="AA7002">
        <v>0.99993549999999998</v>
      </c>
      <c r="AB7002">
        <v>38</v>
      </c>
      <c r="AC7002">
        <v>3.0226000000000099</v>
      </c>
      <c r="AD7002">
        <v>-1.1091008525820001</v>
      </c>
      <c r="AE7002">
        <v>183.61006</v>
      </c>
      <c r="AF7002">
        <v>2.0193437970168699</v>
      </c>
      <c r="AG7002">
        <v>-1.1091008525820001</v>
      </c>
      <c r="AH7002">
        <v>183.617135419871</v>
      </c>
      <c r="AI7002">
        <v>90.346058021991198</v>
      </c>
      <c r="AJ7002">
        <v>89.3699105885634</v>
      </c>
      <c r="AK7002">
        <v>183.63158844237901</v>
      </c>
      <c r="AL7002">
        <v>78.903163014971199</v>
      </c>
      <c r="AM7002">
        <v>91.728710631989699</v>
      </c>
      <c r="AN7002">
        <v>1.00000003145463</v>
      </c>
    </row>
    <row r="7003" spans="1:40" x14ac:dyDescent="0.25">
      <c r="A7003" t="str">
        <f>"20190304155811097"</f>
        <v>20190304155811097</v>
      </c>
      <c r="B7003" t="str">
        <f>"1551686291091488"</f>
        <v>1551686291091488</v>
      </c>
      <c r="C7003" t="s">
        <v>40</v>
      </c>
      <c r="D7003">
        <v>4.6193499999999998</v>
      </c>
      <c r="E7003">
        <v>0.51333439999999997</v>
      </c>
      <c r="F7003" t="s">
        <v>41</v>
      </c>
      <c r="G7003">
        <v>-184.5333</v>
      </c>
      <c r="H7003" s="1">
        <v>-2.2407279999999999E-6</v>
      </c>
      <c r="I7003">
        <v>181.95830000000001</v>
      </c>
      <c r="J7003">
        <v>-187.14109999999999</v>
      </c>
      <c r="K7003">
        <v>1.109124</v>
      </c>
      <c r="L7003">
        <v>28.991849999999999</v>
      </c>
      <c r="M7003">
        <v>5.6269900000000001E-3</v>
      </c>
      <c r="N7003">
        <v>-9.0099800000000008E-3</v>
      </c>
      <c r="O7003">
        <v>0.99994360000000004</v>
      </c>
      <c r="P7003">
        <v>-2.4175430000000001E-2</v>
      </c>
      <c r="Q7003">
        <v>0.1830589</v>
      </c>
      <c r="R7003">
        <v>0.98280469999999998</v>
      </c>
      <c r="S7003">
        <v>5.204773E-2</v>
      </c>
      <c r="T7003">
        <v>-2.211714E-2</v>
      </c>
      <c r="U7003">
        <v>3.0582579999999999</v>
      </c>
      <c r="V7003">
        <v>-2.9607729999999999E-2</v>
      </c>
      <c r="W7003">
        <v>0.1919207</v>
      </c>
      <c r="X7003">
        <v>0.98096369999999999</v>
      </c>
      <c r="Y7003">
        <v>1.138875E-2</v>
      </c>
      <c r="Z7003">
        <v>1.7787860000000001E-3</v>
      </c>
      <c r="AA7003">
        <v>0.99993350000000003</v>
      </c>
      <c r="AB7003">
        <v>38</v>
      </c>
      <c r="AC7003">
        <v>2.6077999999999899</v>
      </c>
      <c r="AD7003">
        <v>-1.109126240728</v>
      </c>
      <c r="AE7003">
        <v>152.96645000000001</v>
      </c>
      <c r="AF7003">
        <v>1.7468912926489699</v>
      </c>
      <c r="AG7003">
        <v>-1.109126240728</v>
      </c>
      <c r="AH7003">
        <v>152.97066283824199</v>
      </c>
      <c r="AI7003">
        <v>90.415393348736202</v>
      </c>
      <c r="AJ7003">
        <v>89.345723252523698</v>
      </c>
      <c r="AK7003">
        <v>152.98465766009801</v>
      </c>
      <c r="AL7003">
        <v>78.9351044204939</v>
      </c>
      <c r="AM7003">
        <v>91.728792949686394</v>
      </c>
      <c r="AN7003">
        <v>0.99999997674096597</v>
      </c>
    </row>
    <row r="7004" spans="1:40" x14ac:dyDescent="0.25">
      <c r="A7004" t="str">
        <f>"20190304155811116"</f>
        <v>20190304155811116</v>
      </c>
      <c r="B7004" t="str">
        <f>"1551686291111984"</f>
        <v>1551686291111984</v>
      </c>
      <c r="C7004" t="s">
        <v>40</v>
      </c>
      <c r="D7004">
        <v>4.6771669999999999</v>
      </c>
      <c r="E7004">
        <v>0.51303480000000001</v>
      </c>
      <c r="F7004" t="s">
        <v>41</v>
      </c>
      <c r="G7004">
        <v>-184.6609</v>
      </c>
      <c r="H7004" s="1">
        <v>-2.3599399999999999E-6</v>
      </c>
      <c r="I7004">
        <v>172.4084</v>
      </c>
      <c r="J7004">
        <v>-187.13910000000001</v>
      </c>
      <c r="K7004">
        <v>1.109148</v>
      </c>
      <c r="L7004">
        <v>29.330629999999999</v>
      </c>
      <c r="M7004">
        <v>5.7374919999999899E-3</v>
      </c>
      <c r="N7004">
        <v>-9.0181919999999995E-3</v>
      </c>
      <c r="O7004">
        <v>0.99994289999999997</v>
      </c>
      <c r="P7004">
        <v>-2.3960829999999999E-2</v>
      </c>
      <c r="Q7004">
        <v>0.1827182</v>
      </c>
      <c r="R7004">
        <v>0.98287329999999995</v>
      </c>
      <c r="S7004">
        <v>5.2886959999999997E-2</v>
      </c>
      <c r="T7004">
        <v>-2.3650879999999999E-2</v>
      </c>
      <c r="U7004">
        <v>3.0581969999999998</v>
      </c>
      <c r="V7004">
        <v>-2.9514740000000001E-2</v>
      </c>
      <c r="W7004">
        <v>0.1915866</v>
      </c>
      <c r="X7004">
        <v>0.98103180000000001</v>
      </c>
      <c r="Y7004">
        <v>1.155289E-2</v>
      </c>
      <c r="Z7004">
        <v>1.285444E-3</v>
      </c>
      <c r="AA7004">
        <v>0.99993240000000005</v>
      </c>
      <c r="AB7004">
        <v>38</v>
      </c>
      <c r="AC7004">
        <v>2.47820000000001</v>
      </c>
      <c r="AD7004">
        <v>-1.1091503599400001</v>
      </c>
      <c r="AE7004">
        <v>143.07776999999999</v>
      </c>
      <c r="AF7004">
        <v>1.6571187287606099</v>
      </c>
      <c r="AG7004">
        <v>-1.1091503599400001</v>
      </c>
      <c r="AH7004">
        <v>143.081038204207</v>
      </c>
      <c r="AI7004">
        <v>90.444112657637405</v>
      </c>
      <c r="AJ7004">
        <v>89.336448311782306</v>
      </c>
      <c r="AK7004">
        <v>143.094932651704</v>
      </c>
      <c r="AL7004">
        <v>78.954608795810003</v>
      </c>
      <c r="AM7004">
        <v>91.723246992259007</v>
      </c>
      <c r="AN7004">
        <v>0.99999996889403298</v>
      </c>
    </row>
    <row r="7005" spans="1:40" x14ac:dyDescent="0.25">
      <c r="A7005" t="str">
        <f>"20190304155811140"</f>
        <v>20190304155811140</v>
      </c>
      <c r="B7005" t="str">
        <f>"1551686291131504"</f>
        <v>1551686291131504</v>
      </c>
      <c r="C7005" t="s">
        <v>40</v>
      </c>
      <c r="D7005">
        <v>4.606344</v>
      </c>
      <c r="E7005">
        <v>0.51286540000000003</v>
      </c>
      <c r="F7005" t="s">
        <v>78</v>
      </c>
      <c r="G7005">
        <v>-185.0068</v>
      </c>
      <c r="H7005" s="1">
        <v>-1.38824799999999E-5</v>
      </c>
      <c r="I7005">
        <v>157.06479999999999</v>
      </c>
      <c r="J7005">
        <v>-187.13669999999999</v>
      </c>
      <c r="K7005">
        <v>1.1091770000000001</v>
      </c>
      <c r="L7005">
        <v>29.718540000000001</v>
      </c>
      <c r="M7005">
        <v>5.827105E-3</v>
      </c>
      <c r="N7005">
        <v>-9.0274080000000007E-3</v>
      </c>
      <c r="O7005">
        <v>0.99994229999999995</v>
      </c>
      <c r="P7005">
        <v>-2.366658E-2</v>
      </c>
      <c r="Q7005">
        <v>0.18234539999999999</v>
      </c>
      <c r="R7005">
        <v>0.98294970000000004</v>
      </c>
      <c r="S7005">
        <v>5.1055910000000003E-2</v>
      </c>
      <c r="T7005">
        <v>-2.6557799999999999E-2</v>
      </c>
      <c r="U7005">
        <v>3.0584720000000001</v>
      </c>
      <c r="V7005">
        <v>-2.932413E-2</v>
      </c>
      <c r="W7005">
        <v>0.1912211</v>
      </c>
      <c r="X7005">
        <v>0.9811088</v>
      </c>
      <c r="Y7005">
        <v>1.086327E-2</v>
      </c>
      <c r="Z7005">
        <v>3.4503430000000002E-4</v>
      </c>
      <c r="AA7005">
        <v>0.99994090000000002</v>
      </c>
      <c r="AB7005">
        <v>38</v>
      </c>
      <c r="AC7005">
        <v>2.1298999999999899</v>
      </c>
      <c r="AD7005">
        <v>-1.1091908824799901</v>
      </c>
      <c r="AE7005">
        <v>127.34626</v>
      </c>
      <c r="AF7005">
        <v>1.38766834302699</v>
      </c>
      <c r="AG7005">
        <v>-1.1091908824799901</v>
      </c>
      <c r="AH7005">
        <v>127.34685099225401</v>
      </c>
      <c r="AI7005">
        <v>90.499003911567897</v>
      </c>
      <c r="AJ7005">
        <v>89.375686229137997</v>
      </c>
      <c r="AK7005">
        <v>127.359241460867</v>
      </c>
      <c r="AL7005">
        <v>78.975944618574701</v>
      </c>
      <c r="AM7005">
        <v>91.711990394067897</v>
      </c>
      <c r="AN7005">
        <v>0.999999945561452</v>
      </c>
    </row>
    <row r="7006" spans="1:40" x14ac:dyDescent="0.25">
      <c r="A7006" t="str">
        <f>"20190304155811161"</f>
        <v>20190304155811161</v>
      </c>
      <c r="B7006" t="str">
        <f>"1551686291152001"</f>
        <v>1551686291152001</v>
      </c>
      <c r="C7006" t="s">
        <v>40</v>
      </c>
      <c r="D7006">
        <v>4.6361600000000003</v>
      </c>
      <c r="E7006">
        <v>0.51279909999999995</v>
      </c>
      <c r="F7006" t="s">
        <v>78</v>
      </c>
      <c r="G7006">
        <v>-185.22290000000001</v>
      </c>
      <c r="H7006" s="1">
        <v>-1.0153020000000001E-5</v>
      </c>
      <c r="I7006">
        <v>145.97069999999999</v>
      </c>
      <c r="J7006">
        <v>-187.13460000000001</v>
      </c>
      <c r="K7006">
        <v>1.109208</v>
      </c>
      <c r="L7006">
        <v>30.081669999999999</v>
      </c>
      <c r="M7006">
        <v>5.8816869999999896E-3</v>
      </c>
      <c r="N7006">
        <v>-9.0359949999999998E-3</v>
      </c>
      <c r="O7006">
        <v>0.99994190000000005</v>
      </c>
      <c r="P7006">
        <v>-2.3635300000000001E-2</v>
      </c>
      <c r="Q7006">
        <v>0.18176780000000001</v>
      </c>
      <c r="R7006">
        <v>0.98305739999999997</v>
      </c>
      <c r="S7006">
        <v>5.0354000000000003E-2</v>
      </c>
      <c r="T7006">
        <v>-2.9183270000000001E-2</v>
      </c>
      <c r="U7006">
        <v>3.0586549999999999</v>
      </c>
      <c r="V7006">
        <v>-2.9359739999999999E-2</v>
      </c>
      <c r="W7006">
        <v>0.1906505</v>
      </c>
      <c r="X7006">
        <v>0.98121879999999995</v>
      </c>
      <c r="Y7006">
        <v>1.0578260000000001E-2</v>
      </c>
      <c r="Z7006">
        <v>-5.0407930000000004E-4</v>
      </c>
      <c r="AA7006">
        <v>0.9999439</v>
      </c>
      <c r="AB7006">
        <v>38</v>
      </c>
      <c r="AC7006">
        <v>1.91169999999999</v>
      </c>
      <c r="AD7006">
        <v>-1.10921815302</v>
      </c>
      <c r="AE7006">
        <v>115.88903000000001</v>
      </c>
      <c r="AF7006">
        <v>1.2299034737177199</v>
      </c>
      <c r="AG7006">
        <v>-1.10921815302</v>
      </c>
      <c r="AH7006">
        <v>115.887656015932</v>
      </c>
      <c r="AI7006">
        <v>90.548358658143698</v>
      </c>
      <c r="AJ7006">
        <v>89.391948761785301</v>
      </c>
      <c r="AK7006">
        <v>115.89949026778601</v>
      </c>
      <c r="AL7006">
        <v>79.009250610996105</v>
      </c>
      <c r="AM7006">
        <v>91.713876082518794</v>
      </c>
      <c r="AN7006">
        <v>0.99999997047827804</v>
      </c>
    </row>
    <row r="7007" spans="1:40" x14ac:dyDescent="0.25">
      <c r="A7007" t="str">
        <f>"20190304155811185"</f>
        <v>20190304155811185</v>
      </c>
      <c r="B7007" t="str">
        <f>"1551686291181280"</f>
        <v>1551686291181280</v>
      </c>
      <c r="C7007" t="s">
        <v>40</v>
      </c>
      <c r="D7007">
        <v>4.6273869999999997</v>
      </c>
      <c r="E7007">
        <v>0.51292079999999995</v>
      </c>
      <c r="F7007" t="s">
        <v>78</v>
      </c>
      <c r="G7007">
        <v>-185.35380000000001</v>
      </c>
      <c r="H7007" s="1">
        <v>-8.0705690000000005E-6</v>
      </c>
      <c r="I7007">
        <v>138.51750000000001</v>
      </c>
      <c r="J7007">
        <v>-187.13220000000001</v>
      </c>
      <c r="K7007">
        <v>1.1092360000000001</v>
      </c>
      <c r="L7007">
        <v>30.480129999999999</v>
      </c>
      <c r="M7007">
        <v>5.9161439999999999E-3</v>
      </c>
      <c r="N7007">
        <v>-9.0453860000000007E-3</v>
      </c>
      <c r="O7007">
        <v>0.99994159999999999</v>
      </c>
      <c r="P7007">
        <v>-2.367909E-2</v>
      </c>
      <c r="Q7007">
        <v>0.181896</v>
      </c>
      <c r="R7007">
        <v>0.98303260000000003</v>
      </c>
      <c r="S7007">
        <v>5.0231930000000001E-2</v>
      </c>
      <c r="T7007">
        <v>-3.1288030000000001E-2</v>
      </c>
      <c r="U7007">
        <v>3.0586850000000001</v>
      </c>
      <c r="V7007">
        <v>-2.9448780000000001E-2</v>
      </c>
      <c r="W7007">
        <v>0.19078619999999999</v>
      </c>
      <c r="X7007">
        <v>0.9811898</v>
      </c>
      <c r="Y7007">
        <v>1.0503699999999999E-2</v>
      </c>
      <c r="Z7007">
        <v>-1.1825729999999999E-3</v>
      </c>
      <c r="AA7007">
        <v>0.99994419999999995</v>
      </c>
      <c r="AB7007">
        <v>38</v>
      </c>
      <c r="AC7007">
        <v>1.7784</v>
      </c>
      <c r="AD7007">
        <v>-1.1092440705689901</v>
      </c>
      <c r="AE7007">
        <v>108.03737</v>
      </c>
      <c r="AF7007">
        <v>1.13905805176879</v>
      </c>
      <c r="AG7007">
        <v>-1.1092440705689901</v>
      </c>
      <c r="AH7007">
        <v>108.034615350699</v>
      </c>
      <c r="AI7007">
        <v>90.588230340959797</v>
      </c>
      <c r="AJ7007">
        <v>89.395926938602599</v>
      </c>
      <c r="AK7007">
        <v>108.046314095516</v>
      </c>
      <c r="AL7007">
        <v>79.0013306793509</v>
      </c>
      <c r="AM7007">
        <v>91.7191214605526</v>
      </c>
      <c r="AN7007">
        <v>1.00000001418898</v>
      </c>
    </row>
    <row r="7008" spans="1:40" x14ac:dyDescent="0.25">
      <c r="A7008" t="str">
        <f>"20190304155811205"</f>
        <v>20190304155811205</v>
      </c>
      <c r="B7008" t="str">
        <f>"1551686291201776"</f>
        <v>1551686291201776</v>
      </c>
      <c r="C7008" t="s">
        <v>40</v>
      </c>
      <c r="D7008">
        <v>4.6215699999999904</v>
      </c>
      <c r="E7008">
        <v>0.53196929999999998</v>
      </c>
      <c r="F7008" t="s">
        <v>78</v>
      </c>
      <c r="G7008">
        <v>-185.32339999999999</v>
      </c>
      <c r="H7008" s="1">
        <v>-8.1544389999999994E-6</v>
      </c>
      <c r="I7008">
        <v>138.74969999999999</v>
      </c>
      <c r="J7008">
        <v>-187.1301</v>
      </c>
      <c r="K7008">
        <v>1.1092569999999999</v>
      </c>
      <c r="L7008">
        <v>30.840579999999999</v>
      </c>
      <c r="M7008">
        <v>5.9257559999999999E-3</v>
      </c>
      <c r="N7008">
        <v>-9.0538600000000004E-3</v>
      </c>
      <c r="O7008">
        <v>0.99994150000000004</v>
      </c>
      <c r="P7008">
        <v>-2.3735869999999999E-2</v>
      </c>
      <c r="Q7008">
        <v>0.1820949</v>
      </c>
      <c r="R7008">
        <v>0.98299440000000005</v>
      </c>
      <c r="S7008">
        <v>5.1101679999999997E-2</v>
      </c>
      <c r="T7008">
        <v>-3.1338099999999897E-2</v>
      </c>
      <c r="U7008">
        <v>3.0588069999999998</v>
      </c>
      <c r="V7008">
        <v>-2.952337E-2</v>
      </c>
      <c r="W7008">
        <v>0.19099169999999999</v>
      </c>
      <c r="X7008">
        <v>0.98114760000000001</v>
      </c>
      <c r="Y7008">
        <v>1.077766E-2</v>
      </c>
      <c r="Z7008">
        <v>-1.1900249999999999E-3</v>
      </c>
      <c r="AA7008">
        <v>0.99994119999999997</v>
      </c>
      <c r="AB7008">
        <v>38</v>
      </c>
      <c r="AC7008">
        <v>1.8067</v>
      </c>
      <c r="AD7008">
        <v>-1.109265154439</v>
      </c>
      <c r="AE7008">
        <v>107.90912</v>
      </c>
      <c r="AF7008">
        <v>1.1670756889204501</v>
      </c>
      <c r="AG7008">
        <v>-1.109265154439</v>
      </c>
      <c r="AH7008">
        <v>107.906532378462</v>
      </c>
      <c r="AI7008">
        <v>90.588937991628498</v>
      </c>
      <c r="AJ7008">
        <v>89.380334974308198</v>
      </c>
      <c r="AK7008">
        <v>107.918544582433</v>
      </c>
      <c r="AL7008">
        <v>78.989336073417505</v>
      </c>
      <c r="AM7008">
        <v>91.723547236278904</v>
      </c>
      <c r="AN7008">
        <v>1.0000000359154</v>
      </c>
    </row>
    <row r="7009" spans="1:40" x14ac:dyDescent="0.25">
      <c r="A7009" t="str">
        <f>"20190304155811229"</f>
        <v>20190304155811229</v>
      </c>
      <c r="B7009" t="str">
        <f>"1551686291221296"</f>
        <v>1551686291221296</v>
      </c>
      <c r="C7009" t="s">
        <v>40</v>
      </c>
      <c r="D7009">
        <v>4.623227</v>
      </c>
      <c r="E7009">
        <v>0.53311119999999901</v>
      </c>
      <c r="F7009" t="s">
        <v>49</v>
      </c>
      <c r="G7009">
        <v>-168.4402</v>
      </c>
      <c r="H7009">
        <v>3.7054299999999998</v>
      </c>
      <c r="I7009">
        <v>314.49709999999999</v>
      </c>
      <c r="J7009">
        <v>-187.1277</v>
      </c>
      <c r="K7009">
        <v>1.109272</v>
      </c>
      <c r="L7009">
        <v>31.240259999999999</v>
      </c>
      <c r="M7009">
        <v>5.9120140000000002E-3</v>
      </c>
      <c r="N7009">
        <v>-9.0634589999999994E-3</v>
      </c>
      <c r="O7009">
        <v>0.99994150000000004</v>
      </c>
      <c r="P7009">
        <v>-2.3759929999999999E-2</v>
      </c>
      <c r="Q7009">
        <v>0.18191930000000001</v>
      </c>
      <c r="R7009">
        <v>0.98302630000000002</v>
      </c>
      <c r="S7009">
        <v>0.2010651</v>
      </c>
      <c r="T7009">
        <v>2.7929659999999999E-2</v>
      </c>
      <c r="U7009">
        <v>3.0515750000000001</v>
      </c>
      <c r="V7009">
        <v>-2.9544000000000001E-2</v>
      </c>
      <c r="W7009">
        <v>0.1908242</v>
      </c>
      <c r="X7009">
        <v>0.98117949999999998</v>
      </c>
      <c r="Y7009">
        <v>5.983492E-2</v>
      </c>
      <c r="Z7009">
        <v>1.8194760000000001E-2</v>
      </c>
      <c r="AA7009">
        <v>0.99804250000000005</v>
      </c>
      <c r="AB7009">
        <v>38</v>
      </c>
      <c r="AC7009">
        <v>18.6875</v>
      </c>
      <c r="AD7009">
        <v>2.596158</v>
      </c>
      <c r="AE7009">
        <v>283.25684000000001</v>
      </c>
      <c r="AF7009">
        <v>17.011063474418801</v>
      </c>
      <c r="AG7009">
        <v>2.596158</v>
      </c>
      <c r="AH7009">
        <v>283.33867614713103</v>
      </c>
      <c r="AI7009">
        <v>89.475972026579001</v>
      </c>
      <c r="AJ7009">
        <v>86.564205041338596</v>
      </c>
      <c r="AK7009">
        <v>283.86074353052101</v>
      </c>
      <c r="AL7009">
        <v>78.999112167676003</v>
      </c>
      <c r="AM7009">
        <v>91.724694828515396</v>
      </c>
      <c r="AN7009">
        <v>0.99999996723094398</v>
      </c>
    </row>
    <row r="7010" spans="1:40" x14ac:dyDescent="0.25">
      <c r="A7010" t="str">
        <f>"20190304155811250"</f>
        <v>20190304155811250</v>
      </c>
      <c r="B7010" t="str">
        <f>"1551686291241793"</f>
        <v>1551686291241793</v>
      </c>
      <c r="C7010" t="s">
        <v>40</v>
      </c>
      <c r="D7010">
        <v>4.6079549999999996</v>
      </c>
      <c r="E7010">
        <v>0.5332846</v>
      </c>
      <c r="F7010" t="s">
        <v>49</v>
      </c>
      <c r="G7010">
        <v>-167.6491</v>
      </c>
      <c r="H7010">
        <v>4.3724809999999996</v>
      </c>
      <c r="I7010">
        <v>314.49709999999999</v>
      </c>
      <c r="J7010">
        <v>-187.12549999999999</v>
      </c>
      <c r="K7010">
        <v>1.109297</v>
      </c>
      <c r="L7010">
        <v>31.60117</v>
      </c>
      <c r="M7010">
        <v>5.8762409999999999E-3</v>
      </c>
      <c r="N7010">
        <v>-9.0721510000000005E-3</v>
      </c>
      <c r="O7010">
        <v>0.99994159999999999</v>
      </c>
      <c r="P7010">
        <v>-2.413181E-2</v>
      </c>
      <c r="Q7010">
        <v>0.1819868</v>
      </c>
      <c r="R7010">
        <v>0.98300480000000001</v>
      </c>
      <c r="S7010">
        <v>0.20976259999999999</v>
      </c>
      <c r="T7010">
        <v>3.5141110000000003E-2</v>
      </c>
      <c r="U7010">
        <v>3.050354</v>
      </c>
      <c r="V7010">
        <v>-2.9890719999999999E-2</v>
      </c>
      <c r="W7010">
        <v>0.1908986</v>
      </c>
      <c r="X7010">
        <v>0.98115459999999999</v>
      </c>
      <c r="Y7010">
        <v>6.2726970000000007E-2</v>
      </c>
      <c r="Z7010">
        <v>2.056361E-2</v>
      </c>
      <c r="AA7010">
        <v>0.99781880000000001</v>
      </c>
      <c r="AB7010">
        <v>38</v>
      </c>
      <c r="AC7010">
        <v>19.476399999999899</v>
      </c>
      <c r="AD7010">
        <v>3.2631839999999999</v>
      </c>
      <c r="AE7010">
        <v>282.89593000000002</v>
      </c>
      <c r="AF7010">
        <v>17.8112719712427</v>
      </c>
      <c r="AG7010">
        <v>3.2631839999999999</v>
      </c>
      <c r="AH7010">
        <v>282.96802548750901</v>
      </c>
      <c r="AI7010">
        <v>89.340599886815099</v>
      </c>
      <c r="AJ7010">
        <v>86.398299248658802</v>
      </c>
      <c r="AK7010">
        <v>283.54680958767801</v>
      </c>
      <c r="AL7010">
        <v>78.994770340127204</v>
      </c>
      <c r="AM7010">
        <v>91.744967172946602</v>
      </c>
      <c r="AN7010">
        <v>1.0000000398626101</v>
      </c>
    </row>
    <row r="7011" spans="1:40" x14ac:dyDescent="0.25">
      <c r="A7011" t="str">
        <f>"20190304155811274"</f>
        <v>20190304155811274</v>
      </c>
      <c r="B7011" t="str">
        <f>"1551686291271072"</f>
        <v>1551686291271072</v>
      </c>
      <c r="C7011" t="s">
        <v>40</v>
      </c>
      <c r="D7011">
        <v>4.6055149999999996</v>
      </c>
      <c r="E7011">
        <v>0.5337286</v>
      </c>
      <c r="F7011" t="s">
        <v>49</v>
      </c>
      <c r="G7011">
        <v>-167.65520000000001</v>
      </c>
      <c r="H7011">
        <v>4.0756209999999999</v>
      </c>
      <c r="I7011">
        <v>314.49709999999999</v>
      </c>
      <c r="J7011">
        <v>-187.1233</v>
      </c>
      <c r="K7011">
        <v>1.109318</v>
      </c>
      <c r="L7011">
        <v>32.00067</v>
      </c>
      <c r="M7011">
        <v>5.8139589999999996E-3</v>
      </c>
      <c r="N7011">
        <v>-9.0817190000000002E-3</v>
      </c>
      <c r="O7011">
        <v>0.99994190000000005</v>
      </c>
      <c r="P7011">
        <v>-2.47882E-2</v>
      </c>
      <c r="Q7011">
        <v>0.1826149</v>
      </c>
      <c r="R7011">
        <v>0.98287199999999997</v>
      </c>
      <c r="S7011">
        <v>0.2099915</v>
      </c>
      <c r="T7011">
        <v>3.1992439999999997E-2</v>
      </c>
      <c r="U7011">
        <v>3.0510860000000002</v>
      </c>
      <c r="V7011">
        <v>-3.049694E-2</v>
      </c>
      <c r="W7011">
        <v>0.19153319999999999</v>
      </c>
      <c r="X7011">
        <v>0.9810122</v>
      </c>
      <c r="Y7011">
        <v>6.2848360000000006E-2</v>
      </c>
      <c r="Z7011">
        <v>1.9540979999999999E-2</v>
      </c>
      <c r="AA7011">
        <v>0.99783180000000005</v>
      </c>
      <c r="AB7011">
        <v>38</v>
      </c>
      <c r="AC7011">
        <v>19.4681</v>
      </c>
      <c r="AD7011">
        <v>2.9663029999999999</v>
      </c>
      <c r="AE7011">
        <v>282.49642999999998</v>
      </c>
      <c r="AF7011">
        <v>17.8233247567467</v>
      </c>
      <c r="AG7011">
        <v>2.9663029999999999</v>
      </c>
      <c r="AH7011">
        <v>282.57383807466198</v>
      </c>
      <c r="AI7011">
        <v>89.399755610233399</v>
      </c>
      <c r="AJ7011">
        <v>86.390853976370494</v>
      </c>
      <c r="AK7011">
        <v>283.15092057614402</v>
      </c>
      <c r="AL7011">
        <v>78.957726281583604</v>
      </c>
      <c r="AM7011">
        <v>91.780592931513894</v>
      </c>
      <c r="AN7011">
        <v>0.999999983300221</v>
      </c>
    </row>
    <row r="7012" spans="1:40" x14ac:dyDescent="0.25">
      <c r="A7012" t="str">
        <f>"20190304155811297"</f>
        <v>20190304155811297</v>
      </c>
      <c r="B7012" t="str">
        <f>"1551686291291568"</f>
        <v>1551686291291568</v>
      </c>
      <c r="C7012" t="s">
        <v>40</v>
      </c>
      <c r="D7012">
        <v>4.6107709999999997</v>
      </c>
      <c r="E7012">
        <v>0.53398330000000005</v>
      </c>
      <c r="F7012" t="s">
        <v>49</v>
      </c>
      <c r="G7012">
        <v>-167.56110000000001</v>
      </c>
      <c r="H7012">
        <v>4.295706</v>
      </c>
      <c r="I7012">
        <v>314.49709999999999</v>
      </c>
      <c r="J7012">
        <v>-187.12100000000001</v>
      </c>
      <c r="K7012">
        <v>1.1093390000000001</v>
      </c>
      <c r="L7012">
        <v>32.399079999999998</v>
      </c>
      <c r="M7012">
        <v>5.7347800000000001E-3</v>
      </c>
      <c r="N7012">
        <v>-9.0912330000000006E-3</v>
      </c>
      <c r="O7012">
        <v>0.9999422</v>
      </c>
      <c r="P7012">
        <v>-2.5102780000000002E-2</v>
      </c>
      <c r="Q7012">
        <v>0.18198739999999999</v>
      </c>
      <c r="R7012">
        <v>0.98298039999999998</v>
      </c>
      <c r="S7012">
        <v>0.21128849999999999</v>
      </c>
      <c r="T7012">
        <v>3.4415840000000003E-2</v>
      </c>
      <c r="U7012">
        <v>3.0512079999999999</v>
      </c>
      <c r="V7012">
        <v>-3.0745370000000001E-2</v>
      </c>
      <c r="W7012">
        <v>0.190914</v>
      </c>
      <c r="X7012">
        <v>0.98112520000000003</v>
      </c>
      <c r="Y7012">
        <v>6.3345910000000005E-2</v>
      </c>
      <c r="Z7012">
        <v>2.0341999999999999E-2</v>
      </c>
      <c r="AA7012">
        <v>0.99778429999999996</v>
      </c>
      <c r="AB7012">
        <v>38</v>
      </c>
      <c r="AC7012">
        <v>19.559899999999899</v>
      </c>
      <c r="AD7012">
        <v>3.18636699999999</v>
      </c>
      <c r="AE7012">
        <v>282.09802000000002</v>
      </c>
      <c r="AF7012">
        <v>17.939463528530801</v>
      </c>
      <c r="AG7012">
        <v>3.18636699999999</v>
      </c>
      <c r="AH7012">
        <v>282.16972945673598</v>
      </c>
      <c r="AI7012">
        <v>89.354325436079094</v>
      </c>
      <c r="AJ7012">
        <v>86.362210687158793</v>
      </c>
      <c r="AK7012">
        <v>282.757375691665</v>
      </c>
      <c r="AL7012">
        <v>78.993871517265205</v>
      </c>
      <c r="AM7012">
        <v>91.794881690367504</v>
      </c>
      <c r="AN7012">
        <v>1.0000000456237299</v>
      </c>
    </row>
    <row r="7013" spans="1:40" x14ac:dyDescent="0.25">
      <c r="A7013" t="str">
        <f>"20190304155811318"</f>
        <v>20190304155811318</v>
      </c>
      <c r="B7013" t="str">
        <f>"1551686291311089"</f>
        <v>1551686291311089</v>
      </c>
      <c r="C7013" t="s">
        <v>40</v>
      </c>
      <c r="D7013">
        <v>4.6636410000000001</v>
      </c>
      <c r="E7013">
        <v>0.53394929999999996</v>
      </c>
      <c r="F7013" t="s">
        <v>49</v>
      </c>
      <c r="G7013">
        <v>-167.48099999999999</v>
      </c>
      <c r="H7013">
        <v>4.0560019999999897</v>
      </c>
      <c r="I7013">
        <v>314.49709999999999</v>
      </c>
      <c r="J7013">
        <v>-187.1189</v>
      </c>
      <c r="K7013">
        <v>1.1093580000000001</v>
      </c>
      <c r="L7013">
        <v>32.773380000000003</v>
      </c>
      <c r="M7013">
        <v>5.646631E-3</v>
      </c>
      <c r="N7013">
        <v>-9.1001710000000006E-3</v>
      </c>
      <c r="O7013">
        <v>0.99994269999999996</v>
      </c>
      <c r="P7013">
        <v>-2.5286220000000002E-2</v>
      </c>
      <c r="Q7013">
        <v>0.18183360000000001</v>
      </c>
      <c r="R7013">
        <v>0.98300419999999999</v>
      </c>
      <c r="S7013">
        <v>0.2124481</v>
      </c>
      <c r="T7013">
        <v>3.1874420000000001E-2</v>
      </c>
      <c r="U7013">
        <v>3.0514830000000002</v>
      </c>
      <c r="V7013">
        <v>-3.0852000000000001E-2</v>
      </c>
      <c r="W7013">
        <v>0.19076799999999999</v>
      </c>
      <c r="X7013">
        <v>0.98115019999999997</v>
      </c>
      <c r="Y7013">
        <v>6.3805959999999995E-2</v>
      </c>
      <c r="Z7013">
        <v>1.951893E-2</v>
      </c>
      <c r="AA7013">
        <v>0.99777139999999997</v>
      </c>
      <c r="AB7013">
        <v>38</v>
      </c>
      <c r="AC7013">
        <v>19.637899999999998</v>
      </c>
      <c r="AD7013">
        <v>2.9466439999999898</v>
      </c>
      <c r="AE7013">
        <v>281.72372000000001</v>
      </c>
      <c r="AF7013">
        <v>18.044766704133501</v>
      </c>
      <c r="AG7013">
        <v>2.9466439999999898</v>
      </c>
      <c r="AH7013">
        <v>281.79944168740502</v>
      </c>
      <c r="AI7013">
        <v>89.402131257305498</v>
      </c>
      <c r="AJ7013">
        <v>86.336120014904196</v>
      </c>
      <c r="AK7013">
        <v>282.391964566279</v>
      </c>
      <c r="AL7013">
        <v>79.002392763435694</v>
      </c>
      <c r="AM7013">
        <v>91.801056679897599</v>
      </c>
      <c r="AN7013">
        <v>0.99999999534401995</v>
      </c>
    </row>
    <row r="7014" spans="1:40" x14ac:dyDescent="0.25">
      <c r="A7014" t="str">
        <f>"20190304155811340"</f>
        <v>20190304155811340</v>
      </c>
      <c r="B7014" t="str">
        <f>"1551686291331585"</f>
        <v>1551686291331585</v>
      </c>
      <c r="C7014" t="s">
        <v>40</v>
      </c>
      <c r="D7014">
        <v>4.6256820000000003</v>
      </c>
      <c r="E7014">
        <v>0.53408269999999902</v>
      </c>
      <c r="F7014" t="s">
        <v>49</v>
      </c>
      <c r="G7014">
        <v>-167.6223</v>
      </c>
      <c r="H7014">
        <v>4.0936539999999999</v>
      </c>
      <c r="I7014">
        <v>314.49709999999999</v>
      </c>
      <c r="J7014">
        <v>-187.11689999999999</v>
      </c>
      <c r="K7014">
        <v>1.109375</v>
      </c>
      <c r="L7014">
        <v>33.140169999999998</v>
      </c>
      <c r="M7014">
        <v>5.5485489999999998E-3</v>
      </c>
      <c r="N7014">
        <v>-9.1089220000000002E-3</v>
      </c>
      <c r="O7014">
        <v>0.99994309999999997</v>
      </c>
      <c r="P7014">
        <v>-2.550558E-2</v>
      </c>
      <c r="Q7014">
        <v>0.18192059999999999</v>
      </c>
      <c r="R7014">
        <v>0.98298240000000003</v>
      </c>
      <c r="S7014">
        <v>0.2111664</v>
      </c>
      <c r="T7014">
        <v>3.2322759999999999E-2</v>
      </c>
      <c r="U7014">
        <v>3.0513309999999998</v>
      </c>
      <c r="V7014">
        <v>-3.0981939999999999E-2</v>
      </c>
      <c r="W7014">
        <v>0.190862</v>
      </c>
      <c r="X7014">
        <v>0.98112779999999999</v>
      </c>
      <c r="Y7014">
        <v>6.3490019999999994E-2</v>
      </c>
      <c r="Z7014">
        <v>1.9675069999999999E-2</v>
      </c>
      <c r="AA7014">
        <v>0.99778849999999997</v>
      </c>
      <c r="AB7014">
        <v>38</v>
      </c>
      <c r="AC7014">
        <v>19.494599999999899</v>
      </c>
      <c r="AD7014">
        <v>2.9842789999999999</v>
      </c>
      <c r="AE7014">
        <v>281.35692999999998</v>
      </c>
      <c r="AF7014">
        <v>17.931104714815</v>
      </c>
      <c r="AG7014">
        <v>2.9842789999999999</v>
      </c>
      <c r="AH7014">
        <v>281.429259531784</v>
      </c>
      <c r="AI7014">
        <v>89.393687021343197</v>
      </c>
      <c r="AJ7014">
        <v>86.354359959929894</v>
      </c>
      <c r="AK7014">
        <v>282.01570622582699</v>
      </c>
      <c r="AL7014">
        <v>78.9969058867878</v>
      </c>
      <c r="AM7014">
        <v>91.808678464973596</v>
      </c>
      <c r="AN7014">
        <v>0.99999997179150102</v>
      </c>
    </row>
    <row r="7015" spans="1:40" x14ac:dyDescent="0.25">
      <c r="A7015" t="str">
        <f>"20190304155811363"</f>
        <v>20190304155811363</v>
      </c>
      <c r="B7015" t="str">
        <f>"1551686291351104"</f>
        <v>1551686291351104</v>
      </c>
      <c r="C7015" t="s">
        <v>40</v>
      </c>
      <c r="D7015">
        <v>4.6076940000000004</v>
      </c>
      <c r="E7015">
        <v>0.53402249999999996</v>
      </c>
      <c r="F7015" t="s">
        <v>49</v>
      </c>
      <c r="G7015">
        <v>-167.62110000000001</v>
      </c>
      <c r="H7015">
        <v>3.9799229999999999</v>
      </c>
      <c r="I7015">
        <v>314.49709999999999</v>
      </c>
      <c r="J7015">
        <v>-187.1148</v>
      </c>
      <c r="K7015">
        <v>1.1093980000000001</v>
      </c>
      <c r="L7015">
        <v>33.538760000000003</v>
      </c>
      <c r="M7015">
        <v>5.4313319999999997E-3</v>
      </c>
      <c r="N7015">
        <v>-9.118457E-3</v>
      </c>
      <c r="O7015">
        <v>0.99994369999999999</v>
      </c>
      <c r="P7015">
        <v>-2.608657E-2</v>
      </c>
      <c r="Q7015">
        <v>0.18253559999999999</v>
      </c>
      <c r="R7015">
        <v>0.98285310000000004</v>
      </c>
      <c r="S7015">
        <v>0.21145630000000001</v>
      </c>
      <c r="T7015">
        <v>3.1134720000000001E-2</v>
      </c>
      <c r="U7015">
        <v>3.051666</v>
      </c>
      <c r="V7015">
        <v>-3.1454320000000001E-2</v>
      </c>
      <c r="W7015">
        <v>0.19148409999999999</v>
      </c>
      <c r="X7015">
        <v>0.98099159999999996</v>
      </c>
      <c r="Y7015">
        <v>6.3694180000000003E-2</v>
      </c>
      <c r="Z7015">
        <v>1.9295059999999999E-2</v>
      </c>
      <c r="AA7015">
        <v>0.99778290000000003</v>
      </c>
      <c r="AB7015">
        <v>38</v>
      </c>
      <c r="AC7015">
        <v>19.493699999999901</v>
      </c>
      <c r="AD7015">
        <v>2.8705250000000002</v>
      </c>
      <c r="AE7015">
        <v>280.958339999999</v>
      </c>
      <c r="AF7015">
        <v>17.965504671241</v>
      </c>
      <c r="AG7015">
        <v>2.8705250000000002</v>
      </c>
      <c r="AH7015">
        <v>281.03088182130102</v>
      </c>
      <c r="AI7015">
        <v>89.415977908379503</v>
      </c>
      <c r="AJ7015">
        <v>86.342221143411194</v>
      </c>
      <c r="AK7015">
        <v>281.61916804281299</v>
      </c>
      <c r="AL7015">
        <v>78.960593045373301</v>
      </c>
      <c r="AM7015">
        <v>91.836491319464102</v>
      </c>
      <c r="AN7015">
        <v>1.00000002703501</v>
      </c>
    </row>
    <row r="7016" spans="1:40" x14ac:dyDescent="0.25">
      <c r="A7016" t="str">
        <f>"20190304155811385"</f>
        <v>20190304155811385</v>
      </c>
      <c r="B7016" t="str">
        <f>"1551686291381360"</f>
        <v>1551686291381360</v>
      </c>
      <c r="C7016" t="s">
        <v>40</v>
      </c>
      <c r="D7016">
        <v>4.7625690000000001</v>
      </c>
      <c r="E7016">
        <v>0.52065349999999999</v>
      </c>
      <c r="F7016" t="s">
        <v>49</v>
      </c>
      <c r="G7016">
        <v>-167.8691</v>
      </c>
      <c r="H7016">
        <v>4.0450369999999998</v>
      </c>
      <c r="I7016">
        <v>314.49709999999999</v>
      </c>
      <c r="J7016">
        <v>-187.1129</v>
      </c>
      <c r="K7016">
        <v>1.1094079999999999</v>
      </c>
      <c r="L7016">
        <v>33.908839999999998</v>
      </c>
      <c r="M7016">
        <v>5.3155909999999997E-3</v>
      </c>
      <c r="N7016">
        <v>-9.1273069999999994E-3</v>
      </c>
      <c r="O7016">
        <v>0.99994419999999995</v>
      </c>
      <c r="P7016">
        <v>-2.7298050000000001E-2</v>
      </c>
      <c r="Q7016">
        <v>0.1825099</v>
      </c>
      <c r="R7016">
        <v>0.98282499999999995</v>
      </c>
      <c r="S7016">
        <v>0.20906069999999999</v>
      </c>
      <c r="T7016">
        <v>3.188908E-2</v>
      </c>
      <c r="U7016">
        <v>3.051971</v>
      </c>
      <c r="V7016">
        <v>-3.2556960000000003E-2</v>
      </c>
      <c r="W7016">
        <v>0.19146579999999999</v>
      </c>
      <c r="X7016">
        <v>0.98095920000000003</v>
      </c>
      <c r="Y7016">
        <v>6.3023019999999999E-2</v>
      </c>
      <c r="Z7016">
        <v>1.9550000000000001E-2</v>
      </c>
      <c r="AA7016">
        <v>0.99782059999999995</v>
      </c>
      <c r="AB7016">
        <v>39</v>
      </c>
      <c r="AC7016">
        <v>19.2438</v>
      </c>
      <c r="AD7016">
        <v>2.935629</v>
      </c>
      <c r="AE7016">
        <v>280.58825999999999</v>
      </c>
      <c r="AF7016">
        <v>17.750039660441601</v>
      </c>
      <c r="AG7016">
        <v>2.935629</v>
      </c>
      <c r="AH7016">
        <v>280.65601465390603</v>
      </c>
      <c r="AI7016">
        <v>89.401909592995693</v>
      </c>
      <c r="AJ7016">
        <v>86.381158503987194</v>
      </c>
      <c r="AK7016">
        <v>281.232075672365</v>
      </c>
      <c r="AL7016">
        <v>78.961661358629698</v>
      </c>
      <c r="AM7016">
        <v>91.900886344700794</v>
      </c>
      <c r="AN7016">
        <v>1.0000000301393599</v>
      </c>
    </row>
    <row r="7017" spans="1:40" x14ac:dyDescent="0.25">
      <c r="A7017" t="str">
        <f>"20190304155811408"</f>
        <v>20190304155811408</v>
      </c>
      <c r="B7017" t="str">
        <f>"1551686291401857"</f>
        <v>1551686291401857</v>
      </c>
      <c r="C7017" t="s">
        <v>40</v>
      </c>
      <c r="D7017">
        <v>4.7289649999999996</v>
      </c>
      <c r="E7017">
        <v>0.5216345</v>
      </c>
      <c r="F7017" t="s">
        <v>52</v>
      </c>
      <c r="G7017">
        <v>-175.67359999999999</v>
      </c>
      <c r="H7017">
        <v>8.6232640000000007</v>
      </c>
      <c r="I7017">
        <v>391.00349999999997</v>
      </c>
      <c r="J7017">
        <v>-187.11080000000001</v>
      </c>
      <c r="K7017">
        <v>1.109421</v>
      </c>
      <c r="L7017">
        <v>34.323239999999998</v>
      </c>
      <c r="M7017">
        <v>5.1815050000000003E-3</v>
      </c>
      <c r="N7017">
        <v>-9.1371160000000007E-3</v>
      </c>
      <c r="O7017">
        <v>0.99994479999999997</v>
      </c>
      <c r="P7017">
        <v>-2.8247439999999999E-2</v>
      </c>
      <c r="Q7017">
        <v>0.18229770000000001</v>
      </c>
      <c r="R7017">
        <v>0.98283759999999998</v>
      </c>
      <c r="S7017">
        <v>9.7488400000000003E-2</v>
      </c>
      <c r="T7017">
        <v>6.4034820000000006E-2</v>
      </c>
      <c r="U7017">
        <v>3.0432429999999999</v>
      </c>
      <c r="V7017">
        <v>-3.3379209999999999E-2</v>
      </c>
      <c r="W7017">
        <v>0.19126219999999999</v>
      </c>
      <c r="X7017">
        <v>0.98097120000000004</v>
      </c>
      <c r="Y7017">
        <v>2.6825350000000001E-2</v>
      </c>
      <c r="Z7017">
        <v>3.0160840000000001E-2</v>
      </c>
      <c r="AA7017">
        <v>0.99918499999999999</v>
      </c>
      <c r="AB7017">
        <v>39</v>
      </c>
      <c r="AC7017">
        <v>11.437200000000001</v>
      </c>
      <c r="AD7017">
        <v>7.5138429999999996</v>
      </c>
      <c r="AE7017">
        <v>356.68025999999998</v>
      </c>
      <c r="AF7017">
        <v>9.5845796329176594</v>
      </c>
      <c r="AG7017">
        <v>7.5138429999999996</v>
      </c>
      <c r="AH7017">
        <v>356.57665742479298</v>
      </c>
      <c r="AI7017">
        <v>88.793268126326794</v>
      </c>
      <c r="AJ7017">
        <v>88.460292474473206</v>
      </c>
      <c r="AK7017">
        <v>356.78457733428797</v>
      </c>
      <c r="AL7017">
        <v>78.973545508425303</v>
      </c>
      <c r="AM7017">
        <v>91.948834242756305</v>
      </c>
      <c r="AN7017">
        <v>0.99999994801924996</v>
      </c>
    </row>
    <row r="7018" spans="1:40" x14ac:dyDescent="0.25">
      <c r="A7018" t="str">
        <f>"20190304155811429"</f>
        <v>20190304155811429</v>
      </c>
      <c r="B7018" t="str">
        <f>"1551686291421376"</f>
        <v>1551686291421376</v>
      </c>
      <c r="C7018" t="s">
        <v>40</v>
      </c>
      <c r="D7018">
        <v>4.5978209999999997</v>
      </c>
      <c r="E7018">
        <v>0.53670090000000004</v>
      </c>
      <c r="F7018" t="s">
        <v>52</v>
      </c>
      <c r="G7018">
        <v>-175.19900000000001</v>
      </c>
      <c r="H7018">
        <v>7.6227359999999997</v>
      </c>
      <c r="I7018">
        <v>390.11860000000001</v>
      </c>
      <c r="J7018">
        <v>-187.10900000000001</v>
      </c>
      <c r="K7018">
        <v>1.1094299999999999</v>
      </c>
      <c r="L7018">
        <v>34.682559999999903</v>
      </c>
      <c r="M7018">
        <v>5.0631620000000004E-3</v>
      </c>
      <c r="N7018">
        <v>-9.14564E-3</v>
      </c>
      <c r="O7018">
        <v>0.99994530000000004</v>
      </c>
      <c r="P7018">
        <v>-2.8819339999999999E-2</v>
      </c>
      <c r="Q7018">
        <v>0.1821005</v>
      </c>
      <c r="R7018">
        <v>0.98285750000000005</v>
      </c>
      <c r="S7018">
        <v>0.10194400000000001</v>
      </c>
      <c r="T7018">
        <v>5.5742499999999903E-2</v>
      </c>
      <c r="U7018">
        <v>3.0449830000000002</v>
      </c>
      <c r="V7018">
        <v>-3.383796E-2</v>
      </c>
      <c r="W7018">
        <v>0.1910732</v>
      </c>
      <c r="X7018">
        <v>0.98099239999999999</v>
      </c>
      <c r="Y7018">
        <v>2.8388210000000001E-2</v>
      </c>
      <c r="Z7018">
        <v>2.7436680000000001E-2</v>
      </c>
      <c r="AA7018">
        <v>0.99922040000000001</v>
      </c>
      <c r="AB7018">
        <v>39</v>
      </c>
      <c r="AC7018">
        <v>11.909999999999901</v>
      </c>
      <c r="AD7018">
        <v>6.513306</v>
      </c>
      <c r="AE7018">
        <v>355.43603999999999</v>
      </c>
      <c r="AF7018">
        <v>10.106751664706</v>
      </c>
      <c r="AG7018">
        <v>6.513306</v>
      </c>
      <c r="AH7018">
        <v>355.372588365475</v>
      </c>
      <c r="AI7018">
        <v>88.950418800962694</v>
      </c>
      <c r="AJ7018">
        <v>88.370954355686095</v>
      </c>
      <c r="AK7018">
        <v>355.57593583626999</v>
      </c>
      <c r="AL7018">
        <v>78.9845788145292</v>
      </c>
      <c r="AM7018">
        <v>91.9755544703673</v>
      </c>
      <c r="AN7018">
        <v>1.0000000320764799</v>
      </c>
    </row>
    <row r="7019" spans="1:40" x14ac:dyDescent="0.25">
      <c r="A7019" t="str">
        <f>"20190304155811452"</f>
        <v>20190304155811452</v>
      </c>
      <c r="B7019" t="str">
        <f>"1551686291441872"</f>
        <v>1551686291441872</v>
      </c>
      <c r="C7019" t="s">
        <v>40</v>
      </c>
      <c r="D7019">
        <v>4.6986509999999999</v>
      </c>
      <c r="E7019">
        <v>0.53677739999999996</v>
      </c>
      <c r="F7019" t="s">
        <v>98</v>
      </c>
      <c r="G7019">
        <v>-168.18180000000001</v>
      </c>
      <c r="H7019">
        <v>3.842155</v>
      </c>
      <c r="I7019">
        <v>297.38529999999997</v>
      </c>
      <c r="J7019">
        <v>-187.1071</v>
      </c>
      <c r="K7019">
        <v>1.1094389999999901</v>
      </c>
      <c r="L7019">
        <v>35.079590000000003</v>
      </c>
      <c r="M7019">
        <v>4.9315950000000004E-3</v>
      </c>
      <c r="N7019">
        <v>-9.1550380000000008E-3</v>
      </c>
      <c r="O7019">
        <v>0.99994590000000005</v>
      </c>
      <c r="P7019">
        <v>-3.0123069999999998E-2</v>
      </c>
      <c r="Q7019">
        <v>0.1816449</v>
      </c>
      <c r="R7019">
        <v>0.98290270000000002</v>
      </c>
      <c r="S7019">
        <v>0.2199554</v>
      </c>
      <c r="T7019">
        <v>3.1758069999999999E-2</v>
      </c>
      <c r="U7019">
        <v>3.0528870000000001</v>
      </c>
      <c r="V7019">
        <v>-3.5015610000000003E-2</v>
      </c>
      <c r="W7019">
        <v>0.1906262</v>
      </c>
      <c r="X7019">
        <v>0.98103799999999997</v>
      </c>
      <c r="Y7019">
        <v>6.6928829999999995E-2</v>
      </c>
      <c r="Z7019">
        <v>1.952926E-2</v>
      </c>
      <c r="AA7019">
        <v>0.99756659999999997</v>
      </c>
      <c r="AB7019">
        <v>39</v>
      </c>
      <c r="AC7019">
        <v>18.9253</v>
      </c>
      <c r="AD7019">
        <v>2.7327159999999999</v>
      </c>
      <c r="AE7019">
        <v>262.30570999999998</v>
      </c>
      <c r="AF7019">
        <v>17.629526531723499</v>
      </c>
      <c r="AG7019">
        <v>2.7327159999999999</v>
      </c>
      <c r="AH7019">
        <v>262.36752698857498</v>
      </c>
      <c r="AI7019">
        <v>89.404594014725902</v>
      </c>
      <c r="AJ7019">
        <v>86.155845301491496</v>
      </c>
      <c r="AK7019">
        <v>262.973358271461</v>
      </c>
      <c r="AL7019">
        <v>79.010669229793294</v>
      </c>
      <c r="AM7019">
        <v>92.044156668055194</v>
      </c>
      <c r="AN7019">
        <v>0.99999999925705596</v>
      </c>
    </row>
    <row r="7020" spans="1:40" x14ac:dyDescent="0.25">
      <c r="A7020" t="str">
        <f>"20190304155811475"</f>
        <v>20190304155811475</v>
      </c>
      <c r="B7020" t="str">
        <f>"1551686291471153"</f>
        <v>1551686291471153</v>
      </c>
      <c r="C7020" t="s">
        <v>40</v>
      </c>
      <c r="D7020">
        <v>4.7124459999999999</v>
      </c>
      <c r="E7020">
        <v>0.53762989999999999</v>
      </c>
      <c r="F7020" t="s">
        <v>98</v>
      </c>
      <c r="G7020">
        <v>-168.35050000000001</v>
      </c>
      <c r="H7020">
        <v>3.4442940000000002</v>
      </c>
      <c r="I7020">
        <v>300.03440000000001</v>
      </c>
      <c r="J7020">
        <v>-187.1052</v>
      </c>
      <c r="K7020">
        <v>1.10944</v>
      </c>
      <c r="L7020">
        <v>35.472439999999999</v>
      </c>
      <c r="M7020">
        <v>4.8012710000000002E-3</v>
      </c>
      <c r="N7020">
        <v>-9.1643720000000005E-3</v>
      </c>
      <c r="O7020">
        <v>0.99994649999999996</v>
      </c>
      <c r="P7020">
        <v>-3.1382460000000001E-2</v>
      </c>
      <c r="Q7020">
        <v>0.18176729999999999</v>
      </c>
      <c r="R7020">
        <v>0.98284070000000001</v>
      </c>
      <c r="S7020">
        <v>0.2161865</v>
      </c>
      <c r="T7020">
        <v>2.691209E-2</v>
      </c>
      <c r="U7020">
        <v>3.053833</v>
      </c>
      <c r="V7020">
        <v>-3.6148590000000001E-2</v>
      </c>
      <c r="W7020">
        <v>0.19075629999999999</v>
      </c>
      <c r="X7020">
        <v>0.98097160000000005</v>
      </c>
      <c r="Y7020">
        <v>6.5813360000000001E-2</v>
      </c>
      <c r="Z7020">
        <v>1.7953609999999998E-2</v>
      </c>
      <c r="AA7020">
        <v>0.99767039999999996</v>
      </c>
      <c r="AB7020">
        <v>39</v>
      </c>
      <c r="AC7020">
        <v>18.7546999999999</v>
      </c>
      <c r="AD7020">
        <v>2.334854</v>
      </c>
      <c r="AE7020">
        <v>264.56196</v>
      </c>
      <c r="AF7020">
        <v>17.482841951176699</v>
      </c>
      <c r="AG7020">
        <v>2.334854</v>
      </c>
      <c r="AH7020">
        <v>264.62845249396503</v>
      </c>
      <c r="AI7020">
        <v>89.495583956553602</v>
      </c>
      <c r="AJ7020">
        <v>86.220211768096604</v>
      </c>
      <c r="AK7020">
        <v>265.215608845411</v>
      </c>
      <c r="AL7020">
        <v>79.003075530313495</v>
      </c>
      <c r="AM7020">
        <v>92.110382119274306</v>
      </c>
      <c r="AN7020">
        <v>0.99999998327761896</v>
      </c>
    </row>
    <row r="7021" spans="1:40" x14ac:dyDescent="0.25">
      <c r="A7021" t="str">
        <f>"20190304155811498"</f>
        <v>20190304155811498</v>
      </c>
      <c r="B7021" t="str">
        <f>"1551686291491649"</f>
        <v>1551686291491649</v>
      </c>
      <c r="C7021" t="s">
        <v>40</v>
      </c>
      <c r="D7021">
        <v>4.8286389999999999</v>
      </c>
      <c r="E7021">
        <v>0.50508390000000003</v>
      </c>
      <c r="F7021" t="s">
        <v>98</v>
      </c>
      <c r="G7021">
        <v>-168.33519999999999</v>
      </c>
      <c r="H7021">
        <v>3.454504</v>
      </c>
      <c r="I7021">
        <v>297.38529999999997</v>
      </c>
      <c r="J7021">
        <v>-187.10339999999999</v>
      </c>
      <c r="K7021">
        <v>1.10944</v>
      </c>
      <c r="L7021">
        <v>35.873779999999996</v>
      </c>
      <c r="M7021">
        <v>4.6682989999999999E-3</v>
      </c>
      <c r="N7021">
        <v>-9.1738930000000007E-3</v>
      </c>
      <c r="O7021">
        <v>0.99994700000000003</v>
      </c>
      <c r="P7021">
        <v>-3.201909E-2</v>
      </c>
      <c r="Q7021">
        <v>0.18130370000000001</v>
      </c>
      <c r="R7021">
        <v>0.98290569999999999</v>
      </c>
      <c r="S7021">
        <v>0.21888730000000001</v>
      </c>
      <c r="T7021">
        <v>2.7347799999999998E-2</v>
      </c>
      <c r="U7021">
        <v>3.0542910000000001</v>
      </c>
      <c r="V7021">
        <v>-3.6657049999999997E-2</v>
      </c>
      <c r="W7021">
        <v>0.1903022</v>
      </c>
      <c r="X7021">
        <v>0.98104100000000005</v>
      </c>
      <c r="Y7021">
        <v>6.6813070000000002E-2</v>
      </c>
      <c r="Z7021">
        <v>1.810355E-2</v>
      </c>
      <c r="AA7021">
        <v>0.99760130000000002</v>
      </c>
      <c r="AB7021">
        <v>39</v>
      </c>
      <c r="AC7021">
        <v>18.7682</v>
      </c>
      <c r="AD7021">
        <v>2.3450639999999998</v>
      </c>
      <c r="AE7021">
        <v>261.51152000000002</v>
      </c>
      <c r="AF7021">
        <v>17.545726425024299</v>
      </c>
      <c r="AG7021">
        <v>2.3450639999999998</v>
      </c>
      <c r="AH7021">
        <v>261.575363093617</v>
      </c>
      <c r="AI7021">
        <v>89.487499747025495</v>
      </c>
      <c r="AJ7021">
        <v>86.162511659023593</v>
      </c>
      <c r="AK7021">
        <v>262.17364935954799</v>
      </c>
      <c r="AL7021">
        <v>79.029579847058997</v>
      </c>
      <c r="AM7021">
        <v>92.139887742767101</v>
      </c>
      <c r="AN7021">
        <v>1.0000000551602699</v>
      </c>
    </row>
    <row r="7022" spans="1:40" x14ac:dyDescent="0.25">
      <c r="A7022" t="str">
        <f>"20190304155811519"</f>
        <v>20190304155811519</v>
      </c>
      <c r="B7022" t="str">
        <f>"1551686291511169"</f>
        <v>1551686291511169</v>
      </c>
      <c r="C7022" t="s">
        <v>40</v>
      </c>
      <c r="D7022">
        <v>4.738429</v>
      </c>
      <c r="E7022">
        <v>0.4989846</v>
      </c>
      <c r="F7022" t="s">
        <v>41</v>
      </c>
      <c r="G7022">
        <v>-187.78039999999999</v>
      </c>
      <c r="H7022" s="1">
        <v>-3.423251E-6</v>
      </c>
      <c r="I7022">
        <v>86.694670000000002</v>
      </c>
      <c r="J7022">
        <v>-187.10169999999999</v>
      </c>
      <c r="K7022">
        <v>1.1094409999999999</v>
      </c>
      <c r="L7022">
        <v>36.258580000000002</v>
      </c>
      <c r="M7022">
        <v>4.5408590000000004E-3</v>
      </c>
      <c r="N7022">
        <v>-9.1830100000000001E-3</v>
      </c>
      <c r="O7022">
        <v>0.99994749999999999</v>
      </c>
      <c r="P7022">
        <v>-3.2445880000000003E-2</v>
      </c>
      <c r="Q7022">
        <v>0.18119189999999999</v>
      </c>
      <c r="R7022">
        <v>0.98291240000000002</v>
      </c>
      <c r="S7022">
        <v>-4.0801999999999998E-2</v>
      </c>
      <c r="T7022">
        <v>-6.6870449999999998E-2</v>
      </c>
      <c r="U7022">
        <v>3.0631710000000001</v>
      </c>
      <c r="V7022">
        <v>-3.6960479999999997E-2</v>
      </c>
      <c r="W7022">
        <v>0.1901987</v>
      </c>
      <c r="X7022">
        <v>0.98104959999999997</v>
      </c>
      <c r="Y7022">
        <v>-1.7855909999999999E-2</v>
      </c>
      <c r="Z7022">
        <v>-1.2640200000000001E-2</v>
      </c>
      <c r="AA7022">
        <v>0.99976069999999995</v>
      </c>
      <c r="AB7022">
        <v>39</v>
      </c>
      <c r="AC7022">
        <v>-0.67869999999999198</v>
      </c>
      <c r="AD7022">
        <v>-1.1094444232509999</v>
      </c>
      <c r="AE7022">
        <v>50.43609</v>
      </c>
      <c r="AF7022">
        <v>-0.90728690921862598</v>
      </c>
      <c r="AG7022">
        <v>-1.1094444232509999</v>
      </c>
      <c r="AH7022">
        <v>50.408101432684603</v>
      </c>
      <c r="AI7022">
        <v>91.260629368439496</v>
      </c>
      <c r="AJ7022">
        <v>91.031145724746196</v>
      </c>
      <c r="AK7022">
        <v>50.428471387815698</v>
      </c>
      <c r="AL7022">
        <v>79.035619340888303</v>
      </c>
      <c r="AM7022">
        <v>92.157565169984807</v>
      </c>
      <c r="AN7022">
        <v>0.99999997011183905</v>
      </c>
    </row>
    <row r="7023" spans="1:40" x14ac:dyDescent="0.25">
      <c r="A7023" t="str">
        <f>"20190304155811540"</f>
        <v>20190304155811540</v>
      </c>
      <c r="B7023" t="str">
        <f>"1551686291531665"</f>
        <v>1551686291531665</v>
      </c>
      <c r="C7023" t="s">
        <v>40</v>
      </c>
      <c r="D7023">
        <v>4.7265220000000001</v>
      </c>
      <c r="E7023">
        <v>0.49716680000000002</v>
      </c>
      <c r="F7023" t="s">
        <v>41</v>
      </c>
      <c r="G7023">
        <v>-188.30410000000001</v>
      </c>
      <c r="H7023" s="1">
        <v>-3.4065649999999998E-6</v>
      </c>
      <c r="I7023">
        <v>76.872339999999994</v>
      </c>
      <c r="J7023">
        <v>-187.1002</v>
      </c>
      <c r="K7023">
        <v>1.109442</v>
      </c>
      <c r="L7023">
        <v>36.61627</v>
      </c>
      <c r="M7023">
        <v>4.422161E-3</v>
      </c>
      <c r="N7023">
        <v>-9.1915030000000002E-3</v>
      </c>
      <c r="O7023">
        <v>0.99994799999999995</v>
      </c>
      <c r="P7023">
        <v>-3.2999769999999998E-2</v>
      </c>
      <c r="Q7023">
        <v>0.18073539999999999</v>
      </c>
      <c r="R7023">
        <v>0.98297800000000002</v>
      </c>
      <c r="S7023">
        <v>-9.0728760000000006E-2</v>
      </c>
      <c r="T7023">
        <v>-8.3715680000000001E-2</v>
      </c>
      <c r="U7023">
        <v>3.0646059999999999</v>
      </c>
      <c r="V7023">
        <v>-3.7398819999999999E-2</v>
      </c>
      <c r="W7023">
        <v>0.18975120000000001</v>
      </c>
      <c r="X7023">
        <v>0.98111970000000004</v>
      </c>
      <c r="Y7023">
        <v>-3.4001969999999999E-2</v>
      </c>
      <c r="Z7023">
        <v>-1.810266E-2</v>
      </c>
      <c r="AA7023">
        <v>0.99925779999999997</v>
      </c>
      <c r="AB7023">
        <v>39</v>
      </c>
      <c r="AC7023">
        <v>-1.2039</v>
      </c>
      <c r="AD7023">
        <v>-1.1094454065649999</v>
      </c>
      <c r="AE7023">
        <v>40.256070000000001</v>
      </c>
      <c r="AF7023">
        <v>-1.3808666842697199</v>
      </c>
      <c r="AG7023">
        <v>-1.1094454065649999</v>
      </c>
      <c r="AH7023">
        <v>40.2198311205956</v>
      </c>
      <c r="AI7023">
        <v>91.579146881995499</v>
      </c>
      <c r="AJ7023">
        <v>91.966362514061501</v>
      </c>
      <c r="AK7023">
        <v>40.258818627464798</v>
      </c>
      <c r="AL7023">
        <v>79.061735430889797</v>
      </c>
      <c r="AM7023">
        <v>92.182972788142905</v>
      </c>
      <c r="AN7023">
        <v>1.00000002768346</v>
      </c>
    </row>
    <row r="7024" spans="1:40" x14ac:dyDescent="0.25">
      <c r="A7024" t="str">
        <f>"20190304155811564"</f>
        <v>20190304155811564</v>
      </c>
      <c r="B7024" t="str">
        <f>"1551686291561920"</f>
        <v>1551686291561920</v>
      </c>
      <c r="C7024" t="s">
        <v>40</v>
      </c>
      <c r="D7024">
        <v>4.8039870000000002</v>
      </c>
      <c r="E7024">
        <v>0.4976718</v>
      </c>
      <c r="F7024" t="s">
        <v>41</v>
      </c>
      <c r="G7024">
        <v>-188.3622</v>
      </c>
      <c r="H7024" s="1">
        <v>-1.6413550000000001E-6</v>
      </c>
      <c r="I7024">
        <v>72.781610000000001</v>
      </c>
      <c r="J7024">
        <v>-187.0985</v>
      </c>
      <c r="K7024">
        <v>1.109442</v>
      </c>
      <c r="L7024">
        <v>37.03116</v>
      </c>
      <c r="M7024">
        <v>4.2839820000000004E-3</v>
      </c>
      <c r="N7024">
        <v>-9.2013609999999999E-3</v>
      </c>
      <c r="O7024">
        <v>0.99994850000000002</v>
      </c>
      <c r="P7024">
        <v>-3.2867300000000002E-2</v>
      </c>
      <c r="Q7024">
        <v>0.18025530000000001</v>
      </c>
      <c r="R7024">
        <v>0.98307060000000002</v>
      </c>
      <c r="S7024">
        <v>-0.1069794</v>
      </c>
      <c r="T7024">
        <v>-9.404469E-2</v>
      </c>
      <c r="U7024">
        <v>3.0656430000000001</v>
      </c>
      <c r="V7024">
        <v>-3.7132310000000002E-2</v>
      </c>
      <c r="W7024">
        <v>0.18928159999999999</v>
      </c>
      <c r="X7024">
        <v>0.98122050000000005</v>
      </c>
      <c r="Y7024">
        <v>-3.9141040000000002E-2</v>
      </c>
      <c r="Z7024">
        <v>-2.1442050000000001E-2</v>
      </c>
      <c r="AA7024">
        <v>0.99900359999999999</v>
      </c>
      <c r="AB7024">
        <v>39</v>
      </c>
      <c r="AC7024">
        <v>-1.2637</v>
      </c>
      <c r="AD7024">
        <v>-1.109443641355</v>
      </c>
      <c r="AE7024">
        <v>35.750450000000001</v>
      </c>
      <c r="AF7024">
        <v>-1.41548768950737</v>
      </c>
      <c r="AG7024">
        <v>-1.109443641355</v>
      </c>
      <c r="AH7024">
        <v>35.710360181079501</v>
      </c>
      <c r="AI7024">
        <v>91.778088152272701</v>
      </c>
      <c r="AJ7024">
        <v>92.2699024977628</v>
      </c>
      <c r="AK7024">
        <v>35.755619066867197</v>
      </c>
      <c r="AL7024">
        <v>79.089137838596102</v>
      </c>
      <c r="AM7024">
        <v>92.167209016889402</v>
      </c>
      <c r="AN7024">
        <v>1.00000000108237</v>
      </c>
    </row>
    <row r="7025" spans="1:40" x14ac:dyDescent="0.25">
      <c r="A7025" t="str">
        <f>"20190304155811585"</f>
        <v>20190304155811585</v>
      </c>
      <c r="B7025" t="str">
        <f>"1551686291581441"</f>
        <v>1551686291581441</v>
      </c>
      <c r="C7025" t="s">
        <v>40</v>
      </c>
      <c r="D7025">
        <v>4.7258950000000004</v>
      </c>
      <c r="E7025">
        <v>0.49736799999999998</v>
      </c>
      <c r="F7025" t="s">
        <v>41</v>
      </c>
      <c r="G7025">
        <v>-188.3202</v>
      </c>
      <c r="H7025" s="1">
        <v>-2.017432E-6</v>
      </c>
      <c r="I7025">
        <v>73.640879999999996</v>
      </c>
      <c r="J7025">
        <v>-187.09700000000001</v>
      </c>
      <c r="K7025">
        <v>1.1094459999999999</v>
      </c>
      <c r="L7025">
        <v>37.393369999999997</v>
      </c>
      <c r="M7025">
        <v>4.1627440000000003E-3</v>
      </c>
      <c r="N7025">
        <v>-9.2099339999999995E-3</v>
      </c>
      <c r="O7025">
        <v>0.99994890000000003</v>
      </c>
      <c r="P7025">
        <v>-3.2948390000000001E-2</v>
      </c>
      <c r="Q7025">
        <v>0.17982670000000001</v>
      </c>
      <c r="R7025">
        <v>0.98314639999999998</v>
      </c>
      <c r="S7025">
        <v>-0.10229489999999999</v>
      </c>
      <c r="T7025">
        <v>-9.2892050000000004E-2</v>
      </c>
      <c r="U7025">
        <v>3.065277</v>
      </c>
      <c r="V7025">
        <v>-3.7095129999999997E-2</v>
      </c>
      <c r="W7025">
        <v>0.18886159999999999</v>
      </c>
      <c r="X7025">
        <v>0.98130289999999998</v>
      </c>
      <c r="Y7025">
        <v>-3.7499680000000001E-2</v>
      </c>
      <c r="Z7025">
        <v>-2.1063620000000002E-2</v>
      </c>
      <c r="AA7025">
        <v>0.99907460000000003</v>
      </c>
      <c r="AB7025">
        <v>39</v>
      </c>
      <c r="AC7025">
        <v>-1.2231999999999901</v>
      </c>
      <c r="AD7025">
        <v>-1.1094480174319901</v>
      </c>
      <c r="AE7025">
        <v>36.247509999999998</v>
      </c>
      <c r="AF7025">
        <v>-1.37280030099647</v>
      </c>
      <c r="AG7025">
        <v>-1.1094480174319901</v>
      </c>
      <c r="AH7025">
        <v>36.208221719130002</v>
      </c>
      <c r="AI7025">
        <v>91.753778783710203</v>
      </c>
      <c r="AJ7025">
        <v>92.171275019351199</v>
      </c>
      <c r="AK7025">
        <v>36.251217574468903</v>
      </c>
      <c r="AL7025">
        <v>79.113644805074401</v>
      </c>
      <c r="AM7025">
        <v>92.164859465043705</v>
      </c>
      <c r="AN7025">
        <v>1.00000006708634</v>
      </c>
    </row>
    <row r="7026" spans="1:40" x14ac:dyDescent="0.25">
      <c r="A7026" t="str">
        <f>"20190304155811608"</f>
        <v>20190304155811608</v>
      </c>
      <c r="B7026" t="str">
        <f>"1551686291601937"</f>
        <v>1551686291601937</v>
      </c>
      <c r="C7026" t="s">
        <v>40</v>
      </c>
      <c r="D7026">
        <v>4.8559890000000001</v>
      </c>
      <c r="E7026">
        <v>0.49773499999999998</v>
      </c>
      <c r="F7026" t="s">
        <v>41</v>
      </c>
      <c r="G7026">
        <v>-188.298</v>
      </c>
      <c r="H7026" s="1">
        <v>-1.5493919999999999E-6</v>
      </c>
      <c r="I7026">
        <v>72.540689999999998</v>
      </c>
      <c r="J7026">
        <v>-187.09540000000001</v>
      </c>
      <c r="K7026">
        <v>1.109442</v>
      </c>
      <c r="L7026">
        <v>37.7973</v>
      </c>
      <c r="M7026">
        <v>4.02688E-3</v>
      </c>
      <c r="N7026">
        <v>-9.2194559999999991E-3</v>
      </c>
      <c r="O7026">
        <v>0.99994939999999999</v>
      </c>
      <c r="P7026">
        <v>-3.3261930000000002E-2</v>
      </c>
      <c r="Q7026">
        <v>0.18031730000000001</v>
      </c>
      <c r="R7026">
        <v>0.98304590000000003</v>
      </c>
      <c r="S7026">
        <v>-0.1047516</v>
      </c>
      <c r="T7026">
        <v>-9.6768019999999996E-2</v>
      </c>
      <c r="U7026">
        <v>3.0656129999999999</v>
      </c>
      <c r="V7026">
        <v>-3.7275839999999998E-2</v>
      </c>
      <c r="W7026">
        <v>0.18936069999999999</v>
      </c>
      <c r="X7026">
        <v>0.98119979999999996</v>
      </c>
      <c r="Y7026">
        <v>-3.8158699999999997E-2</v>
      </c>
      <c r="Z7026">
        <v>-2.2312019999999998E-2</v>
      </c>
      <c r="AA7026">
        <v>0.99902250000000004</v>
      </c>
      <c r="AB7026">
        <v>39</v>
      </c>
      <c r="AC7026">
        <v>-1.2025999999999799</v>
      </c>
      <c r="AD7026">
        <v>-1.1094435493920001</v>
      </c>
      <c r="AE7026">
        <v>34.743389999999998</v>
      </c>
      <c r="AF7026">
        <v>-1.3411377545185701</v>
      </c>
      <c r="AG7026">
        <v>-1.1094435493920001</v>
      </c>
      <c r="AH7026">
        <v>34.702921644645002</v>
      </c>
      <c r="AI7026">
        <v>91.829742832327298</v>
      </c>
      <c r="AJ7026">
        <v>92.213165594524199</v>
      </c>
      <c r="AK7026">
        <v>34.746543513567701</v>
      </c>
      <c r="AL7026">
        <v>79.084522316817896</v>
      </c>
      <c r="AM7026">
        <v>92.175623893796896</v>
      </c>
      <c r="AN7026">
        <v>1.00000000523611</v>
      </c>
    </row>
    <row r="7027" spans="1:40" x14ac:dyDescent="0.25">
      <c r="A7027" t="str">
        <f>"20190304155811631"</f>
        <v>20190304155811631</v>
      </c>
      <c r="B7027" t="str">
        <f>"1551686291621457"</f>
        <v>1551686291621457</v>
      </c>
      <c r="C7027" t="s">
        <v>40</v>
      </c>
      <c r="D7027">
        <v>4.7640169999999999</v>
      </c>
      <c r="E7027">
        <v>0.49708239999999998</v>
      </c>
      <c r="F7027" t="s">
        <v>41</v>
      </c>
      <c r="G7027">
        <v>-188.20419999999999</v>
      </c>
      <c r="H7027" s="1">
        <v>-9.0628369999999996E-7</v>
      </c>
      <c r="I7027">
        <v>70.907119999999907</v>
      </c>
      <c r="J7027">
        <v>-187.09399999999999</v>
      </c>
      <c r="K7027">
        <v>1.109445</v>
      </c>
      <c r="L7027">
        <v>38.183410000000002</v>
      </c>
      <c r="M7027">
        <v>3.8967759999999998E-3</v>
      </c>
      <c r="N7027">
        <v>-9.2285209999999999E-3</v>
      </c>
      <c r="O7027">
        <v>0.9999498</v>
      </c>
      <c r="P7027">
        <v>-3.3469659999999998E-2</v>
      </c>
      <c r="Q7027">
        <v>0.1807424</v>
      </c>
      <c r="R7027">
        <v>0.98296079999999997</v>
      </c>
      <c r="S7027">
        <v>-0.1027069</v>
      </c>
      <c r="T7027">
        <v>-0.10277260000000001</v>
      </c>
      <c r="U7027">
        <v>3.0671080000000002</v>
      </c>
      <c r="V7027">
        <v>-3.7355939999999997E-2</v>
      </c>
      <c r="W7027">
        <v>0.18979380000000001</v>
      </c>
      <c r="X7027">
        <v>0.98111309999999996</v>
      </c>
      <c r="Y7027">
        <v>-3.7345120000000002E-2</v>
      </c>
      <c r="Z7027">
        <v>-2.4242380000000001E-2</v>
      </c>
      <c r="AA7027">
        <v>0.99900840000000002</v>
      </c>
      <c r="AB7027">
        <v>39</v>
      </c>
      <c r="AC7027">
        <v>-1.1101999999999601</v>
      </c>
      <c r="AD7027">
        <v>-1.1094459062837001</v>
      </c>
      <c r="AE7027">
        <v>32.723709999999997</v>
      </c>
      <c r="AF7027">
        <v>-1.2362945557035001</v>
      </c>
      <c r="AG7027">
        <v>-1.1094459062837001</v>
      </c>
      <c r="AH7027">
        <v>32.681612699196201</v>
      </c>
      <c r="AI7027">
        <v>91.942890234467797</v>
      </c>
      <c r="AJ7027">
        <v>92.166377225007594</v>
      </c>
      <c r="AK7027">
        <v>32.723800254061103</v>
      </c>
      <c r="AL7027">
        <v>79.059249524486802</v>
      </c>
      <c r="AM7027">
        <v>92.180486949648198</v>
      </c>
      <c r="AN7027">
        <v>1.0000000338816599</v>
      </c>
    </row>
    <row r="7028" spans="1:40" x14ac:dyDescent="0.25">
      <c r="A7028" t="str">
        <f>"20190304155811652"</f>
        <v>20190304155811652</v>
      </c>
      <c r="B7028" t="str">
        <f>"1551686291641956"</f>
        <v>1551686291641956</v>
      </c>
      <c r="C7028" t="s">
        <v>40</v>
      </c>
      <c r="D7028">
        <v>4.6633459999999998</v>
      </c>
      <c r="E7028">
        <v>0.49653710000000001</v>
      </c>
      <c r="F7028" t="s">
        <v>41</v>
      </c>
      <c r="G7028">
        <v>-188.31190000000001</v>
      </c>
      <c r="H7028" s="1">
        <v>-1.616994E-6</v>
      </c>
      <c r="I7028">
        <v>72.704009999999997</v>
      </c>
      <c r="J7028">
        <v>-187.0926</v>
      </c>
      <c r="K7028">
        <v>1.109448</v>
      </c>
      <c r="L7028">
        <v>38.578609999999998</v>
      </c>
      <c r="M7028">
        <v>3.7633530000000001E-3</v>
      </c>
      <c r="N7028">
        <v>-9.2377350000000004E-3</v>
      </c>
      <c r="O7028">
        <v>0.99995020000000001</v>
      </c>
      <c r="P7028">
        <v>-3.372961E-2</v>
      </c>
      <c r="Q7028">
        <v>0.18082899999999999</v>
      </c>
      <c r="R7028">
        <v>0.98293600000000003</v>
      </c>
      <c r="S7028">
        <v>-0.1081848</v>
      </c>
      <c r="T7028">
        <v>-9.8551269999999996E-2</v>
      </c>
      <c r="U7028">
        <v>3.0664370000000001</v>
      </c>
      <c r="V7028">
        <v>-3.7485289999999998E-2</v>
      </c>
      <c r="W7028">
        <v>0.1898889</v>
      </c>
      <c r="X7028">
        <v>0.98108969999999995</v>
      </c>
      <c r="Y7028">
        <v>-3.9002630000000003E-2</v>
      </c>
      <c r="Z7028">
        <v>-2.2864619999999999E-2</v>
      </c>
      <c r="AA7028">
        <v>0.99897749999999996</v>
      </c>
      <c r="AB7028">
        <v>39</v>
      </c>
      <c r="AC7028">
        <v>-1.2193000000000001</v>
      </c>
      <c r="AD7028">
        <v>-1.109449616994</v>
      </c>
      <c r="AE7028">
        <v>34.125399999999999</v>
      </c>
      <c r="AF7028">
        <v>-1.3463016014196401</v>
      </c>
      <c r="AG7028">
        <v>-1.109449616994</v>
      </c>
      <c r="AH7028">
        <v>34.084589263553497</v>
      </c>
      <c r="AI7028">
        <v>91.862861484167695</v>
      </c>
      <c r="AJ7028">
        <v>92.261940759075799</v>
      </c>
      <c r="AK7028">
        <v>34.129204967590098</v>
      </c>
      <c r="AL7028">
        <v>79.053699068869193</v>
      </c>
      <c r="AM7028">
        <v>92.188081991181505</v>
      </c>
      <c r="AN7028">
        <v>0.99999997037784105</v>
      </c>
    </row>
    <row r="7029" spans="1:40" x14ac:dyDescent="0.25">
      <c r="A7029" t="str">
        <f>"20190304155811675"</f>
        <v>20190304155811675</v>
      </c>
      <c r="B7029" t="str">
        <f>"1551686291671232"</f>
        <v>1551686291671232</v>
      </c>
      <c r="C7029" t="s">
        <v>40</v>
      </c>
      <c r="D7029">
        <v>4.652609</v>
      </c>
      <c r="E7029">
        <v>0.49631229999999998</v>
      </c>
      <c r="F7029" t="s">
        <v>41</v>
      </c>
      <c r="G7029">
        <v>-188.36429999999999</v>
      </c>
      <c r="H7029" s="1">
        <v>-1.7083339999999999E-6</v>
      </c>
      <c r="I7029">
        <v>72.938609999999997</v>
      </c>
      <c r="J7029">
        <v>-187.09119999999999</v>
      </c>
      <c r="K7029">
        <v>1.1094469999999901</v>
      </c>
      <c r="L7029">
        <v>38.963009999999997</v>
      </c>
      <c r="M7029">
        <v>3.6334620000000001E-3</v>
      </c>
      <c r="N7029">
        <v>-9.2469089999999993E-3</v>
      </c>
      <c r="O7029">
        <v>0.99995060000000002</v>
      </c>
      <c r="P7029">
        <v>-3.3850599999999897E-2</v>
      </c>
      <c r="Q7029">
        <v>0.18077489999999999</v>
      </c>
      <c r="R7029">
        <v>0.98294179999999998</v>
      </c>
      <c r="S7029">
        <v>-0.113494899999999</v>
      </c>
      <c r="T7029">
        <v>-9.9011180000000004E-2</v>
      </c>
      <c r="U7029">
        <v>3.0664060000000002</v>
      </c>
      <c r="V7029">
        <v>-3.7479539999999999E-2</v>
      </c>
      <c r="W7029">
        <v>0.18984390000000001</v>
      </c>
      <c r="X7029">
        <v>0.98109869999999999</v>
      </c>
      <c r="Y7029">
        <v>-4.0600329999999997E-2</v>
      </c>
      <c r="Z7029">
        <v>-2.3003429999999998E-2</v>
      </c>
      <c r="AA7029">
        <v>0.99891059999999998</v>
      </c>
      <c r="AB7029">
        <v>39</v>
      </c>
      <c r="AC7029">
        <v>-1.2730999999999899</v>
      </c>
      <c r="AD7029">
        <v>-1.1094487083339999</v>
      </c>
      <c r="AE7029">
        <v>33.9756</v>
      </c>
      <c r="AF7029">
        <v>-1.3950604607766699</v>
      </c>
      <c r="AG7029">
        <v>-1.1094487083339999</v>
      </c>
      <c r="AH7029">
        <v>33.934615936679798</v>
      </c>
      <c r="AI7029">
        <v>91.870965756477801</v>
      </c>
      <c r="AJ7029">
        <v>92.354118080660101</v>
      </c>
      <c r="AK7029">
        <v>33.981395334735801</v>
      </c>
      <c r="AL7029">
        <v>79.056325926799204</v>
      </c>
      <c r="AM7029">
        <v>92.187726630229307</v>
      </c>
      <c r="AN7029">
        <v>1.0000000407137499</v>
      </c>
    </row>
    <row r="7030" spans="1:40" x14ac:dyDescent="0.25">
      <c r="A7030" t="str">
        <f>"20190304155811698"</f>
        <v>20190304155811698</v>
      </c>
      <c r="B7030" t="str">
        <f>"1551686291691729"</f>
        <v>1551686291691729</v>
      </c>
      <c r="C7030" t="s">
        <v>40</v>
      </c>
      <c r="D7030">
        <v>4.6259750000000004</v>
      </c>
      <c r="E7030">
        <v>0.49629400000000001</v>
      </c>
      <c r="F7030" t="s">
        <v>41</v>
      </c>
      <c r="G7030">
        <v>-188.74090000000001</v>
      </c>
      <c r="H7030" s="1">
        <v>-1.37659699999999E-6</v>
      </c>
      <c r="I7030">
        <v>82.321019999999905</v>
      </c>
      <c r="J7030">
        <v>-187.0898</v>
      </c>
      <c r="K7030">
        <v>1.109445</v>
      </c>
      <c r="L7030">
        <v>39.382840000000002</v>
      </c>
      <c r="M7030">
        <v>3.4915580000000001E-3</v>
      </c>
      <c r="N7030">
        <v>-9.2567810000000004E-3</v>
      </c>
      <c r="O7030">
        <v>0.99995109999999998</v>
      </c>
      <c r="P7030">
        <v>-3.4457799999999997E-2</v>
      </c>
      <c r="Q7030">
        <v>0.18090000000000001</v>
      </c>
      <c r="R7030">
        <v>0.98289769999999999</v>
      </c>
      <c r="S7030">
        <v>-0.1165161</v>
      </c>
      <c r="T7030">
        <v>-7.8362699999999993E-2</v>
      </c>
      <c r="U7030">
        <v>3.0624690000000001</v>
      </c>
      <c r="V7030">
        <v>-3.7947290000000002E-2</v>
      </c>
      <c r="W7030">
        <v>0.18997829999999999</v>
      </c>
      <c r="X7030">
        <v>0.98105469999999895</v>
      </c>
      <c r="Y7030">
        <v>-4.1496159999999997E-2</v>
      </c>
      <c r="Z7030">
        <v>-1.6303749999999999E-2</v>
      </c>
      <c r="AA7030">
        <v>0.99900560000000005</v>
      </c>
      <c r="AB7030">
        <v>39</v>
      </c>
      <c r="AC7030">
        <v>-1.65110000000001</v>
      </c>
      <c r="AD7030">
        <v>-1.109446376597</v>
      </c>
      <c r="AE7030">
        <v>42.938179999999903</v>
      </c>
      <c r="AF7030">
        <v>-1.79981768903934</v>
      </c>
      <c r="AG7030">
        <v>-1.109446376597</v>
      </c>
      <c r="AH7030">
        <v>42.903552371544599</v>
      </c>
      <c r="AI7030">
        <v>91.479984900049601</v>
      </c>
      <c r="AJ7030">
        <v>92.402167728002496</v>
      </c>
      <c r="AK7030">
        <v>42.955616874562402</v>
      </c>
      <c r="AL7030">
        <v>79.048482604737899</v>
      </c>
      <c r="AM7030">
        <v>92.215101985541494</v>
      </c>
      <c r="AN7030">
        <v>1.0000000378406599</v>
      </c>
    </row>
    <row r="7031" spans="1:40" x14ac:dyDescent="0.25">
      <c r="A7031" t="str">
        <f>"20190304155811721"</f>
        <v>20190304155811721</v>
      </c>
      <c r="B7031" t="str">
        <f>"1551686291711249"</f>
        <v>1551686291711249</v>
      </c>
      <c r="C7031" t="s">
        <v>40</v>
      </c>
      <c r="D7031">
        <v>4.4734129999999999</v>
      </c>
      <c r="E7031">
        <v>0.49576609999999999</v>
      </c>
      <c r="F7031" t="s">
        <v>41</v>
      </c>
      <c r="G7031">
        <v>-188.85599999999999</v>
      </c>
      <c r="H7031" s="1">
        <v>-2.5124080000000001E-6</v>
      </c>
      <c r="I7031">
        <v>85.016239999999996</v>
      </c>
      <c r="J7031">
        <v>-187.08860000000001</v>
      </c>
      <c r="K7031">
        <v>1.10944</v>
      </c>
      <c r="L7031">
        <v>39.778379999999999</v>
      </c>
      <c r="M7031">
        <v>3.357854E-3</v>
      </c>
      <c r="N7031">
        <v>-9.2658529999999992E-3</v>
      </c>
      <c r="O7031">
        <v>0.99995140000000005</v>
      </c>
      <c r="P7031">
        <v>-3.4837239999999998E-2</v>
      </c>
      <c r="Q7031">
        <v>0.18020949999999999</v>
      </c>
      <c r="R7031">
        <v>0.98301110000000003</v>
      </c>
      <c r="S7031">
        <v>-0.1184998</v>
      </c>
      <c r="T7031">
        <v>-7.4437500000000004E-2</v>
      </c>
      <c r="U7031">
        <v>3.0617369999999999</v>
      </c>
      <c r="V7031">
        <v>-3.8195670000000001E-2</v>
      </c>
      <c r="W7031">
        <v>0.1892971</v>
      </c>
      <c r="X7031">
        <v>0.98117670000000001</v>
      </c>
      <c r="Y7031">
        <v>-4.2018859999999998E-2</v>
      </c>
      <c r="Z7031">
        <v>-1.5020210000000001E-2</v>
      </c>
      <c r="AA7031">
        <v>0.99900389999999994</v>
      </c>
      <c r="AB7031">
        <v>39</v>
      </c>
      <c r="AC7031">
        <v>-1.7673999999999801</v>
      </c>
      <c r="AD7031">
        <v>-1.1094425124079901</v>
      </c>
      <c r="AE7031">
        <v>45.237859999999998</v>
      </c>
      <c r="AF7031">
        <v>-1.9181467637623499</v>
      </c>
      <c r="AG7031">
        <v>-1.1094425124079901</v>
      </c>
      <c r="AH7031">
        <v>45.204522821660902</v>
      </c>
      <c r="AI7031">
        <v>91.404649275309495</v>
      </c>
      <c r="AJ7031">
        <v>92.429752997895093</v>
      </c>
      <c r="AK7031">
        <v>45.258800616341297</v>
      </c>
      <c r="AL7031">
        <v>79.088233489934893</v>
      </c>
      <c r="AM7031">
        <v>92.229309170036402</v>
      </c>
      <c r="AN7031">
        <v>1.00000000894902</v>
      </c>
    </row>
    <row r="7032" spans="1:40" x14ac:dyDescent="0.25">
      <c r="A7032" t="str">
        <f>"20190304155811743"</f>
        <v>20190304155811743</v>
      </c>
      <c r="B7032" t="str">
        <f>"1551686291731745"</f>
        <v>1551686291731745</v>
      </c>
      <c r="C7032" t="s">
        <v>40</v>
      </c>
      <c r="D7032">
        <v>3.7791109999999999</v>
      </c>
      <c r="E7032">
        <v>0.4962319</v>
      </c>
      <c r="F7032" t="s">
        <v>41</v>
      </c>
      <c r="G7032">
        <v>-188.81540000000001</v>
      </c>
      <c r="H7032" s="1">
        <v>-1.445677E-6</v>
      </c>
      <c r="I7032">
        <v>82.512889999999999</v>
      </c>
      <c r="J7032">
        <v>-187.0874</v>
      </c>
      <c r="K7032">
        <v>1.1094459999999999</v>
      </c>
      <c r="L7032">
        <v>40.171509999999998</v>
      </c>
      <c r="M7032">
        <v>3.2247539999999998E-3</v>
      </c>
      <c r="N7032">
        <v>-9.2747909999999992E-3</v>
      </c>
      <c r="O7032">
        <v>0.99995179999999995</v>
      </c>
      <c r="P7032">
        <v>-3.4769149999999999E-2</v>
      </c>
      <c r="Q7032">
        <v>0.1800494</v>
      </c>
      <c r="R7032">
        <v>0.98304290000000005</v>
      </c>
      <c r="S7032">
        <v>-0.1237335</v>
      </c>
      <c r="T7032">
        <v>-7.9494480000000006E-2</v>
      </c>
      <c r="U7032">
        <v>3.0620419999999999</v>
      </c>
      <c r="V7032">
        <v>-3.7996549999999997E-2</v>
      </c>
      <c r="W7032">
        <v>0.1891468</v>
      </c>
      <c r="X7032">
        <v>0.98121340000000001</v>
      </c>
      <c r="Y7032">
        <v>-4.3585209999999999E-2</v>
      </c>
      <c r="Z7032">
        <v>-1.6656020000000001E-2</v>
      </c>
      <c r="AA7032">
        <v>0.99891079999999999</v>
      </c>
      <c r="AB7032">
        <v>39</v>
      </c>
      <c r="AC7032">
        <v>-1.728</v>
      </c>
      <c r="AD7032">
        <v>-1.1094474456769901</v>
      </c>
      <c r="AE7032">
        <v>42.341380000000001</v>
      </c>
      <c r="AF7032">
        <v>-1.8632602930206701</v>
      </c>
      <c r="AG7032">
        <v>-1.1094474456769901</v>
      </c>
      <c r="AH7032">
        <v>42.306589165560098</v>
      </c>
      <c r="AI7032">
        <v>91.500725398404995</v>
      </c>
      <c r="AJ7032">
        <v>92.5217822643055</v>
      </c>
      <c r="AK7032">
        <v>42.362130486765501</v>
      </c>
      <c r="AL7032">
        <v>79.097003305719596</v>
      </c>
      <c r="AM7032">
        <v>92.217616202117796</v>
      </c>
      <c r="AN7032">
        <v>0.99999999305085097</v>
      </c>
    </row>
    <row r="7033" spans="1:40" x14ac:dyDescent="0.25">
      <c r="A7033" t="str">
        <f>"20190304155811809"</f>
        <v>20190304155811809</v>
      </c>
      <c r="B7033" t="str">
        <f>"1551686291801041"</f>
        <v>1551686291801041</v>
      </c>
      <c r="C7033" t="s">
        <v>40</v>
      </c>
      <c r="D7033">
        <v>4.620107</v>
      </c>
      <c r="E7033">
        <v>0.51755689999999999</v>
      </c>
      <c r="F7033" t="s">
        <v>41</v>
      </c>
      <c r="G7033">
        <v>-188.7364</v>
      </c>
      <c r="H7033" s="1">
        <v>-1.321293E-6</v>
      </c>
      <c r="I7033">
        <v>82.190240000000003</v>
      </c>
      <c r="J7033">
        <v>-187.08410000000001</v>
      </c>
      <c r="K7033">
        <v>1.109448</v>
      </c>
      <c r="L7033">
        <v>41.344909999999999</v>
      </c>
      <c r="M7033">
        <v>2.8276680000000002E-3</v>
      </c>
      <c r="N7033">
        <v>-9.3015879999999995E-3</v>
      </c>
      <c r="O7033">
        <v>0.99995270000000003</v>
      </c>
      <c r="P7033">
        <v>-3.5398069999999997E-2</v>
      </c>
      <c r="Q7033">
        <v>0.17985770000000001</v>
      </c>
      <c r="R7033">
        <v>0.98305549999999997</v>
      </c>
      <c r="S7033">
        <v>-0.1201782</v>
      </c>
      <c r="T7033">
        <v>-8.0856319999999995E-2</v>
      </c>
      <c r="U7033">
        <v>3.0623170000000002</v>
      </c>
      <c r="V7033">
        <v>-3.8235940000000003E-2</v>
      </c>
      <c r="W7033">
        <v>0.1889815</v>
      </c>
      <c r="X7033">
        <v>0.981236</v>
      </c>
      <c r="Y7033">
        <v>-4.2026809999999998E-2</v>
      </c>
      <c r="Z7033">
        <v>-1.7072480000000001E-2</v>
      </c>
      <c r="AA7033">
        <v>0.99897060000000004</v>
      </c>
      <c r="AB7033">
        <v>40</v>
      </c>
      <c r="AC7033">
        <v>-1.6522999999999901</v>
      </c>
      <c r="AD7033">
        <v>-1.1094493212929999</v>
      </c>
      <c r="AE7033">
        <v>40.845329999999997</v>
      </c>
      <c r="AF7033">
        <v>-1.7664942631963101</v>
      </c>
      <c r="AG7033">
        <v>-1.1094493212929999</v>
      </c>
      <c r="AH7033">
        <v>40.8104341777399</v>
      </c>
      <c r="AI7033">
        <v>91.555770960607404</v>
      </c>
      <c r="AJ7033">
        <v>92.478521176876697</v>
      </c>
      <c r="AK7033">
        <v>40.863711499985698</v>
      </c>
      <c r="AL7033">
        <v>79.106648776715204</v>
      </c>
      <c r="AM7033">
        <v>92.231522441743294</v>
      </c>
      <c r="AN7033">
        <v>1.0000000410729599</v>
      </c>
    </row>
    <row r="7034" spans="1:40" x14ac:dyDescent="0.25">
      <c r="A7034" t="str">
        <f>"20190304155811832"</f>
        <v>20190304155811832</v>
      </c>
      <c r="B7034" t="str">
        <f>"1551686291822034"</f>
        <v>1551686291822034</v>
      </c>
      <c r="C7034" t="s">
        <v>40</v>
      </c>
      <c r="D7034">
        <v>4.8783190000000003</v>
      </c>
      <c r="E7034">
        <v>0.52059650000000002</v>
      </c>
      <c r="F7034" t="s">
        <v>42</v>
      </c>
      <c r="G7034">
        <v>-187.07060000000001</v>
      </c>
      <c r="H7034">
        <v>0.98533700000000002</v>
      </c>
      <c r="I7034">
        <v>42.055639999999997</v>
      </c>
      <c r="J7034">
        <v>-187.0831</v>
      </c>
      <c r="K7034">
        <v>1.1094459999999999</v>
      </c>
      <c r="L7034">
        <v>41.749600000000001</v>
      </c>
      <c r="M7034">
        <v>2.69097E-3</v>
      </c>
      <c r="N7034">
        <v>-9.3108860000000009E-3</v>
      </c>
      <c r="O7034">
        <v>0.99995299999999998</v>
      </c>
      <c r="P7034">
        <v>-3.5871319999999998E-2</v>
      </c>
      <c r="Q7034">
        <v>0.1797446</v>
      </c>
      <c r="R7034">
        <v>0.98305900000000002</v>
      </c>
      <c r="S7034">
        <v>5.993652E-2</v>
      </c>
      <c r="T7034">
        <v>-0.550871</v>
      </c>
      <c r="U7034">
        <v>3.1546630000000002</v>
      </c>
      <c r="V7034">
        <v>-3.8574539999999997E-2</v>
      </c>
      <c r="W7034">
        <v>0.1888775</v>
      </c>
      <c r="X7034">
        <v>0.98124270000000002</v>
      </c>
      <c r="Y7034">
        <v>1.6037929999999999E-2</v>
      </c>
      <c r="Z7034">
        <v>-0.16281189999999901</v>
      </c>
      <c r="AA7034">
        <v>0.98652680000000004</v>
      </c>
      <c r="AB7034">
        <v>40</v>
      </c>
      <c r="AC7034">
        <v>1.24999999999886E-2</v>
      </c>
      <c r="AD7034">
        <v>-0.124108999999999</v>
      </c>
      <c r="AE7034">
        <v>0.30604000000000298</v>
      </c>
      <c r="AF7034">
        <v>1.0029679081903199E-2</v>
      </c>
      <c r="AG7034">
        <v>-0.124108999999999</v>
      </c>
      <c r="AH7034">
        <v>0.26290774092902902</v>
      </c>
      <c r="AI7034">
        <v>115.254179885528</v>
      </c>
      <c r="AJ7034">
        <v>87.815280196085794</v>
      </c>
      <c r="AK7034">
        <v>0.290902249190155</v>
      </c>
      <c r="AL7034">
        <v>79.112716043733798</v>
      </c>
      <c r="AM7034">
        <v>92.251248184299797</v>
      </c>
      <c r="AN7034">
        <v>0.99999997072287505</v>
      </c>
    </row>
    <row r="7035" spans="1:40" x14ac:dyDescent="0.25">
      <c r="A7035" t="str">
        <f>"20190304155811876"</f>
        <v>20190304155811876</v>
      </c>
      <c r="B7035" t="str">
        <f>"1551686291871810"</f>
        <v>1551686291871810</v>
      </c>
      <c r="C7035" t="s">
        <v>40</v>
      </c>
      <c r="D7035">
        <v>4.5397319999999999</v>
      </c>
      <c r="E7035">
        <v>0.51692550000000004</v>
      </c>
      <c r="F7035" t="s">
        <v>42</v>
      </c>
      <c r="G7035">
        <v>-187.0573</v>
      </c>
      <c r="H7035">
        <v>0.97686090000000003</v>
      </c>
      <c r="I7035">
        <v>42.761859999999999</v>
      </c>
      <c r="J7035">
        <v>-187.0812</v>
      </c>
      <c r="K7035">
        <v>1.1094520000000001</v>
      </c>
      <c r="L7035">
        <v>42.542140000000003</v>
      </c>
      <c r="M7035">
        <v>2.4235099999999998E-3</v>
      </c>
      <c r="N7035">
        <v>-9.3290270000000002E-3</v>
      </c>
      <c r="O7035">
        <v>0.9999536</v>
      </c>
      <c r="P7035">
        <v>-3.720474E-2</v>
      </c>
      <c r="Q7035">
        <v>0.1793594</v>
      </c>
      <c r="R7035">
        <v>0.98307990000000001</v>
      </c>
      <c r="S7035">
        <v>7.9818730000000004E-2</v>
      </c>
      <c r="T7035">
        <v>-0.40990189999999999</v>
      </c>
      <c r="U7035">
        <v>3.1295470000000001</v>
      </c>
      <c r="V7035">
        <v>-3.9645569999999998E-2</v>
      </c>
      <c r="W7035">
        <v>0.18850939999999999</v>
      </c>
      <c r="X7035">
        <v>0.9812708</v>
      </c>
      <c r="Y7035">
        <v>2.287264E-2</v>
      </c>
      <c r="Z7035">
        <v>-0.1205751</v>
      </c>
      <c r="AA7035">
        <v>0.99244069999999995</v>
      </c>
      <c r="AB7035">
        <v>40</v>
      </c>
      <c r="AC7035">
        <v>2.38999999999975E-2</v>
      </c>
      <c r="AD7035">
        <v>-0.13259109999999999</v>
      </c>
      <c r="AE7035">
        <v>0.219719999999995</v>
      </c>
      <c r="AF7035">
        <v>1.7183191865789899E-2</v>
      </c>
      <c r="AG7035">
        <v>-0.13259109999999999</v>
      </c>
      <c r="AH7035">
        <v>0.16161289002215901</v>
      </c>
      <c r="AI7035">
        <v>129.20844976302999</v>
      </c>
      <c r="AJ7035">
        <v>83.930933075039107</v>
      </c>
      <c r="AK7035">
        <v>0.20974839237338899</v>
      </c>
      <c r="AL7035">
        <v>79.134192458037603</v>
      </c>
      <c r="AM7035">
        <v>92.313621354433906</v>
      </c>
      <c r="AN7035">
        <v>0.99999997402081198</v>
      </c>
    </row>
    <row r="7036" spans="1:40" x14ac:dyDescent="0.25">
      <c r="A7036" t="str">
        <f>"20190304155811901"</f>
        <v>20190304155811901</v>
      </c>
      <c r="B7036" t="str">
        <f>"1551686291891330"</f>
        <v>1551686291891330</v>
      </c>
      <c r="C7036" t="s">
        <v>40</v>
      </c>
      <c r="D7036">
        <v>4.5699829999999997</v>
      </c>
      <c r="E7036">
        <v>0.514401</v>
      </c>
      <c r="F7036" t="s">
        <v>42</v>
      </c>
      <c r="G7036">
        <v>-187.06780000000001</v>
      </c>
      <c r="H7036">
        <v>1.0186660000000001</v>
      </c>
      <c r="I7036">
        <v>43.494689999999999</v>
      </c>
      <c r="J7036">
        <v>-187.08029999999999</v>
      </c>
      <c r="K7036">
        <v>1.1094539999999999</v>
      </c>
      <c r="L7036">
        <v>42.977229999999999</v>
      </c>
      <c r="M7036">
        <v>2.2767769999999998E-3</v>
      </c>
      <c r="N7036">
        <v>-9.3389749999999994E-3</v>
      </c>
      <c r="O7036">
        <v>0.9999538</v>
      </c>
      <c r="P7036">
        <v>-3.8075860000000003E-2</v>
      </c>
      <c r="Q7036">
        <v>0.17953239999999901</v>
      </c>
      <c r="R7036">
        <v>0.98301490000000002</v>
      </c>
      <c r="S7036">
        <v>4.3548580000000003E-2</v>
      </c>
      <c r="T7036">
        <v>-0.29615639999999999</v>
      </c>
      <c r="U7036">
        <v>3.1073300000000001</v>
      </c>
      <c r="V7036">
        <v>-4.0372169999999999E-2</v>
      </c>
      <c r="W7036">
        <v>0.18869159999999999</v>
      </c>
      <c r="X7036">
        <v>0.98120620000000003</v>
      </c>
      <c r="Y7036">
        <v>1.167961E-2</v>
      </c>
      <c r="Z7036">
        <v>-8.5569939999999997E-2</v>
      </c>
      <c r="AA7036">
        <v>0.99626369999999997</v>
      </c>
      <c r="AB7036">
        <v>40</v>
      </c>
      <c r="AC7036">
        <v>1.24999999999886E-2</v>
      </c>
      <c r="AD7036">
        <v>-9.0787999999999994E-2</v>
      </c>
      <c r="AE7036">
        <v>0.51746000000000603</v>
      </c>
      <c r="AF7036">
        <v>1.0983862078181601E-2</v>
      </c>
      <c r="AG7036">
        <v>-9.0787999999999994E-2</v>
      </c>
      <c r="AH7036">
        <v>0.50204204307031797</v>
      </c>
      <c r="AI7036">
        <v>100.248042723678</v>
      </c>
      <c r="AJ7036">
        <v>88.746661628915305</v>
      </c>
      <c r="AK7036">
        <v>0.51030316399212305</v>
      </c>
      <c r="AL7036">
        <v>79.123562898888807</v>
      </c>
      <c r="AM7036">
        <v>92.356131590655295</v>
      </c>
      <c r="AN7036">
        <v>1.00000001946975</v>
      </c>
    </row>
    <row r="7037" spans="1:40" x14ac:dyDescent="0.25">
      <c r="A7037" t="str">
        <f>"20190304155811922"</f>
        <v>20190304155811922</v>
      </c>
      <c r="B7037" t="str">
        <f>"1551686291911826"</f>
        <v>1551686291911826</v>
      </c>
      <c r="C7037" t="s">
        <v>40</v>
      </c>
      <c r="D7037">
        <v>4.5106250000000001</v>
      </c>
      <c r="E7037">
        <v>0.51107669999999905</v>
      </c>
      <c r="F7037" t="s">
        <v>42</v>
      </c>
      <c r="G7037">
        <v>-187.0746</v>
      </c>
      <c r="H7037">
        <v>1.0404549999999999</v>
      </c>
      <c r="I7037">
        <v>43.864449999999998</v>
      </c>
      <c r="J7037">
        <v>-187.0795</v>
      </c>
      <c r="K7037">
        <v>1.1094539999999999</v>
      </c>
      <c r="L7037">
        <v>43.355899999999998</v>
      </c>
      <c r="M7037">
        <v>2.1490789999999999E-3</v>
      </c>
      <c r="N7037">
        <v>-9.3476600000000007E-3</v>
      </c>
      <c r="O7037">
        <v>0.99995400000000001</v>
      </c>
      <c r="P7037">
        <v>-3.8753000000000003E-2</v>
      </c>
      <c r="Q7037">
        <v>0.1797319</v>
      </c>
      <c r="R7037">
        <v>0.98295200000000005</v>
      </c>
      <c r="S7037">
        <v>1.945496E-2</v>
      </c>
      <c r="T7037">
        <v>-0.24083979999999999</v>
      </c>
      <c r="U7037">
        <v>3.0965880000000001</v>
      </c>
      <c r="V7037">
        <v>-4.0924009999999997E-2</v>
      </c>
      <c r="W7037">
        <v>0.1888986</v>
      </c>
      <c r="X7037">
        <v>0.98114349999999995</v>
      </c>
      <c r="Y7037">
        <v>4.117122E-3</v>
      </c>
      <c r="Z7037">
        <v>-6.82175E-2</v>
      </c>
      <c r="AA7037">
        <v>0.99766189999999999</v>
      </c>
      <c r="AB7037">
        <v>40</v>
      </c>
      <c r="AC7037">
        <v>4.8999999999921303E-3</v>
      </c>
      <c r="AD7037">
        <v>-6.8999000000000199E-2</v>
      </c>
      <c r="AE7037">
        <v>0.50854999999999895</v>
      </c>
      <c r="AF7037">
        <v>3.7382182237592101E-3</v>
      </c>
      <c r="AG7037">
        <v>-6.8999000000000199E-2</v>
      </c>
      <c r="AH7037">
        <v>0.49936760393610102</v>
      </c>
      <c r="AI7037">
        <v>97.866686468282893</v>
      </c>
      <c r="AJ7037">
        <v>89.571097274442394</v>
      </c>
      <c r="AK7037">
        <v>0.50412581776513998</v>
      </c>
      <c r="AL7037">
        <v>79.111485392120898</v>
      </c>
      <c r="AM7037">
        <v>92.388452539806295</v>
      </c>
      <c r="AN7037">
        <v>1.0000000116343399</v>
      </c>
    </row>
    <row r="7038" spans="1:40" x14ac:dyDescent="0.25">
      <c r="A7038" t="str">
        <f>"20190304155811945"</f>
        <v>20190304155811945</v>
      </c>
      <c r="B7038" t="str">
        <f>"1551686291941106"</f>
        <v>1551686291941106</v>
      </c>
      <c r="C7038" t="s">
        <v>40</v>
      </c>
      <c r="D7038">
        <v>4.5230030000000001</v>
      </c>
      <c r="E7038">
        <v>0.50976670000000002</v>
      </c>
      <c r="F7038" t="s">
        <v>41</v>
      </c>
      <c r="G7038">
        <v>-187.12479999999999</v>
      </c>
      <c r="H7038" s="1">
        <v>-4.4790889999999999E-6</v>
      </c>
      <c r="I7038">
        <v>58.884799999999998</v>
      </c>
      <c r="J7038">
        <v>-187.0788</v>
      </c>
      <c r="K7038">
        <v>1.1094539999999999</v>
      </c>
      <c r="L7038">
        <v>43.747439999999997</v>
      </c>
      <c r="M7038">
        <v>2.0170750000000001E-3</v>
      </c>
      <c r="N7038">
        <v>-9.3566310000000007E-3</v>
      </c>
      <c r="O7038">
        <v>0.99995420000000002</v>
      </c>
      <c r="P7038">
        <v>-3.9270520000000003E-2</v>
      </c>
      <c r="Q7038">
        <v>0.17927319999999999</v>
      </c>
      <c r="R7038">
        <v>0.98301519999999998</v>
      </c>
      <c r="S7038">
        <v>-9.017944E-3</v>
      </c>
      <c r="T7038">
        <v>-0.2209122</v>
      </c>
      <c r="U7038">
        <v>3.0920719999999999</v>
      </c>
      <c r="V7038">
        <v>-4.1312210000000002E-2</v>
      </c>
      <c r="W7038">
        <v>0.18844949999999999</v>
      </c>
      <c r="X7038">
        <v>0.98121360000000002</v>
      </c>
      <c r="Y7038">
        <v>-4.9261510000000001E-3</v>
      </c>
      <c r="Z7038">
        <v>-6.1926290000000002E-2</v>
      </c>
      <c r="AA7038">
        <v>0.99806859999999997</v>
      </c>
      <c r="AB7038">
        <v>40</v>
      </c>
      <c r="AC7038">
        <v>-4.59999999999922E-2</v>
      </c>
      <c r="AD7038">
        <v>-1.1094584790889901</v>
      </c>
      <c r="AE7038">
        <v>15.1373599999999</v>
      </c>
      <c r="AF7038">
        <v>-7.6125504114761003E-2</v>
      </c>
      <c r="AG7038">
        <v>-1.1094584790889901</v>
      </c>
      <c r="AH7038">
        <v>15.0563570507548</v>
      </c>
      <c r="AI7038">
        <v>94.214286451533795</v>
      </c>
      <c r="AJ7038">
        <v>90.289687134703996</v>
      </c>
      <c r="AK7038">
        <v>15.0973699977517</v>
      </c>
      <c r="AL7038">
        <v>79.137687623637007</v>
      </c>
      <c r="AM7038">
        <v>92.410910437339396</v>
      </c>
      <c r="AN7038">
        <v>1.0000000207851401</v>
      </c>
    </row>
    <row r="7039" spans="1:40" x14ac:dyDescent="0.25">
      <c r="A7039" t="str">
        <f>"20190304155811965"</f>
        <v>20190304155811965</v>
      </c>
      <c r="B7039" t="str">
        <f>"1551686291961602"</f>
        <v>1551686291961602</v>
      </c>
      <c r="C7039" t="s">
        <v>40</v>
      </c>
      <c r="D7039">
        <v>4.55776</v>
      </c>
      <c r="E7039">
        <v>0.50953029999999999</v>
      </c>
      <c r="F7039" t="s">
        <v>41</v>
      </c>
      <c r="G7039">
        <v>-187.19919999999999</v>
      </c>
      <c r="H7039" s="1">
        <v>-1.326696E-6</v>
      </c>
      <c r="I7039">
        <v>61.356769999999997</v>
      </c>
      <c r="J7039">
        <v>-187.07820000000001</v>
      </c>
      <c r="K7039">
        <v>1.109453</v>
      </c>
      <c r="L7039">
        <v>44.127719999999997</v>
      </c>
      <c r="M7039">
        <v>1.888601E-3</v>
      </c>
      <c r="N7039">
        <v>-9.3653150000000008E-3</v>
      </c>
      <c r="O7039">
        <v>0.99995429999999996</v>
      </c>
      <c r="P7039">
        <v>-3.9715309999999997E-2</v>
      </c>
      <c r="Q7039">
        <v>0.17924799999999999</v>
      </c>
      <c r="R7039">
        <v>0.98300189999999998</v>
      </c>
      <c r="S7039">
        <v>-2.1102909999999999E-2</v>
      </c>
      <c r="T7039">
        <v>-0.19445850000000001</v>
      </c>
      <c r="U7039">
        <v>3.0864560000000001</v>
      </c>
      <c r="V7039">
        <v>-4.1630960000000002E-2</v>
      </c>
      <c r="W7039">
        <v>0.18843260000000001</v>
      </c>
      <c r="X7039">
        <v>0.9812033</v>
      </c>
      <c r="Y7039">
        <v>-8.7129730000000006E-3</v>
      </c>
      <c r="Z7039">
        <v>-5.3527430000000001E-2</v>
      </c>
      <c r="AA7039">
        <v>0.99852839999999998</v>
      </c>
      <c r="AB7039">
        <v>40</v>
      </c>
      <c r="AC7039">
        <v>-0.12099999999998</v>
      </c>
      <c r="AD7039">
        <v>-1.109454326696</v>
      </c>
      <c r="AE7039">
        <v>17.229049999999901</v>
      </c>
      <c r="AF7039">
        <v>-0.15290599964121701</v>
      </c>
      <c r="AG7039">
        <v>-1.109454326696</v>
      </c>
      <c r="AH7039">
        <v>17.157647683682999</v>
      </c>
      <c r="AI7039">
        <v>93.699584210730805</v>
      </c>
      <c r="AJ7039">
        <v>90.510596597090498</v>
      </c>
      <c r="AK7039">
        <v>17.194160147711301</v>
      </c>
      <c r="AL7039">
        <v>79.138672794418298</v>
      </c>
      <c r="AM7039">
        <v>92.429515414917901</v>
      </c>
      <c r="AN7039">
        <v>0.99999994875208398</v>
      </c>
    </row>
    <row r="7040" spans="1:40" x14ac:dyDescent="0.25">
      <c r="A7040" t="str">
        <f>"20190304155811988"</f>
        <v>20190304155811988</v>
      </c>
      <c r="B7040" t="str">
        <f>"1551686291981122"</f>
        <v>1551686291981122</v>
      </c>
      <c r="C7040" t="s">
        <v>40</v>
      </c>
      <c r="D7040">
        <v>4.5651820000000001</v>
      </c>
      <c r="E7040">
        <v>0.50924919999999996</v>
      </c>
      <c r="F7040" t="s">
        <v>41</v>
      </c>
      <c r="G7040">
        <v>-187.23580000000001</v>
      </c>
      <c r="H7040" s="1">
        <v>-2.3971630000000001E-6</v>
      </c>
      <c r="I7040">
        <v>64.077650000000006</v>
      </c>
      <c r="J7040">
        <v>-187.07749999999999</v>
      </c>
      <c r="K7040">
        <v>1.1094539999999999</v>
      </c>
      <c r="L7040">
        <v>44.54233</v>
      </c>
      <c r="M7040">
        <v>1.7459929999999999E-3</v>
      </c>
      <c r="N7040">
        <v>-9.3747229999999997E-3</v>
      </c>
      <c r="O7040">
        <v>0.99995449999999997</v>
      </c>
      <c r="P7040">
        <v>-4.0323400000000002E-2</v>
      </c>
      <c r="Q7040">
        <v>0.179451799999999</v>
      </c>
      <c r="R7040">
        <v>0.98294000000000004</v>
      </c>
      <c r="S7040">
        <v>-2.4353030000000001E-2</v>
      </c>
      <c r="T7040">
        <v>-0.17140459999999999</v>
      </c>
      <c r="U7040">
        <v>3.0821529999999999</v>
      </c>
      <c r="V7040">
        <v>-4.2099419999999999E-2</v>
      </c>
      <c r="W7040">
        <v>0.18864529999999999</v>
      </c>
      <c r="X7040">
        <v>0.98114250000000003</v>
      </c>
      <c r="Y7040">
        <v>-9.6357030000000007E-3</v>
      </c>
      <c r="Z7040">
        <v>-4.6161130000000002E-2</v>
      </c>
      <c r="AA7040">
        <v>0.99888750000000004</v>
      </c>
      <c r="AB7040">
        <v>40</v>
      </c>
      <c r="AC7040">
        <v>-0.158300000000025</v>
      </c>
      <c r="AD7040">
        <v>-1.109456397163</v>
      </c>
      <c r="AE7040">
        <v>19.535319999999999</v>
      </c>
      <c r="AF7040">
        <v>-0.19179123377665799</v>
      </c>
      <c r="AG7040">
        <v>-1.109456397163</v>
      </c>
      <c r="AH7040">
        <v>19.472212868303401</v>
      </c>
      <c r="AI7040">
        <v>93.260823193934201</v>
      </c>
      <c r="AJ7040">
        <v>90.564315570471507</v>
      </c>
      <c r="AK7040">
        <v>19.504736639162299</v>
      </c>
      <c r="AL7040">
        <v>79.126264078654202</v>
      </c>
      <c r="AM7040">
        <v>92.456972728502194</v>
      </c>
      <c r="AN7040">
        <v>1.00000000784133</v>
      </c>
    </row>
    <row r="7041" spans="1:40" x14ac:dyDescent="0.25">
      <c r="A7041" t="str">
        <f>"20190304155812010"</f>
        <v>20190304155812010</v>
      </c>
      <c r="B7041" t="str">
        <f>"1551686292001618"</f>
        <v>1551686292001618</v>
      </c>
      <c r="C7041" t="s">
        <v>40</v>
      </c>
      <c r="D7041">
        <v>4.5574139999999996</v>
      </c>
      <c r="E7041">
        <v>0.50857350000000001</v>
      </c>
      <c r="F7041" t="s">
        <v>41</v>
      </c>
      <c r="G7041">
        <v>-187.27619999999999</v>
      </c>
      <c r="H7041" s="1">
        <v>-3.2427619999999999E-6</v>
      </c>
      <c r="I7041">
        <v>66.0655</v>
      </c>
      <c r="J7041">
        <v>-187.07689999999999</v>
      </c>
      <c r="K7041">
        <v>1.109459</v>
      </c>
      <c r="L7041">
        <v>44.924439999999997</v>
      </c>
      <c r="M7041">
        <v>1.6063500000000001E-3</v>
      </c>
      <c r="N7041">
        <v>-9.3834560000000001E-3</v>
      </c>
      <c r="O7041">
        <v>0.99995469999999997</v>
      </c>
      <c r="P7041">
        <v>-4.0763960000000002E-2</v>
      </c>
      <c r="Q7041">
        <v>0.17911750000000001</v>
      </c>
      <c r="R7041">
        <v>0.98298280000000005</v>
      </c>
      <c r="S7041">
        <v>-2.844238E-2</v>
      </c>
      <c r="T7041">
        <v>-0.1587597</v>
      </c>
      <c r="U7041">
        <v>3.079895</v>
      </c>
      <c r="V7041">
        <v>-4.2404820000000003E-2</v>
      </c>
      <c r="W7041">
        <v>0.18831880000000001</v>
      </c>
      <c r="X7041">
        <v>0.98119210000000001</v>
      </c>
      <c r="Y7041">
        <v>-1.0829510000000001E-2</v>
      </c>
      <c r="Z7041">
        <v>-4.2102720000000003E-2</v>
      </c>
      <c r="AA7041">
        <v>0.99905460000000001</v>
      </c>
      <c r="AB7041">
        <v>40</v>
      </c>
      <c r="AC7041">
        <v>-0.19929999999999301</v>
      </c>
      <c r="AD7041">
        <v>-1.109462242762</v>
      </c>
      <c r="AE7041">
        <v>21.14106</v>
      </c>
      <c r="AF7041">
        <v>-0.23262058782977599</v>
      </c>
      <c r="AG7041">
        <v>-1.109462242762</v>
      </c>
      <c r="AH7041">
        <v>21.082655073616401</v>
      </c>
      <c r="AI7041">
        <v>93.012194760941398</v>
      </c>
      <c r="AJ7041">
        <v>90.632161225925799</v>
      </c>
      <c r="AK7041">
        <v>21.113108813225001</v>
      </c>
      <c r="AL7041">
        <v>79.145312896515605</v>
      </c>
      <c r="AM7041">
        <v>92.474649213070705</v>
      </c>
      <c r="AN7041">
        <v>1.00000003814754</v>
      </c>
    </row>
    <row r="7042" spans="1:40" x14ac:dyDescent="0.25">
      <c r="A7042" t="str">
        <f>"20190304155812034"</f>
        <v>20190304155812034</v>
      </c>
      <c r="B7042" t="str">
        <f>"1551686292031874"</f>
        <v>1551686292031874</v>
      </c>
      <c r="C7042" t="s">
        <v>40</v>
      </c>
      <c r="D7042">
        <v>4.5933260000000002</v>
      </c>
      <c r="E7042">
        <v>0.50839319999999999</v>
      </c>
      <c r="F7042" t="s">
        <v>41</v>
      </c>
      <c r="G7042">
        <v>-187.3339</v>
      </c>
      <c r="H7042" s="1">
        <v>-3.9122410000000001E-6</v>
      </c>
      <c r="I7042">
        <v>67.649919999999995</v>
      </c>
      <c r="J7042">
        <v>-187.07640000000001</v>
      </c>
      <c r="K7042">
        <v>1.1094729999999999</v>
      </c>
      <c r="L7042">
        <v>45.350490000000001</v>
      </c>
      <c r="M7042">
        <v>1.4305079999999901E-3</v>
      </c>
      <c r="N7042">
        <v>-9.3932549999999997E-3</v>
      </c>
      <c r="O7042">
        <v>0.99995489999999998</v>
      </c>
      <c r="P7042">
        <v>-4.0705360000000003E-2</v>
      </c>
      <c r="Q7042">
        <v>0.1795003</v>
      </c>
      <c r="R7042">
        <v>0.98291539999999999</v>
      </c>
      <c r="S7042">
        <v>-3.4805299999999997E-2</v>
      </c>
      <c r="T7042">
        <v>-0.1502628</v>
      </c>
      <c r="U7042">
        <v>3.0778810000000001</v>
      </c>
      <c r="V7042">
        <v>-4.2178899999999998E-2</v>
      </c>
      <c r="W7042">
        <v>0.1887094</v>
      </c>
      <c r="X7042">
        <v>0.98112670000000002</v>
      </c>
      <c r="Y7042">
        <v>-1.27257E-2</v>
      </c>
      <c r="Z7042">
        <v>-3.9374230000000003E-2</v>
      </c>
      <c r="AA7042">
        <v>0.99914349999999996</v>
      </c>
      <c r="AB7042">
        <v>40</v>
      </c>
      <c r="AC7042">
        <v>-0.25749999999999301</v>
      </c>
      <c r="AD7042">
        <v>-1.109476912241</v>
      </c>
      <c r="AE7042">
        <v>22.299429999999901</v>
      </c>
      <c r="AF7042">
        <v>-0.28868613126661802</v>
      </c>
      <c r="AG7042">
        <v>-1.109476912241</v>
      </c>
      <c r="AH7042">
        <v>22.243982935652799</v>
      </c>
      <c r="AI7042">
        <v>92.855170726797994</v>
      </c>
      <c r="AJ7042">
        <v>90.743552465986298</v>
      </c>
      <c r="AK7042">
        <v>22.2735056859668</v>
      </c>
      <c r="AL7042">
        <v>79.122523604666398</v>
      </c>
      <c r="AM7042">
        <v>92.461645169049703</v>
      </c>
      <c r="AN7042">
        <v>0.999999949353228</v>
      </c>
    </row>
    <row r="7043" spans="1:40" x14ac:dyDescent="0.25">
      <c r="A7043" t="str">
        <f>"20190304155812055"</f>
        <v>20190304155812055</v>
      </c>
      <c r="B7043" t="str">
        <f>"1551686292051394"</f>
        <v>1551686292051394</v>
      </c>
      <c r="C7043" t="s">
        <v>40</v>
      </c>
      <c r="D7043">
        <v>4.7675369999999999</v>
      </c>
      <c r="E7043">
        <v>0.50825600000000004</v>
      </c>
      <c r="F7043" t="s">
        <v>41</v>
      </c>
      <c r="G7043">
        <v>-187.376</v>
      </c>
      <c r="H7043" s="1">
        <v>-8.9012930000000005E-7</v>
      </c>
      <c r="I7043">
        <v>70.212119999999999</v>
      </c>
      <c r="J7043">
        <v>-187.07599999999999</v>
      </c>
      <c r="K7043">
        <v>1.109477</v>
      </c>
      <c r="L7043">
        <v>45.735750000000003</v>
      </c>
      <c r="M7043">
        <v>1.249958E-3</v>
      </c>
      <c r="N7043">
        <v>-9.4020700000000002E-3</v>
      </c>
      <c r="O7043">
        <v>0.99995500000000004</v>
      </c>
      <c r="P7043">
        <v>-4.0385799999999999E-2</v>
      </c>
      <c r="Q7043">
        <v>0.1793111</v>
      </c>
      <c r="R7043">
        <v>0.98296309999999998</v>
      </c>
      <c r="S7043">
        <v>-3.7063600000000002E-2</v>
      </c>
      <c r="T7043">
        <v>-0.1372553</v>
      </c>
      <c r="U7043">
        <v>3.0756839999999999</v>
      </c>
      <c r="V7043">
        <v>-4.1689619999999997E-2</v>
      </c>
      <c r="W7043">
        <v>0.18852769999999999</v>
      </c>
      <c r="X7043">
        <v>0.98118260000000002</v>
      </c>
      <c r="Y7043">
        <v>-1.328873E-2</v>
      </c>
      <c r="Z7043">
        <v>-3.5183180000000001E-2</v>
      </c>
      <c r="AA7043">
        <v>0.99929259999999998</v>
      </c>
      <c r="AB7043">
        <v>40</v>
      </c>
      <c r="AC7043">
        <v>-0.299999999999982</v>
      </c>
      <c r="AD7043">
        <v>-1.1094778901293001</v>
      </c>
      <c r="AE7043">
        <v>24.476369999999999</v>
      </c>
      <c r="AF7043">
        <v>-0.32991778079309197</v>
      </c>
      <c r="AG7043">
        <v>-1.1094778901293001</v>
      </c>
      <c r="AH7043">
        <v>24.425796321623899</v>
      </c>
      <c r="AI7043">
        <v>92.600486383892004</v>
      </c>
      <c r="AJ7043">
        <v>90.773843635255503</v>
      </c>
      <c r="AK7043">
        <v>24.453206597013502</v>
      </c>
      <c r="AL7043">
        <v>79.133125156954605</v>
      </c>
      <c r="AM7043">
        <v>92.432985872827103</v>
      </c>
      <c r="AN7043">
        <v>1.00000000631289</v>
      </c>
    </row>
    <row r="7044" spans="1:40" x14ac:dyDescent="0.25">
      <c r="A7044" t="str">
        <f>"20190304155812077"</f>
        <v>20190304155812077</v>
      </c>
      <c r="B7044" t="str">
        <f>"1551686292071889"</f>
        <v>1551686292071889</v>
      </c>
      <c r="C7044" t="s">
        <v>40</v>
      </c>
      <c r="D7044">
        <v>4.6267779999999998</v>
      </c>
      <c r="E7044">
        <v>0.50815670000000002</v>
      </c>
      <c r="F7044" t="s">
        <v>41</v>
      </c>
      <c r="G7044">
        <v>-187.399</v>
      </c>
      <c r="H7044" s="1">
        <v>-1.4484120000000001E-6</v>
      </c>
      <c r="I7044">
        <v>71.870639999999995</v>
      </c>
      <c r="J7044">
        <v>-187.07570000000001</v>
      </c>
      <c r="K7044">
        <v>1.109494</v>
      </c>
      <c r="L7044">
        <v>46.14743</v>
      </c>
      <c r="M7044">
        <v>1.032217E-3</v>
      </c>
      <c r="N7044">
        <v>-9.4114320000000008E-3</v>
      </c>
      <c r="O7044">
        <v>0.99995520000000004</v>
      </c>
      <c r="P7044">
        <v>-4.0379869999999998E-2</v>
      </c>
      <c r="Q7044">
        <v>0.17824119999999999</v>
      </c>
      <c r="R7044">
        <v>0.98315790000000003</v>
      </c>
      <c r="S7044">
        <v>-3.7994380000000001E-2</v>
      </c>
      <c r="T7044">
        <v>-0.13050809999999999</v>
      </c>
      <c r="U7044">
        <v>3.074249</v>
      </c>
      <c r="V7044">
        <v>-4.1479219999999997E-2</v>
      </c>
      <c r="W7044">
        <v>0.18746740000000001</v>
      </c>
      <c r="X7044">
        <v>0.98139460000000001</v>
      </c>
      <c r="Y7044">
        <v>-1.338015E-2</v>
      </c>
      <c r="Z7044">
        <v>-3.3005359999999997E-2</v>
      </c>
      <c r="AA7044">
        <v>0.99936559999999997</v>
      </c>
      <c r="AB7044">
        <v>40</v>
      </c>
      <c r="AC7044">
        <v>-0.32329999999998899</v>
      </c>
      <c r="AD7044">
        <v>-1.1094954484120001</v>
      </c>
      <c r="AE7044">
        <v>25.723210000000002</v>
      </c>
      <c r="AF7044">
        <v>-0.3492033908462</v>
      </c>
      <c r="AG7044">
        <v>-1.1094954484120001</v>
      </c>
      <c r="AH7044">
        <v>25.675104760480799</v>
      </c>
      <c r="AI7044">
        <v>92.474148196343194</v>
      </c>
      <c r="AJ7044">
        <v>90.779223574858406</v>
      </c>
      <c r="AK7044">
        <v>25.7014382402987</v>
      </c>
      <c r="AL7044">
        <v>79.194978209073696</v>
      </c>
      <c r="AM7044">
        <v>92.420199375013595</v>
      </c>
      <c r="AN7044">
        <v>0.999999956331863</v>
      </c>
    </row>
    <row r="7045" spans="1:40" x14ac:dyDescent="0.25">
      <c r="A7045" t="str">
        <f>"20190304155812114"</f>
        <v>20190304155812114</v>
      </c>
      <c r="B7045" t="str">
        <f>"1551686292111906"</f>
        <v>1551686292111906</v>
      </c>
      <c r="C7045" t="s">
        <v>40</v>
      </c>
      <c r="D7045">
        <v>4.685721</v>
      </c>
      <c r="E7045">
        <v>0.50805679999999998</v>
      </c>
      <c r="F7045" t="s">
        <v>41</v>
      </c>
      <c r="G7045">
        <v>-187.405</v>
      </c>
      <c r="H7045" s="1">
        <v>-1.72569E-6</v>
      </c>
      <c r="I7045">
        <v>72.582400000000007</v>
      </c>
      <c r="J7045">
        <v>-187.0754</v>
      </c>
      <c r="K7045">
        <v>1.109537</v>
      </c>
      <c r="L7045">
        <v>46.787509999999997</v>
      </c>
      <c r="M7045">
        <v>6.2560899999999995E-4</v>
      </c>
      <c r="N7045">
        <v>-9.4260060000000007E-3</v>
      </c>
      <c r="O7045">
        <v>0.99995540000000005</v>
      </c>
      <c r="P7045">
        <v>-3.9850099999999999E-2</v>
      </c>
      <c r="Q7045">
        <v>0.1783168</v>
      </c>
      <c r="R7045">
        <v>0.98316590000000004</v>
      </c>
      <c r="S7045">
        <v>-3.82843E-2</v>
      </c>
      <c r="T7045">
        <v>-0.12898499999999999</v>
      </c>
      <c r="U7045">
        <v>3.0732119999999998</v>
      </c>
      <c r="V7045">
        <v>-4.056974E-2</v>
      </c>
      <c r="W7045">
        <v>0.1875531</v>
      </c>
      <c r="X7045">
        <v>0.98141630000000002</v>
      </c>
      <c r="Y7045">
        <v>-1.307229E-2</v>
      </c>
      <c r="Z7045">
        <v>-3.2510810000000001E-2</v>
      </c>
      <c r="AA7045">
        <v>0.99938590000000005</v>
      </c>
      <c r="AB7045">
        <v>40</v>
      </c>
      <c r="AC7045">
        <v>-0.329599999999999</v>
      </c>
      <c r="AD7045">
        <v>-1.10953872569</v>
      </c>
      <c r="AE7045">
        <v>25.794889999999999</v>
      </c>
      <c r="AF7045">
        <v>-0.34509976970420903</v>
      </c>
      <c r="AG7045">
        <v>-1.10953872569</v>
      </c>
      <c r="AH7045">
        <v>25.7470494488086</v>
      </c>
      <c r="AI7045">
        <v>92.4673459528303</v>
      </c>
      <c r="AJ7045">
        <v>90.767916199622505</v>
      </c>
      <c r="AK7045">
        <v>25.773256009946699</v>
      </c>
      <c r="AL7045">
        <v>79.189979896708095</v>
      </c>
      <c r="AM7045">
        <v>92.367142457860396</v>
      </c>
      <c r="AN7045">
        <v>1.00000001151448</v>
      </c>
    </row>
    <row r="7046" spans="1:40" x14ac:dyDescent="0.25">
      <c r="A7046" t="str">
        <f>"20190304155812132"</f>
        <v>20190304155812132</v>
      </c>
      <c r="B7046" t="str">
        <f>"1551686292121665"</f>
        <v>1551686292121665</v>
      </c>
      <c r="C7046" t="s">
        <v>40</v>
      </c>
      <c r="D7046">
        <v>4.7520819999999997</v>
      </c>
      <c r="E7046">
        <v>0.50858400000000004</v>
      </c>
      <c r="F7046" t="s">
        <v>41</v>
      </c>
      <c r="G7046">
        <v>-187.42230000000001</v>
      </c>
      <c r="H7046" s="1">
        <v>-2.807347E-6</v>
      </c>
      <c r="I7046">
        <v>75.110939999999999</v>
      </c>
      <c r="J7046">
        <v>-187.0754</v>
      </c>
      <c r="K7046">
        <v>1.109558</v>
      </c>
      <c r="L7046">
        <v>47.132599999999996</v>
      </c>
      <c r="M7046">
        <v>3.6393619999999999E-4</v>
      </c>
      <c r="N7046">
        <v>-9.4339079999999995E-3</v>
      </c>
      <c r="O7046">
        <v>0.99995540000000005</v>
      </c>
      <c r="P7046">
        <v>-3.97138E-2</v>
      </c>
      <c r="Q7046">
        <v>0.17789869999999999</v>
      </c>
      <c r="R7046">
        <v>0.98324710000000004</v>
      </c>
      <c r="S7046">
        <v>-3.7628170000000002E-2</v>
      </c>
      <c r="T7046">
        <v>-0.1203288</v>
      </c>
      <c r="U7046">
        <v>3.0716549999999998</v>
      </c>
      <c r="V7046">
        <v>-4.0188740000000001E-2</v>
      </c>
      <c r="W7046">
        <v>0.18714140000000001</v>
      </c>
      <c r="X7046">
        <v>0.98151060000000001</v>
      </c>
      <c r="Y7046">
        <v>-1.2604840000000001E-2</v>
      </c>
      <c r="Z7046">
        <v>-2.9712430000000001E-2</v>
      </c>
      <c r="AA7046">
        <v>0.99947900000000001</v>
      </c>
      <c r="AB7046">
        <v>40</v>
      </c>
      <c r="AC7046">
        <v>-0.34690000000000498</v>
      </c>
      <c r="AD7046">
        <v>-1.109560807347</v>
      </c>
      <c r="AE7046">
        <v>27.978339999999999</v>
      </c>
      <c r="AF7046">
        <v>-0.35652212901559299</v>
      </c>
      <c r="AG7046">
        <v>-1.109560807347</v>
      </c>
      <c r="AH7046">
        <v>27.934285135989501</v>
      </c>
      <c r="AI7046">
        <v>92.274430162902604</v>
      </c>
      <c r="AJ7046">
        <v>90.731219867134499</v>
      </c>
      <c r="AK7046">
        <v>27.958585788133899</v>
      </c>
      <c r="AL7046">
        <v>79.213994164678496</v>
      </c>
      <c r="AM7046">
        <v>92.344711956094301</v>
      </c>
      <c r="AN7046">
        <v>1.0000000481645499</v>
      </c>
    </row>
    <row r="7047" spans="1:40" x14ac:dyDescent="0.25">
      <c r="A7047" t="str">
        <f>"20190304155812154"</f>
        <v>20190304155812154</v>
      </c>
      <c r="B7047" t="str">
        <f>"1551686292151923"</f>
        <v>1551686292151923</v>
      </c>
      <c r="C7047" t="s">
        <v>40</v>
      </c>
      <c r="D7047">
        <v>4.6881820000000003</v>
      </c>
      <c r="E7047">
        <v>0.55629910000000005</v>
      </c>
      <c r="F7047" t="s">
        <v>41</v>
      </c>
      <c r="G7047">
        <v>-187.3861</v>
      </c>
      <c r="H7047" s="1">
        <v>-3.0574609999999999E-6</v>
      </c>
      <c r="I7047">
        <v>75.678979999999996</v>
      </c>
      <c r="J7047">
        <v>-187.07550000000001</v>
      </c>
      <c r="K7047">
        <v>1.109594</v>
      </c>
      <c r="L7047">
        <v>47.53342</v>
      </c>
      <c r="M7047" s="1">
        <v>2.3821699999999999E-5</v>
      </c>
      <c r="N7047">
        <v>-9.4431229999999994E-3</v>
      </c>
      <c r="O7047">
        <v>0.99995540000000005</v>
      </c>
      <c r="P7047">
        <v>-3.9771340000000002E-2</v>
      </c>
      <c r="Q7047">
        <v>0.17752009999999999</v>
      </c>
      <c r="R7047">
        <v>0.9833132</v>
      </c>
      <c r="S7047">
        <v>-3.3432009999999998E-2</v>
      </c>
      <c r="T7047">
        <v>-0.119379399999999</v>
      </c>
      <c r="U7047">
        <v>3.0713499999999998</v>
      </c>
      <c r="V7047">
        <v>-3.9926719999999999E-2</v>
      </c>
      <c r="W7047">
        <v>0.1867694</v>
      </c>
      <c r="X7047">
        <v>0.98159209999999997</v>
      </c>
      <c r="Y7047">
        <v>-1.09011E-2</v>
      </c>
      <c r="Z7047">
        <v>-2.939934E-2</v>
      </c>
      <c r="AA7047">
        <v>0.99950830000000002</v>
      </c>
      <c r="AB7047">
        <v>40</v>
      </c>
      <c r="AC7047">
        <v>-0.31059999999999299</v>
      </c>
      <c r="AD7047">
        <v>-1.1095970574609999</v>
      </c>
      <c r="AE7047">
        <v>28.14556</v>
      </c>
      <c r="AF7047">
        <v>-0.31078753339804199</v>
      </c>
      <c r="AG7047">
        <v>-1.1095970574609999</v>
      </c>
      <c r="AH7047">
        <v>28.101881574449301</v>
      </c>
      <c r="AI7047">
        <v>92.260999449539597</v>
      </c>
      <c r="AJ7047">
        <v>90.633626186937605</v>
      </c>
      <c r="AK7047">
        <v>28.125496307535901</v>
      </c>
      <c r="AL7047">
        <v>79.235690228125407</v>
      </c>
      <c r="AM7047">
        <v>92.329248750134298</v>
      </c>
      <c r="AN7047">
        <v>1.00000000126436</v>
      </c>
    </row>
    <row r="7048" spans="1:40" x14ac:dyDescent="0.25">
      <c r="A7048" t="str">
        <f>"20190304155812179"</f>
        <v>20190304155812179</v>
      </c>
      <c r="B7048" t="str">
        <f>"1551686292171442"</f>
        <v>1551686292171442</v>
      </c>
      <c r="C7048" t="s">
        <v>40</v>
      </c>
      <c r="D7048">
        <v>4.663259</v>
      </c>
      <c r="E7048">
        <v>0.55667409999999995</v>
      </c>
      <c r="F7048" t="s">
        <v>69</v>
      </c>
      <c r="G7048">
        <v>-169.0497</v>
      </c>
      <c r="H7048">
        <v>2.2438739999999999</v>
      </c>
      <c r="I7048">
        <v>208.2148</v>
      </c>
      <c r="J7048">
        <v>-187.07579999999999</v>
      </c>
      <c r="K7048">
        <v>1.1096349999999999</v>
      </c>
      <c r="L7048">
        <v>47.986660000000001</v>
      </c>
      <c r="M7048">
        <v>-4.1081279999999998E-4</v>
      </c>
      <c r="N7048">
        <v>-9.4534809999999997E-3</v>
      </c>
      <c r="O7048">
        <v>0.99995520000000004</v>
      </c>
      <c r="P7048">
        <v>-3.9973740000000001E-2</v>
      </c>
      <c r="Q7048">
        <v>0.1773277</v>
      </c>
      <c r="R7048">
        <v>0.98333970000000004</v>
      </c>
      <c r="S7048">
        <v>0.34338380000000002</v>
      </c>
      <c r="T7048">
        <v>2.1608229999999999E-2</v>
      </c>
      <c r="U7048">
        <v>3.0609130000000002</v>
      </c>
      <c r="V7048">
        <v>-3.9720789999999999E-2</v>
      </c>
      <c r="W7048">
        <v>0.186584</v>
      </c>
      <c r="X7048">
        <v>0.9816357</v>
      </c>
      <c r="Y7048">
        <v>0.111876</v>
      </c>
      <c r="Z7048">
        <v>1.6468219999999999E-2</v>
      </c>
      <c r="AA7048">
        <v>0.99358570000000002</v>
      </c>
      <c r="AB7048">
        <v>40</v>
      </c>
      <c r="AC7048">
        <v>18.0260999999999</v>
      </c>
      <c r="AD7048">
        <v>1.134239</v>
      </c>
      <c r="AE7048">
        <v>160.22814</v>
      </c>
      <c r="AF7048">
        <v>18.091029967345399</v>
      </c>
      <c r="AG7048">
        <v>1.134239</v>
      </c>
      <c r="AH7048">
        <v>160.21279274310299</v>
      </c>
      <c r="AI7048">
        <v>89.596938247426806</v>
      </c>
      <c r="AJ7048">
        <v>83.557521034803599</v>
      </c>
      <c r="AK7048">
        <v>161.23495533516601</v>
      </c>
      <c r="AL7048">
        <v>79.246502803006194</v>
      </c>
      <c r="AM7048">
        <v>92.317145506356795</v>
      </c>
      <c r="AN7048">
        <v>0.99999998886435604</v>
      </c>
    </row>
    <row r="7049" spans="1:40" x14ac:dyDescent="0.25">
      <c r="A7049" t="str">
        <f>"20190304155812200"</f>
        <v>20190304155812200</v>
      </c>
      <c r="B7049" t="str">
        <f>"1551686292191938"</f>
        <v>1551686292191938</v>
      </c>
      <c r="C7049" t="s">
        <v>40</v>
      </c>
      <c r="D7049">
        <v>4.5739830000000001</v>
      </c>
      <c r="E7049">
        <v>0.5558978</v>
      </c>
      <c r="F7049" t="s">
        <v>69</v>
      </c>
      <c r="G7049">
        <v>-168.99270000000001</v>
      </c>
      <c r="H7049">
        <v>2.4336190000000002</v>
      </c>
      <c r="I7049">
        <v>208.21469999999999</v>
      </c>
      <c r="J7049">
        <v>-187.0763</v>
      </c>
      <c r="K7049">
        <v>1.1096710000000001</v>
      </c>
      <c r="L7049">
        <v>48.365969999999997</v>
      </c>
      <c r="M7049">
        <v>-8.1411319999999995E-4</v>
      </c>
      <c r="N7049">
        <v>-9.4621840000000002E-3</v>
      </c>
      <c r="O7049">
        <v>0.99995489999999998</v>
      </c>
      <c r="P7049">
        <v>-4.023065E-2</v>
      </c>
      <c r="Q7049">
        <v>0.17716109999999999</v>
      </c>
      <c r="R7049">
        <v>0.98335930000000005</v>
      </c>
      <c r="S7049">
        <v>0.34538269999999999</v>
      </c>
      <c r="T7049">
        <v>2.5288339999999999E-2</v>
      </c>
      <c r="U7049">
        <v>3.0603030000000002</v>
      </c>
      <c r="V7049">
        <v>-3.9597050000000002E-2</v>
      </c>
      <c r="W7049">
        <v>0.18642230000000001</v>
      </c>
      <c r="X7049">
        <v>0.98167150000000003</v>
      </c>
      <c r="Y7049">
        <v>0.1129378</v>
      </c>
      <c r="Z7049">
        <v>1.7672489999999999E-2</v>
      </c>
      <c r="AA7049">
        <v>0.99344489999999996</v>
      </c>
      <c r="AB7049">
        <v>41</v>
      </c>
      <c r="AC7049">
        <v>18.083599999999901</v>
      </c>
      <c r="AD7049">
        <v>1.3239479999999999</v>
      </c>
      <c r="AE7049">
        <v>159.84872999999999</v>
      </c>
      <c r="AF7049">
        <v>18.212501206107401</v>
      </c>
      <c r="AG7049">
        <v>1.3239479999999999</v>
      </c>
      <c r="AH7049">
        <v>159.823128961111</v>
      </c>
      <c r="AI7049">
        <v>89.528433980759104</v>
      </c>
      <c r="AJ7049">
        <v>83.498953946652307</v>
      </c>
      <c r="AK7049">
        <v>160.862924844133</v>
      </c>
      <c r="AL7049">
        <v>79.255933839960207</v>
      </c>
      <c r="AM7049">
        <v>92.309850713040703</v>
      </c>
      <c r="AN7049">
        <v>1.00000006710911</v>
      </c>
    </row>
    <row r="7050" spans="1:40" x14ac:dyDescent="0.25">
      <c r="A7050" t="str">
        <f>"20190304155812222"</f>
        <v>20190304155812222</v>
      </c>
      <c r="B7050" t="str">
        <f>"1551686292211458"</f>
        <v>1551686292211458</v>
      </c>
      <c r="C7050" t="s">
        <v>40</v>
      </c>
      <c r="D7050">
        <v>4.5871370000000002</v>
      </c>
      <c r="E7050">
        <v>0.5573224</v>
      </c>
      <c r="F7050" t="s">
        <v>69</v>
      </c>
      <c r="G7050">
        <v>-169.3931</v>
      </c>
      <c r="H7050">
        <v>3.074862</v>
      </c>
      <c r="I7050">
        <v>208.21459999999999</v>
      </c>
      <c r="J7050">
        <v>-187.077</v>
      </c>
      <c r="K7050">
        <v>1.10971</v>
      </c>
      <c r="L7050">
        <v>48.769100000000002</v>
      </c>
      <c r="M7050">
        <v>-1.279337E-3</v>
      </c>
      <c r="N7050">
        <v>-9.471574E-3</v>
      </c>
      <c r="O7050">
        <v>0.99995429999999996</v>
      </c>
      <c r="P7050">
        <v>-4.0596790000000001E-2</v>
      </c>
      <c r="Q7050">
        <v>0.17824279999999901</v>
      </c>
      <c r="R7050">
        <v>0.98314869999999999</v>
      </c>
      <c r="S7050">
        <v>0.33827210000000002</v>
      </c>
      <c r="T7050">
        <v>3.7593840000000003E-2</v>
      </c>
      <c r="U7050">
        <v>3.0578310000000002</v>
      </c>
      <c r="V7050">
        <v>-3.95246E-2</v>
      </c>
      <c r="W7050">
        <v>0.18750810000000001</v>
      </c>
      <c r="X7050">
        <v>0.98146750000000005</v>
      </c>
      <c r="Y7050">
        <v>0.1112012</v>
      </c>
      <c r="Z7050">
        <v>2.1688929999999999E-2</v>
      </c>
      <c r="AA7050">
        <v>0.99356120000000003</v>
      </c>
      <c r="AB7050">
        <v>41</v>
      </c>
      <c r="AC7050">
        <v>17.683899999999898</v>
      </c>
      <c r="AD7050">
        <v>1.965152</v>
      </c>
      <c r="AE7050">
        <v>159.44549999999899</v>
      </c>
      <c r="AF7050">
        <v>17.885195399466902</v>
      </c>
      <c r="AG7050">
        <v>1.965152</v>
      </c>
      <c r="AH7050">
        <v>159.39882580608</v>
      </c>
      <c r="AI7050">
        <v>89.298067792028903</v>
      </c>
      <c r="AJ7050">
        <v>83.597958019482704</v>
      </c>
      <c r="AK7050">
        <v>160.41112089009701</v>
      </c>
      <c r="AL7050">
        <v>79.192604294644198</v>
      </c>
      <c r="AM7050">
        <v>92.306107698806002</v>
      </c>
      <c r="AN7050">
        <v>0.99999996756350895</v>
      </c>
    </row>
    <row r="7051" spans="1:40" x14ac:dyDescent="0.25">
      <c r="A7051" t="str">
        <f>"20190304155812245"</f>
        <v>20190304155812245</v>
      </c>
      <c r="B7051" t="str">
        <f>"1551686292241434"</f>
        <v>1551686292241434</v>
      </c>
      <c r="C7051" t="s">
        <v>40</v>
      </c>
      <c r="D7051">
        <v>4.5498000000000003</v>
      </c>
      <c r="E7051">
        <v>0.55885669999999898</v>
      </c>
      <c r="F7051" t="s">
        <v>69</v>
      </c>
      <c r="G7051">
        <v>-168.91139999999999</v>
      </c>
      <c r="H7051">
        <v>3.3793069999999998</v>
      </c>
      <c r="I7051">
        <v>208.21440000000001</v>
      </c>
      <c r="J7051">
        <v>-187.0779</v>
      </c>
      <c r="K7051">
        <v>1.10975</v>
      </c>
      <c r="L7051">
        <v>49.176909999999999</v>
      </c>
      <c r="M7051">
        <v>-1.783057E-3</v>
      </c>
      <c r="N7051">
        <v>-9.4810239999999994E-3</v>
      </c>
      <c r="O7051">
        <v>0.99995339999999999</v>
      </c>
      <c r="P7051">
        <v>-4.0799530000000001E-2</v>
      </c>
      <c r="Q7051">
        <v>0.17872289999999999</v>
      </c>
      <c r="R7051">
        <v>0.98305310000000001</v>
      </c>
      <c r="S7051">
        <v>0.3483887</v>
      </c>
      <c r="T7051">
        <v>4.3528200000000003E-2</v>
      </c>
      <c r="U7051">
        <v>3.057922</v>
      </c>
      <c r="V7051">
        <v>-3.9249449999999998E-2</v>
      </c>
      <c r="W7051">
        <v>0.18799379999999999</v>
      </c>
      <c r="X7051">
        <v>0.98138559999999997</v>
      </c>
      <c r="Y7051">
        <v>0.11494</v>
      </c>
      <c r="Z7051">
        <v>2.362059E-2</v>
      </c>
      <c r="AA7051">
        <v>0.99309159999999996</v>
      </c>
      <c r="AB7051">
        <v>41</v>
      </c>
      <c r="AC7051">
        <v>18.166499999999999</v>
      </c>
      <c r="AD7051">
        <v>2.2695569999999998</v>
      </c>
      <c r="AE7051">
        <v>159.03748999999999</v>
      </c>
      <c r="AF7051">
        <v>18.446348589669299</v>
      </c>
      <c r="AG7051">
        <v>2.2695569999999998</v>
      </c>
      <c r="AH7051">
        <v>158.972886050005</v>
      </c>
      <c r="AI7051">
        <v>89.187529894282306</v>
      </c>
      <c r="AJ7051">
        <v>83.381308363634602</v>
      </c>
      <c r="AK7051">
        <v>160.05560647579799</v>
      </c>
      <c r="AL7051">
        <v>79.164271608602604</v>
      </c>
      <c r="AM7051">
        <v>92.290261822439703</v>
      </c>
      <c r="AN7051">
        <v>0.99999994202554898</v>
      </c>
    </row>
    <row r="7052" spans="1:40" x14ac:dyDescent="0.25">
      <c r="A7052" t="str">
        <f>"20190304155812266"</f>
        <v>20190304155812266</v>
      </c>
      <c r="B7052" t="str">
        <f>"1551686292261931"</f>
        <v>1551686292261931</v>
      </c>
      <c r="C7052" t="s">
        <v>40</v>
      </c>
      <c r="D7052">
        <v>4.43032</v>
      </c>
      <c r="E7052">
        <v>0.55838980000000005</v>
      </c>
      <c r="F7052" t="s">
        <v>69</v>
      </c>
      <c r="G7052">
        <v>-168.41120000000001</v>
      </c>
      <c r="H7052">
        <v>3.292192</v>
      </c>
      <c r="I7052">
        <v>207.61170000000001</v>
      </c>
      <c r="J7052">
        <v>-187.07900000000001</v>
      </c>
      <c r="K7052">
        <v>1.109785</v>
      </c>
      <c r="L7052">
        <v>49.567839999999997</v>
      </c>
      <c r="M7052">
        <v>-2.2924460000000001E-3</v>
      </c>
      <c r="N7052">
        <v>-9.4898159999999999E-3</v>
      </c>
      <c r="O7052">
        <v>0.99995230000000002</v>
      </c>
      <c r="P7052">
        <v>-4.071669E-2</v>
      </c>
      <c r="Q7052">
        <v>0.17925769999999999</v>
      </c>
      <c r="R7052">
        <v>0.98295920000000003</v>
      </c>
      <c r="S7052">
        <v>0.36041260000000003</v>
      </c>
      <c r="T7052">
        <v>4.2138700000000001E-2</v>
      </c>
      <c r="U7052">
        <v>3.059021</v>
      </c>
      <c r="V7052">
        <v>-3.8681470000000003E-2</v>
      </c>
      <c r="W7052">
        <v>0.18853429999999999</v>
      </c>
      <c r="X7052">
        <v>0.98130450000000002</v>
      </c>
      <c r="Y7052">
        <v>0.11925769999999999</v>
      </c>
      <c r="Z7052">
        <v>2.3166989999999998E-2</v>
      </c>
      <c r="AA7052">
        <v>0.99259299999999995</v>
      </c>
      <c r="AB7052">
        <v>41</v>
      </c>
      <c r="AC7052">
        <v>18.6678</v>
      </c>
      <c r="AD7052">
        <v>2.182407</v>
      </c>
      <c r="AE7052">
        <v>158.04386</v>
      </c>
      <c r="AF7052">
        <v>19.0264961450697</v>
      </c>
      <c r="AG7052">
        <v>2.182407</v>
      </c>
      <c r="AH7052">
        <v>157.97093964026601</v>
      </c>
      <c r="AI7052">
        <v>89.214173766121206</v>
      </c>
      <c r="AJ7052">
        <v>83.132205373887999</v>
      </c>
      <c r="AK7052">
        <v>159.12758474475999</v>
      </c>
      <c r="AL7052">
        <v>79.132739810893497</v>
      </c>
      <c r="AM7052">
        <v>92.257340253620995</v>
      </c>
      <c r="AN7052">
        <v>0.99999998005905</v>
      </c>
    </row>
    <row r="7053" spans="1:40" x14ac:dyDescent="0.25">
      <c r="A7053" t="str">
        <f>"20190304155812291"</f>
        <v>20190304155812291</v>
      </c>
      <c r="B7053" t="str">
        <f>"1551686292281450"</f>
        <v>1551686292281450</v>
      </c>
      <c r="C7053" t="s">
        <v>40</v>
      </c>
      <c r="D7053">
        <v>3.78274</v>
      </c>
      <c r="E7053">
        <v>0.55854559999999998</v>
      </c>
      <c r="F7053" t="s">
        <v>69</v>
      </c>
      <c r="G7053">
        <v>-168.58330000000001</v>
      </c>
      <c r="H7053">
        <v>3.626144</v>
      </c>
      <c r="I7053">
        <v>208.21420000000001</v>
      </c>
      <c r="J7053">
        <v>-187.0805</v>
      </c>
      <c r="K7053">
        <v>1.1098220000000001</v>
      </c>
      <c r="L7053">
        <v>50.006410000000002</v>
      </c>
      <c r="M7053">
        <v>-2.8866009999999999E-3</v>
      </c>
      <c r="N7053">
        <v>-9.4994599999999995E-3</v>
      </c>
      <c r="O7053">
        <v>0.99995069999999997</v>
      </c>
      <c r="P7053">
        <v>-4.0791109999999998E-2</v>
      </c>
      <c r="Q7053">
        <v>0.1801536</v>
      </c>
      <c r="R7053">
        <v>0.98279229999999995</v>
      </c>
      <c r="S7053">
        <v>0.3565063</v>
      </c>
      <c r="T7053">
        <v>4.850376E-2</v>
      </c>
      <c r="U7053">
        <v>3.057922</v>
      </c>
      <c r="V7053">
        <v>-3.8188079999999999E-2</v>
      </c>
      <c r="W7053">
        <v>0.18943570000000001</v>
      </c>
      <c r="X7053">
        <v>0.98115030000000003</v>
      </c>
      <c r="Y7053">
        <v>0.11863360000000001</v>
      </c>
      <c r="Z7053">
        <v>2.5249400000000002E-2</v>
      </c>
      <c r="AA7053">
        <v>0.99261699999999997</v>
      </c>
      <c r="AB7053">
        <v>41</v>
      </c>
      <c r="AC7053">
        <v>18.4971999999999</v>
      </c>
      <c r="AD7053">
        <v>2.5163220000000002</v>
      </c>
      <c r="AE7053">
        <v>158.20778999999999</v>
      </c>
      <c r="AF7053">
        <v>18.949097312325101</v>
      </c>
      <c r="AG7053">
        <v>2.5163220000000002</v>
      </c>
      <c r="AH7053">
        <v>158.11427488303099</v>
      </c>
      <c r="AI7053">
        <v>89.094715682075602</v>
      </c>
      <c r="AJ7053">
        <v>83.166020092703803</v>
      </c>
      <c r="AK7053">
        <v>159.265577219769</v>
      </c>
      <c r="AL7053">
        <v>79.080146555651496</v>
      </c>
      <c r="AM7053">
        <v>92.228926534816594</v>
      </c>
      <c r="AN7053">
        <v>1.0000000625393299</v>
      </c>
    </row>
    <row r="7054" spans="1:40" x14ac:dyDescent="0.25">
      <c r="A7054" t="str">
        <f>"20190304155812313"</f>
        <v>20190304155812313</v>
      </c>
      <c r="B7054" t="str">
        <f>"1551686292301947"</f>
        <v>1551686292301947</v>
      </c>
      <c r="C7054" t="s">
        <v>40</v>
      </c>
      <c r="D7054">
        <v>4.4554289999999996</v>
      </c>
      <c r="E7054">
        <v>0.55873200000000001</v>
      </c>
      <c r="F7054" t="s">
        <v>69</v>
      </c>
      <c r="G7054">
        <v>-168.6052</v>
      </c>
      <c r="H7054">
        <v>3.8422070000000001</v>
      </c>
      <c r="I7054">
        <v>208.2141</v>
      </c>
      <c r="J7054">
        <v>-187.0821</v>
      </c>
      <c r="K7054">
        <v>1.1098410000000001</v>
      </c>
      <c r="L7054">
        <v>50.416989999999998</v>
      </c>
      <c r="M7054">
        <v>-3.4598789999999999E-3</v>
      </c>
      <c r="N7054">
        <v>-9.5083830000000005E-3</v>
      </c>
      <c r="O7054">
        <v>0.99994879999999997</v>
      </c>
      <c r="P7054">
        <v>-4.0701080000000001E-2</v>
      </c>
      <c r="Q7054">
        <v>0.180843</v>
      </c>
      <c r="R7054">
        <v>0.98266940000000003</v>
      </c>
      <c r="S7054">
        <v>0.35707090000000002</v>
      </c>
      <c r="T7054">
        <v>5.2809479999999999E-2</v>
      </c>
      <c r="U7054">
        <v>3.0576780000000001</v>
      </c>
      <c r="V7054">
        <v>-3.754619E-2</v>
      </c>
      <c r="W7054">
        <v>0.19013140000000001</v>
      </c>
      <c r="X7054">
        <v>0.98104040000000003</v>
      </c>
      <c r="Y7054">
        <v>0.1193893</v>
      </c>
      <c r="Z7054">
        <v>2.6656470000000002E-2</v>
      </c>
      <c r="AA7054">
        <v>0.99248959999999997</v>
      </c>
      <c r="AB7054">
        <v>41</v>
      </c>
      <c r="AC7054">
        <v>18.476900000000001</v>
      </c>
      <c r="AD7054">
        <v>2.7323659999999999</v>
      </c>
      <c r="AE7054">
        <v>157.79711</v>
      </c>
      <c r="AF7054">
        <v>19.017148141004299</v>
      </c>
      <c r="AG7054">
        <v>2.7323659999999999</v>
      </c>
      <c r="AH7054">
        <v>157.685594804006</v>
      </c>
      <c r="AI7054">
        <v>89.014421913076305</v>
      </c>
      <c r="AJ7054">
        <v>83.123244482512504</v>
      </c>
      <c r="AK7054">
        <v>158.85170617927901</v>
      </c>
      <c r="AL7054">
        <v>79.039546973533604</v>
      </c>
      <c r="AM7054">
        <v>92.191743395325105</v>
      </c>
      <c r="AN7054">
        <v>0.99999996604081698</v>
      </c>
    </row>
    <row r="7055" spans="1:40" x14ac:dyDescent="0.25">
      <c r="A7055" t="str">
        <f>"20190304155812334"</f>
        <v>20190304155812334</v>
      </c>
      <c r="B7055" t="str">
        <f>"1551686292331226"</f>
        <v>1551686292331226</v>
      </c>
      <c r="C7055" t="s">
        <v>40</v>
      </c>
      <c r="D7055">
        <v>4.4455960000000001</v>
      </c>
      <c r="E7055">
        <v>0.55943080000000001</v>
      </c>
      <c r="F7055" t="s">
        <v>69</v>
      </c>
      <c r="G7055">
        <v>-168.56389999999999</v>
      </c>
      <c r="H7055">
        <v>4.2176799999999997</v>
      </c>
      <c r="I7055">
        <v>208.214</v>
      </c>
      <c r="J7055">
        <v>-187.0839</v>
      </c>
      <c r="K7055">
        <v>1.109858</v>
      </c>
      <c r="L7055">
        <v>50.805390000000003</v>
      </c>
      <c r="M7055">
        <v>-4.0103500000000002E-3</v>
      </c>
      <c r="N7055">
        <v>-9.5168249999999996E-3</v>
      </c>
      <c r="O7055">
        <v>0.99994669999999997</v>
      </c>
      <c r="P7055">
        <v>-4.0182990000000002E-2</v>
      </c>
      <c r="Q7055">
        <v>0.1811884</v>
      </c>
      <c r="R7055">
        <v>0.98262720000000003</v>
      </c>
      <c r="S7055">
        <v>0.35871890000000001</v>
      </c>
      <c r="T7055">
        <v>6.020296E-2</v>
      </c>
      <c r="U7055">
        <v>3.056702</v>
      </c>
      <c r="V7055">
        <v>-3.64967E-2</v>
      </c>
      <c r="W7055">
        <v>0.1904843</v>
      </c>
      <c r="X7055">
        <v>0.98101159999999998</v>
      </c>
      <c r="Y7055">
        <v>0.1204938</v>
      </c>
      <c r="Z7055">
        <v>2.906887E-2</v>
      </c>
      <c r="AA7055">
        <v>0.99228839999999996</v>
      </c>
      <c r="AB7055">
        <v>41</v>
      </c>
      <c r="AC7055">
        <v>18.52</v>
      </c>
      <c r="AD7055">
        <v>3.1078220000000001</v>
      </c>
      <c r="AE7055">
        <v>157.40861000000001</v>
      </c>
      <c r="AF7055">
        <v>19.1437826618576</v>
      </c>
      <c r="AG7055">
        <v>3.1078220000000001</v>
      </c>
      <c r="AH7055">
        <v>157.27259935379101</v>
      </c>
      <c r="AI7055">
        <v>88.876233133864503</v>
      </c>
      <c r="AJ7055">
        <v>83.059894954489707</v>
      </c>
      <c r="AK7055">
        <v>158.46391854200201</v>
      </c>
      <c r="AL7055">
        <v>79.018951470759802</v>
      </c>
      <c r="AM7055">
        <v>92.130599606096695</v>
      </c>
      <c r="AN7055">
        <v>1.0000000184959601</v>
      </c>
    </row>
    <row r="7056" spans="1:40" x14ac:dyDescent="0.25">
      <c r="A7056" t="str">
        <f>"20190304155812356"</f>
        <v>20190304155812356</v>
      </c>
      <c r="B7056" t="str">
        <f>"1551686292351722"</f>
        <v>1551686292351722</v>
      </c>
      <c r="C7056" t="s">
        <v>40</v>
      </c>
      <c r="D7056">
        <v>4.4344679999999999</v>
      </c>
      <c r="E7056">
        <v>0.56022569999999905</v>
      </c>
      <c r="F7056" t="s">
        <v>69</v>
      </c>
      <c r="G7056">
        <v>-168.4118</v>
      </c>
      <c r="H7056">
        <v>4.2999989999999997</v>
      </c>
      <c r="I7056">
        <v>206.78399999999999</v>
      </c>
      <c r="J7056">
        <v>-187.08600000000001</v>
      </c>
      <c r="K7056">
        <v>1.1098809999999999</v>
      </c>
      <c r="L7056">
        <v>51.217860000000002</v>
      </c>
      <c r="M7056">
        <v>-4.600163E-3</v>
      </c>
      <c r="N7056">
        <v>-9.5257989999999997E-3</v>
      </c>
      <c r="O7056">
        <v>0.99994400000000006</v>
      </c>
      <c r="P7056">
        <v>-4.0143709999999999E-2</v>
      </c>
      <c r="Q7056">
        <v>0.1812773</v>
      </c>
      <c r="R7056">
        <v>0.98261240000000005</v>
      </c>
      <c r="S7056">
        <v>0.36589050000000001</v>
      </c>
      <c r="T7056">
        <v>6.2513230000000003E-2</v>
      </c>
      <c r="U7056">
        <v>3.0564879999999999</v>
      </c>
      <c r="V7056">
        <v>-3.588554E-2</v>
      </c>
      <c r="W7056">
        <v>0.19058169999999999</v>
      </c>
      <c r="X7056">
        <v>0.98101519999999998</v>
      </c>
      <c r="Y7056">
        <v>0.1233808</v>
      </c>
      <c r="Z7056">
        <v>2.9822990000000001E-2</v>
      </c>
      <c r="AA7056">
        <v>0.99191119999999999</v>
      </c>
      <c r="AB7056">
        <v>41</v>
      </c>
      <c r="AC7056">
        <v>18.6741999999999</v>
      </c>
      <c r="AD7056">
        <v>3.190118</v>
      </c>
      <c r="AE7056">
        <v>155.56613999999999</v>
      </c>
      <c r="AF7056">
        <v>19.381629973647701</v>
      </c>
      <c r="AG7056">
        <v>3.190118</v>
      </c>
      <c r="AH7056">
        <v>155.41415966135401</v>
      </c>
      <c r="AI7056">
        <v>88.833116331941298</v>
      </c>
      <c r="AJ7056">
        <v>82.891369750298097</v>
      </c>
      <c r="AK7056">
        <v>156.65052012851501</v>
      </c>
      <c r="AL7056">
        <v>79.013266399231497</v>
      </c>
      <c r="AM7056">
        <v>92.094945767124401</v>
      </c>
      <c r="AN7056">
        <v>0.99999998949350999</v>
      </c>
    </row>
    <row r="7057" spans="1:40" x14ac:dyDescent="0.25">
      <c r="A7057" t="str">
        <f>"20190304155812379"</f>
        <v>20190304155812379</v>
      </c>
      <c r="B7057" t="str">
        <f>"1551686292371242"</f>
        <v>1551686292371242</v>
      </c>
      <c r="C7057" t="s">
        <v>40</v>
      </c>
      <c r="D7057">
        <v>4.3260839999999998</v>
      </c>
      <c r="E7057">
        <v>0.56040509999999999</v>
      </c>
      <c r="F7057" t="s">
        <v>69</v>
      </c>
      <c r="G7057">
        <v>-168.41249999999999</v>
      </c>
      <c r="H7057">
        <v>4.2615410000000002</v>
      </c>
      <c r="I7057">
        <v>204.69110000000001</v>
      </c>
      <c r="J7057">
        <v>-187.0883</v>
      </c>
      <c r="K7057">
        <v>1.1098920000000001</v>
      </c>
      <c r="L7057">
        <v>51.623019999999997</v>
      </c>
      <c r="M7057">
        <v>-5.1823579999999998E-3</v>
      </c>
      <c r="N7057">
        <v>-9.5347590000000003E-3</v>
      </c>
      <c r="O7057">
        <v>0.99994110000000003</v>
      </c>
      <c r="P7057">
        <v>-3.9487849999999998E-2</v>
      </c>
      <c r="Q7057">
        <v>0.18113480000000001</v>
      </c>
      <c r="R7057">
        <v>0.98266520000000002</v>
      </c>
      <c r="S7057">
        <v>0.37191770000000002</v>
      </c>
      <c r="T7057">
        <v>6.2771800000000003E-2</v>
      </c>
      <c r="U7057">
        <v>3.056702</v>
      </c>
      <c r="V7057">
        <v>-3.4663630000000001E-2</v>
      </c>
      <c r="W7057">
        <v>0.19044920000000001</v>
      </c>
      <c r="X7057">
        <v>0.98108490000000004</v>
      </c>
      <c r="Y7057">
        <v>0.12587760000000001</v>
      </c>
      <c r="Z7057">
        <v>2.9909120000000001E-2</v>
      </c>
      <c r="AA7057">
        <v>0.9915948</v>
      </c>
      <c r="AB7057">
        <v>41</v>
      </c>
      <c r="AC7057">
        <v>18.675799999999999</v>
      </c>
      <c r="AD7057">
        <v>3.1516489999999999</v>
      </c>
      <c r="AE7057">
        <v>153.06808000000001</v>
      </c>
      <c r="AF7057">
        <v>19.460709652239402</v>
      </c>
      <c r="AG7057">
        <v>3.1516489999999999</v>
      </c>
      <c r="AH7057">
        <v>152.905363078601</v>
      </c>
      <c r="AI7057">
        <v>88.828646458039501</v>
      </c>
      <c r="AJ7057">
        <v>82.746795402285002</v>
      </c>
      <c r="AK7057">
        <v>154.171015984804</v>
      </c>
      <c r="AL7057">
        <v>79.021000104931801</v>
      </c>
      <c r="AM7057">
        <v>92.023529137985804</v>
      </c>
      <c r="AN7057">
        <v>1.0000000230167101</v>
      </c>
    </row>
    <row r="7058" spans="1:40" x14ac:dyDescent="0.25">
      <c r="A7058" t="str">
        <f>"20190304155812400"</f>
        <v>20190304155812400</v>
      </c>
      <c r="B7058" t="str">
        <f>"1551686292391739"</f>
        <v>1551686292391739</v>
      </c>
      <c r="C7058" t="s">
        <v>40</v>
      </c>
      <c r="D7058">
        <v>4.3744909999999999</v>
      </c>
      <c r="E7058">
        <v>0.56067829999999996</v>
      </c>
      <c r="F7058" t="s">
        <v>69</v>
      </c>
      <c r="G7058">
        <v>-168.4128</v>
      </c>
      <c r="H7058">
        <v>4.3406849999999997</v>
      </c>
      <c r="I7058">
        <v>203.7679</v>
      </c>
      <c r="J7058">
        <v>-187.0908</v>
      </c>
      <c r="K7058">
        <v>1.109904</v>
      </c>
      <c r="L7058">
        <v>52.018039999999999</v>
      </c>
      <c r="M7058">
        <v>-5.7508719999999998E-3</v>
      </c>
      <c r="N7058">
        <v>-9.5467169999999997E-3</v>
      </c>
      <c r="O7058">
        <v>0.99993790000000005</v>
      </c>
      <c r="P7058">
        <v>-3.8864049999999997E-2</v>
      </c>
      <c r="Q7058">
        <v>0.1805552</v>
      </c>
      <c r="R7058">
        <v>0.98279669999999997</v>
      </c>
      <c r="S7058">
        <v>0.37512210000000001</v>
      </c>
      <c r="T7058">
        <v>6.4895389999999997E-2</v>
      </c>
      <c r="U7058">
        <v>3.0560299999999998</v>
      </c>
      <c r="V7058">
        <v>-3.3484699999999999E-2</v>
      </c>
      <c r="W7058">
        <v>0.18988369999999999</v>
      </c>
      <c r="X7058">
        <v>0.98123539999999998</v>
      </c>
      <c r="Y7058">
        <v>0.12748989999999999</v>
      </c>
      <c r="Z7058">
        <v>3.0611200000000002E-2</v>
      </c>
      <c r="AA7058">
        <v>0.99136740000000001</v>
      </c>
      <c r="AB7058">
        <v>41</v>
      </c>
      <c r="AC7058">
        <v>18.678000000000001</v>
      </c>
      <c r="AD7058">
        <v>3.2307809999999901</v>
      </c>
      <c r="AE7058">
        <v>151.74986000000001</v>
      </c>
      <c r="AF7058">
        <v>19.541699382929799</v>
      </c>
      <c r="AG7058">
        <v>3.2307809999999901</v>
      </c>
      <c r="AH7058">
        <v>151.57225260923499</v>
      </c>
      <c r="AI7058">
        <v>88.788939063558104</v>
      </c>
      <c r="AJ7058">
        <v>82.653573779135797</v>
      </c>
      <c r="AK7058">
        <v>152.86092934978601</v>
      </c>
      <c r="AL7058">
        <v>79.054002606259104</v>
      </c>
      <c r="AM7058">
        <v>91.954462493045597</v>
      </c>
      <c r="AN7058">
        <v>0.99999997743646896</v>
      </c>
    </row>
    <row r="7059" spans="1:40" x14ac:dyDescent="0.25">
      <c r="A7059" t="str">
        <f>"20190304155812423"</f>
        <v>20190304155812423</v>
      </c>
      <c r="B7059" t="str">
        <f>"1551686292421019"</f>
        <v>1551686292421019</v>
      </c>
      <c r="C7059" t="s">
        <v>40</v>
      </c>
      <c r="D7059">
        <v>4.3360289999999999</v>
      </c>
      <c r="E7059">
        <v>0.56106009999999995</v>
      </c>
      <c r="F7059" t="s">
        <v>69</v>
      </c>
      <c r="G7059">
        <v>-168.41319999999999</v>
      </c>
      <c r="H7059">
        <v>4.33399</v>
      </c>
      <c r="I7059">
        <v>202.74889999999999</v>
      </c>
      <c r="J7059">
        <v>-187.09370000000001</v>
      </c>
      <c r="K7059">
        <v>1.1099190000000001</v>
      </c>
      <c r="L7059">
        <v>52.439390000000003</v>
      </c>
      <c r="M7059">
        <v>-6.3572300000000002E-3</v>
      </c>
      <c r="N7059">
        <v>-9.5670749999999995E-3</v>
      </c>
      <c r="O7059">
        <v>0.99993399999999999</v>
      </c>
      <c r="P7059">
        <v>-3.875029E-2</v>
      </c>
      <c r="Q7059">
        <v>0.18030950000000001</v>
      </c>
      <c r="R7059">
        <v>0.98284629999999995</v>
      </c>
      <c r="S7059">
        <v>0.37861630000000002</v>
      </c>
      <c r="T7059">
        <v>6.5356369999999997E-2</v>
      </c>
      <c r="U7059">
        <v>3.0554809999999999</v>
      </c>
      <c r="V7059">
        <v>-3.2779160000000002E-2</v>
      </c>
      <c r="W7059">
        <v>0.18965850000000001</v>
      </c>
      <c r="X7059">
        <v>0.98130280000000003</v>
      </c>
      <c r="Y7059">
        <v>0.12922899999999901</v>
      </c>
      <c r="Z7059">
        <v>3.0781260000000001E-2</v>
      </c>
      <c r="AA7059">
        <v>0.99113689999999999</v>
      </c>
      <c r="AB7059">
        <v>41</v>
      </c>
      <c r="AC7059">
        <v>18.680499999999999</v>
      </c>
      <c r="AD7059">
        <v>3.2240709999999999</v>
      </c>
      <c r="AE7059">
        <v>150.30950999999999</v>
      </c>
      <c r="AF7059">
        <v>19.626825746738199</v>
      </c>
      <c r="AG7059">
        <v>3.2240709999999999</v>
      </c>
      <c r="AH7059">
        <v>150.11969371337099</v>
      </c>
      <c r="AI7059">
        <v>88.780045775259296</v>
      </c>
      <c r="AJ7059">
        <v>82.551331162416801</v>
      </c>
      <c r="AK7059">
        <v>151.43159961943999</v>
      </c>
      <c r="AL7059">
        <v>79.067144703243002</v>
      </c>
      <c r="AM7059">
        <v>91.913180575170799</v>
      </c>
      <c r="AN7059">
        <v>1.0000000026201901</v>
      </c>
    </row>
    <row r="7060" spans="1:40" x14ac:dyDescent="0.25">
      <c r="A7060" t="str">
        <f>"20190304155812445"</f>
        <v>20190304155812445</v>
      </c>
      <c r="B7060" t="str">
        <f>"1551686292441514"</f>
        <v>1551686292441514</v>
      </c>
      <c r="C7060" t="s">
        <v>40</v>
      </c>
      <c r="D7060">
        <v>4.3235419999999998</v>
      </c>
      <c r="E7060">
        <v>0.56110930000000003</v>
      </c>
      <c r="F7060" t="s">
        <v>69</v>
      </c>
      <c r="G7060">
        <v>-168.4135</v>
      </c>
      <c r="H7060">
        <v>4.3355790000000001</v>
      </c>
      <c r="I7060">
        <v>201.78720000000001</v>
      </c>
      <c r="J7060">
        <v>-187.0967</v>
      </c>
      <c r="K7060">
        <v>1.109928</v>
      </c>
      <c r="L7060">
        <v>52.838230000000003</v>
      </c>
      <c r="M7060">
        <v>-6.9309870000000004E-3</v>
      </c>
      <c r="N7060">
        <v>-9.5910749999999993E-3</v>
      </c>
      <c r="O7060">
        <v>0.99992999999999999</v>
      </c>
      <c r="P7060">
        <v>-3.8913429999999999E-2</v>
      </c>
      <c r="Q7060">
        <v>0.17976900000000001</v>
      </c>
      <c r="R7060">
        <v>0.98293889999999995</v>
      </c>
      <c r="S7060">
        <v>0.38215640000000001</v>
      </c>
      <c r="T7060">
        <v>6.5990569999999998E-2</v>
      </c>
      <c r="U7060">
        <v>3.0553279999999998</v>
      </c>
      <c r="V7060">
        <v>-3.2380970000000002E-2</v>
      </c>
      <c r="W7060">
        <v>0.18914249999999999</v>
      </c>
      <c r="X7060">
        <v>0.98141560000000005</v>
      </c>
      <c r="Y7060">
        <v>0.13093399999999999</v>
      </c>
      <c r="Z7060">
        <v>3.100835E-2</v>
      </c>
      <c r="AA7060">
        <v>0.99090599999999995</v>
      </c>
      <c r="AB7060">
        <v>41</v>
      </c>
      <c r="AC7060">
        <v>18.683199999999999</v>
      </c>
      <c r="AD7060">
        <v>3.225651</v>
      </c>
      <c r="AE7060">
        <v>148.94897</v>
      </c>
      <c r="AF7060">
        <v>19.7060633306947</v>
      </c>
      <c r="AG7060">
        <v>3.225651</v>
      </c>
      <c r="AH7060">
        <v>148.747213248115</v>
      </c>
      <c r="AI7060">
        <v>88.768466620306498</v>
      </c>
      <c r="AJ7060">
        <v>82.453388063672705</v>
      </c>
      <c r="AK7060">
        <v>150.08153519153299</v>
      </c>
      <c r="AL7060">
        <v>79.097254241542998</v>
      </c>
      <c r="AM7060">
        <v>91.889739804935203</v>
      </c>
      <c r="AN7060">
        <v>0.99999999622387503</v>
      </c>
    </row>
    <row r="7061" spans="1:40" x14ac:dyDescent="0.25">
      <c r="A7061" t="str">
        <f>"20190304155812468"</f>
        <v>20190304155812468</v>
      </c>
      <c r="B7061" t="str">
        <f>"1551686292461034"</f>
        <v>1551686292461034</v>
      </c>
      <c r="C7061" t="s">
        <v>40</v>
      </c>
      <c r="D7061">
        <v>4.3237860000000001</v>
      </c>
      <c r="E7061">
        <v>0.5613186</v>
      </c>
      <c r="F7061" t="s">
        <v>69</v>
      </c>
      <c r="G7061">
        <v>-168.41329999999999</v>
      </c>
      <c r="H7061">
        <v>4.3366199999999999</v>
      </c>
      <c r="I7061">
        <v>202.178</v>
      </c>
      <c r="J7061">
        <v>-187.1001</v>
      </c>
      <c r="K7061">
        <v>1.109945</v>
      </c>
      <c r="L7061">
        <v>53.267789999999998</v>
      </c>
      <c r="M7061">
        <v>-7.5485859999999899E-3</v>
      </c>
      <c r="N7061">
        <v>-9.6209610000000008E-3</v>
      </c>
      <c r="O7061">
        <v>0.99992519999999996</v>
      </c>
      <c r="P7061">
        <v>-3.9059910000000003E-2</v>
      </c>
      <c r="Q7061">
        <v>0.179344899999999</v>
      </c>
      <c r="R7061">
        <v>0.98301050000000001</v>
      </c>
      <c r="S7061">
        <v>0.38221739999999998</v>
      </c>
      <c r="T7061">
        <v>6.6011310000000004E-2</v>
      </c>
      <c r="U7061">
        <v>3.055145</v>
      </c>
      <c r="V7061">
        <v>-3.1922939999999997E-2</v>
      </c>
      <c r="W7061">
        <v>0.18874869999999999</v>
      </c>
      <c r="X7061">
        <v>0.9815064</v>
      </c>
      <c r="Y7061">
        <v>0.131573</v>
      </c>
      <c r="Z7061">
        <v>3.104552E-2</v>
      </c>
      <c r="AA7061">
        <v>0.99082020000000004</v>
      </c>
      <c r="AB7061">
        <v>41</v>
      </c>
      <c r="AC7061">
        <v>18.686800000000002</v>
      </c>
      <c r="AD7061">
        <v>3.2266750000000002</v>
      </c>
      <c r="AE7061">
        <v>148.91021000000001</v>
      </c>
      <c r="AF7061">
        <v>19.8012280373664</v>
      </c>
      <c r="AG7061">
        <v>3.2266750000000002</v>
      </c>
      <c r="AH7061">
        <v>148.69616696707399</v>
      </c>
      <c r="AI7061">
        <v>88.767763221014505</v>
      </c>
      <c r="AJ7061">
        <v>82.414794179295001</v>
      </c>
      <c r="AK7061">
        <v>150.04349414101</v>
      </c>
      <c r="AL7061">
        <v>79.120231007111499</v>
      </c>
      <c r="AM7061">
        <v>91.862856109852899</v>
      </c>
      <c r="AN7061">
        <v>0.99999997954544595</v>
      </c>
    </row>
    <row r="7062" spans="1:40" x14ac:dyDescent="0.25">
      <c r="A7062" t="str">
        <f>"20190304155812492"</f>
        <v>20190304155812492</v>
      </c>
      <c r="B7062" t="str">
        <f>"1551686292481531"</f>
        <v>1551686292481531</v>
      </c>
      <c r="C7062" t="s">
        <v>40</v>
      </c>
      <c r="D7062">
        <v>4.3394300000000001</v>
      </c>
      <c r="E7062">
        <v>0.56166740000000004</v>
      </c>
      <c r="F7062" t="s">
        <v>69</v>
      </c>
      <c r="G7062">
        <v>-168.41329999999999</v>
      </c>
      <c r="H7062">
        <v>4.2277950000000004</v>
      </c>
      <c r="I7062">
        <v>202.25049999999999</v>
      </c>
      <c r="J7062">
        <v>-187.10380000000001</v>
      </c>
      <c r="K7062">
        <v>1.10995</v>
      </c>
      <c r="L7062">
        <v>53.690730000000002</v>
      </c>
      <c r="M7062">
        <v>-8.1562309999999999E-3</v>
      </c>
      <c r="N7062">
        <v>-9.6539260000000002E-3</v>
      </c>
      <c r="O7062">
        <v>0.99992009999999998</v>
      </c>
      <c r="P7062">
        <v>-3.9906469999999999E-2</v>
      </c>
      <c r="Q7062">
        <v>0.17982590000000001</v>
      </c>
      <c r="R7062">
        <v>0.9828886</v>
      </c>
      <c r="S7062">
        <v>0.38323970000000002</v>
      </c>
      <c r="T7062">
        <v>6.3943269999999997E-2</v>
      </c>
      <c r="U7062">
        <v>3.0554199999999998</v>
      </c>
      <c r="V7062">
        <v>-3.217619E-2</v>
      </c>
      <c r="W7062">
        <v>0.18926009999999999</v>
      </c>
      <c r="X7062">
        <v>0.98139969999999999</v>
      </c>
      <c r="Y7062">
        <v>0.1324929</v>
      </c>
      <c r="Z7062">
        <v>3.0404469999999999E-2</v>
      </c>
      <c r="AA7062">
        <v>0.99071750000000003</v>
      </c>
      <c r="AB7062">
        <v>41</v>
      </c>
      <c r="AC7062">
        <v>18.6905</v>
      </c>
      <c r="AD7062">
        <v>3.1178449999999902</v>
      </c>
      <c r="AE7062">
        <v>148.55976999999999</v>
      </c>
      <c r="AF7062">
        <v>19.892997016618001</v>
      </c>
      <c r="AG7062">
        <v>3.1178449999999902</v>
      </c>
      <c r="AH7062">
        <v>148.33805797952701</v>
      </c>
      <c r="AI7062">
        <v>88.806585811345698</v>
      </c>
      <c r="AJ7062">
        <v>82.361873875539601</v>
      </c>
      <c r="AK7062">
        <v>149.698469373888</v>
      </c>
      <c r="AL7062">
        <v>79.090392714092303</v>
      </c>
      <c r="AM7062">
        <v>91.877827914371807</v>
      </c>
      <c r="AN7062">
        <v>1.0000000319075</v>
      </c>
    </row>
    <row r="7063" spans="1:40" x14ac:dyDescent="0.25">
      <c r="A7063" t="str">
        <f>"20190304155812515"</f>
        <v>20190304155812515</v>
      </c>
      <c r="B7063" t="str">
        <f>"1551686292511786"</f>
        <v>1551686292511786</v>
      </c>
      <c r="C7063" t="s">
        <v>40</v>
      </c>
      <c r="D7063">
        <v>4.4502129999999998</v>
      </c>
      <c r="E7063">
        <v>0.56199030000000005</v>
      </c>
      <c r="F7063" t="s">
        <v>69</v>
      </c>
      <c r="G7063">
        <v>-168.41309999999999</v>
      </c>
      <c r="H7063">
        <v>4.199141</v>
      </c>
      <c r="I7063">
        <v>202.65960000000001</v>
      </c>
      <c r="J7063">
        <v>-187.1078</v>
      </c>
      <c r="K7063">
        <v>1.1099559999999999</v>
      </c>
      <c r="L7063">
        <v>54.123049999999999</v>
      </c>
      <c r="M7063">
        <v>-8.7775849999999992E-3</v>
      </c>
      <c r="N7063">
        <v>-9.6921420000000008E-3</v>
      </c>
      <c r="O7063">
        <v>0.99991450000000004</v>
      </c>
      <c r="P7063">
        <v>-4.0807999999999997E-2</v>
      </c>
      <c r="Q7063">
        <v>0.17993689999999901</v>
      </c>
      <c r="R7063">
        <v>0.98283140000000002</v>
      </c>
      <c r="S7063">
        <v>0.3834534</v>
      </c>
      <c r="T7063">
        <v>6.3377859999999994E-2</v>
      </c>
      <c r="U7063">
        <v>3.0562130000000001</v>
      </c>
      <c r="V7063">
        <v>-3.2470060000000002E-2</v>
      </c>
      <c r="W7063">
        <v>0.18940760000000001</v>
      </c>
      <c r="X7063">
        <v>0.98136159999999995</v>
      </c>
      <c r="Y7063">
        <v>0.13314570000000001</v>
      </c>
      <c r="Z7063">
        <v>3.025328E-2</v>
      </c>
      <c r="AA7063">
        <v>0.99063460000000003</v>
      </c>
      <c r="AB7063">
        <v>41</v>
      </c>
      <c r="AC7063">
        <v>18.694700000000001</v>
      </c>
      <c r="AD7063">
        <v>3.0891850000000001</v>
      </c>
      <c r="AE7063">
        <v>148.53655000000001</v>
      </c>
      <c r="AF7063">
        <v>19.989321926935901</v>
      </c>
      <c r="AG7063">
        <v>3.0891850000000001</v>
      </c>
      <c r="AH7063">
        <v>148.30357904675299</v>
      </c>
      <c r="AI7063">
        <v>88.817384293454694</v>
      </c>
      <c r="AJ7063">
        <v>82.323565673616699</v>
      </c>
      <c r="AK7063">
        <v>149.67654329633501</v>
      </c>
      <c r="AL7063">
        <v>79.081786299863893</v>
      </c>
      <c r="AM7063">
        <v>91.895039468488903</v>
      </c>
      <c r="AN7063">
        <v>1.0000000668443501</v>
      </c>
    </row>
    <row r="7064" spans="1:40" x14ac:dyDescent="0.25">
      <c r="A7064" t="str">
        <f>"20190304155812535"</f>
        <v>20190304155812535</v>
      </c>
      <c r="B7064" t="str">
        <f>"1551686292531814"</f>
        <v>1551686292531814</v>
      </c>
      <c r="C7064" t="s">
        <v>40</v>
      </c>
      <c r="D7064">
        <v>4.3935129999999996</v>
      </c>
      <c r="E7064">
        <v>0.56249830000000001</v>
      </c>
      <c r="F7064" t="s">
        <v>69</v>
      </c>
      <c r="G7064">
        <v>-168.41299999999899</v>
      </c>
      <c r="H7064">
        <v>4.279528</v>
      </c>
      <c r="I7064">
        <v>203.26650000000001</v>
      </c>
      <c r="J7064">
        <v>-187.11150000000001</v>
      </c>
      <c r="K7064">
        <v>1.1099650000000001</v>
      </c>
      <c r="L7064">
        <v>54.49286</v>
      </c>
      <c r="M7064">
        <v>-9.3092739999999993E-3</v>
      </c>
      <c r="N7064">
        <v>-9.7272550000000006E-3</v>
      </c>
      <c r="O7064">
        <v>0.9999093</v>
      </c>
      <c r="P7064">
        <v>-4.1453810000000001E-2</v>
      </c>
      <c r="Q7064">
        <v>0.1803169</v>
      </c>
      <c r="R7064">
        <v>0.98273469999999996</v>
      </c>
      <c r="S7064">
        <v>0.38311770000000001</v>
      </c>
      <c r="T7064">
        <v>6.4955349999999995E-2</v>
      </c>
      <c r="U7064">
        <v>3.0564269999999998</v>
      </c>
      <c r="V7064">
        <v>-3.2596569999999998E-2</v>
      </c>
      <c r="W7064">
        <v>0.18982099999999999</v>
      </c>
      <c r="X7064">
        <v>0.98127750000000002</v>
      </c>
      <c r="Y7064">
        <v>0.13355529999999999</v>
      </c>
      <c r="Z7064">
        <v>3.0798019999999999E-2</v>
      </c>
      <c r="AA7064">
        <v>0.99056270000000002</v>
      </c>
      <c r="AB7064">
        <v>41</v>
      </c>
      <c r="AC7064">
        <v>18.698499999999999</v>
      </c>
      <c r="AD7064">
        <v>3.1695630000000001</v>
      </c>
      <c r="AE7064">
        <v>148.77364</v>
      </c>
      <c r="AF7064">
        <v>20.073760345773699</v>
      </c>
      <c r="AG7064">
        <v>3.1695630000000001</v>
      </c>
      <c r="AH7064">
        <v>148.52674912656599</v>
      </c>
      <c r="AI7064">
        <v>88.788504091290307</v>
      </c>
      <c r="AJ7064">
        <v>82.302971612523805</v>
      </c>
      <c r="AK7064">
        <v>149.91063067753601</v>
      </c>
      <c r="AL7064">
        <v>79.057662294473005</v>
      </c>
      <c r="AM7064">
        <v>91.902580441287299</v>
      </c>
      <c r="AN7064">
        <v>1.0000000402114999</v>
      </c>
    </row>
    <row r="7065" spans="1:40" x14ac:dyDescent="0.25">
      <c r="A7065" t="str">
        <f>"20190304155812557"</f>
        <v>20190304155812557</v>
      </c>
      <c r="B7065" t="str">
        <f>"1551686292551334"</f>
        <v>1551686292551334</v>
      </c>
      <c r="C7065" t="s">
        <v>40</v>
      </c>
      <c r="D7065">
        <v>4.4013859999999996</v>
      </c>
      <c r="E7065">
        <v>0.56260239999999995</v>
      </c>
      <c r="F7065" t="s">
        <v>69</v>
      </c>
      <c r="G7065">
        <v>-168.41309999999999</v>
      </c>
      <c r="H7065">
        <v>4.3520719999999997</v>
      </c>
      <c r="I7065">
        <v>202.9742</v>
      </c>
      <c r="J7065">
        <v>-187.11580000000001</v>
      </c>
      <c r="K7065">
        <v>1.1099779999999999</v>
      </c>
      <c r="L7065">
        <v>54.910220000000002</v>
      </c>
      <c r="M7065">
        <v>-9.9092980000000004E-3</v>
      </c>
      <c r="N7065">
        <v>-9.7711499999999993E-3</v>
      </c>
      <c r="O7065">
        <v>0.99990310000000004</v>
      </c>
      <c r="P7065">
        <v>-4.2450519999999999E-2</v>
      </c>
      <c r="Q7065">
        <v>0.18071509999999999</v>
      </c>
      <c r="R7065">
        <v>0.98261889999999996</v>
      </c>
      <c r="S7065">
        <v>0.38493349999999998</v>
      </c>
      <c r="T7065">
        <v>6.6744090000000006E-2</v>
      </c>
      <c r="U7065">
        <v>3.056702</v>
      </c>
      <c r="V7065">
        <v>-3.3006859999999999E-2</v>
      </c>
      <c r="W7065">
        <v>0.1902605</v>
      </c>
      <c r="X7065">
        <v>0.98117860000000001</v>
      </c>
      <c r="Y7065">
        <v>0.13471629999999901</v>
      </c>
      <c r="Z7065">
        <v>3.141745E-2</v>
      </c>
      <c r="AA7065">
        <v>0.99038599999999999</v>
      </c>
      <c r="AB7065">
        <v>41</v>
      </c>
      <c r="AC7065">
        <v>18.7027</v>
      </c>
      <c r="AD7065">
        <v>3.2420939999999998</v>
      </c>
      <c r="AE7065">
        <v>148.06397999999999</v>
      </c>
      <c r="AF7065">
        <v>20.159547979606799</v>
      </c>
      <c r="AG7065">
        <v>3.2420939999999998</v>
      </c>
      <c r="AH7065">
        <v>147.801618094112</v>
      </c>
      <c r="AI7065">
        <v>88.754917821832905</v>
      </c>
      <c r="AJ7065">
        <v>82.233014120219806</v>
      </c>
      <c r="AK7065">
        <v>149.20535130981301</v>
      </c>
      <c r="AL7065">
        <v>79.032012687485903</v>
      </c>
      <c r="AM7065">
        <v>91.926704151495102</v>
      </c>
      <c r="AN7065">
        <v>0.99999997788263395</v>
      </c>
    </row>
    <row r="7066" spans="1:40" x14ac:dyDescent="0.25">
      <c r="A7066" t="str">
        <f>"20190304155812579"</f>
        <v>20190304155812579</v>
      </c>
      <c r="B7066" t="str">
        <f>"1551686292571830"</f>
        <v>1551686292571830</v>
      </c>
      <c r="C7066" t="s">
        <v>40</v>
      </c>
      <c r="D7066">
        <v>4.5774660000000003</v>
      </c>
      <c r="E7066">
        <v>0.5625909</v>
      </c>
      <c r="F7066" t="s">
        <v>69</v>
      </c>
      <c r="G7066">
        <v>-168.4127</v>
      </c>
      <c r="H7066">
        <v>4.4467850000000002</v>
      </c>
      <c r="I7066">
        <v>204.25069999999999</v>
      </c>
      <c r="J7066">
        <v>-187.12029999999999</v>
      </c>
      <c r="K7066">
        <v>1.10999</v>
      </c>
      <c r="L7066">
        <v>55.312100000000001</v>
      </c>
      <c r="M7066">
        <v>-1.048734E-2</v>
      </c>
      <c r="N7066">
        <v>-9.817915E-3</v>
      </c>
      <c r="O7066">
        <v>0.99989680000000003</v>
      </c>
      <c r="P7066">
        <v>-4.2608390000000003E-2</v>
      </c>
      <c r="Q7066">
        <v>0.18106169999999999</v>
      </c>
      <c r="R7066">
        <v>0.98254830000000004</v>
      </c>
      <c r="S7066">
        <v>0.38285829999999998</v>
      </c>
      <c r="T7066">
        <v>6.8305969999999994E-2</v>
      </c>
      <c r="U7066">
        <v>3.0570369999999998</v>
      </c>
      <c r="V7066">
        <v>-3.2599169999999997E-2</v>
      </c>
      <c r="W7066">
        <v>0.19065280000000001</v>
      </c>
      <c r="X7066">
        <v>0.98111610000000005</v>
      </c>
      <c r="Y7066">
        <v>0.13461189999999901</v>
      </c>
      <c r="Z7066">
        <v>3.1969119999999997E-2</v>
      </c>
      <c r="AA7066">
        <v>0.9903826</v>
      </c>
      <c r="AB7066">
        <v>41</v>
      </c>
      <c r="AC7066">
        <v>18.7075999999999</v>
      </c>
      <c r="AD7066">
        <v>3.336795</v>
      </c>
      <c r="AE7066">
        <v>148.93860000000001</v>
      </c>
      <c r="AF7066">
        <v>20.258605635790001</v>
      </c>
      <c r="AG7066">
        <v>3.336795</v>
      </c>
      <c r="AH7066">
        <v>148.66074753686101</v>
      </c>
      <c r="AI7066">
        <v>88.725943510998306</v>
      </c>
      <c r="AJ7066">
        <v>82.239871936435506</v>
      </c>
      <c r="AK7066">
        <v>150.07185999179401</v>
      </c>
      <c r="AL7066">
        <v>79.009116684166003</v>
      </c>
      <c r="AM7066">
        <v>91.903044866957202</v>
      </c>
      <c r="AN7066">
        <v>0.99999999885586899</v>
      </c>
    </row>
    <row r="7067" spans="1:40" x14ac:dyDescent="0.25">
      <c r="A7067" t="str">
        <f>"20190304155812603"</f>
        <v>20190304155812603</v>
      </c>
      <c r="B7067" t="str">
        <f>"1551686292591354"</f>
        <v>1551686292591354</v>
      </c>
      <c r="C7067" t="s">
        <v>40</v>
      </c>
      <c r="D7067">
        <v>4.3979280000000003</v>
      </c>
      <c r="E7067">
        <v>0.525692099999999</v>
      </c>
      <c r="F7067" t="s">
        <v>69</v>
      </c>
      <c r="G7067">
        <v>-168.41239999999999</v>
      </c>
      <c r="H7067">
        <v>4.4396509999999996</v>
      </c>
      <c r="I7067">
        <v>205.0436</v>
      </c>
      <c r="J7067">
        <v>-187.12520000000001</v>
      </c>
      <c r="K7067">
        <v>1.1100030000000001</v>
      </c>
      <c r="L7067">
        <v>55.73395</v>
      </c>
      <c r="M7067">
        <v>-1.109393E-2</v>
      </c>
      <c r="N7067">
        <v>-9.8701139999999993E-3</v>
      </c>
      <c r="O7067">
        <v>0.99988969999999999</v>
      </c>
      <c r="P7067">
        <v>-4.3044579999999999E-2</v>
      </c>
      <c r="Q7067">
        <v>0.1820002</v>
      </c>
      <c r="R7067">
        <v>0.98235589999999995</v>
      </c>
      <c r="S7067">
        <v>0.38198850000000001</v>
      </c>
      <c r="T7067">
        <v>6.7987800000000001E-2</v>
      </c>
      <c r="U7067">
        <v>3.057312</v>
      </c>
      <c r="V7067">
        <v>-3.244404E-2</v>
      </c>
      <c r="W7067">
        <v>0.1916409</v>
      </c>
      <c r="X7067">
        <v>0.98092869999999999</v>
      </c>
      <c r="Y7067">
        <v>0.13492489999999999</v>
      </c>
      <c r="Z7067">
        <v>3.1916340000000001E-2</v>
      </c>
      <c r="AA7067">
        <v>0.99034169999999999</v>
      </c>
      <c r="AB7067">
        <v>41</v>
      </c>
      <c r="AC7067">
        <v>18.712800000000001</v>
      </c>
      <c r="AD7067">
        <v>3.3296480000000002</v>
      </c>
      <c r="AE7067">
        <v>149.30965</v>
      </c>
      <c r="AF7067">
        <v>20.358192262184701</v>
      </c>
      <c r="AG7067">
        <v>3.3296480000000002</v>
      </c>
      <c r="AH7067">
        <v>149.01989007138701</v>
      </c>
      <c r="AI7067">
        <v>88.7317921395545</v>
      </c>
      <c r="AJ7067">
        <v>82.220755698249903</v>
      </c>
      <c r="AK7067">
        <v>150.44091925030301</v>
      </c>
      <c r="AL7067">
        <v>78.951439048902799</v>
      </c>
      <c r="AM7067">
        <v>91.894357011415806</v>
      </c>
      <c r="AN7067">
        <v>0.99999998238401</v>
      </c>
    </row>
    <row r="7068" spans="1:40" x14ac:dyDescent="0.25">
      <c r="A7068" t="str">
        <f>"20190304155812624"</f>
        <v>20190304155812624</v>
      </c>
      <c r="B7068" t="str">
        <f>"1551686292621606"</f>
        <v>1551686292621606</v>
      </c>
      <c r="C7068" t="s">
        <v>40</v>
      </c>
      <c r="D7068">
        <v>4.3384239999999998</v>
      </c>
      <c r="E7068">
        <v>0.51640739999999996</v>
      </c>
      <c r="F7068" t="s">
        <v>52</v>
      </c>
      <c r="G7068">
        <v>-177.5548</v>
      </c>
      <c r="H7068">
        <v>5.7069609999999997</v>
      </c>
      <c r="I7068">
        <v>391.87</v>
      </c>
      <c r="J7068">
        <v>-187.1302</v>
      </c>
      <c r="K7068">
        <v>1.1100179999999999</v>
      </c>
      <c r="L7068">
        <v>56.146479999999997</v>
      </c>
      <c r="M7068">
        <v>-1.168724E-2</v>
      </c>
      <c r="N7068">
        <v>-9.9230770000000006E-3</v>
      </c>
      <c r="O7068">
        <v>0.99988250000000001</v>
      </c>
      <c r="P7068">
        <v>-4.3534799999999998E-2</v>
      </c>
      <c r="Q7068">
        <v>0.1830097</v>
      </c>
      <c r="R7068">
        <v>0.98214670000000004</v>
      </c>
      <c r="S7068">
        <v>8.6837769999999995E-2</v>
      </c>
      <c r="T7068">
        <v>4.1710850000000001E-2</v>
      </c>
      <c r="U7068">
        <v>3.049957</v>
      </c>
      <c r="V7068">
        <v>-3.2355809999999999E-2</v>
      </c>
      <c r="W7068">
        <v>0.19270029999999999</v>
      </c>
      <c r="X7068">
        <v>0.98072400000000004</v>
      </c>
      <c r="Y7068">
        <v>4.0134240000000002E-2</v>
      </c>
      <c r="Z7068">
        <v>2.3588049999999999E-2</v>
      </c>
      <c r="AA7068">
        <v>0.99891589999999997</v>
      </c>
      <c r="AB7068">
        <v>41</v>
      </c>
      <c r="AC7068">
        <v>9.5754000000000001</v>
      </c>
      <c r="AD7068">
        <v>4.5969429999999996</v>
      </c>
      <c r="AE7068">
        <v>335.72352000000001</v>
      </c>
      <c r="AF7068">
        <v>13.4960920487952</v>
      </c>
      <c r="AG7068">
        <v>4.5969429999999996</v>
      </c>
      <c r="AH7068">
        <v>335.52581684454799</v>
      </c>
      <c r="AI7068">
        <v>89.215690216509302</v>
      </c>
      <c r="AJ7068">
        <v>87.696593097001099</v>
      </c>
      <c r="AK7068">
        <v>335.82860234758999</v>
      </c>
      <c r="AL7068">
        <v>78.889586526605996</v>
      </c>
      <c r="AM7068">
        <v>91.889603173439099</v>
      </c>
      <c r="AN7068">
        <v>0.99999993411842103</v>
      </c>
    </row>
    <row r="7069" spans="1:40" x14ac:dyDescent="0.25">
      <c r="A7069" t="str">
        <f>"20190304155812646"</f>
        <v>20190304155812646</v>
      </c>
      <c r="B7069" t="str">
        <f>"1551686292642102"</f>
        <v>1551686292642102</v>
      </c>
      <c r="C7069" t="s">
        <v>40</v>
      </c>
      <c r="D7069">
        <v>4.287083</v>
      </c>
      <c r="E7069">
        <v>0.51378380000000001</v>
      </c>
      <c r="F7069" t="s">
        <v>52</v>
      </c>
      <c r="G7069">
        <v>-185.99299999999999</v>
      </c>
      <c r="H7069">
        <v>9.7264660000000003</v>
      </c>
      <c r="I7069">
        <v>391.87</v>
      </c>
      <c r="J7069">
        <v>-187.13560000000001</v>
      </c>
      <c r="K7069">
        <v>1.110023</v>
      </c>
      <c r="L7069">
        <v>56.565550000000002</v>
      </c>
      <c r="M7069">
        <v>-1.228954E-2</v>
      </c>
      <c r="N7069">
        <v>-9.9811989999999996E-3</v>
      </c>
      <c r="O7069">
        <v>0.99987470000000001</v>
      </c>
      <c r="P7069">
        <v>-4.3788639999999997E-2</v>
      </c>
      <c r="Q7069">
        <v>0.1838012</v>
      </c>
      <c r="R7069">
        <v>0.98198759999999996</v>
      </c>
      <c r="S7069">
        <v>1.029968E-2</v>
      </c>
      <c r="T7069">
        <v>7.8033690000000003E-2</v>
      </c>
      <c r="U7069">
        <v>3.0404360000000001</v>
      </c>
      <c r="V7069">
        <v>-3.202207E-2</v>
      </c>
      <c r="W7069">
        <v>0.1935481</v>
      </c>
      <c r="X7069">
        <v>0.98056810000000005</v>
      </c>
      <c r="Y7069">
        <v>1.567646E-2</v>
      </c>
      <c r="Z7069">
        <v>3.5629139999999997E-2</v>
      </c>
      <c r="AA7069">
        <v>0.99924210000000002</v>
      </c>
      <c r="AB7069">
        <v>41</v>
      </c>
      <c r="AC7069">
        <v>1.1426000000000101</v>
      </c>
      <c r="AD7069">
        <v>8.6164429999999896</v>
      </c>
      <c r="AE7069">
        <v>335.30444999999997</v>
      </c>
      <c r="AF7069">
        <v>5.2599828665719297</v>
      </c>
      <c r="AG7069">
        <v>8.6164429999999896</v>
      </c>
      <c r="AH7069">
        <v>335.04383754089099</v>
      </c>
      <c r="AI7069">
        <v>88.527009962074104</v>
      </c>
      <c r="AJ7069">
        <v>89.100565274047796</v>
      </c>
      <c r="AK7069">
        <v>335.195888375523</v>
      </c>
      <c r="AL7069">
        <v>78.840080339174605</v>
      </c>
      <c r="AM7069">
        <v>91.870423542603007</v>
      </c>
      <c r="AN7069">
        <v>1.0000000393591499</v>
      </c>
    </row>
    <row r="7070" spans="1:40" x14ac:dyDescent="0.25">
      <c r="A7070" t="str">
        <f>"20190304155812669"</f>
        <v>20190304155812669</v>
      </c>
      <c r="B7070" t="str">
        <f>"1551686292661622"</f>
        <v>1551686292661622</v>
      </c>
      <c r="C7070" t="s">
        <v>40</v>
      </c>
      <c r="D7070">
        <v>4.5670270000000004</v>
      </c>
      <c r="E7070">
        <v>0.51233430000000002</v>
      </c>
      <c r="F7070" t="s">
        <v>52</v>
      </c>
      <c r="G7070">
        <v>-188.41370000000001</v>
      </c>
      <c r="H7070">
        <v>10.561870000000001</v>
      </c>
      <c r="I7070">
        <v>391.87</v>
      </c>
      <c r="J7070">
        <v>-187.1413</v>
      </c>
      <c r="K7070">
        <v>1.110039</v>
      </c>
      <c r="L7070">
        <v>56.990299999999998</v>
      </c>
      <c r="M7070">
        <v>-1.289965E-2</v>
      </c>
      <c r="N7070">
        <v>-1.0047779999999999E-2</v>
      </c>
      <c r="O7070">
        <v>0.99986629999999999</v>
      </c>
      <c r="P7070">
        <v>-4.3469290000000001E-2</v>
      </c>
      <c r="Q7070">
        <v>0.18494679999999999</v>
      </c>
      <c r="R7070">
        <v>0.98178670000000001</v>
      </c>
      <c r="S7070">
        <v>-1.158142E-2</v>
      </c>
      <c r="T7070">
        <v>8.5651279999999996E-2</v>
      </c>
      <c r="U7070">
        <v>3.0384829999999998</v>
      </c>
      <c r="V7070">
        <v>-3.110831E-2</v>
      </c>
      <c r="W7070">
        <v>0.19475819999999999</v>
      </c>
      <c r="X7070">
        <v>0.98035779999999995</v>
      </c>
      <c r="Y7070">
        <v>9.0925840000000008E-3</v>
      </c>
      <c r="Z7070">
        <v>3.8215560000000003E-2</v>
      </c>
      <c r="AA7070">
        <v>0.99922820000000001</v>
      </c>
      <c r="AB7070">
        <v>42</v>
      </c>
      <c r="AC7070">
        <v>-1.2724</v>
      </c>
      <c r="AD7070">
        <v>9.4518310000000003</v>
      </c>
      <c r="AE7070">
        <v>334.87970000000001</v>
      </c>
      <c r="AF7070">
        <v>3.0453289768131899</v>
      </c>
      <c r="AG7070">
        <v>9.4518310000000003</v>
      </c>
      <c r="AH7070">
        <v>334.60169978919902</v>
      </c>
      <c r="AI7070">
        <v>88.382005707996498</v>
      </c>
      <c r="AJ7070">
        <v>89.478545147376494</v>
      </c>
      <c r="AK7070">
        <v>334.74902335876999</v>
      </c>
      <c r="AL7070">
        <v>78.769400768632096</v>
      </c>
      <c r="AM7070">
        <v>91.817476243124204</v>
      </c>
      <c r="AN7070">
        <v>0.99999994971956596</v>
      </c>
    </row>
    <row r="7071" spans="1:40" x14ac:dyDescent="0.25">
      <c r="A7071" t="str">
        <f>"20190304155812692"</f>
        <v>20190304155812692</v>
      </c>
      <c r="B7071" t="str">
        <f>"1551686292682119"</f>
        <v>1551686292682119</v>
      </c>
      <c r="C7071" t="s">
        <v>40</v>
      </c>
      <c r="D7071">
        <v>4.3732119999999997</v>
      </c>
      <c r="E7071">
        <v>0.51150629999999997</v>
      </c>
      <c r="F7071" t="s">
        <v>52</v>
      </c>
      <c r="G7071">
        <v>-189.63399999999999</v>
      </c>
      <c r="H7071">
        <v>9.6186790000000002</v>
      </c>
      <c r="I7071">
        <v>391.87</v>
      </c>
      <c r="J7071">
        <v>-187.1472</v>
      </c>
      <c r="K7071">
        <v>1.1100589999999999</v>
      </c>
      <c r="L7071">
        <v>57.408259999999999</v>
      </c>
      <c r="M7071">
        <v>-1.34997E-2</v>
      </c>
      <c r="N7071">
        <v>-1.0125E-2</v>
      </c>
      <c r="O7071">
        <v>0.99985760000000001</v>
      </c>
      <c r="P7071">
        <v>-4.3805759999999999E-2</v>
      </c>
      <c r="Q7071">
        <v>0.18599370000000001</v>
      </c>
      <c r="R7071">
        <v>0.9815739</v>
      </c>
      <c r="S7071">
        <v>-2.2628780000000001E-2</v>
      </c>
      <c r="T7071">
        <v>7.7242969999999994E-2</v>
      </c>
      <c r="U7071">
        <v>3.0400999999999998</v>
      </c>
      <c r="V7071">
        <v>-3.0860530000000001E-2</v>
      </c>
      <c r="W7071">
        <v>0.1958792</v>
      </c>
      <c r="X7071">
        <v>0.98014239999999997</v>
      </c>
      <c r="Y7071">
        <v>6.0626300000000003E-3</v>
      </c>
      <c r="Z7071">
        <v>3.5515699999999997E-2</v>
      </c>
      <c r="AA7071">
        <v>0.99935070000000004</v>
      </c>
      <c r="AB7071">
        <v>42</v>
      </c>
      <c r="AC7071">
        <v>-2.4868000000000099</v>
      </c>
      <c r="AD7071">
        <v>8.5086200000000005</v>
      </c>
      <c r="AE7071">
        <v>334.461739999999</v>
      </c>
      <c r="AF7071">
        <v>2.02747921607682</v>
      </c>
      <c r="AG7071">
        <v>8.5086200000000005</v>
      </c>
      <c r="AH7071">
        <v>334.248524648277</v>
      </c>
      <c r="AI7071">
        <v>88.541822161847705</v>
      </c>
      <c r="AJ7071">
        <v>89.652460463188206</v>
      </c>
      <c r="AK7071">
        <v>334.36295176921999</v>
      </c>
      <c r="AL7071">
        <v>78.703912322370897</v>
      </c>
      <c r="AM7071">
        <v>91.803405478120496</v>
      </c>
      <c r="AN7071">
        <v>1.0000000787911301</v>
      </c>
    </row>
    <row r="7072" spans="1:40" x14ac:dyDescent="0.25">
      <c r="A7072" t="str">
        <f>"20190304155812715"</f>
        <v>20190304155812715</v>
      </c>
      <c r="B7072" t="str">
        <f>"1551686292711398"</f>
        <v>1551686292711398</v>
      </c>
      <c r="C7072" t="s">
        <v>40</v>
      </c>
      <c r="D7072">
        <v>4.7062309999999998</v>
      </c>
      <c r="E7072">
        <v>0.51033980000000001</v>
      </c>
      <c r="F7072" t="s">
        <v>52</v>
      </c>
      <c r="G7072">
        <v>-190.5737</v>
      </c>
      <c r="H7072">
        <v>9.8192830000000004</v>
      </c>
      <c r="I7072">
        <v>391.87</v>
      </c>
      <c r="J7072">
        <v>-187.15350000000001</v>
      </c>
      <c r="K7072">
        <v>1.110079</v>
      </c>
      <c r="L7072">
        <v>57.836489999999998</v>
      </c>
      <c r="M7072">
        <v>-1.411394E-2</v>
      </c>
      <c r="N7072">
        <v>-1.021271E-2</v>
      </c>
      <c r="O7072">
        <v>0.99984819999999996</v>
      </c>
      <c r="P7072">
        <v>-4.4885099999999997E-2</v>
      </c>
      <c r="Q7072">
        <v>0.18708620000000001</v>
      </c>
      <c r="R7072">
        <v>0.98131749999999995</v>
      </c>
      <c r="S7072">
        <v>-3.1143190000000001E-2</v>
      </c>
      <c r="T7072">
        <v>7.9157950000000005E-2</v>
      </c>
      <c r="U7072">
        <v>3.039917</v>
      </c>
      <c r="V7072">
        <v>-3.1343269999999999E-2</v>
      </c>
      <c r="W7072">
        <v>0.19705410000000001</v>
      </c>
      <c r="X7072">
        <v>0.97989150000000003</v>
      </c>
      <c r="Y7072">
        <v>3.8777809999999998E-3</v>
      </c>
      <c r="Z7072">
        <v>3.6233179999999997E-2</v>
      </c>
      <c r="AA7072">
        <v>0.9993358</v>
      </c>
      <c r="AB7072">
        <v>42</v>
      </c>
      <c r="AC7072">
        <v>-3.4201999999999901</v>
      </c>
      <c r="AD7072">
        <v>8.7092039999999997</v>
      </c>
      <c r="AE7072">
        <v>334.03350999999998</v>
      </c>
      <c r="AF7072">
        <v>1.29403609899406</v>
      </c>
      <c r="AG7072">
        <v>8.7092039999999997</v>
      </c>
      <c r="AH7072">
        <v>333.82160371082301</v>
      </c>
      <c r="AI7072">
        <v>88.505537957432907</v>
      </c>
      <c r="AJ7072">
        <v>89.777898030520007</v>
      </c>
      <c r="AK7072">
        <v>333.93770057872302</v>
      </c>
      <c r="AL7072">
        <v>78.635256963247201</v>
      </c>
      <c r="AM7072">
        <v>91.832065082743</v>
      </c>
      <c r="AN7072">
        <v>1.00000003533667</v>
      </c>
    </row>
    <row r="7073" spans="1:40" x14ac:dyDescent="0.25">
      <c r="A7073" t="str">
        <f>"20190304155812737"</f>
        <v>20190304155812737</v>
      </c>
      <c r="B7073" t="str">
        <f>"1551686292731894"</f>
        <v>1551686292731894</v>
      </c>
      <c r="C7073" t="s">
        <v>40</v>
      </c>
      <c r="D7073">
        <v>3.9386920000000001</v>
      </c>
      <c r="E7073">
        <v>0.48593370000000002</v>
      </c>
      <c r="F7073" t="s">
        <v>52</v>
      </c>
      <c r="G7073">
        <v>-191.9281</v>
      </c>
      <c r="H7073">
        <v>10.248760000000001</v>
      </c>
      <c r="I7073">
        <v>391.87</v>
      </c>
      <c r="J7073">
        <v>-187.15979999999999</v>
      </c>
      <c r="K7073">
        <v>1.110112</v>
      </c>
      <c r="L7073">
        <v>58.246369999999999</v>
      </c>
      <c r="M7073">
        <v>-1.470101E-2</v>
      </c>
      <c r="N7073">
        <v>-1.029859E-2</v>
      </c>
      <c r="O7073">
        <v>0.99983889999999997</v>
      </c>
      <c r="P7073">
        <v>-4.6092029999999999E-2</v>
      </c>
      <c r="Q7073">
        <v>0.18793389999999999</v>
      </c>
      <c r="R7073">
        <v>0.98109950000000001</v>
      </c>
      <c r="S7073">
        <v>-4.3441769999999998E-2</v>
      </c>
      <c r="T7073">
        <v>8.3150269999999998E-2</v>
      </c>
      <c r="U7073">
        <v>3.0392760000000001</v>
      </c>
      <c r="V7073">
        <v>-3.197916E-2</v>
      </c>
      <c r="W7073">
        <v>0.19798289999999999</v>
      </c>
      <c r="X7073">
        <v>0.97968370000000005</v>
      </c>
      <c r="Y7073">
        <v>4.1999890000000002E-4</v>
      </c>
      <c r="Z7073">
        <v>3.7634729999999998E-2</v>
      </c>
      <c r="AA7073">
        <v>0.9992915</v>
      </c>
      <c r="AB7073">
        <v>42</v>
      </c>
      <c r="AC7073">
        <v>-4.7683000000000098</v>
      </c>
      <c r="AD7073">
        <v>9.1386479999999999</v>
      </c>
      <c r="AE7073">
        <v>333.62362999999999</v>
      </c>
      <c r="AF7073">
        <v>0.13697700665252499</v>
      </c>
      <c r="AG7073">
        <v>9.1386479999999999</v>
      </c>
      <c r="AH7073">
        <v>333.40756201100203</v>
      </c>
      <c r="AI7073">
        <v>88.429925091233102</v>
      </c>
      <c r="AJ7073">
        <v>89.976460630098998</v>
      </c>
      <c r="AK7073">
        <v>333.53281106375101</v>
      </c>
      <c r="AL7073">
        <v>78.5809710325547</v>
      </c>
      <c r="AM7073">
        <v>91.869603976511996</v>
      </c>
      <c r="AN7073">
        <v>1.0000000237061999</v>
      </c>
    </row>
    <row r="7074" spans="1:40" x14ac:dyDescent="0.25">
      <c r="A7074" t="str">
        <f>"20190304155812760"</f>
        <v>20190304155812760</v>
      </c>
      <c r="B7074" t="str">
        <f>"1551686292751415"</f>
        <v>1551686292751415</v>
      </c>
      <c r="C7074" t="s">
        <v>40</v>
      </c>
      <c r="D7074">
        <v>4.4255199999999997</v>
      </c>
      <c r="E7074">
        <v>0.48390260000000002</v>
      </c>
      <c r="F7074" t="s">
        <v>52</v>
      </c>
      <c r="G7074">
        <v>-214.64500000000001</v>
      </c>
      <c r="H7074">
        <v>37.647509999999997</v>
      </c>
      <c r="I7074">
        <v>391.87</v>
      </c>
      <c r="J7074">
        <v>-187.16659999999999</v>
      </c>
      <c r="K7074">
        <v>1.11016</v>
      </c>
      <c r="L7074">
        <v>58.675170000000001</v>
      </c>
      <c r="M7074">
        <v>-1.5314970000000001E-2</v>
      </c>
      <c r="N7074">
        <v>-1.0389560000000001E-2</v>
      </c>
      <c r="O7074">
        <v>0.99982879999999996</v>
      </c>
      <c r="P7074">
        <v>-4.7338829999999998E-2</v>
      </c>
      <c r="Q7074">
        <v>0.19219629999999999</v>
      </c>
      <c r="R7074">
        <v>0.98021409999999998</v>
      </c>
      <c r="S7074">
        <v>-0.24580379999999999</v>
      </c>
      <c r="T7074">
        <v>0.32675900000000002</v>
      </c>
      <c r="U7074">
        <v>2.9836429999999998</v>
      </c>
      <c r="V7074">
        <v>-3.2644239999999998E-2</v>
      </c>
      <c r="W7074">
        <v>0.20232449999999999</v>
      </c>
      <c r="X7074">
        <v>0.97877429999999999</v>
      </c>
      <c r="Y7074">
        <v>-6.6284049999999997E-2</v>
      </c>
      <c r="Z7074">
        <v>0.1188612</v>
      </c>
      <c r="AA7074">
        <v>0.99069600000000002</v>
      </c>
      <c r="AB7074">
        <v>42</v>
      </c>
      <c r="AC7074">
        <v>-27.478400000000001</v>
      </c>
      <c r="AD7074">
        <v>36.537350000000004</v>
      </c>
      <c r="AE7074">
        <v>333.194829999999</v>
      </c>
      <c r="AF7074">
        <v>-22.107984928699501</v>
      </c>
      <c r="AG7074">
        <v>36.537350000000004</v>
      </c>
      <c r="AH7074">
        <v>329.63953187029801</v>
      </c>
      <c r="AI7074">
        <v>83.689197207635303</v>
      </c>
      <c r="AJ7074">
        <v>93.836918872475195</v>
      </c>
      <c r="AK7074">
        <v>332.39428682559998</v>
      </c>
      <c r="AL7074">
        <v>78.327077400836998</v>
      </c>
      <c r="AM7074">
        <v>91.910230095708698</v>
      </c>
      <c r="AN7074">
        <v>0.99999999002295803</v>
      </c>
    </row>
    <row r="7075" spans="1:40" x14ac:dyDescent="0.25">
      <c r="A7075" t="str">
        <f>"20190304155812803"</f>
        <v>20190304155812803</v>
      </c>
      <c r="B7075" t="str">
        <f>"1551686292791430"</f>
        <v>1551686292791430</v>
      </c>
      <c r="C7075" t="s">
        <v>40</v>
      </c>
      <c r="D7075">
        <v>4.2910690000000002</v>
      </c>
      <c r="E7075">
        <v>0.46748200000000001</v>
      </c>
      <c r="F7075" t="s">
        <v>52</v>
      </c>
      <c r="G7075">
        <v>-217.27529999999999</v>
      </c>
      <c r="H7075">
        <v>50.446399999999997</v>
      </c>
      <c r="I7075">
        <v>391.87</v>
      </c>
      <c r="J7075">
        <v>-187.18010000000001</v>
      </c>
      <c r="K7075">
        <v>1.110214</v>
      </c>
      <c r="L7075">
        <v>59.480159999999998</v>
      </c>
      <c r="M7075">
        <v>-1.6467229999999999E-2</v>
      </c>
      <c r="N7075">
        <v>-1.0566799999999999E-2</v>
      </c>
      <c r="O7075">
        <v>0.99980849999999999</v>
      </c>
      <c r="P7075">
        <v>-4.9158199999999999E-2</v>
      </c>
      <c r="Q7075">
        <v>0.199991</v>
      </c>
      <c r="R7075">
        <v>0.97856379999999998</v>
      </c>
      <c r="S7075">
        <v>-0.26762390000000003</v>
      </c>
      <c r="T7075">
        <v>0.43853059999999999</v>
      </c>
      <c r="U7075">
        <v>2.9616389999999999</v>
      </c>
      <c r="V7075">
        <v>-3.3373899999999998E-2</v>
      </c>
      <c r="W7075">
        <v>0.2102745</v>
      </c>
      <c r="X7075">
        <v>0.97707259999999996</v>
      </c>
      <c r="Y7075">
        <v>-7.2528679999999998E-2</v>
      </c>
      <c r="Z7075">
        <v>0.15639749999999999</v>
      </c>
      <c r="AA7075">
        <v>0.9850276</v>
      </c>
      <c r="AB7075">
        <v>42</v>
      </c>
      <c r="AC7075">
        <v>-30.095199999999899</v>
      </c>
      <c r="AD7075">
        <v>49.336185999999998</v>
      </c>
      <c r="AE7075">
        <v>332.38983999999999</v>
      </c>
      <c r="AF7075">
        <v>-24.090841383505499</v>
      </c>
      <c r="AG7075">
        <v>49.336185999999998</v>
      </c>
      <c r="AH7075">
        <v>325.72270568440098</v>
      </c>
      <c r="AI7075">
        <v>81.410169129618794</v>
      </c>
      <c r="AJ7075">
        <v>94.2299626899771</v>
      </c>
      <c r="AK7075">
        <v>330.31758791496202</v>
      </c>
      <c r="AL7075">
        <v>77.861561171251097</v>
      </c>
      <c r="AM7075">
        <v>91.956293202794697</v>
      </c>
      <c r="AN7075">
        <v>1.0000000241111</v>
      </c>
    </row>
    <row r="7076" spans="1:40" x14ac:dyDescent="0.25">
      <c r="A7076" t="str">
        <f>"20190304155812826"</f>
        <v>20190304155812826</v>
      </c>
      <c r="B7076" t="str">
        <f>"1551686292821687"</f>
        <v>1551686292821687</v>
      </c>
      <c r="C7076" t="s">
        <v>40</v>
      </c>
      <c r="D7076">
        <v>4.5179999999999998</v>
      </c>
      <c r="E7076">
        <v>0.46627550000000001</v>
      </c>
      <c r="F7076" t="s">
        <v>46</v>
      </c>
      <c r="G7076">
        <v>0</v>
      </c>
      <c r="H7076">
        <v>0</v>
      </c>
      <c r="I7076">
        <v>0</v>
      </c>
      <c r="J7076">
        <v>-187.18790000000001</v>
      </c>
      <c r="K7076">
        <v>1.110223</v>
      </c>
      <c r="L7076">
        <v>59.918759999999999</v>
      </c>
      <c r="M7076">
        <v>-1.709341E-2</v>
      </c>
      <c r="N7076">
        <v>-1.06672E-2</v>
      </c>
      <c r="O7076">
        <v>0.99979700000000005</v>
      </c>
      <c r="P7076">
        <v>-5.0459440000000001E-2</v>
      </c>
      <c r="Q7076">
        <v>0.20040150000000001</v>
      </c>
      <c r="R7076">
        <v>0.97841350000000005</v>
      </c>
      <c r="S7076">
        <v>-0.4233093</v>
      </c>
      <c r="T7076">
        <v>1.536119</v>
      </c>
      <c r="U7076">
        <v>2.7305299999999999</v>
      </c>
      <c r="V7076">
        <v>-3.406522E-2</v>
      </c>
      <c r="W7076">
        <v>0.2107803</v>
      </c>
      <c r="X7076">
        <v>0.97693969999999997</v>
      </c>
      <c r="Y7076">
        <v>-0.1165176</v>
      </c>
      <c r="Z7076">
        <v>0.4956314</v>
      </c>
      <c r="AA7076">
        <v>0.86068180000000005</v>
      </c>
      <c r="AB7076">
        <v>42</v>
      </c>
      <c r="AC7076">
        <v>-0.4233093</v>
      </c>
      <c r="AD7076">
        <v>1.536119</v>
      </c>
      <c r="AE7076">
        <v>2.7305299999999999</v>
      </c>
      <c r="AF7076">
        <v>-0.287665179210019</v>
      </c>
      <c r="AG7076">
        <v>1.536119</v>
      </c>
      <c r="AH7076">
        <v>2.0910952123792699</v>
      </c>
      <c r="AI7076">
        <v>53.954882384289697</v>
      </c>
      <c r="AJ7076">
        <v>97.832830189998006</v>
      </c>
      <c r="AK7076">
        <v>2.61057312188845</v>
      </c>
      <c r="AL7076">
        <v>77.831915972905506</v>
      </c>
      <c r="AM7076">
        <v>91.997055569474696</v>
      </c>
      <c r="AN7076">
        <v>0.99999997575891297</v>
      </c>
    </row>
    <row r="7077" spans="1:40" x14ac:dyDescent="0.25">
      <c r="A7077" t="str">
        <f>"20190304155812916"</f>
        <v>20190304155812916</v>
      </c>
      <c r="B7077" t="str">
        <f>"1551686292911478"</f>
        <v>1551686292911478</v>
      </c>
      <c r="C7077" t="s">
        <v>40</v>
      </c>
      <c r="D7077">
        <v>5.6605019999999904</v>
      </c>
      <c r="E7077">
        <v>0.46613579999999999</v>
      </c>
      <c r="F7077" t="s">
        <v>46</v>
      </c>
      <c r="G7077">
        <v>0</v>
      </c>
      <c r="H7077">
        <v>0</v>
      </c>
      <c r="I7077">
        <v>0</v>
      </c>
      <c r="J7077">
        <v>-187.21969999999999</v>
      </c>
      <c r="K7077">
        <v>1.110276</v>
      </c>
      <c r="L7077">
        <v>61.581240000000001</v>
      </c>
      <c r="M7077">
        <v>-1.937755E-2</v>
      </c>
      <c r="N7077">
        <v>-1.1035029999999999E-2</v>
      </c>
      <c r="O7077">
        <v>0.99975130000000001</v>
      </c>
      <c r="P7077">
        <v>-5.6305880000000003E-2</v>
      </c>
      <c r="Q7077">
        <v>0.20598830000000001</v>
      </c>
      <c r="R7077">
        <v>0.97693319999999995</v>
      </c>
      <c r="S7077">
        <v>-0.43728640000000002</v>
      </c>
      <c r="T7077">
        <v>1.552775</v>
      </c>
      <c r="U7077">
        <v>2.7255859999999998</v>
      </c>
      <c r="V7077">
        <v>-3.7696889999999997E-2</v>
      </c>
      <c r="W7077">
        <v>0.2167087</v>
      </c>
      <c r="X7077">
        <v>0.97550820000000005</v>
      </c>
      <c r="Y7077">
        <v>-0.1183922</v>
      </c>
      <c r="Z7077">
        <v>0.50036229999999904</v>
      </c>
      <c r="AA7077">
        <v>0.85768339999999998</v>
      </c>
      <c r="AB7077">
        <v>42</v>
      </c>
      <c r="AC7077">
        <v>-0.43728640000000002</v>
      </c>
      <c r="AD7077">
        <v>1.552775</v>
      </c>
      <c r="AE7077">
        <v>2.7255859999999998</v>
      </c>
      <c r="AF7077">
        <v>-0.29199400188144897</v>
      </c>
      <c r="AG7077">
        <v>1.552775</v>
      </c>
      <c r="AH7077">
        <v>2.0765062247747701</v>
      </c>
      <c r="AI7077">
        <v>53.480153721983697</v>
      </c>
      <c r="AJ7077">
        <v>98.004331493630303</v>
      </c>
      <c r="AK7077">
        <v>2.6092621177812099</v>
      </c>
      <c r="AL7077">
        <v>77.4842074661765</v>
      </c>
      <c r="AM7077">
        <v>92.212998867793601</v>
      </c>
      <c r="AN7077">
        <v>0.99999998221930098</v>
      </c>
    </row>
    <row r="7078" spans="1:40" x14ac:dyDescent="0.25">
      <c r="A7078" t="str">
        <f>"20190304155812937"</f>
        <v>20190304155812937</v>
      </c>
      <c r="B7078" t="str">
        <f>"1551686292931974"</f>
        <v>1551686292931974</v>
      </c>
      <c r="C7078" t="s">
        <v>40</v>
      </c>
      <c r="D7078">
        <v>4.1896899999999997</v>
      </c>
      <c r="E7078">
        <v>0.46623530000000002</v>
      </c>
      <c r="F7078" t="s">
        <v>46</v>
      </c>
      <c r="G7078">
        <v>0</v>
      </c>
      <c r="H7078">
        <v>0</v>
      </c>
      <c r="I7078">
        <v>0</v>
      </c>
      <c r="J7078">
        <v>-187.22800000000001</v>
      </c>
      <c r="K7078">
        <v>1.1102730000000001</v>
      </c>
      <c r="L7078">
        <v>61.987949999999998</v>
      </c>
      <c r="M7078">
        <v>-1.9902030000000001E-2</v>
      </c>
      <c r="N7078">
        <v>-1.1116930000000001E-2</v>
      </c>
      <c r="O7078">
        <v>0.99974010000000002</v>
      </c>
      <c r="P7078">
        <v>-5.7086270000000001E-2</v>
      </c>
      <c r="Q7078">
        <v>0.20673759999999999</v>
      </c>
      <c r="R7078">
        <v>0.97672959999999998</v>
      </c>
      <c r="S7078">
        <v>-0.45538329999999999</v>
      </c>
      <c r="T7078">
        <v>1.562784</v>
      </c>
      <c r="U7078">
        <v>2.7150880000000002</v>
      </c>
      <c r="V7078">
        <v>-3.7962309999999999E-2</v>
      </c>
      <c r="W7078">
        <v>0.2175368</v>
      </c>
      <c r="X7078">
        <v>0.9753136</v>
      </c>
      <c r="Y7078">
        <v>-0.1236459</v>
      </c>
      <c r="Z7078">
        <v>0.50385559999999996</v>
      </c>
      <c r="AA7078">
        <v>0.8548926</v>
      </c>
      <c r="AB7078">
        <v>42</v>
      </c>
      <c r="AC7078">
        <v>-0.45538329999999999</v>
      </c>
      <c r="AD7078">
        <v>1.562784</v>
      </c>
      <c r="AE7078">
        <v>2.7150880000000002</v>
      </c>
      <c r="AF7078">
        <v>-0.30346495662963902</v>
      </c>
      <c r="AG7078">
        <v>1.562784</v>
      </c>
      <c r="AH7078">
        <v>2.0598457822254299</v>
      </c>
      <c r="AI7078">
        <v>53.108546762313601</v>
      </c>
      <c r="AJ7078">
        <v>98.380763866773506</v>
      </c>
      <c r="AK7078">
        <v>2.6033342960730401</v>
      </c>
      <c r="AL7078">
        <v>77.435601615607297</v>
      </c>
      <c r="AM7078">
        <v>92.229008921029504</v>
      </c>
      <c r="AN7078">
        <v>1.0000000073398601</v>
      </c>
    </row>
    <row r="7079" spans="1:40" x14ac:dyDescent="0.25">
      <c r="A7079" t="str">
        <f>"20190304155812960"</f>
        <v>20190304155812960</v>
      </c>
      <c r="B7079" t="str">
        <f>"1551686292951494"</f>
        <v>1551686292951494</v>
      </c>
      <c r="C7079" t="s">
        <v>40</v>
      </c>
      <c r="D7079">
        <v>4.151275</v>
      </c>
      <c r="E7079">
        <v>0.46662730000000002</v>
      </c>
      <c r="F7079" t="s">
        <v>46</v>
      </c>
      <c r="G7079">
        <v>0</v>
      </c>
      <c r="H7079">
        <v>0</v>
      </c>
      <c r="I7079">
        <v>0</v>
      </c>
      <c r="J7079">
        <v>-187.23660000000001</v>
      </c>
      <c r="K7079">
        <v>1.110269</v>
      </c>
      <c r="L7079">
        <v>62.395479999999999</v>
      </c>
      <c r="M7079">
        <v>-2.040718E-2</v>
      </c>
      <c r="N7079">
        <v>-1.1196660000000001E-2</v>
      </c>
      <c r="O7079">
        <v>0.99972899999999998</v>
      </c>
      <c r="P7079">
        <v>-5.7739720000000001E-2</v>
      </c>
      <c r="Q7079">
        <v>0.2066268</v>
      </c>
      <c r="R7079">
        <v>0.97671459999999999</v>
      </c>
      <c r="S7079">
        <v>-0.4564667</v>
      </c>
      <c r="T7079">
        <v>1.572835</v>
      </c>
      <c r="U7079">
        <v>2.711884</v>
      </c>
      <c r="V7079">
        <v>-3.8113269999999998E-2</v>
      </c>
      <c r="W7079">
        <v>0.21750510000000001</v>
      </c>
      <c r="X7079">
        <v>0.97531480000000004</v>
      </c>
      <c r="Y7079">
        <v>-0.1233706</v>
      </c>
      <c r="Z7079">
        <v>0.50672139999999999</v>
      </c>
      <c r="AA7079">
        <v>0.85323689999999996</v>
      </c>
      <c r="AB7079">
        <v>42</v>
      </c>
      <c r="AC7079">
        <v>-0.4564667</v>
      </c>
      <c r="AD7079">
        <v>1.572835</v>
      </c>
      <c r="AE7079">
        <v>2.711884</v>
      </c>
      <c r="AF7079">
        <v>-0.30218063383697602</v>
      </c>
      <c r="AG7079">
        <v>1.572835</v>
      </c>
      <c r="AH7079">
        <v>2.0500483287854201</v>
      </c>
      <c r="AI7079">
        <v>52.800879322666702</v>
      </c>
      <c r="AJ7079">
        <v>98.385115372160101</v>
      </c>
      <c r="AK7079">
        <v>2.60150364655654</v>
      </c>
      <c r="AL7079">
        <v>77.437462667165704</v>
      </c>
      <c r="AM7079">
        <v>92.237860999023397</v>
      </c>
      <c r="AN7079">
        <v>1.00000002448757</v>
      </c>
    </row>
    <row r="7080" spans="1:40" x14ac:dyDescent="0.25">
      <c r="A7080" t="str">
        <f>"20190304155812981"</f>
        <v>20190304155812981</v>
      </c>
      <c r="B7080" t="str">
        <f>"1551686292972002"</f>
        <v>1551686292972002</v>
      </c>
      <c r="C7080" t="s">
        <v>40</v>
      </c>
      <c r="D7080">
        <v>4.0323180000000001</v>
      </c>
      <c r="E7080">
        <v>0.4665183</v>
      </c>
      <c r="F7080" t="s">
        <v>46</v>
      </c>
      <c r="G7080">
        <v>0</v>
      </c>
      <c r="H7080">
        <v>0</v>
      </c>
      <c r="I7080">
        <v>0</v>
      </c>
      <c r="J7080">
        <v>-187.24539999999999</v>
      </c>
      <c r="K7080">
        <v>1.1102590000000001</v>
      </c>
      <c r="L7080">
        <v>62.810180000000003</v>
      </c>
      <c r="M7080">
        <v>-2.0893789999999999E-2</v>
      </c>
      <c r="N7080">
        <v>-1.127658E-2</v>
      </c>
      <c r="O7080">
        <v>0.99971810000000005</v>
      </c>
      <c r="P7080">
        <v>-5.7634600000000001E-2</v>
      </c>
      <c r="Q7080">
        <v>0.20719000000000001</v>
      </c>
      <c r="R7080">
        <v>0.97660150000000001</v>
      </c>
      <c r="S7080">
        <v>-0.4547119</v>
      </c>
      <c r="T7080">
        <v>1.587064</v>
      </c>
      <c r="U7080">
        <v>2.7088930000000002</v>
      </c>
      <c r="V7080">
        <v>-3.7524080000000001E-2</v>
      </c>
      <c r="W7080">
        <v>0.21814829999999999</v>
      </c>
      <c r="X7080">
        <v>0.97519400000000001</v>
      </c>
      <c r="Y7080">
        <v>-0.1221315</v>
      </c>
      <c r="Z7080">
        <v>0.51059060000000001</v>
      </c>
      <c r="AA7080">
        <v>0.85110589999999997</v>
      </c>
      <c r="AB7080">
        <v>42</v>
      </c>
      <c r="AC7080">
        <v>-0.4547119</v>
      </c>
      <c r="AD7080">
        <v>1.587064</v>
      </c>
      <c r="AE7080">
        <v>2.7088930000000002</v>
      </c>
      <c r="AF7080">
        <v>-0.29839425573431999</v>
      </c>
      <c r="AG7080">
        <v>1.587064</v>
      </c>
      <c r="AH7080">
        <v>2.0375789246034701</v>
      </c>
      <c r="AI7080">
        <v>52.379395934735598</v>
      </c>
      <c r="AJ7080">
        <v>98.3314858819178</v>
      </c>
      <c r="AK7080">
        <v>2.5999113727085899</v>
      </c>
      <c r="AL7080">
        <v>77.3997034910754</v>
      </c>
      <c r="AM7080">
        <v>92.203573106888797</v>
      </c>
      <c r="AN7080">
        <v>1.0000000375043601</v>
      </c>
    </row>
    <row r="7081" spans="1:40" x14ac:dyDescent="0.25">
      <c r="A7081" t="str">
        <f>"20190304155813004"</f>
        <v>20190304155813004</v>
      </c>
      <c r="B7081" t="str">
        <f>"1551686292991510"</f>
        <v>1551686292991510</v>
      </c>
      <c r="C7081" t="s">
        <v>40</v>
      </c>
      <c r="D7081">
        <v>4.0999790000000003</v>
      </c>
      <c r="E7081">
        <v>0.46675489999999997</v>
      </c>
      <c r="F7081" t="s">
        <v>46</v>
      </c>
      <c r="G7081">
        <v>0</v>
      </c>
      <c r="H7081">
        <v>0</v>
      </c>
      <c r="I7081">
        <v>0</v>
      </c>
      <c r="J7081">
        <v>-187.2543</v>
      </c>
      <c r="K7081">
        <v>1.1102459999999901</v>
      </c>
      <c r="L7081">
        <v>63.217100000000002</v>
      </c>
      <c r="M7081">
        <v>-2.1337680000000001E-2</v>
      </c>
      <c r="N7081">
        <v>-1.1353449999999999E-2</v>
      </c>
      <c r="O7081">
        <v>0.99970789999999998</v>
      </c>
      <c r="P7081">
        <v>-5.8135050000000001E-2</v>
      </c>
      <c r="Q7081">
        <v>0.20766180000000001</v>
      </c>
      <c r="R7081">
        <v>0.97647169999999905</v>
      </c>
      <c r="S7081">
        <v>-0.45523069999999999</v>
      </c>
      <c r="T7081">
        <v>1.59673</v>
      </c>
      <c r="U7081">
        <v>2.7062680000000001</v>
      </c>
      <c r="V7081">
        <v>-3.7580259999999997E-2</v>
      </c>
      <c r="W7081">
        <v>0.2186959</v>
      </c>
      <c r="X7081">
        <v>0.97506910000000002</v>
      </c>
      <c r="Y7081">
        <v>-0.1217258</v>
      </c>
      <c r="Z7081">
        <v>0.51327270000000003</v>
      </c>
      <c r="AA7081">
        <v>0.84954929999999995</v>
      </c>
      <c r="AB7081">
        <v>42</v>
      </c>
      <c r="AC7081">
        <v>-0.45523069999999999</v>
      </c>
      <c r="AD7081">
        <v>1.59673</v>
      </c>
      <c r="AE7081">
        <v>2.7062680000000001</v>
      </c>
      <c r="AF7081">
        <v>-0.29687524186720399</v>
      </c>
      <c r="AG7081">
        <v>1.59673</v>
      </c>
      <c r="AH7081">
        <v>2.0286106634619898</v>
      </c>
      <c r="AI7081">
        <v>52.088197209585701</v>
      </c>
      <c r="AJ7081">
        <v>98.325799336299696</v>
      </c>
      <c r="AK7081">
        <v>2.5986424967750801</v>
      </c>
      <c r="AL7081">
        <v>77.367551025796303</v>
      </c>
      <c r="AM7081">
        <v>92.207151381125399</v>
      </c>
      <c r="AN7081">
        <v>0.99999996119664303</v>
      </c>
    </row>
    <row r="7082" spans="1:40" x14ac:dyDescent="0.25">
      <c r="A7082" t="str">
        <f>"20190304155813026"</f>
        <v>20190304155813026</v>
      </c>
      <c r="B7082" t="str">
        <f>"1551686293021766"</f>
        <v>1551686293021766</v>
      </c>
      <c r="C7082" t="s">
        <v>40</v>
      </c>
      <c r="D7082">
        <v>3.90482</v>
      </c>
      <c r="E7082">
        <v>0.46679389999999998</v>
      </c>
      <c r="F7082" t="s">
        <v>46</v>
      </c>
      <c r="G7082">
        <v>0</v>
      </c>
      <c r="H7082">
        <v>0</v>
      </c>
      <c r="I7082">
        <v>0</v>
      </c>
      <c r="J7082">
        <v>-187.26410000000001</v>
      </c>
      <c r="K7082">
        <v>1.110222</v>
      </c>
      <c r="L7082">
        <v>63.654789999999998</v>
      </c>
      <c r="M7082">
        <v>-2.1771829999999999E-2</v>
      </c>
      <c r="N7082">
        <v>-1.1436099999999999E-2</v>
      </c>
      <c r="O7082">
        <v>0.99969759999999996</v>
      </c>
      <c r="P7082">
        <v>-5.8581210000000002E-2</v>
      </c>
      <c r="Q7082">
        <v>0.20913950000000001</v>
      </c>
      <c r="R7082">
        <v>0.97612949999999998</v>
      </c>
      <c r="S7082">
        <v>-0.45462039999999998</v>
      </c>
      <c r="T7082">
        <v>1.6042860000000001</v>
      </c>
      <c r="U7082">
        <v>2.7040410000000001</v>
      </c>
      <c r="V7082">
        <v>-3.7592340000000002E-2</v>
      </c>
      <c r="W7082">
        <v>0.22025400000000001</v>
      </c>
      <c r="X7082">
        <v>0.97471790000000003</v>
      </c>
      <c r="Y7082">
        <v>-0.12101339999999999</v>
      </c>
      <c r="Z7082">
        <v>0.5154282</v>
      </c>
      <c r="AA7082">
        <v>0.84834519999999902</v>
      </c>
      <c r="AB7082">
        <v>42</v>
      </c>
      <c r="AC7082">
        <v>-0.45462039999999998</v>
      </c>
      <c r="AD7082">
        <v>1.6042860000000001</v>
      </c>
      <c r="AE7082">
        <v>2.7040410000000001</v>
      </c>
      <c r="AF7082">
        <v>-0.29474124298092202</v>
      </c>
      <c r="AG7082">
        <v>1.6042860000000001</v>
      </c>
      <c r="AH7082">
        <v>2.0213510642774901</v>
      </c>
      <c r="AI7082">
        <v>51.8551506967843</v>
      </c>
      <c r="AJ7082">
        <v>98.296059175203894</v>
      </c>
      <c r="AK7082">
        <v>2.59739602201237</v>
      </c>
      <c r="AL7082">
        <v>77.276047886396199</v>
      </c>
      <c r="AM7082">
        <v>92.208654882689899</v>
      </c>
      <c r="AN7082">
        <v>0.99999999656154204</v>
      </c>
    </row>
    <row r="7083" spans="1:40" x14ac:dyDescent="0.25">
      <c r="A7083" t="str">
        <f>"20190304155813049"</f>
        <v>20190304155813049</v>
      </c>
      <c r="B7083" t="str">
        <f>"1551686293041286"</f>
        <v>1551686293041286</v>
      </c>
      <c r="C7083" t="s">
        <v>40</v>
      </c>
      <c r="D7083">
        <v>4.0667210000000003</v>
      </c>
      <c r="E7083">
        <v>0.46711809999999998</v>
      </c>
      <c r="F7083" t="s">
        <v>46</v>
      </c>
      <c r="G7083">
        <v>0</v>
      </c>
      <c r="H7083">
        <v>0</v>
      </c>
      <c r="I7083">
        <v>0</v>
      </c>
      <c r="J7083">
        <v>-187.27330000000001</v>
      </c>
      <c r="K7083">
        <v>1.1101939999999999</v>
      </c>
      <c r="L7083">
        <v>64.065119999999993</v>
      </c>
      <c r="M7083">
        <v>-2.2130239999999999E-2</v>
      </c>
      <c r="N7083">
        <v>-1.151546E-2</v>
      </c>
      <c r="O7083">
        <v>0.99968880000000004</v>
      </c>
      <c r="P7083">
        <v>-5.8603049999999997E-2</v>
      </c>
      <c r="Q7083">
        <v>0.20969850000000001</v>
      </c>
      <c r="R7083">
        <v>0.97600830000000005</v>
      </c>
      <c r="S7083">
        <v>-0.45489499999999999</v>
      </c>
      <c r="T7083">
        <v>1.6067089999999999</v>
      </c>
      <c r="U7083">
        <v>2.701813</v>
      </c>
      <c r="V7083">
        <v>-3.7245670000000002E-2</v>
      </c>
      <c r="W7083">
        <v>0.22089300000000001</v>
      </c>
      <c r="X7083">
        <v>0.97458659999999997</v>
      </c>
      <c r="Y7083">
        <v>-0.1207671</v>
      </c>
      <c r="Z7083">
        <v>0.51636159999999998</v>
      </c>
      <c r="AA7083">
        <v>0.84781249999999997</v>
      </c>
      <c r="AB7083">
        <v>42</v>
      </c>
      <c r="AC7083">
        <v>-0.45489499999999999</v>
      </c>
      <c r="AD7083">
        <v>1.6067089999999999</v>
      </c>
      <c r="AE7083">
        <v>2.701813</v>
      </c>
      <c r="AF7083">
        <v>-0.293913039642615</v>
      </c>
      <c r="AG7083">
        <v>1.6067089999999999</v>
      </c>
      <c r="AH7083">
        <v>2.01743566314796</v>
      </c>
      <c r="AI7083">
        <v>51.758638776232303</v>
      </c>
      <c r="AJ7083">
        <v>98.288904250268004</v>
      </c>
      <c r="AK7083">
        <v>2.5957552543516602</v>
      </c>
      <c r="AL7083">
        <v>77.238511404868305</v>
      </c>
      <c r="AM7083">
        <v>92.188601476581198</v>
      </c>
      <c r="AN7083">
        <v>0.99999999914115401</v>
      </c>
    </row>
    <row r="7084" spans="1:40" x14ac:dyDescent="0.25">
      <c r="A7084" t="str">
        <f>"20190304155813071"</f>
        <v>20190304155813071</v>
      </c>
      <c r="B7084" t="str">
        <f>"1551686293061783"</f>
        <v>1551686293061783</v>
      </c>
      <c r="C7084" t="s">
        <v>40</v>
      </c>
      <c r="D7084">
        <v>4.0243180000000001</v>
      </c>
      <c r="E7084">
        <v>0.4673658</v>
      </c>
      <c r="F7084" t="s">
        <v>46</v>
      </c>
      <c r="G7084">
        <v>0</v>
      </c>
      <c r="H7084">
        <v>0</v>
      </c>
      <c r="I7084">
        <v>0</v>
      </c>
      <c r="J7084">
        <v>-187.28280000000001</v>
      </c>
      <c r="K7084">
        <v>1.110163</v>
      </c>
      <c r="L7084">
        <v>64.478909999999999</v>
      </c>
      <c r="M7084">
        <v>-2.2434249999999999E-2</v>
      </c>
      <c r="N7084">
        <v>-1.159458E-2</v>
      </c>
      <c r="O7084">
        <v>0.99968109999999999</v>
      </c>
      <c r="P7084">
        <v>-5.8474079999999998E-2</v>
      </c>
      <c r="Q7084">
        <v>0.209069</v>
      </c>
      <c r="R7084">
        <v>0.97615110000000005</v>
      </c>
      <c r="S7084">
        <v>-0.45155329999999999</v>
      </c>
      <c r="T7084">
        <v>1.598665</v>
      </c>
      <c r="U7084">
        <v>2.7031559999999999</v>
      </c>
      <c r="V7084">
        <v>-3.6789780000000001E-2</v>
      </c>
      <c r="W7084">
        <v>0.22034699999999999</v>
      </c>
      <c r="X7084">
        <v>0.97472749999999997</v>
      </c>
      <c r="Y7084">
        <v>-0.11956310000000001</v>
      </c>
      <c r="Z7084">
        <v>0.51444590000000001</v>
      </c>
      <c r="AA7084">
        <v>0.84914669999999903</v>
      </c>
      <c r="AB7084">
        <v>42</v>
      </c>
      <c r="AC7084">
        <v>-0.45155329999999999</v>
      </c>
      <c r="AD7084">
        <v>1.598665</v>
      </c>
      <c r="AE7084">
        <v>2.7031559999999999</v>
      </c>
      <c r="AF7084">
        <v>-0.29157792313825498</v>
      </c>
      <c r="AG7084">
        <v>1.598665</v>
      </c>
      <c r="AH7084">
        <v>2.0239298629176599</v>
      </c>
      <c r="AI7084">
        <v>51.981343620446303</v>
      </c>
      <c r="AJ7084">
        <v>98.197924833808301</v>
      </c>
      <c r="AK7084">
        <v>2.5955807746045099</v>
      </c>
      <c r="AL7084">
        <v>77.270585135293999</v>
      </c>
      <c r="AM7084">
        <v>92.161526189012704</v>
      </c>
      <c r="AN7084">
        <v>0.99999999378884896</v>
      </c>
    </row>
    <row r="7085" spans="1:40" x14ac:dyDescent="0.25">
      <c r="A7085" t="str">
        <f>"20190304155813093"</f>
        <v>20190304155813093</v>
      </c>
      <c r="B7085" t="str">
        <f>"1551686293081306"</f>
        <v>1551686293081306</v>
      </c>
      <c r="C7085" t="s">
        <v>40</v>
      </c>
      <c r="D7085">
        <v>3.8122850000000001</v>
      </c>
      <c r="E7085">
        <v>0.46739969999999997</v>
      </c>
      <c r="F7085" t="s">
        <v>46</v>
      </c>
      <c r="G7085">
        <v>0</v>
      </c>
      <c r="H7085">
        <v>0</v>
      </c>
      <c r="I7085">
        <v>0</v>
      </c>
      <c r="J7085">
        <v>-187.2921</v>
      </c>
      <c r="K7085">
        <v>1.1101209999999999</v>
      </c>
      <c r="L7085">
        <v>64.883300000000006</v>
      </c>
      <c r="M7085">
        <v>-2.2672689999999999E-2</v>
      </c>
      <c r="N7085">
        <v>-1.166704E-2</v>
      </c>
      <c r="O7085">
        <v>0.99967490000000003</v>
      </c>
      <c r="P7085">
        <v>-5.825019E-2</v>
      </c>
      <c r="Q7085">
        <v>0.21027770000000001</v>
      </c>
      <c r="R7085">
        <v>0.97590480000000002</v>
      </c>
      <c r="S7085">
        <v>-0.4491425</v>
      </c>
      <c r="T7085">
        <v>1.6030329999999999</v>
      </c>
      <c r="U7085">
        <v>2.7030639999999999</v>
      </c>
      <c r="V7085">
        <v>-3.6312320000000002E-2</v>
      </c>
      <c r="W7085">
        <v>0.2216282</v>
      </c>
      <c r="X7085">
        <v>0.97445490000000001</v>
      </c>
      <c r="Y7085">
        <v>-0.1184819</v>
      </c>
      <c r="Z7085">
        <v>0.51559359999999999</v>
      </c>
      <c r="AA7085">
        <v>0.84860199999999997</v>
      </c>
      <c r="AB7085">
        <v>42</v>
      </c>
      <c r="AC7085">
        <v>-0.4491425</v>
      </c>
      <c r="AD7085">
        <v>1.6030329999999999</v>
      </c>
      <c r="AE7085">
        <v>2.7030639999999999</v>
      </c>
      <c r="AF7085">
        <v>-0.288870888256128</v>
      </c>
      <c r="AG7085">
        <v>1.6030329999999999</v>
      </c>
      <c r="AH7085">
        <v>2.0208990730236902</v>
      </c>
      <c r="AI7085">
        <v>51.859366808510998</v>
      </c>
      <c r="AJ7085">
        <v>98.134854038354803</v>
      </c>
      <c r="AK7085">
        <v>2.5956105741268001</v>
      </c>
      <c r="AL7085">
        <v>77.195316943633003</v>
      </c>
      <c r="AM7085">
        <v>92.134096151357994</v>
      </c>
      <c r="AN7085">
        <v>0.99999999787651594</v>
      </c>
    </row>
    <row r="7086" spans="1:40" x14ac:dyDescent="0.25">
      <c r="A7086" t="str">
        <f>"20190304155813117"</f>
        <v>20190304155813117</v>
      </c>
      <c r="B7086" t="str">
        <f>"1551686293111558"</f>
        <v>1551686293111558</v>
      </c>
      <c r="C7086" t="s">
        <v>40</v>
      </c>
      <c r="D7086">
        <v>3.8635609999999998</v>
      </c>
      <c r="E7086">
        <v>0.46759519999999999</v>
      </c>
      <c r="F7086" t="s">
        <v>46</v>
      </c>
      <c r="G7086">
        <v>0</v>
      </c>
      <c r="H7086">
        <v>0</v>
      </c>
      <c r="I7086">
        <v>0</v>
      </c>
      <c r="J7086">
        <v>-187.30260000000001</v>
      </c>
      <c r="K7086">
        <v>1.1100749999999999</v>
      </c>
      <c r="L7086">
        <v>65.339109999999906</v>
      </c>
      <c r="M7086">
        <v>-2.28831E-2</v>
      </c>
      <c r="N7086">
        <v>-1.1741949999999999E-2</v>
      </c>
      <c r="O7086">
        <v>0.99966920000000004</v>
      </c>
      <c r="P7086">
        <v>-5.7451549999999997E-2</v>
      </c>
      <c r="Q7086">
        <v>0.21108469999999999</v>
      </c>
      <c r="R7086">
        <v>0.97577789999999998</v>
      </c>
      <c r="S7086">
        <v>-0.44799800000000001</v>
      </c>
      <c r="T7086">
        <v>1.6038399999999999</v>
      </c>
      <c r="U7086">
        <v>2.7017519999999999</v>
      </c>
      <c r="V7086">
        <v>-3.5280449999999998E-2</v>
      </c>
      <c r="W7086">
        <v>0.22251299999999999</v>
      </c>
      <c r="X7086">
        <v>0.97429109999999997</v>
      </c>
      <c r="Y7086">
        <v>-0.1179468</v>
      </c>
      <c r="Z7086">
        <v>0.5160496</v>
      </c>
      <c r="AA7086">
        <v>0.84839929999999997</v>
      </c>
      <c r="AB7086">
        <v>42</v>
      </c>
      <c r="AC7086">
        <v>-0.44799800000000001</v>
      </c>
      <c r="AD7086">
        <v>1.6038399999999999</v>
      </c>
      <c r="AE7086">
        <v>2.7017519999999999</v>
      </c>
      <c r="AF7086">
        <v>-0.287462170523064</v>
      </c>
      <c r="AG7086">
        <v>1.6038399999999999</v>
      </c>
      <c r="AH7086">
        <v>2.0188869413856199</v>
      </c>
      <c r="AI7086">
        <v>51.815467135347802</v>
      </c>
      <c r="AJ7086">
        <v>98.103671997299301</v>
      </c>
      <c r="AK7086">
        <v>2.5943865801339698</v>
      </c>
      <c r="AL7086">
        <v>77.143322714537604</v>
      </c>
      <c r="AM7086">
        <v>92.073854558177203</v>
      </c>
      <c r="AN7086">
        <v>0.99999994643020396</v>
      </c>
    </row>
    <row r="7087" spans="1:40" x14ac:dyDescent="0.25">
      <c r="A7087" t="str">
        <f>"20190304155813150"</f>
        <v>20190304155813150</v>
      </c>
      <c r="B7087" t="str">
        <f>"1551686293141815"</f>
        <v>1551686293141815</v>
      </c>
      <c r="C7087" t="s">
        <v>40</v>
      </c>
      <c r="D7087">
        <v>3.9558230000000001</v>
      </c>
      <c r="E7087">
        <v>0.46827780000000002</v>
      </c>
      <c r="F7087" t="s">
        <v>46</v>
      </c>
      <c r="G7087">
        <v>0</v>
      </c>
      <c r="H7087">
        <v>0</v>
      </c>
      <c r="I7087">
        <v>0</v>
      </c>
      <c r="J7087">
        <v>-187.31720000000001</v>
      </c>
      <c r="K7087">
        <v>1.10999</v>
      </c>
      <c r="L7087">
        <v>65.965029999999999</v>
      </c>
      <c r="M7087">
        <v>-2.307855E-2</v>
      </c>
      <c r="N7087">
        <v>-1.183913E-2</v>
      </c>
      <c r="O7087">
        <v>0.99966350000000004</v>
      </c>
      <c r="P7087">
        <v>-5.6802730000000003E-2</v>
      </c>
      <c r="Q7087">
        <v>0.208874</v>
      </c>
      <c r="R7087">
        <v>0.97629149999999998</v>
      </c>
      <c r="S7087">
        <v>-0.44401550000000001</v>
      </c>
      <c r="T7087">
        <v>1.612276</v>
      </c>
      <c r="U7087">
        <v>2.699554</v>
      </c>
      <c r="V7087">
        <v>-3.4384829999999998E-2</v>
      </c>
      <c r="W7087">
        <v>0.2204102</v>
      </c>
      <c r="X7087">
        <v>0.97480100000000003</v>
      </c>
      <c r="Y7087">
        <v>-0.1164091</v>
      </c>
      <c r="Z7087">
        <v>0.51847770000000004</v>
      </c>
      <c r="AA7087">
        <v>0.8471303</v>
      </c>
      <c r="AB7087">
        <v>42</v>
      </c>
      <c r="AC7087">
        <v>-0.44401550000000001</v>
      </c>
      <c r="AD7087">
        <v>1.612276</v>
      </c>
      <c r="AE7087">
        <v>2.699554</v>
      </c>
      <c r="AF7087">
        <v>-0.28322697063982699</v>
      </c>
      <c r="AG7087">
        <v>1.612276</v>
      </c>
      <c r="AH7087">
        <v>2.01075288636775</v>
      </c>
      <c r="AI7087">
        <v>51.550806043091498</v>
      </c>
      <c r="AJ7087">
        <v>98.017717227088298</v>
      </c>
      <c r="AK7087">
        <v>2.5928321555993699</v>
      </c>
      <c r="AL7087">
        <v>77.266872608356294</v>
      </c>
      <c r="AM7087">
        <v>92.020196078335402</v>
      </c>
      <c r="AN7087">
        <v>0.999999981199584</v>
      </c>
    </row>
    <row r="7088" spans="1:40" x14ac:dyDescent="0.25">
      <c r="A7088" t="str">
        <f>"20190304155813172"</f>
        <v>20190304155813172</v>
      </c>
      <c r="B7088" t="str">
        <f>"1551686293161338"</f>
        <v>1551686293161338</v>
      </c>
      <c r="C7088" t="s">
        <v>40</v>
      </c>
      <c r="D7088">
        <v>3.881138</v>
      </c>
      <c r="E7088">
        <v>0.46861320000000001</v>
      </c>
      <c r="F7088" t="s">
        <v>46</v>
      </c>
      <c r="G7088">
        <v>0</v>
      </c>
      <c r="H7088">
        <v>0</v>
      </c>
      <c r="I7088">
        <v>0</v>
      </c>
      <c r="J7088">
        <v>-187.3262</v>
      </c>
      <c r="K7088">
        <v>1.109955</v>
      </c>
      <c r="L7088">
        <v>66.352109999999996</v>
      </c>
      <c r="M7088">
        <v>-2.314511E-2</v>
      </c>
      <c r="N7088">
        <v>-1.189423E-2</v>
      </c>
      <c r="O7088">
        <v>0.99966140000000003</v>
      </c>
      <c r="P7088">
        <v>-5.603313E-2</v>
      </c>
      <c r="Q7088">
        <v>0.20824300000000001</v>
      </c>
      <c r="R7088">
        <v>0.97647079999999997</v>
      </c>
      <c r="S7088">
        <v>-0.43620300000000001</v>
      </c>
      <c r="T7088">
        <v>1.616519</v>
      </c>
      <c r="U7088">
        <v>2.7016300000000002</v>
      </c>
      <c r="V7088">
        <v>-3.3521429999999998E-2</v>
      </c>
      <c r="W7088">
        <v>0.21983910000000001</v>
      </c>
      <c r="X7088">
        <v>0.97496000000000005</v>
      </c>
      <c r="Y7088">
        <v>-0.11375680000000001</v>
      </c>
      <c r="Z7088">
        <v>0.51938649999999997</v>
      </c>
      <c r="AA7088">
        <v>0.84693390000000002</v>
      </c>
      <c r="AB7088">
        <v>42</v>
      </c>
      <c r="AC7088">
        <v>-0.43620300000000001</v>
      </c>
      <c r="AD7088">
        <v>1.616519</v>
      </c>
      <c r="AE7088">
        <v>2.7016300000000002</v>
      </c>
      <c r="AF7088">
        <v>-0.27692564051434998</v>
      </c>
      <c r="AG7088">
        <v>1.616519</v>
      </c>
      <c r="AH7088">
        <v>2.0097491800929501</v>
      </c>
      <c r="AI7088">
        <v>51.451813621942897</v>
      </c>
      <c r="AJ7088">
        <v>97.845447710990001</v>
      </c>
      <c r="AK7088">
        <v>2.5940148909787601</v>
      </c>
      <c r="AL7088">
        <v>77.300416726552001</v>
      </c>
      <c r="AM7088">
        <v>91.969188657720807</v>
      </c>
      <c r="AN7088">
        <v>0.99999995887902604</v>
      </c>
    </row>
    <row r="7089" spans="1:40" x14ac:dyDescent="0.25">
      <c r="A7089" t="str">
        <f>"20190304155813193"</f>
        <v>20190304155813193</v>
      </c>
      <c r="B7089" t="str">
        <f>"1551686293181834"</f>
        <v>1551686293181834</v>
      </c>
      <c r="C7089" t="s">
        <v>40</v>
      </c>
      <c r="D7089">
        <v>3.8818480000000002</v>
      </c>
      <c r="E7089">
        <v>0.4689217</v>
      </c>
      <c r="F7089" t="s">
        <v>46</v>
      </c>
      <c r="G7089">
        <v>0</v>
      </c>
      <c r="H7089">
        <v>0</v>
      </c>
      <c r="I7089">
        <v>0</v>
      </c>
      <c r="J7089">
        <v>-187.33580000000001</v>
      </c>
      <c r="K7089">
        <v>1.1099159999999999</v>
      </c>
      <c r="L7089">
        <v>66.763669999999905</v>
      </c>
      <c r="M7089">
        <v>-2.318696E-2</v>
      </c>
      <c r="N7089">
        <v>-1.194718E-2</v>
      </c>
      <c r="O7089">
        <v>0.99965979999999999</v>
      </c>
      <c r="P7089">
        <v>-5.5726530000000003E-2</v>
      </c>
      <c r="Q7089">
        <v>0.2099211</v>
      </c>
      <c r="R7089">
        <v>0.97612889999999997</v>
      </c>
      <c r="S7089">
        <v>-0.43107600000000001</v>
      </c>
      <c r="T7089">
        <v>1.6198380000000001</v>
      </c>
      <c r="U7089">
        <v>2.7020870000000001</v>
      </c>
      <c r="V7089">
        <v>-3.3158979999999998E-2</v>
      </c>
      <c r="W7089">
        <v>0.22156819999999999</v>
      </c>
      <c r="X7089">
        <v>0.97458089999999997</v>
      </c>
      <c r="Y7089">
        <v>-0.1120403</v>
      </c>
      <c r="Z7089">
        <v>0.52024040000000005</v>
      </c>
      <c r="AA7089">
        <v>0.84663860000000002</v>
      </c>
      <c r="AB7089">
        <v>42</v>
      </c>
      <c r="AC7089">
        <v>-0.43107600000000001</v>
      </c>
      <c r="AD7089">
        <v>1.6198380000000001</v>
      </c>
      <c r="AE7089">
        <v>2.7020870000000001</v>
      </c>
      <c r="AF7089">
        <v>-0.27272515097654698</v>
      </c>
      <c r="AG7089">
        <v>1.6198380000000001</v>
      </c>
      <c r="AH7089">
        <v>2.0077388501731699</v>
      </c>
      <c r="AI7089">
        <v>51.359229294938203</v>
      </c>
      <c r="AJ7089">
        <v>97.7355387405199</v>
      </c>
      <c r="AK7089">
        <v>2.5940835462093101</v>
      </c>
      <c r="AL7089">
        <v>77.198841818462</v>
      </c>
      <c r="AM7089">
        <v>91.948670455015701</v>
      </c>
      <c r="AN7089">
        <v>0.99999995792534402</v>
      </c>
    </row>
    <row r="7090" spans="1:40" x14ac:dyDescent="0.25">
      <c r="A7090" t="str">
        <f>"20190304155813215"</f>
        <v>20190304155813215</v>
      </c>
      <c r="B7090" t="str">
        <f>"1551686293212087"</f>
        <v>1551686293212087</v>
      </c>
      <c r="C7090" t="s">
        <v>40</v>
      </c>
      <c r="D7090">
        <v>3.8300380000000001</v>
      </c>
      <c r="E7090">
        <v>0.46934039999999999</v>
      </c>
      <c r="F7090" t="s">
        <v>46</v>
      </c>
      <c r="G7090">
        <v>0</v>
      </c>
      <c r="H7090">
        <v>0</v>
      </c>
      <c r="I7090">
        <v>0</v>
      </c>
      <c r="J7090">
        <v>-187.34549999999999</v>
      </c>
      <c r="K7090">
        <v>1.1098859999999999</v>
      </c>
      <c r="L7090">
        <v>67.178380000000004</v>
      </c>
      <c r="M7090">
        <v>-2.3210399999999999E-2</v>
      </c>
      <c r="N7090">
        <v>-1.199476E-2</v>
      </c>
      <c r="O7090">
        <v>0.99965859999999995</v>
      </c>
      <c r="P7090">
        <v>-5.5536479999999999E-2</v>
      </c>
      <c r="Q7090">
        <v>0.20918139999999999</v>
      </c>
      <c r="R7090">
        <v>0.97629860000000002</v>
      </c>
      <c r="S7090">
        <v>-0.427124</v>
      </c>
      <c r="T7090">
        <v>1.634854</v>
      </c>
      <c r="U7090">
        <v>2.6973880000000001</v>
      </c>
      <c r="V7090">
        <v>-3.2922600000000003E-2</v>
      </c>
      <c r="W7090">
        <v>0.22087999999999999</v>
      </c>
      <c r="X7090">
        <v>0.97474519999999998</v>
      </c>
      <c r="Y7090">
        <v>-0.1106342</v>
      </c>
      <c r="Z7090">
        <v>0.52446040000000005</v>
      </c>
      <c r="AA7090">
        <v>0.84421639999999998</v>
      </c>
      <c r="AB7090">
        <v>42</v>
      </c>
      <c r="AC7090">
        <v>-0.427124</v>
      </c>
      <c r="AD7090">
        <v>1.634854</v>
      </c>
      <c r="AE7090">
        <v>2.6973880000000001</v>
      </c>
      <c r="AF7090">
        <v>-0.268263014159275</v>
      </c>
      <c r="AG7090">
        <v>1.634854</v>
      </c>
      <c r="AH7090">
        <v>1.9925362506209501</v>
      </c>
      <c r="AI7090">
        <v>50.883634628635299</v>
      </c>
      <c r="AJ7090">
        <v>97.667848711857005</v>
      </c>
      <c r="AK7090">
        <v>2.5913149858943099</v>
      </c>
      <c r="AL7090">
        <v>77.239275624144696</v>
      </c>
      <c r="AM7090">
        <v>91.934463714204199</v>
      </c>
      <c r="AN7090">
        <v>1.0000000384568899</v>
      </c>
    </row>
    <row r="7091" spans="1:40" x14ac:dyDescent="0.25">
      <c r="A7091" t="str">
        <f>"20190304155813238"</f>
        <v>20190304155813238</v>
      </c>
      <c r="B7091" t="str">
        <f>"1551686293231607"</f>
        <v>1551686293231607</v>
      </c>
      <c r="C7091" t="s">
        <v>40</v>
      </c>
      <c r="D7091">
        <v>3.7676479999999999</v>
      </c>
      <c r="E7091">
        <v>0.46937960000000001</v>
      </c>
      <c r="F7091" t="s">
        <v>46</v>
      </c>
      <c r="G7091">
        <v>0</v>
      </c>
      <c r="H7091">
        <v>0</v>
      </c>
      <c r="I7091">
        <v>0</v>
      </c>
      <c r="J7091">
        <v>-187.35550000000001</v>
      </c>
      <c r="K7091">
        <v>1.1098539999999999</v>
      </c>
      <c r="L7091">
        <v>67.609740000000002</v>
      </c>
      <c r="M7091">
        <v>-2.3222320000000001E-2</v>
      </c>
      <c r="N7091">
        <v>-1.2038449999999999E-2</v>
      </c>
      <c r="O7091">
        <v>0.99965789999999999</v>
      </c>
      <c r="P7091">
        <v>-5.5035750000000001E-2</v>
      </c>
      <c r="Q7091">
        <v>0.2079646</v>
      </c>
      <c r="R7091">
        <v>0.97658679999999998</v>
      </c>
      <c r="S7091">
        <v>-0.4236145</v>
      </c>
      <c r="T7091">
        <v>1.6451979999999999</v>
      </c>
      <c r="U7091">
        <v>2.696259</v>
      </c>
      <c r="V7091">
        <v>-3.2387079999999999E-2</v>
      </c>
      <c r="W7091">
        <v>0.21971160000000001</v>
      </c>
      <c r="X7091">
        <v>0.97502710000000004</v>
      </c>
      <c r="Y7091">
        <v>-0.1093524</v>
      </c>
      <c r="Z7091">
        <v>0.52709150000000005</v>
      </c>
      <c r="AA7091">
        <v>0.84274349999999998</v>
      </c>
      <c r="AB7091">
        <v>42</v>
      </c>
      <c r="AC7091">
        <v>-0.4236145</v>
      </c>
      <c r="AD7091">
        <v>1.6451979999999999</v>
      </c>
      <c r="AE7091">
        <v>2.696259</v>
      </c>
      <c r="AF7091">
        <v>-0.264702958262518</v>
      </c>
      <c r="AG7091">
        <v>1.6451979999999999</v>
      </c>
      <c r="AH7091">
        <v>1.98435707934506</v>
      </c>
      <c r="AI7091">
        <v>50.586490166842701</v>
      </c>
      <c r="AJ7091">
        <v>97.598104812150297</v>
      </c>
      <c r="AK7091">
        <v>2.5912192368967499</v>
      </c>
      <c r="AL7091">
        <v>77.307905269648799</v>
      </c>
      <c r="AM7091">
        <v>91.902471199494499</v>
      </c>
      <c r="AN7091">
        <v>0.99999997792994799</v>
      </c>
    </row>
    <row r="7092" spans="1:40" x14ac:dyDescent="0.25">
      <c r="A7092" t="str">
        <f>"20190304155813260"</f>
        <v>20190304155813260</v>
      </c>
      <c r="B7092" t="str">
        <f>"1551686293252103"</f>
        <v>1551686293252103</v>
      </c>
      <c r="C7092" t="s">
        <v>40</v>
      </c>
      <c r="D7092">
        <v>3.704758</v>
      </c>
      <c r="E7092">
        <v>0.46932629999999997</v>
      </c>
      <c r="F7092" t="s">
        <v>46</v>
      </c>
      <c r="G7092">
        <v>0</v>
      </c>
      <c r="H7092">
        <v>0</v>
      </c>
      <c r="I7092">
        <v>0</v>
      </c>
      <c r="J7092">
        <v>-187.36529999999999</v>
      </c>
      <c r="K7092">
        <v>1.109839</v>
      </c>
      <c r="L7092">
        <v>68.029659999999893</v>
      </c>
      <c r="M7092">
        <v>-2.3222759999999999E-2</v>
      </c>
      <c r="N7092">
        <v>-1.2075880000000001E-2</v>
      </c>
      <c r="O7092">
        <v>0.99965740000000003</v>
      </c>
      <c r="P7092">
        <v>-5.4513489999999998E-2</v>
      </c>
      <c r="Q7092">
        <v>0.2079357</v>
      </c>
      <c r="R7092">
        <v>0.9766222</v>
      </c>
      <c r="S7092">
        <v>-0.421402</v>
      </c>
      <c r="T7092">
        <v>1.6487609999999999</v>
      </c>
      <c r="U7092">
        <v>2.6970519999999998</v>
      </c>
      <c r="V7092">
        <v>-3.1850009999999998E-2</v>
      </c>
      <c r="W7092">
        <v>0.21972179999999999</v>
      </c>
      <c r="X7092">
        <v>0.97504250000000003</v>
      </c>
      <c r="Y7092">
        <v>-0.1085634</v>
      </c>
      <c r="Z7092">
        <v>0.52787209999999996</v>
      </c>
      <c r="AA7092">
        <v>0.84235689999999996</v>
      </c>
      <c r="AB7092">
        <v>42</v>
      </c>
      <c r="AC7092">
        <v>-0.421402</v>
      </c>
      <c r="AD7092">
        <v>1.6487609999999999</v>
      </c>
      <c r="AE7092">
        <v>2.6970519999999998</v>
      </c>
      <c r="AF7092">
        <v>-0.26278519278398499</v>
      </c>
      <c r="AG7092">
        <v>1.6487609999999999</v>
      </c>
      <c r="AH7092">
        <v>1.9827811262208801</v>
      </c>
      <c r="AI7092">
        <v>50.500171951888497</v>
      </c>
      <c r="AJ7092">
        <v>97.549619736561198</v>
      </c>
      <c r="AK7092">
        <v>2.5920821528580502</v>
      </c>
      <c r="AL7092">
        <v>77.307306300959596</v>
      </c>
      <c r="AM7092">
        <v>91.870915891787106</v>
      </c>
      <c r="AN7092">
        <v>0.999999984669244</v>
      </c>
    </row>
    <row r="7093" spans="1:40" x14ac:dyDescent="0.25">
      <c r="A7093" t="str">
        <f>"20190304155813282"</f>
        <v>20190304155813282</v>
      </c>
      <c r="B7093" t="str">
        <f>"1551686293271622"</f>
        <v>1551686293271622</v>
      </c>
      <c r="C7093" t="s">
        <v>40</v>
      </c>
      <c r="D7093">
        <v>3.5897019999999902</v>
      </c>
      <c r="E7093">
        <v>0.47872429999999999</v>
      </c>
      <c r="F7093" t="s">
        <v>46</v>
      </c>
      <c r="G7093">
        <v>0</v>
      </c>
      <c r="H7093">
        <v>0</v>
      </c>
      <c r="I7093">
        <v>0</v>
      </c>
      <c r="J7093">
        <v>-187.37459999999999</v>
      </c>
      <c r="K7093">
        <v>1.10982</v>
      </c>
      <c r="L7093">
        <v>68.430790000000002</v>
      </c>
      <c r="M7093">
        <v>-2.3211849999999999E-2</v>
      </c>
      <c r="N7093">
        <v>-1.21075E-2</v>
      </c>
      <c r="O7093">
        <v>0.99965729999999997</v>
      </c>
      <c r="P7093">
        <v>-5.3755190000000001E-2</v>
      </c>
      <c r="Q7093">
        <v>0.208204</v>
      </c>
      <c r="R7093">
        <v>0.97660709999999995</v>
      </c>
      <c r="S7093">
        <v>-0.4199524</v>
      </c>
      <c r="T7093">
        <v>1.6546860000000001</v>
      </c>
      <c r="U7093">
        <v>2.6960449999999998</v>
      </c>
      <c r="V7093">
        <v>-3.1090920000000001E-2</v>
      </c>
      <c r="W7093">
        <v>0.22002189999999999</v>
      </c>
      <c r="X7093">
        <v>0.97499939999999996</v>
      </c>
      <c r="Y7093">
        <v>-0.1080333</v>
      </c>
      <c r="Z7093">
        <v>0.52941470000000002</v>
      </c>
      <c r="AA7093">
        <v>0.84145639999999999</v>
      </c>
      <c r="AB7093">
        <v>42</v>
      </c>
      <c r="AC7093">
        <v>-0.4199524</v>
      </c>
      <c r="AD7093">
        <v>1.6546860000000001</v>
      </c>
      <c r="AE7093">
        <v>2.6960449999999998</v>
      </c>
      <c r="AF7093">
        <v>-0.26119659798689998</v>
      </c>
      <c r="AG7093">
        <v>1.6546860000000001</v>
      </c>
      <c r="AH7093">
        <v>1.9777340818092499</v>
      </c>
      <c r="AI7093">
        <v>50.325820274876897</v>
      </c>
      <c r="AJ7093">
        <v>97.523434227512794</v>
      </c>
      <c r="AK7093">
        <v>2.5918413376875198</v>
      </c>
      <c r="AL7093">
        <v>77.289681432768901</v>
      </c>
      <c r="AM7093">
        <v>91.826437087952598</v>
      </c>
      <c r="AN7093">
        <v>1.0000000558932001</v>
      </c>
    </row>
    <row r="7094" spans="1:40" x14ac:dyDescent="0.25">
      <c r="A7094" t="str">
        <f>"20190304155813306"</f>
        <v>20190304155813306</v>
      </c>
      <c r="B7094" t="str">
        <f>"1551686293301879"</f>
        <v>1551686293301879</v>
      </c>
      <c r="C7094" t="s">
        <v>40</v>
      </c>
      <c r="D7094">
        <v>3.5912489999999999</v>
      </c>
      <c r="E7094">
        <v>0.4790682</v>
      </c>
      <c r="F7094" t="s">
        <v>46</v>
      </c>
      <c r="G7094">
        <v>0</v>
      </c>
      <c r="H7094">
        <v>0</v>
      </c>
      <c r="I7094">
        <v>0</v>
      </c>
      <c r="J7094">
        <v>-187.3852</v>
      </c>
      <c r="K7094">
        <v>1.1098030000000001</v>
      </c>
      <c r="L7094">
        <v>68.885350000000003</v>
      </c>
      <c r="M7094">
        <v>-2.318808E-2</v>
      </c>
      <c r="N7094">
        <v>-1.213902E-2</v>
      </c>
      <c r="O7094">
        <v>0.99965740000000003</v>
      </c>
      <c r="P7094">
        <v>-5.3083770000000002E-2</v>
      </c>
      <c r="Q7094">
        <v>0.20863519999999999</v>
      </c>
      <c r="R7094">
        <v>0.97655179999999997</v>
      </c>
      <c r="S7094">
        <v>-0.35333249999999999</v>
      </c>
      <c r="T7094">
        <v>2.6550210000000001</v>
      </c>
      <c r="U7094">
        <v>2.486389</v>
      </c>
      <c r="V7094">
        <v>-3.0431650000000001E-2</v>
      </c>
      <c r="W7094">
        <v>0.22048509999999999</v>
      </c>
      <c r="X7094">
        <v>0.97491550000000005</v>
      </c>
      <c r="Y7094">
        <v>-7.2963990000000006E-2</v>
      </c>
      <c r="Z7094">
        <v>0.73536780000000002</v>
      </c>
      <c r="AA7094">
        <v>0.67372880000000002</v>
      </c>
      <c r="AB7094">
        <v>42</v>
      </c>
      <c r="AC7094">
        <v>-0.35333249999999999</v>
      </c>
      <c r="AD7094">
        <v>2.6550210000000001</v>
      </c>
      <c r="AE7094">
        <v>2.486389</v>
      </c>
      <c r="AF7094">
        <v>-0.13957707588742699</v>
      </c>
      <c r="AG7094">
        <v>2.6550210000000001</v>
      </c>
      <c r="AH7094">
        <v>1.1776670554495901</v>
      </c>
      <c r="AI7094">
        <v>24.068726305874002</v>
      </c>
      <c r="AJ7094">
        <v>96.759163705136402</v>
      </c>
      <c r="AK7094">
        <v>2.9078373345229598</v>
      </c>
      <c r="AL7094">
        <v>77.262473139392995</v>
      </c>
      <c r="AM7094">
        <v>91.787887404484593</v>
      </c>
      <c r="AN7094">
        <v>0.99999999839199105</v>
      </c>
    </row>
    <row r="7095" spans="1:40" x14ac:dyDescent="0.25">
      <c r="A7095" t="str">
        <f>"20190304155813331"</f>
        <v>20190304155813331</v>
      </c>
      <c r="B7095" t="str">
        <f>"1551686293321399"</f>
        <v>1551686293321399</v>
      </c>
      <c r="C7095" t="s">
        <v>40</v>
      </c>
      <c r="D7095">
        <v>3.5607199999999999</v>
      </c>
      <c r="E7095">
        <v>0.47932059999999999</v>
      </c>
      <c r="F7095" t="s">
        <v>46</v>
      </c>
      <c r="G7095">
        <v>0</v>
      </c>
      <c r="H7095">
        <v>0</v>
      </c>
      <c r="I7095">
        <v>0</v>
      </c>
      <c r="J7095">
        <v>-187.3955</v>
      </c>
      <c r="K7095">
        <v>1.1097859999999999</v>
      </c>
      <c r="L7095">
        <v>69.329709999999906</v>
      </c>
      <c r="M7095">
        <v>-2.3155950000000002E-2</v>
      </c>
      <c r="N7095">
        <v>-1.216563E-2</v>
      </c>
      <c r="O7095">
        <v>0.99965789999999999</v>
      </c>
      <c r="P7095">
        <v>-5.2908440000000001E-2</v>
      </c>
      <c r="Q7095">
        <v>0.20978649999999999</v>
      </c>
      <c r="R7095">
        <v>0.97631469999999998</v>
      </c>
      <c r="S7095">
        <v>-0.34634399999999999</v>
      </c>
      <c r="T7095">
        <v>2.671764</v>
      </c>
      <c r="U7095">
        <v>2.4823909999999998</v>
      </c>
      <c r="V7095">
        <v>-3.028252E-2</v>
      </c>
      <c r="W7095">
        <v>0.22166069999999999</v>
      </c>
      <c r="X7095">
        <v>0.97465349999999995</v>
      </c>
      <c r="Y7095">
        <v>-7.0857820000000002E-2</v>
      </c>
      <c r="Z7095">
        <v>0.73815659999999905</v>
      </c>
      <c r="AA7095">
        <v>0.67089790000000005</v>
      </c>
      <c r="AB7095">
        <v>42</v>
      </c>
      <c r="AC7095">
        <v>-0.34634399999999999</v>
      </c>
      <c r="AD7095">
        <v>2.671764</v>
      </c>
      <c r="AE7095">
        <v>2.4823909999999998</v>
      </c>
      <c r="AF7095">
        <v>-0.13517214374685199</v>
      </c>
      <c r="AG7095">
        <v>2.671764</v>
      </c>
      <c r="AH7095">
        <v>1.1654617869663999</v>
      </c>
      <c r="AI7095">
        <v>23.7081255632074</v>
      </c>
      <c r="AJ7095">
        <v>96.615698667445997</v>
      </c>
      <c r="AK7095">
        <v>2.91802939618846</v>
      </c>
      <c r="AL7095">
        <v>77.193406984109004</v>
      </c>
      <c r="AM7095">
        <v>91.7796094717024</v>
      </c>
      <c r="AN7095">
        <v>0.99999997100214399</v>
      </c>
    </row>
    <row r="7096" spans="1:40" x14ac:dyDescent="0.25">
      <c r="A7096" t="str">
        <f>"20190304155813349"</f>
        <v>20190304155813349</v>
      </c>
      <c r="B7096" t="str">
        <f>"1551686293341895"</f>
        <v>1551686293341895</v>
      </c>
      <c r="C7096" t="s">
        <v>40</v>
      </c>
      <c r="D7096">
        <v>3.5493709999999998</v>
      </c>
      <c r="E7096">
        <v>0.47947260000000003</v>
      </c>
      <c r="F7096" t="s">
        <v>46</v>
      </c>
      <c r="G7096">
        <v>0</v>
      </c>
      <c r="H7096">
        <v>0</v>
      </c>
      <c r="I7096">
        <v>0</v>
      </c>
      <c r="J7096">
        <v>-187.40389999999999</v>
      </c>
      <c r="K7096">
        <v>1.1097680000000001</v>
      </c>
      <c r="L7096">
        <v>69.694059999999993</v>
      </c>
      <c r="M7096">
        <v>-2.312239E-2</v>
      </c>
      <c r="N7096">
        <v>-1.218439E-2</v>
      </c>
      <c r="O7096">
        <v>0.99965839999999995</v>
      </c>
      <c r="P7096">
        <v>-5.2973890000000003E-2</v>
      </c>
      <c r="Q7096">
        <v>0.21018029999999999</v>
      </c>
      <c r="R7096">
        <v>0.97622640000000005</v>
      </c>
      <c r="S7096">
        <v>-0.34394839999999999</v>
      </c>
      <c r="T7096">
        <v>2.6855229999999999</v>
      </c>
      <c r="U7096">
        <v>2.4770810000000001</v>
      </c>
      <c r="V7096">
        <v>-3.0374870000000002E-2</v>
      </c>
      <c r="W7096">
        <v>0.22207270000000001</v>
      </c>
      <c r="X7096">
        <v>0.97455689999999995</v>
      </c>
      <c r="Y7096">
        <v>-7.0076589999999994E-2</v>
      </c>
      <c r="Z7096">
        <v>0.74064200000000002</v>
      </c>
      <c r="AA7096">
        <v>0.66823549999999998</v>
      </c>
      <c r="AB7096">
        <v>42</v>
      </c>
      <c r="AC7096">
        <v>-0.34394839999999999</v>
      </c>
      <c r="AD7096">
        <v>2.6855229999999999</v>
      </c>
      <c r="AE7096">
        <v>2.4770810000000001</v>
      </c>
      <c r="AF7096">
        <v>-0.133096549217979</v>
      </c>
      <c r="AG7096">
        <v>2.6855229999999999</v>
      </c>
      <c r="AH7096">
        <v>1.1538342050124</v>
      </c>
      <c r="AI7096">
        <v>23.388421071070098</v>
      </c>
      <c r="AJ7096">
        <v>96.580074308526903</v>
      </c>
      <c r="AK7096">
        <v>2.9259326457728498</v>
      </c>
      <c r="AL7096">
        <v>77.169198578649798</v>
      </c>
      <c r="AM7096">
        <v>91.785209909599004</v>
      </c>
      <c r="AN7096">
        <v>1.0000000340752</v>
      </c>
    </row>
    <row r="7097" spans="1:40" x14ac:dyDescent="0.25">
      <c r="A7097" t="str">
        <f>"20190304155813373"</f>
        <v>20190304155813373</v>
      </c>
      <c r="B7097" t="str">
        <f>"1551686293361414"</f>
        <v>1551686293361414</v>
      </c>
      <c r="C7097" t="s">
        <v>40</v>
      </c>
      <c r="D7097">
        <v>3.6079560000000002</v>
      </c>
      <c r="E7097">
        <v>0.4794967</v>
      </c>
      <c r="F7097" t="s">
        <v>46</v>
      </c>
      <c r="G7097">
        <v>0</v>
      </c>
      <c r="H7097">
        <v>0</v>
      </c>
      <c r="I7097">
        <v>0</v>
      </c>
      <c r="J7097">
        <v>-187.41390000000001</v>
      </c>
      <c r="K7097">
        <v>1.1097539999999999</v>
      </c>
      <c r="L7097">
        <v>70.126530000000002</v>
      </c>
      <c r="M7097">
        <v>-2.307439E-2</v>
      </c>
      <c r="N7097">
        <v>-1.220365E-2</v>
      </c>
      <c r="O7097">
        <v>0.99965919999999997</v>
      </c>
      <c r="P7097">
        <v>-5.157689E-2</v>
      </c>
      <c r="Q7097">
        <v>0.20899590000000001</v>
      </c>
      <c r="R7097">
        <v>0.97655550000000002</v>
      </c>
      <c r="S7097">
        <v>-0.34306340000000002</v>
      </c>
      <c r="T7097">
        <v>2.6899000000000002</v>
      </c>
      <c r="U7097">
        <v>2.475311</v>
      </c>
      <c r="V7097">
        <v>-2.900995E-2</v>
      </c>
      <c r="W7097">
        <v>0.22091160000000001</v>
      </c>
      <c r="X7097">
        <v>0.97486229999999996</v>
      </c>
      <c r="Y7097">
        <v>-6.9833320000000004E-2</v>
      </c>
      <c r="Z7097">
        <v>0.7414501</v>
      </c>
      <c r="AA7097">
        <v>0.66736430000000002</v>
      </c>
      <c r="AB7097">
        <v>42</v>
      </c>
      <c r="AC7097">
        <v>-0.34306340000000002</v>
      </c>
      <c r="AD7097">
        <v>2.6899000000000002</v>
      </c>
      <c r="AE7097">
        <v>2.475311</v>
      </c>
      <c r="AF7097">
        <v>-0.132421828266168</v>
      </c>
      <c r="AG7097">
        <v>2.6899000000000002</v>
      </c>
      <c r="AH7097">
        <v>1.1500595662034001</v>
      </c>
      <c r="AI7097">
        <v>23.2857007343767</v>
      </c>
      <c r="AJ7097">
        <v>96.568308173096796</v>
      </c>
      <c r="AK7097">
        <v>2.9284355134469502</v>
      </c>
      <c r="AL7097">
        <v>77.237418825458803</v>
      </c>
      <c r="AM7097">
        <v>91.7045046541662</v>
      </c>
      <c r="AN7097">
        <v>1.0000000080874201</v>
      </c>
    </row>
    <row r="7098" spans="1:40" x14ac:dyDescent="0.25">
      <c r="A7098" t="str">
        <f>"20190304155813394"</f>
        <v>20190304155813394</v>
      </c>
      <c r="B7098" t="str">
        <f>"1551686293391671"</f>
        <v>1551686293391671</v>
      </c>
      <c r="C7098" t="s">
        <v>40</v>
      </c>
      <c r="D7098">
        <v>3.5094430000000001</v>
      </c>
      <c r="E7098">
        <v>0.47949439999999999</v>
      </c>
      <c r="F7098" t="s">
        <v>46</v>
      </c>
      <c r="G7098">
        <v>0</v>
      </c>
      <c r="H7098">
        <v>0</v>
      </c>
      <c r="I7098">
        <v>0</v>
      </c>
      <c r="J7098">
        <v>-187.42310000000001</v>
      </c>
      <c r="K7098">
        <v>1.109747</v>
      </c>
      <c r="L7098">
        <v>70.52646</v>
      </c>
      <c r="M7098">
        <v>-2.301974E-2</v>
      </c>
      <c r="N7098">
        <v>-1.221905E-2</v>
      </c>
      <c r="O7098">
        <v>0.99966029999999995</v>
      </c>
      <c r="P7098">
        <v>-5.1074429999999997E-2</v>
      </c>
      <c r="Q7098">
        <v>0.20887410000000001</v>
      </c>
      <c r="R7098">
        <v>0.97660789999999997</v>
      </c>
      <c r="S7098">
        <v>-0.33543400000000001</v>
      </c>
      <c r="T7098">
        <v>2.6862740000000001</v>
      </c>
      <c r="U7098">
        <v>2.4794309999999999</v>
      </c>
      <c r="V7098">
        <v>-2.8553229999999999E-2</v>
      </c>
      <c r="W7098">
        <v>0.220806</v>
      </c>
      <c r="X7098">
        <v>0.97489970000000004</v>
      </c>
      <c r="Y7098">
        <v>-6.7831169999999996E-2</v>
      </c>
      <c r="Z7098">
        <v>0.74057779999999995</v>
      </c>
      <c r="AA7098">
        <v>0.66853830000000003</v>
      </c>
      <c r="AB7098">
        <v>42</v>
      </c>
      <c r="AC7098">
        <v>-0.33543400000000001</v>
      </c>
      <c r="AD7098">
        <v>2.6862740000000001</v>
      </c>
      <c r="AE7098">
        <v>2.4794309999999999</v>
      </c>
      <c r="AF7098">
        <v>-0.129262689095757</v>
      </c>
      <c r="AG7098">
        <v>2.6862740000000001</v>
      </c>
      <c r="AH7098">
        <v>1.15505431946063</v>
      </c>
      <c r="AI7098">
        <v>23.396589730621201</v>
      </c>
      <c r="AJ7098">
        <v>96.385429972008893</v>
      </c>
      <c r="AK7098">
        <v>2.9269313840220001</v>
      </c>
      <c r="AL7098">
        <v>77.243622359125993</v>
      </c>
      <c r="AM7098">
        <v>91.677620810700006</v>
      </c>
      <c r="AN7098">
        <v>1.00000000081976</v>
      </c>
    </row>
    <row r="7099" spans="1:40" x14ac:dyDescent="0.25">
      <c r="A7099" t="str">
        <f>"20190304155813417"</f>
        <v>20190304155813417</v>
      </c>
      <c r="B7099" t="str">
        <f>"1551686293411190"</f>
        <v>1551686293411190</v>
      </c>
      <c r="C7099" t="s">
        <v>40</v>
      </c>
      <c r="D7099">
        <v>3.6384379999999998</v>
      </c>
      <c r="E7099">
        <v>0.47337990000000002</v>
      </c>
      <c r="F7099" t="s">
        <v>46</v>
      </c>
      <c r="G7099">
        <v>0</v>
      </c>
      <c r="H7099">
        <v>0</v>
      </c>
      <c r="I7099">
        <v>0</v>
      </c>
      <c r="J7099">
        <v>-187.43299999999999</v>
      </c>
      <c r="K7099">
        <v>1.1097319999999999</v>
      </c>
      <c r="L7099">
        <v>70.95908</v>
      </c>
      <c r="M7099">
        <v>-2.2949210000000001E-2</v>
      </c>
      <c r="N7099">
        <v>-1.2233610000000001E-2</v>
      </c>
      <c r="O7099">
        <v>0.99966180000000004</v>
      </c>
      <c r="P7099">
        <v>-5.0853700000000002E-2</v>
      </c>
      <c r="Q7099">
        <v>0.20731069999999999</v>
      </c>
      <c r="R7099">
        <v>0.9769525</v>
      </c>
      <c r="S7099">
        <v>-0.33515929999999999</v>
      </c>
      <c r="T7099">
        <v>2.6807189999999999</v>
      </c>
      <c r="U7099">
        <v>2.480988</v>
      </c>
      <c r="V7099">
        <v>-2.8386249999999998E-2</v>
      </c>
      <c r="W7099">
        <v>0.21926219999999999</v>
      </c>
      <c r="X7099">
        <v>0.97525289999999998</v>
      </c>
      <c r="Y7099">
        <v>-6.7902770000000001E-2</v>
      </c>
      <c r="Z7099">
        <v>0.73968880000000004</v>
      </c>
      <c r="AA7099">
        <v>0.66951450000000001</v>
      </c>
      <c r="AB7099">
        <v>42</v>
      </c>
      <c r="AC7099">
        <v>-0.33515929999999999</v>
      </c>
      <c r="AD7099">
        <v>2.6807189999999999</v>
      </c>
      <c r="AE7099">
        <v>2.480988</v>
      </c>
      <c r="AF7099">
        <v>-0.12956976786824401</v>
      </c>
      <c r="AG7099">
        <v>2.6807189999999999</v>
      </c>
      <c r="AH7099">
        <v>1.1590730737632</v>
      </c>
      <c r="AI7099">
        <v>23.512274426076701</v>
      </c>
      <c r="AJ7099">
        <v>96.378464979837005</v>
      </c>
      <c r="AK7099">
        <v>2.9234385699086101</v>
      </c>
      <c r="AL7099">
        <v>77.334297265916803</v>
      </c>
      <c r="AM7099">
        <v>91.667211920460005</v>
      </c>
      <c r="AN7099">
        <v>0.99999995524815499</v>
      </c>
    </row>
    <row r="7100" spans="1:40" x14ac:dyDescent="0.25">
      <c r="A7100" t="str">
        <f>"20190304155813439"</f>
        <v>20190304155813439</v>
      </c>
      <c r="B7100" t="str">
        <f>"1551686293431687"</f>
        <v>1551686293431687</v>
      </c>
      <c r="C7100" t="s">
        <v>40</v>
      </c>
      <c r="D7100">
        <v>3.705203</v>
      </c>
      <c r="E7100">
        <v>0.47282380000000002</v>
      </c>
      <c r="F7100" t="s">
        <v>46</v>
      </c>
      <c r="G7100">
        <v>0</v>
      </c>
      <c r="H7100">
        <v>0</v>
      </c>
      <c r="I7100">
        <v>0</v>
      </c>
      <c r="J7100">
        <v>-187.44229999999999</v>
      </c>
      <c r="K7100">
        <v>1.1097109999999999</v>
      </c>
      <c r="L7100">
        <v>71.369140000000002</v>
      </c>
      <c r="M7100">
        <v>-2.2868619999999999E-2</v>
      </c>
      <c r="N7100">
        <v>-1.224575E-2</v>
      </c>
      <c r="O7100">
        <v>0.99966350000000004</v>
      </c>
      <c r="P7100">
        <v>-5.0302119999999999E-2</v>
      </c>
      <c r="Q7100">
        <v>0.20556540000000001</v>
      </c>
      <c r="R7100">
        <v>0.97734980000000005</v>
      </c>
      <c r="S7100">
        <v>-0.37986760000000003</v>
      </c>
      <c r="T7100">
        <v>2.1753330000000002</v>
      </c>
      <c r="U7100">
        <v>2.5893860000000002</v>
      </c>
      <c r="V7100">
        <v>-2.7896919999999999E-2</v>
      </c>
      <c r="W7100">
        <v>0.21753449999999999</v>
      </c>
      <c r="X7100">
        <v>0.97565389999999996</v>
      </c>
      <c r="Y7100">
        <v>-8.8281239999999997E-2</v>
      </c>
      <c r="Z7100">
        <v>0.64917569999999902</v>
      </c>
      <c r="AA7100">
        <v>0.75549809999999995</v>
      </c>
      <c r="AB7100">
        <v>42</v>
      </c>
      <c r="AC7100">
        <v>-0.37986760000000003</v>
      </c>
      <c r="AD7100">
        <v>2.1753330000000002</v>
      </c>
      <c r="AE7100">
        <v>2.5893860000000002</v>
      </c>
      <c r="AF7100">
        <v>-0.18957333678872099</v>
      </c>
      <c r="AG7100">
        <v>2.1753330000000002</v>
      </c>
      <c r="AH7100">
        <v>1.5361098010765599</v>
      </c>
      <c r="AI7100">
        <v>35.432094320376997</v>
      </c>
      <c r="AJ7100">
        <v>97.035374562336699</v>
      </c>
      <c r="AK7100">
        <v>2.6697649768984699</v>
      </c>
      <c r="AL7100">
        <v>77.435736723272498</v>
      </c>
      <c r="AM7100">
        <v>91.637814803264703</v>
      </c>
      <c r="AN7100">
        <v>1.00000001471047</v>
      </c>
    </row>
    <row r="7101" spans="1:40" x14ac:dyDescent="0.25">
      <c r="A7101" t="str">
        <f>"20190304155813461"</f>
        <v>20190304155813461</v>
      </c>
      <c r="B7101" t="str">
        <f>"1551686293451206"</f>
        <v>1551686293451206</v>
      </c>
      <c r="C7101" t="s">
        <v>40</v>
      </c>
      <c r="D7101">
        <v>3.7322839999999999</v>
      </c>
      <c r="E7101">
        <v>0.4825102</v>
      </c>
      <c r="F7101" t="s">
        <v>46</v>
      </c>
      <c r="G7101">
        <v>0</v>
      </c>
      <c r="H7101">
        <v>0</v>
      </c>
      <c r="I7101">
        <v>0</v>
      </c>
      <c r="J7101">
        <v>-187.45179999999999</v>
      </c>
      <c r="K7101">
        <v>1.109688</v>
      </c>
      <c r="L7101">
        <v>71.787869999999998</v>
      </c>
      <c r="M7101">
        <v>-2.2766359999999999E-2</v>
      </c>
      <c r="N7101">
        <v>-1.22565E-2</v>
      </c>
      <c r="O7101">
        <v>0.99966569999999999</v>
      </c>
      <c r="P7101">
        <v>-5.0535120000000003E-2</v>
      </c>
      <c r="Q7101">
        <v>0.20422180000000001</v>
      </c>
      <c r="R7101">
        <v>0.97761940000000003</v>
      </c>
      <c r="S7101">
        <v>-0.3829651</v>
      </c>
      <c r="T7101">
        <v>2.1719900000000001</v>
      </c>
      <c r="U7101">
        <v>2.5929869999999999</v>
      </c>
      <c r="V7101">
        <v>-2.8214360000000001E-2</v>
      </c>
      <c r="W7101">
        <v>0.21620639999999999</v>
      </c>
      <c r="X7101">
        <v>0.97593989999999997</v>
      </c>
      <c r="Y7101">
        <v>-8.9261149999999997E-2</v>
      </c>
      <c r="Z7101">
        <v>0.64803859999999902</v>
      </c>
      <c r="AA7101">
        <v>0.75635869999999905</v>
      </c>
      <c r="AB7101">
        <v>42</v>
      </c>
      <c r="AC7101">
        <v>-0.3829651</v>
      </c>
      <c r="AD7101">
        <v>2.1719900000000001</v>
      </c>
      <c r="AE7101">
        <v>2.5929869999999999</v>
      </c>
      <c r="AF7101">
        <v>-0.19199363709654599</v>
      </c>
      <c r="AG7101">
        <v>2.1719900000000001</v>
      </c>
      <c r="AH7101">
        <v>1.5421187197077499</v>
      </c>
      <c r="AI7101">
        <v>35.583118514020903</v>
      </c>
      <c r="AJ7101">
        <v>97.096802211789495</v>
      </c>
      <c r="AK7101">
        <v>2.6706801123419099</v>
      </c>
      <c r="AL7101">
        <v>77.513685896167303</v>
      </c>
      <c r="AM7101">
        <v>91.655956077951799</v>
      </c>
      <c r="AN7101">
        <v>0.99999997296158905</v>
      </c>
    </row>
    <row r="7102" spans="1:40" x14ac:dyDescent="0.25">
      <c r="A7102" t="str">
        <f>"20190304155813550"</f>
        <v>20190304155813550</v>
      </c>
      <c r="B7102" t="str">
        <f>"1551686293541975"</f>
        <v>1551686293541975</v>
      </c>
      <c r="C7102" t="s">
        <v>40</v>
      </c>
      <c r="D7102">
        <v>3.9413770000000001</v>
      </c>
      <c r="E7102">
        <v>0.47403390000000001</v>
      </c>
      <c r="F7102" t="s">
        <v>46</v>
      </c>
      <c r="G7102">
        <v>0</v>
      </c>
      <c r="H7102">
        <v>0</v>
      </c>
      <c r="I7102">
        <v>0</v>
      </c>
      <c r="J7102">
        <v>-187.4888</v>
      </c>
      <c r="K7102">
        <v>1.1095520000000001</v>
      </c>
      <c r="L7102">
        <v>73.457949999999997</v>
      </c>
      <c r="M7102">
        <v>-2.2014430000000001E-2</v>
      </c>
      <c r="N7102">
        <v>-1.228696E-2</v>
      </c>
      <c r="O7102">
        <v>0.99968210000000002</v>
      </c>
      <c r="P7102">
        <v>-4.9066749999999999E-2</v>
      </c>
      <c r="Q7102">
        <v>0.2034705</v>
      </c>
      <c r="R7102">
        <v>0.97785080000000002</v>
      </c>
      <c r="S7102">
        <v>-0.31256099999999998</v>
      </c>
      <c r="T7102">
        <v>2.747347</v>
      </c>
      <c r="U7102">
        <v>2.4786069999999998</v>
      </c>
      <c r="V7102">
        <v>-2.740623E-2</v>
      </c>
      <c r="W7102">
        <v>0.21549589999999999</v>
      </c>
      <c r="X7102">
        <v>0.97612010000000005</v>
      </c>
      <c r="Y7102">
        <v>-6.16477E-2</v>
      </c>
      <c r="Z7102">
        <v>0.74854399999999999</v>
      </c>
      <c r="AA7102">
        <v>0.66021319999999994</v>
      </c>
      <c r="AB7102">
        <v>42</v>
      </c>
      <c r="AC7102">
        <v>-0.31256099999999998</v>
      </c>
      <c r="AD7102">
        <v>2.747347</v>
      </c>
      <c r="AE7102">
        <v>2.4786069999999998</v>
      </c>
      <c r="AF7102">
        <v>-0.11673725508893</v>
      </c>
      <c r="AG7102">
        <v>2.747347</v>
      </c>
      <c r="AH7102">
        <v>1.12470323475653</v>
      </c>
      <c r="AI7102">
        <v>22.370947235738701</v>
      </c>
      <c r="AJ7102">
        <v>95.925729516107495</v>
      </c>
      <c r="AK7102">
        <v>2.9709426940630301</v>
      </c>
      <c r="AL7102">
        <v>77.555377929599302</v>
      </c>
      <c r="AM7102">
        <v>91.6082538342894</v>
      </c>
      <c r="AN7102">
        <v>1.00000001699181</v>
      </c>
    </row>
    <row r="7103" spans="1:40" x14ac:dyDescent="0.25">
      <c r="A7103" t="str">
        <f>"20190304155813573"</f>
        <v>20190304155813573</v>
      </c>
      <c r="B7103" t="str">
        <f>"1551686293561498"</f>
        <v>1551686293561498</v>
      </c>
      <c r="C7103" t="s">
        <v>40</v>
      </c>
      <c r="D7103">
        <v>3.8123689999999999</v>
      </c>
      <c r="E7103">
        <v>0.4773483</v>
      </c>
      <c r="F7103" t="s">
        <v>46</v>
      </c>
      <c r="G7103">
        <v>0</v>
      </c>
      <c r="H7103">
        <v>0</v>
      </c>
      <c r="I7103">
        <v>0</v>
      </c>
      <c r="J7103">
        <v>-187.49770000000001</v>
      </c>
      <c r="K7103">
        <v>1.1095200000000001</v>
      </c>
      <c r="L7103">
        <v>73.872129999999999</v>
      </c>
      <c r="M7103">
        <v>-2.1723369999999999E-2</v>
      </c>
      <c r="N7103">
        <v>-1.229237E-2</v>
      </c>
      <c r="O7103">
        <v>0.99968840000000003</v>
      </c>
      <c r="P7103">
        <v>-4.808188E-2</v>
      </c>
      <c r="Q7103">
        <v>0.20540269999999999</v>
      </c>
      <c r="R7103">
        <v>0.97749569999999997</v>
      </c>
      <c r="S7103">
        <v>-0.37217709999999998</v>
      </c>
      <c r="T7103">
        <v>2.2961819999999999</v>
      </c>
      <c r="U7103">
        <v>2.571472</v>
      </c>
      <c r="V7103">
        <v>-2.6691659999999999E-2</v>
      </c>
      <c r="W7103">
        <v>0.2174307</v>
      </c>
      <c r="X7103">
        <v>0.97571070000000004</v>
      </c>
      <c r="Y7103">
        <v>-8.5117330000000005E-2</v>
      </c>
      <c r="Z7103">
        <v>0.67193919999999996</v>
      </c>
      <c r="AA7103">
        <v>0.73569879999999999</v>
      </c>
      <c r="AB7103">
        <v>42</v>
      </c>
      <c r="AC7103">
        <v>-0.37217709999999998</v>
      </c>
      <c r="AD7103">
        <v>2.2961819999999999</v>
      </c>
      <c r="AE7103">
        <v>2.571472</v>
      </c>
      <c r="AF7103">
        <v>-0.17755516835763599</v>
      </c>
      <c r="AG7103">
        <v>2.2961819999999999</v>
      </c>
      <c r="AH7103">
        <v>1.4480432133902399</v>
      </c>
      <c r="AI7103">
        <v>32.429996734325101</v>
      </c>
      <c r="AJ7103">
        <v>96.990559548724804</v>
      </c>
      <c r="AK7103">
        <v>2.7204423836538099</v>
      </c>
      <c r="AL7103">
        <v>77.441829197387705</v>
      </c>
      <c r="AM7103">
        <v>91.566999465016195</v>
      </c>
      <c r="AN7103">
        <v>0.99999996205526698</v>
      </c>
    </row>
    <row r="7104" spans="1:40" x14ac:dyDescent="0.25">
      <c r="A7104" t="str">
        <f>"20190304155813595"</f>
        <v>20190304155813595</v>
      </c>
      <c r="B7104" t="str">
        <f>"1551686293591751"</f>
        <v>1551686293591751</v>
      </c>
      <c r="C7104" t="s">
        <v>40</v>
      </c>
      <c r="D7104">
        <v>3.8265370000000001</v>
      </c>
      <c r="E7104">
        <v>0.47760170000000002</v>
      </c>
      <c r="F7104" t="s">
        <v>46</v>
      </c>
      <c r="G7104">
        <v>0</v>
      </c>
      <c r="H7104">
        <v>0</v>
      </c>
      <c r="I7104">
        <v>0</v>
      </c>
      <c r="J7104">
        <v>-187.50649999999999</v>
      </c>
      <c r="K7104">
        <v>1.109491</v>
      </c>
      <c r="L7104">
        <v>74.294650000000004</v>
      </c>
      <c r="M7104">
        <v>-2.138841E-2</v>
      </c>
      <c r="N7104">
        <v>-1.2297209999999999E-2</v>
      </c>
      <c r="O7104">
        <v>0.99969560000000002</v>
      </c>
      <c r="P7104">
        <v>-4.7501660000000001E-2</v>
      </c>
      <c r="Q7104">
        <v>0.20632610000000001</v>
      </c>
      <c r="R7104">
        <v>0.97732960000000002</v>
      </c>
      <c r="S7104">
        <v>-0.34442139999999999</v>
      </c>
      <c r="T7104">
        <v>2.4159820000000001</v>
      </c>
      <c r="U7104">
        <v>2.5444339999999999</v>
      </c>
      <c r="V7104">
        <v>-2.6421320000000002E-2</v>
      </c>
      <c r="W7104">
        <v>0.21835860000000001</v>
      </c>
      <c r="X7104">
        <v>0.97551080000000001</v>
      </c>
      <c r="Y7104">
        <v>-7.5810050000000004E-2</v>
      </c>
      <c r="Z7104">
        <v>0.69469829999999999</v>
      </c>
      <c r="AA7104">
        <v>0.71529509999999996</v>
      </c>
      <c r="AB7104">
        <v>42</v>
      </c>
      <c r="AC7104">
        <v>-0.34442139999999999</v>
      </c>
      <c r="AD7104">
        <v>2.4159820000000001</v>
      </c>
      <c r="AE7104">
        <v>2.5444339999999999</v>
      </c>
      <c r="AF7104">
        <v>-0.153772876850267</v>
      </c>
      <c r="AG7104">
        <v>2.4159820000000001</v>
      </c>
      <c r="AH7104">
        <v>1.3531740981170699</v>
      </c>
      <c r="AI7104">
        <v>29.4098532445514</v>
      </c>
      <c r="AJ7104">
        <v>96.483202985232296</v>
      </c>
      <c r="AK7104">
        <v>2.7733905714474698</v>
      </c>
      <c r="AL7104">
        <v>77.387355313727298</v>
      </c>
      <c r="AM7104">
        <v>91.551453985347905</v>
      </c>
      <c r="AN7104">
        <v>0.99999994263056902</v>
      </c>
    </row>
    <row r="7105" spans="1:40" x14ac:dyDescent="0.25">
      <c r="A7105" t="str">
        <f>"20190304155813618"</f>
        <v>20190304155813618</v>
      </c>
      <c r="B7105" t="str">
        <f>"1551686293611271"</f>
        <v>1551686293611271</v>
      </c>
      <c r="C7105" t="s">
        <v>40</v>
      </c>
      <c r="D7105">
        <v>3.438469</v>
      </c>
      <c r="E7105">
        <v>0.4779621</v>
      </c>
      <c r="F7105" t="s">
        <v>46</v>
      </c>
      <c r="G7105">
        <v>0</v>
      </c>
      <c r="H7105">
        <v>0</v>
      </c>
      <c r="I7105">
        <v>0</v>
      </c>
      <c r="J7105">
        <v>-187.51519999999999</v>
      </c>
      <c r="K7105">
        <v>1.109461</v>
      </c>
      <c r="L7105">
        <v>74.716399999999993</v>
      </c>
      <c r="M7105">
        <v>-2.1016549999999998E-2</v>
      </c>
      <c r="N7105">
        <v>-1.230144E-2</v>
      </c>
      <c r="O7105">
        <v>0.99970349999999997</v>
      </c>
      <c r="P7105">
        <v>-4.6253900000000001E-2</v>
      </c>
      <c r="Q7105">
        <v>0.20658650000000001</v>
      </c>
      <c r="R7105">
        <v>0.97733440000000005</v>
      </c>
      <c r="S7105">
        <v>-0.3405609</v>
      </c>
      <c r="T7105">
        <v>2.3611089999999999</v>
      </c>
      <c r="U7105">
        <v>2.5545960000000001</v>
      </c>
      <c r="V7105">
        <v>-2.5517809999999998E-2</v>
      </c>
      <c r="W7105">
        <v>0.21862429999999999</v>
      </c>
      <c r="X7105">
        <v>0.97547539999999999</v>
      </c>
      <c r="Y7105">
        <v>-7.5936329999999996E-2</v>
      </c>
      <c r="Z7105">
        <v>0.68504229999999999</v>
      </c>
      <c r="AA7105">
        <v>0.72453489999999998</v>
      </c>
      <c r="AB7105">
        <v>42</v>
      </c>
      <c r="AC7105">
        <v>-0.3405609</v>
      </c>
      <c r="AD7105">
        <v>2.3611089999999999</v>
      </c>
      <c r="AE7105">
        <v>2.5545960000000001</v>
      </c>
      <c r="AF7105">
        <v>-0.15592174466376199</v>
      </c>
      <c r="AG7105">
        <v>2.3611089999999999</v>
      </c>
      <c r="AH7105">
        <v>1.39245175097007</v>
      </c>
      <c r="AI7105">
        <v>30.686190416397899</v>
      </c>
      <c r="AJ7105">
        <v>96.389160305684896</v>
      </c>
      <c r="AK7105">
        <v>2.7455544392926501</v>
      </c>
      <c r="AL7105">
        <v>77.371755631608096</v>
      </c>
      <c r="AM7105">
        <v>91.498479049195197</v>
      </c>
      <c r="AN7105">
        <v>0.99999999959142305</v>
      </c>
    </row>
    <row r="7106" spans="1:40" x14ac:dyDescent="0.25">
      <c r="A7106" t="str">
        <f>"20190304155813639"</f>
        <v>20190304155813639</v>
      </c>
      <c r="B7106" t="str">
        <f>"1551686293631767"</f>
        <v>1551686293631767</v>
      </c>
      <c r="C7106" t="s">
        <v>40</v>
      </c>
      <c r="D7106">
        <v>3.7284079999999999</v>
      </c>
      <c r="E7106">
        <v>0.4794929</v>
      </c>
      <c r="F7106" t="s">
        <v>46</v>
      </c>
      <c r="G7106">
        <v>0</v>
      </c>
      <c r="H7106">
        <v>0</v>
      </c>
      <c r="I7106">
        <v>0</v>
      </c>
      <c r="J7106">
        <v>-187.52340000000001</v>
      </c>
      <c r="K7106">
        <v>1.1094299999999999</v>
      </c>
      <c r="L7106">
        <v>75.122190000000003</v>
      </c>
      <c r="M7106">
        <v>-2.0628500000000001E-2</v>
      </c>
      <c r="N7106">
        <v>-1.230505E-2</v>
      </c>
      <c r="O7106">
        <v>0.99971149999999998</v>
      </c>
      <c r="P7106">
        <v>-4.5396699999999998E-2</v>
      </c>
      <c r="Q7106">
        <v>0.206425</v>
      </c>
      <c r="R7106">
        <v>0.97740879999999997</v>
      </c>
      <c r="S7106">
        <v>-0.33334350000000001</v>
      </c>
      <c r="T7106">
        <v>2.334403</v>
      </c>
      <c r="U7106">
        <v>2.5603639999999999</v>
      </c>
      <c r="V7106">
        <v>-2.5021459999999999E-2</v>
      </c>
      <c r="W7106">
        <v>0.21846889999999999</v>
      </c>
      <c r="X7106">
        <v>0.97552309999999998</v>
      </c>
      <c r="Y7106">
        <v>-7.4664999999999995E-2</v>
      </c>
      <c r="Z7106">
        <v>0.68020709999999995</v>
      </c>
      <c r="AA7106">
        <v>0.7292073</v>
      </c>
      <c r="AB7106">
        <v>42</v>
      </c>
      <c r="AC7106">
        <v>-0.33334350000000001</v>
      </c>
      <c r="AD7106">
        <v>2.334403</v>
      </c>
      <c r="AE7106">
        <v>2.5603639999999999</v>
      </c>
      <c r="AF7106">
        <v>-0.154312795439742</v>
      </c>
      <c r="AG7106">
        <v>2.334403</v>
      </c>
      <c r="AH7106">
        <v>1.41226985962447</v>
      </c>
      <c r="AI7106">
        <v>31.323936870401699</v>
      </c>
      <c r="AJ7106">
        <v>96.235731515160296</v>
      </c>
      <c r="AK7106">
        <v>2.73271951755923</v>
      </c>
      <c r="AL7106">
        <v>77.380880303721995</v>
      </c>
      <c r="AM7106">
        <v>91.469273041886396</v>
      </c>
      <c r="AN7106">
        <v>1.0000000261806701</v>
      </c>
    </row>
    <row r="7107" spans="1:40" x14ac:dyDescent="0.25">
      <c r="A7107" t="str">
        <f>"20190304155813662"</f>
        <v>20190304155813662</v>
      </c>
      <c r="B7107" t="str">
        <f>"1551686293651287"</f>
        <v>1551686293651287</v>
      </c>
      <c r="C7107" t="s">
        <v>40</v>
      </c>
      <c r="D7107">
        <v>3.78329</v>
      </c>
      <c r="E7107">
        <v>0.48075780000000001</v>
      </c>
      <c r="F7107" t="s">
        <v>46</v>
      </c>
      <c r="G7107">
        <v>0</v>
      </c>
      <c r="H7107">
        <v>0</v>
      </c>
      <c r="I7107">
        <v>0</v>
      </c>
      <c r="J7107">
        <v>-187.53190000000001</v>
      </c>
      <c r="K7107">
        <v>1.1093930000000001</v>
      </c>
      <c r="L7107">
        <v>75.550510000000003</v>
      </c>
      <c r="M7107">
        <v>-2.0193280000000001E-2</v>
      </c>
      <c r="N7107">
        <v>-1.2308319999999999E-2</v>
      </c>
      <c r="O7107">
        <v>0.99972030000000001</v>
      </c>
      <c r="P7107">
        <v>-4.4197309999999997E-2</v>
      </c>
      <c r="Q7107">
        <v>0.2054482</v>
      </c>
      <c r="R7107">
        <v>0.97766949999999997</v>
      </c>
      <c r="S7107">
        <v>-0.31958009999999998</v>
      </c>
      <c r="T7107">
        <v>2.3503120000000002</v>
      </c>
      <c r="U7107">
        <v>2.5581049999999999</v>
      </c>
      <c r="V7107">
        <v>-2.4226749999999998E-2</v>
      </c>
      <c r="W7107">
        <v>0.21749859999999999</v>
      </c>
      <c r="X7107">
        <v>0.97575990000000001</v>
      </c>
      <c r="Y7107">
        <v>-7.0951349999999996E-2</v>
      </c>
      <c r="Z7107">
        <v>0.68321339999999997</v>
      </c>
      <c r="AA7107">
        <v>0.72676359999999995</v>
      </c>
      <c r="AB7107">
        <v>42</v>
      </c>
      <c r="AC7107">
        <v>-0.31958009999999998</v>
      </c>
      <c r="AD7107">
        <v>2.3503120000000002</v>
      </c>
      <c r="AE7107">
        <v>2.5581049999999999</v>
      </c>
      <c r="AF7107">
        <v>-0.14627524627717101</v>
      </c>
      <c r="AG7107">
        <v>2.3503120000000002</v>
      </c>
      <c r="AH7107">
        <v>1.40021987830294</v>
      </c>
      <c r="AI7107">
        <v>30.9216561779789</v>
      </c>
      <c r="AJ7107">
        <v>95.963823969014001</v>
      </c>
      <c r="AK7107">
        <v>2.7397041177127401</v>
      </c>
      <c r="AL7107">
        <v>77.437843649001493</v>
      </c>
      <c r="AM7107">
        <v>91.422281647379293</v>
      </c>
      <c r="AN7107">
        <v>0.99999997943276597</v>
      </c>
    </row>
    <row r="7108" spans="1:40" x14ac:dyDescent="0.25">
      <c r="A7108" t="str">
        <f>"20190304155813685"</f>
        <v>20190304155813685</v>
      </c>
      <c r="B7108" t="str">
        <f>"1551686293681543"</f>
        <v>1551686293681543</v>
      </c>
      <c r="C7108" t="s">
        <v>40</v>
      </c>
      <c r="D7108">
        <v>3.9483990000000002</v>
      </c>
      <c r="E7108">
        <v>0.48103809999999902</v>
      </c>
      <c r="F7108" t="s">
        <v>46</v>
      </c>
      <c r="G7108">
        <v>0</v>
      </c>
      <c r="H7108">
        <v>0</v>
      </c>
      <c r="I7108">
        <v>0</v>
      </c>
      <c r="J7108">
        <v>-187.53980000000001</v>
      </c>
      <c r="K7108">
        <v>1.1093580000000001</v>
      </c>
      <c r="L7108">
        <v>75.962710000000001</v>
      </c>
      <c r="M7108">
        <v>-1.9756159999999998E-2</v>
      </c>
      <c r="N7108">
        <v>-1.231108E-2</v>
      </c>
      <c r="O7108">
        <v>0.99972899999999998</v>
      </c>
      <c r="P7108">
        <v>-4.2720620000000001E-2</v>
      </c>
      <c r="Q7108">
        <v>0.2041085</v>
      </c>
      <c r="R7108">
        <v>0.97801570000000004</v>
      </c>
      <c r="S7108">
        <v>-0.30896000000000001</v>
      </c>
      <c r="T7108">
        <v>2.3891119999999999</v>
      </c>
      <c r="U7108">
        <v>2.552521</v>
      </c>
      <c r="V7108">
        <v>-2.315849E-2</v>
      </c>
      <c r="W7108">
        <v>0.21616640000000001</v>
      </c>
      <c r="X7108">
        <v>0.9760818</v>
      </c>
      <c r="Y7108">
        <v>-6.7812579999999997E-2</v>
      </c>
      <c r="Z7108">
        <v>0.69008890000000001</v>
      </c>
      <c r="AA7108">
        <v>0.72054059999999998</v>
      </c>
      <c r="AB7108">
        <v>42</v>
      </c>
      <c r="AC7108">
        <v>-0.30896000000000001</v>
      </c>
      <c r="AD7108">
        <v>2.3891119999999999</v>
      </c>
      <c r="AE7108">
        <v>2.552521</v>
      </c>
      <c r="AF7108">
        <v>-0.138706822505897</v>
      </c>
      <c r="AG7108">
        <v>2.3891119999999999</v>
      </c>
      <c r="AH7108">
        <v>1.37281937445122</v>
      </c>
      <c r="AI7108">
        <v>30.008173302078301</v>
      </c>
      <c r="AJ7108">
        <v>95.769467051786407</v>
      </c>
      <c r="AK7108">
        <v>2.7589361656302098</v>
      </c>
      <c r="AL7108">
        <v>77.516032999327095</v>
      </c>
      <c r="AM7108">
        <v>91.359143100205301</v>
      </c>
      <c r="AN7108">
        <v>0.99999995421963905</v>
      </c>
    </row>
    <row r="7109" spans="1:40" x14ac:dyDescent="0.25">
      <c r="A7109" t="str">
        <f>"20190304155813776"</f>
        <v>20190304155813776</v>
      </c>
      <c r="B7109" t="str">
        <f>"1551686293771336"</f>
        <v>1551686293771336</v>
      </c>
      <c r="C7109" t="s">
        <v>40</v>
      </c>
      <c r="D7109">
        <v>5.210331</v>
      </c>
      <c r="E7109">
        <v>0.48131889999999999</v>
      </c>
      <c r="F7109" t="s">
        <v>46</v>
      </c>
      <c r="G7109">
        <v>0</v>
      </c>
      <c r="H7109">
        <v>0</v>
      </c>
      <c r="I7109">
        <v>0</v>
      </c>
      <c r="J7109">
        <v>-187.57050000000001</v>
      </c>
      <c r="K7109">
        <v>1.1092580000000001</v>
      </c>
      <c r="L7109">
        <v>77.660709999999995</v>
      </c>
      <c r="M7109">
        <v>-1.7863420000000001E-2</v>
      </c>
      <c r="N7109">
        <v>-1.231939E-2</v>
      </c>
      <c r="O7109">
        <v>0.9997646</v>
      </c>
      <c r="P7109">
        <v>-3.6513879999999999E-2</v>
      </c>
      <c r="Q7109">
        <v>0.1971445</v>
      </c>
      <c r="R7109">
        <v>0.97969419999999996</v>
      </c>
      <c r="S7109">
        <v>-0.30575560000000002</v>
      </c>
      <c r="T7109">
        <v>2.4324150000000002</v>
      </c>
      <c r="U7109">
        <v>2.5464479999999998</v>
      </c>
      <c r="V7109">
        <v>-1.8747929999999999E-2</v>
      </c>
      <c r="W7109">
        <v>0.20922830000000001</v>
      </c>
      <c r="X7109">
        <v>0.97768710000000003</v>
      </c>
      <c r="Y7109">
        <v>-6.8177269999999998E-2</v>
      </c>
      <c r="Z7109">
        <v>0.69742850000000001</v>
      </c>
      <c r="AA7109">
        <v>0.71340409999999999</v>
      </c>
      <c r="AB7109">
        <v>42</v>
      </c>
      <c r="AC7109">
        <v>-0.30575560000000002</v>
      </c>
      <c r="AD7109">
        <v>2.4324150000000002</v>
      </c>
      <c r="AE7109">
        <v>2.5464479999999998</v>
      </c>
      <c r="AF7109">
        <v>-0.13699315492908301</v>
      </c>
      <c r="AG7109">
        <v>2.4324150000000002</v>
      </c>
      <c r="AH7109">
        <v>1.34326787592762</v>
      </c>
      <c r="AI7109">
        <v>29.0346883432859</v>
      </c>
      <c r="AJ7109">
        <v>95.823176108813399</v>
      </c>
      <c r="AK7109">
        <v>2.7820457298940102</v>
      </c>
      <c r="AL7109">
        <v>77.922867698798001</v>
      </c>
      <c r="AM7109">
        <v>91.098557637003495</v>
      </c>
      <c r="AN7109">
        <v>1.00000001595329</v>
      </c>
    </row>
    <row r="7110" spans="1:40" x14ac:dyDescent="0.25">
      <c r="A7110" t="str">
        <f>"20190304155813798"</f>
        <v>20190304155813798</v>
      </c>
      <c r="B7110" t="str">
        <f>"1551686293791832"</f>
        <v>1551686293791832</v>
      </c>
      <c r="C7110" t="s">
        <v>40</v>
      </c>
      <c r="D7110">
        <v>4.2476900000000004</v>
      </c>
      <c r="E7110">
        <v>0.54590649999999996</v>
      </c>
      <c r="F7110" t="s">
        <v>46</v>
      </c>
      <c r="G7110">
        <v>0</v>
      </c>
      <c r="H7110">
        <v>0</v>
      </c>
      <c r="I7110">
        <v>0</v>
      </c>
      <c r="J7110">
        <v>-187.57769999999999</v>
      </c>
      <c r="K7110">
        <v>1.109235</v>
      </c>
      <c r="L7110">
        <v>78.089419999999905</v>
      </c>
      <c r="M7110">
        <v>-1.737708E-2</v>
      </c>
      <c r="N7110">
        <v>-1.2320970000000001E-2</v>
      </c>
      <c r="O7110">
        <v>0.99977309999999997</v>
      </c>
      <c r="P7110">
        <v>-3.5077810000000001E-2</v>
      </c>
      <c r="Q7110">
        <v>0.19561190000000001</v>
      </c>
      <c r="R7110">
        <v>0.98005379999999997</v>
      </c>
      <c r="S7110">
        <v>-0.2951355</v>
      </c>
      <c r="T7110">
        <v>2.4412069999999999</v>
      </c>
      <c r="U7110">
        <v>2.5599370000000001</v>
      </c>
      <c r="V7110">
        <v>-1.7779489999999998E-2</v>
      </c>
      <c r="W7110">
        <v>0.207701</v>
      </c>
      <c r="X7110">
        <v>0.97803079999999998</v>
      </c>
      <c r="Y7110">
        <v>-6.5322119999999997E-2</v>
      </c>
      <c r="Z7110">
        <v>0.69699979999999995</v>
      </c>
      <c r="AA7110">
        <v>0.7140898</v>
      </c>
      <c r="AB7110">
        <v>42</v>
      </c>
      <c r="AC7110">
        <v>-0.2951355</v>
      </c>
      <c r="AD7110">
        <v>2.4412069999999999</v>
      </c>
      <c r="AE7110">
        <v>2.5599370000000001</v>
      </c>
      <c r="AF7110">
        <v>-0.132072899845981</v>
      </c>
      <c r="AG7110">
        <v>2.4412069999999999</v>
      </c>
      <c r="AH7110">
        <v>1.3516366814175</v>
      </c>
      <c r="AI7110">
        <v>29.087734883066801</v>
      </c>
      <c r="AJ7110">
        <v>95.580843745044206</v>
      </c>
      <c r="AK7110">
        <v>2.7935383631294601</v>
      </c>
      <c r="AL7110">
        <v>78.012341474640905</v>
      </c>
      <c r="AM7110">
        <v>91.041457534147298</v>
      </c>
      <c r="AN7110">
        <v>1.0000000307071399</v>
      </c>
    </row>
    <row r="7111" spans="1:40" x14ac:dyDescent="0.25">
      <c r="A7111" t="str">
        <f>"20190304155813821"</f>
        <v>20190304155813821</v>
      </c>
      <c r="B7111" t="str">
        <f>"1551686293811351"</f>
        <v>1551686293811351</v>
      </c>
      <c r="C7111" t="s">
        <v>40</v>
      </c>
      <c r="D7111">
        <v>4.2197809999999896</v>
      </c>
      <c r="E7111">
        <v>0.53634209999999904</v>
      </c>
      <c r="F7111" t="s">
        <v>49</v>
      </c>
      <c r="G7111">
        <v>-166.6986</v>
      </c>
      <c r="H7111">
        <v>48.48301</v>
      </c>
      <c r="I7111">
        <v>314.49709999999999</v>
      </c>
      <c r="J7111">
        <v>-187.5848</v>
      </c>
      <c r="K7111">
        <v>1.1092329999999999</v>
      </c>
      <c r="L7111">
        <v>78.522919999999999</v>
      </c>
      <c r="M7111">
        <v>-1.6884840000000002E-2</v>
      </c>
      <c r="N7111">
        <v>-1.232253E-2</v>
      </c>
      <c r="O7111">
        <v>0.99978149999999999</v>
      </c>
      <c r="P7111">
        <v>-3.4050209999999997E-2</v>
      </c>
      <c r="Q7111">
        <v>0.19638340000000001</v>
      </c>
      <c r="R7111">
        <v>0.97993580000000002</v>
      </c>
      <c r="S7111">
        <v>0.26074219999999998</v>
      </c>
      <c r="T7111">
        <v>0.59161209999999997</v>
      </c>
      <c r="U7111">
        <v>2.9523009999999998</v>
      </c>
      <c r="V7111">
        <v>-1.7231420000000001E-2</v>
      </c>
      <c r="W7111">
        <v>0.2084714</v>
      </c>
      <c r="X7111">
        <v>0.97787670000000004</v>
      </c>
      <c r="Y7111">
        <v>0.1029851</v>
      </c>
      <c r="Z7111">
        <v>0.20762910000000001</v>
      </c>
      <c r="AA7111">
        <v>0.97277139999999995</v>
      </c>
      <c r="AB7111">
        <v>42</v>
      </c>
      <c r="AC7111">
        <v>20.886199999999999</v>
      </c>
      <c r="AD7111">
        <v>47.373776999999997</v>
      </c>
      <c r="AE7111">
        <v>235.97417999999999</v>
      </c>
      <c r="AF7111">
        <v>23.911668713852901</v>
      </c>
      <c r="AG7111">
        <v>47.373776999999997</v>
      </c>
      <c r="AH7111">
        <v>226.52882257259</v>
      </c>
      <c r="AI7111">
        <v>78.251460903046095</v>
      </c>
      <c r="AJ7111">
        <v>83.9743517005044</v>
      </c>
      <c r="AK7111">
        <v>232.661449544291</v>
      </c>
      <c r="AL7111">
        <v>77.967213120690303</v>
      </c>
      <c r="AM7111">
        <v>91.009519372818502</v>
      </c>
      <c r="AN7111">
        <v>1.0000000434280301</v>
      </c>
    </row>
    <row r="7112" spans="1:40" x14ac:dyDescent="0.25">
      <c r="A7112" t="str">
        <f>"20190304155813840"</f>
        <v>20190304155813840</v>
      </c>
      <c r="B7112" t="str">
        <f>"1551686293831850"</f>
        <v>1551686293831850</v>
      </c>
      <c r="C7112" t="s">
        <v>40</v>
      </c>
      <c r="D7112">
        <v>4.289415</v>
      </c>
      <c r="E7112">
        <v>0.53372759999999997</v>
      </c>
      <c r="F7112" t="s">
        <v>43</v>
      </c>
      <c r="G7112">
        <v>-167.91050000000001</v>
      </c>
      <c r="H7112">
        <v>0.98904230000000004</v>
      </c>
      <c r="I7112">
        <v>381.38529999999997</v>
      </c>
      <c r="J7112">
        <v>-187.5907</v>
      </c>
      <c r="K7112">
        <v>1.109226</v>
      </c>
      <c r="L7112">
        <v>78.892939999999996</v>
      </c>
      <c r="M7112">
        <v>-1.646454E-2</v>
      </c>
      <c r="N7112">
        <v>-1.2323809999999999E-2</v>
      </c>
      <c r="O7112">
        <v>0.99978849999999997</v>
      </c>
      <c r="P7112">
        <v>-3.3566319999999997E-2</v>
      </c>
      <c r="Q7112">
        <v>0.19942650000000001</v>
      </c>
      <c r="R7112">
        <v>0.97933780000000004</v>
      </c>
      <c r="S7112">
        <v>0.19934080000000001</v>
      </c>
      <c r="T7112">
        <v>-1.216888E-3</v>
      </c>
      <c r="U7112">
        <v>3.0686040000000001</v>
      </c>
      <c r="V7112">
        <v>-1.7162609999999998E-2</v>
      </c>
      <c r="W7112">
        <v>0.21150830000000001</v>
      </c>
      <c r="X7112">
        <v>0.97722549999999997</v>
      </c>
      <c r="Y7112">
        <v>8.1236180000000005E-2</v>
      </c>
      <c r="Z7112">
        <v>1.1935019999999999E-2</v>
      </c>
      <c r="AA7112">
        <v>0.99662340000000005</v>
      </c>
      <c r="AB7112">
        <v>42</v>
      </c>
      <c r="AC7112">
        <v>19.6801999999999</v>
      </c>
      <c r="AD7112">
        <v>-0.1201837</v>
      </c>
      <c r="AE7112">
        <v>302.49236000000002</v>
      </c>
      <c r="AF7112">
        <v>24.658303873911901</v>
      </c>
      <c r="AG7112">
        <v>-0.1201837</v>
      </c>
      <c r="AH7112">
        <v>302.12725347481398</v>
      </c>
      <c r="AI7112">
        <v>90.022716249585002</v>
      </c>
      <c r="AJ7112">
        <v>85.334110948355004</v>
      </c>
      <c r="AK7112">
        <v>303.13185858021302</v>
      </c>
      <c r="AL7112">
        <v>77.789242830504904</v>
      </c>
      <c r="AM7112">
        <v>91.006158798208105</v>
      </c>
      <c r="AN7112">
        <v>0.99999999700057496</v>
      </c>
    </row>
    <row r="7113" spans="1:40" x14ac:dyDescent="0.25">
      <c r="A7113" t="str">
        <f>"20190304155813864"</f>
        <v>20190304155813864</v>
      </c>
      <c r="B7113" t="str">
        <f>"1551686293862103"</f>
        <v>1551686293862103</v>
      </c>
      <c r="C7113" t="s">
        <v>40</v>
      </c>
      <c r="D7113">
        <v>4.3753019999999996</v>
      </c>
      <c r="E7113">
        <v>0.5334257</v>
      </c>
      <c r="F7113" t="s">
        <v>51</v>
      </c>
      <c r="G7113">
        <v>-164.8006</v>
      </c>
      <c r="H7113">
        <v>-0.1</v>
      </c>
      <c r="I7113">
        <v>467.06119999999999</v>
      </c>
      <c r="J7113">
        <v>-187.59729999999999</v>
      </c>
      <c r="K7113">
        <v>1.109219</v>
      </c>
      <c r="L7113">
        <v>79.316040000000001</v>
      </c>
      <c r="M7113">
        <v>-1.5984089999999999E-2</v>
      </c>
      <c r="N7113">
        <v>-1.232494E-2</v>
      </c>
      <c r="O7113">
        <v>0.99979629999999997</v>
      </c>
      <c r="P7113">
        <v>-3.2981179999999999E-2</v>
      </c>
      <c r="Q7113">
        <v>0.19984209999999999</v>
      </c>
      <c r="R7113">
        <v>0.9792729</v>
      </c>
      <c r="S7113">
        <v>0.1803284</v>
      </c>
      <c r="T7113">
        <v>-9.5680950000000004E-3</v>
      </c>
      <c r="U7113">
        <v>3.0714109999999999</v>
      </c>
      <c r="V7113">
        <v>-1.7045939999999999E-2</v>
      </c>
      <c r="W7113">
        <v>0.21192349999999999</v>
      </c>
      <c r="X7113">
        <v>0.97713760000000005</v>
      </c>
      <c r="Y7113">
        <v>7.4551720000000002E-2</v>
      </c>
      <c r="Z7113">
        <v>9.223307E-3</v>
      </c>
      <c r="AA7113">
        <v>0.99717449999999996</v>
      </c>
      <c r="AB7113">
        <v>42</v>
      </c>
      <c r="AC7113">
        <v>22.796699999999898</v>
      </c>
      <c r="AD7113">
        <v>-1.209219</v>
      </c>
      <c r="AE7113">
        <v>387.74516</v>
      </c>
      <c r="AF7113">
        <v>28.991730409429302</v>
      </c>
      <c r="AG7113">
        <v>-1.209219</v>
      </c>
      <c r="AH7113">
        <v>387.32745038728899</v>
      </c>
      <c r="AI7113">
        <v>90.178375299391703</v>
      </c>
      <c r="AJ7113">
        <v>85.719353233241094</v>
      </c>
      <c r="AK7113">
        <v>388.41284281835999</v>
      </c>
      <c r="AL7113">
        <v>77.764902024618905</v>
      </c>
      <c r="AM7113">
        <v>90.999410283151505</v>
      </c>
      <c r="AN7113">
        <v>1.0000000116282399</v>
      </c>
    </row>
    <row r="7114" spans="1:40" x14ac:dyDescent="0.25">
      <c r="A7114" t="str">
        <f>"20190304155813886"</f>
        <v>20190304155813886</v>
      </c>
      <c r="B7114" t="str">
        <f>"1551686293881623"</f>
        <v>1551686293881623</v>
      </c>
      <c r="C7114" t="s">
        <v>40</v>
      </c>
      <c r="D7114">
        <v>4.4764589999999904</v>
      </c>
      <c r="E7114">
        <v>0.5341226</v>
      </c>
      <c r="F7114" t="s">
        <v>51</v>
      </c>
      <c r="G7114">
        <v>-162.58430000000001</v>
      </c>
      <c r="H7114">
        <v>-0.1</v>
      </c>
      <c r="I7114">
        <v>507.7928</v>
      </c>
      <c r="J7114">
        <v>-187.6037</v>
      </c>
      <c r="K7114">
        <v>1.1092120000000001</v>
      </c>
      <c r="L7114">
        <v>79.743740000000003</v>
      </c>
      <c r="M7114">
        <v>-1.549829E-2</v>
      </c>
      <c r="N7114">
        <v>-1.232578E-2</v>
      </c>
      <c r="O7114">
        <v>0.99980389999999997</v>
      </c>
      <c r="P7114">
        <v>-3.232264E-2</v>
      </c>
      <c r="Q7114">
        <v>0.19848840000000001</v>
      </c>
      <c r="R7114">
        <v>0.9795701</v>
      </c>
      <c r="S7114">
        <v>0.1792908</v>
      </c>
      <c r="T7114">
        <v>-8.6675880000000004E-3</v>
      </c>
      <c r="U7114">
        <v>3.0712890000000002</v>
      </c>
      <c r="V7114">
        <v>-1.6858540000000002E-2</v>
      </c>
      <c r="W7114">
        <v>0.21057419999999999</v>
      </c>
      <c r="X7114">
        <v>0.97743250000000004</v>
      </c>
      <c r="Y7114">
        <v>7.3733800000000002E-2</v>
      </c>
      <c r="Z7114">
        <v>9.5161440000000007E-3</v>
      </c>
      <c r="AA7114">
        <v>0.99723260000000002</v>
      </c>
      <c r="AB7114">
        <v>42</v>
      </c>
      <c r="AC7114">
        <v>25.019399999999901</v>
      </c>
      <c r="AD7114">
        <v>-1.209212</v>
      </c>
      <c r="AE7114">
        <v>428.04905999999897</v>
      </c>
      <c r="AF7114">
        <v>31.650675441535199</v>
      </c>
      <c r="AG7114">
        <v>-1.209212</v>
      </c>
      <c r="AH7114">
        <v>427.60645286864201</v>
      </c>
      <c r="AI7114">
        <v>90.161582097620993</v>
      </c>
      <c r="AJ7114">
        <v>85.766787028363495</v>
      </c>
      <c r="AK7114">
        <v>428.77792152170002</v>
      </c>
      <c r="AL7114">
        <v>77.843996031286693</v>
      </c>
      <c r="AM7114">
        <v>90.988126980640999</v>
      </c>
      <c r="AN7114">
        <v>0.99999999806641005</v>
      </c>
    </row>
    <row r="7115" spans="1:40" x14ac:dyDescent="0.25">
      <c r="A7115" t="str">
        <f>"20190304155813909"</f>
        <v>20190304155813909</v>
      </c>
      <c r="B7115" t="str">
        <f>"1551686293901143"</f>
        <v>1551686293901143</v>
      </c>
      <c r="C7115" t="s">
        <v>40</v>
      </c>
      <c r="D7115">
        <v>4.7216420000000001</v>
      </c>
      <c r="E7115">
        <v>0.53522429999999999</v>
      </c>
      <c r="F7115" t="s">
        <v>44</v>
      </c>
      <c r="G7115">
        <v>-169.75799999999899</v>
      </c>
      <c r="H7115">
        <v>-0.05</v>
      </c>
      <c r="I7115">
        <v>373.98750000000001</v>
      </c>
      <c r="J7115">
        <v>-187.60990000000001</v>
      </c>
      <c r="K7115">
        <v>1.1092109999999999</v>
      </c>
      <c r="L7115">
        <v>80.172150000000002</v>
      </c>
      <c r="M7115">
        <v>-1.501138E-2</v>
      </c>
      <c r="N7115">
        <v>-1.23266E-2</v>
      </c>
      <c r="O7115">
        <v>0.99981140000000002</v>
      </c>
      <c r="P7115">
        <v>-3.1769169999999999E-2</v>
      </c>
      <c r="Q7115">
        <v>0.19928399999999999</v>
      </c>
      <c r="R7115">
        <v>0.97942669999999998</v>
      </c>
      <c r="S7115">
        <v>0.18626400000000001</v>
      </c>
      <c r="T7115">
        <v>-1.2099270000000001E-2</v>
      </c>
      <c r="U7115">
        <v>3.071167</v>
      </c>
      <c r="V7115">
        <v>-1.6781959999999999E-2</v>
      </c>
      <c r="W7115">
        <v>0.211369</v>
      </c>
      <c r="X7115">
        <v>0.97726230000000003</v>
      </c>
      <c r="Y7115">
        <v>7.5506500000000004E-2</v>
      </c>
      <c r="Z7115">
        <v>8.4027119999999997E-3</v>
      </c>
      <c r="AA7115">
        <v>0.99710989999999999</v>
      </c>
      <c r="AB7115">
        <v>42</v>
      </c>
      <c r="AC7115">
        <v>17.851900000000001</v>
      </c>
      <c r="AD7115">
        <v>-1.159211</v>
      </c>
      <c r="AE7115">
        <v>293.81535000000002</v>
      </c>
      <c r="AF7115">
        <v>22.260451682943199</v>
      </c>
      <c r="AG7115">
        <v>-1.159211</v>
      </c>
      <c r="AH7115">
        <v>293.50968475050001</v>
      </c>
      <c r="AI7115">
        <v>90.225639422980194</v>
      </c>
      <c r="AJ7115">
        <v>85.662858995897196</v>
      </c>
      <c r="AK7115">
        <v>294.35489892578499</v>
      </c>
      <c r="AL7115">
        <v>77.797409356828595</v>
      </c>
      <c r="AM7115">
        <v>90.983810569880504</v>
      </c>
      <c r="AN7115">
        <v>1.0000000456718601</v>
      </c>
    </row>
    <row r="7116" spans="1:40" x14ac:dyDescent="0.25">
      <c r="A7116" t="str">
        <f>"20190304155813933"</f>
        <v>20190304155813933</v>
      </c>
      <c r="B7116" t="str">
        <f>"1551686293921639"</f>
        <v>1551686293921639</v>
      </c>
      <c r="C7116" t="s">
        <v>40</v>
      </c>
      <c r="D7116">
        <v>4.4468500000000004</v>
      </c>
      <c r="E7116">
        <v>0.5362616</v>
      </c>
      <c r="F7116" t="s">
        <v>43</v>
      </c>
      <c r="G7116">
        <v>-168.32730000000001</v>
      </c>
      <c r="H7116">
        <v>1.935624</v>
      </c>
      <c r="I7116">
        <v>381.38529999999997</v>
      </c>
      <c r="J7116">
        <v>-187.61600000000001</v>
      </c>
      <c r="K7116">
        <v>1.109218</v>
      </c>
      <c r="L7116">
        <v>80.613489999999999</v>
      </c>
      <c r="M7116">
        <v>-1.45094E-2</v>
      </c>
      <c r="N7116">
        <v>-1.232726E-2</v>
      </c>
      <c r="O7116">
        <v>0.99981869999999995</v>
      </c>
      <c r="P7116">
        <v>-3.1059059999999999E-2</v>
      </c>
      <c r="Q7116">
        <v>0.2023712</v>
      </c>
      <c r="R7116">
        <v>0.97881629999999997</v>
      </c>
      <c r="S7116">
        <v>0.19638059999999999</v>
      </c>
      <c r="T7116">
        <v>8.4173679999999997E-3</v>
      </c>
      <c r="U7116">
        <v>3.0676570000000001</v>
      </c>
      <c r="V7116">
        <v>-1.6567399999999999E-2</v>
      </c>
      <c r="W7116">
        <v>0.21444859999999999</v>
      </c>
      <c r="X7116">
        <v>0.97659470000000004</v>
      </c>
      <c r="Y7116">
        <v>7.8347959999999994E-2</v>
      </c>
      <c r="Z7116">
        <v>1.506918E-2</v>
      </c>
      <c r="AA7116">
        <v>0.99681220000000004</v>
      </c>
      <c r="AB7116">
        <v>42</v>
      </c>
      <c r="AC7116">
        <v>19.288699999999899</v>
      </c>
      <c r="AD7116">
        <v>0.82640599999999997</v>
      </c>
      <c r="AE7116">
        <v>300.77181000000002</v>
      </c>
      <c r="AF7116">
        <v>23.6508417116498</v>
      </c>
      <c r="AG7116">
        <v>0.82640599999999997</v>
      </c>
      <c r="AH7116">
        <v>300.45799614313302</v>
      </c>
      <c r="AI7116">
        <v>89.842895037997096</v>
      </c>
      <c r="AJ7116">
        <v>85.499187982201306</v>
      </c>
      <c r="AK7116">
        <v>301.38854110083997</v>
      </c>
      <c r="AL7116">
        <v>77.616819402162506</v>
      </c>
      <c r="AM7116">
        <v>90.971898630549504</v>
      </c>
      <c r="AN7116">
        <v>0.99999994442640305</v>
      </c>
    </row>
    <row r="7117" spans="1:40" x14ac:dyDescent="0.25">
      <c r="A7117" t="str">
        <f>"20190304155813953"</f>
        <v>20190304155813953</v>
      </c>
      <c r="B7117" t="str">
        <f>"1551686293941161"</f>
        <v>1551686293941161</v>
      </c>
      <c r="C7117" t="s">
        <v>40</v>
      </c>
      <c r="D7117">
        <v>4.3768209999999996</v>
      </c>
      <c r="E7117">
        <v>0.53720999999999997</v>
      </c>
      <c r="F7117" t="s">
        <v>43</v>
      </c>
      <c r="G7117">
        <v>-169.21299999999999</v>
      </c>
      <c r="H7117">
        <v>3.6906639999999999</v>
      </c>
      <c r="I7117">
        <v>353.69009999999997</v>
      </c>
      <c r="J7117">
        <v>-187.62129999999999</v>
      </c>
      <c r="K7117">
        <v>1.1092249999999999</v>
      </c>
      <c r="L7117">
        <v>81.004639999999995</v>
      </c>
      <c r="M7117">
        <v>-1.4064210000000001E-2</v>
      </c>
      <c r="N7117">
        <v>-1.232781E-2</v>
      </c>
      <c r="O7117">
        <v>0.99982510000000002</v>
      </c>
      <c r="P7117">
        <v>-3.0141729999999999E-2</v>
      </c>
      <c r="Q7117">
        <v>0.2038953</v>
      </c>
      <c r="R7117">
        <v>0.97852859999999997</v>
      </c>
      <c r="S7117">
        <v>0.20658869999999999</v>
      </c>
      <c r="T7117">
        <v>2.8979660000000001E-2</v>
      </c>
      <c r="U7117">
        <v>3.0654910000000002</v>
      </c>
      <c r="V7117">
        <v>-1.608689E-2</v>
      </c>
      <c r="W7117">
        <v>0.21596850000000001</v>
      </c>
      <c r="X7117">
        <v>0.97626780000000002</v>
      </c>
      <c r="Y7117">
        <v>8.1248669999999995E-2</v>
      </c>
      <c r="Z7117">
        <v>2.1757760000000001E-2</v>
      </c>
      <c r="AA7117">
        <v>0.99645629999999996</v>
      </c>
      <c r="AB7117">
        <v>42</v>
      </c>
      <c r="AC7117">
        <v>18.408300000000001</v>
      </c>
      <c r="AD7117">
        <v>2.581439</v>
      </c>
      <c r="AE7117">
        <v>272.68545999999998</v>
      </c>
      <c r="AF7117">
        <v>22.239891972574199</v>
      </c>
      <c r="AG7117">
        <v>2.581439</v>
      </c>
      <c r="AH7117">
        <v>272.37526858730001</v>
      </c>
      <c r="AI7117">
        <v>89.458796001242106</v>
      </c>
      <c r="AJ7117">
        <v>85.332059999635007</v>
      </c>
      <c r="AK7117">
        <v>273.29391423935198</v>
      </c>
      <c r="AL7117">
        <v>77.527646725188703</v>
      </c>
      <c r="AM7117">
        <v>90.944031437118994</v>
      </c>
      <c r="AN7117">
        <v>0.99999999916948101</v>
      </c>
    </row>
    <row r="7118" spans="1:40" x14ac:dyDescent="0.25">
      <c r="A7118" t="str">
        <f>"20190304155813975"</f>
        <v>20190304155813975</v>
      </c>
      <c r="B7118" t="str">
        <f>"1551686293971415"</f>
        <v>1551686293971415</v>
      </c>
      <c r="C7118" t="s">
        <v>40</v>
      </c>
      <c r="D7118">
        <v>4.41648</v>
      </c>
      <c r="E7118">
        <v>0.53723140000000003</v>
      </c>
      <c r="F7118" t="s">
        <v>43</v>
      </c>
      <c r="G7118">
        <v>-168.27869999999999</v>
      </c>
      <c r="H7118">
        <v>4.9018940000000004</v>
      </c>
      <c r="I7118">
        <v>353.69009999999997</v>
      </c>
      <c r="J7118">
        <v>-187.6266</v>
      </c>
      <c r="K7118">
        <v>1.109218</v>
      </c>
      <c r="L7118">
        <v>81.412450000000007</v>
      </c>
      <c r="M7118">
        <v>-1.359984E-2</v>
      </c>
      <c r="N7118">
        <v>-1.232843E-2</v>
      </c>
      <c r="O7118">
        <v>0.99983149999999998</v>
      </c>
      <c r="P7118">
        <v>-2.877973E-2</v>
      </c>
      <c r="Q7118">
        <v>0.20371040000000001</v>
      </c>
      <c r="R7118">
        <v>0.97860809999999998</v>
      </c>
      <c r="S7118">
        <v>0.2173157</v>
      </c>
      <c r="T7118">
        <v>4.2611719999999999E-2</v>
      </c>
      <c r="U7118">
        <v>3.0636290000000002</v>
      </c>
      <c r="V7118">
        <v>-1.5177889999999999E-2</v>
      </c>
      <c r="W7118">
        <v>0.21578410000000001</v>
      </c>
      <c r="X7118">
        <v>0.9763231</v>
      </c>
      <c r="Y7118">
        <v>8.4293049999999994E-2</v>
      </c>
      <c r="Z7118">
        <v>2.6195590000000001E-2</v>
      </c>
      <c r="AA7118">
        <v>0.9960966</v>
      </c>
      <c r="AB7118">
        <v>42</v>
      </c>
      <c r="AC7118">
        <v>19.347899999999999</v>
      </c>
      <c r="AD7118">
        <v>3.7926760000000002</v>
      </c>
      <c r="AE7118">
        <v>272.27764999999999</v>
      </c>
      <c r="AF7118">
        <v>23.044875435231301</v>
      </c>
      <c r="AG7118">
        <v>3.7926760000000002</v>
      </c>
      <c r="AH7118">
        <v>271.93681837220601</v>
      </c>
      <c r="AI7118">
        <v>89.203806648739601</v>
      </c>
      <c r="AJ7118">
        <v>85.156128832282306</v>
      </c>
      <c r="AK7118">
        <v>272.93787546154999</v>
      </c>
      <c r="AL7118">
        <v>77.538466847852206</v>
      </c>
      <c r="AM7118">
        <v>90.890646746521</v>
      </c>
      <c r="AN7118">
        <v>0.99999997087563497</v>
      </c>
    </row>
    <row r="7119" spans="1:40" x14ac:dyDescent="0.25">
      <c r="A7119" t="str">
        <f>"20190304155813997"</f>
        <v>20190304155813997</v>
      </c>
      <c r="B7119" t="str">
        <f>"1551686293991911"</f>
        <v>1551686293991911</v>
      </c>
      <c r="C7119" t="s">
        <v>40</v>
      </c>
      <c r="D7119">
        <v>4.4654590000000001</v>
      </c>
      <c r="E7119">
        <v>0.53710800000000003</v>
      </c>
      <c r="F7119" t="s">
        <v>49</v>
      </c>
      <c r="G7119">
        <v>-168.88640000000001</v>
      </c>
      <c r="H7119">
        <v>4.4428879999999999</v>
      </c>
      <c r="I7119">
        <v>339.94389999999999</v>
      </c>
      <c r="J7119">
        <v>-187.63200000000001</v>
      </c>
      <c r="K7119">
        <v>1.1092070000000001</v>
      </c>
      <c r="L7119">
        <v>81.841089999999994</v>
      </c>
      <c r="M7119">
        <v>-1.3111640000000001E-2</v>
      </c>
      <c r="N7119">
        <v>-1.2329E-2</v>
      </c>
      <c r="O7119">
        <v>0.99983809999999995</v>
      </c>
      <c r="P7119">
        <v>-2.7190039999999999E-2</v>
      </c>
      <c r="Q7119">
        <v>0.201544</v>
      </c>
      <c r="R7119">
        <v>0.97910200000000003</v>
      </c>
      <c r="S7119">
        <v>0.2220917</v>
      </c>
      <c r="T7119">
        <v>3.9507630000000002E-2</v>
      </c>
      <c r="U7119">
        <v>3.0638730000000001</v>
      </c>
      <c r="V7119">
        <v>-1.406229E-2</v>
      </c>
      <c r="W7119">
        <v>0.21362229999999999</v>
      </c>
      <c r="X7119">
        <v>0.97681510000000005</v>
      </c>
      <c r="Y7119">
        <v>8.5346989999999998E-2</v>
      </c>
      <c r="Z7119">
        <v>2.5184399999999999E-2</v>
      </c>
      <c r="AA7119">
        <v>0.99603299999999995</v>
      </c>
      <c r="AB7119">
        <v>42</v>
      </c>
      <c r="AC7119">
        <v>18.7456</v>
      </c>
      <c r="AD7119">
        <v>3.3336809999999999</v>
      </c>
      <c r="AE7119">
        <v>258.10280999999998</v>
      </c>
      <c r="AF7119">
        <v>22.124724870936699</v>
      </c>
      <c r="AG7119">
        <v>3.3336809999999999</v>
      </c>
      <c r="AH7119">
        <v>257.79203492781699</v>
      </c>
      <c r="AI7119">
        <v>89.261824617406504</v>
      </c>
      <c r="AJ7119">
        <v>85.094671419657402</v>
      </c>
      <c r="AK7119">
        <v>258.76118362661998</v>
      </c>
      <c r="AL7119">
        <v>77.665286618569894</v>
      </c>
      <c r="AM7119">
        <v>90.824776576451995</v>
      </c>
      <c r="AN7119">
        <v>0.99999998732267203</v>
      </c>
    </row>
    <row r="7120" spans="1:40" x14ac:dyDescent="0.25">
      <c r="A7120" t="str">
        <f>"20190304155814020"</f>
        <v>20190304155814020</v>
      </c>
      <c r="B7120" t="str">
        <f>"1551686294011431"</f>
        <v>1551686294011431</v>
      </c>
      <c r="C7120" t="s">
        <v>40</v>
      </c>
      <c r="D7120">
        <v>4.479031</v>
      </c>
      <c r="E7120">
        <v>0.53698259999999998</v>
      </c>
      <c r="F7120" t="s">
        <v>49</v>
      </c>
      <c r="G7120">
        <v>-168.58109999999999</v>
      </c>
      <c r="H7120">
        <v>3.7297370000000001</v>
      </c>
      <c r="I7120">
        <v>339.94389999999999</v>
      </c>
      <c r="J7120">
        <v>-187.637</v>
      </c>
      <c r="K7120">
        <v>1.1091930000000001</v>
      </c>
      <c r="L7120">
        <v>82.257630000000006</v>
      </c>
      <c r="M7120">
        <v>-1.2637239999999999E-2</v>
      </c>
      <c r="N7120">
        <v>-1.23295E-2</v>
      </c>
      <c r="O7120">
        <v>0.99984410000000001</v>
      </c>
      <c r="P7120">
        <v>-2.5728310000000001E-2</v>
      </c>
      <c r="Q7120">
        <v>0.19915559999999999</v>
      </c>
      <c r="R7120">
        <v>0.97963009999999995</v>
      </c>
      <c r="S7120">
        <v>0.2261505</v>
      </c>
      <c r="T7120">
        <v>3.110802E-2</v>
      </c>
      <c r="U7120">
        <v>3.063904</v>
      </c>
      <c r="V7120">
        <v>-1.306124E-2</v>
      </c>
      <c r="W7120">
        <v>0.21123980000000001</v>
      </c>
      <c r="X7120">
        <v>0.97734699999999997</v>
      </c>
      <c r="Y7120">
        <v>8.6189290000000002E-2</v>
      </c>
      <c r="Z7120">
        <v>2.245252E-2</v>
      </c>
      <c r="AA7120">
        <v>0.99602570000000001</v>
      </c>
      <c r="AB7120">
        <v>42</v>
      </c>
      <c r="AC7120">
        <v>19.055900000000001</v>
      </c>
      <c r="AD7120">
        <v>2.6205440000000002</v>
      </c>
      <c r="AE7120">
        <v>257.68626999999998</v>
      </c>
      <c r="AF7120">
        <v>22.3087743729237</v>
      </c>
      <c r="AG7120">
        <v>2.6205440000000002</v>
      </c>
      <c r="AH7120">
        <v>257.39838242367199</v>
      </c>
      <c r="AI7120">
        <v>89.418876647660298</v>
      </c>
      <c r="AJ7120">
        <v>85.046540462129997</v>
      </c>
      <c r="AK7120">
        <v>258.37661647138401</v>
      </c>
      <c r="AL7120">
        <v>77.804982462253903</v>
      </c>
      <c r="AM7120">
        <v>90.765653735084598</v>
      </c>
      <c r="AN7120">
        <v>1.0000000037516801</v>
      </c>
    </row>
    <row r="7121" spans="1:40" x14ac:dyDescent="0.25">
      <c r="A7121" t="str">
        <f>"20190304155814042"</f>
        <v>20190304155814042</v>
      </c>
      <c r="B7121" t="str">
        <f>"1551686294031457"</f>
        <v>1551686294031457</v>
      </c>
      <c r="C7121" t="s">
        <v>40</v>
      </c>
      <c r="D7121">
        <v>4.5203490000000004</v>
      </c>
      <c r="E7121">
        <v>0.53703979999999996</v>
      </c>
      <c r="F7121" t="s">
        <v>49</v>
      </c>
      <c r="G7121">
        <v>-168.40099999999899</v>
      </c>
      <c r="H7121">
        <v>2.9255040000000001</v>
      </c>
      <c r="I7121">
        <v>339.3546</v>
      </c>
      <c r="J7121">
        <v>-187.64169999999999</v>
      </c>
      <c r="K7121">
        <v>1.109192</v>
      </c>
      <c r="L7121">
        <v>82.662019999999998</v>
      </c>
      <c r="M7121">
        <v>-1.2176630000000001E-2</v>
      </c>
      <c r="N7121">
        <v>-1.2329970000000001E-2</v>
      </c>
      <c r="O7121">
        <v>0.99984989999999996</v>
      </c>
      <c r="P7121">
        <v>-2.4777810000000001E-2</v>
      </c>
      <c r="Q7121">
        <v>0.1991465</v>
      </c>
      <c r="R7121">
        <v>0.97965650000000004</v>
      </c>
      <c r="S7121">
        <v>0.22924800000000001</v>
      </c>
      <c r="T7121">
        <v>2.1646260000000001E-2</v>
      </c>
      <c r="U7121">
        <v>3.0639949999999998</v>
      </c>
      <c r="V7121">
        <v>-1.256168E-2</v>
      </c>
      <c r="W7121">
        <v>0.21123049999999999</v>
      </c>
      <c r="X7121">
        <v>0.97735550000000004</v>
      </c>
      <c r="Y7121">
        <v>8.6732680000000006E-2</v>
      </c>
      <c r="Z7121">
        <v>1.9375340000000001E-2</v>
      </c>
      <c r="AA7121">
        <v>0.99604320000000002</v>
      </c>
      <c r="AB7121">
        <v>42</v>
      </c>
      <c r="AC7121">
        <v>19.2407</v>
      </c>
      <c r="AD7121">
        <v>1.8163119999999999</v>
      </c>
      <c r="AE7121">
        <v>256.692579999999</v>
      </c>
      <c r="AF7121">
        <v>22.364047867924999</v>
      </c>
      <c r="AG7121">
        <v>1.8163119999999999</v>
      </c>
      <c r="AH7121">
        <v>256.42647492148302</v>
      </c>
      <c r="AI7121">
        <v>89.595705744076596</v>
      </c>
      <c r="AJ7121">
        <v>85.015602528283097</v>
      </c>
      <c r="AK7121">
        <v>257.406267730563</v>
      </c>
      <c r="AL7121">
        <v>77.8055269072659</v>
      </c>
      <c r="AM7121">
        <v>90.736366266030899</v>
      </c>
      <c r="AN7121">
        <v>0.99999994665745995</v>
      </c>
    </row>
    <row r="7122" spans="1:40" x14ac:dyDescent="0.25">
      <c r="A7122" t="str">
        <f>"20190304155814064"</f>
        <v>20190304155814064</v>
      </c>
      <c r="B7122" t="str">
        <f>"1551686294061713"</f>
        <v>1551686294061713</v>
      </c>
      <c r="C7122" t="s">
        <v>40</v>
      </c>
      <c r="D7122">
        <v>4.5075519999999996</v>
      </c>
      <c r="E7122">
        <v>0.53688000000000002</v>
      </c>
      <c r="F7122" t="s">
        <v>49</v>
      </c>
      <c r="G7122">
        <v>-168.40090000000001</v>
      </c>
      <c r="H7122">
        <v>2.5920809999999999</v>
      </c>
      <c r="I7122">
        <v>336.274</v>
      </c>
      <c r="J7122">
        <v>-187.6465</v>
      </c>
      <c r="K7122">
        <v>1.1092</v>
      </c>
      <c r="L7122">
        <v>83.083590000000001</v>
      </c>
      <c r="M7122">
        <v>-1.1696440000000001E-2</v>
      </c>
      <c r="N7122">
        <v>-1.233049E-2</v>
      </c>
      <c r="O7122">
        <v>0.99985559999999996</v>
      </c>
      <c r="P7122">
        <v>-2.4515809999999999E-2</v>
      </c>
      <c r="Q7122">
        <v>0.20012340000000001</v>
      </c>
      <c r="R7122">
        <v>0.97946390000000005</v>
      </c>
      <c r="S7122">
        <v>0.23249819999999999</v>
      </c>
      <c r="T7122">
        <v>1.7918710000000001E-2</v>
      </c>
      <c r="U7122">
        <v>3.0645449999999999</v>
      </c>
      <c r="V7122">
        <v>-1.277144E-2</v>
      </c>
      <c r="W7122">
        <v>0.2122059</v>
      </c>
      <c r="X7122">
        <v>0.9771415</v>
      </c>
      <c r="Y7122">
        <v>8.7292399999999895E-2</v>
      </c>
      <c r="Z7122">
        <v>1.8162169999999998E-2</v>
      </c>
      <c r="AA7122">
        <v>0.99601719999999905</v>
      </c>
      <c r="AB7122">
        <v>42</v>
      </c>
      <c r="AC7122">
        <v>19.2456</v>
      </c>
      <c r="AD7122">
        <v>1.4828809999999999</v>
      </c>
      <c r="AE7122">
        <v>253.19041000000001</v>
      </c>
      <c r="AF7122">
        <v>22.2051774796305</v>
      </c>
      <c r="AG7122">
        <v>1.4828809999999999</v>
      </c>
      <c r="AH7122">
        <v>252.93933913347399</v>
      </c>
      <c r="AI7122">
        <v>89.665388767833605</v>
      </c>
      <c r="AJ7122">
        <v>84.982948810131603</v>
      </c>
      <c r="AK7122">
        <v>253.91647863862801</v>
      </c>
      <c r="AL7122">
        <v>77.748344755932905</v>
      </c>
      <c r="AM7122">
        <v>90.748824961633503</v>
      </c>
      <c r="AN7122">
        <v>0.99999998234836596</v>
      </c>
    </row>
    <row r="7123" spans="1:40" x14ac:dyDescent="0.25">
      <c r="A7123" t="str">
        <f>"20190304155814087"</f>
        <v>20190304155814087</v>
      </c>
      <c r="B7123" t="str">
        <f>"1551686294081233"</f>
        <v>1551686294081233</v>
      </c>
      <c r="C7123" t="s">
        <v>40</v>
      </c>
      <c r="D7123">
        <v>4.5369929999999998</v>
      </c>
      <c r="E7123">
        <v>0.53684160000000003</v>
      </c>
      <c r="F7123" t="s">
        <v>49</v>
      </c>
      <c r="G7123">
        <v>-168.40099999999899</v>
      </c>
      <c r="H7123">
        <v>2.749266</v>
      </c>
      <c r="I7123">
        <v>338.08940000000001</v>
      </c>
      <c r="J7123">
        <v>-187.65110000000001</v>
      </c>
      <c r="K7123">
        <v>1.109192</v>
      </c>
      <c r="L7123">
        <v>83.518709999999999</v>
      </c>
      <c r="M7123">
        <v>-1.1200699999999999E-2</v>
      </c>
      <c r="N7123">
        <v>-1.233097E-2</v>
      </c>
      <c r="O7123">
        <v>0.99986120000000001</v>
      </c>
      <c r="P7123">
        <v>-2.441287E-2</v>
      </c>
      <c r="Q7123">
        <v>0.19919480000000001</v>
      </c>
      <c r="R7123">
        <v>0.97965570000000002</v>
      </c>
      <c r="S7123">
        <v>0.23129269999999999</v>
      </c>
      <c r="T7123">
        <v>1.9710419999999999E-2</v>
      </c>
      <c r="U7123">
        <v>3.064667</v>
      </c>
      <c r="V7123">
        <v>-1.315294E-2</v>
      </c>
      <c r="W7123">
        <v>0.21128040000000001</v>
      </c>
      <c r="X7123">
        <v>0.97733700000000001</v>
      </c>
      <c r="Y7123">
        <v>8.640544E-2</v>
      </c>
      <c r="Z7123">
        <v>1.8745060000000001E-2</v>
      </c>
      <c r="AA7123">
        <v>0.99608370000000002</v>
      </c>
      <c r="AB7123">
        <v>42</v>
      </c>
      <c r="AC7123">
        <v>19.2501</v>
      </c>
      <c r="AD7123">
        <v>1.640074</v>
      </c>
      <c r="AE7123">
        <v>254.57068999999899</v>
      </c>
      <c r="AF7123">
        <v>22.099567048023602</v>
      </c>
      <c r="AG7123">
        <v>1.640074</v>
      </c>
      <c r="AH7123">
        <v>254.32859127698401</v>
      </c>
      <c r="AI7123">
        <v>89.631912135999102</v>
      </c>
      <c r="AJ7123">
        <v>85.033828404306306</v>
      </c>
      <c r="AK7123">
        <v>255.29221109812801</v>
      </c>
      <c r="AL7123">
        <v>77.8026026085506</v>
      </c>
      <c r="AM7123">
        <v>90.771036457531395</v>
      </c>
      <c r="AN7123">
        <v>1.0000000094118999</v>
      </c>
    </row>
    <row r="7124" spans="1:40" x14ac:dyDescent="0.25">
      <c r="A7124" t="str">
        <f>"20190304155814109"</f>
        <v>20190304155814109</v>
      </c>
      <c r="B7124" t="str">
        <f>"1551686294101729"</f>
        <v>1551686294101729</v>
      </c>
      <c r="C7124" t="s">
        <v>40</v>
      </c>
      <c r="D7124">
        <v>4.5234519999999998</v>
      </c>
      <c r="E7124">
        <v>0.53680680000000003</v>
      </c>
      <c r="F7124" t="s">
        <v>49</v>
      </c>
      <c r="G7124">
        <v>-168.40090000000001</v>
      </c>
      <c r="H7124">
        <v>2.4553690000000001</v>
      </c>
      <c r="I7124">
        <v>338.12709999999998</v>
      </c>
      <c r="J7124">
        <v>-187.65520000000001</v>
      </c>
      <c r="K7124">
        <v>1.1091879999999901</v>
      </c>
      <c r="L7124">
        <v>83.924040000000005</v>
      </c>
      <c r="M7124">
        <v>-1.073878E-2</v>
      </c>
      <c r="N7124">
        <v>-1.2331409999999999E-2</v>
      </c>
      <c r="O7124">
        <v>0.99986629999999999</v>
      </c>
      <c r="P7124">
        <v>-2.455444E-2</v>
      </c>
      <c r="Q7124">
        <v>0.19769490000000001</v>
      </c>
      <c r="R7124">
        <v>0.97995600000000005</v>
      </c>
      <c r="S7124">
        <v>0.23172000000000001</v>
      </c>
      <c r="T7124">
        <v>1.6204360000000001E-2</v>
      </c>
      <c r="U7124">
        <v>3.0647890000000002</v>
      </c>
      <c r="V7124">
        <v>-1.374559E-2</v>
      </c>
      <c r="W7124">
        <v>0.20978540000000001</v>
      </c>
      <c r="X7124">
        <v>0.97765080000000004</v>
      </c>
      <c r="Y7124">
        <v>8.6081240000000003E-2</v>
      </c>
      <c r="Z7124">
        <v>1.7605240000000001E-2</v>
      </c>
      <c r="AA7124">
        <v>0.99613260000000003</v>
      </c>
      <c r="AB7124">
        <v>42</v>
      </c>
      <c r="AC7124">
        <v>19.254300000000001</v>
      </c>
      <c r="AD7124">
        <v>1.3461809999999901</v>
      </c>
      <c r="AE7124">
        <v>254.20305999999999</v>
      </c>
      <c r="AF7124">
        <v>21.982614921686199</v>
      </c>
      <c r="AG7124">
        <v>1.3461809999999901</v>
      </c>
      <c r="AH7124">
        <v>253.97453448737599</v>
      </c>
      <c r="AI7124">
        <v>89.697440253081297</v>
      </c>
      <c r="AJ7124">
        <v>85.053126705617501</v>
      </c>
      <c r="AK7124">
        <v>254.92765979814601</v>
      </c>
      <c r="AL7124">
        <v>77.890223206574902</v>
      </c>
      <c r="AM7124">
        <v>90.805515021570898</v>
      </c>
      <c r="AN7124">
        <v>0.99999997101912297</v>
      </c>
    </row>
    <row r="7125" spans="1:40" x14ac:dyDescent="0.25">
      <c r="A7125" t="str">
        <f>"20190304155814132"</f>
        <v>20190304155814132</v>
      </c>
      <c r="B7125" t="str">
        <f>"1551686294121249"</f>
        <v>1551686294121249</v>
      </c>
      <c r="C7125" t="s">
        <v>40</v>
      </c>
      <c r="D7125">
        <v>4.5269560000000002</v>
      </c>
      <c r="E7125">
        <v>0.5366687</v>
      </c>
      <c r="F7125" t="s">
        <v>49</v>
      </c>
      <c r="G7125">
        <v>-168.4008</v>
      </c>
      <c r="H7125">
        <v>2.0370919999999999</v>
      </c>
      <c r="I7125">
        <v>338.96859999999998</v>
      </c>
      <c r="J7125">
        <v>-187.65950000000001</v>
      </c>
      <c r="K7125">
        <v>1.109181</v>
      </c>
      <c r="L7125">
        <v>84.363190000000003</v>
      </c>
      <c r="M7125">
        <v>-1.023839E-2</v>
      </c>
      <c r="N7125">
        <v>-1.233188E-2</v>
      </c>
      <c r="O7125">
        <v>0.99987159999999997</v>
      </c>
      <c r="P7125">
        <v>-2.4588510000000001E-2</v>
      </c>
      <c r="Q7125">
        <v>0.19727639999999999</v>
      </c>
      <c r="R7125">
        <v>0.98003949999999995</v>
      </c>
      <c r="S7125">
        <v>0.23138429999999999</v>
      </c>
      <c r="T7125">
        <v>1.115084E-2</v>
      </c>
      <c r="U7125">
        <v>3.0649109999999999</v>
      </c>
      <c r="V7125">
        <v>-1.4269479999999999E-2</v>
      </c>
      <c r="W7125">
        <v>0.2093691</v>
      </c>
      <c r="X7125">
        <v>0.9777325</v>
      </c>
      <c r="Y7125">
        <v>8.5472399999999907E-2</v>
      </c>
      <c r="Z7125">
        <v>1.596239E-2</v>
      </c>
      <c r="AA7125">
        <v>0.99621269999999995</v>
      </c>
      <c r="AB7125">
        <v>42</v>
      </c>
      <c r="AC7125">
        <v>19.258700000000001</v>
      </c>
      <c r="AD7125">
        <v>0.92791100000000004</v>
      </c>
      <c r="AE7125">
        <v>254.60541000000001</v>
      </c>
      <c r="AF7125">
        <v>21.864349233294899</v>
      </c>
      <c r="AG7125">
        <v>0.92791100000000004</v>
      </c>
      <c r="AH7125">
        <v>254.391510385131</v>
      </c>
      <c r="AI7125">
        <v>89.791778169780102</v>
      </c>
      <c r="AJ7125">
        <v>85.087635269062801</v>
      </c>
      <c r="AK7125">
        <v>255.33106223537999</v>
      </c>
      <c r="AL7125">
        <v>77.914616796927305</v>
      </c>
      <c r="AM7125">
        <v>90.836141725339104</v>
      </c>
      <c r="AN7125">
        <v>0.99999993982526303</v>
      </c>
    </row>
    <row r="7126" spans="1:40" x14ac:dyDescent="0.25">
      <c r="A7126" t="str">
        <f>"20190304155814154"</f>
        <v>20190304155814154</v>
      </c>
      <c r="B7126" t="str">
        <f>"1551686294151506"</f>
        <v>1551686294151506</v>
      </c>
      <c r="C7126" t="s">
        <v>40</v>
      </c>
      <c r="D7126">
        <v>4.4646589999999904</v>
      </c>
      <c r="E7126">
        <v>0.53687830000000003</v>
      </c>
      <c r="F7126" t="s">
        <v>49</v>
      </c>
      <c r="G7126">
        <v>-168.46129999999999</v>
      </c>
      <c r="H7126">
        <v>1.8377239999999999</v>
      </c>
      <c r="I7126">
        <v>339.94389999999999</v>
      </c>
      <c r="J7126">
        <v>-187.66329999999999</v>
      </c>
      <c r="K7126">
        <v>1.109167</v>
      </c>
      <c r="L7126">
        <v>84.768190000000004</v>
      </c>
      <c r="M7126">
        <v>-9.7768009999999999E-3</v>
      </c>
      <c r="N7126">
        <v>-1.2332330000000001E-2</v>
      </c>
      <c r="O7126">
        <v>0.99987610000000005</v>
      </c>
      <c r="P7126">
        <v>-2.5149390000000001E-2</v>
      </c>
      <c r="Q7126">
        <v>0.19690360000000001</v>
      </c>
      <c r="R7126">
        <v>0.98010019999999998</v>
      </c>
      <c r="S7126">
        <v>0.2302399</v>
      </c>
      <c r="T7126">
        <v>8.7373260000000001E-3</v>
      </c>
      <c r="U7126">
        <v>3.0651250000000001</v>
      </c>
      <c r="V7126">
        <v>-1.528287E-2</v>
      </c>
      <c r="W7126">
        <v>0.20899889999999999</v>
      </c>
      <c r="X7126">
        <v>0.97779640000000001</v>
      </c>
      <c r="Y7126">
        <v>8.4637899999999905E-2</v>
      </c>
      <c r="Z7126">
        <v>1.517781E-2</v>
      </c>
      <c r="AA7126">
        <v>0.99629619999999997</v>
      </c>
      <c r="AB7126">
        <v>42</v>
      </c>
      <c r="AC7126">
        <v>19.202000000000002</v>
      </c>
      <c r="AD7126">
        <v>0.72855700000000001</v>
      </c>
      <c r="AE7126">
        <v>255.17571000000001</v>
      </c>
      <c r="AF7126">
        <v>21.695898267367198</v>
      </c>
      <c r="AG7126">
        <v>0.72855700000000001</v>
      </c>
      <c r="AH7126">
        <v>254.97369707222501</v>
      </c>
      <c r="AI7126">
        <v>89.836874056118901</v>
      </c>
      <c r="AJ7126">
        <v>85.136375907403902</v>
      </c>
      <c r="AK7126">
        <v>255.896129309548</v>
      </c>
      <c r="AL7126">
        <v>77.936307738687304</v>
      </c>
      <c r="AM7126">
        <v>90.895454979599705</v>
      </c>
      <c r="AN7126">
        <v>0.99999995308480205</v>
      </c>
    </row>
    <row r="7127" spans="1:40" x14ac:dyDescent="0.25">
      <c r="A7127" t="str">
        <f>"20190304155814187"</f>
        <v>20190304155814187</v>
      </c>
      <c r="B7127" t="str">
        <f>"1551686294181762"</f>
        <v>1551686294181762</v>
      </c>
      <c r="C7127" t="s">
        <v>40</v>
      </c>
      <c r="D7127">
        <v>4.4351580000000004</v>
      </c>
      <c r="E7127">
        <v>0.53688630000000004</v>
      </c>
      <c r="F7127" t="s">
        <v>49</v>
      </c>
      <c r="G7127">
        <v>-168.48949999999999</v>
      </c>
      <c r="H7127">
        <v>1.875497</v>
      </c>
      <c r="I7127">
        <v>339.94389999999999</v>
      </c>
      <c r="J7127">
        <v>-187.6687</v>
      </c>
      <c r="K7127">
        <v>1.1091610000000001</v>
      </c>
      <c r="L7127">
        <v>85.393799999999999</v>
      </c>
      <c r="M7127">
        <v>-9.063794E-3</v>
      </c>
      <c r="N7127">
        <v>-1.233301E-2</v>
      </c>
      <c r="O7127">
        <v>0.99988290000000002</v>
      </c>
      <c r="P7127">
        <v>-2.5543039999999999E-2</v>
      </c>
      <c r="Q7127">
        <v>0.1961031</v>
      </c>
      <c r="R7127">
        <v>0.98025050000000002</v>
      </c>
      <c r="S7127">
        <v>0.2303009</v>
      </c>
      <c r="T7127">
        <v>9.2046260000000005E-3</v>
      </c>
      <c r="U7127">
        <v>3.064972</v>
      </c>
      <c r="V7127">
        <v>-1.637533E-2</v>
      </c>
      <c r="W7127">
        <v>0.20820230000000001</v>
      </c>
      <c r="X7127">
        <v>0.9779487</v>
      </c>
      <c r="Y7127">
        <v>8.3950709999999998E-2</v>
      </c>
      <c r="Z7127">
        <v>1.5330369999999999E-2</v>
      </c>
      <c r="AA7127">
        <v>0.99635200000000002</v>
      </c>
      <c r="AB7127">
        <v>42</v>
      </c>
      <c r="AC7127">
        <v>19.179200000000002</v>
      </c>
      <c r="AD7127">
        <v>0.76633600000000002</v>
      </c>
      <c r="AE7127">
        <v>254.55009999999999</v>
      </c>
      <c r="AF7127">
        <v>21.485583496833101</v>
      </c>
      <c r="AG7127">
        <v>0.76633600000000002</v>
      </c>
      <c r="AH7127">
        <v>254.363500326989</v>
      </c>
      <c r="AI7127">
        <v>89.827994651629098</v>
      </c>
      <c r="AJ7127">
        <v>85.171799499379205</v>
      </c>
      <c r="AK7127">
        <v>255.27046023318599</v>
      </c>
      <c r="AL7127">
        <v>77.982976851319606</v>
      </c>
      <c r="AM7127">
        <v>90.959303513603999</v>
      </c>
      <c r="AN7127">
        <v>1.0000000044947901</v>
      </c>
    </row>
    <row r="7128" spans="1:40" x14ac:dyDescent="0.25">
      <c r="A7128" t="str">
        <f>"20190304155814209"</f>
        <v>20190304155814209</v>
      </c>
      <c r="B7128" t="str">
        <f>"1551686294201281"</f>
        <v>1551686294201281</v>
      </c>
      <c r="C7128" t="s">
        <v>40</v>
      </c>
      <c r="D7128">
        <v>4.4531320000000001</v>
      </c>
      <c r="E7128">
        <v>0.53704419999999897</v>
      </c>
      <c r="F7128" t="s">
        <v>49</v>
      </c>
      <c r="G7128">
        <v>-168.61259999999999</v>
      </c>
      <c r="H7128">
        <v>1.4632289999999999</v>
      </c>
      <c r="I7128">
        <v>339.94389999999999</v>
      </c>
      <c r="J7128">
        <v>-187.672</v>
      </c>
      <c r="K7128">
        <v>1.1091599999999999</v>
      </c>
      <c r="L7128">
        <v>85.804900000000004</v>
      </c>
      <c r="M7128">
        <v>-8.5952159999999993E-3</v>
      </c>
      <c r="N7128">
        <v>-1.233336E-2</v>
      </c>
      <c r="O7128">
        <v>0.99988699999999997</v>
      </c>
      <c r="P7128">
        <v>-2.5807819999999999E-2</v>
      </c>
      <c r="Q7128">
        <v>0.19514229999999999</v>
      </c>
      <c r="R7128">
        <v>0.98043530000000001</v>
      </c>
      <c r="S7128">
        <v>0.22949220000000001</v>
      </c>
      <c r="T7128">
        <v>4.2641160000000001E-3</v>
      </c>
      <c r="U7128">
        <v>3.0655519999999998</v>
      </c>
      <c r="V7128">
        <v>-1.7098889999999999E-2</v>
      </c>
      <c r="W7128">
        <v>0.20724519999999999</v>
      </c>
      <c r="X7128">
        <v>0.9781396</v>
      </c>
      <c r="Y7128">
        <v>8.320922E-2</v>
      </c>
      <c r="Z7128">
        <v>1.372375E-2</v>
      </c>
      <c r="AA7128">
        <v>0.99643760000000003</v>
      </c>
      <c r="AB7128">
        <v>42</v>
      </c>
      <c r="AC7128">
        <v>19.0594</v>
      </c>
      <c r="AD7128">
        <v>0.35406900000000002</v>
      </c>
      <c r="AE7128">
        <v>254.13900000000001</v>
      </c>
      <c r="AF7128">
        <v>21.243200594461399</v>
      </c>
      <c r="AG7128">
        <v>0.35406900000000002</v>
      </c>
      <c r="AH7128">
        <v>253.965288472412</v>
      </c>
      <c r="AI7128">
        <v>89.920398385031206</v>
      </c>
      <c r="AJ7128">
        <v>85.218563340410498</v>
      </c>
      <c r="AK7128">
        <v>254.852441003081</v>
      </c>
      <c r="AL7128">
        <v>78.039037543831597</v>
      </c>
      <c r="AM7128">
        <v>91.001487370388901</v>
      </c>
      <c r="AN7128">
        <v>1.0000000110252101</v>
      </c>
    </row>
    <row r="7129" spans="1:40" x14ac:dyDescent="0.25">
      <c r="A7129" t="str">
        <f>"20190304155814231"</f>
        <v>20190304155814231</v>
      </c>
      <c r="B7129" t="str">
        <f>"1551686294221781"</f>
        <v>1551686294221781</v>
      </c>
      <c r="C7129" t="s">
        <v>40</v>
      </c>
      <c r="D7129">
        <v>4.4860319999999998</v>
      </c>
      <c r="E7129">
        <v>0.53720409999999996</v>
      </c>
      <c r="F7129" t="s">
        <v>49</v>
      </c>
      <c r="G7129">
        <v>-168.5806</v>
      </c>
      <c r="H7129">
        <v>1.2910079999999999</v>
      </c>
      <c r="I7129">
        <v>339.94389999999999</v>
      </c>
      <c r="J7129">
        <v>-187.67509999999999</v>
      </c>
      <c r="K7129">
        <v>1.109173</v>
      </c>
      <c r="L7129">
        <v>86.215029999999999</v>
      </c>
      <c r="M7129">
        <v>-8.1277969999999904E-3</v>
      </c>
      <c r="N7129">
        <v>-1.233368E-2</v>
      </c>
      <c r="O7129">
        <v>0.99989090000000003</v>
      </c>
      <c r="P7129">
        <v>-2.6367120000000001E-2</v>
      </c>
      <c r="Q7129">
        <v>0.1953868</v>
      </c>
      <c r="R7129">
        <v>0.98037180000000002</v>
      </c>
      <c r="S7129">
        <v>0.23028560000000001</v>
      </c>
      <c r="T7129">
        <v>2.1935700000000002E-3</v>
      </c>
      <c r="U7129">
        <v>3.0654910000000002</v>
      </c>
      <c r="V7129">
        <v>-1.8117029999999999E-2</v>
      </c>
      <c r="W7129">
        <v>0.20749010000000001</v>
      </c>
      <c r="X7129">
        <v>0.97806930000000003</v>
      </c>
      <c r="Y7129">
        <v>8.300167E-2</v>
      </c>
      <c r="Z7129">
        <v>1.305068E-2</v>
      </c>
      <c r="AA7129">
        <v>0.99646400000000002</v>
      </c>
      <c r="AB7129">
        <v>42</v>
      </c>
      <c r="AC7129">
        <v>19.094499999999901</v>
      </c>
      <c r="AD7129">
        <v>0.181835</v>
      </c>
      <c r="AE7129">
        <v>253.72887</v>
      </c>
      <c r="AF7129">
        <v>21.156272016286799</v>
      </c>
      <c r="AG7129">
        <v>0.181835</v>
      </c>
      <c r="AH7129">
        <v>253.565150263627</v>
      </c>
      <c r="AI7129">
        <v>89.959054700263707</v>
      </c>
      <c r="AJ7129">
        <v>85.230559164851002</v>
      </c>
      <c r="AK7129">
        <v>254.44627397116699</v>
      </c>
      <c r="AL7129">
        <v>78.024693427691602</v>
      </c>
      <c r="AM7129">
        <v>91.061183150266103</v>
      </c>
      <c r="AN7129">
        <v>0.99999996198825902</v>
      </c>
    </row>
    <row r="7130" spans="1:40" x14ac:dyDescent="0.25">
      <c r="A7130" t="str">
        <f>"20190304155814253"</f>
        <v>20190304155814253</v>
      </c>
      <c r="B7130" t="str">
        <f>"1551686294252033"</f>
        <v>1551686294252033</v>
      </c>
      <c r="C7130" t="s">
        <v>40</v>
      </c>
      <c r="D7130">
        <v>4.4655009999999997</v>
      </c>
      <c r="E7130">
        <v>0.5372441</v>
      </c>
      <c r="F7130" t="s">
        <v>49</v>
      </c>
      <c r="G7130">
        <v>-168.5505</v>
      </c>
      <c r="H7130">
        <v>1.4104369999999999</v>
      </c>
      <c r="I7130">
        <v>339.94389999999999</v>
      </c>
      <c r="J7130">
        <v>-187.6781</v>
      </c>
      <c r="K7130">
        <v>1.1091789999999999</v>
      </c>
      <c r="L7130">
        <v>86.644409999999993</v>
      </c>
      <c r="M7130">
        <v>-7.6383950000000001E-3</v>
      </c>
      <c r="N7130">
        <v>-1.233394E-2</v>
      </c>
      <c r="O7130">
        <v>0.99989470000000003</v>
      </c>
      <c r="P7130">
        <v>-2.7151580000000002E-2</v>
      </c>
      <c r="Q7130">
        <v>0.19523989999999999</v>
      </c>
      <c r="R7130">
        <v>0.98037960000000002</v>
      </c>
      <c r="S7130">
        <v>0.23106380000000001</v>
      </c>
      <c r="T7130">
        <v>3.6399359999999999E-3</v>
      </c>
      <c r="U7130">
        <v>3.0655519999999998</v>
      </c>
      <c r="V7130">
        <v>-1.9381499999999999E-2</v>
      </c>
      <c r="W7130">
        <v>0.207346</v>
      </c>
      <c r="X7130">
        <v>0.97807569999999999</v>
      </c>
      <c r="Y7130">
        <v>8.2763729999999994E-2</v>
      </c>
      <c r="Z7130">
        <v>1.352099E-2</v>
      </c>
      <c r="AA7130">
        <v>0.99647750000000002</v>
      </c>
      <c r="AB7130">
        <v>42</v>
      </c>
      <c r="AC7130">
        <v>19.127600000000001</v>
      </c>
      <c r="AD7130">
        <v>0.30125799999999903</v>
      </c>
      <c r="AE7130">
        <v>253.29948999999999</v>
      </c>
      <c r="AF7130">
        <v>21.0619611381711</v>
      </c>
      <c r="AG7130">
        <v>0.30125799999999903</v>
      </c>
      <c r="AH7130">
        <v>253.14562804175</v>
      </c>
      <c r="AI7130">
        <v>89.932049511270407</v>
      </c>
      <c r="AJ7130">
        <v>85.243890099349898</v>
      </c>
      <c r="AK7130">
        <v>254.02048334734801</v>
      </c>
      <c r="AL7130">
        <v>78.033134251366903</v>
      </c>
      <c r="AM7130">
        <v>91.1352217764708</v>
      </c>
      <c r="AN7130">
        <v>1.0000000405943601</v>
      </c>
    </row>
    <row r="7131" spans="1:40" x14ac:dyDescent="0.25">
      <c r="A7131" t="str">
        <f>"20190304155814276"</f>
        <v>20190304155814276</v>
      </c>
      <c r="B7131" t="str">
        <f>"1551686294271554"</f>
        <v>1551686294271554</v>
      </c>
      <c r="C7131" t="s">
        <v>40</v>
      </c>
      <c r="D7131">
        <v>4.543139</v>
      </c>
      <c r="E7131">
        <v>0.53711049999999905</v>
      </c>
      <c r="F7131" t="s">
        <v>49</v>
      </c>
      <c r="G7131">
        <v>-168.65199999999999</v>
      </c>
      <c r="H7131">
        <v>1.3388119999999999</v>
      </c>
      <c r="I7131">
        <v>339.94389999999999</v>
      </c>
      <c r="J7131">
        <v>-187.68090000000001</v>
      </c>
      <c r="K7131">
        <v>1.1091709999999999</v>
      </c>
      <c r="L7131">
        <v>87.071780000000004</v>
      </c>
      <c r="M7131">
        <v>-7.1514369999999897E-3</v>
      </c>
      <c r="N7131">
        <v>-1.233418E-2</v>
      </c>
      <c r="O7131">
        <v>0.99989839999999997</v>
      </c>
      <c r="P7131">
        <v>-2.7728510000000001E-2</v>
      </c>
      <c r="Q7131">
        <v>0.19435369999999999</v>
      </c>
      <c r="R7131">
        <v>0.98053950000000001</v>
      </c>
      <c r="S7131">
        <v>0.23028560000000001</v>
      </c>
      <c r="T7131">
        <v>2.779484E-3</v>
      </c>
      <c r="U7131">
        <v>3.0658569999999998</v>
      </c>
      <c r="V7131">
        <v>-2.0435689999999999E-2</v>
      </c>
      <c r="W7131">
        <v>0.20646329999999999</v>
      </c>
      <c r="X7131">
        <v>0.97824089999999997</v>
      </c>
      <c r="Y7131">
        <v>8.2019610000000007E-2</v>
      </c>
      <c r="Z7131">
        <v>1.324117E-2</v>
      </c>
      <c r="AA7131">
        <v>0.99654279999999995</v>
      </c>
      <c r="AB7131">
        <v>42</v>
      </c>
      <c r="AC7131">
        <v>19.0289</v>
      </c>
      <c r="AD7131">
        <v>0.22964100000000001</v>
      </c>
      <c r="AE7131">
        <v>252.87212</v>
      </c>
      <c r="AF7131">
        <v>20.836932765683699</v>
      </c>
      <c r="AG7131">
        <v>0.22964100000000001</v>
      </c>
      <c r="AH7131">
        <v>252.72935102906899</v>
      </c>
      <c r="AI7131">
        <v>89.948114599538599</v>
      </c>
      <c r="AJ7131">
        <v>85.286759807437093</v>
      </c>
      <c r="AK7131">
        <v>253.58697792600699</v>
      </c>
      <c r="AL7131">
        <v>78.084827155737102</v>
      </c>
      <c r="AM7131">
        <v>91.196748682568995</v>
      </c>
      <c r="AN7131">
        <v>0.99999998505273702</v>
      </c>
    </row>
    <row r="7132" spans="1:40" x14ac:dyDescent="0.25">
      <c r="A7132" t="str">
        <f>"20190304155814297"</f>
        <v>20190304155814297</v>
      </c>
      <c r="B7132" t="str">
        <f>"1551686294292051"</f>
        <v>1551686294292051</v>
      </c>
      <c r="C7132" t="s">
        <v>40</v>
      </c>
      <c r="D7132">
        <v>4.4976089999999997</v>
      </c>
      <c r="E7132">
        <v>0.53708730000000005</v>
      </c>
      <c r="F7132" t="s">
        <v>49</v>
      </c>
      <c r="G7132">
        <v>-168.98230000000001</v>
      </c>
      <c r="H7132">
        <v>1.05169</v>
      </c>
      <c r="I7132">
        <v>340.46140000000003</v>
      </c>
      <c r="J7132">
        <v>-187.68340000000001</v>
      </c>
      <c r="K7132">
        <v>1.1091629999999999</v>
      </c>
      <c r="L7132">
        <v>87.474980000000002</v>
      </c>
      <c r="M7132">
        <v>-6.692038E-3</v>
      </c>
      <c r="N7132">
        <v>-1.233445E-2</v>
      </c>
      <c r="O7132">
        <v>0.9999015</v>
      </c>
      <c r="P7132">
        <v>-2.8162360000000001E-2</v>
      </c>
      <c r="Q7132">
        <v>0.19616330000000001</v>
      </c>
      <c r="R7132">
        <v>0.98016669999999995</v>
      </c>
      <c r="S7132">
        <v>0.22625729999999999</v>
      </c>
      <c r="T7132">
        <v>-6.9546699999999996E-4</v>
      </c>
      <c r="U7132">
        <v>3.066071</v>
      </c>
      <c r="V7132">
        <v>-2.1319680000000001E-2</v>
      </c>
      <c r="W7132">
        <v>0.20826900000000001</v>
      </c>
      <c r="X7132">
        <v>0.97783920000000002</v>
      </c>
      <c r="Y7132">
        <v>8.025496E-2</v>
      </c>
      <c r="Z7132">
        <v>1.211136E-2</v>
      </c>
      <c r="AA7132">
        <v>0.99670080000000005</v>
      </c>
      <c r="AB7132">
        <v>42</v>
      </c>
      <c r="AC7132">
        <v>18.7011</v>
      </c>
      <c r="AD7132">
        <v>-5.7472999999999802E-2</v>
      </c>
      <c r="AE7132">
        <v>252.98642000000001</v>
      </c>
      <c r="AF7132">
        <v>20.393803729192001</v>
      </c>
      <c r="AG7132">
        <v>-5.7472999999999802E-2</v>
      </c>
      <c r="AH7132">
        <v>252.85558330555099</v>
      </c>
      <c r="AI7132">
        <v>90.012980934632196</v>
      </c>
      <c r="AJ7132">
        <v>85.388849894114799</v>
      </c>
      <c r="AK7132">
        <v>253.676677174866</v>
      </c>
      <c r="AL7132">
        <v>77.979069552918602</v>
      </c>
      <c r="AM7132">
        <v>91.249013317231402</v>
      </c>
      <c r="AN7132">
        <v>1.00000000308647</v>
      </c>
    </row>
    <row r="7133" spans="1:40" x14ac:dyDescent="0.25">
      <c r="A7133" t="str">
        <f>"20190304155814322"</f>
        <v>20190304155814322</v>
      </c>
      <c r="B7133" t="str">
        <f>"1551686294311569"</f>
        <v>1551686294311569</v>
      </c>
      <c r="C7133" t="s">
        <v>40</v>
      </c>
      <c r="D7133">
        <v>4.5317999999999996</v>
      </c>
      <c r="E7133">
        <v>0.53700899999999996</v>
      </c>
      <c r="F7133" t="s">
        <v>43</v>
      </c>
      <c r="G7133">
        <v>-168.32759999999999</v>
      </c>
      <c r="H7133">
        <v>1.6171739999999999</v>
      </c>
      <c r="I7133">
        <v>353.69009999999997</v>
      </c>
      <c r="J7133">
        <v>-187.6859</v>
      </c>
      <c r="K7133">
        <v>1.109151</v>
      </c>
      <c r="L7133">
        <v>87.912629999999993</v>
      </c>
      <c r="M7133">
        <v>-6.1933860000000004E-3</v>
      </c>
      <c r="N7133">
        <v>-1.23348E-2</v>
      </c>
      <c r="O7133">
        <v>0.99990480000000004</v>
      </c>
      <c r="P7133">
        <v>-2.840937E-2</v>
      </c>
      <c r="Q7133">
        <v>0.19767680000000001</v>
      </c>
      <c r="R7133">
        <v>0.97985549999999999</v>
      </c>
      <c r="S7133">
        <v>0.22291559999999999</v>
      </c>
      <c r="T7133">
        <v>5.8516260000000004E-3</v>
      </c>
      <c r="U7133">
        <v>3.0659179999999999</v>
      </c>
      <c r="V7133">
        <v>-2.2055620000000001E-2</v>
      </c>
      <c r="W7133">
        <v>0.2097803</v>
      </c>
      <c r="X7133">
        <v>0.97749969999999997</v>
      </c>
      <c r="Y7133">
        <v>7.8679959999999993E-2</v>
      </c>
      <c r="Z7133">
        <v>1.424048E-2</v>
      </c>
      <c r="AA7133">
        <v>0.99679819999999997</v>
      </c>
      <c r="AB7133">
        <v>42</v>
      </c>
      <c r="AC7133">
        <v>19.3583</v>
      </c>
      <c r="AD7133">
        <v>0.508022999999999</v>
      </c>
      <c r="AE7133">
        <v>265.77746999999999</v>
      </c>
      <c r="AF7133">
        <v>21.004039933724201</v>
      </c>
      <c r="AG7133">
        <v>0.508022999999999</v>
      </c>
      <c r="AH7133">
        <v>265.65150380344198</v>
      </c>
      <c r="AI7133">
        <v>89.890770501009897</v>
      </c>
      <c r="AJ7133">
        <v>85.479248444178396</v>
      </c>
      <c r="AK7133">
        <v>266.48104858307698</v>
      </c>
      <c r="AL7133">
        <v>77.890521733985693</v>
      </c>
      <c r="AM7133">
        <v>91.292562602412204</v>
      </c>
      <c r="AN7133">
        <v>0.99999994407088</v>
      </c>
    </row>
    <row r="7134" spans="1:40" x14ac:dyDescent="0.25">
      <c r="A7134" t="str">
        <f>"20190304155814345"</f>
        <v>20190304155814345</v>
      </c>
      <c r="B7134" t="str">
        <f>"1551686294341826"</f>
        <v>1551686294341826</v>
      </c>
      <c r="C7134" t="s">
        <v>40</v>
      </c>
      <c r="D7134">
        <v>4.497198</v>
      </c>
      <c r="E7134">
        <v>0.53687220000000002</v>
      </c>
      <c r="F7134" t="s">
        <v>43</v>
      </c>
      <c r="G7134">
        <v>-168.5635</v>
      </c>
      <c r="H7134">
        <v>1.9107149999999999</v>
      </c>
      <c r="I7134">
        <v>353.69009999999997</v>
      </c>
      <c r="J7134">
        <v>-187.68819999999999</v>
      </c>
      <c r="K7134">
        <v>1.10914</v>
      </c>
      <c r="L7134">
        <v>88.354919999999893</v>
      </c>
      <c r="M7134">
        <v>-5.689365E-3</v>
      </c>
      <c r="N7134">
        <v>-1.2335189999999999E-2</v>
      </c>
      <c r="O7134">
        <v>0.99990769999999995</v>
      </c>
      <c r="P7134">
        <v>-2.8176110000000001E-2</v>
      </c>
      <c r="Q7134">
        <v>0.1979216</v>
      </c>
      <c r="R7134">
        <v>0.97981280000000004</v>
      </c>
      <c r="S7134">
        <v>0.22061159999999999</v>
      </c>
      <c r="T7134">
        <v>9.2484950000000007E-3</v>
      </c>
      <c r="U7134">
        <v>3.0662229999999999</v>
      </c>
      <c r="V7134">
        <v>-2.2316369999999999E-2</v>
      </c>
      <c r="W7134">
        <v>0.21002509999999999</v>
      </c>
      <c r="X7134">
        <v>0.97744129999999996</v>
      </c>
      <c r="Y7134">
        <v>7.7424530000000005E-2</v>
      </c>
      <c r="Z7134">
        <v>1.534518E-2</v>
      </c>
      <c r="AA7134">
        <v>0.99688010000000005</v>
      </c>
      <c r="AB7134">
        <v>42</v>
      </c>
      <c r="AC7134">
        <v>19.124699999999901</v>
      </c>
      <c r="AD7134">
        <v>0.80157500000000004</v>
      </c>
      <c r="AE7134">
        <v>265.33517999999998</v>
      </c>
      <c r="AF7134">
        <v>20.633906684450501</v>
      </c>
      <c r="AG7134">
        <v>0.80157500000000004</v>
      </c>
      <c r="AH7134">
        <v>265.219661343572</v>
      </c>
      <c r="AI7134">
        <v>89.827356833456903</v>
      </c>
      <c r="AJ7134">
        <v>85.551388857583902</v>
      </c>
      <c r="AK7134">
        <v>266.02230994926401</v>
      </c>
      <c r="AL7134">
        <v>77.876177184130896</v>
      </c>
      <c r="AM7134">
        <v>91.307916610263405</v>
      </c>
      <c r="AN7134">
        <v>1.0000000289728299</v>
      </c>
    </row>
    <row r="7135" spans="1:40" x14ac:dyDescent="0.25">
      <c r="A7135" t="str">
        <f>"20190304155814366"</f>
        <v>20190304155814366</v>
      </c>
      <c r="B7135" t="str">
        <f>"1551686294361345"</f>
        <v>1551686294361345</v>
      </c>
      <c r="C7135" t="s">
        <v>40</v>
      </c>
      <c r="D7135">
        <v>4.5470370000000004</v>
      </c>
      <c r="E7135">
        <v>0.53698800000000002</v>
      </c>
      <c r="F7135" t="s">
        <v>43</v>
      </c>
      <c r="G7135">
        <v>-168.6591</v>
      </c>
      <c r="H7135">
        <v>2.0549149999999998</v>
      </c>
      <c r="I7135">
        <v>353.69009999999997</v>
      </c>
      <c r="J7135">
        <v>-187.69</v>
      </c>
      <c r="K7135">
        <v>1.1091439999999999</v>
      </c>
      <c r="L7135">
        <v>88.747959999999907</v>
      </c>
      <c r="M7135">
        <v>-5.2411250000000001E-3</v>
      </c>
      <c r="N7135">
        <v>-1.233569E-2</v>
      </c>
      <c r="O7135">
        <v>0.99991019999999997</v>
      </c>
      <c r="P7135">
        <v>-2.76555E-2</v>
      </c>
      <c r="Q7135">
        <v>0.1985749</v>
      </c>
      <c r="R7135">
        <v>0.97969539999999999</v>
      </c>
      <c r="S7135">
        <v>0.2198792</v>
      </c>
      <c r="T7135">
        <v>1.0929349999999999E-2</v>
      </c>
      <c r="U7135">
        <v>3.0659179999999999</v>
      </c>
      <c r="V7135">
        <v>-2.2234879999999999E-2</v>
      </c>
      <c r="W7135">
        <v>0.2106768</v>
      </c>
      <c r="X7135">
        <v>0.97730280000000003</v>
      </c>
      <c r="Y7135">
        <v>7.6747430000000005E-2</v>
      </c>
      <c r="Z7135">
        <v>1.589252E-2</v>
      </c>
      <c r="AA7135">
        <v>0.99692389999999997</v>
      </c>
      <c r="AB7135">
        <v>42</v>
      </c>
      <c r="AC7135">
        <v>19.030899999999999</v>
      </c>
      <c r="AD7135">
        <v>0.94577100000000003</v>
      </c>
      <c r="AE7135">
        <v>264.94213999999999</v>
      </c>
      <c r="AF7135">
        <v>20.4190802150286</v>
      </c>
      <c r="AG7135">
        <v>0.94577100000000003</v>
      </c>
      <c r="AH7135">
        <v>264.83539214805</v>
      </c>
      <c r="AI7135">
        <v>89.795993623383694</v>
      </c>
      <c r="AJ7135">
        <v>85.591159078613202</v>
      </c>
      <c r="AK7135">
        <v>265.62307552963802</v>
      </c>
      <c r="AL7135">
        <v>77.8379817852842</v>
      </c>
      <c r="AM7135">
        <v>91.303326911796205</v>
      </c>
      <c r="AN7135">
        <v>0.99999993341734394</v>
      </c>
    </row>
    <row r="7136" spans="1:40" x14ac:dyDescent="0.25">
      <c r="A7136" t="str">
        <f>"20190304155814388"</f>
        <v>20190304155814388</v>
      </c>
      <c r="B7136" t="str">
        <f>"1551686294381842"</f>
        <v>1551686294381842</v>
      </c>
      <c r="C7136" t="s">
        <v>40</v>
      </c>
      <c r="D7136">
        <v>4.5268199999999998</v>
      </c>
      <c r="E7136">
        <v>0.5370798</v>
      </c>
      <c r="F7136" t="s">
        <v>43</v>
      </c>
      <c r="G7136">
        <v>-168.52350000000001</v>
      </c>
      <c r="H7136">
        <v>2.3265699999999998</v>
      </c>
      <c r="I7136">
        <v>353.69009999999997</v>
      </c>
      <c r="J7136">
        <v>-187.6917</v>
      </c>
      <c r="K7136">
        <v>1.1091629999999999</v>
      </c>
      <c r="L7136">
        <v>89.16534</v>
      </c>
      <c r="M7136">
        <v>-4.763186E-3</v>
      </c>
      <c r="N7136">
        <v>-1.2339019999999999E-2</v>
      </c>
      <c r="O7136">
        <v>0.99991249999999998</v>
      </c>
      <c r="P7136">
        <v>-2.7058280000000001E-2</v>
      </c>
      <c r="Q7136">
        <v>0.20092960000000001</v>
      </c>
      <c r="R7136">
        <v>0.97923190000000004</v>
      </c>
      <c r="S7136">
        <v>0.2217712</v>
      </c>
      <c r="T7136">
        <v>1.4087560000000001E-2</v>
      </c>
      <c r="U7136">
        <v>3.065582</v>
      </c>
      <c r="V7136">
        <v>-2.2104510000000001E-2</v>
      </c>
      <c r="W7136">
        <v>0.21302869999999999</v>
      </c>
      <c r="X7136">
        <v>0.97679590000000005</v>
      </c>
      <c r="Y7136">
        <v>7.6890029999999998E-2</v>
      </c>
      <c r="Z7136">
        <v>1.6923150000000001E-2</v>
      </c>
      <c r="AA7136">
        <v>0.996896</v>
      </c>
      <c r="AB7136">
        <v>42</v>
      </c>
      <c r="AC7136">
        <v>19.168199999999899</v>
      </c>
      <c r="AD7136">
        <v>1.2174069999999999</v>
      </c>
      <c r="AE7136">
        <v>264.52476000000001</v>
      </c>
      <c r="AF7136">
        <v>20.427628706813699</v>
      </c>
      <c r="AG7136">
        <v>1.2174069999999999</v>
      </c>
      <c r="AH7136">
        <v>264.424878677832</v>
      </c>
      <c r="AI7136">
        <v>89.736996836347402</v>
      </c>
      <c r="AJ7136">
        <v>85.582500195663997</v>
      </c>
      <c r="AK7136">
        <v>265.21554735379499</v>
      </c>
      <c r="AL7136">
        <v>77.700099302563601</v>
      </c>
      <c r="AM7136">
        <v>91.296359871300098</v>
      </c>
      <c r="AN7136">
        <v>1.0000000333214101</v>
      </c>
    </row>
    <row r="7137" spans="1:40" x14ac:dyDescent="0.25">
      <c r="A7137" t="str">
        <f>"20190304155814411"</f>
        <v>20190304155814411</v>
      </c>
      <c r="B7137" t="str">
        <f>"1551686294401362"</f>
        <v>1551686294401362</v>
      </c>
      <c r="C7137" t="s">
        <v>40</v>
      </c>
      <c r="D7137">
        <v>4.5575109999999999</v>
      </c>
      <c r="E7137">
        <v>0.53713559999999905</v>
      </c>
      <c r="F7137" t="s">
        <v>43</v>
      </c>
      <c r="G7137">
        <v>-168.36510000000001</v>
      </c>
      <c r="H7137">
        <v>3.0323099999999998</v>
      </c>
      <c r="I7137">
        <v>353.69009999999997</v>
      </c>
      <c r="J7137">
        <v>-187.69329999999999</v>
      </c>
      <c r="K7137">
        <v>1.1091789999999999</v>
      </c>
      <c r="L7137">
        <v>89.581180000000003</v>
      </c>
      <c r="M7137">
        <v>-4.2840380000000004E-3</v>
      </c>
      <c r="N7137">
        <v>-1.234613E-2</v>
      </c>
      <c r="O7137">
        <v>0.99991459999999999</v>
      </c>
      <c r="P7137">
        <v>-2.6431619999999999E-2</v>
      </c>
      <c r="Q7137">
        <v>0.2051325</v>
      </c>
      <c r="R7137">
        <v>0.97837719999999995</v>
      </c>
      <c r="S7137">
        <v>0.22395319999999999</v>
      </c>
      <c r="T7137">
        <v>2.2285940000000001E-2</v>
      </c>
      <c r="U7137">
        <v>3.0652469999999998</v>
      </c>
      <c r="V7137">
        <v>-2.1943520000000001E-2</v>
      </c>
      <c r="W7137">
        <v>0.21722730000000001</v>
      </c>
      <c r="X7137">
        <v>0.97587440000000003</v>
      </c>
      <c r="Y7137">
        <v>7.7123720000000007E-2</v>
      </c>
      <c r="Z7137">
        <v>1.9596909999999999E-2</v>
      </c>
      <c r="AA7137">
        <v>0.99682890000000002</v>
      </c>
      <c r="AB7137">
        <v>42</v>
      </c>
      <c r="AC7137">
        <v>19.328199999999899</v>
      </c>
      <c r="AD7137">
        <v>1.9231309999999999</v>
      </c>
      <c r="AE7137">
        <v>264.10892000000001</v>
      </c>
      <c r="AF7137">
        <v>20.4584825457266</v>
      </c>
      <c r="AG7137">
        <v>1.9231309999999999</v>
      </c>
      <c r="AH7137">
        <v>264.00976336143299</v>
      </c>
      <c r="AI7137">
        <v>89.583894145270193</v>
      </c>
      <c r="AJ7137">
        <v>85.568925868982404</v>
      </c>
      <c r="AK7137">
        <v>264.80823833686998</v>
      </c>
      <c r="AL7137">
        <v>77.453769410773603</v>
      </c>
      <c r="AM7137">
        <v>91.288136308538</v>
      </c>
      <c r="AN7137">
        <v>1.0000000312553099</v>
      </c>
    </row>
    <row r="7138" spans="1:40" x14ac:dyDescent="0.25">
      <c r="A7138" t="str">
        <f>"20190304155814432"</f>
        <v>20190304155814432</v>
      </c>
      <c r="B7138" t="str">
        <f>"1551686294421857"</f>
        <v>1551686294421857</v>
      </c>
      <c r="C7138" t="s">
        <v>40</v>
      </c>
      <c r="D7138">
        <v>4.5271400000000002</v>
      </c>
      <c r="E7138">
        <v>0.53712979999999999</v>
      </c>
      <c r="F7138" t="s">
        <v>43</v>
      </c>
      <c r="G7138">
        <v>-168.24510000000001</v>
      </c>
      <c r="H7138">
        <v>4.2579900000000004</v>
      </c>
      <c r="I7138">
        <v>353.69009999999997</v>
      </c>
      <c r="J7138">
        <v>-187.69460000000001</v>
      </c>
      <c r="K7138">
        <v>1.1091959999999901</v>
      </c>
      <c r="L7138">
        <v>89.990229999999997</v>
      </c>
      <c r="M7138">
        <v>-3.806622E-3</v>
      </c>
      <c r="N7138">
        <v>-1.236217E-2</v>
      </c>
      <c r="O7138">
        <v>0.99991629999999998</v>
      </c>
      <c r="P7138">
        <v>-2.6068270000000001E-2</v>
      </c>
      <c r="Q7138">
        <v>0.2095746</v>
      </c>
      <c r="R7138">
        <v>0.97744509999999996</v>
      </c>
      <c r="S7138">
        <v>0.2256775</v>
      </c>
      <c r="T7138">
        <v>3.6539910000000002E-2</v>
      </c>
      <c r="U7138">
        <v>3.0647280000000001</v>
      </c>
      <c r="V7138">
        <v>-2.2042369999999999E-2</v>
      </c>
      <c r="W7138">
        <v>0.22167329999999999</v>
      </c>
      <c r="X7138">
        <v>0.97487179999999996</v>
      </c>
      <c r="Y7138">
        <v>7.7212509999999998E-2</v>
      </c>
      <c r="Z7138">
        <v>2.4249969999999999E-2</v>
      </c>
      <c r="AA7138">
        <v>0.99671969999999999</v>
      </c>
      <c r="AB7138">
        <v>42</v>
      </c>
      <c r="AC7138">
        <v>19.4495</v>
      </c>
      <c r="AD7138">
        <v>3.1487940000000001</v>
      </c>
      <c r="AE7138">
        <v>263.69986999999998</v>
      </c>
      <c r="AF7138">
        <v>20.450341439587199</v>
      </c>
      <c r="AG7138">
        <v>3.1487940000000001</v>
      </c>
      <c r="AH7138">
        <v>263.58653689693102</v>
      </c>
      <c r="AI7138">
        <v>89.317629974630194</v>
      </c>
      <c r="AJ7138">
        <v>85.563598577570005</v>
      </c>
      <c r="AK7138">
        <v>264.39741640562102</v>
      </c>
      <c r="AL7138">
        <v>77.192666655164501</v>
      </c>
      <c r="AM7138">
        <v>91.295267355310202</v>
      </c>
      <c r="AN7138">
        <v>0.99999997222167303</v>
      </c>
    </row>
    <row r="7139" spans="1:40" x14ac:dyDescent="0.25">
      <c r="A7139" t="str">
        <f>"20190304155814456"</f>
        <v>20190304155814456</v>
      </c>
      <c r="B7139" t="str">
        <f>"1551686294451138"</f>
        <v>1551686294451138</v>
      </c>
      <c r="C7139" t="s">
        <v>40</v>
      </c>
      <c r="D7139">
        <v>4.5276160000000001</v>
      </c>
      <c r="E7139">
        <v>0.53706560000000003</v>
      </c>
      <c r="F7139" t="s">
        <v>43</v>
      </c>
      <c r="G7139">
        <v>-168.214</v>
      </c>
      <c r="H7139">
        <v>5.4793919999999998</v>
      </c>
      <c r="I7139">
        <v>353.69009999999997</v>
      </c>
      <c r="J7139">
        <v>-187.69569999999999</v>
      </c>
      <c r="K7139">
        <v>1.109213</v>
      </c>
      <c r="L7139">
        <v>90.420140000000004</v>
      </c>
      <c r="M7139">
        <v>-3.299569E-3</v>
      </c>
      <c r="N7139">
        <v>-1.2386909999999999E-2</v>
      </c>
      <c r="O7139">
        <v>0.99991790000000003</v>
      </c>
      <c r="P7139">
        <v>-2.4781709999999998E-2</v>
      </c>
      <c r="Q7139">
        <v>0.2137674</v>
      </c>
      <c r="R7139">
        <v>0.97657020000000005</v>
      </c>
      <c r="S7139">
        <v>0.22637940000000001</v>
      </c>
      <c r="T7139">
        <v>5.0786020000000001E-2</v>
      </c>
      <c r="U7139">
        <v>3.0643919999999998</v>
      </c>
      <c r="V7139">
        <v>-2.1245E-2</v>
      </c>
      <c r="W7139">
        <v>0.2258783</v>
      </c>
      <c r="X7139">
        <v>0.97392389999999995</v>
      </c>
      <c r="Y7139">
        <v>7.6935050000000005E-2</v>
      </c>
      <c r="Z7139">
        <v>2.8908920000000001E-2</v>
      </c>
      <c r="AA7139">
        <v>0.99661690000000003</v>
      </c>
      <c r="AB7139">
        <v>42</v>
      </c>
      <c r="AC7139">
        <v>19.481699999999901</v>
      </c>
      <c r="AD7139">
        <v>4.3701790000000003</v>
      </c>
      <c r="AE7139">
        <v>263.26996000000003</v>
      </c>
      <c r="AF7139">
        <v>20.344762516248199</v>
      </c>
      <c r="AG7139">
        <v>4.3701790000000003</v>
      </c>
      <c r="AH7139">
        <v>263.13213007599302</v>
      </c>
      <c r="AI7139">
        <v>89.051332459118399</v>
      </c>
      <c r="AJ7139">
        <v>85.578819945594802</v>
      </c>
      <c r="AK7139">
        <v>263.95364309791898</v>
      </c>
      <c r="AL7139">
        <v>76.945470066236098</v>
      </c>
      <c r="AM7139">
        <v>91.249641597114106</v>
      </c>
      <c r="AN7139">
        <v>1.0000000597135399</v>
      </c>
    </row>
    <row r="7140" spans="1:40" x14ac:dyDescent="0.25">
      <c r="A7140" t="str">
        <f>"20190304155814478"</f>
        <v>20190304155814478</v>
      </c>
      <c r="B7140" t="str">
        <f>"1551686294471634"</f>
        <v>1551686294471634</v>
      </c>
      <c r="C7140" t="s">
        <v>40</v>
      </c>
      <c r="D7140">
        <v>4.6375590000000004</v>
      </c>
      <c r="E7140">
        <v>0.53688899999999995</v>
      </c>
      <c r="F7140" t="s">
        <v>49</v>
      </c>
      <c r="G7140">
        <v>-168.98410000000001</v>
      </c>
      <c r="H7140">
        <v>6.3434739999999996</v>
      </c>
      <c r="I7140">
        <v>341.22579999999999</v>
      </c>
      <c r="J7140">
        <v>-187.69669999999999</v>
      </c>
      <c r="K7140">
        <v>1.1092109999999999</v>
      </c>
      <c r="L7140">
        <v>90.842529999999996</v>
      </c>
      <c r="M7140">
        <v>-2.7951370000000001E-3</v>
      </c>
      <c r="N7140">
        <v>-1.241832E-2</v>
      </c>
      <c r="O7140">
        <v>0.999919</v>
      </c>
      <c r="P7140">
        <v>-2.3116250000000001E-2</v>
      </c>
      <c r="Q7140">
        <v>0.21719369999999999</v>
      </c>
      <c r="R7140">
        <v>0.97585480000000002</v>
      </c>
      <c r="S7140">
        <v>0.22857669999999999</v>
      </c>
      <c r="T7140">
        <v>6.3940529999999995E-2</v>
      </c>
      <c r="U7140">
        <v>3.0637819999999998</v>
      </c>
      <c r="V7140">
        <v>-2.0064579999999999E-2</v>
      </c>
      <c r="W7140">
        <v>0.229325</v>
      </c>
      <c r="X7140">
        <v>0.97314310000000004</v>
      </c>
      <c r="Y7140">
        <v>7.7149549999999997E-2</v>
      </c>
      <c r="Z7140">
        <v>3.3220449999999999E-2</v>
      </c>
      <c r="AA7140">
        <v>0.99646590000000002</v>
      </c>
      <c r="AB7140">
        <v>42</v>
      </c>
      <c r="AC7140">
        <v>18.712599999999899</v>
      </c>
      <c r="AD7140">
        <v>5.2342629999999897</v>
      </c>
      <c r="AE7140">
        <v>250.38327000000001</v>
      </c>
      <c r="AF7140">
        <v>19.404003570176101</v>
      </c>
      <c r="AG7140">
        <v>5.2342629999999897</v>
      </c>
      <c r="AH7140">
        <v>250.22123934890701</v>
      </c>
      <c r="AI7140">
        <v>88.805216764717699</v>
      </c>
      <c r="AJ7140">
        <v>85.565736363101394</v>
      </c>
      <c r="AK7140">
        <v>251.02705329308199</v>
      </c>
      <c r="AL7140">
        <v>76.742665299977602</v>
      </c>
      <c r="AM7140">
        <v>91.1811756018502</v>
      </c>
      <c r="AN7140">
        <v>1.00000001803659</v>
      </c>
    </row>
    <row r="7141" spans="1:40" x14ac:dyDescent="0.25">
      <c r="A7141" t="str">
        <f>"20190304155814499"</f>
        <v>20190304155814499</v>
      </c>
      <c r="B7141" t="str">
        <f>"1551686294492130"</f>
        <v>1551686294492130</v>
      </c>
      <c r="C7141" t="s">
        <v>40</v>
      </c>
      <c r="D7141">
        <v>4.5240109999999998</v>
      </c>
      <c r="E7141">
        <v>0.53679350000000003</v>
      </c>
      <c r="F7141" t="s">
        <v>49</v>
      </c>
      <c r="G7141">
        <v>-169.69399999999999</v>
      </c>
      <c r="H7141">
        <v>6.9942000000000002</v>
      </c>
      <c r="I7141">
        <v>329.59010000000001</v>
      </c>
      <c r="J7141">
        <v>-187.69730000000001</v>
      </c>
      <c r="K7141">
        <v>1.1092150000000001</v>
      </c>
      <c r="L7141">
        <v>91.249600000000001</v>
      </c>
      <c r="M7141">
        <v>-2.301417E-3</v>
      </c>
      <c r="N7141">
        <v>-1.245595E-2</v>
      </c>
      <c r="O7141">
        <v>0.99991980000000003</v>
      </c>
      <c r="P7141">
        <v>-2.1030259999999999E-2</v>
      </c>
      <c r="Q7141">
        <v>0.21897430000000001</v>
      </c>
      <c r="R7141">
        <v>0.97550400000000004</v>
      </c>
      <c r="S7141">
        <v>0.230957</v>
      </c>
      <c r="T7141">
        <v>7.5498700000000002E-2</v>
      </c>
      <c r="U7141">
        <v>3.062897</v>
      </c>
      <c r="V7141">
        <v>-1.845459E-2</v>
      </c>
      <c r="W7141">
        <v>0.2311356</v>
      </c>
      <c r="X7141">
        <v>0.97274649999999996</v>
      </c>
      <c r="Y7141">
        <v>7.7440490000000001E-2</v>
      </c>
      <c r="Z7141">
        <v>3.7021350000000001E-2</v>
      </c>
      <c r="AA7141">
        <v>0.99630940000000001</v>
      </c>
      <c r="AB7141">
        <v>42</v>
      </c>
      <c r="AC7141">
        <v>18.0032999999999</v>
      </c>
      <c r="AD7141">
        <v>5.8849849999999897</v>
      </c>
      <c r="AE7141">
        <v>238.34049999999999</v>
      </c>
      <c r="AF7141">
        <v>18.540576226359399</v>
      </c>
      <c r="AG7141">
        <v>5.8849849999999897</v>
      </c>
      <c r="AH7141">
        <v>238.15406068638001</v>
      </c>
      <c r="AI7141">
        <v>88.588730210217307</v>
      </c>
      <c r="AJ7141">
        <v>85.548434446767203</v>
      </c>
      <c r="AK7141">
        <v>238.947154485396</v>
      </c>
      <c r="AL7141">
        <v>76.636061458584706</v>
      </c>
      <c r="AM7141">
        <v>91.086864141687101</v>
      </c>
      <c r="AN7141">
        <v>0.99999999537083895</v>
      </c>
    </row>
    <row r="7142" spans="1:40" x14ac:dyDescent="0.25">
      <c r="A7142" t="str">
        <f>"20190304155814523"</f>
        <v>20190304155814523</v>
      </c>
      <c r="B7142" t="str">
        <f>"1551686294511649"</f>
        <v>1551686294511649</v>
      </c>
      <c r="C7142" t="s">
        <v>40</v>
      </c>
      <c r="D7142">
        <v>7.3210149999999903</v>
      </c>
      <c r="E7142">
        <v>0.55056579999999999</v>
      </c>
      <c r="F7142" t="s">
        <v>49</v>
      </c>
      <c r="G7142">
        <v>-169.69399999999999</v>
      </c>
      <c r="H7142">
        <v>7.1791359999999997</v>
      </c>
      <c r="I7142">
        <v>325.16000000000003</v>
      </c>
      <c r="J7142">
        <v>-187.6978</v>
      </c>
      <c r="K7142">
        <v>1.1092299999999999</v>
      </c>
      <c r="L7142">
        <v>91.69162</v>
      </c>
      <c r="M7142">
        <v>-1.7541830000000001E-3</v>
      </c>
      <c r="N7142">
        <v>-1.2505240000000001E-2</v>
      </c>
      <c r="O7142">
        <v>0.99992020000000004</v>
      </c>
      <c r="P7142">
        <v>-1.8689689999999998E-2</v>
      </c>
      <c r="Q7142">
        <v>0.21989539999999999</v>
      </c>
      <c r="R7142">
        <v>0.9753444</v>
      </c>
      <c r="S7142">
        <v>0.23571780000000001</v>
      </c>
      <c r="T7142">
        <v>7.947361E-2</v>
      </c>
      <c r="U7142">
        <v>3.062592</v>
      </c>
      <c r="V7142">
        <v>-1.6641179999999998E-2</v>
      </c>
      <c r="W7142">
        <v>0.2321</v>
      </c>
      <c r="X7142">
        <v>0.97254960000000001</v>
      </c>
      <c r="Y7142">
        <v>7.8438910000000001E-2</v>
      </c>
      <c r="Z7142">
        <v>3.8362670000000001E-2</v>
      </c>
      <c r="AA7142">
        <v>0.99618050000000002</v>
      </c>
      <c r="AB7142">
        <v>42</v>
      </c>
      <c r="AC7142">
        <v>18.003799999999899</v>
      </c>
      <c r="AD7142">
        <v>6.0699059999999996</v>
      </c>
      <c r="AE7142">
        <v>233.46838</v>
      </c>
      <c r="AF7142">
        <v>18.400986187213601</v>
      </c>
      <c r="AG7142">
        <v>6.0699059999999996</v>
      </c>
      <c r="AH7142">
        <v>233.27968550263199</v>
      </c>
      <c r="AI7142">
        <v>88.5141211483528</v>
      </c>
      <c r="AJ7142">
        <v>85.4898757491586</v>
      </c>
      <c r="AK7142">
        <v>234.08300177440799</v>
      </c>
      <c r="AL7142">
        <v>76.579261314588706</v>
      </c>
      <c r="AM7142">
        <v>90.980285574634095</v>
      </c>
      <c r="AN7142">
        <v>1.0000000316659701</v>
      </c>
    </row>
    <row r="7143" spans="1:40" x14ac:dyDescent="0.25">
      <c r="A7143" t="str">
        <f>"20190304155814546"</f>
        <v>20190304155814546</v>
      </c>
      <c r="B7143" t="str">
        <f>"1551686294541906"</f>
        <v>1551686294541906</v>
      </c>
      <c r="C7143" t="s">
        <v>40</v>
      </c>
      <c r="D7143">
        <v>4.9463780000000002</v>
      </c>
      <c r="E7143">
        <v>0.59547130000000004</v>
      </c>
      <c r="F7143" t="s">
        <v>49</v>
      </c>
      <c r="G7143">
        <v>-161.35210000000001</v>
      </c>
      <c r="H7143">
        <v>50.141739999999999</v>
      </c>
      <c r="I7143">
        <v>314.52839999999998</v>
      </c>
      <c r="J7143">
        <v>-187.69800000000001</v>
      </c>
      <c r="K7143">
        <v>1.109251</v>
      </c>
      <c r="L7143">
        <v>92.119780000000006</v>
      </c>
      <c r="M7143">
        <v>-1.209014E-3</v>
      </c>
      <c r="N7143">
        <v>-1.2560780000000001E-2</v>
      </c>
      <c r="O7143">
        <v>0.99992040000000004</v>
      </c>
      <c r="P7143">
        <v>-1.6294039999999999E-2</v>
      </c>
      <c r="Q7143">
        <v>0.2225048</v>
      </c>
      <c r="R7143">
        <v>0.97479539999999998</v>
      </c>
      <c r="S7143">
        <v>0.34721370000000001</v>
      </c>
      <c r="T7143">
        <v>0.64620659999999996</v>
      </c>
      <c r="U7143">
        <v>2.936798</v>
      </c>
      <c r="V7143">
        <v>-1.476768E-2</v>
      </c>
      <c r="W7143">
        <v>0.23475399999999999</v>
      </c>
      <c r="X7143">
        <v>0.97194259999999999</v>
      </c>
      <c r="Y7143">
        <v>0.1157325</v>
      </c>
      <c r="Z7143">
        <v>0.22571759999999999</v>
      </c>
      <c r="AA7143">
        <v>0.96729390000000004</v>
      </c>
      <c r="AB7143">
        <v>42</v>
      </c>
      <c r="AC7143">
        <v>26.345899999999901</v>
      </c>
      <c r="AD7143">
        <v>49.032488999999998</v>
      </c>
      <c r="AE7143">
        <v>222.40862000000001</v>
      </c>
      <c r="AF7143">
        <v>25.3974803961144</v>
      </c>
      <c r="AG7143">
        <v>49.032488999999998</v>
      </c>
      <c r="AH7143">
        <v>212.20546526958901</v>
      </c>
      <c r="AI7143">
        <v>77.078579383334599</v>
      </c>
      <c r="AJ7143">
        <v>83.175107248476095</v>
      </c>
      <c r="AK7143">
        <v>219.27237965208701</v>
      </c>
      <c r="AL7143">
        <v>76.422877238118105</v>
      </c>
      <c r="AM7143">
        <v>90.8704841570149</v>
      </c>
      <c r="AN7143">
        <v>0.99999997129166995</v>
      </c>
    </row>
    <row r="7144" spans="1:40" x14ac:dyDescent="0.25">
      <c r="A7144" t="str">
        <f>"20190304155814568"</f>
        <v>20190304155814568</v>
      </c>
      <c r="B7144" t="str">
        <f>"1551686294561426"</f>
        <v>1551686294561426</v>
      </c>
      <c r="C7144" t="s">
        <v>40</v>
      </c>
      <c r="D7144">
        <v>4.8270989999999996</v>
      </c>
      <c r="E7144">
        <v>0.59359030000000002</v>
      </c>
      <c r="F7144" t="s">
        <v>69</v>
      </c>
      <c r="G7144">
        <v>-169.00380000000001</v>
      </c>
      <c r="H7144">
        <v>1.3529850000000001</v>
      </c>
      <c r="I7144">
        <v>172.69130000000001</v>
      </c>
      <c r="J7144">
        <v>-187.69800000000001</v>
      </c>
      <c r="K7144">
        <v>1.1092550000000001</v>
      </c>
      <c r="L7144">
        <v>92.533910000000006</v>
      </c>
      <c r="M7144">
        <v>-6.619366E-4</v>
      </c>
      <c r="N7144">
        <v>-1.2621220000000001E-2</v>
      </c>
      <c r="O7144">
        <v>0.99992009999999998</v>
      </c>
      <c r="P7144">
        <v>-1.467005E-2</v>
      </c>
      <c r="Q7144">
        <v>0.22596469999999999</v>
      </c>
      <c r="R7144">
        <v>0.97402500000000003</v>
      </c>
      <c r="S7144">
        <v>0.71633910000000001</v>
      </c>
      <c r="T7144">
        <v>9.340882E-3</v>
      </c>
      <c r="U7144">
        <v>3.087402</v>
      </c>
      <c r="V7144">
        <v>-1.3665139999999999E-2</v>
      </c>
      <c r="W7144">
        <v>0.23826130000000001</v>
      </c>
      <c r="X7144">
        <v>0.971105</v>
      </c>
      <c r="Y7144">
        <v>0.22661990000000001</v>
      </c>
      <c r="Z7144">
        <v>1.556884E-2</v>
      </c>
      <c r="AA7144">
        <v>0.97385880000000002</v>
      </c>
      <c r="AB7144">
        <v>42</v>
      </c>
      <c r="AC7144">
        <v>18.694199999999899</v>
      </c>
      <c r="AD7144">
        <v>0.24373</v>
      </c>
      <c r="AE7144">
        <v>80.157390000000007</v>
      </c>
      <c r="AF7144">
        <v>18.747094856792302</v>
      </c>
      <c r="AG7144">
        <v>0.24373</v>
      </c>
      <c r="AH7144">
        <v>80.1442943235473</v>
      </c>
      <c r="AI7144">
        <v>89.830335978264102</v>
      </c>
      <c r="AJ7144">
        <v>76.834279084712193</v>
      </c>
      <c r="AK7144">
        <v>82.308085158761003</v>
      </c>
      <c r="AL7144">
        <v>76.216057156420604</v>
      </c>
      <c r="AM7144">
        <v>90.806198275092001</v>
      </c>
      <c r="AN7144">
        <v>1.0000000520769501</v>
      </c>
    </row>
    <row r="7145" spans="1:40" x14ac:dyDescent="0.25">
      <c r="A7145" t="str">
        <f>"20190304155814589"</f>
        <v>20190304155814589</v>
      </c>
      <c r="B7145" t="str">
        <f>"1551686294581922"</f>
        <v>1551686294581922</v>
      </c>
      <c r="C7145" t="s">
        <v>40</v>
      </c>
      <c r="D7145">
        <v>4.8951310000000001</v>
      </c>
      <c r="E7145">
        <v>0.5915144</v>
      </c>
      <c r="F7145" t="s">
        <v>69</v>
      </c>
      <c r="G7145">
        <v>-169.2851</v>
      </c>
      <c r="H7145">
        <v>3.2188500000000002</v>
      </c>
      <c r="I7145">
        <v>172.69069999999999</v>
      </c>
      <c r="J7145">
        <v>-187.6978</v>
      </c>
      <c r="K7145">
        <v>1.109248</v>
      </c>
      <c r="L7145">
        <v>92.932220000000001</v>
      </c>
      <c r="M7145">
        <v>-1.104984E-4</v>
      </c>
      <c r="N7145">
        <v>-1.26882E-2</v>
      </c>
      <c r="O7145">
        <v>0.99991949999999996</v>
      </c>
      <c r="P7145">
        <v>-1.374855E-2</v>
      </c>
      <c r="Q7145">
        <v>0.2275547</v>
      </c>
      <c r="R7145">
        <v>0.97366819999999998</v>
      </c>
      <c r="S7145">
        <v>0.70564269999999996</v>
      </c>
      <c r="T7145">
        <v>8.0847740000000001E-2</v>
      </c>
      <c r="U7145">
        <v>3.071869</v>
      </c>
      <c r="V7145">
        <v>-1.3267839999999999E-2</v>
      </c>
      <c r="W7145">
        <v>0.2399114</v>
      </c>
      <c r="X7145">
        <v>0.97070409999999996</v>
      </c>
      <c r="Y7145">
        <v>0.22384180000000001</v>
      </c>
      <c r="Z7145">
        <v>3.8324039999999997E-2</v>
      </c>
      <c r="AA7145">
        <v>0.97387170000000001</v>
      </c>
      <c r="AB7145">
        <v>42</v>
      </c>
      <c r="AC7145">
        <v>18.412700000000001</v>
      </c>
      <c r="AD7145">
        <v>2.1096020000000002</v>
      </c>
      <c r="AE7145">
        <v>79.758479999999906</v>
      </c>
      <c r="AF7145">
        <v>18.4092863703059</v>
      </c>
      <c r="AG7145">
        <v>2.1096020000000002</v>
      </c>
      <c r="AH7145">
        <v>79.703505866267605</v>
      </c>
      <c r="AI7145">
        <v>88.522717603067903</v>
      </c>
      <c r="AJ7145">
        <v>76.994347689788896</v>
      </c>
      <c r="AK7145">
        <v>81.829096858247794</v>
      </c>
      <c r="AL7145">
        <v>76.118688573601801</v>
      </c>
      <c r="AM7145">
        <v>90.783085082830695</v>
      </c>
      <c r="AN7145">
        <v>0.99999998259251699</v>
      </c>
    </row>
    <row r="7146" spans="1:40" x14ac:dyDescent="0.25">
      <c r="A7146" t="str">
        <f>"20190304155814612"</f>
        <v>20190304155814612</v>
      </c>
      <c r="B7146" t="str">
        <f>"1551686294601442"</f>
        <v>1551686294601442</v>
      </c>
      <c r="C7146" t="s">
        <v>40</v>
      </c>
      <c r="D7146">
        <v>5.0627709999999997</v>
      </c>
      <c r="E7146">
        <v>0.58911769999999997</v>
      </c>
      <c r="F7146" t="s">
        <v>69</v>
      </c>
      <c r="G7146">
        <v>-169.40539999999999</v>
      </c>
      <c r="H7146">
        <v>4.452909</v>
      </c>
      <c r="I7146">
        <v>173.9118</v>
      </c>
      <c r="J7146">
        <v>-187.69730000000001</v>
      </c>
      <c r="K7146">
        <v>1.1092200000000001</v>
      </c>
      <c r="L7146">
        <v>93.340850000000003</v>
      </c>
      <c r="M7146">
        <v>4.9556950000000002E-4</v>
      </c>
      <c r="N7146">
        <v>-1.2766130000000001E-2</v>
      </c>
      <c r="O7146">
        <v>0.99991839999999999</v>
      </c>
      <c r="P7146">
        <v>-1.338109E-2</v>
      </c>
      <c r="Q7146">
        <v>0.22675439999999999</v>
      </c>
      <c r="R7146">
        <v>0.97385999999999995</v>
      </c>
      <c r="S7146">
        <v>0.69152829999999998</v>
      </c>
      <c r="T7146">
        <v>0.12640570000000001</v>
      </c>
      <c r="U7146">
        <v>3.0613709999999998</v>
      </c>
      <c r="V7146">
        <v>-1.347628E-2</v>
      </c>
      <c r="W7146">
        <v>0.2391906</v>
      </c>
      <c r="X7146">
        <v>0.97087909999999999</v>
      </c>
      <c r="Y7146">
        <v>0.219582</v>
      </c>
      <c r="Z7146">
        <v>5.2997139999999998E-2</v>
      </c>
      <c r="AA7146">
        <v>0.97415350000000001</v>
      </c>
      <c r="AB7146">
        <v>42</v>
      </c>
      <c r="AC7146">
        <v>18.291899999999998</v>
      </c>
      <c r="AD7146">
        <v>3.3436889999999999</v>
      </c>
      <c r="AE7146">
        <v>80.570949999999996</v>
      </c>
      <c r="AF7146">
        <v>18.222121301051502</v>
      </c>
      <c r="AG7146">
        <v>3.3436889999999999</v>
      </c>
      <c r="AH7146">
        <v>80.448245393069101</v>
      </c>
      <c r="AI7146">
        <v>87.678708201085598</v>
      </c>
      <c r="AJ7146">
        <v>77.2374381958154</v>
      </c>
      <c r="AK7146">
        <v>82.553898440124698</v>
      </c>
      <c r="AL7146">
        <v>76.161226004434994</v>
      </c>
      <c r="AM7146">
        <v>90.795242563927602</v>
      </c>
      <c r="AN7146">
        <v>0.99999999003390405</v>
      </c>
    </row>
    <row r="7147" spans="1:40" x14ac:dyDescent="0.25">
      <c r="A7147" t="str">
        <f>"20190304155814632"</f>
        <v>20190304155814632</v>
      </c>
      <c r="B7147" t="str">
        <f>"1551686294621941"</f>
        <v>1551686294621941</v>
      </c>
      <c r="C7147" t="s">
        <v>40</v>
      </c>
      <c r="D7147">
        <v>4.9831510000000003</v>
      </c>
      <c r="E7147">
        <v>0.587646</v>
      </c>
      <c r="F7147" t="s">
        <v>100</v>
      </c>
      <c r="G7147">
        <v>-170.6448</v>
      </c>
      <c r="H7147">
        <v>5.005668</v>
      </c>
      <c r="I7147">
        <v>170.584</v>
      </c>
      <c r="J7147">
        <v>-187.69640000000001</v>
      </c>
      <c r="K7147">
        <v>1.1091770000000001</v>
      </c>
      <c r="L7147">
        <v>93.749300000000005</v>
      </c>
      <c r="M7147">
        <v>1.157171E-3</v>
      </c>
      <c r="N7147">
        <v>-1.2849859999999999E-2</v>
      </c>
      <c r="O7147">
        <v>0.99991680000000005</v>
      </c>
      <c r="P7147">
        <v>-1.302002E-2</v>
      </c>
      <c r="Q7147">
        <v>0.22312480000000001</v>
      </c>
      <c r="R7147">
        <v>0.97470299999999999</v>
      </c>
      <c r="S7147">
        <v>0.67419430000000002</v>
      </c>
      <c r="T7147">
        <v>0.15405199999999999</v>
      </c>
      <c r="U7147">
        <v>3.053925</v>
      </c>
      <c r="V7147">
        <v>-1.3744050000000001E-2</v>
      </c>
      <c r="W7147">
        <v>0.235655</v>
      </c>
      <c r="X7147">
        <v>0.97173960000000004</v>
      </c>
      <c r="Y7147">
        <v>0.21407680000000001</v>
      </c>
      <c r="Z7147">
        <v>6.2032919999999998E-2</v>
      </c>
      <c r="AA7147">
        <v>0.97484510000000002</v>
      </c>
      <c r="AB7147">
        <v>42</v>
      </c>
      <c r="AC7147">
        <v>17.051600000000001</v>
      </c>
      <c r="AD7147">
        <v>3.8964910000000001</v>
      </c>
      <c r="AE7147">
        <v>76.834699999999998</v>
      </c>
      <c r="AF7147">
        <v>16.921195567287299</v>
      </c>
      <c r="AG7147">
        <v>3.8964910000000001</v>
      </c>
      <c r="AH7147">
        <v>76.666468027146905</v>
      </c>
      <c r="AI7147">
        <v>87.158771296371796</v>
      </c>
      <c r="AJ7147">
        <v>77.553685925263906</v>
      </c>
      <c r="AK7147">
        <v>78.608249066475295</v>
      </c>
      <c r="AL7147">
        <v>76.369764278735602</v>
      </c>
      <c r="AM7147">
        <v>90.810323624010806</v>
      </c>
      <c r="AN7147">
        <v>1.00000001407178</v>
      </c>
    </row>
    <row r="7148" spans="1:40" x14ac:dyDescent="0.25">
      <c r="A7148" t="str">
        <f>"20190304155814656"</f>
        <v>20190304155814656</v>
      </c>
      <c r="B7148" t="str">
        <f>"1551686294651217"</f>
        <v>1551686294651217</v>
      </c>
      <c r="C7148" t="s">
        <v>40</v>
      </c>
      <c r="D7148">
        <v>4.9538630000000001</v>
      </c>
      <c r="E7148">
        <v>0.58716279999999998</v>
      </c>
      <c r="F7148" t="s">
        <v>69</v>
      </c>
      <c r="G7148">
        <v>-168.42</v>
      </c>
      <c r="H7148">
        <v>4.781568</v>
      </c>
      <c r="I7148">
        <v>182.47970000000001</v>
      </c>
      <c r="J7148">
        <v>-187.6953</v>
      </c>
      <c r="K7148">
        <v>1.1091249999999999</v>
      </c>
      <c r="L7148">
        <v>94.177859999999995</v>
      </c>
      <c r="M7148">
        <v>1.9095749999999999E-3</v>
      </c>
      <c r="N7148">
        <v>-1.2937290000000001E-2</v>
      </c>
      <c r="O7148">
        <v>0.99991450000000004</v>
      </c>
      <c r="P7148">
        <v>-1.245338E-2</v>
      </c>
      <c r="Q7148">
        <v>0.2204911</v>
      </c>
      <c r="R7148">
        <v>0.97530950000000005</v>
      </c>
      <c r="S7148">
        <v>0.66429139999999998</v>
      </c>
      <c r="T7148">
        <v>0.1265568</v>
      </c>
      <c r="U7148">
        <v>3.0577700000000001</v>
      </c>
      <c r="V7148">
        <v>-1.388902E-2</v>
      </c>
      <c r="W7148">
        <v>0.23311609999999999</v>
      </c>
      <c r="X7148">
        <v>0.97234969999999998</v>
      </c>
      <c r="Y7148">
        <v>0.21016319999999999</v>
      </c>
      <c r="Z7148">
        <v>5.3340890000000002E-2</v>
      </c>
      <c r="AA7148">
        <v>0.97621009999999997</v>
      </c>
      <c r="AB7148">
        <v>42</v>
      </c>
      <c r="AC7148">
        <v>19.275300000000001</v>
      </c>
      <c r="AD7148">
        <v>3.6724429999999999</v>
      </c>
      <c r="AE7148">
        <v>88.301839999999999</v>
      </c>
      <c r="AF7148">
        <v>19.075138168774401</v>
      </c>
      <c r="AG7148">
        <v>3.6724429999999999</v>
      </c>
      <c r="AH7148">
        <v>88.192880783112997</v>
      </c>
      <c r="AI7148">
        <v>87.669352199973204</v>
      </c>
      <c r="AJ7148">
        <v>77.795554714317703</v>
      </c>
      <c r="AK7148">
        <v>90.306876563030698</v>
      </c>
      <c r="AL7148">
        <v>76.519400431539793</v>
      </c>
      <c r="AM7148">
        <v>90.818355898627402</v>
      </c>
      <c r="AN7148">
        <v>0.99999998002293</v>
      </c>
    </row>
    <row r="7149" spans="1:40" x14ac:dyDescent="0.25">
      <c r="A7149" t="str">
        <f>"20190304155814678"</f>
        <v>20190304155814678</v>
      </c>
      <c r="B7149" t="str">
        <f>"1551686294671714"</f>
        <v>1551686294671714</v>
      </c>
      <c r="C7149" t="s">
        <v>40</v>
      </c>
      <c r="D7149">
        <v>4.9551569999999998</v>
      </c>
      <c r="E7149">
        <v>0.58886090000000002</v>
      </c>
      <c r="F7149" t="s">
        <v>69</v>
      </c>
      <c r="G7149">
        <v>-168.4194</v>
      </c>
      <c r="H7149">
        <v>3.9923799999999998</v>
      </c>
      <c r="I7149">
        <v>183.4478</v>
      </c>
      <c r="J7149">
        <v>-187.69370000000001</v>
      </c>
      <c r="K7149">
        <v>1.109086</v>
      </c>
      <c r="L7149">
        <v>94.604100000000003</v>
      </c>
      <c r="M7149">
        <v>2.7360689999999998E-3</v>
      </c>
      <c r="N7149">
        <v>-1.3020220000000001E-2</v>
      </c>
      <c r="O7149">
        <v>0.99991149999999995</v>
      </c>
      <c r="P7149">
        <v>-1.157383E-2</v>
      </c>
      <c r="Q7149">
        <v>0.22073719999999999</v>
      </c>
      <c r="R7149">
        <v>0.97526469999999998</v>
      </c>
      <c r="S7149">
        <v>0.66117859999999995</v>
      </c>
      <c r="T7149">
        <v>9.8899479999999998E-2</v>
      </c>
      <c r="U7149">
        <v>3.0620419999999999</v>
      </c>
      <c r="V7149">
        <v>-1.377988E-2</v>
      </c>
      <c r="W7149">
        <v>0.23344390000000001</v>
      </c>
      <c r="X7149">
        <v>0.97227260000000004</v>
      </c>
      <c r="Y7149">
        <v>0.20820269999999999</v>
      </c>
      <c r="Z7149">
        <v>4.4571409999999999E-2</v>
      </c>
      <c r="AA7149">
        <v>0.97706959999999998</v>
      </c>
      <c r="AB7149">
        <v>42</v>
      </c>
      <c r="AC7149">
        <v>19.2743</v>
      </c>
      <c r="AD7149">
        <v>2.8832939999999998</v>
      </c>
      <c r="AE7149">
        <v>88.843699999999998</v>
      </c>
      <c r="AF7149">
        <v>19.0120007556486</v>
      </c>
      <c r="AG7149">
        <v>2.8832939999999998</v>
      </c>
      <c r="AH7149">
        <v>88.806777794958606</v>
      </c>
      <c r="AI7149">
        <v>88.181602791526302</v>
      </c>
      <c r="AJ7149">
        <v>77.9163608867009</v>
      </c>
      <c r="AK7149">
        <v>90.864808035599694</v>
      </c>
      <c r="AL7149">
        <v>76.500085900094604</v>
      </c>
      <c r="AM7149">
        <v>90.811990493587999</v>
      </c>
      <c r="AN7149">
        <v>0.99999997412539099</v>
      </c>
    </row>
    <row r="7150" spans="1:40" x14ac:dyDescent="0.25">
      <c r="A7150" t="str">
        <f>"20190304155814700"</f>
        <v>20190304155814700</v>
      </c>
      <c r="B7150" t="str">
        <f>"1551686294691233"</f>
        <v>1551686294691233</v>
      </c>
      <c r="C7150" t="s">
        <v>40</v>
      </c>
      <c r="D7150">
        <v>9.4935220000000005</v>
      </c>
      <c r="E7150">
        <v>0.58920289999999997</v>
      </c>
      <c r="F7150" t="s">
        <v>69</v>
      </c>
      <c r="G7150">
        <v>-168.41980000000001</v>
      </c>
      <c r="H7150">
        <v>3.4251339999999901</v>
      </c>
      <c r="I7150">
        <v>181.8064</v>
      </c>
      <c r="J7150">
        <v>-187.6918</v>
      </c>
      <c r="K7150">
        <v>1.109038</v>
      </c>
      <c r="L7150">
        <v>95.001800000000003</v>
      </c>
      <c r="M7150">
        <v>3.6008910000000002E-3</v>
      </c>
      <c r="N7150">
        <v>-1.3096429999999999E-2</v>
      </c>
      <c r="O7150">
        <v>0.99990769999999995</v>
      </c>
      <c r="P7150">
        <v>-1.088861E-2</v>
      </c>
      <c r="Q7150">
        <v>0.22506509999999999</v>
      </c>
      <c r="R7150">
        <v>0.97428289999999995</v>
      </c>
      <c r="S7150">
        <v>0.677597</v>
      </c>
      <c r="T7150">
        <v>8.1424469999999999E-2</v>
      </c>
      <c r="U7150">
        <v>3.0657040000000002</v>
      </c>
      <c r="V7150">
        <v>-1.3882419999999999E-2</v>
      </c>
      <c r="W7150">
        <v>0.23783570000000001</v>
      </c>
      <c r="X7150">
        <v>0.97120620000000002</v>
      </c>
      <c r="Y7150">
        <v>0.2121518</v>
      </c>
      <c r="Z7150">
        <v>3.9019669999999999E-2</v>
      </c>
      <c r="AA7150">
        <v>0.97645740000000003</v>
      </c>
      <c r="AB7150">
        <v>42</v>
      </c>
      <c r="AC7150">
        <v>19.271999999999899</v>
      </c>
      <c r="AD7150">
        <v>2.3160959999999902</v>
      </c>
      <c r="AE7150">
        <v>86.804599999999994</v>
      </c>
      <c r="AF7150">
        <v>18.946419697271502</v>
      </c>
      <c r="AG7150">
        <v>2.3160959999999902</v>
      </c>
      <c r="AH7150">
        <v>86.814538259212398</v>
      </c>
      <c r="AI7150">
        <v>88.506914433234499</v>
      </c>
      <c r="AJ7150">
        <v>77.688792760528102</v>
      </c>
      <c r="AK7150">
        <v>88.888104790160895</v>
      </c>
      <c r="AL7150">
        <v>76.241163420761296</v>
      </c>
      <c r="AM7150">
        <v>90.818930017305803</v>
      </c>
      <c r="AN7150">
        <v>1.0000000123489901</v>
      </c>
    </row>
    <row r="7151" spans="1:40" x14ac:dyDescent="0.25">
      <c r="A7151" t="str">
        <f>"20190304155814725"</f>
        <v>20190304155814725</v>
      </c>
      <c r="B7151" t="str">
        <f>"1551686294721490"</f>
        <v>1551686294721490</v>
      </c>
      <c r="C7151" t="s">
        <v>40</v>
      </c>
      <c r="D7151">
        <v>4.9255170000000001</v>
      </c>
      <c r="E7151">
        <v>0.59029009999999904</v>
      </c>
      <c r="F7151" t="s">
        <v>69</v>
      </c>
      <c r="G7151">
        <v>-168.42009999999999</v>
      </c>
      <c r="H7151">
        <v>3.8998539999999999</v>
      </c>
      <c r="I7151">
        <v>181.4211</v>
      </c>
      <c r="J7151">
        <v>-187.6892</v>
      </c>
      <c r="K7151">
        <v>1.108954</v>
      </c>
      <c r="L7151">
        <v>95.461119999999994</v>
      </c>
      <c r="M7151">
        <v>4.7400300000000001E-3</v>
      </c>
      <c r="N7151">
        <v>-1.318654E-2</v>
      </c>
      <c r="O7151">
        <v>0.99990179999999995</v>
      </c>
      <c r="P7151">
        <v>-9.1396589999999996E-3</v>
      </c>
      <c r="Q7151">
        <v>0.22814950000000001</v>
      </c>
      <c r="R7151">
        <v>0.97358319999999998</v>
      </c>
      <c r="S7151">
        <v>0.68327329999999997</v>
      </c>
      <c r="T7151">
        <v>9.8948480000000005E-2</v>
      </c>
      <c r="U7151">
        <v>3.063965</v>
      </c>
      <c r="V7151">
        <v>-1.316836E-2</v>
      </c>
      <c r="W7151">
        <v>0.24099999999999999</v>
      </c>
      <c r="X7151">
        <v>0.97043579999999996</v>
      </c>
      <c r="Y7151">
        <v>0.21283530000000001</v>
      </c>
      <c r="Z7151">
        <v>4.469045E-2</v>
      </c>
      <c r="AA7151">
        <v>0.97606550000000003</v>
      </c>
      <c r="AB7151">
        <v>42</v>
      </c>
      <c r="AC7151">
        <v>19.269100000000002</v>
      </c>
      <c r="AD7151">
        <v>2.7909000000000002</v>
      </c>
      <c r="AE7151">
        <v>85.959980000000002</v>
      </c>
      <c r="AF7151">
        <v>18.842482989024202</v>
      </c>
      <c r="AG7151">
        <v>2.7909000000000002</v>
      </c>
      <c r="AH7151">
        <v>85.964076148452406</v>
      </c>
      <c r="AI7151">
        <v>88.183587215345895</v>
      </c>
      <c r="AJ7151">
        <v>77.636845146167701</v>
      </c>
      <c r="AK7151">
        <v>88.049137849604193</v>
      </c>
      <c r="AL7151">
        <v>76.054431661782701</v>
      </c>
      <c r="AM7151">
        <v>90.777429220458004</v>
      </c>
      <c r="AN7151">
        <v>1.00000002381336</v>
      </c>
    </row>
    <row r="7152" spans="1:40" x14ac:dyDescent="0.25">
      <c r="A7152" t="str">
        <f>"20190304155814747"</f>
        <v>20190304155814747</v>
      </c>
      <c r="B7152" t="str">
        <f>"1551686294741986"</f>
        <v>1551686294741986</v>
      </c>
      <c r="C7152" t="s">
        <v>40</v>
      </c>
      <c r="D7152">
        <v>4.9586360000000003</v>
      </c>
      <c r="E7152">
        <v>0.59140890000000002</v>
      </c>
      <c r="F7152" t="s">
        <v>69</v>
      </c>
      <c r="G7152">
        <v>-168.4205</v>
      </c>
      <c r="H7152">
        <v>3.8921030000000001</v>
      </c>
      <c r="I7152">
        <v>180.15209999999999</v>
      </c>
      <c r="J7152">
        <v>-187.68620000000001</v>
      </c>
      <c r="K7152">
        <v>1.108851</v>
      </c>
      <c r="L7152">
        <v>95.87988</v>
      </c>
      <c r="M7152">
        <v>5.9370269999999897E-3</v>
      </c>
      <c r="N7152">
        <v>-1.327212E-2</v>
      </c>
      <c r="O7152">
        <v>0.99989430000000001</v>
      </c>
      <c r="P7152">
        <v>-6.8881680000000001E-3</v>
      </c>
      <c r="Q7152">
        <v>0.2299667</v>
      </c>
      <c r="R7152">
        <v>0.97317410000000004</v>
      </c>
      <c r="S7152">
        <v>0.69718930000000001</v>
      </c>
      <c r="T7152">
        <v>0.1007028</v>
      </c>
      <c r="U7152">
        <v>3.0643310000000001</v>
      </c>
      <c r="V7152">
        <v>-1.200057E-2</v>
      </c>
      <c r="W7152">
        <v>0.24289559999999999</v>
      </c>
      <c r="X7152">
        <v>0.96997820000000001</v>
      </c>
      <c r="Y7152">
        <v>0.2158535</v>
      </c>
      <c r="Z7152">
        <v>4.5301380000000002E-2</v>
      </c>
      <c r="AA7152">
        <v>0.97537430000000003</v>
      </c>
      <c r="AB7152">
        <v>42</v>
      </c>
      <c r="AC7152">
        <v>19.265699999999999</v>
      </c>
      <c r="AD7152">
        <v>2.7832520000000001</v>
      </c>
      <c r="AE7152">
        <v>84.272219999999905</v>
      </c>
      <c r="AF7152">
        <v>18.745558218358202</v>
      </c>
      <c r="AG7152">
        <v>2.7832520000000001</v>
      </c>
      <c r="AH7152">
        <v>84.297742441403699</v>
      </c>
      <c r="AI7152">
        <v>88.154015419993399</v>
      </c>
      <c r="AJ7152">
        <v>77.4629495796367</v>
      </c>
      <c r="AK7152">
        <v>86.401688787491906</v>
      </c>
      <c r="AL7152">
        <v>75.942495696135097</v>
      </c>
      <c r="AM7152">
        <v>90.708827202587699</v>
      </c>
      <c r="AN7152">
        <v>0.99999999732746203</v>
      </c>
    </row>
    <row r="7153" spans="1:40" x14ac:dyDescent="0.25">
      <c r="A7153" t="str">
        <f>"20190304155814770"</f>
        <v>20190304155814770</v>
      </c>
      <c r="B7153" t="str">
        <f>"1551686294761506"</f>
        <v>1551686294761506</v>
      </c>
      <c r="C7153" t="s">
        <v>40</v>
      </c>
      <c r="D7153">
        <v>4.9543660000000003</v>
      </c>
      <c r="E7153">
        <v>0.59156500000000001</v>
      </c>
      <c r="F7153" t="s">
        <v>69</v>
      </c>
      <c r="G7153">
        <v>-169.4049</v>
      </c>
      <c r="H7153">
        <v>3.410987</v>
      </c>
      <c r="I7153">
        <v>174.3605</v>
      </c>
      <c r="J7153">
        <v>-187.68260000000001</v>
      </c>
      <c r="K7153">
        <v>1.1087199999999999</v>
      </c>
      <c r="L7153">
        <v>96.293300000000002</v>
      </c>
      <c r="M7153">
        <v>7.2918979999999998E-3</v>
      </c>
      <c r="N7153">
        <v>-1.3359909999999999E-2</v>
      </c>
      <c r="O7153">
        <v>0.9998842</v>
      </c>
      <c r="P7153">
        <v>-3.745389E-3</v>
      </c>
      <c r="Q7153">
        <v>0.23117750000000001</v>
      </c>
      <c r="R7153">
        <v>0.9729044</v>
      </c>
      <c r="S7153">
        <v>0.71430969999999905</v>
      </c>
      <c r="T7153">
        <v>8.99533E-2</v>
      </c>
      <c r="U7153">
        <v>3.0664980000000002</v>
      </c>
      <c r="V7153">
        <v>-1.008326E-2</v>
      </c>
      <c r="W7153">
        <v>0.2441864</v>
      </c>
      <c r="X7153">
        <v>0.96967590000000004</v>
      </c>
      <c r="Y7153">
        <v>0.21958040000000001</v>
      </c>
      <c r="Z7153">
        <v>4.1920810000000003E-2</v>
      </c>
      <c r="AA7153">
        <v>0.97469340000000004</v>
      </c>
      <c r="AB7153">
        <v>42</v>
      </c>
      <c r="AC7153">
        <v>18.277699999999999</v>
      </c>
      <c r="AD7153">
        <v>2.3022670000000001</v>
      </c>
      <c r="AE7153">
        <v>78.0672</v>
      </c>
      <c r="AF7153">
        <v>17.693316758855602</v>
      </c>
      <c r="AG7153">
        <v>2.3022670000000001</v>
      </c>
      <c r="AH7153">
        <v>78.133992634148399</v>
      </c>
      <c r="AI7153">
        <v>88.353886333052202</v>
      </c>
      <c r="AJ7153">
        <v>77.240653232386705</v>
      </c>
      <c r="AK7153">
        <v>80.145334837541498</v>
      </c>
      <c r="AL7153">
        <v>75.866242546002098</v>
      </c>
      <c r="AM7153">
        <v>90.595773721623104</v>
      </c>
      <c r="AN7153">
        <v>1.0000000105589899</v>
      </c>
    </row>
    <row r="7154" spans="1:40" x14ac:dyDescent="0.25">
      <c r="A7154" t="str">
        <f>"20190304155814791"</f>
        <v>20190304155814791</v>
      </c>
      <c r="B7154" t="str">
        <f>"1551686294782003"</f>
        <v>1551686294782003</v>
      </c>
      <c r="C7154" t="s">
        <v>40</v>
      </c>
      <c r="D7154">
        <v>4.9192910000000003</v>
      </c>
      <c r="E7154">
        <v>0.59069439999999995</v>
      </c>
      <c r="F7154" t="s">
        <v>69</v>
      </c>
      <c r="G7154">
        <v>-169.40520000000001</v>
      </c>
      <c r="H7154">
        <v>3.2402609999999998</v>
      </c>
      <c r="I7154">
        <v>173.49690000000001</v>
      </c>
      <c r="J7154">
        <v>-187.67830000000001</v>
      </c>
      <c r="K7154">
        <v>1.1085480000000001</v>
      </c>
      <c r="L7154">
        <v>96.701809999999995</v>
      </c>
      <c r="M7154">
        <v>8.8320629999999994E-3</v>
      </c>
      <c r="N7154">
        <v>-1.344646E-2</v>
      </c>
      <c r="O7154">
        <v>0.99987060000000005</v>
      </c>
      <c r="P7154">
        <v>1.4416759999999999E-4</v>
      </c>
      <c r="Q7154">
        <v>0.23129350000000001</v>
      </c>
      <c r="R7154">
        <v>0.97288399999999997</v>
      </c>
      <c r="S7154">
        <v>0.72590639999999995</v>
      </c>
      <c r="T7154">
        <v>8.4657670000000004E-2</v>
      </c>
      <c r="U7154">
        <v>3.0662229999999999</v>
      </c>
      <c r="V7154">
        <v>-7.5910909999999899E-3</v>
      </c>
      <c r="W7154">
        <v>0.2443824</v>
      </c>
      <c r="X7154">
        <v>0.96964919999999999</v>
      </c>
      <c r="Y7154">
        <v>0.2216032</v>
      </c>
      <c r="Z7154">
        <v>4.030831E-2</v>
      </c>
      <c r="AA7154">
        <v>0.97430349999999999</v>
      </c>
      <c r="AB7154">
        <v>42</v>
      </c>
      <c r="AC7154">
        <v>18.273099999999999</v>
      </c>
      <c r="AD7154">
        <v>2.131713</v>
      </c>
      <c r="AE7154">
        <v>76.795090000000002</v>
      </c>
      <c r="AF7154">
        <v>17.581245765096799</v>
      </c>
      <c r="AG7154">
        <v>2.131713</v>
      </c>
      <c r="AH7154">
        <v>76.897421024769898</v>
      </c>
      <c r="AI7154">
        <v>88.452004370008694</v>
      </c>
      <c r="AJ7154">
        <v>77.121675808811503</v>
      </c>
      <c r="AK7154">
        <v>78.910441408142106</v>
      </c>
      <c r="AL7154">
        <v>75.854661225523799</v>
      </c>
      <c r="AM7154">
        <v>90.448542205747103</v>
      </c>
      <c r="AN7154">
        <v>0.99999997657648498</v>
      </c>
    </row>
    <row r="7155" spans="1:40" x14ac:dyDescent="0.25">
      <c r="A7155" t="str">
        <f>"20190304155814813"</f>
        <v>20190304155814813</v>
      </c>
      <c r="B7155" t="str">
        <f>"1551686294801522"</f>
        <v>1551686294801522</v>
      </c>
      <c r="C7155" t="s">
        <v>40</v>
      </c>
      <c r="D7155">
        <v>4.7825030000000002</v>
      </c>
      <c r="E7155">
        <v>0.58960900000000005</v>
      </c>
      <c r="F7155" t="s">
        <v>69</v>
      </c>
      <c r="G7155">
        <v>-169.40539999999999</v>
      </c>
      <c r="H7155">
        <v>3.5478700000000001</v>
      </c>
      <c r="I7155">
        <v>173.17949999999999</v>
      </c>
      <c r="J7155">
        <v>-187.67310000000001</v>
      </c>
      <c r="K7155">
        <v>1.108371</v>
      </c>
      <c r="L7155">
        <v>97.111329999999995</v>
      </c>
      <c r="M7155">
        <v>1.058594E-2</v>
      </c>
      <c r="N7155">
        <v>-1.353218E-2</v>
      </c>
      <c r="O7155">
        <v>0.99985239999999997</v>
      </c>
      <c r="P7155">
        <v>3.8030500000000001E-3</v>
      </c>
      <c r="Q7155">
        <v>0.23122780000000001</v>
      </c>
      <c r="R7155">
        <v>0.97289219999999998</v>
      </c>
      <c r="S7155">
        <v>0.7312012</v>
      </c>
      <c r="T7155">
        <v>9.7612260000000006E-2</v>
      </c>
      <c r="U7155">
        <v>3.0603030000000002</v>
      </c>
      <c r="V7155">
        <v>-5.5289099999999997E-3</v>
      </c>
      <c r="W7155">
        <v>0.2443959</v>
      </c>
      <c r="X7155">
        <v>0.96965979999999996</v>
      </c>
      <c r="Y7155">
        <v>0.22187490000000001</v>
      </c>
      <c r="Z7155">
        <v>4.4549249999999999E-2</v>
      </c>
      <c r="AA7155">
        <v>0.97405699999999995</v>
      </c>
      <c r="AB7155">
        <v>42</v>
      </c>
      <c r="AC7155">
        <v>18.267700000000001</v>
      </c>
      <c r="AD7155">
        <v>2.4394990000000001</v>
      </c>
      <c r="AE7155">
        <v>76.068169999999895</v>
      </c>
      <c r="AF7155">
        <v>17.444386499531198</v>
      </c>
      <c r="AG7155">
        <v>2.4394990000000001</v>
      </c>
      <c r="AH7155">
        <v>76.183224909186706</v>
      </c>
      <c r="AI7155">
        <v>88.212170862506397</v>
      </c>
      <c r="AJ7155">
        <v>77.102787840203206</v>
      </c>
      <c r="AK7155">
        <v>78.192976240067495</v>
      </c>
      <c r="AL7155">
        <v>75.853864262048901</v>
      </c>
      <c r="AM7155">
        <v>90.326691665794996</v>
      </c>
      <c r="AN7155">
        <v>1.0000000262593101</v>
      </c>
    </row>
    <row r="7156" spans="1:40" x14ac:dyDescent="0.25">
      <c r="A7156" t="str">
        <f>"20190304155814834"</f>
        <v>20190304155814834</v>
      </c>
      <c r="B7156" t="str">
        <f>"1551686294831778"</f>
        <v>1551686294831778</v>
      </c>
      <c r="C7156" t="s">
        <v>40</v>
      </c>
      <c r="D7156">
        <v>4.8093899999999996</v>
      </c>
      <c r="E7156">
        <v>0.58969859999999996</v>
      </c>
      <c r="F7156" t="s">
        <v>69</v>
      </c>
      <c r="G7156">
        <v>-169.40549999999999</v>
      </c>
      <c r="H7156">
        <v>3.8556180000000002</v>
      </c>
      <c r="I7156">
        <v>173.0624</v>
      </c>
      <c r="J7156">
        <v>-187.66739999999999</v>
      </c>
      <c r="K7156">
        <v>1.1081989999999999</v>
      </c>
      <c r="L7156">
        <v>97.505129999999994</v>
      </c>
      <c r="M7156">
        <v>1.244107E-2</v>
      </c>
      <c r="N7156">
        <v>-1.361211E-2</v>
      </c>
      <c r="O7156">
        <v>0.99982990000000005</v>
      </c>
      <c r="P7156">
        <v>7.6437650000000003E-3</v>
      </c>
      <c r="Q7156">
        <v>0.23062279999999999</v>
      </c>
      <c r="R7156">
        <v>0.97301320000000002</v>
      </c>
      <c r="S7156">
        <v>0.73464969999999996</v>
      </c>
      <c r="T7156">
        <v>0.1104844</v>
      </c>
      <c r="U7156">
        <v>3.054443</v>
      </c>
      <c r="V7156">
        <v>-3.3918300000000002E-3</v>
      </c>
      <c r="W7156">
        <v>0.24386360000000001</v>
      </c>
      <c r="X7156">
        <v>0.96980359999999999</v>
      </c>
      <c r="Y7156">
        <v>0.22148789999999999</v>
      </c>
      <c r="Z7156">
        <v>4.8773730000000001E-2</v>
      </c>
      <c r="AA7156">
        <v>0.97394259999999999</v>
      </c>
      <c r="AB7156">
        <v>42</v>
      </c>
      <c r="AC7156">
        <v>18.261900000000001</v>
      </c>
      <c r="AD7156">
        <v>2.7474189999999998</v>
      </c>
      <c r="AE7156">
        <v>75.557269999999903</v>
      </c>
      <c r="AF7156">
        <v>17.298775907407599</v>
      </c>
      <c r="AG7156">
        <v>2.7474189999999998</v>
      </c>
      <c r="AH7156">
        <v>75.684093525680098</v>
      </c>
      <c r="AI7156">
        <v>87.973232836949407</v>
      </c>
      <c r="AJ7156">
        <v>77.125318934532999</v>
      </c>
      <c r="AK7156">
        <v>77.6844770328035</v>
      </c>
      <c r="AL7156">
        <v>75.8853139009139</v>
      </c>
      <c r="AM7156">
        <v>90.200387739792902</v>
      </c>
      <c r="AN7156">
        <v>0.99999999124433403</v>
      </c>
    </row>
    <row r="7157" spans="1:40" x14ac:dyDescent="0.25">
      <c r="A7157" t="str">
        <f>"20190304155814857"</f>
        <v>20190304155814857</v>
      </c>
      <c r="B7157" t="str">
        <f>"1551686294851297"</f>
        <v>1551686294851297</v>
      </c>
      <c r="C7157" t="s">
        <v>40</v>
      </c>
      <c r="D7157">
        <v>4.933878</v>
      </c>
      <c r="E7157">
        <v>0.58921449999999997</v>
      </c>
      <c r="F7157" t="s">
        <v>69</v>
      </c>
      <c r="G7157">
        <v>-169.24270000000001</v>
      </c>
      <c r="H7157">
        <v>3.7829480000000002</v>
      </c>
      <c r="I7157">
        <v>172.69049999999999</v>
      </c>
      <c r="J7157">
        <v>-187.66</v>
      </c>
      <c r="K7157">
        <v>1.108012</v>
      </c>
      <c r="L7157">
        <v>97.93723</v>
      </c>
      <c r="M7157">
        <v>1.468202E-2</v>
      </c>
      <c r="N7157">
        <v>-1.3697050000000001E-2</v>
      </c>
      <c r="O7157">
        <v>0.99979839999999998</v>
      </c>
      <c r="P7157">
        <v>1.192763E-2</v>
      </c>
      <c r="Q7157">
        <v>0.22985800000000001</v>
      </c>
      <c r="R7157">
        <v>0.97315110000000005</v>
      </c>
      <c r="S7157">
        <v>0.74781799999999998</v>
      </c>
      <c r="T7157">
        <v>0.1085633</v>
      </c>
      <c r="U7157">
        <v>3.0516049999999999</v>
      </c>
      <c r="V7157">
        <v>-1.178803E-3</v>
      </c>
      <c r="W7157">
        <v>0.24317540000000001</v>
      </c>
      <c r="X7157">
        <v>0.9699816</v>
      </c>
      <c r="Y7157">
        <v>0.22348199999999999</v>
      </c>
      <c r="Z7157">
        <v>4.8247869999999998E-2</v>
      </c>
      <c r="AA7157">
        <v>0.97351319999999997</v>
      </c>
      <c r="AB7157">
        <v>42</v>
      </c>
      <c r="AC7157">
        <v>18.417299999999901</v>
      </c>
      <c r="AD7157">
        <v>2.6749360000000002</v>
      </c>
      <c r="AE7157">
        <v>74.753269999999901</v>
      </c>
      <c r="AF7157">
        <v>17.296802089254999</v>
      </c>
      <c r="AG7157">
        <v>2.6749360000000002</v>
      </c>
      <c r="AH7157">
        <v>74.925191083194093</v>
      </c>
      <c r="AI7157">
        <v>88.007683479212005</v>
      </c>
      <c r="AJ7157">
        <v>77.000755957271807</v>
      </c>
      <c r="AK7157">
        <v>76.942308933200806</v>
      </c>
      <c r="AL7157">
        <v>75.925968634372197</v>
      </c>
      <c r="AM7157">
        <v>90.069630602814399</v>
      </c>
      <c r="AN7157">
        <v>0.99999998454011596</v>
      </c>
    </row>
    <row r="7158" spans="1:40" x14ac:dyDescent="0.25">
      <c r="A7158" t="str">
        <f>"20190304155814879"</f>
        <v>20190304155814879</v>
      </c>
      <c r="B7158" t="str">
        <f>"1551686294871794"</f>
        <v>1551686294871794</v>
      </c>
      <c r="C7158" t="s">
        <v>40</v>
      </c>
      <c r="D7158">
        <v>4.4993600000000002</v>
      </c>
      <c r="E7158">
        <v>0.58869340000000003</v>
      </c>
      <c r="F7158" t="s">
        <v>69</v>
      </c>
      <c r="G7158">
        <v>-169.06630000000001</v>
      </c>
      <c r="H7158">
        <v>3.9366349999999999</v>
      </c>
      <c r="I7158">
        <v>172.69040000000001</v>
      </c>
      <c r="J7158">
        <v>-187.65199999999999</v>
      </c>
      <c r="K7158">
        <v>1.107828</v>
      </c>
      <c r="L7158">
        <v>98.350859999999997</v>
      </c>
      <c r="M7158">
        <v>1.7041629999999999E-2</v>
      </c>
      <c r="N7158">
        <v>-1.377424E-2</v>
      </c>
      <c r="O7158">
        <v>0.99975990000000003</v>
      </c>
      <c r="P7158">
        <v>1.6138320000000001E-2</v>
      </c>
      <c r="Q7158">
        <v>0.2290749</v>
      </c>
      <c r="R7158">
        <v>0.973275</v>
      </c>
      <c r="S7158">
        <v>0.75770569999999904</v>
      </c>
      <c r="T7158">
        <v>0.11526930000000001</v>
      </c>
      <c r="U7158">
        <v>3.0462340000000001</v>
      </c>
      <c r="V7158">
        <v>8.4420579999999995E-4</v>
      </c>
      <c r="W7158">
        <v>0.2424598</v>
      </c>
      <c r="X7158">
        <v>0.9701611</v>
      </c>
      <c r="Y7158">
        <v>0.22453300000000001</v>
      </c>
      <c r="Z7158">
        <v>5.0494879999999999E-2</v>
      </c>
      <c r="AA7158">
        <v>0.9731573</v>
      </c>
      <c r="AB7158">
        <v>42</v>
      </c>
      <c r="AC7158">
        <v>18.585699999999999</v>
      </c>
      <c r="AD7158">
        <v>2.8288069999999998</v>
      </c>
      <c r="AE7158">
        <v>74.33954</v>
      </c>
      <c r="AF7158">
        <v>17.2924470165819</v>
      </c>
      <c r="AG7158">
        <v>2.8288069999999998</v>
      </c>
      <c r="AH7158">
        <v>74.543913815304904</v>
      </c>
      <c r="AI7158">
        <v>87.882934759714402</v>
      </c>
      <c r="AJ7158">
        <v>76.9397187318352</v>
      </c>
      <c r="AK7158">
        <v>76.575622490242594</v>
      </c>
      <c r="AL7158">
        <v>75.968234844708704</v>
      </c>
      <c r="AM7158">
        <v>89.950142901862307</v>
      </c>
      <c r="AN7158">
        <v>1.0000000136263401</v>
      </c>
    </row>
    <row r="7159" spans="1:40" x14ac:dyDescent="0.25">
      <c r="A7159" t="str">
        <f>"20190304155814902"</f>
        <v>20190304155814902</v>
      </c>
      <c r="B7159" t="str">
        <f>"1551686294892293"</f>
        <v>1551686294892293</v>
      </c>
      <c r="C7159" t="s">
        <v>40</v>
      </c>
      <c r="D7159">
        <v>5.0579660000000004</v>
      </c>
      <c r="E7159">
        <v>0.59133749999999996</v>
      </c>
      <c r="F7159" t="s">
        <v>69</v>
      </c>
      <c r="G7159">
        <v>-168.89240000000001</v>
      </c>
      <c r="H7159">
        <v>4.0360279999999999</v>
      </c>
      <c r="I7159">
        <v>172.69030000000001</v>
      </c>
      <c r="J7159">
        <v>-187.6431</v>
      </c>
      <c r="K7159">
        <v>1.1076319999999999</v>
      </c>
      <c r="L7159">
        <v>98.751800000000003</v>
      </c>
      <c r="M7159">
        <v>1.9545070000000001E-2</v>
      </c>
      <c r="N7159">
        <v>-1.384402E-2</v>
      </c>
      <c r="O7159">
        <v>0.99971310000000002</v>
      </c>
      <c r="P7159">
        <v>1.972964E-2</v>
      </c>
      <c r="Q7159">
        <v>0.22869429999999999</v>
      </c>
      <c r="R7159">
        <v>0.97329840000000001</v>
      </c>
      <c r="S7159">
        <v>0.76751709999999995</v>
      </c>
      <c r="T7159">
        <v>0.1198037</v>
      </c>
      <c r="U7159">
        <v>3.0414729999999999</v>
      </c>
      <c r="V7159">
        <v>2.1156740000000001E-3</v>
      </c>
      <c r="W7159">
        <v>0.2421411</v>
      </c>
      <c r="X7159">
        <v>0.97023870000000001</v>
      </c>
      <c r="Y7159">
        <v>0.22538639999999999</v>
      </c>
      <c r="Z7159">
        <v>5.2039519999999999E-2</v>
      </c>
      <c r="AA7159">
        <v>0.97287860000000004</v>
      </c>
      <c r="AB7159">
        <v>42</v>
      </c>
      <c r="AC7159">
        <v>18.750699999999899</v>
      </c>
      <c r="AD7159">
        <v>2.92839599999999</v>
      </c>
      <c r="AE7159">
        <v>73.938500000000005</v>
      </c>
      <c r="AF7159">
        <v>17.2763832335153</v>
      </c>
      <c r="AG7159">
        <v>2.92839599999999</v>
      </c>
      <c r="AH7159">
        <v>74.181560721889994</v>
      </c>
      <c r="AI7159">
        <v>87.798224539543696</v>
      </c>
      <c r="AJ7159">
        <v>76.889894132644798</v>
      </c>
      <c r="AK7159">
        <v>76.223046855262595</v>
      </c>
      <c r="AL7159">
        <v>75.987055108931699</v>
      </c>
      <c r="AM7159">
        <v>89.875062704777505</v>
      </c>
      <c r="AN7159">
        <v>0.99999996168168603</v>
      </c>
    </row>
    <row r="7160" spans="1:40" x14ac:dyDescent="0.25">
      <c r="A7160" t="str">
        <f>"20190304155814924"</f>
        <v>20190304155814924</v>
      </c>
      <c r="B7160" t="str">
        <f>"1551686294921570"</f>
        <v>1551686294921570</v>
      </c>
      <c r="C7160" t="s">
        <v>40</v>
      </c>
      <c r="D7160">
        <v>4.9306900000000002</v>
      </c>
      <c r="E7160">
        <v>0.59487250000000003</v>
      </c>
      <c r="F7160" t="s">
        <v>69</v>
      </c>
      <c r="G7160">
        <v>-168.1557</v>
      </c>
      <c r="H7160">
        <v>3.7841079999999998</v>
      </c>
      <c r="I7160">
        <v>172.68989999999999</v>
      </c>
      <c r="J7160">
        <v>-187.63220000000001</v>
      </c>
      <c r="K7160">
        <v>1.1074040000000001</v>
      </c>
      <c r="L7160">
        <v>99.183989999999994</v>
      </c>
      <c r="M7160">
        <v>2.2494110000000001E-2</v>
      </c>
      <c r="N7160">
        <v>-1.391556E-2</v>
      </c>
      <c r="O7160">
        <v>0.99965009999999999</v>
      </c>
      <c r="P7160">
        <v>2.387833E-2</v>
      </c>
      <c r="Q7160">
        <v>0.22852929999999999</v>
      </c>
      <c r="R7160">
        <v>0.97324409999999895</v>
      </c>
      <c r="S7160">
        <v>0.80128480000000002</v>
      </c>
      <c r="T7160">
        <v>0.1100529</v>
      </c>
      <c r="U7160">
        <v>3.0401919999999998</v>
      </c>
      <c r="V7160">
        <v>3.5343290000000001E-3</v>
      </c>
      <c r="W7160">
        <v>0.24203659999999999</v>
      </c>
      <c r="X7160">
        <v>0.97026069999999998</v>
      </c>
      <c r="Y7160">
        <v>0.23277100000000001</v>
      </c>
      <c r="Z7160">
        <v>4.8929769999999997E-2</v>
      </c>
      <c r="AA7160">
        <v>0.97129989999999999</v>
      </c>
      <c r="AB7160">
        <v>41</v>
      </c>
      <c r="AC7160">
        <v>19.476500000000001</v>
      </c>
      <c r="AD7160">
        <v>2.676704</v>
      </c>
      <c r="AE7160">
        <v>73.505909999999901</v>
      </c>
      <c r="AF7160">
        <v>17.7959108232014</v>
      </c>
      <c r="AG7160">
        <v>2.676704</v>
      </c>
      <c r="AH7160">
        <v>73.833972634741897</v>
      </c>
      <c r="AI7160">
        <v>87.981517491492696</v>
      </c>
      <c r="AJ7160">
        <v>76.448693095371397</v>
      </c>
      <c r="AK7160">
        <v>75.995491322569805</v>
      </c>
      <c r="AL7160">
        <v>75.993226864124495</v>
      </c>
      <c r="AM7160">
        <v>89.791291928598895</v>
      </c>
      <c r="AN7160">
        <v>1.0000000165927601</v>
      </c>
    </row>
    <row r="7161" spans="1:40" x14ac:dyDescent="0.25">
      <c r="A7161" t="str">
        <f>"20190304155814947"</f>
        <v>20190304155814947</v>
      </c>
      <c r="B7161" t="str">
        <f>"1551686294942066"</f>
        <v>1551686294942066</v>
      </c>
      <c r="C7161" t="s">
        <v>40</v>
      </c>
      <c r="D7161">
        <v>4.9288429999999996</v>
      </c>
      <c r="E7161">
        <v>0.59601059999999995</v>
      </c>
      <c r="F7161" t="s">
        <v>69</v>
      </c>
      <c r="G7161">
        <v>-167.41380000000001</v>
      </c>
      <c r="H7161">
        <v>3.453173</v>
      </c>
      <c r="I7161">
        <v>171.94900000000001</v>
      </c>
      <c r="J7161">
        <v>-187.62010000000001</v>
      </c>
      <c r="K7161">
        <v>1.107159</v>
      </c>
      <c r="L7161">
        <v>99.604280000000003</v>
      </c>
      <c r="M7161">
        <v>2.5622740000000001E-2</v>
      </c>
      <c r="N7161">
        <v>-1.398603E-2</v>
      </c>
      <c r="O7161">
        <v>0.99957379999999996</v>
      </c>
      <c r="P7161">
        <v>2.7888929999999999E-2</v>
      </c>
      <c r="Q7161">
        <v>0.22901830000000001</v>
      </c>
      <c r="R7161">
        <v>0.97302250000000001</v>
      </c>
      <c r="S7161">
        <v>0.84434509999999996</v>
      </c>
      <c r="T7161">
        <v>9.796357E-2</v>
      </c>
      <c r="U7161">
        <v>3.0387569999999999</v>
      </c>
      <c r="V7161">
        <v>4.6557810000000003E-3</v>
      </c>
      <c r="W7161">
        <v>0.2425833</v>
      </c>
      <c r="X7161">
        <v>0.97011939999999997</v>
      </c>
      <c r="Y7161">
        <v>0.24269499999999999</v>
      </c>
      <c r="Z7161">
        <v>4.5061650000000002E-2</v>
      </c>
      <c r="AA7161">
        <v>0.96905549999999996</v>
      </c>
      <c r="AB7161">
        <v>41</v>
      </c>
      <c r="AC7161">
        <v>20.206299999999999</v>
      </c>
      <c r="AD7161">
        <v>2.3460139999999998</v>
      </c>
      <c r="AE7161">
        <v>72.344719999999995</v>
      </c>
      <c r="AF7161">
        <v>18.327934523816602</v>
      </c>
      <c r="AG7161">
        <v>2.3460139999999998</v>
      </c>
      <c r="AH7161">
        <v>72.767770407343093</v>
      </c>
      <c r="AI7161">
        <v>88.209325454294301</v>
      </c>
      <c r="AJ7161">
        <v>75.863022467098304</v>
      </c>
      <c r="AK7161">
        <v>75.0770629130716</v>
      </c>
      <c r="AL7161">
        <v>75.960940757858793</v>
      </c>
      <c r="AM7161">
        <v>89.725029152420007</v>
      </c>
      <c r="AN7161">
        <v>0.99999999199598399</v>
      </c>
    </row>
    <row r="7162" spans="1:40" x14ac:dyDescent="0.25">
      <c r="A7162" t="str">
        <f>"20190304155814990"</f>
        <v>20190304155814990</v>
      </c>
      <c r="B7162" t="str">
        <f>"1551686294982085"</f>
        <v>1551686294982085</v>
      </c>
      <c r="C7162" t="s">
        <v>40</v>
      </c>
      <c r="D7162">
        <v>4.9173689999999999</v>
      </c>
      <c r="E7162">
        <v>0.59824480000000002</v>
      </c>
      <c r="F7162" t="s">
        <v>69</v>
      </c>
      <c r="G7162">
        <v>-167.05350000000001</v>
      </c>
      <c r="H7162">
        <v>3.4935659999999999</v>
      </c>
      <c r="I7162">
        <v>171.5891</v>
      </c>
      <c r="J7162">
        <v>-187.59270000000001</v>
      </c>
      <c r="K7162">
        <v>1.1066510000000001</v>
      </c>
      <c r="L7162">
        <v>100.408</v>
      </c>
      <c r="M7162">
        <v>3.2371730000000001E-2</v>
      </c>
      <c r="N7162">
        <v>-1.4123729999999999E-2</v>
      </c>
      <c r="O7162">
        <v>0.99937609999999999</v>
      </c>
      <c r="P7162">
        <v>3.5959909999999998E-2</v>
      </c>
      <c r="Q7162">
        <v>0.2298791</v>
      </c>
      <c r="R7162">
        <v>0.97255460000000005</v>
      </c>
      <c r="S7162">
        <v>0.86701969999999995</v>
      </c>
      <c r="T7162">
        <v>0.1006042</v>
      </c>
      <c r="U7162">
        <v>3.034637</v>
      </c>
      <c r="V7162">
        <v>6.4798800000000004E-3</v>
      </c>
      <c r="W7162">
        <v>0.24355599999999999</v>
      </c>
      <c r="X7162">
        <v>0.96986519999999998</v>
      </c>
      <c r="Y7162">
        <v>0.24318090000000001</v>
      </c>
      <c r="Z7162">
        <v>4.6020489999999997E-2</v>
      </c>
      <c r="AA7162">
        <v>0.96888859999999999</v>
      </c>
      <c r="AB7162">
        <v>41</v>
      </c>
      <c r="AC7162">
        <v>20.539199999999902</v>
      </c>
      <c r="AD7162">
        <v>2.3869150000000001</v>
      </c>
      <c r="AE7162">
        <v>71.181100000000001</v>
      </c>
      <c r="AF7162">
        <v>18.205050539540199</v>
      </c>
      <c r="AG7162">
        <v>2.3869150000000001</v>
      </c>
      <c r="AH7162">
        <v>71.734279531615101</v>
      </c>
      <c r="AI7162">
        <v>88.152737759120399</v>
      </c>
      <c r="AJ7162">
        <v>75.759856425467305</v>
      </c>
      <c r="AK7162">
        <v>74.046796610551198</v>
      </c>
      <c r="AL7162">
        <v>75.903486275505699</v>
      </c>
      <c r="AM7162">
        <v>89.617200151556602</v>
      </c>
      <c r="AN7162">
        <v>1.0000000100759201</v>
      </c>
    </row>
    <row r="7163" spans="1:40" x14ac:dyDescent="0.25">
      <c r="A7163" t="str">
        <f>"20190304155815012"</f>
        <v>20190304155815012</v>
      </c>
      <c r="B7163" t="str">
        <f>"1551686295001602"</f>
        <v>1551686295001602</v>
      </c>
      <c r="C7163" t="s">
        <v>40</v>
      </c>
      <c r="D7163">
        <v>4.9099309999999896</v>
      </c>
      <c r="E7163">
        <v>0.60017480000000001</v>
      </c>
      <c r="F7163" t="s">
        <v>69</v>
      </c>
      <c r="G7163">
        <v>-166.36</v>
      </c>
      <c r="H7163">
        <v>3.4116040000000001</v>
      </c>
      <c r="I7163">
        <v>170.8963</v>
      </c>
      <c r="J7163">
        <v>-187.5763</v>
      </c>
      <c r="K7163">
        <v>1.106401</v>
      </c>
      <c r="L7163">
        <v>100.81480000000001</v>
      </c>
      <c r="M7163">
        <v>3.6176460000000001E-2</v>
      </c>
      <c r="N7163">
        <v>-1.4197009999999999E-2</v>
      </c>
      <c r="O7163">
        <v>0.99924460000000004</v>
      </c>
      <c r="P7163">
        <v>3.943704E-2</v>
      </c>
      <c r="Q7163">
        <v>0.22995979999999999</v>
      </c>
      <c r="R7163">
        <v>0.97240079999999995</v>
      </c>
      <c r="S7163">
        <v>0.911972</v>
      </c>
      <c r="T7163">
        <v>9.900188E-2</v>
      </c>
      <c r="U7163">
        <v>3.0275569999999998</v>
      </c>
      <c r="V7163">
        <v>6.4124799999999999E-3</v>
      </c>
      <c r="W7163">
        <v>0.24370549999999999</v>
      </c>
      <c r="X7163">
        <v>0.96982809999999997</v>
      </c>
      <c r="Y7163">
        <v>0.2533223</v>
      </c>
      <c r="Z7163">
        <v>4.5532099999999999E-2</v>
      </c>
      <c r="AA7163">
        <v>0.9663098</v>
      </c>
      <c r="AB7163">
        <v>41</v>
      </c>
      <c r="AC7163">
        <v>21.216299999999901</v>
      </c>
      <c r="AD7163">
        <v>2.3052029999999899</v>
      </c>
      <c r="AE7163">
        <v>70.081499999999906</v>
      </c>
      <c r="AF7163">
        <v>18.648370487113901</v>
      </c>
      <c r="AG7163">
        <v>2.3052029999999899</v>
      </c>
      <c r="AH7163">
        <v>70.733119285853604</v>
      </c>
      <c r="AI7163">
        <v>88.195016516828503</v>
      </c>
      <c r="AJ7163">
        <v>75.230386324484698</v>
      </c>
      <c r="AK7163">
        <v>73.186404793531594</v>
      </c>
      <c r="AL7163">
        <v>75.894654537094496</v>
      </c>
      <c r="AM7163">
        <v>89.621167208693905</v>
      </c>
      <c r="AN7163">
        <v>1.0000000170898</v>
      </c>
    </row>
    <row r="7164" spans="1:40" x14ac:dyDescent="0.25">
      <c r="A7164" t="str">
        <f>"20190304155815035"</f>
        <v>20190304155815035</v>
      </c>
      <c r="B7164" t="str">
        <f>"1551686295031858"</f>
        <v>1551686295031858</v>
      </c>
      <c r="C7164" t="s">
        <v>40</v>
      </c>
      <c r="D7164">
        <v>4.9366820000000002</v>
      </c>
      <c r="E7164">
        <v>0.60195189999999998</v>
      </c>
      <c r="F7164" t="s">
        <v>69</v>
      </c>
      <c r="G7164">
        <v>-165.9479</v>
      </c>
      <c r="H7164">
        <v>3.2736160000000001</v>
      </c>
      <c r="I7164">
        <v>170.48480000000001</v>
      </c>
      <c r="J7164">
        <v>-187.55709999999999</v>
      </c>
      <c r="K7164">
        <v>1.106152</v>
      </c>
      <c r="L7164">
        <v>101.245</v>
      </c>
      <c r="M7164">
        <v>4.043004E-2</v>
      </c>
      <c r="N7164">
        <v>-1.4276230000000001E-2</v>
      </c>
      <c r="O7164">
        <v>0.99908039999999998</v>
      </c>
      <c r="P7164">
        <v>4.3780279999999998E-2</v>
      </c>
      <c r="Q7164">
        <v>0.2300101</v>
      </c>
      <c r="R7164">
        <v>0.97220300000000004</v>
      </c>
      <c r="S7164">
        <v>0.93902589999999997</v>
      </c>
      <c r="T7164">
        <v>9.4093800000000005E-2</v>
      </c>
      <c r="U7164">
        <v>3.0248110000000001</v>
      </c>
      <c r="V7164">
        <v>6.7706869999999897E-3</v>
      </c>
      <c r="W7164">
        <v>0.2438266</v>
      </c>
      <c r="X7164">
        <v>0.96979519999999997</v>
      </c>
      <c r="Y7164">
        <v>0.25736500000000001</v>
      </c>
      <c r="Z7164">
        <v>4.4008209999999999E-2</v>
      </c>
      <c r="AA7164">
        <v>0.96531160000000005</v>
      </c>
      <c r="AB7164">
        <v>41</v>
      </c>
      <c r="AC7164">
        <v>21.609199999999898</v>
      </c>
      <c r="AD7164">
        <v>2.1674639999999998</v>
      </c>
      <c r="AE7164">
        <v>69.239800000000002</v>
      </c>
      <c r="AF7164">
        <v>18.775109754159899</v>
      </c>
      <c r="AG7164">
        <v>2.1674639999999998</v>
      </c>
      <c r="AH7164">
        <v>69.994424435124998</v>
      </c>
      <c r="AI7164">
        <v>88.286855005345103</v>
      </c>
      <c r="AJ7164">
        <v>74.984603875341193</v>
      </c>
      <c r="AK7164">
        <v>72.501186876329598</v>
      </c>
      <c r="AL7164">
        <v>75.8874998325512</v>
      </c>
      <c r="AM7164">
        <v>89.599992362509795</v>
      </c>
      <c r="AN7164">
        <v>0.99999999150652596</v>
      </c>
    </row>
    <row r="7165" spans="1:40" x14ac:dyDescent="0.25">
      <c r="A7165" t="str">
        <f>"20190304155815058"</f>
        <v>20190304155815058</v>
      </c>
      <c r="B7165" t="str">
        <f>"1551686295051378"</f>
        <v>1551686295051378</v>
      </c>
      <c r="C7165" t="s">
        <v>40</v>
      </c>
      <c r="D7165">
        <v>4.9176169999999999</v>
      </c>
      <c r="E7165">
        <v>0.60314290000000004</v>
      </c>
      <c r="F7165" t="s">
        <v>69</v>
      </c>
      <c r="G7165">
        <v>-165.5187</v>
      </c>
      <c r="H7165">
        <v>3.1289959999999999</v>
      </c>
      <c r="I7165">
        <v>170.05609999999999</v>
      </c>
      <c r="J7165">
        <v>-187.53659999999999</v>
      </c>
      <c r="K7165">
        <v>1.1059239999999999</v>
      </c>
      <c r="L7165">
        <v>101.663</v>
      </c>
      <c r="M7165">
        <v>4.4771409999999998E-2</v>
      </c>
      <c r="N7165">
        <v>-1.436109E-2</v>
      </c>
      <c r="O7165">
        <v>0.99889399999999995</v>
      </c>
      <c r="P7165">
        <v>4.824138E-2</v>
      </c>
      <c r="Q7165">
        <v>0.2302556</v>
      </c>
      <c r="R7165">
        <v>0.97193370000000001</v>
      </c>
      <c r="S7165">
        <v>0.96760559999999995</v>
      </c>
      <c r="T7165">
        <v>8.8815089999999999E-2</v>
      </c>
      <c r="U7165">
        <v>3.0211790000000001</v>
      </c>
      <c r="V7165">
        <v>7.1502709999999997E-3</v>
      </c>
      <c r="W7165">
        <v>0.244147</v>
      </c>
      <c r="X7165">
        <v>0.96971180000000001</v>
      </c>
      <c r="Y7165">
        <v>0.26181529999999997</v>
      </c>
      <c r="Z7165">
        <v>4.2377150000000002E-2</v>
      </c>
      <c r="AA7165">
        <v>0.96418720000000002</v>
      </c>
      <c r="AB7165">
        <v>41</v>
      </c>
      <c r="AC7165">
        <v>22.017900000000001</v>
      </c>
      <c r="AD7165">
        <v>2.023072</v>
      </c>
      <c r="AE7165">
        <v>68.393099999999905</v>
      </c>
      <c r="AF7165">
        <v>18.918446956335099</v>
      </c>
      <c r="AG7165">
        <v>2.023072</v>
      </c>
      <c r="AH7165">
        <v>69.255472681858706</v>
      </c>
      <c r="AI7165">
        <v>88.385874720163301</v>
      </c>
      <c r="AJ7165">
        <v>74.721327970614297</v>
      </c>
      <c r="AK7165">
        <v>71.821451892484902</v>
      </c>
      <c r="AL7165">
        <v>75.868569288991793</v>
      </c>
      <c r="AM7165">
        <v>89.577531256051401</v>
      </c>
      <c r="AN7165">
        <v>0.99999992952180405</v>
      </c>
    </row>
    <row r="7166" spans="1:40" x14ac:dyDescent="0.25">
      <c r="A7166" t="str">
        <f>"20190304155815080"</f>
        <v>20190304155815080</v>
      </c>
      <c r="B7166" t="str">
        <f>"1551686295071874"</f>
        <v>1551686295071874</v>
      </c>
      <c r="C7166" t="s">
        <v>40</v>
      </c>
      <c r="D7166">
        <v>4.9231339999999904</v>
      </c>
      <c r="E7166">
        <v>0.60390880000000002</v>
      </c>
      <c r="F7166" t="s">
        <v>69</v>
      </c>
      <c r="G7166">
        <v>-165.1661</v>
      </c>
      <c r="H7166">
        <v>3.0166659999999998</v>
      </c>
      <c r="I7166">
        <v>169.70400000000001</v>
      </c>
      <c r="J7166">
        <v>-187.5147</v>
      </c>
      <c r="K7166">
        <v>1.1057250000000001</v>
      </c>
      <c r="L7166">
        <v>102.0689</v>
      </c>
      <c r="M7166">
        <v>4.917945E-2</v>
      </c>
      <c r="N7166">
        <v>-1.44515999999999E-2</v>
      </c>
      <c r="O7166">
        <v>0.99868539999999995</v>
      </c>
      <c r="P7166">
        <v>5.306835E-2</v>
      </c>
      <c r="Q7166">
        <v>0.23007910000000001</v>
      </c>
      <c r="R7166">
        <v>0.97172389999999997</v>
      </c>
      <c r="S7166">
        <v>0.99203490000000005</v>
      </c>
      <c r="T7166">
        <v>8.4734799999999999E-2</v>
      </c>
      <c r="U7166">
        <v>3.017334</v>
      </c>
      <c r="V7166">
        <v>7.8117430000000003E-3</v>
      </c>
      <c r="W7166">
        <v>0.2440495</v>
      </c>
      <c r="X7166">
        <v>0.96973129999999996</v>
      </c>
      <c r="Y7166">
        <v>0.26498709999999998</v>
      </c>
      <c r="Z7166">
        <v>4.114334E-2</v>
      </c>
      <c r="AA7166">
        <v>0.96337379999999995</v>
      </c>
      <c r="AB7166">
        <v>41</v>
      </c>
      <c r="AC7166">
        <v>22.348600000000001</v>
      </c>
      <c r="AD7166">
        <v>1.910941</v>
      </c>
      <c r="AE7166">
        <v>67.635099999999994</v>
      </c>
      <c r="AF7166">
        <v>18.981286507574598</v>
      </c>
      <c r="AG7166">
        <v>1.910941</v>
      </c>
      <c r="AH7166">
        <v>68.603075165844899</v>
      </c>
      <c r="AI7166">
        <v>88.462184449793995</v>
      </c>
      <c r="AJ7166">
        <v>74.534152369075002</v>
      </c>
      <c r="AK7166">
        <v>71.206199555928293</v>
      </c>
      <c r="AL7166">
        <v>75.874330726010299</v>
      </c>
      <c r="AM7166">
        <v>89.538459547068797</v>
      </c>
      <c r="AN7166">
        <v>0.999999987989318</v>
      </c>
    </row>
    <row r="7167" spans="1:40" x14ac:dyDescent="0.25">
      <c r="A7167" t="str">
        <f>"20190304155815102"</f>
        <v>20190304155815102</v>
      </c>
      <c r="B7167" t="str">
        <f>"1551686295091398"</f>
        <v>1551686295091398</v>
      </c>
      <c r="C7167" t="s">
        <v>40</v>
      </c>
      <c r="D7167">
        <v>4.872954</v>
      </c>
      <c r="E7167">
        <v>0.60555049999999999</v>
      </c>
      <c r="F7167" t="s">
        <v>69</v>
      </c>
      <c r="G7167">
        <v>-164.84270000000001</v>
      </c>
      <c r="H7167">
        <v>3.0537049999999999</v>
      </c>
      <c r="I7167">
        <v>169.3809</v>
      </c>
      <c r="J7167">
        <v>-187.4913</v>
      </c>
      <c r="K7167">
        <v>1.105532</v>
      </c>
      <c r="L7167">
        <v>102.46899999999999</v>
      </c>
      <c r="M7167">
        <v>5.3697300000000003E-2</v>
      </c>
      <c r="N7167">
        <v>-1.454545E-2</v>
      </c>
      <c r="O7167">
        <v>0.99845130000000004</v>
      </c>
      <c r="P7167">
        <v>5.8247930000000003E-2</v>
      </c>
      <c r="Q7167">
        <v>0.22901679999999999</v>
      </c>
      <c r="R7167">
        <v>0.97167820000000005</v>
      </c>
      <c r="S7167">
        <v>1.0142519999999999</v>
      </c>
      <c r="T7167">
        <v>8.7146039999999994E-2</v>
      </c>
      <c r="U7167">
        <v>3.0112610000000002</v>
      </c>
      <c r="V7167">
        <v>8.6916240000000002E-3</v>
      </c>
      <c r="W7167">
        <v>0.24306949999999999</v>
      </c>
      <c r="X7167">
        <v>0.96996990000000005</v>
      </c>
      <c r="Y7167">
        <v>0.2675883</v>
      </c>
      <c r="Z7167">
        <v>4.1986629999999997E-2</v>
      </c>
      <c r="AA7167">
        <v>0.96261810000000003</v>
      </c>
      <c r="AB7167">
        <v>41</v>
      </c>
      <c r="AC7167">
        <v>22.648599999999899</v>
      </c>
      <c r="AD7167">
        <v>1.9481729999999999</v>
      </c>
      <c r="AE7167">
        <v>66.911900000000003</v>
      </c>
      <c r="AF7167">
        <v>19.008091425890299</v>
      </c>
      <c r="AG7167">
        <v>1.9481729999999999</v>
      </c>
      <c r="AH7167">
        <v>67.979936739029299</v>
      </c>
      <c r="AI7167">
        <v>88.419069399122094</v>
      </c>
      <c r="AJ7167">
        <v>74.378303475325197</v>
      </c>
      <c r="AK7167">
        <v>70.614267090548793</v>
      </c>
      <c r="AL7167">
        <v>75.932223685763802</v>
      </c>
      <c r="AM7167">
        <v>89.486602579872795</v>
      </c>
      <c r="AN7167">
        <v>0.99999996653200796</v>
      </c>
    </row>
    <row r="7168" spans="1:40" x14ac:dyDescent="0.25">
      <c r="A7168" t="str">
        <f>"20190304155815125"</f>
        <v>20190304155815125</v>
      </c>
      <c r="B7168" t="str">
        <f>"1551686295121650"</f>
        <v>1551686295121650</v>
      </c>
      <c r="C7168" t="s">
        <v>40</v>
      </c>
      <c r="D7168">
        <v>5.0072269999999897</v>
      </c>
      <c r="E7168">
        <v>0.60707279999999997</v>
      </c>
      <c r="F7168" t="s">
        <v>69</v>
      </c>
      <c r="G7168">
        <v>-164.39230000000001</v>
      </c>
      <c r="H7168">
        <v>2.9045879999999999</v>
      </c>
      <c r="I7168">
        <v>168.93109999999999</v>
      </c>
      <c r="J7168">
        <v>-187.4639</v>
      </c>
      <c r="K7168">
        <v>1.1053360000000001</v>
      </c>
      <c r="L7168">
        <v>102.90170000000001</v>
      </c>
      <c r="M7168">
        <v>5.8756370000000002E-2</v>
      </c>
      <c r="N7168">
        <v>-1.464625E-2</v>
      </c>
      <c r="O7168">
        <v>0.99816490000000002</v>
      </c>
      <c r="P7168">
        <v>6.3996129999999998E-2</v>
      </c>
      <c r="Q7168">
        <v>0.22824330000000001</v>
      </c>
      <c r="R7168">
        <v>0.97149859999999999</v>
      </c>
      <c r="S7168">
        <v>1.0446169999999999</v>
      </c>
      <c r="T7168">
        <v>8.1360940000000007E-2</v>
      </c>
      <c r="U7168">
        <v>3.005646</v>
      </c>
      <c r="V7168">
        <v>9.6232760000000001E-3</v>
      </c>
      <c r="W7168">
        <v>0.2423826</v>
      </c>
      <c r="X7168">
        <v>0.97013300000000002</v>
      </c>
      <c r="Y7168">
        <v>0.27197149999999998</v>
      </c>
      <c r="Z7168">
        <v>4.0218980000000001E-2</v>
      </c>
      <c r="AA7168">
        <v>0.96146450000000006</v>
      </c>
      <c r="AB7168">
        <v>41</v>
      </c>
      <c r="AC7168">
        <v>23.071599999999901</v>
      </c>
      <c r="AD7168">
        <v>1.7992520000000001</v>
      </c>
      <c r="AE7168">
        <v>66.029399999999896</v>
      </c>
      <c r="AF7168">
        <v>19.139002908109301</v>
      </c>
      <c r="AG7168">
        <v>1.7992520000000001</v>
      </c>
      <c r="AH7168">
        <v>67.226562935346493</v>
      </c>
      <c r="AI7168">
        <v>88.525465997764996</v>
      </c>
      <c r="AJ7168">
        <v>74.108661793090107</v>
      </c>
      <c r="AK7168">
        <v>69.921023334732695</v>
      </c>
      <c r="AL7168">
        <v>75.972793665280605</v>
      </c>
      <c r="AM7168">
        <v>89.431670692152906</v>
      </c>
      <c r="AN7168">
        <v>0.99999998495636599</v>
      </c>
    </row>
    <row r="7169" spans="1:40" x14ac:dyDescent="0.25">
      <c r="A7169" t="str">
        <f>"20190304155815148"</f>
        <v>20190304155815148</v>
      </c>
      <c r="B7169" t="str">
        <f>"1551686295142146"</f>
        <v>1551686295142146</v>
      </c>
      <c r="C7169" t="s">
        <v>40</v>
      </c>
      <c r="D7169">
        <v>4.9361179999999996</v>
      </c>
      <c r="E7169">
        <v>0.60839829999999995</v>
      </c>
      <c r="F7169" t="s">
        <v>69</v>
      </c>
      <c r="G7169">
        <v>-163.94290000000001</v>
      </c>
      <c r="H7169">
        <v>2.8632029999999999</v>
      </c>
      <c r="I7169">
        <v>168.48220000000001</v>
      </c>
      <c r="J7169">
        <v>-187.4348</v>
      </c>
      <c r="K7169">
        <v>1.1051439999999999</v>
      </c>
      <c r="L7169">
        <v>103.3258</v>
      </c>
      <c r="M7169">
        <v>6.3869910000000002E-2</v>
      </c>
      <c r="N7169">
        <v>-1.473932E-2</v>
      </c>
      <c r="O7169">
        <v>0.9978494</v>
      </c>
      <c r="P7169">
        <v>6.9954249999999996E-2</v>
      </c>
      <c r="Q7169">
        <v>0.22708130000000001</v>
      </c>
      <c r="R7169">
        <v>0.97136009999999995</v>
      </c>
      <c r="S7169">
        <v>1.0753629999999901</v>
      </c>
      <c r="T7169">
        <v>8.0369830000000003E-2</v>
      </c>
      <c r="U7169">
        <v>2.998291</v>
      </c>
      <c r="V7169">
        <v>1.0691000000000001E-2</v>
      </c>
      <c r="W7169">
        <v>0.2412985</v>
      </c>
      <c r="X7169">
        <v>0.97039200000000003</v>
      </c>
      <c r="Y7169">
        <v>0.27653620000000001</v>
      </c>
      <c r="Z7169">
        <v>3.9968240000000002E-2</v>
      </c>
      <c r="AA7169">
        <v>0.96017200000000003</v>
      </c>
      <c r="AB7169">
        <v>41</v>
      </c>
      <c r="AC7169">
        <v>23.491899999999902</v>
      </c>
      <c r="AD7169">
        <v>1.75805899999999</v>
      </c>
      <c r="AE7169">
        <v>65.156400000000005</v>
      </c>
      <c r="AF7169">
        <v>19.269524111588801</v>
      </c>
      <c r="AG7169">
        <v>1.75805899999999</v>
      </c>
      <c r="AH7169">
        <v>66.481092748655996</v>
      </c>
      <c r="AI7169">
        <v>88.545052403305803</v>
      </c>
      <c r="AJ7169">
        <v>73.835785348764304</v>
      </c>
      <c r="AK7169">
        <v>69.239735874640601</v>
      </c>
      <c r="AL7169">
        <v>76.036807715208596</v>
      </c>
      <c r="AM7169">
        <v>89.368786637649094</v>
      </c>
      <c r="AN7169">
        <v>0.99999994862362296</v>
      </c>
    </row>
    <row r="7170" spans="1:40" x14ac:dyDescent="0.25">
      <c r="A7170" t="str">
        <f>"20190304155815169"</f>
        <v>20190304155815169</v>
      </c>
      <c r="B7170" t="str">
        <f>"1551686295161666"</f>
        <v>1551686295161666</v>
      </c>
      <c r="C7170" t="s">
        <v>40</v>
      </c>
      <c r="D7170">
        <v>5.0101120000000003</v>
      </c>
      <c r="E7170">
        <v>0.60948530000000001</v>
      </c>
      <c r="F7170" t="s">
        <v>69</v>
      </c>
      <c r="G7170">
        <v>-163.5257</v>
      </c>
      <c r="H7170">
        <v>2.689311</v>
      </c>
      <c r="I7170">
        <v>168.06559999999999</v>
      </c>
      <c r="J7170">
        <v>-187.40729999999999</v>
      </c>
      <c r="K7170">
        <v>1.1049869999999999</v>
      </c>
      <c r="L7170">
        <v>103.6974</v>
      </c>
      <c r="M7170">
        <v>6.8470169999999997E-2</v>
      </c>
      <c r="N7170">
        <v>-1.481385E-2</v>
      </c>
      <c r="O7170">
        <v>0.99754319999999996</v>
      </c>
      <c r="P7170">
        <v>7.540442E-2</v>
      </c>
      <c r="Q7170">
        <v>0.22650310000000001</v>
      </c>
      <c r="R7170">
        <v>0.97108729999999999</v>
      </c>
      <c r="S7170">
        <v>1.104889</v>
      </c>
      <c r="T7170">
        <v>7.3209170000000004E-2</v>
      </c>
      <c r="U7170">
        <v>2.9917600000000002</v>
      </c>
      <c r="V7170">
        <v>1.174262E-2</v>
      </c>
      <c r="W7170">
        <v>0.24077879999999999</v>
      </c>
      <c r="X7170">
        <v>0.97050899999999996</v>
      </c>
      <c r="Y7170">
        <v>0.28115899999999999</v>
      </c>
      <c r="Z7170">
        <v>3.7747629999999997E-2</v>
      </c>
      <c r="AA7170">
        <v>0.95891850000000001</v>
      </c>
      <c r="AB7170">
        <v>41</v>
      </c>
      <c r="AC7170">
        <v>23.881599999999899</v>
      </c>
      <c r="AD7170">
        <v>1.5843239999999901</v>
      </c>
      <c r="AE7170">
        <v>64.368199999999902</v>
      </c>
      <c r="AF7170">
        <v>19.407421499287601</v>
      </c>
      <c r="AG7170">
        <v>1.5843239999999901</v>
      </c>
      <c r="AH7170">
        <v>65.817412761628802</v>
      </c>
      <c r="AI7170">
        <v>88.677351297973203</v>
      </c>
      <c r="AJ7170">
        <v>73.570920503626795</v>
      </c>
      <c r="AK7170">
        <v>68.637379862743899</v>
      </c>
      <c r="AL7170">
        <v>76.0674899598704</v>
      </c>
      <c r="AM7170">
        <v>89.3067867095357</v>
      </c>
      <c r="AN7170">
        <v>1.0000000193674501</v>
      </c>
    </row>
    <row r="7171" spans="1:40" x14ac:dyDescent="0.25">
      <c r="A7171" t="str">
        <f>"20190304155815191"</f>
        <v>20190304155815191</v>
      </c>
      <c r="B7171" t="str">
        <f>"1551686295182162"</f>
        <v>1551686295182162</v>
      </c>
      <c r="C7171" t="s">
        <v>40</v>
      </c>
      <c r="D7171">
        <v>4.9589100000000004</v>
      </c>
      <c r="E7171">
        <v>0.61061750000000004</v>
      </c>
      <c r="F7171" t="s">
        <v>69</v>
      </c>
      <c r="G7171">
        <v>-163.15539999999999</v>
      </c>
      <c r="H7171">
        <v>2.5576859999999999</v>
      </c>
      <c r="I7171">
        <v>167.69579999999999</v>
      </c>
      <c r="J7171">
        <v>-187.37469999999999</v>
      </c>
      <c r="K7171">
        <v>1.1048290000000001</v>
      </c>
      <c r="L7171">
        <v>104.1088</v>
      </c>
      <c r="M7171">
        <v>7.367891E-2</v>
      </c>
      <c r="N7171">
        <v>-1.4888159999999999E-2</v>
      </c>
      <c r="O7171">
        <v>0.99717089999999997</v>
      </c>
      <c r="P7171">
        <v>8.1238809999999995E-2</v>
      </c>
      <c r="Q7171">
        <v>0.2255026</v>
      </c>
      <c r="R7171">
        <v>0.97084950000000003</v>
      </c>
      <c r="S7171">
        <v>1.1313930000000001</v>
      </c>
      <c r="T7171">
        <v>6.777263E-2</v>
      </c>
      <c r="U7171">
        <v>2.9856410000000002</v>
      </c>
      <c r="V7171">
        <v>1.2573259999999999E-2</v>
      </c>
      <c r="W7171">
        <v>0.23983969999999999</v>
      </c>
      <c r="X7171">
        <v>0.97073109999999996</v>
      </c>
      <c r="Y7171">
        <v>0.28426839999999998</v>
      </c>
      <c r="Z7171">
        <v>3.6073880000000003E-2</v>
      </c>
      <c r="AA7171">
        <v>0.95806590000000003</v>
      </c>
      <c r="AB7171">
        <v>41</v>
      </c>
      <c r="AC7171">
        <v>24.2193</v>
      </c>
      <c r="AD7171">
        <v>1.4528569999999901</v>
      </c>
      <c r="AE7171">
        <v>63.586999999999897</v>
      </c>
      <c r="AF7171">
        <v>19.459046125210399</v>
      </c>
      <c r="AG7171">
        <v>1.4528569999999901</v>
      </c>
      <c r="AH7171">
        <v>65.169071526931404</v>
      </c>
      <c r="AI7171">
        <v>88.776250600689906</v>
      </c>
      <c r="AJ7171">
        <v>73.374729073111993</v>
      </c>
      <c r="AK7171">
        <v>68.027738116505205</v>
      </c>
      <c r="AL7171">
        <v>76.122920738771398</v>
      </c>
      <c r="AM7171">
        <v>89.257925854624702</v>
      </c>
      <c r="AN7171">
        <v>1.0000000185351601</v>
      </c>
    </row>
    <row r="7172" spans="1:40" x14ac:dyDescent="0.25">
      <c r="A7172" t="str">
        <f>"20190304155815213"</f>
        <v>20190304155815213</v>
      </c>
      <c r="B7172" t="str">
        <f>"1551686295211442"</f>
        <v>1551686295211442</v>
      </c>
      <c r="C7172" t="s">
        <v>40</v>
      </c>
      <c r="D7172">
        <v>5.0534059999999998</v>
      </c>
      <c r="E7172">
        <v>0.61249140000000002</v>
      </c>
      <c r="F7172" t="s">
        <v>69</v>
      </c>
      <c r="G7172">
        <v>-162.79</v>
      </c>
      <c r="H7172">
        <v>2.3877320000000002</v>
      </c>
      <c r="I7172">
        <v>167.33080000000001</v>
      </c>
      <c r="J7172">
        <v>-187.34039999999999</v>
      </c>
      <c r="K7172">
        <v>1.1046940000000001</v>
      </c>
      <c r="L7172">
        <v>104.51349999999999</v>
      </c>
      <c r="M7172">
        <v>7.8913979999999995E-2</v>
      </c>
      <c r="N7172">
        <v>-1.495349E-2</v>
      </c>
      <c r="O7172">
        <v>0.99676920000000002</v>
      </c>
      <c r="P7172">
        <v>8.7467030000000001E-2</v>
      </c>
      <c r="Q7172">
        <v>0.2242719</v>
      </c>
      <c r="R7172">
        <v>0.9705935</v>
      </c>
      <c r="S7172">
        <v>1.158463</v>
      </c>
      <c r="T7172">
        <v>6.0453409999999999E-2</v>
      </c>
      <c r="U7172">
        <v>2.979095</v>
      </c>
      <c r="V7172">
        <v>1.3753420000000001E-2</v>
      </c>
      <c r="W7172">
        <v>0.2386577</v>
      </c>
      <c r="X7172">
        <v>0.97100640000000005</v>
      </c>
      <c r="Y7172">
        <v>0.28753909999999899</v>
      </c>
      <c r="Z7172">
        <v>3.3798500000000002E-2</v>
      </c>
      <c r="AA7172">
        <v>0.95717240000000003</v>
      </c>
      <c r="AB7172">
        <v>41</v>
      </c>
      <c r="AC7172">
        <v>24.5504</v>
      </c>
      <c r="AD7172">
        <v>1.2830379999999999</v>
      </c>
      <c r="AE7172">
        <v>62.817300000000003</v>
      </c>
      <c r="AF7172">
        <v>19.509042536883801</v>
      </c>
      <c r="AG7172">
        <v>1.2830379999999999</v>
      </c>
      <c r="AH7172">
        <v>64.535587020859793</v>
      </c>
      <c r="AI7172">
        <v>88.909761433939195</v>
      </c>
      <c r="AJ7172">
        <v>73.179986295324596</v>
      </c>
      <c r="AK7172">
        <v>67.432120827854305</v>
      </c>
      <c r="AL7172">
        <v>76.192670313742397</v>
      </c>
      <c r="AM7172">
        <v>89.188511807132699</v>
      </c>
      <c r="AN7172">
        <v>1.00000004158597</v>
      </c>
    </row>
    <row r="7173" spans="1:40" x14ac:dyDescent="0.25">
      <c r="A7173" t="str">
        <f>"20190304155815247"</f>
        <v>20190304155815247</v>
      </c>
      <c r="B7173" t="str">
        <f>"1551686295241699"</f>
        <v>1551686295241699</v>
      </c>
      <c r="C7173" t="s">
        <v>40</v>
      </c>
      <c r="D7173">
        <v>4.9755330000000004</v>
      </c>
      <c r="E7173">
        <v>0.61231720000000001</v>
      </c>
      <c r="F7173" t="s">
        <v>69</v>
      </c>
      <c r="G7173">
        <v>-162.31139999999999</v>
      </c>
      <c r="H7173">
        <v>2.1199759999999999</v>
      </c>
      <c r="I7173">
        <v>166.85290000000001</v>
      </c>
      <c r="J7173">
        <v>-187.28440000000001</v>
      </c>
      <c r="K7173">
        <v>1.104514</v>
      </c>
      <c r="L7173">
        <v>105.1266</v>
      </c>
      <c r="M7173">
        <v>8.7005360000000004E-2</v>
      </c>
      <c r="N7173">
        <v>-1.5039189999999999E-2</v>
      </c>
      <c r="O7173">
        <v>0.99609429999999999</v>
      </c>
      <c r="P7173">
        <v>9.5392879999999999E-2</v>
      </c>
      <c r="Q7173">
        <v>0.22468640000000001</v>
      </c>
      <c r="R7173">
        <v>0.96975060000000002</v>
      </c>
      <c r="S7173">
        <v>1.193314</v>
      </c>
      <c r="T7173">
        <v>4.8407319999999997E-2</v>
      </c>
      <c r="U7173">
        <v>2.9721679999999999</v>
      </c>
      <c r="V7173">
        <v>1.392115E-2</v>
      </c>
      <c r="W7173">
        <v>0.23914659999999999</v>
      </c>
      <c r="X7173">
        <v>0.97088370000000002</v>
      </c>
      <c r="Y7173">
        <v>0.2902555</v>
      </c>
      <c r="Z7173">
        <v>3.00348E-2</v>
      </c>
      <c r="AA7173">
        <v>0.95647769999999999</v>
      </c>
      <c r="AB7173">
        <v>41</v>
      </c>
      <c r="AC7173">
        <v>24.972999999999999</v>
      </c>
      <c r="AD7173">
        <v>1.0154620000000001</v>
      </c>
      <c r="AE7173">
        <v>61.726300000000002</v>
      </c>
      <c r="AF7173">
        <v>19.502614798564601</v>
      </c>
      <c r="AG7173">
        <v>1.0154620000000001</v>
      </c>
      <c r="AH7173">
        <v>63.6503986616719</v>
      </c>
      <c r="AI7173">
        <v>89.126090993445999</v>
      </c>
      <c r="AJ7173">
        <v>72.964826411112099</v>
      </c>
      <c r="AK7173">
        <v>66.5789486012238</v>
      </c>
      <c r="AL7173">
        <v>76.163822889423599</v>
      </c>
      <c r="AM7173">
        <v>89.1785128488022</v>
      </c>
      <c r="AN7173">
        <v>1.00000002681728</v>
      </c>
    </row>
    <row r="7174" spans="1:40" x14ac:dyDescent="0.25">
      <c r="A7174" t="str">
        <f>"20190304155815269"</f>
        <v>20190304155815269</v>
      </c>
      <c r="B7174" t="str">
        <f>"1551686295262194"</f>
        <v>1551686295262194</v>
      </c>
      <c r="C7174" t="s">
        <v>40</v>
      </c>
      <c r="D7174">
        <v>5.0285390000000003</v>
      </c>
      <c r="E7174">
        <v>0.61271209999999998</v>
      </c>
      <c r="F7174" t="s">
        <v>69</v>
      </c>
      <c r="G7174">
        <v>-162.03659999999999</v>
      </c>
      <c r="H7174">
        <v>2.2767330000000001</v>
      </c>
      <c r="I7174">
        <v>166.57830000000001</v>
      </c>
      <c r="J7174">
        <v>-187.2449</v>
      </c>
      <c r="K7174">
        <v>1.104417</v>
      </c>
      <c r="L7174">
        <v>105.5282</v>
      </c>
      <c r="M7174">
        <v>9.2404219999999995E-2</v>
      </c>
      <c r="N7174">
        <v>-1.508694E-2</v>
      </c>
      <c r="O7174">
        <v>0.99560729999999997</v>
      </c>
      <c r="P7174">
        <v>0.1001369</v>
      </c>
      <c r="Q7174">
        <v>0.22523290000000001</v>
      </c>
      <c r="R7174">
        <v>0.96914540000000005</v>
      </c>
      <c r="S7174">
        <v>1.2164759999999999</v>
      </c>
      <c r="T7174">
        <v>5.648077E-2</v>
      </c>
      <c r="U7174">
        <v>2.9608310000000002</v>
      </c>
      <c r="V7174">
        <v>1.348631E-2</v>
      </c>
      <c r="W7174">
        <v>0.2397415</v>
      </c>
      <c r="X7174">
        <v>0.97074309999999997</v>
      </c>
      <c r="Y7174">
        <v>0.29272629999999999</v>
      </c>
      <c r="Z7174">
        <v>3.2619950000000002E-2</v>
      </c>
      <c r="AA7174">
        <v>0.95563969999999998</v>
      </c>
      <c r="AB7174">
        <v>41</v>
      </c>
      <c r="AC7174">
        <v>25.208300000000001</v>
      </c>
      <c r="AD7174">
        <v>1.1723159999999999</v>
      </c>
      <c r="AE7174">
        <v>61.0501</v>
      </c>
      <c r="AF7174">
        <v>19.452366779547901</v>
      </c>
      <c r="AG7174">
        <v>1.1723159999999999</v>
      </c>
      <c r="AH7174">
        <v>63.098582981441197</v>
      </c>
      <c r="AI7174">
        <v>88.982845015586406</v>
      </c>
      <c r="AJ7174">
        <v>72.866237719632693</v>
      </c>
      <c r="AK7174">
        <v>66.039382737846196</v>
      </c>
      <c r="AL7174">
        <v>76.128716246279694</v>
      </c>
      <c r="AM7174">
        <v>89.204054155306395</v>
      </c>
      <c r="AN7174">
        <v>1.00000001678863</v>
      </c>
    </row>
    <row r="7175" spans="1:40" x14ac:dyDescent="0.25">
      <c r="A7175" t="str">
        <f>"20190304155815292"</f>
        <v>20190304155815292</v>
      </c>
      <c r="B7175" t="str">
        <f>"1551686295281714"</f>
        <v>1551686295281714</v>
      </c>
      <c r="C7175" t="s">
        <v>40</v>
      </c>
      <c r="D7175">
        <v>4.946542</v>
      </c>
      <c r="E7175">
        <v>0.61373199999999895</v>
      </c>
      <c r="F7175" t="s">
        <v>69</v>
      </c>
      <c r="G7175">
        <v>-161.8141</v>
      </c>
      <c r="H7175">
        <v>2.312052</v>
      </c>
      <c r="I7175">
        <v>166.3561</v>
      </c>
      <c r="J7175">
        <v>-187.20310000000001</v>
      </c>
      <c r="K7175">
        <v>1.1043210000000001</v>
      </c>
      <c r="L7175">
        <v>105.9299</v>
      </c>
      <c r="M7175">
        <v>9.789146E-2</v>
      </c>
      <c r="N7175">
        <v>-1.5128819999999999E-2</v>
      </c>
      <c r="O7175">
        <v>0.99508209999999997</v>
      </c>
      <c r="P7175">
        <v>0.1043618</v>
      </c>
      <c r="Q7175">
        <v>0.2250374</v>
      </c>
      <c r="R7175">
        <v>0.96874499999999997</v>
      </c>
      <c r="S7175">
        <v>1.235107</v>
      </c>
      <c r="T7175">
        <v>5.8653240000000002E-2</v>
      </c>
      <c r="U7175">
        <v>2.9542540000000002</v>
      </c>
      <c r="V7175">
        <v>1.2413769999999999E-2</v>
      </c>
      <c r="W7175">
        <v>0.2395999</v>
      </c>
      <c r="X7175">
        <v>0.9707924</v>
      </c>
      <c r="Y7175">
        <v>0.2933365</v>
      </c>
      <c r="Z7175">
        <v>3.3324699999999999E-2</v>
      </c>
      <c r="AA7175">
        <v>0.95542819999999995</v>
      </c>
      <c r="AB7175">
        <v>41</v>
      </c>
      <c r="AC7175">
        <v>25.388999999999999</v>
      </c>
      <c r="AD7175">
        <v>1.2077309999999899</v>
      </c>
      <c r="AE7175">
        <v>60.426200000000001</v>
      </c>
      <c r="AF7175">
        <v>19.344576987142801</v>
      </c>
      <c r="AG7175">
        <v>1.2077309999999899</v>
      </c>
      <c r="AH7175">
        <v>62.600308029335402</v>
      </c>
      <c r="AI7175">
        <v>88.944003070094197</v>
      </c>
      <c r="AJ7175">
        <v>72.827947150100798</v>
      </c>
      <c r="AK7175">
        <v>65.532204589404202</v>
      </c>
      <c r="AL7175">
        <v>76.137073342318303</v>
      </c>
      <c r="AM7175">
        <v>89.267384184435997</v>
      </c>
      <c r="AN7175">
        <v>1.00000004883169</v>
      </c>
    </row>
    <row r="7176" spans="1:40" x14ac:dyDescent="0.25">
      <c r="A7176" t="str">
        <f>"20190304155815313"</f>
        <v>20190304155815313</v>
      </c>
      <c r="B7176" t="str">
        <f>"1551686295302210"</f>
        <v>1551686295302210</v>
      </c>
      <c r="C7176" t="s">
        <v>40</v>
      </c>
      <c r="D7176">
        <v>4.9510009999999998</v>
      </c>
      <c r="E7176">
        <v>0.6141451</v>
      </c>
      <c r="F7176" t="s">
        <v>69</v>
      </c>
      <c r="G7176">
        <v>-161.54599999999999</v>
      </c>
      <c r="H7176">
        <v>2.261463</v>
      </c>
      <c r="I7176">
        <v>166.0883</v>
      </c>
      <c r="J7176">
        <v>-187.15889999999999</v>
      </c>
      <c r="K7176">
        <v>1.1042299999999901</v>
      </c>
      <c r="L7176">
        <v>106.33150000000001</v>
      </c>
      <c r="M7176">
        <v>0.1034561</v>
      </c>
      <c r="N7176">
        <v>-1.5166239999999999E-2</v>
      </c>
      <c r="O7176">
        <v>0.99451840000000002</v>
      </c>
      <c r="P7176">
        <v>0.1084811</v>
      </c>
      <c r="Q7176">
        <v>0.2246013</v>
      </c>
      <c r="R7176">
        <v>0.96839359999999997</v>
      </c>
      <c r="S7176">
        <v>1.2573700000000001</v>
      </c>
      <c r="T7176">
        <v>5.6709410000000002E-2</v>
      </c>
      <c r="U7176">
        <v>2.9481660000000001</v>
      </c>
      <c r="V7176">
        <v>1.114651E-2</v>
      </c>
      <c r="W7176">
        <v>0.23921790000000001</v>
      </c>
      <c r="X7176">
        <v>0.97090189999999998</v>
      </c>
      <c r="Y7176">
        <v>0.29481829999999998</v>
      </c>
      <c r="Z7176">
        <v>3.2715649999999999E-2</v>
      </c>
      <c r="AA7176">
        <v>0.95499310000000004</v>
      </c>
      <c r="AB7176">
        <v>41</v>
      </c>
      <c r="AC7176">
        <v>25.6129</v>
      </c>
      <c r="AD7176">
        <v>1.157233</v>
      </c>
      <c r="AE7176">
        <v>59.756799999999998</v>
      </c>
      <c r="AF7176">
        <v>19.286403072710002</v>
      </c>
      <c r="AG7176">
        <v>1.157233</v>
      </c>
      <c r="AH7176">
        <v>62.066523545818697</v>
      </c>
      <c r="AI7176">
        <v>88.979943195419693</v>
      </c>
      <c r="AJ7176">
        <v>72.738015306894496</v>
      </c>
      <c r="AK7176">
        <v>65.004291218065006</v>
      </c>
      <c r="AL7176">
        <v>76.159614835007005</v>
      </c>
      <c r="AM7176">
        <v>89.342240526228096</v>
      </c>
      <c r="AN7176">
        <v>0.99999997389459905</v>
      </c>
    </row>
    <row r="7177" spans="1:40" x14ac:dyDescent="0.25">
      <c r="A7177" t="str">
        <f>"20190304155815337"</f>
        <v>20190304155815337</v>
      </c>
      <c r="B7177" t="str">
        <f>"1551686295331490"</f>
        <v>1551686295331490</v>
      </c>
      <c r="C7177" t="s">
        <v>40</v>
      </c>
      <c r="D7177">
        <v>4.6166219999999996</v>
      </c>
      <c r="E7177">
        <v>0.61398280000000005</v>
      </c>
      <c r="F7177" t="s">
        <v>69</v>
      </c>
      <c r="G7177">
        <v>-161.37540000000001</v>
      </c>
      <c r="H7177">
        <v>2.2219350000000002</v>
      </c>
      <c r="I7177">
        <v>165.9178</v>
      </c>
      <c r="J7177">
        <v>-187.10990000000001</v>
      </c>
      <c r="K7177">
        <v>1.1041379999999901</v>
      </c>
      <c r="L7177">
        <v>106.7539</v>
      </c>
      <c r="M7177">
        <v>0.1093808</v>
      </c>
      <c r="N7177">
        <v>-1.520113E-2</v>
      </c>
      <c r="O7177">
        <v>0.99388370000000004</v>
      </c>
      <c r="P7177">
        <v>0.112371</v>
      </c>
      <c r="Q7177">
        <v>0.22381300000000001</v>
      </c>
      <c r="R7177">
        <v>0.96813249999999995</v>
      </c>
      <c r="S7177">
        <v>1.273239</v>
      </c>
      <c r="T7177">
        <v>5.5196050000000003E-2</v>
      </c>
      <c r="U7177">
        <v>2.9424899999999998</v>
      </c>
      <c r="V7177">
        <v>9.2774220000000004E-3</v>
      </c>
      <c r="W7177">
        <v>0.23849229999999999</v>
      </c>
      <c r="X7177">
        <v>0.97110010000000002</v>
      </c>
      <c r="Y7177">
        <v>0.29414010000000002</v>
      </c>
      <c r="Z7177">
        <v>3.2248649999999997E-2</v>
      </c>
      <c r="AA7177">
        <v>0.95521809999999996</v>
      </c>
      <c r="AB7177">
        <v>41</v>
      </c>
      <c r="AC7177">
        <v>25.734500000000001</v>
      </c>
      <c r="AD7177">
        <v>1.1177969999999999</v>
      </c>
      <c r="AE7177">
        <v>59.163899999999998</v>
      </c>
      <c r="AF7177">
        <v>19.1021789793236</v>
      </c>
      <c r="AG7177">
        <v>1.1177969999999999</v>
      </c>
      <c r="AH7177">
        <v>61.605523259861897</v>
      </c>
      <c r="AI7177">
        <v>89.007138998555703</v>
      </c>
      <c r="AJ7177">
        <v>72.772773824939506</v>
      </c>
      <c r="AK7177">
        <v>64.5087839601144</v>
      </c>
      <c r="AL7177">
        <v>76.202428601458607</v>
      </c>
      <c r="AM7177">
        <v>89.452640407965305</v>
      </c>
      <c r="AN7177">
        <v>1.00000002596913</v>
      </c>
    </row>
    <row r="7178" spans="1:40" x14ac:dyDescent="0.25">
      <c r="A7178" t="str">
        <f>"20190304155815359"</f>
        <v>20190304155815359</v>
      </c>
      <c r="B7178" t="str">
        <f>"1551686295351987"</f>
        <v>1551686295351987</v>
      </c>
      <c r="C7178" t="s">
        <v>40</v>
      </c>
      <c r="D7178">
        <v>3.904655</v>
      </c>
      <c r="E7178">
        <v>0.56518100000000004</v>
      </c>
      <c r="F7178" t="s">
        <v>69</v>
      </c>
      <c r="G7178">
        <v>-161.27930000000001</v>
      </c>
      <c r="H7178">
        <v>2.1853560000000001</v>
      </c>
      <c r="I7178">
        <v>165.8219</v>
      </c>
      <c r="J7178">
        <v>-187.05940000000001</v>
      </c>
      <c r="K7178">
        <v>1.104042</v>
      </c>
      <c r="L7178">
        <v>107.1677</v>
      </c>
      <c r="M7178">
        <v>0.1152581</v>
      </c>
      <c r="N7178">
        <v>-1.523091E-2</v>
      </c>
      <c r="O7178">
        <v>0.99321879999999996</v>
      </c>
      <c r="P7178">
        <v>0.11617769999999999</v>
      </c>
      <c r="Q7178">
        <v>0.2228463</v>
      </c>
      <c r="R7178">
        <v>0.96790609999999999</v>
      </c>
      <c r="S7178">
        <v>1.284454</v>
      </c>
      <c r="T7178">
        <v>5.3766370000000001E-2</v>
      </c>
      <c r="U7178">
        <v>2.9372250000000002</v>
      </c>
      <c r="V7178">
        <v>7.3551419999999899E-3</v>
      </c>
      <c r="W7178">
        <v>0.23758499999999999</v>
      </c>
      <c r="X7178">
        <v>0.97133890000000001</v>
      </c>
      <c r="Y7178">
        <v>0.29218050000000001</v>
      </c>
      <c r="Z7178">
        <v>3.1809320000000002E-2</v>
      </c>
      <c r="AA7178">
        <v>0.95583410000000002</v>
      </c>
      <c r="AB7178">
        <v>41</v>
      </c>
      <c r="AC7178">
        <v>25.780100000000001</v>
      </c>
      <c r="AD7178">
        <v>1.0813139999999899</v>
      </c>
      <c r="AE7178">
        <v>58.654200000000003</v>
      </c>
      <c r="AF7178">
        <v>18.841727750665701</v>
      </c>
      <c r="AG7178">
        <v>1.0813139999999899</v>
      </c>
      <c r="AH7178">
        <v>61.217485638005698</v>
      </c>
      <c r="AI7178">
        <v>89.032827185993696</v>
      </c>
      <c r="AJ7178">
        <v>72.892501730311295</v>
      </c>
      <c r="AK7178">
        <v>64.060600156697205</v>
      </c>
      <c r="AL7178">
        <v>76.2559511023792</v>
      </c>
      <c r="AM7178">
        <v>89.566154984423903</v>
      </c>
      <c r="AN7178">
        <v>0.99999999449602495</v>
      </c>
    </row>
    <row r="7179" spans="1:40" x14ac:dyDescent="0.25">
      <c r="A7179" t="str">
        <f>"20190304155815381"</f>
        <v>20190304155815381</v>
      </c>
      <c r="B7179" t="str">
        <f>"1551686295371506"</f>
        <v>1551686295371506</v>
      </c>
      <c r="C7179" t="s">
        <v>40</v>
      </c>
      <c r="D7179">
        <v>3.8414130000000002</v>
      </c>
      <c r="E7179">
        <v>0.48144670000000001</v>
      </c>
      <c r="F7179" t="s">
        <v>69</v>
      </c>
      <c r="G7179">
        <v>-167.36150000000001</v>
      </c>
      <c r="H7179">
        <v>17.853470000000002</v>
      </c>
      <c r="I7179">
        <v>171.88730000000001</v>
      </c>
      <c r="J7179">
        <v>-187.0103</v>
      </c>
      <c r="K7179">
        <v>1.1039639999999999</v>
      </c>
      <c r="L7179">
        <v>107.5514</v>
      </c>
      <c r="M7179">
        <v>0.12077599999999999</v>
      </c>
      <c r="N7179">
        <v>-1.525513E-2</v>
      </c>
      <c r="O7179">
        <v>0.99256259999999996</v>
      </c>
      <c r="P7179">
        <v>0.1189911</v>
      </c>
      <c r="Q7179">
        <v>0.22213260000000001</v>
      </c>
      <c r="R7179">
        <v>0.96772840000000004</v>
      </c>
      <c r="S7179">
        <v>0.86062619999999901</v>
      </c>
      <c r="T7179">
        <v>0.73180619999999996</v>
      </c>
      <c r="U7179">
        <v>2.8276819999999998</v>
      </c>
      <c r="V7179">
        <v>4.7856790000000001E-3</v>
      </c>
      <c r="W7179">
        <v>0.2369356</v>
      </c>
      <c r="X7179">
        <v>0.97151359999999998</v>
      </c>
      <c r="Y7179">
        <v>0.16406209999999999</v>
      </c>
      <c r="Z7179">
        <v>0.25558500000000001</v>
      </c>
      <c r="AA7179">
        <v>0.95276439999999996</v>
      </c>
      <c r="AB7179">
        <v>40</v>
      </c>
      <c r="AC7179">
        <v>19.648799999999898</v>
      </c>
      <c r="AD7179">
        <v>16.749506</v>
      </c>
      <c r="AE7179">
        <v>64.335899999999995</v>
      </c>
      <c r="AF7179">
        <v>11.048807883615501</v>
      </c>
      <c r="AG7179">
        <v>16.749506</v>
      </c>
      <c r="AH7179">
        <v>62.371402565896702</v>
      </c>
      <c r="AI7179">
        <v>75.188413197485502</v>
      </c>
      <c r="AJ7179">
        <v>79.954527631285401</v>
      </c>
      <c r="AK7179">
        <v>65.5195693280277</v>
      </c>
      <c r="AL7179">
        <v>76.294253110374598</v>
      </c>
      <c r="AM7179">
        <v>89.717763095672794</v>
      </c>
      <c r="AN7179">
        <v>1.0000000281279</v>
      </c>
    </row>
    <row r="7180" spans="1:40" x14ac:dyDescent="0.25">
      <c r="A7180" t="str">
        <f>"20190304155815402"</f>
        <v>20190304155815402</v>
      </c>
      <c r="B7180" t="str">
        <f>"1551686295392006"</f>
        <v>1551686295392006</v>
      </c>
      <c r="C7180" t="s">
        <v>40</v>
      </c>
      <c r="D7180">
        <v>4.4588869999999998</v>
      </c>
      <c r="E7180">
        <v>0.48144670000000001</v>
      </c>
      <c r="F7180" t="s">
        <v>46</v>
      </c>
      <c r="G7180">
        <v>0</v>
      </c>
      <c r="H7180">
        <v>0</v>
      </c>
      <c r="I7180">
        <v>0</v>
      </c>
      <c r="J7180">
        <v>-186.95769999999999</v>
      </c>
      <c r="K7180">
        <v>1.1038859999999999</v>
      </c>
      <c r="L7180">
        <v>107.94459999999999</v>
      </c>
      <c r="M7180">
        <v>0.12650629999999999</v>
      </c>
      <c r="N7180">
        <v>-1.5277270000000001E-2</v>
      </c>
      <c r="O7180">
        <v>0.99184819999999996</v>
      </c>
      <c r="P7180">
        <v>0.1219701</v>
      </c>
      <c r="Q7180">
        <v>0.2222094</v>
      </c>
      <c r="R7180">
        <v>0.96733979999999997</v>
      </c>
      <c r="S7180">
        <v>0.19458010000000001</v>
      </c>
      <c r="T7180">
        <v>0.87404059999999995</v>
      </c>
      <c r="U7180">
        <v>2.8754879999999998</v>
      </c>
      <c r="V7180">
        <v>2.2052959999999998E-3</v>
      </c>
      <c r="W7180">
        <v>0.2370727</v>
      </c>
      <c r="X7180">
        <v>0.97148939999999995</v>
      </c>
      <c r="Y7180">
        <v>-6.2548720000000002E-2</v>
      </c>
      <c r="Z7180">
        <v>0.30134129999999998</v>
      </c>
      <c r="AA7180">
        <v>0.95146260000000005</v>
      </c>
      <c r="AB7180">
        <v>40</v>
      </c>
      <c r="AC7180">
        <v>0.19458010000000001</v>
      </c>
      <c r="AD7180">
        <v>0.87404059999999995</v>
      </c>
      <c r="AE7180">
        <v>2.8754879999999998</v>
      </c>
      <c r="AF7180">
        <v>-0.15640816658120299</v>
      </c>
      <c r="AG7180">
        <v>0.87404059999999995</v>
      </c>
      <c r="AH7180">
        <v>2.6346816910361901</v>
      </c>
      <c r="AI7180">
        <v>71.677129708221599</v>
      </c>
      <c r="AJ7180">
        <v>93.3973829202248</v>
      </c>
      <c r="AK7180">
        <v>2.7802802193489402</v>
      </c>
      <c r="AL7180">
        <v>76.286166974829499</v>
      </c>
      <c r="AM7180">
        <v>89.869937915591507</v>
      </c>
      <c r="AN7180">
        <v>0.99999999136404805</v>
      </c>
    </row>
    <row r="7181" spans="1:40" x14ac:dyDescent="0.25">
      <c r="A7181" t="str">
        <f>"20190304155815427"</f>
        <v>20190304155815427</v>
      </c>
      <c r="B7181" t="str">
        <f>"1551686295422259"</f>
        <v>1551686295422259</v>
      </c>
      <c r="C7181" t="s">
        <v>40</v>
      </c>
      <c r="D7181">
        <v>4.6898010000000001</v>
      </c>
      <c r="E7181">
        <v>0.425037</v>
      </c>
      <c r="F7181" t="s">
        <v>46</v>
      </c>
      <c r="G7181">
        <v>0</v>
      </c>
      <c r="H7181">
        <v>0</v>
      </c>
      <c r="I7181">
        <v>0</v>
      </c>
      <c r="J7181">
        <v>-186.89920000000001</v>
      </c>
      <c r="K7181">
        <v>1.1038220000000001</v>
      </c>
      <c r="L7181">
        <v>108.3634</v>
      </c>
      <c r="M7181">
        <v>0.13269220000000001</v>
      </c>
      <c r="N7181">
        <v>-1.529846E-2</v>
      </c>
      <c r="O7181">
        <v>0.99103920000000001</v>
      </c>
      <c r="P7181">
        <v>0.1258214</v>
      </c>
      <c r="Q7181">
        <v>0.22167919999999999</v>
      </c>
      <c r="R7181">
        <v>0.9669681</v>
      </c>
      <c r="S7181">
        <v>0.20318600000000001</v>
      </c>
      <c r="T7181">
        <v>0.87402649999999904</v>
      </c>
      <c r="U7181">
        <v>2.8748930000000001</v>
      </c>
      <c r="V7181" s="1">
        <v>2.837274E-5</v>
      </c>
      <c r="W7181">
        <v>0.2365988</v>
      </c>
      <c r="X7181">
        <v>0.97160740000000001</v>
      </c>
      <c r="Y7181">
        <v>-6.5930499999999906E-2</v>
      </c>
      <c r="Z7181">
        <v>0.30100310000000002</v>
      </c>
      <c r="AA7181">
        <v>0.95134129999999995</v>
      </c>
      <c r="AB7181">
        <v>40</v>
      </c>
      <c r="AC7181">
        <v>0.20318600000000001</v>
      </c>
      <c r="AD7181">
        <v>0.87402649999999904</v>
      </c>
      <c r="AE7181">
        <v>2.8748930000000001</v>
      </c>
      <c r="AF7181">
        <v>-0.16496041145944601</v>
      </c>
      <c r="AG7181">
        <v>0.87402649999999904</v>
      </c>
      <c r="AH7181">
        <v>2.6341675487777598</v>
      </c>
      <c r="AI7181">
        <v>71.677454007573104</v>
      </c>
      <c r="AJ7181">
        <v>93.583374582578699</v>
      </c>
      <c r="AK7181">
        <v>2.7802828876006398</v>
      </c>
      <c r="AL7181">
        <v>76.314114213449997</v>
      </c>
      <c r="AM7181">
        <v>89.998326856861297</v>
      </c>
      <c r="AN7181">
        <v>0.99999996635060495</v>
      </c>
    </row>
    <row r="7182" spans="1:40" x14ac:dyDescent="0.25">
      <c r="A7182" t="str">
        <f>"20190304155815447"</f>
        <v>20190304155815447</v>
      </c>
      <c r="B7182" t="str">
        <f>"1551686295441779"</f>
        <v>1551686295441779</v>
      </c>
      <c r="C7182" t="s">
        <v>40</v>
      </c>
      <c r="D7182">
        <v>4.2814759999999996</v>
      </c>
      <c r="E7182">
        <v>0.4269963</v>
      </c>
      <c r="F7182" t="s">
        <v>52</v>
      </c>
      <c r="G7182">
        <v>-211.3914</v>
      </c>
      <c r="H7182">
        <v>108.2321</v>
      </c>
      <c r="I7182">
        <v>391.87</v>
      </c>
      <c r="J7182">
        <v>-186.8434</v>
      </c>
      <c r="K7182">
        <v>1.103766</v>
      </c>
      <c r="L7182">
        <v>108.74469999999999</v>
      </c>
      <c r="M7182">
        <v>0.1384022</v>
      </c>
      <c r="N7182">
        <v>-1.531599E-2</v>
      </c>
      <c r="O7182">
        <v>0.99025770000000002</v>
      </c>
      <c r="P7182">
        <v>0.12947620000000001</v>
      </c>
      <c r="Q7182">
        <v>0.22136249999999999</v>
      </c>
      <c r="R7182">
        <v>0.96655809999999998</v>
      </c>
      <c r="S7182">
        <v>-0.24923709999999999</v>
      </c>
      <c r="T7182">
        <v>1.090155</v>
      </c>
      <c r="U7182">
        <v>2.8850099999999999</v>
      </c>
      <c r="V7182">
        <v>-1.877241E-3</v>
      </c>
      <c r="W7182">
        <v>0.23633009999999999</v>
      </c>
      <c r="X7182">
        <v>0.97167099999999995</v>
      </c>
      <c r="Y7182">
        <v>-0.21786539999999999</v>
      </c>
      <c r="Z7182">
        <v>0.35796990000000001</v>
      </c>
      <c r="AA7182">
        <v>0.90796049999999995</v>
      </c>
      <c r="AB7182">
        <v>40</v>
      </c>
      <c r="AC7182">
        <v>-24.547999999999998</v>
      </c>
      <c r="AD7182">
        <v>107.128334</v>
      </c>
      <c r="AE7182">
        <v>283.12529999999998</v>
      </c>
      <c r="AF7182">
        <v>-55.600536103004998</v>
      </c>
      <c r="AG7182">
        <v>107.128334</v>
      </c>
      <c r="AH7182">
        <v>242.53710240246801</v>
      </c>
      <c r="AI7182">
        <v>66.706640433427395</v>
      </c>
      <c r="AJ7182">
        <v>102.91169932016</v>
      </c>
      <c r="AK7182">
        <v>270.90984773969097</v>
      </c>
      <c r="AL7182">
        <v>76.329959221238198</v>
      </c>
      <c r="AM7182">
        <v>90.110693694273607</v>
      </c>
      <c r="AN7182">
        <v>0.99999998622039099</v>
      </c>
    </row>
    <row r="7183" spans="1:40" x14ac:dyDescent="0.25">
      <c r="A7183" t="str">
        <f>"20190304155815471"</f>
        <v>20190304155815471</v>
      </c>
      <c r="B7183" t="str">
        <f>"1551686295462278"</f>
        <v>1551686295462278</v>
      </c>
      <c r="C7183" t="s">
        <v>40</v>
      </c>
      <c r="D7183">
        <v>4.640307</v>
      </c>
      <c r="E7183">
        <v>0.428485</v>
      </c>
      <c r="F7183" t="s">
        <v>52</v>
      </c>
      <c r="G7183">
        <v>-209.13470000000001</v>
      </c>
      <c r="H7183">
        <v>112.3034</v>
      </c>
      <c r="I7183">
        <v>391.87</v>
      </c>
      <c r="J7183">
        <v>-186.7818</v>
      </c>
      <c r="K7183">
        <v>1.103696</v>
      </c>
      <c r="L7183">
        <v>109.14919999999999</v>
      </c>
      <c r="M7183">
        <v>0.144538</v>
      </c>
      <c r="N7183">
        <v>-1.533269E-2</v>
      </c>
      <c r="O7183">
        <v>0.9893805</v>
      </c>
      <c r="P7183">
        <v>0.13367229999999999</v>
      </c>
      <c r="Q7183">
        <v>0.22087970000000001</v>
      </c>
      <c r="R7183">
        <v>0.96609719999999999</v>
      </c>
      <c r="S7183">
        <v>-0.2263947</v>
      </c>
      <c r="T7183">
        <v>1.12937</v>
      </c>
      <c r="U7183">
        <v>2.8754879999999998</v>
      </c>
      <c r="V7183">
        <v>-3.6656219999999999E-3</v>
      </c>
      <c r="W7183">
        <v>0.23589450000000001</v>
      </c>
      <c r="X7183">
        <v>0.97177179999999996</v>
      </c>
      <c r="Y7183">
        <v>-0.2166508</v>
      </c>
      <c r="Z7183">
        <v>0.3693573</v>
      </c>
      <c r="AA7183">
        <v>0.90368000000000004</v>
      </c>
      <c r="AB7183">
        <v>40</v>
      </c>
      <c r="AC7183">
        <v>-22.352900000000002</v>
      </c>
      <c r="AD7183">
        <v>111.199704</v>
      </c>
      <c r="AE7183">
        <v>282.7208</v>
      </c>
      <c r="AF7183">
        <v>-54.593627766289401</v>
      </c>
      <c r="AG7183">
        <v>111.199704</v>
      </c>
      <c r="AH7183">
        <v>239.672907636426</v>
      </c>
      <c r="AI7183">
        <v>65.659101227097096</v>
      </c>
      <c r="AJ7183">
        <v>102.832112095352</v>
      </c>
      <c r="AK7183">
        <v>269.79425682781101</v>
      </c>
      <c r="AL7183">
        <v>76.355644235671704</v>
      </c>
      <c r="AM7183">
        <v>90.216124478781097</v>
      </c>
      <c r="AN7183">
        <v>1.0000000415950601</v>
      </c>
    </row>
    <row r="7184" spans="1:40" x14ac:dyDescent="0.25">
      <c r="A7184" t="str">
        <f>"20190304155815491"</f>
        <v>20190304155815491</v>
      </c>
      <c r="B7184" t="str">
        <f>"1551686295481794"</f>
        <v>1551686295481794</v>
      </c>
      <c r="C7184" t="s">
        <v>40</v>
      </c>
      <c r="D7184">
        <v>4.5843049999999996</v>
      </c>
      <c r="E7184">
        <v>0.42964849999999999</v>
      </c>
      <c r="F7184" t="s">
        <v>52</v>
      </c>
      <c r="G7184">
        <v>-206.94990000000001</v>
      </c>
      <c r="H7184">
        <v>114.0201</v>
      </c>
      <c r="I7184">
        <v>391.87</v>
      </c>
      <c r="J7184">
        <v>-186.72149999999999</v>
      </c>
      <c r="K7184">
        <v>1.1036250000000001</v>
      </c>
      <c r="L7184">
        <v>109.52849999999999</v>
      </c>
      <c r="M7184">
        <v>0.150371</v>
      </c>
      <c r="N7184">
        <v>-1.5346469999999999E-2</v>
      </c>
      <c r="O7184">
        <v>0.98851049999999996</v>
      </c>
      <c r="P7184">
        <v>0.13690260000000001</v>
      </c>
      <c r="Q7184">
        <v>0.22037860000000001</v>
      </c>
      <c r="R7184">
        <v>0.96575929999999999</v>
      </c>
      <c r="S7184">
        <v>-0.20483399999999999</v>
      </c>
      <c r="T7184">
        <v>1.14682</v>
      </c>
      <c r="U7184">
        <v>2.8714140000000001</v>
      </c>
      <c r="V7184">
        <v>-6.1411859999999999E-3</v>
      </c>
      <c r="W7184">
        <v>0.23544870000000001</v>
      </c>
      <c r="X7184">
        <v>0.97186740000000005</v>
      </c>
      <c r="Y7184">
        <v>-0.21560969999999999</v>
      </c>
      <c r="Z7184">
        <v>0.37417640000000002</v>
      </c>
      <c r="AA7184">
        <v>0.90194490000000005</v>
      </c>
      <c r="AB7184">
        <v>40</v>
      </c>
      <c r="AC7184">
        <v>-20.228400000000001</v>
      </c>
      <c r="AD7184">
        <v>112.91647500000001</v>
      </c>
      <c r="AE7184">
        <v>282.3415</v>
      </c>
      <c r="AF7184">
        <v>-53.884829036151601</v>
      </c>
      <c r="AG7184">
        <v>112.91647500000001</v>
      </c>
      <c r="AH7184">
        <v>238.18657142729199</v>
      </c>
      <c r="AI7184">
        <v>65.184997338338604</v>
      </c>
      <c r="AJ7184">
        <v>102.747416546483</v>
      </c>
      <c r="AK7184">
        <v>269.04748267725699</v>
      </c>
      <c r="AL7184">
        <v>76.381926760209296</v>
      </c>
      <c r="AM7184">
        <v>90.362044612157902</v>
      </c>
      <c r="AN7184">
        <v>1.00000002383996</v>
      </c>
    </row>
    <row r="7185" spans="1:40" x14ac:dyDescent="0.25">
      <c r="A7185" t="str">
        <f>"20190304155815514"</f>
        <v>20190304155815514</v>
      </c>
      <c r="B7185" t="str">
        <f>"1551686295512051"</f>
        <v>1551686295512051</v>
      </c>
      <c r="C7185" t="s">
        <v>40</v>
      </c>
      <c r="D7185">
        <v>4.5467659999999999</v>
      </c>
      <c r="E7185">
        <v>0.43068390000000001</v>
      </c>
      <c r="F7185" t="s">
        <v>52</v>
      </c>
      <c r="G7185">
        <v>-205.17080000000001</v>
      </c>
      <c r="H7185">
        <v>114.7242</v>
      </c>
      <c r="I7185">
        <v>391.00349999999997</v>
      </c>
      <c r="J7185">
        <v>-186.65260000000001</v>
      </c>
      <c r="K7185">
        <v>1.1035520000000001</v>
      </c>
      <c r="L7185">
        <v>109.9439</v>
      </c>
      <c r="M7185">
        <v>0.1568261</v>
      </c>
      <c r="N7185">
        <v>-1.535952E-2</v>
      </c>
      <c r="O7185">
        <v>0.98750680000000002</v>
      </c>
      <c r="P7185">
        <v>0.141539</v>
      </c>
      <c r="Q7185">
        <v>0.22033800000000001</v>
      </c>
      <c r="R7185">
        <v>0.96509990000000001</v>
      </c>
      <c r="S7185">
        <v>-0.18803410000000001</v>
      </c>
      <c r="T7185">
        <v>1.1580140000000001</v>
      </c>
      <c r="U7185">
        <v>2.8687740000000002</v>
      </c>
      <c r="V7185">
        <v>-7.7918869999999999E-3</v>
      </c>
      <c r="W7185">
        <v>0.2354492</v>
      </c>
      <c r="X7185">
        <v>0.97185540000000004</v>
      </c>
      <c r="Y7185">
        <v>-0.2167037</v>
      </c>
      <c r="Z7185">
        <v>0.37694759999999999</v>
      </c>
      <c r="AA7185">
        <v>0.90052770000000004</v>
      </c>
      <c r="AB7185">
        <v>40</v>
      </c>
      <c r="AC7185">
        <v>-18.5182</v>
      </c>
      <c r="AD7185">
        <v>113.620648</v>
      </c>
      <c r="AE7185">
        <v>281.05959999999999</v>
      </c>
      <c r="AF7185">
        <v>-53.6429895238523</v>
      </c>
      <c r="AG7185">
        <v>113.620648</v>
      </c>
      <c r="AH7185">
        <v>236.236520019338</v>
      </c>
      <c r="AI7185">
        <v>64.872413927883699</v>
      </c>
      <c r="AJ7185">
        <v>102.79339662933199</v>
      </c>
      <c r="AK7185">
        <v>267.57226195523901</v>
      </c>
      <c r="AL7185">
        <v>76.381896659799295</v>
      </c>
      <c r="AM7185">
        <v>90.459361211562793</v>
      </c>
      <c r="AN7185">
        <v>0.99999997889641001</v>
      </c>
    </row>
    <row r="7186" spans="1:40" x14ac:dyDescent="0.25">
      <c r="A7186" t="str">
        <f>"20190304155815538"</f>
        <v>20190304155815538</v>
      </c>
      <c r="B7186" t="str">
        <f>"1551686295531571"</f>
        <v>1551686295531571</v>
      </c>
      <c r="C7186" t="s">
        <v>40</v>
      </c>
      <c r="D7186">
        <v>4.2385999999999999</v>
      </c>
      <c r="E7186">
        <v>0.43138130000000002</v>
      </c>
      <c r="F7186" t="s">
        <v>52</v>
      </c>
      <c r="G7186">
        <v>-203.15</v>
      </c>
      <c r="H7186">
        <v>116.9272</v>
      </c>
      <c r="I7186">
        <v>391.00349999999997</v>
      </c>
      <c r="J7186">
        <v>-186.58070000000001</v>
      </c>
      <c r="K7186">
        <v>1.103494</v>
      </c>
      <c r="L7186">
        <v>110.36109999999999</v>
      </c>
      <c r="M7186">
        <v>0.16336979999999901</v>
      </c>
      <c r="N7186">
        <v>-1.53703E-2</v>
      </c>
      <c r="O7186">
        <v>0.98644520000000002</v>
      </c>
      <c r="P7186">
        <v>0.14732500000000001</v>
      </c>
      <c r="Q7186">
        <v>0.22065750000000001</v>
      </c>
      <c r="R7186">
        <v>0.96416060000000003</v>
      </c>
      <c r="S7186">
        <v>-0.16809079999999901</v>
      </c>
      <c r="T7186">
        <v>1.180123</v>
      </c>
      <c r="U7186">
        <v>2.8637079999999999</v>
      </c>
      <c r="V7186">
        <v>-8.3579369999999993E-3</v>
      </c>
      <c r="W7186">
        <v>0.2357889</v>
      </c>
      <c r="X7186">
        <v>0.97176839999999998</v>
      </c>
      <c r="Y7186">
        <v>-0.21687690000000001</v>
      </c>
      <c r="Z7186">
        <v>0.3828782</v>
      </c>
      <c r="AA7186">
        <v>0.89798029999999995</v>
      </c>
      <c r="AB7186">
        <v>40</v>
      </c>
      <c r="AC7186">
        <v>-16.569299999999998</v>
      </c>
      <c r="AD7186">
        <v>115.823706</v>
      </c>
      <c r="AE7186">
        <v>280.64239999999899</v>
      </c>
      <c r="AF7186">
        <v>-53.174801245799003</v>
      </c>
      <c r="AG7186">
        <v>115.823706</v>
      </c>
      <c r="AH7186">
        <v>234.380675593592</v>
      </c>
      <c r="AI7186">
        <v>64.269553877219394</v>
      </c>
      <c r="AJ7186">
        <v>102.78252224282799</v>
      </c>
      <c r="AK7186">
        <v>266.79016370700998</v>
      </c>
      <c r="AL7186">
        <v>76.3618703013138</v>
      </c>
      <c r="AM7186">
        <v>90.492774521324293</v>
      </c>
      <c r="AN7186">
        <v>1.00000004185633</v>
      </c>
    </row>
    <row r="7187" spans="1:40" x14ac:dyDescent="0.25">
      <c r="A7187" t="str">
        <f>"20190304155815560"</f>
        <v>20190304155815560</v>
      </c>
      <c r="B7187" t="str">
        <f>"1551686295552155"</f>
        <v>1551686295552155</v>
      </c>
      <c r="C7187" t="s">
        <v>40</v>
      </c>
      <c r="D7187">
        <v>4.4895969999999998</v>
      </c>
      <c r="E7187">
        <v>0.43160920000000003</v>
      </c>
      <c r="F7187" t="s">
        <v>52</v>
      </c>
      <c r="G7187">
        <v>-200.92089999999999</v>
      </c>
      <c r="H7187">
        <v>118.2766</v>
      </c>
      <c r="I7187">
        <v>391.87</v>
      </c>
      <c r="J7187">
        <v>-186.51079999999999</v>
      </c>
      <c r="K7187">
        <v>1.103445</v>
      </c>
      <c r="L7187">
        <v>110.7513</v>
      </c>
      <c r="M7187">
        <v>0.16953460000000001</v>
      </c>
      <c r="N7187">
        <v>-1.53784E-2</v>
      </c>
      <c r="O7187">
        <v>0.98540430000000001</v>
      </c>
      <c r="P7187">
        <v>0.1538486</v>
      </c>
      <c r="Q7187">
        <v>0.22075500000000001</v>
      </c>
      <c r="R7187">
        <v>0.9631189</v>
      </c>
      <c r="S7187">
        <v>-0.14575199999999999</v>
      </c>
      <c r="T7187">
        <v>1.190939</v>
      </c>
      <c r="U7187">
        <v>2.861237</v>
      </c>
      <c r="V7187">
        <v>-7.8230109999999995E-3</v>
      </c>
      <c r="W7187">
        <v>0.23588619999999999</v>
      </c>
      <c r="X7187">
        <v>0.97174919999999998</v>
      </c>
      <c r="Y7187">
        <v>-0.21596380000000001</v>
      </c>
      <c r="Z7187">
        <v>0.38554690000000003</v>
      </c>
      <c r="AA7187">
        <v>0.89705809999999997</v>
      </c>
      <c r="AB7187">
        <v>40</v>
      </c>
      <c r="AC7187">
        <v>-14.4101</v>
      </c>
      <c r="AD7187">
        <v>117.17315499999999</v>
      </c>
      <c r="AE7187">
        <v>281.11869999999999</v>
      </c>
      <c r="AF7187">
        <v>-52.729673484792499</v>
      </c>
      <c r="AG7187">
        <v>117.17315499999999</v>
      </c>
      <c r="AH7187">
        <v>234.049910703162</v>
      </c>
      <c r="AI7187">
        <v>63.969485689232499</v>
      </c>
      <c r="AJ7187">
        <v>102.696330231657</v>
      </c>
      <c r="AK7187">
        <v>267.00061314278901</v>
      </c>
      <c r="AL7187">
        <v>76.356133067727399</v>
      </c>
      <c r="AM7187">
        <v>90.461246410752906</v>
      </c>
      <c r="AN7187">
        <v>1.0000000032760901</v>
      </c>
    </row>
    <row r="7188" spans="1:40" x14ac:dyDescent="0.25">
      <c r="A7188" t="str">
        <f>"20190304155815581"</f>
        <v>20190304155815581</v>
      </c>
      <c r="B7188" t="str">
        <f>"1551686295571675"</f>
        <v>1551686295571675</v>
      </c>
      <c r="C7188" t="s">
        <v>40</v>
      </c>
      <c r="D7188">
        <v>4.4820250000000001</v>
      </c>
      <c r="E7188">
        <v>0.43159399999999998</v>
      </c>
      <c r="F7188" t="s">
        <v>52</v>
      </c>
      <c r="G7188">
        <v>-198.69649999999999</v>
      </c>
      <c r="H7188">
        <v>119.1824</v>
      </c>
      <c r="I7188">
        <v>391.87</v>
      </c>
      <c r="J7188">
        <v>-186.4427</v>
      </c>
      <c r="K7188">
        <v>1.103421</v>
      </c>
      <c r="L7188">
        <v>111.11879999999999</v>
      </c>
      <c r="M7188">
        <v>0.17536969999999999</v>
      </c>
      <c r="N7188">
        <v>-1.5384500000000001E-2</v>
      </c>
      <c r="O7188">
        <v>0.98438250000000005</v>
      </c>
      <c r="P7188">
        <v>0.16073270000000001</v>
      </c>
      <c r="Q7188">
        <v>0.2203512</v>
      </c>
      <c r="R7188">
        <v>0.96208640000000001</v>
      </c>
      <c r="S7188">
        <v>-0.1239471</v>
      </c>
      <c r="T7188">
        <v>1.2010369999999999</v>
      </c>
      <c r="U7188">
        <v>2.8593899999999999</v>
      </c>
      <c r="V7188">
        <v>-6.6300589999999998E-3</v>
      </c>
      <c r="W7188">
        <v>0.2354714</v>
      </c>
      <c r="X7188">
        <v>0.97185869999999996</v>
      </c>
      <c r="Y7188">
        <v>-0.2148941</v>
      </c>
      <c r="Z7188">
        <v>0.38794650000000003</v>
      </c>
      <c r="AA7188">
        <v>0.89628009999999902</v>
      </c>
      <c r="AB7188">
        <v>40</v>
      </c>
      <c r="AC7188">
        <v>-12.253799999999901</v>
      </c>
      <c r="AD7188">
        <v>118.078979</v>
      </c>
      <c r="AE7188">
        <v>280.75119999999998</v>
      </c>
      <c r="AF7188">
        <v>-52.105536779549801</v>
      </c>
      <c r="AG7188">
        <v>118.078979</v>
      </c>
      <c r="AH7188">
        <v>233.09620260504201</v>
      </c>
      <c r="AI7188">
        <v>63.693740529359602</v>
      </c>
      <c r="AJ7188">
        <v>102.600553059478</v>
      </c>
      <c r="AK7188">
        <v>266.44224874005698</v>
      </c>
      <c r="AL7188">
        <v>76.380588679671703</v>
      </c>
      <c r="AM7188">
        <v>90.3908680404259</v>
      </c>
      <c r="AN7188">
        <v>1.0000000353329901</v>
      </c>
    </row>
    <row r="7189" spans="1:40" x14ac:dyDescent="0.25">
      <c r="A7189" t="str">
        <f>"20190304155815603"</f>
        <v>20190304155815603</v>
      </c>
      <c r="B7189" t="str">
        <f>"1551686295592171"</f>
        <v>1551686295592171</v>
      </c>
      <c r="C7189" t="s">
        <v>40</v>
      </c>
      <c r="D7189">
        <v>4.6308249999999997</v>
      </c>
      <c r="E7189">
        <v>0.43205460000000001</v>
      </c>
      <c r="F7189" t="s">
        <v>52</v>
      </c>
      <c r="G7189">
        <v>-196.70320000000001</v>
      </c>
      <c r="H7189">
        <v>120.4504</v>
      </c>
      <c r="I7189">
        <v>391.87</v>
      </c>
      <c r="J7189">
        <v>-186.36689999999999</v>
      </c>
      <c r="K7189">
        <v>1.1033850000000001</v>
      </c>
      <c r="L7189">
        <v>111.5141</v>
      </c>
      <c r="M7189">
        <v>0.18167249999999999</v>
      </c>
      <c r="N7189">
        <v>-1.538959E-2</v>
      </c>
      <c r="O7189">
        <v>0.98323859999999996</v>
      </c>
      <c r="P7189">
        <v>0.16893059999999999</v>
      </c>
      <c r="Q7189">
        <v>0.2184131</v>
      </c>
      <c r="R7189">
        <v>0.96112339999999996</v>
      </c>
      <c r="S7189">
        <v>-0.1044312</v>
      </c>
      <c r="T7189">
        <v>1.2147059999999901</v>
      </c>
      <c r="U7189">
        <v>2.8574679999999999</v>
      </c>
      <c r="V7189">
        <v>-4.658148E-3</v>
      </c>
      <c r="W7189">
        <v>0.23351350000000001</v>
      </c>
      <c r="X7189">
        <v>0.97234240000000005</v>
      </c>
      <c r="Y7189">
        <v>-0.215004</v>
      </c>
      <c r="Z7189">
        <v>0.39113900000000001</v>
      </c>
      <c r="AA7189">
        <v>0.89486509999999997</v>
      </c>
      <c r="AB7189">
        <v>40</v>
      </c>
      <c r="AC7189">
        <v>-10.3363</v>
      </c>
      <c r="AD7189">
        <v>119.347014999999</v>
      </c>
      <c r="AE7189">
        <v>280.35590000000002</v>
      </c>
      <c r="AF7189">
        <v>-51.739748595935303</v>
      </c>
      <c r="AG7189">
        <v>119.347014999999</v>
      </c>
      <c r="AH7189">
        <v>231.85234829363799</v>
      </c>
      <c r="AI7189">
        <v>63.325192875265202</v>
      </c>
      <c r="AJ7189">
        <v>102.579900525509</v>
      </c>
      <c r="AK7189">
        <v>265.85000090926297</v>
      </c>
      <c r="AL7189">
        <v>76.495985093815406</v>
      </c>
      <c r="AM7189">
        <v>90.274481683637703</v>
      </c>
      <c r="AN7189">
        <v>0.99999999793139904</v>
      </c>
    </row>
    <row r="7190" spans="1:40" x14ac:dyDescent="0.25">
      <c r="A7190" t="str">
        <f>"20190304155815626"</f>
        <v>20190304155815626</v>
      </c>
      <c r="B7190" t="str">
        <f>"1551686295621451"</f>
        <v>1551686295621451</v>
      </c>
      <c r="C7190" t="s">
        <v>40</v>
      </c>
      <c r="D7190">
        <v>4.3733339999999998</v>
      </c>
      <c r="E7190">
        <v>0.43211430000000001</v>
      </c>
      <c r="F7190" t="s">
        <v>52</v>
      </c>
      <c r="G7190">
        <v>-193.9187</v>
      </c>
      <c r="H7190">
        <v>120.41930000000001</v>
      </c>
      <c r="I7190">
        <v>391.87</v>
      </c>
      <c r="J7190">
        <v>-186.28919999999999</v>
      </c>
      <c r="K7190">
        <v>1.1033539999999999</v>
      </c>
      <c r="L7190">
        <v>111.9058</v>
      </c>
      <c r="M7190">
        <v>0.18793480000000001</v>
      </c>
      <c r="N7190">
        <v>-1.539332E-2</v>
      </c>
      <c r="O7190">
        <v>0.98206079999999996</v>
      </c>
      <c r="P7190">
        <v>0.1787521</v>
      </c>
      <c r="Q7190">
        <v>0.215975</v>
      </c>
      <c r="R7190">
        <v>0.95989720000000001</v>
      </c>
      <c r="S7190">
        <v>-7.6995850000000005E-2</v>
      </c>
      <c r="T7190">
        <v>1.2165170000000001</v>
      </c>
      <c r="U7190">
        <v>2.858444</v>
      </c>
      <c r="V7190">
        <v>-1.0283779999999999E-3</v>
      </c>
      <c r="W7190">
        <v>0.23102790000000001</v>
      </c>
      <c r="X7190">
        <v>0.97294659999999999</v>
      </c>
      <c r="Y7190">
        <v>-0.21262020000000001</v>
      </c>
      <c r="Z7190">
        <v>0.39098870000000002</v>
      </c>
      <c r="AA7190">
        <v>0.89550010000000002</v>
      </c>
      <c r="AB7190">
        <v>40</v>
      </c>
      <c r="AC7190">
        <v>-7.6295000000000002</v>
      </c>
      <c r="AD7190">
        <v>119.315946</v>
      </c>
      <c r="AE7190">
        <v>279.96420000000001</v>
      </c>
      <c r="AF7190">
        <v>-50.8801742750912</v>
      </c>
      <c r="AG7190">
        <v>119.315946</v>
      </c>
      <c r="AH7190">
        <v>231.52021216179801</v>
      </c>
      <c r="AI7190">
        <v>63.281742328997602</v>
      </c>
      <c r="AJ7190">
        <v>102.394606817501</v>
      </c>
      <c r="AK7190">
        <v>265.380285144889</v>
      </c>
      <c r="AL7190">
        <v>76.642404174083097</v>
      </c>
      <c r="AM7190">
        <v>90.060560052526796</v>
      </c>
      <c r="AN7190">
        <v>1.00000001729564</v>
      </c>
    </row>
    <row r="7191" spans="1:40" x14ac:dyDescent="0.25">
      <c r="A7191" t="str">
        <f>"20190304155816095"</f>
        <v>20190304155816095</v>
      </c>
      <c r="B7191" t="str">
        <f>"1551686296091415"</f>
        <v>1551686296091415</v>
      </c>
      <c r="C7191" t="s">
        <v>40</v>
      </c>
      <c r="D7191">
        <v>3.674776</v>
      </c>
      <c r="E7191">
        <v>0.43211430000000001</v>
      </c>
      <c r="F7191" t="s">
        <v>52</v>
      </c>
      <c r="G7191">
        <v>-191.03960000000001</v>
      </c>
      <c r="H7191">
        <v>121.0442</v>
      </c>
      <c r="I7191">
        <v>391.87</v>
      </c>
      <c r="J7191">
        <v>-184.08629999999999</v>
      </c>
      <c r="K7191">
        <v>1.1019380000000001</v>
      </c>
      <c r="L7191">
        <v>119.89449999999999</v>
      </c>
      <c r="M7191">
        <v>0.327057599999999</v>
      </c>
      <c r="N7191">
        <v>-1.5488119999999999E-2</v>
      </c>
      <c r="O7191">
        <v>0.94487750000000004</v>
      </c>
      <c r="P7191">
        <v>0.37182559999999998</v>
      </c>
      <c r="Q7191">
        <v>0.19759370000000001</v>
      </c>
      <c r="R7191">
        <v>0.90702939999999999</v>
      </c>
      <c r="S7191">
        <v>-4.8507689999999999E-2</v>
      </c>
      <c r="T7191">
        <v>1.2247509999999999</v>
      </c>
      <c r="U7191">
        <v>2.8587950000000002</v>
      </c>
      <c r="V7191">
        <v>5.8899559999999997E-2</v>
      </c>
      <c r="W7191">
        <v>0.21160100000000001</v>
      </c>
      <c r="X7191">
        <v>0.97557969999999905</v>
      </c>
      <c r="Y7191">
        <v>-0.34206340000000002</v>
      </c>
      <c r="Z7191">
        <v>0.36445660000000002</v>
      </c>
      <c r="AA7191">
        <v>0.86612009999999995</v>
      </c>
      <c r="AB7191">
        <v>39</v>
      </c>
      <c r="AC7191">
        <v>-6.9533000000000103</v>
      </c>
      <c r="AD7191">
        <v>119.942262</v>
      </c>
      <c r="AE7191">
        <v>271.97550000000001</v>
      </c>
      <c r="AF7191">
        <v>-79.987050748284503</v>
      </c>
      <c r="AG7191">
        <v>119.942262</v>
      </c>
      <c r="AH7191">
        <v>213.28619526672901</v>
      </c>
      <c r="AI7191">
        <v>62.231209685397999</v>
      </c>
      <c r="AJ7191">
        <v>110.557158610076</v>
      </c>
      <c r="AK7191">
        <v>257.43946005312102</v>
      </c>
      <c r="AL7191">
        <v>77.783807882254095</v>
      </c>
      <c r="AM7191">
        <v>86.545023557461107</v>
      </c>
      <c r="AN7191">
        <v>0.99999994621064003</v>
      </c>
    </row>
    <row r="7192" spans="1:40" x14ac:dyDescent="0.25">
      <c r="A7192" t="str">
        <f>"20190304155816195"</f>
        <v>20190304155816195</v>
      </c>
      <c r="B7192" t="str">
        <f>"1551686296191943"</f>
        <v>1551686296191943</v>
      </c>
      <c r="C7192" t="s">
        <v>40</v>
      </c>
      <c r="D7192">
        <v>4.2259180000000001</v>
      </c>
      <c r="E7192">
        <v>0.6564605</v>
      </c>
      <c r="F7192" t="s">
        <v>69</v>
      </c>
      <c r="G7192">
        <v>-168.7013</v>
      </c>
      <c r="H7192">
        <v>34.038609999999998</v>
      </c>
      <c r="I7192">
        <v>198.5788</v>
      </c>
      <c r="J7192">
        <v>-183.46100000000001</v>
      </c>
      <c r="K7192">
        <v>1.1008</v>
      </c>
      <c r="L7192">
        <v>121.5176</v>
      </c>
      <c r="M7192">
        <v>0.36483910000000003</v>
      </c>
      <c r="N7192">
        <v>-1.561388E-2</v>
      </c>
      <c r="O7192">
        <v>0.93093970000000004</v>
      </c>
      <c r="P7192">
        <v>0.43325950000000002</v>
      </c>
      <c r="Q7192">
        <v>0.19657359999999999</v>
      </c>
      <c r="R7192">
        <v>0.87957090000000004</v>
      </c>
      <c r="S7192">
        <v>0.55210879999999996</v>
      </c>
      <c r="T7192">
        <v>1.181975</v>
      </c>
      <c r="U7192">
        <v>2.8236849999999998</v>
      </c>
      <c r="V7192">
        <v>8.7215299999999996E-2</v>
      </c>
      <c r="W7192">
        <v>0.20988570000000001</v>
      </c>
      <c r="X7192">
        <v>0.97382829999999998</v>
      </c>
      <c r="Y7192">
        <v>-0.1932856</v>
      </c>
      <c r="Z7192">
        <v>0.3556029</v>
      </c>
      <c r="AA7192">
        <v>0.91443280000000005</v>
      </c>
      <c r="AB7192">
        <v>39</v>
      </c>
      <c r="AC7192">
        <v>14.759699999999899</v>
      </c>
      <c r="AD7192">
        <v>32.937809999999999</v>
      </c>
      <c r="AE7192">
        <v>77.061199999999999</v>
      </c>
      <c r="AF7192">
        <v>-12.222390680376799</v>
      </c>
      <c r="AG7192">
        <v>32.937809999999999</v>
      </c>
      <c r="AH7192">
        <v>65.577203246106293</v>
      </c>
      <c r="AI7192">
        <v>63.721122446786701</v>
      </c>
      <c r="AJ7192">
        <v>100.557745032249</v>
      </c>
      <c r="AK7192">
        <v>74.3952669672003</v>
      </c>
      <c r="AL7192">
        <v>77.8843463928646</v>
      </c>
      <c r="AM7192">
        <v>84.882288512464001</v>
      </c>
      <c r="AN7192">
        <v>1.0000000367497299</v>
      </c>
    </row>
    <row r="7193" spans="1:40" x14ac:dyDescent="0.25">
      <c r="A7193" t="str">
        <f>"20190304155816206"</f>
        <v>20190304155816206</v>
      </c>
      <c r="B7193" t="str">
        <f>"1551686296201703"</f>
        <v>1551686296201703</v>
      </c>
      <c r="C7193" t="s">
        <v>40</v>
      </c>
      <c r="D7193">
        <v>4.2395440000000004</v>
      </c>
      <c r="E7193">
        <v>0.65958260000000002</v>
      </c>
      <c r="F7193" t="s">
        <v>101</v>
      </c>
      <c r="G7193">
        <v>-145.32499999999999</v>
      </c>
      <c r="H7193">
        <v>4.9224600000000001</v>
      </c>
      <c r="I7193">
        <v>154.72550000000001</v>
      </c>
      <c r="J7193">
        <v>-183.37989999999999</v>
      </c>
      <c r="K7193">
        <v>1.1006469999999999</v>
      </c>
      <c r="L7193">
        <v>121.714</v>
      </c>
      <c r="M7193">
        <v>0.36982500000000001</v>
      </c>
      <c r="N7193">
        <v>-1.5632610000000002E-2</v>
      </c>
      <c r="O7193">
        <v>0.92896990000000002</v>
      </c>
      <c r="P7193">
        <v>0.44071640000000001</v>
      </c>
      <c r="Q7193">
        <v>0.19614000000000001</v>
      </c>
      <c r="R7193">
        <v>0.8759555</v>
      </c>
      <c r="S7193">
        <v>2.4613040000000002</v>
      </c>
      <c r="T7193">
        <v>0.24665200000000001</v>
      </c>
      <c r="U7193">
        <v>2.1432500000000001</v>
      </c>
      <c r="V7193">
        <v>9.0307269999999995E-2</v>
      </c>
      <c r="W7193">
        <v>0.2093672</v>
      </c>
      <c r="X7193">
        <v>0.97365800000000002</v>
      </c>
      <c r="Y7193">
        <v>0.4547329</v>
      </c>
      <c r="Z7193">
        <v>8.9837509999999995E-2</v>
      </c>
      <c r="AA7193">
        <v>0.88608529999999996</v>
      </c>
      <c r="AB7193">
        <v>38</v>
      </c>
      <c r="AC7193">
        <v>38.054900000000004</v>
      </c>
      <c r="AD7193">
        <v>3.8218129999999899</v>
      </c>
      <c r="AE7193">
        <v>33.011499999999998</v>
      </c>
      <c r="AF7193">
        <v>23.013759048111801</v>
      </c>
      <c r="AG7193">
        <v>3.8218129999999899</v>
      </c>
      <c r="AH7193">
        <v>44.489765056666599</v>
      </c>
      <c r="AI7193">
        <v>85.636816414312193</v>
      </c>
      <c r="AJ7193">
        <v>62.648283627602297</v>
      </c>
      <c r="AK7193">
        <v>50.235232207375198</v>
      </c>
      <c r="AL7193">
        <v>77.914728425434404</v>
      </c>
      <c r="AM7193">
        <v>84.700948190317007</v>
      </c>
      <c r="AN7193">
        <v>0.99999996420734505</v>
      </c>
    </row>
    <row r="7194" spans="1:40" x14ac:dyDescent="0.25">
      <c r="A7194" t="str">
        <f>"20190304155816219"</f>
        <v>20190304155816219</v>
      </c>
      <c r="B7194" t="str">
        <f>"1551686296211463"</f>
        <v>1551686296211463</v>
      </c>
      <c r="C7194" t="s">
        <v>40</v>
      </c>
      <c r="D7194">
        <v>4.8338070000000002</v>
      </c>
      <c r="E7194">
        <v>0.65580819999999995</v>
      </c>
      <c r="F7194" t="s">
        <v>101</v>
      </c>
      <c r="G7194">
        <v>-145.11789999999999</v>
      </c>
      <c r="H7194">
        <v>5.1695330000000004</v>
      </c>
      <c r="I7194">
        <v>153.99100000000001</v>
      </c>
      <c r="J7194">
        <v>-183.30269999999999</v>
      </c>
      <c r="K7194">
        <v>1.100503</v>
      </c>
      <c r="L7194">
        <v>121.8972</v>
      </c>
      <c r="M7194">
        <v>0.37458459999999899</v>
      </c>
      <c r="N7194">
        <v>-1.5651350000000001E-2</v>
      </c>
      <c r="O7194">
        <v>0.92706060000000001</v>
      </c>
      <c r="P7194">
        <v>0.44778109999999999</v>
      </c>
      <c r="Q7194">
        <v>0.1952749</v>
      </c>
      <c r="R7194">
        <v>0.87255930000000004</v>
      </c>
      <c r="S7194">
        <v>2.4989170000000001</v>
      </c>
      <c r="T7194">
        <v>0.26574330000000002</v>
      </c>
      <c r="U7194">
        <v>2.1080320000000001</v>
      </c>
      <c r="V7194">
        <v>9.3169249999999995E-2</v>
      </c>
      <c r="W7194">
        <v>0.20842289999999999</v>
      </c>
      <c r="X7194">
        <v>0.97359099999999998</v>
      </c>
      <c r="Y7194">
        <v>0.46362399999999998</v>
      </c>
      <c r="Z7194">
        <v>9.5634559999999993E-2</v>
      </c>
      <c r="AA7194">
        <v>0.88085569999999902</v>
      </c>
      <c r="AB7194">
        <v>38</v>
      </c>
      <c r="AC7194">
        <v>38.184800000000003</v>
      </c>
      <c r="AD7194">
        <v>4.0690299999999997</v>
      </c>
      <c r="AE7194">
        <v>32.093800000000002</v>
      </c>
      <c r="AF7194">
        <v>23.226086885957301</v>
      </c>
      <c r="AG7194">
        <v>4.0690299999999997</v>
      </c>
      <c r="AH7194">
        <v>43.770463265550902</v>
      </c>
      <c r="AI7194">
        <v>85.305520166084506</v>
      </c>
      <c r="AJ7194">
        <v>62.048067662853398</v>
      </c>
      <c r="AK7194">
        <v>49.7178194579758</v>
      </c>
      <c r="AL7194">
        <v>77.970054150960394</v>
      </c>
      <c r="AM7194">
        <v>84.533640591500102</v>
      </c>
      <c r="AN7194">
        <v>1.0000000248354799</v>
      </c>
    </row>
    <row r="7195" spans="1:40" x14ac:dyDescent="0.25">
      <c r="A7195" t="str">
        <f>"20190304155816229"</f>
        <v>20190304155816229</v>
      </c>
      <c r="B7195" t="str">
        <f>"1551686296222199"</f>
        <v>1551686296222199</v>
      </c>
      <c r="C7195" t="s">
        <v>40</v>
      </c>
      <c r="D7195">
        <v>4.8373229999999996</v>
      </c>
      <c r="E7195">
        <v>0.65311519999999901</v>
      </c>
      <c r="F7195" t="s">
        <v>69</v>
      </c>
      <c r="G7195">
        <v>-137.31</v>
      </c>
      <c r="H7195">
        <v>4.6351009999999997</v>
      </c>
      <c r="I7195">
        <v>160.81710000000001</v>
      </c>
      <c r="J7195">
        <v>-183.22929999999999</v>
      </c>
      <c r="K7195">
        <v>1.100368</v>
      </c>
      <c r="L7195">
        <v>122.07040000000001</v>
      </c>
      <c r="M7195">
        <v>0.379106</v>
      </c>
      <c r="N7195">
        <v>-1.5668310000000001E-2</v>
      </c>
      <c r="O7195">
        <v>0.92522059999999995</v>
      </c>
      <c r="P7195">
        <v>0.45449669999999998</v>
      </c>
      <c r="Q7195">
        <v>0.19412989999999999</v>
      </c>
      <c r="R7195">
        <v>0.86933669999999996</v>
      </c>
      <c r="S7195">
        <v>2.4975740000000002</v>
      </c>
      <c r="T7195">
        <v>0.19194359999999999</v>
      </c>
      <c r="U7195">
        <v>2.1134949999999999</v>
      </c>
      <c r="V7195">
        <v>9.5875109999999999E-2</v>
      </c>
      <c r="W7195">
        <v>0.20720140000000001</v>
      </c>
      <c r="X7195">
        <v>0.97358900000000004</v>
      </c>
      <c r="Y7195">
        <v>0.4594298</v>
      </c>
      <c r="Z7195">
        <v>7.2633939999999994E-2</v>
      </c>
      <c r="AA7195">
        <v>0.88523929999999995</v>
      </c>
      <c r="AB7195">
        <v>38</v>
      </c>
      <c r="AC7195">
        <v>45.9192999999999</v>
      </c>
      <c r="AD7195">
        <v>3.5347330000000001</v>
      </c>
      <c r="AE7195">
        <v>38.746699999999997</v>
      </c>
      <c r="AF7195">
        <v>27.7039011010501</v>
      </c>
      <c r="AG7195">
        <v>3.5347330000000001</v>
      </c>
      <c r="AH7195">
        <v>53.080346648242902</v>
      </c>
      <c r="AI7195">
        <v>86.621459539963993</v>
      </c>
      <c r="AJ7195">
        <v>62.438868074968099</v>
      </c>
      <c r="AK7195">
        <v>59.979360399188003</v>
      </c>
      <c r="AL7195">
        <v>78.041602633689294</v>
      </c>
      <c r="AM7195">
        <v>84.375876422328801</v>
      </c>
      <c r="AN7195">
        <v>0.99999999890023605</v>
      </c>
    </row>
    <row r="7196" spans="1:40" x14ac:dyDescent="0.25">
      <c r="A7196" t="str">
        <f>"20190304155816239"</f>
        <v>20190304155816239</v>
      </c>
      <c r="B7196" t="str">
        <f>"1551686296231958"</f>
        <v>1551686296231958</v>
      </c>
      <c r="C7196" t="s">
        <v>40</v>
      </c>
      <c r="D7196">
        <v>4.817018</v>
      </c>
      <c r="E7196">
        <v>0.65156789999999998</v>
      </c>
      <c r="F7196" t="s">
        <v>69</v>
      </c>
      <c r="G7196">
        <v>-137.3604</v>
      </c>
      <c r="H7196">
        <v>3.6295259999999998</v>
      </c>
      <c r="I7196">
        <v>160.8175</v>
      </c>
      <c r="J7196">
        <v>-183.1591</v>
      </c>
      <c r="K7196">
        <v>1.1002320000000001</v>
      </c>
      <c r="L7196">
        <v>122.2319</v>
      </c>
      <c r="M7196">
        <v>0.38345810000000002</v>
      </c>
      <c r="N7196">
        <v>-1.568572E-2</v>
      </c>
      <c r="O7196">
        <v>0.9234251</v>
      </c>
      <c r="P7196">
        <v>0.46052920000000003</v>
      </c>
      <c r="Q7196">
        <v>0.19282920000000001</v>
      </c>
      <c r="R7196">
        <v>0.86644659999999996</v>
      </c>
      <c r="S7196">
        <v>2.500931</v>
      </c>
      <c r="T7196">
        <v>0.13790039999999901</v>
      </c>
      <c r="U7196">
        <v>2.112625</v>
      </c>
      <c r="V7196">
        <v>9.7987699999999997E-2</v>
      </c>
      <c r="W7196">
        <v>0.20583989999999999</v>
      </c>
      <c r="X7196">
        <v>0.97366739999999996</v>
      </c>
      <c r="Y7196">
        <v>0.45683839999999998</v>
      </c>
      <c r="Z7196">
        <v>5.5790319999999997E-2</v>
      </c>
      <c r="AA7196">
        <v>0.88779850000000005</v>
      </c>
      <c r="AB7196">
        <v>38</v>
      </c>
      <c r="AC7196">
        <v>45.798699999999997</v>
      </c>
      <c r="AD7196">
        <v>2.5292939999999899</v>
      </c>
      <c r="AE7196">
        <v>38.585599999999999</v>
      </c>
      <c r="AF7196">
        <v>27.450125205961299</v>
      </c>
      <c r="AG7196">
        <v>2.5292939999999899</v>
      </c>
      <c r="AH7196">
        <v>53.104609707338099</v>
      </c>
      <c r="AI7196">
        <v>87.577245094272499</v>
      </c>
      <c r="AJ7196">
        <v>62.665257446096398</v>
      </c>
      <c r="AK7196">
        <v>59.833153636843299</v>
      </c>
      <c r="AL7196">
        <v>78.121328746155299</v>
      </c>
      <c r="AM7196">
        <v>84.253230343567793</v>
      </c>
      <c r="AN7196">
        <v>0.99999992980302699</v>
      </c>
    </row>
    <row r="7197" spans="1:40" x14ac:dyDescent="0.25">
      <c r="A7197" t="str">
        <f>"20190304155816251"</f>
        <v>20190304155816251</v>
      </c>
      <c r="B7197" t="str">
        <f>"1551686296241719"</f>
        <v>1551686296241719</v>
      </c>
      <c r="C7197" t="s">
        <v>40</v>
      </c>
      <c r="D7197">
        <v>4.7856129999999997</v>
      </c>
      <c r="E7197">
        <v>0.64979010000000004</v>
      </c>
      <c r="F7197" t="s">
        <v>69</v>
      </c>
      <c r="G7197">
        <v>-137.20699999999999</v>
      </c>
      <c r="H7197">
        <v>2.8573529999999998</v>
      </c>
      <c r="I7197">
        <v>160.8177</v>
      </c>
      <c r="J7197">
        <v>-183.08029999999999</v>
      </c>
      <c r="K7197">
        <v>1.1000810000000001</v>
      </c>
      <c r="L7197">
        <v>122.41240000000001</v>
      </c>
      <c r="M7197">
        <v>0.38833390000000001</v>
      </c>
      <c r="N7197">
        <v>-1.5704050000000001E-2</v>
      </c>
      <c r="O7197">
        <v>0.92138489999999995</v>
      </c>
      <c r="P7197">
        <v>0.46717750000000002</v>
      </c>
      <c r="Q7197">
        <v>0.1919476</v>
      </c>
      <c r="R7197">
        <v>0.86307670000000003</v>
      </c>
      <c r="S7197">
        <v>2.509506</v>
      </c>
      <c r="T7197">
        <v>9.5960619999999996E-2</v>
      </c>
      <c r="U7197">
        <v>2.107224</v>
      </c>
      <c r="V7197">
        <v>0.1003082</v>
      </c>
      <c r="W7197">
        <v>0.2048865</v>
      </c>
      <c r="X7197">
        <v>0.97363230000000001</v>
      </c>
      <c r="Y7197">
        <v>0.45523979999999997</v>
      </c>
      <c r="Z7197">
        <v>4.2706580000000001E-2</v>
      </c>
      <c r="AA7197">
        <v>0.88934409999999897</v>
      </c>
      <c r="AB7197">
        <v>38</v>
      </c>
      <c r="AC7197">
        <v>45.8733</v>
      </c>
      <c r="AD7197">
        <v>1.7572719999999999</v>
      </c>
      <c r="AE7197">
        <v>38.405299999999997</v>
      </c>
      <c r="AF7197">
        <v>27.332679080721299</v>
      </c>
      <c r="AG7197">
        <v>1.7572719999999999</v>
      </c>
      <c r="AH7197">
        <v>53.160919373895297</v>
      </c>
      <c r="AI7197">
        <v>88.316122837588196</v>
      </c>
      <c r="AJ7197">
        <v>62.790044675514999</v>
      </c>
      <c r="AK7197">
        <v>59.801728229955799</v>
      </c>
      <c r="AL7197">
        <v>78.1771454615198</v>
      </c>
      <c r="AM7197">
        <v>84.117870648297995</v>
      </c>
      <c r="AN7197">
        <v>1.00000003423638</v>
      </c>
    </row>
    <row r="7198" spans="1:40" x14ac:dyDescent="0.25">
      <c r="A7198" t="str">
        <f>"20190304155816265"</f>
        <v>20190304155816265</v>
      </c>
      <c r="B7198" t="str">
        <f>"1551686296262215"</f>
        <v>1551686296262215</v>
      </c>
      <c r="C7198" t="s">
        <v>40</v>
      </c>
      <c r="D7198">
        <v>4.8738780000000004</v>
      </c>
      <c r="E7198">
        <v>0.64864409999999995</v>
      </c>
      <c r="F7198" t="s">
        <v>69</v>
      </c>
      <c r="G7198">
        <v>-137.0361</v>
      </c>
      <c r="H7198">
        <v>2.381418</v>
      </c>
      <c r="I7198">
        <v>160.81780000000001</v>
      </c>
      <c r="J7198">
        <v>-182.98150000000001</v>
      </c>
      <c r="K7198">
        <v>1.09989</v>
      </c>
      <c r="L7198">
        <v>122.6335</v>
      </c>
      <c r="M7198">
        <v>0.39447460000000001</v>
      </c>
      <c r="N7198">
        <v>-1.572896E-2</v>
      </c>
      <c r="O7198">
        <v>0.91877220000000004</v>
      </c>
      <c r="P7198">
        <v>0.47486879999999998</v>
      </c>
      <c r="Q7198">
        <v>0.19114010000000001</v>
      </c>
      <c r="R7198">
        <v>0.85904899999999995</v>
      </c>
      <c r="S7198">
        <v>2.5158999999999998</v>
      </c>
      <c r="T7198">
        <v>7.0015430000000003E-2</v>
      </c>
      <c r="U7198">
        <v>2.0985109999999998</v>
      </c>
      <c r="V7198">
        <v>0.1025137</v>
      </c>
      <c r="W7198">
        <v>0.20400570000000001</v>
      </c>
      <c r="X7198">
        <v>0.97358750000000005</v>
      </c>
      <c r="Y7198">
        <v>0.45245550000000001</v>
      </c>
      <c r="Z7198">
        <v>3.4612919999999998E-2</v>
      </c>
      <c r="AA7198">
        <v>0.89111499999999999</v>
      </c>
      <c r="AB7198">
        <v>38</v>
      </c>
      <c r="AC7198">
        <v>45.945399999999999</v>
      </c>
      <c r="AD7198">
        <v>1.281528</v>
      </c>
      <c r="AE7198">
        <v>38.1843</v>
      </c>
      <c r="AF7198">
        <v>27.1414900133129</v>
      </c>
      <c r="AG7198">
        <v>1.281528</v>
      </c>
      <c r="AH7198">
        <v>53.1890750555051</v>
      </c>
      <c r="AI7198">
        <v>88.770554325856196</v>
      </c>
      <c r="AJ7198">
        <v>62.965544204224003</v>
      </c>
      <c r="AK7198">
        <v>59.727552263739298</v>
      </c>
      <c r="AL7198">
        <v>78.228700157678105</v>
      </c>
      <c r="AM7198">
        <v>83.989201021105501</v>
      </c>
      <c r="AN7198">
        <v>1.0000000022382101</v>
      </c>
    </row>
    <row r="7199" spans="1:40" x14ac:dyDescent="0.25">
      <c r="A7199" t="str">
        <f>"20190304155816276"</f>
        <v>20190304155816276</v>
      </c>
      <c r="B7199" t="str">
        <f>"1551686296271976"</f>
        <v>1551686296271976</v>
      </c>
      <c r="C7199" t="s">
        <v>40</v>
      </c>
      <c r="D7199">
        <v>4.9688629999999998</v>
      </c>
      <c r="E7199">
        <v>0.62247039999999998</v>
      </c>
      <c r="F7199" t="s">
        <v>69</v>
      </c>
      <c r="G7199">
        <v>-136.63890000000001</v>
      </c>
      <c r="H7199">
        <v>1.9280219999999999</v>
      </c>
      <c r="I7199">
        <v>160.81780000000001</v>
      </c>
      <c r="J7199">
        <v>-182.90010000000001</v>
      </c>
      <c r="K7199">
        <v>1.099731</v>
      </c>
      <c r="L7199">
        <v>122.813</v>
      </c>
      <c r="M7199">
        <v>0.39953699999999998</v>
      </c>
      <c r="N7199">
        <v>-1.5750050000000002E-2</v>
      </c>
      <c r="O7199">
        <v>0.91658170000000005</v>
      </c>
      <c r="P7199">
        <v>0.4812263</v>
      </c>
      <c r="Q7199">
        <v>0.1907692</v>
      </c>
      <c r="R7199">
        <v>0.85558650000000003</v>
      </c>
      <c r="S7199">
        <v>2.5292970000000001</v>
      </c>
      <c r="T7199">
        <v>4.5199749999999997E-2</v>
      </c>
      <c r="U7199">
        <v>2.0840299999999998</v>
      </c>
      <c r="V7199">
        <v>0.1043988</v>
      </c>
      <c r="W7199">
        <v>0.20357159999999999</v>
      </c>
      <c r="X7199">
        <v>0.97347799999999995</v>
      </c>
      <c r="Y7199">
        <v>0.4530672</v>
      </c>
      <c r="Z7199">
        <v>2.6889090000000001E-2</v>
      </c>
      <c r="AA7199">
        <v>0.89107069999999999</v>
      </c>
      <c r="AB7199">
        <v>38</v>
      </c>
      <c r="AC7199">
        <v>46.261200000000002</v>
      </c>
      <c r="AD7199">
        <v>0.828291</v>
      </c>
      <c r="AE7199">
        <v>38.004800000000003</v>
      </c>
      <c r="AF7199">
        <v>27.2160144137294</v>
      </c>
      <c r="AG7199">
        <v>0.828291</v>
      </c>
      <c r="AH7199">
        <v>53.3139781838562</v>
      </c>
      <c r="AI7199">
        <v>89.207226916396294</v>
      </c>
      <c r="AJ7199">
        <v>62.956346067473703</v>
      </c>
      <c r="AK7199">
        <v>59.864662166738299</v>
      </c>
      <c r="AL7199">
        <v>78.254104897079401</v>
      </c>
      <c r="AM7199">
        <v>83.878818098867796</v>
      </c>
      <c r="AN7199">
        <v>0.99999996112599898</v>
      </c>
    </row>
    <row r="7200" spans="1:40" x14ac:dyDescent="0.25">
      <c r="A7200" t="str">
        <f>"20190304155816287"</f>
        <v>20190304155816287</v>
      </c>
      <c r="B7200" t="str">
        <f>"1551686296281735"</f>
        <v>1551686296281735</v>
      </c>
      <c r="C7200" t="s">
        <v>40</v>
      </c>
      <c r="D7200">
        <v>4.9066099999999997</v>
      </c>
      <c r="E7200">
        <v>0.6229095</v>
      </c>
      <c r="F7200" t="s">
        <v>41</v>
      </c>
      <c r="G7200">
        <v>-161.28020000000001</v>
      </c>
      <c r="H7200" s="1">
        <v>-4.767275E-6</v>
      </c>
      <c r="I7200">
        <v>142.70339999999999</v>
      </c>
      <c r="J7200">
        <v>-182.8142</v>
      </c>
      <c r="K7200">
        <v>1.0995740000000001</v>
      </c>
      <c r="L7200">
        <v>123.00020000000001</v>
      </c>
      <c r="M7200">
        <v>0.40487380000000001</v>
      </c>
      <c r="N7200">
        <v>-1.577226E-2</v>
      </c>
      <c r="O7200">
        <v>0.91423650000000001</v>
      </c>
      <c r="P7200">
        <v>0.48790620000000001</v>
      </c>
      <c r="Q7200">
        <v>0.1909343</v>
      </c>
      <c r="R7200">
        <v>0.85175789999999996</v>
      </c>
      <c r="S7200">
        <v>2.3834840000000002</v>
      </c>
      <c r="T7200">
        <v>-0.1212401</v>
      </c>
      <c r="U7200">
        <v>2.1928100000000001</v>
      </c>
      <c r="V7200">
        <v>0.1064412</v>
      </c>
      <c r="W7200">
        <v>0.2036654</v>
      </c>
      <c r="X7200">
        <v>0.97323720000000002</v>
      </c>
      <c r="Y7200">
        <v>0.39836899999999997</v>
      </c>
      <c r="Z7200">
        <v>-2.4265789999999999E-2</v>
      </c>
      <c r="AA7200">
        <v>0.91690419999999995</v>
      </c>
      <c r="AB7200">
        <v>38</v>
      </c>
      <c r="AC7200">
        <v>21.533999999999899</v>
      </c>
      <c r="AD7200">
        <v>-1.0995787672749999</v>
      </c>
      <c r="AE7200">
        <v>19.703199999999899</v>
      </c>
      <c r="AF7200">
        <v>11.6947191201827</v>
      </c>
      <c r="AG7200">
        <v>-1.0995787672749999</v>
      </c>
      <c r="AH7200">
        <v>26.697374067543102</v>
      </c>
      <c r="AI7200">
        <v>92.160514701495103</v>
      </c>
      <c r="AJ7200">
        <v>66.344295728136004</v>
      </c>
      <c r="AK7200">
        <v>29.167195800551902</v>
      </c>
      <c r="AL7200">
        <v>78.248615847224997</v>
      </c>
      <c r="AM7200">
        <v>83.758470701267299</v>
      </c>
      <c r="AN7200">
        <v>0.99999998583922001</v>
      </c>
    </row>
    <row r="7201" spans="1:40" x14ac:dyDescent="0.25">
      <c r="A7201" t="str">
        <f>"20190304155816299"</f>
        <v>20190304155816299</v>
      </c>
      <c r="B7201" t="str">
        <f>"1551686296291495"</f>
        <v>1551686296291495</v>
      </c>
      <c r="C7201" t="s">
        <v>40</v>
      </c>
      <c r="D7201">
        <v>4.8630019999999998</v>
      </c>
      <c r="E7201">
        <v>0.62660119999999997</v>
      </c>
      <c r="F7201" t="s">
        <v>41</v>
      </c>
      <c r="G7201">
        <v>-165.1045</v>
      </c>
      <c r="H7201" s="1">
        <v>-2.4011970000000001E-6</v>
      </c>
      <c r="I7201">
        <v>139.0155</v>
      </c>
      <c r="J7201">
        <v>-182.7319</v>
      </c>
      <c r="K7201">
        <v>1.0994280000000001</v>
      </c>
      <c r="L7201">
        <v>123.17529999999999</v>
      </c>
      <c r="M7201">
        <v>0.40998560000000001</v>
      </c>
      <c r="N7201">
        <v>-1.5794590000000001E-2</v>
      </c>
      <c r="O7201">
        <v>0.91195519999999997</v>
      </c>
      <c r="P7201">
        <v>0.4941758</v>
      </c>
      <c r="Q7201">
        <v>0.19137180000000001</v>
      </c>
      <c r="R7201">
        <v>0.84803719999999905</v>
      </c>
      <c r="S7201">
        <v>2.407089</v>
      </c>
      <c r="T7201">
        <v>-0.149453799999999</v>
      </c>
      <c r="U7201">
        <v>2.1767880000000002</v>
      </c>
      <c r="V7201">
        <v>0.1082988</v>
      </c>
      <c r="W7201">
        <v>0.20403750000000001</v>
      </c>
      <c r="X7201">
        <v>0.97295430000000005</v>
      </c>
      <c r="Y7201">
        <v>0.40086119999999997</v>
      </c>
      <c r="Z7201">
        <v>-3.2867840000000002E-2</v>
      </c>
      <c r="AA7201">
        <v>0.91554899999999995</v>
      </c>
      <c r="AB7201">
        <v>38</v>
      </c>
      <c r="AC7201">
        <v>17.627399999999898</v>
      </c>
      <c r="AD7201">
        <v>-1.099430401197</v>
      </c>
      <c r="AE7201">
        <v>15.840199999999999</v>
      </c>
      <c r="AF7201">
        <v>9.5617620805131001</v>
      </c>
      <c r="AG7201">
        <v>-1.099430401197</v>
      </c>
      <c r="AH7201">
        <v>21.628688363144398</v>
      </c>
      <c r="AI7201">
        <v>92.661849650483006</v>
      </c>
      <c r="AJ7201">
        <v>66.150401129242198</v>
      </c>
      <c r="AK7201">
        <v>23.673533779337401</v>
      </c>
      <c r="AL7201">
        <v>78.226838986619995</v>
      </c>
      <c r="AM7201">
        <v>83.648595201853595</v>
      </c>
      <c r="AN7201">
        <v>1.00000000068809</v>
      </c>
    </row>
    <row r="7202" spans="1:40" x14ac:dyDescent="0.25">
      <c r="A7202" t="str">
        <f>"20190304155816311"</f>
        <v>20190304155816311</v>
      </c>
      <c r="B7202" t="str">
        <f>"1551686296302231"</f>
        <v>1551686296302231</v>
      </c>
      <c r="C7202" t="s">
        <v>40</v>
      </c>
      <c r="D7202">
        <v>4.9782169999999999</v>
      </c>
      <c r="E7202">
        <v>0.62593889999999996</v>
      </c>
      <c r="F7202" t="s">
        <v>41</v>
      </c>
      <c r="G7202">
        <v>-165.3349</v>
      </c>
      <c r="H7202" s="1">
        <v>-2.399482E-6</v>
      </c>
      <c r="I7202">
        <v>138.411</v>
      </c>
      <c r="J7202">
        <v>-182.6456</v>
      </c>
      <c r="K7202">
        <v>1.0992820000000001</v>
      </c>
      <c r="L7202">
        <v>123.3579</v>
      </c>
      <c r="M7202">
        <v>0.41534379999999999</v>
      </c>
      <c r="N7202">
        <v>-1.5816839999999999E-2</v>
      </c>
      <c r="O7202">
        <v>0.90952699999999997</v>
      </c>
      <c r="P7202">
        <v>0.50068550000000001</v>
      </c>
      <c r="Q7202">
        <v>0.1917865</v>
      </c>
      <c r="R7202">
        <v>0.84411619999999998</v>
      </c>
      <c r="S7202">
        <v>2.4494630000000002</v>
      </c>
      <c r="T7202">
        <v>-0.15479760000000001</v>
      </c>
      <c r="U7202">
        <v>2.1451570000000002</v>
      </c>
      <c r="V7202">
        <v>0.1101887</v>
      </c>
      <c r="W7202">
        <v>0.20438339999999999</v>
      </c>
      <c r="X7202">
        <v>0.97266949999999996</v>
      </c>
      <c r="Y7202">
        <v>0.40998990000000002</v>
      </c>
      <c r="Z7202">
        <v>-3.446515E-2</v>
      </c>
      <c r="AA7202">
        <v>0.91143859999999999</v>
      </c>
      <c r="AB7202">
        <v>38</v>
      </c>
      <c r="AC7202">
        <v>17.310699999999901</v>
      </c>
      <c r="AD7202">
        <v>-1.0992843994820001</v>
      </c>
      <c r="AE7202">
        <v>15.053100000000001</v>
      </c>
      <c r="AF7202">
        <v>9.4717750743661409</v>
      </c>
      <c r="AG7202">
        <v>-1.0992843994820001</v>
      </c>
      <c r="AH7202">
        <v>20.835860382103</v>
      </c>
      <c r="AI7202">
        <v>92.749771480323801</v>
      </c>
      <c r="AJ7202">
        <v>65.553927050440294</v>
      </c>
      <c r="AK7202">
        <v>22.914101053997701</v>
      </c>
      <c r="AL7202">
        <v>78.206594219182406</v>
      </c>
      <c r="AM7202">
        <v>83.536811648882406</v>
      </c>
      <c r="AN7202">
        <v>1.0000000400167399</v>
      </c>
    </row>
    <row r="7203" spans="1:40" x14ac:dyDescent="0.25">
      <c r="A7203" t="str">
        <f>"20190304155816322"</f>
        <v>20190304155816322</v>
      </c>
      <c r="B7203" t="str">
        <f>"1551686296311992"</f>
        <v>1551686296311992</v>
      </c>
      <c r="C7203" t="s">
        <v>40</v>
      </c>
      <c r="D7203">
        <v>4.9145919999999998</v>
      </c>
      <c r="E7203">
        <v>0.62627349999999904</v>
      </c>
      <c r="F7203" t="s">
        <v>41</v>
      </c>
      <c r="G7203">
        <v>-166.7381</v>
      </c>
      <c r="H7203" s="1">
        <v>-1.9659169999999999E-6</v>
      </c>
      <c r="I7203">
        <v>137.11600000000001</v>
      </c>
      <c r="J7203">
        <v>-182.55959999999999</v>
      </c>
      <c r="K7203">
        <v>1.0991359999999999</v>
      </c>
      <c r="L7203">
        <v>123.5356</v>
      </c>
      <c r="M7203">
        <v>0.42068100000000003</v>
      </c>
      <c r="N7203">
        <v>-1.5839720000000002E-2</v>
      </c>
      <c r="O7203">
        <v>0.9070703</v>
      </c>
      <c r="P7203">
        <v>0.50685239999999998</v>
      </c>
      <c r="Q7203">
        <v>0.19213669999999999</v>
      </c>
      <c r="R7203">
        <v>0.84034759999999997</v>
      </c>
      <c r="S7203">
        <v>2.4640659999999999</v>
      </c>
      <c r="T7203">
        <v>-0.17027870000000001</v>
      </c>
      <c r="U7203">
        <v>2.131119</v>
      </c>
      <c r="V7203">
        <v>0.1117134</v>
      </c>
      <c r="W7203">
        <v>0.2046751</v>
      </c>
      <c r="X7203">
        <v>0.97243420000000003</v>
      </c>
      <c r="Y7203">
        <v>0.4101243</v>
      </c>
      <c r="Z7203">
        <v>-3.9144199999999997E-2</v>
      </c>
      <c r="AA7203">
        <v>0.91118920000000003</v>
      </c>
      <c r="AB7203">
        <v>38</v>
      </c>
      <c r="AC7203">
        <v>15.821499999999901</v>
      </c>
      <c r="AD7203">
        <v>-1.099137965917</v>
      </c>
      <c r="AE7203">
        <v>13.580399999999999</v>
      </c>
      <c r="AF7203">
        <v>8.6153397747390308</v>
      </c>
      <c r="AG7203">
        <v>-1.099137965917</v>
      </c>
      <c r="AH7203">
        <v>18.9239761343681</v>
      </c>
      <c r="AI7203">
        <v>93.025921257576698</v>
      </c>
      <c r="AJ7203">
        <v>65.522098183035496</v>
      </c>
      <c r="AK7203">
        <v>20.821840851290101</v>
      </c>
      <c r="AL7203">
        <v>78.189519943644896</v>
      </c>
      <c r="AM7203">
        <v>83.446580191497006</v>
      </c>
      <c r="AN7203">
        <v>1.0000000268146001</v>
      </c>
    </row>
    <row r="7204" spans="1:40" x14ac:dyDescent="0.25">
      <c r="A7204" t="str">
        <f>"20190304155816339"</f>
        <v>20190304155816339</v>
      </c>
      <c r="B7204" t="str">
        <f>"1551686296331511"</f>
        <v>1551686296331511</v>
      </c>
      <c r="C7204" t="s">
        <v>40</v>
      </c>
      <c r="D7204">
        <v>4.9944309999999996</v>
      </c>
      <c r="E7204">
        <v>0.62522699999999998</v>
      </c>
      <c r="F7204" t="s">
        <v>41</v>
      </c>
      <c r="G7204">
        <v>-167.0744</v>
      </c>
      <c r="H7204" s="1">
        <v>-1.8806860000000001E-6</v>
      </c>
      <c r="I7204">
        <v>136.71119999999999</v>
      </c>
      <c r="J7204">
        <v>-182.43459999999999</v>
      </c>
      <c r="K7204">
        <v>1.0989310000000001</v>
      </c>
      <c r="L7204">
        <v>123.7899</v>
      </c>
      <c r="M7204">
        <v>0.42841400000000002</v>
      </c>
      <c r="N7204">
        <v>-1.5872089999999998E-2</v>
      </c>
      <c r="O7204">
        <v>0.9034432</v>
      </c>
      <c r="P7204">
        <v>0.51741959999999998</v>
      </c>
      <c r="Q7204">
        <v>0.192524</v>
      </c>
      <c r="R7204">
        <v>0.83379349999999997</v>
      </c>
      <c r="S7204">
        <v>2.4830019999999999</v>
      </c>
      <c r="T7204">
        <v>-0.1762435</v>
      </c>
      <c r="U7204">
        <v>2.1126559999999999</v>
      </c>
      <c r="V7204">
        <v>0.115841899999999</v>
      </c>
      <c r="W7204">
        <v>0.20492199999999999</v>
      </c>
      <c r="X7204">
        <v>0.97189899999999996</v>
      </c>
      <c r="Y7204">
        <v>0.4096379</v>
      </c>
      <c r="Z7204">
        <v>-4.0869080000000002E-2</v>
      </c>
      <c r="AA7204">
        <v>0.91133229999999998</v>
      </c>
      <c r="AB7204">
        <v>38</v>
      </c>
      <c r="AC7204">
        <v>15.360199999999899</v>
      </c>
      <c r="AD7204">
        <v>-1.0989328806859999</v>
      </c>
      <c r="AE7204">
        <v>12.921299999999899</v>
      </c>
      <c r="AF7204">
        <v>8.3175217000067097</v>
      </c>
      <c r="AG7204">
        <v>-1.0989328806859999</v>
      </c>
      <c r="AH7204">
        <v>18.201925169988499</v>
      </c>
      <c r="AI7204">
        <v>93.143122640764005</v>
      </c>
      <c r="AJ7204">
        <v>65.441573404720799</v>
      </c>
      <c r="AK7204">
        <v>20.042427512659099</v>
      </c>
      <c r="AL7204">
        <v>78.175067186201105</v>
      </c>
      <c r="AM7204">
        <v>83.202908597878405</v>
      </c>
      <c r="AN7204">
        <v>1.0000000190403</v>
      </c>
    </row>
    <row r="7205" spans="1:40" x14ac:dyDescent="0.25">
      <c r="A7205" t="str">
        <f>"20190304155816352"</f>
        <v>20190304155816352</v>
      </c>
      <c r="B7205" t="str">
        <f>"1551686296342247"</f>
        <v>1551686296342247</v>
      </c>
      <c r="C7205" t="s">
        <v>40</v>
      </c>
      <c r="D7205">
        <v>4.8837630000000001</v>
      </c>
      <c r="E7205">
        <v>0.6249979</v>
      </c>
      <c r="F7205" t="s">
        <v>41</v>
      </c>
      <c r="G7205">
        <v>-168.73840000000001</v>
      </c>
      <c r="H7205" s="1">
        <v>-1.6416749999999901E-6</v>
      </c>
      <c r="I7205">
        <v>135.2079</v>
      </c>
      <c r="J7205">
        <v>-182.32980000000001</v>
      </c>
      <c r="K7205">
        <v>1.0987640000000001</v>
      </c>
      <c r="L7205">
        <v>123.99939999999999</v>
      </c>
      <c r="M7205">
        <v>0.43487340000000002</v>
      </c>
      <c r="N7205">
        <v>-1.5898490000000001E-2</v>
      </c>
      <c r="O7205">
        <v>0.90035119999999902</v>
      </c>
      <c r="P7205">
        <v>0.52508290000000002</v>
      </c>
      <c r="Q7205">
        <v>0.19243669999999999</v>
      </c>
      <c r="R7205">
        <v>0.82900910000000005</v>
      </c>
      <c r="S7205">
        <v>2.506119</v>
      </c>
      <c r="T7205">
        <v>-0.20108190000000001</v>
      </c>
      <c r="U7205">
        <v>2.0892490000000001</v>
      </c>
      <c r="V7205">
        <v>0.1179153</v>
      </c>
      <c r="W7205">
        <v>0.20475679999999999</v>
      </c>
      <c r="X7205">
        <v>0.97168449999999995</v>
      </c>
      <c r="Y7205">
        <v>0.41196769999999999</v>
      </c>
      <c r="Z7205">
        <v>-4.8365779999999997E-2</v>
      </c>
      <c r="AA7205">
        <v>0.909914</v>
      </c>
      <c r="AB7205">
        <v>38</v>
      </c>
      <c r="AC7205">
        <v>13.591399999999901</v>
      </c>
      <c r="AD7205">
        <v>-1.09876564167499</v>
      </c>
      <c r="AE7205">
        <v>11.208500000000001</v>
      </c>
      <c r="AF7205">
        <v>7.3351520716020904</v>
      </c>
      <c r="AG7205">
        <v>-1.09876564167499</v>
      </c>
      <c r="AH7205">
        <v>15.942133317589301</v>
      </c>
      <c r="AI7205">
        <v>93.582752071314701</v>
      </c>
      <c r="AJ7205">
        <v>65.292317408840702</v>
      </c>
      <c r="AK7205">
        <v>17.5830417324377</v>
      </c>
      <c r="AL7205">
        <v>78.184738068879497</v>
      </c>
      <c r="AM7205">
        <v>83.080906988244394</v>
      </c>
      <c r="AN7205">
        <v>1.0000000663302799</v>
      </c>
    </row>
    <row r="7206" spans="1:40" x14ac:dyDescent="0.25">
      <c r="A7206" t="str">
        <f>"20190304155816365"</f>
        <v>20190304155816365</v>
      </c>
      <c r="B7206" t="str">
        <f>"1551686296361767"</f>
        <v>1551686296361767</v>
      </c>
      <c r="C7206" t="s">
        <v>40</v>
      </c>
      <c r="D7206">
        <v>4.9467970000000001</v>
      </c>
      <c r="E7206">
        <v>0.62350709999999998</v>
      </c>
      <c r="F7206" t="s">
        <v>41</v>
      </c>
      <c r="G7206">
        <v>-168.36770000000001</v>
      </c>
      <c r="H7206" s="1">
        <v>-1.7243510000000001E-6</v>
      </c>
      <c r="I7206">
        <v>135.43219999999999</v>
      </c>
      <c r="J7206">
        <v>-182.22620000000001</v>
      </c>
      <c r="K7206">
        <v>1.098606</v>
      </c>
      <c r="L7206">
        <v>124.202</v>
      </c>
      <c r="M7206">
        <v>0.44123469999999998</v>
      </c>
      <c r="N7206">
        <v>-1.5924399999999998E-2</v>
      </c>
      <c r="O7206">
        <v>0.8972504</v>
      </c>
      <c r="P7206">
        <v>0.53260560000000001</v>
      </c>
      <c r="Q7206">
        <v>0.19251750000000001</v>
      </c>
      <c r="R7206">
        <v>0.82417739999999995</v>
      </c>
      <c r="S7206">
        <v>2.5236360000000002</v>
      </c>
      <c r="T7206">
        <v>-0.1986009</v>
      </c>
      <c r="U7206">
        <v>2.0664669999999998</v>
      </c>
      <c r="V7206">
        <v>0.11997439999999999</v>
      </c>
      <c r="W7206">
        <v>0.2047591</v>
      </c>
      <c r="X7206">
        <v>0.97143190000000001</v>
      </c>
      <c r="Y7206">
        <v>0.41356100000000001</v>
      </c>
      <c r="Z7206">
        <v>-4.7607990000000003E-2</v>
      </c>
      <c r="AA7206">
        <v>0.90923089999999995</v>
      </c>
      <c r="AB7206">
        <v>38</v>
      </c>
      <c r="AC7206">
        <v>13.8584999999999</v>
      </c>
      <c r="AD7206">
        <v>-1.098607724351</v>
      </c>
      <c r="AE7206">
        <v>11.2301999999999</v>
      </c>
      <c r="AF7206">
        <v>7.4520714895793203</v>
      </c>
      <c r="AG7206">
        <v>-1.098607724351</v>
      </c>
      <c r="AH7206">
        <v>16.132012667110601</v>
      </c>
      <c r="AI7206">
        <v>93.537723379506204</v>
      </c>
      <c r="AJ7206">
        <v>65.205750968305196</v>
      </c>
      <c r="AK7206">
        <v>17.803992280093301</v>
      </c>
      <c r="AL7206">
        <v>78.1846031326332</v>
      </c>
      <c r="AM7206">
        <v>82.959471931168693</v>
      </c>
      <c r="AN7206">
        <v>1.00000004101288</v>
      </c>
    </row>
    <row r="7207" spans="1:40" x14ac:dyDescent="0.25">
      <c r="A7207" t="str">
        <f>"20190304155816379"</f>
        <v>20190304155816379</v>
      </c>
      <c r="B7207" t="str">
        <f>"1551686296371527"</f>
        <v>1551686296371527</v>
      </c>
      <c r="C7207" t="s">
        <v>40</v>
      </c>
      <c r="D7207">
        <v>4.9350069999999997</v>
      </c>
      <c r="E7207">
        <v>0.62350709999999998</v>
      </c>
      <c r="F7207" t="s">
        <v>41</v>
      </c>
      <c r="G7207">
        <v>-168.3631</v>
      </c>
      <c r="H7207" s="1">
        <v>-1.72886E-6</v>
      </c>
      <c r="I7207">
        <v>135.42179999999999</v>
      </c>
      <c r="J7207">
        <v>-182.1223</v>
      </c>
      <c r="K7207">
        <v>1.098452</v>
      </c>
      <c r="L7207">
        <v>124.40170000000001</v>
      </c>
      <c r="M7207">
        <v>0.44759310000000002</v>
      </c>
      <c r="N7207">
        <v>-1.5949979999999999E-2</v>
      </c>
      <c r="O7207">
        <v>0.89409509999999903</v>
      </c>
      <c r="P7207">
        <v>0.54010649999999905</v>
      </c>
      <c r="Q7207">
        <v>0.19228790000000001</v>
      </c>
      <c r="R7207">
        <v>0.81933529999999999</v>
      </c>
      <c r="S7207">
        <v>2.5329739999999998</v>
      </c>
      <c r="T7207">
        <v>-0.2007303</v>
      </c>
      <c r="U7207">
        <v>2.0500029999999998</v>
      </c>
      <c r="V7207">
        <v>0.121994699999999</v>
      </c>
      <c r="W7207">
        <v>0.20445289999999999</v>
      </c>
      <c r="X7207">
        <v>0.97124469999999996</v>
      </c>
      <c r="Y7207">
        <v>0.41227599999999998</v>
      </c>
      <c r="Z7207">
        <v>-4.8229439999999998E-2</v>
      </c>
      <c r="AA7207">
        <v>0.90978150000000002</v>
      </c>
      <c r="AB7207">
        <v>38</v>
      </c>
      <c r="AC7207">
        <v>13.7591999999999</v>
      </c>
      <c r="AD7207">
        <v>-1.09845372886</v>
      </c>
      <c r="AE7207">
        <v>11.0200999999999</v>
      </c>
      <c r="AF7207">
        <v>7.3419430158316699</v>
      </c>
      <c r="AG7207">
        <v>-1.09845372886</v>
      </c>
      <c r="AH7207">
        <v>15.9516407506405</v>
      </c>
      <c r="AI7207">
        <v>93.579403051539003</v>
      </c>
      <c r="AJ7207">
        <v>65.2851546946669</v>
      </c>
      <c r="AK7207">
        <v>17.594475567054001</v>
      </c>
      <c r="AL7207">
        <v>78.202525558594104</v>
      </c>
      <c r="AM7207">
        <v>82.840767878257296</v>
      </c>
      <c r="AN7207">
        <v>0.99999998121229405</v>
      </c>
    </row>
    <row r="7208" spans="1:40" x14ac:dyDescent="0.25">
      <c r="A7208" t="str">
        <f>"20190304155816394"</f>
        <v>20190304155816394</v>
      </c>
      <c r="B7208" t="str">
        <f>"1551686296392023"</f>
        <v>1551686296392023</v>
      </c>
      <c r="C7208" t="s">
        <v>40</v>
      </c>
      <c r="D7208">
        <v>4.9292210000000001</v>
      </c>
      <c r="E7208">
        <v>0.62106499999999998</v>
      </c>
      <c r="F7208" t="s">
        <v>41</v>
      </c>
      <c r="G7208">
        <v>-168.17660000000001</v>
      </c>
      <c r="H7208" s="1">
        <v>-1.785863E-6</v>
      </c>
      <c r="I7208">
        <v>135.4768</v>
      </c>
      <c r="J7208">
        <v>-181.99459999999999</v>
      </c>
      <c r="K7208">
        <v>1.098265</v>
      </c>
      <c r="L7208">
        <v>124.6427</v>
      </c>
      <c r="M7208">
        <v>0.4553625</v>
      </c>
      <c r="N7208">
        <v>-1.5980210000000002E-2</v>
      </c>
      <c r="O7208">
        <v>0.89016269999999997</v>
      </c>
      <c r="P7208">
        <v>0.55092619999999903</v>
      </c>
      <c r="Q7208">
        <v>0.1916494</v>
      </c>
      <c r="R7208">
        <v>0.81225049999999999</v>
      </c>
      <c r="S7208">
        <v>2.5518190000000001</v>
      </c>
      <c r="T7208">
        <v>-0.20099810000000001</v>
      </c>
      <c r="U7208">
        <v>2.0265499999999999</v>
      </c>
      <c r="V7208">
        <v>0.1264315</v>
      </c>
      <c r="W7208">
        <v>0.20366119999999999</v>
      </c>
      <c r="X7208">
        <v>0.97084360000000003</v>
      </c>
      <c r="Y7208">
        <v>0.41274070000000002</v>
      </c>
      <c r="Z7208">
        <v>-4.8246280000000002E-2</v>
      </c>
      <c r="AA7208">
        <v>0.90956990000000004</v>
      </c>
      <c r="AB7208">
        <v>38</v>
      </c>
      <c r="AC7208">
        <v>13.8179999999999</v>
      </c>
      <c r="AD7208">
        <v>-1.098266785863</v>
      </c>
      <c r="AE7208">
        <v>10.8340999999999</v>
      </c>
      <c r="AF7208">
        <v>7.3390542458783399</v>
      </c>
      <c r="AG7208">
        <v>-1.098266785863</v>
      </c>
      <c r="AH7208">
        <v>15.876234843652201</v>
      </c>
      <c r="AI7208">
        <v>93.5930162331194</v>
      </c>
      <c r="AJ7208">
        <v>65.190472608219494</v>
      </c>
      <c r="AK7208">
        <v>17.5249176879</v>
      </c>
      <c r="AL7208">
        <v>78.248862431073206</v>
      </c>
      <c r="AM7208">
        <v>82.580214075749197</v>
      </c>
      <c r="AN7208">
        <v>1.00000005211932</v>
      </c>
    </row>
    <row r="7209" spans="1:40" x14ac:dyDescent="0.25">
      <c r="A7209" t="str">
        <f>"20190304155816405"</f>
        <v>20190304155816405</v>
      </c>
      <c r="B7209" t="str">
        <f>"1551686296401784"</f>
        <v>1551686296401784</v>
      </c>
      <c r="C7209" t="s">
        <v>40</v>
      </c>
      <c r="D7209">
        <v>4.8732139999999999</v>
      </c>
      <c r="E7209">
        <v>0.62043510000000002</v>
      </c>
      <c r="F7209" t="s">
        <v>41</v>
      </c>
      <c r="G7209">
        <v>-168.72139999999999</v>
      </c>
      <c r="H7209" s="1">
        <v>-1.697836E-6</v>
      </c>
      <c r="I7209">
        <v>135.0213</v>
      </c>
      <c r="J7209">
        <v>-181.9015</v>
      </c>
      <c r="K7209">
        <v>1.0981259999999999</v>
      </c>
      <c r="L7209">
        <v>124.81529999999999</v>
      </c>
      <c r="M7209">
        <v>0.46100190000000002</v>
      </c>
      <c r="N7209">
        <v>-1.6001720000000001E-2</v>
      </c>
      <c r="O7209">
        <v>0.88725489999999996</v>
      </c>
      <c r="P7209">
        <v>0.55814430000000004</v>
      </c>
      <c r="Q7209">
        <v>0.190249</v>
      </c>
      <c r="R7209">
        <v>0.80763879999999999</v>
      </c>
      <c r="S7209">
        <v>2.5637210000000001</v>
      </c>
      <c r="T7209">
        <v>-0.21213109999999999</v>
      </c>
      <c r="U7209">
        <v>2.004623</v>
      </c>
      <c r="V7209">
        <v>0.12880059999999999</v>
      </c>
      <c r="W7209">
        <v>0.20217550000000001</v>
      </c>
      <c r="X7209">
        <v>0.97084269999999995</v>
      </c>
      <c r="Y7209">
        <v>0.41367189999999998</v>
      </c>
      <c r="Z7209">
        <v>-5.1651809999999999E-2</v>
      </c>
      <c r="AA7209">
        <v>0.90895959999999998</v>
      </c>
      <c r="AB7209">
        <v>38</v>
      </c>
      <c r="AC7209">
        <v>13.180099999999999</v>
      </c>
      <c r="AD7209">
        <v>-1.0981276978359999</v>
      </c>
      <c r="AE7209">
        <v>10.206</v>
      </c>
      <c r="AF7209">
        <v>6.9598146666920302</v>
      </c>
      <c r="AG7209">
        <v>-1.0981276978359999</v>
      </c>
      <c r="AH7209">
        <v>15.0679226122787</v>
      </c>
      <c r="AI7209">
        <v>93.785270463820197</v>
      </c>
      <c r="AJ7209">
        <v>65.207969077910803</v>
      </c>
      <c r="AK7209">
        <v>16.633917051767298</v>
      </c>
      <c r="AL7209">
        <v>78.335795187383894</v>
      </c>
      <c r="AM7209">
        <v>82.442766061923905</v>
      </c>
      <c r="AN7209">
        <v>1.00000003775194</v>
      </c>
    </row>
    <row r="7210" spans="1:40" x14ac:dyDescent="0.25">
      <c r="A7210" t="str">
        <f>"20190304155816416"</f>
        <v>20190304155816416</v>
      </c>
      <c r="B7210" t="str">
        <f>"1551686296411543"</f>
        <v>1551686296411543</v>
      </c>
      <c r="C7210" t="s">
        <v>40</v>
      </c>
      <c r="D7210">
        <v>4.9226140000000003</v>
      </c>
      <c r="E7210">
        <v>0.61926890000000001</v>
      </c>
      <c r="F7210" t="s">
        <v>41</v>
      </c>
      <c r="G7210">
        <v>-168.73089999999999</v>
      </c>
      <c r="H7210" s="1">
        <v>-1.710096E-6</v>
      </c>
      <c r="I7210">
        <v>134.9615</v>
      </c>
      <c r="J7210">
        <v>-181.81450000000001</v>
      </c>
      <c r="K7210">
        <v>1.098001</v>
      </c>
      <c r="L7210">
        <v>124.97369999999999</v>
      </c>
      <c r="M7210">
        <v>0.46624569999999999</v>
      </c>
      <c r="N7210">
        <v>-1.6022000000000002E-2</v>
      </c>
      <c r="O7210">
        <v>0.88451019999999902</v>
      </c>
      <c r="P7210">
        <v>0.56487129999999997</v>
      </c>
      <c r="Q7210">
        <v>0.18884490000000001</v>
      </c>
      <c r="R7210">
        <v>0.80327950000000004</v>
      </c>
      <c r="S7210">
        <v>2.5762939999999999</v>
      </c>
      <c r="T7210">
        <v>-0.2148042</v>
      </c>
      <c r="U7210">
        <v>1.9846950000000001</v>
      </c>
      <c r="V7210">
        <v>0.13103090000000001</v>
      </c>
      <c r="W7210">
        <v>0.20069210000000001</v>
      </c>
      <c r="X7210">
        <v>0.97085200000000005</v>
      </c>
      <c r="Y7210">
        <v>0.41479529999999998</v>
      </c>
      <c r="Z7210">
        <v>-5.246961E-2</v>
      </c>
      <c r="AA7210">
        <v>0.90840069999999995</v>
      </c>
      <c r="AB7210">
        <v>38</v>
      </c>
      <c r="AC7210">
        <v>13.083600000000001</v>
      </c>
      <c r="AD7210">
        <v>-1.0980027100959999</v>
      </c>
      <c r="AE7210">
        <v>9.9878</v>
      </c>
      <c r="AF7210">
        <v>6.8860550464773</v>
      </c>
      <c r="AG7210">
        <v>-1.0980027100959999</v>
      </c>
      <c r="AH7210">
        <v>14.870230763065599</v>
      </c>
      <c r="AI7210">
        <v>93.833289932443193</v>
      </c>
      <c r="AJ7210">
        <v>65.152252124299693</v>
      </c>
      <c r="AK7210">
        <v>16.4239802423565</v>
      </c>
      <c r="AL7210">
        <v>78.422566061026203</v>
      </c>
      <c r="AM7210">
        <v>82.3135298229911</v>
      </c>
      <c r="AN7210">
        <v>1.00000001083061</v>
      </c>
    </row>
    <row r="7211" spans="1:40" x14ac:dyDescent="0.25">
      <c r="A7211" t="str">
        <f>"20190304155816427"</f>
        <v>20190304155816427</v>
      </c>
      <c r="B7211" t="str">
        <f>"1551686296421303"</f>
        <v>1551686296421303</v>
      </c>
      <c r="C7211" t="s">
        <v>40</v>
      </c>
      <c r="D7211">
        <v>4.9026310000000004</v>
      </c>
      <c r="E7211">
        <v>0.61926890000000001</v>
      </c>
      <c r="F7211" t="s">
        <v>41</v>
      </c>
      <c r="G7211">
        <v>-169.14490000000001</v>
      </c>
      <c r="H7211" s="1">
        <v>-1.639742E-6</v>
      </c>
      <c r="I7211">
        <v>134.6284</v>
      </c>
      <c r="J7211">
        <v>-181.72190000000001</v>
      </c>
      <c r="K7211">
        <v>1.0978699999999999</v>
      </c>
      <c r="L7211">
        <v>125.1408</v>
      </c>
      <c r="M7211">
        <v>0.4718038</v>
      </c>
      <c r="N7211">
        <v>-1.6042810000000001E-2</v>
      </c>
      <c r="O7211">
        <v>0.88155759999999905</v>
      </c>
      <c r="P7211">
        <v>0.5720826</v>
      </c>
      <c r="Q7211">
        <v>0.18765670000000001</v>
      </c>
      <c r="R7211">
        <v>0.79843999999999904</v>
      </c>
      <c r="S7211">
        <v>2.584778</v>
      </c>
      <c r="T7211">
        <v>-0.22400809999999999</v>
      </c>
      <c r="U7211">
        <v>1.9696959999999999</v>
      </c>
      <c r="V7211">
        <v>0.1335616</v>
      </c>
      <c r="W7211">
        <v>0.19941149999999999</v>
      </c>
      <c r="X7211">
        <v>0.97077100000000005</v>
      </c>
      <c r="Y7211">
        <v>0.41370050000000003</v>
      </c>
      <c r="Z7211">
        <v>-5.5201220000000002E-2</v>
      </c>
      <c r="AA7211">
        <v>0.90873800000000005</v>
      </c>
      <c r="AB7211">
        <v>38</v>
      </c>
      <c r="AC7211">
        <v>12.5769999999999</v>
      </c>
      <c r="AD7211">
        <v>-1.0978716397419901</v>
      </c>
      <c r="AE7211">
        <v>9.4876000000000005</v>
      </c>
      <c r="AF7211">
        <v>6.57996057994065</v>
      </c>
      <c r="AG7211">
        <v>-1.0978716397419901</v>
      </c>
      <c r="AH7211">
        <v>14.2304745037485</v>
      </c>
      <c r="AI7211">
        <v>94.005648822706206</v>
      </c>
      <c r="AJ7211">
        <v>65.184878133520797</v>
      </c>
      <c r="AK7211">
        <v>15.7164756854951</v>
      </c>
      <c r="AL7211">
        <v>78.497452621144305</v>
      </c>
      <c r="AM7211">
        <v>82.166255451441799</v>
      </c>
      <c r="AN7211">
        <v>0.99999999088390501</v>
      </c>
    </row>
    <row r="7212" spans="1:40" x14ac:dyDescent="0.25">
      <c r="A7212" t="str">
        <f>"20190304155816438"</f>
        <v>20190304155816438</v>
      </c>
      <c r="B7212" t="str">
        <f>"1551686296432039"</f>
        <v>1551686296432039</v>
      </c>
      <c r="C7212" t="s">
        <v>40</v>
      </c>
      <c r="D7212">
        <v>5.0265930000000001</v>
      </c>
      <c r="E7212">
        <v>0.581852699999999</v>
      </c>
      <c r="F7212" t="s">
        <v>41</v>
      </c>
      <c r="G7212">
        <v>-169.20429999999999</v>
      </c>
      <c r="H7212" s="1">
        <v>-1.6489959999999999E-6</v>
      </c>
      <c r="I7212">
        <v>134.50790000000001</v>
      </c>
      <c r="J7212">
        <v>-181.6284</v>
      </c>
      <c r="K7212">
        <v>1.0979429999999999</v>
      </c>
      <c r="L7212">
        <v>125.30629999999999</v>
      </c>
      <c r="M7212">
        <v>0.47748400000000002</v>
      </c>
      <c r="N7212">
        <v>-1.622028E-2</v>
      </c>
      <c r="O7212">
        <v>0.87849069999999996</v>
      </c>
      <c r="P7212">
        <v>0.5795228</v>
      </c>
      <c r="Q7212">
        <v>0.18673110000000001</v>
      </c>
      <c r="R7212">
        <v>0.793274699999999</v>
      </c>
      <c r="S7212">
        <v>2.6016539999999999</v>
      </c>
      <c r="T7212">
        <v>-0.22818089999999999</v>
      </c>
      <c r="U7212">
        <v>1.9468540000000001</v>
      </c>
      <c r="V7212">
        <v>0.13623160000000001</v>
      </c>
      <c r="W7212">
        <v>0.19858909999999999</v>
      </c>
      <c r="X7212">
        <v>0.97056849999999995</v>
      </c>
      <c r="Y7212">
        <v>0.41570180000000001</v>
      </c>
      <c r="Z7212">
        <v>-5.6315120000000003E-2</v>
      </c>
      <c r="AA7212">
        <v>0.9077558</v>
      </c>
      <c r="AB7212">
        <v>38</v>
      </c>
      <c r="AC7212">
        <v>12.424099999999999</v>
      </c>
      <c r="AD7212">
        <v>-1.0979446489960001</v>
      </c>
      <c r="AE7212">
        <v>9.2016000000000098</v>
      </c>
      <c r="AF7212">
        <v>6.4889719115287701</v>
      </c>
      <c r="AG7212">
        <v>-1.0979446489960001</v>
      </c>
      <c r="AH7212">
        <v>13.9473330375427</v>
      </c>
      <c r="AI7212">
        <v>94.082515787782</v>
      </c>
      <c r="AJ7212">
        <v>65.049879786506395</v>
      </c>
      <c r="AK7212">
        <v>15.4220730701484</v>
      </c>
      <c r="AL7212">
        <v>78.545533816738299</v>
      </c>
      <c r="AM7212">
        <v>82.010009803260701</v>
      </c>
      <c r="AN7212">
        <v>0.99999994633480804</v>
      </c>
    </row>
    <row r="7213" spans="1:40" x14ac:dyDescent="0.25">
      <c r="A7213" t="str">
        <f>"20190304155816449"</f>
        <v>20190304155816449</v>
      </c>
      <c r="B7213" t="str">
        <f>"1551686296441800"</f>
        <v>1551686296441800</v>
      </c>
      <c r="C7213" t="s">
        <v>40</v>
      </c>
      <c r="D7213">
        <v>5.9277579999999999</v>
      </c>
      <c r="E7213">
        <v>0.581852699999999</v>
      </c>
      <c r="F7213" t="s">
        <v>69</v>
      </c>
      <c r="G7213">
        <v>-141.37309999999999</v>
      </c>
      <c r="H7213">
        <v>0.51564979999999905</v>
      </c>
      <c r="I7213">
        <v>160.81979999999999</v>
      </c>
      <c r="J7213">
        <v>-181.53819999999999</v>
      </c>
      <c r="K7213">
        <v>1.098058</v>
      </c>
      <c r="L7213">
        <v>125.46510000000001</v>
      </c>
      <c r="M7213">
        <v>0.48295100000000002</v>
      </c>
      <c r="N7213">
        <v>-1.6421370000000001E-2</v>
      </c>
      <c r="O7213">
        <v>0.87549330000000003</v>
      </c>
      <c r="P7213">
        <v>0.58682330000000005</v>
      </c>
      <c r="Q7213">
        <v>0.1859529</v>
      </c>
      <c r="R7213">
        <v>0.78807349999999998</v>
      </c>
      <c r="S7213">
        <v>2.3498839999999999</v>
      </c>
      <c r="T7213">
        <v>-3.3989070000000003E-2</v>
      </c>
      <c r="U7213">
        <v>2.0730900000000001</v>
      </c>
      <c r="V7213">
        <v>0.1390101</v>
      </c>
      <c r="W7213">
        <v>0.1979436</v>
      </c>
      <c r="X7213">
        <v>0.97030640000000001</v>
      </c>
      <c r="Y7213">
        <v>0.33699839999999998</v>
      </c>
      <c r="Z7213">
        <v>2.595759E-3</v>
      </c>
      <c r="AA7213">
        <v>0.94150160000000005</v>
      </c>
      <c r="AB7213">
        <v>38</v>
      </c>
      <c r="AC7213">
        <v>40.165100000000002</v>
      </c>
      <c r="AD7213">
        <v>-0.58240819999999904</v>
      </c>
      <c r="AE7213">
        <v>35.354699999999902</v>
      </c>
      <c r="AF7213">
        <v>18.089986034054299</v>
      </c>
      <c r="AG7213">
        <v>-0.58240819999999904</v>
      </c>
      <c r="AH7213">
        <v>50.351407103472702</v>
      </c>
      <c r="AI7213">
        <v>90.623676410424395</v>
      </c>
      <c r="AJ7213">
        <v>70.237921599193299</v>
      </c>
      <c r="AK7213">
        <v>53.505616446531597</v>
      </c>
      <c r="AL7213">
        <v>78.583267867222105</v>
      </c>
      <c r="AM7213">
        <v>81.847046805371406</v>
      </c>
      <c r="AN7213">
        <v>0.99999999328196498</v>
      </c>
    </row>
    <row r="7214" spans="1:40" x14ac:dyDescent="0.25">
      <c r="A7214" t="str">
        <f>"20190304155816473"</f>
        <v>20190304155816473</v>
      </c>
      <c r="B7214" t="str">
        <f>"1551686296461320"</f>
        <v>1551686296461320</v>
      </c>
      <c r="C7214" t="s">
        <v>40</v>
      </c>
      <c r="D7214">
        <v>3.7333720000000001</v>
      </c>
      <c r="E7214">
        <v>0.58532810000000002</v>
      </c>
      <c r="F7214" t="s">
        <v>69</v>
      </c>
      <c r="G7214">
        <v>-140.732</v>
      </c>
      <c r="H7214">
        <v>0.46167180000000002</v>
      </c>
      <c r="I7214">
        <v>160.81960000000001</v>
      </c>
      <c r="J7214">
        <v>-181.34</v>
      </c>
      <c r="K7214">
        <v>1.0982369999999999</v>
      </c>
      <c r="L7214">
        <v>125.8064</v>
      </c>
      <c r="M7214">
        <v>0.49604110000000001</v>
      </c>
      <c r="N7214">
        <v>-1.678791E-2</v>
      </c>
      <c r="O7214">
        <v>0.86813680000000004</v>
      </c>
      <c r="P7214">
        <v>0.60380940000000005</v>
      </c>
      <c r="Q7214">
        <v>0.18484809999999999</v>
      </c>
      <c r="R7214">
        <v>0.77540019999999998</v>
      </c>
      <c r="S7214">
        <v>2.3683320000000001</v>
      </c>
      <c r="T7214">
        <v>-3.6932949999999999E-2</v>
      </c>
      <c r="U7214">
        <v>2.0519259999999999</v>
      </c>
      <c r="V7214">
        <v>0.1455004</v>
      </c>
      <c r="W7214">
        <v>0.196912</v>
      </c>
      <c r="X7214">
        <v>0.96956450000000005</v>
      </c>
      <c r="Y7214">
        <v>0.33128639999999998</v>
      </c>
      <c r="Z7214">
        <v>1.927107E-3</v>
      </c>
      <c r="AA7214">
        <v>0.94352829999999999</v>
      </c>
      <c r="AB7214">
        <v>38</v>
      </c>
      <c r="AC7214">
        <v>40.607999999999997</v>
      </c>
      <c r="AD7214">
        <v>-0.63656520000000005</v>
      </c>
      <c r="AE7214">
        <v>35.013199999999998</v>
      </c>
      <c r="AF7214">
        <v>17.8853119284516</v>
      </c>
      <c r="AG7214">
        <v>-0.63656520000000005</v>
      </c>
      <c r="AH7214">
        <v>50.539481559118997</v>
      </c>
      <c r="AI7214">
        <v>90.680287353583196</v>
      </c>
      <c r="AJ7214">
        <v>70.511743793202001</v>
      </c>
      <c r="AK7214">
        <v>53.614632277918297</v>
      </c>
      <c r="AL7214">
        <v>78.643561121811601</v>
      </c>
      <c r="AM7214">
        <v>81.465435918436896</v>
      </c>
      <c r="AN7214">
        <v>1.0000000109022</v>
      </c>
    </row>
    <row r="7215" spans="1:40" x14ac:dyDescent="0.25">
      <c r="A7215" t="str">
        <f>"20190304155816705"</f>
        <v>20190304155816705</v>
      </c>
      <c r="B7215" t="str">
        <f>"1551686296701894"</f>
        <v>1551686296701894</v>
      </c>
      <c r="C7215" t="s">
        <v>40</v>
      </c>
      <c r="D7215">
        <v>5.0401860000000003</v>
      </c>
      <c r="E7215">
        <v>0.59145689999999995</v>
      </c>
      <c r="F7215" t="s">
        <v>69</v>
      </c>
      <c r="G7215">
        <v>-138.3648</v>
      </c>
      <c r="H7215">
        <v>0.98136330000000005</v>
      </c>
      <c r="I7215">
        <v>160.81870000000001</v>
      </c>
      <c r="J7215">
        <v>-179.09030000000001</v>
      </c>
      <c r="K7215">
        <v>1.09684</v>
      </c>
      <c r="L7215">
        <v>129.0282</v>
      </c>
      <c r="M7215">
        <v>0.63069929999999996</v>
      </c>
      <c r="N7215">
        <v>-9.4773140000000006E-3</v>
      </c>
      <c r="O7215">
        <v>0.77596949999999998</v>
      </c>
      <c r="P7215">
        <v>0.74753590000000003</v>
      </c>
      <c r="Q7215">
        <v>0.19508229999999999</v>
      </c>
      <c r="R7215">
        <v>0.63492760000000004</v>
      </c>
      <c r="S7215">
        <v>2.4290769999999999</v>
      </c>
      <c r="T7215">
        <v>-6.604075E-3</v>
      </c>
      <c r="U7215">
        <v>1.9789890000000001</v>
      </c>
      <c r="V7215">
        <v>0.19332920000000001</v>
      </c>
      <c r="W7215">
        <v>0.1912885</v>
      </c>
      <c r="X7215">
        <v>0.96230579999999999</v>
      </c>
      <c r="Y7215">
        <v>0.20321220000000001</v>
      </c>
      <c r="Z7215">
        <v>4.9684780000000001E-3</v>
      </c>
      <c r="AA7215">
        <v>0.9791221</v>
      </c>
      <c r="AB7215">
        <v>37</v>
      </c>
      <c r="AC7215">
        <v>40.725499999999997</v>
      </c>
      <c r="AD7215">
        <v>-0.1154767</v>
      </c>
      <c r="AE7215">
        <v>31.790500000000002</v>
      </c>
      <c r="AF7215">
        <v>11.5519603456725</v>
      </c>
      <c r="AG7215">
        <v>-0.1154767</v>
      </c>
      <c r="AH7215">
        <v>50.356010397323701</v>
      </c>
      <c r="AI7215">
        <v>90.1280641888182</v>
      </c>
      <c r="AJ7215">
        <v>77.0795748751502</v>
      </c>
      <c r="AK7215">
        <v>51.6641936531638</v>
      </c>
      <c r="AL7215">
        <v>78.972010431434597</v>
      </c>
      <c r="AM7215">
        <v>78.640380787621098</v>
      </c>
      <c r="AN7215">
        <v>0.99999996125926405</v>
      </c>
    </row>
    <row r="7216" spans="1:40" x14ac:dyDescent="0.25">
      <c r="A7216" t="str">
        <f>"20190304155816828"</f>
        <v>20190304155816828</v>
      </c>
      <c r="B7216" t="str">
        <f>"1551686296821942"</f>
        <v>1551686296821942</v>
      </c>
      <c r="C7216" t="s">
        <v>40</v>
      </c>
      <c r="D7216">
        <v>4.891438</v>
      </c>
      <c r="E7216">
        <v>0.59391949999999905</v>
      </c>
      <c r="F7216" t="s">
        <v>102</v>
      </c>
      <c r="G7216">
        <v>-111.005</v>
      </c>
      <c r="H7216">
        <v>2.905294</v>
      </c>
      <c r="I7216">
        <v>162.55510000000001</v>
      </c>
      <c r="J7216">
        <v>-177.7089</v>
      </c>
      <c r="K7216">
        <v>1.102511</v>
      </c>
      <c r="L7216">
        <v>130.55619999999999</v>
      </c>
      <c r="M7216">
        <v>0.68701480000000004</v>
      </c>
      <c r="N7216">
        <v>-1.3145469999999999E-2</v>
      </c>
      <c r="O7216">
        <v>0.72652459999999996</v>
      </c>
      <c r="P7216">
        <v>0.79389140000000002</v>
      </c>
      <c r="Q7216">
        <v>0.19756979999999999</v>
      </c>
      <c r="R7216">
        <v>0.57506749999999995</v>
      </c>
      <c r="S7216">
        <v>2.8159179999999999</v>
      </c>
      <c r="T7216">
        <v>7.4795479999999998E-2</v>
      </c>
      <c r="U7216">
        <v>1.3866270000000001</v>
      </c>
      <c r="V7216">
        <v>0.19761100000000001</v>
      </c>
      <c r="W7216">
        <v>0.19535069999999999</v>
      </c>
      <c r="X7216">
        <v>0.96061859999999999</v>
      </c>
      <c r="Y7216">
        <v>0.3478501</v>
      </c>
      <c r="Z7216">
        <v>2.8175200000000001E-2</v>
      </c>
      <c r="AA7216">
        <v>0.93712669999999998</v>
      </c>
      <c r="AB7216">
        <v>37</v>
      </c>
      <c r="AC7216">
        <v>66.703900000000004</v>
      </c>
      <c r="AD7216">
        <v>1.802783</v>
      </c>
      <c r="AE7216">
        <v>31.998899999999999</v>
      </c>
      <c r="AF7216">
        <v>26.464878046967598</v>
      </c>
      <c r="AG7216">
        <v>1.802783</v>
      </c>
      <c r="AH7216">
        <v>69.039523739883293</v>
      </c>
      <c r="AI7216">
        <v>88.603272635614601</v>
      </c>
      <c r="AJ7216">
        <v>69.026703911809605</v>
      </c>
      <c r="AK7216">
        <v>73.960094881063199</v>
      </c>
      <c r="AL7216">
        <v>78.734789325857193</v>
      </c>
      <c r="AM7216">
        <v>78.375716956121195</v>
      </c>
      <c r="AN7216">
        <v>1.00000004898872</v>
      </c>
    </row>
    <row r="7217" spans="1:40" x14ac:dyDescent="0.25">
      <c r="A7217" t="str">
        <f>"20190304155816840"</f>
        <v>20190304155816840</v>
      </c>
      <c r="B7217" t="str">
        <f>"1551686296831702"</f>
        <v>1551686296831702</v>
      </c>
      <c r="C7217" t="s">
        <v>40</v>
      </c>
      <c r="D7217">
        <v>5.1321539999999999</v>
      </c>
      <c r="E7217">
        <v>0.63777740000000005</v>
      </c>
      <c r="F7217" t="s">
        <v>102</v>
      </c>
      <c r="G7217">
        <v>-106.9635</v>
      </c>
      <c r="H7217">
        <v>3.2120150000000001</v>
      </c>
      <c r="I7217">
        <v>158.15600000000001</v>
      </c>
      <c r="J7217">
        <v>-177.57400000000001</v>
      </c>
      <c r="K7217">
        <v>1.1031089999999999</v>
      </c>
      <c r="L7217">
        <v>130.69120000000001</v>
      </c>
      <c r="M7217">
        <v>0.69206669999999904</v>
      </c>
      <c r="N7217">
        <v>-1.3665200000000001E-2</v>
      </c>
      <c r="O7217">
        <v>0.72170429999999997</v>
      </c>
      <c r="P7217">
        <v>0.79825630000000003</v>
      </c>
      <c r="Q7217">
        <v>0.19664789999999999</v>
      </c>
      <c r="R7217">
        <v>0.56931239999999905</v>
      </c>
      <c r="S7217">
        <v>2.929306</v>
      </c>
      <c r="T7217">
        <v>8.734691E-2</v>
      </c>
      <c r="U7217">
        <v>1.1428069999999999</v>
      </c>
      <c r="V7217">
        <v>0.1979892</v>
      </c>
      <c r="W7217">
        <v>0.19488910000000001</v>
      </c>
      <c r="X7217">
        <v>0.9606344</v>
      </c>
      <c r="Y7217">
        <v>0.42023719999999998</v>
      </c>
      <c r="Z7217">
        <v>3.2054069999999997E-2</v>
      </c>
      <c r="AA7217">
        <v>0.90684799999999999</v>
      </c>
      <c r="AB7217">
        <v>37</v>
      </c>
      <c r="AC7217">
        <v>70.610500000000002</v>
      </c>
      <c r="AD7217">
        <v>2.1089060000000002</v>
      </c>
      <c r="AE7217">
        <v>27.4648</v>
      </c>
      <c r="AF7217">
        <v>31.9306693908315</v>
      </c>
      <c r="AG7217">
        <v>2.1089060000000002</v>
      </c>
      <c r="AH7217">
        <v>68.641865210649897</v>
      </c>
      <c r="AI7217">
        <v>88.4043339861541</v>
      </c>
      <c r="AJ7217">
        <v>65.053198525957896</v>
      </c>
      <c r="AK7217">
        <v>75.734541603289898</v>
      </c>
      <c r="AL7217">
        <v>78.761754432787995</v>
      </c>
      <c r="AM7217">
        <v>78.354263164941003</v>
      </c>
      <c r="AN7217">
        <v>0.99999996753940401</v>
      </c>
    </row>
    <row r="7218" spans="1:40" x14ac:dyDescent="0.25">
      <c r="A7218" t="str">
        <f>"20190304155816862"</f>
        <v>20190304155816862</v>
      </c>
      <c r="B7218" t="str">
        <f>"1551686296852200"</f>
        <v>1551686296852200</v>
      </c>
      <c r="C7218" t="s">
        <v>40</v>
      </c>
      <c r="D7218">
        <v>5.0106640000000002</v>
      </c>
      <c r="E7218">
        <v>0.637463</v>
      </c>
      <c r="F7218" t="s">
        <v>41</v>
      </c>
      <c r="G7218">
        <v>-143.75149999999999</v>
      </c>
      <c r="H7218" s="1">
        <v>-2.6803960000000001E-6</v>
      </c>
      <c r="I7218">
        <v>139.68199999999999</v>
      </c>
      <c r="J7218">
        <v>-177.30359999999999</v>
      </c>
      <c r="K7218">
        <v>1.104258</v>
      </c>
      <c r="L7218">
        <v>130.95699999999999</v>
      </c>
      <c r="M7218">
        <v>0.70220909999999903</v>
      </c>
      <c r="N7218">
        <v>-1.471887E-2</v>
      </c>
      <c r="O7218">
        <v>0.71181859999999997</v>
      </c>
      <c r="P7218">
        <v>0.80704819999999999</v>
      </c>
      <c r="Q7218">
        <v>0.1941862</v>
      </c>
      <c r="R7218">
        <v>0.55764239999999998</v>
      </c>
      <c r="S7218">
        <v>3.1807560000000001</v>
      </c>
      <c r="T7218">
        <v>-0.1037394</v>
      </c>
      <c r="U7218">
        <v>0.84552000000000005</v>
      </c>
      <c r="V7218">
        <v>0.19863890000000001</v>
      </c>
      <c r="W7218">
        <v>0.19341330000000001</v>
      </c>
      <c r="X7218">
        <v>0.96079859999999995</v>
      </c>
      <c r="Y7218">
        <v>0.50719829999999999</v>
      </c>
      <c r="Z7218">
        <v>-2.080011E-2</v>
      </c>
      <c r="AA7218">
        <v>0.86157839999999997</v>
      </c>
      <c r="AB7218">
        <v>37</v>
      </c>
      <c r="AC7218">
        <v>33.552100000000003</v>
      </c>
      <c r="AD7218">
        <v>-1.104260680396</v>
      </c>
      <c r="AE7218">
        <v>8.7250000000000192</v>
      </c>
      <c r="AF7218">
        <v>17.740159500548799</v>
      </c>
      <c r="AG7218">
        <v>-1.104260680396</v>
      </c>
      <c r="AH7218">
        <v>29.7442549662834</v>
      </c>
      <c r="AI7218">
        <v>91.826244668458997</v>
      </c>
      <c r="AJ7218">
        <v>59.187175187742703</v>
      </c>
      <c r="AK7218">
        <v>34.650445224476599</v>
      </c>
      <c r="AL7218">
        <v>78.847952496503595</v>
      </c>
      <c r="AM7218">
        <v>78.319038348729904</v>
      </c>
      <c r="AN7218">
        <v>1.00000003348602</v>
      </c>
    </row>
    <row r="7219" spans="1:40" x14ac:dyDescent="0.25">
      <c r="A7219" t="str">
        <f>"20190304155816874"</f>
        <v>20190304155816874</v>
      </c>
      <c r="B7219" t="str">
        <f>"1551686296871718"</f>
        <v>1551686296871718</v>
      </c>
      <c r="C7219" t="s">
        <v>40</v>
      </c>
      <c r="D7219">
        <v>5.0379199999999997</v>
      </c>
      <c r="E7219">
        <v>0.63336320000000002</v>
      </c>
      <c r="F7219" t="s">
        <v>41</v>
      </c>
      <c r="G7219">
        <v>-143.8999</v>
      </c>
      <c r="H7219" s="1">
        <v>-2.6475820000000002E-6</v>
      </c>
      <c r="I7219">
        <v>139.34360000000001</v>
      </c>
      <c r="J7219">
        <v>-177.1746</v>
      </c>
      <c r="K7219">
        <v>1.1047640000000001</v>
      </c>
      <c r="L7219">
        <v>131.08099999999999</v>
      </c>
      <c r="M7219">
        <v>0.7070594</v>
      </c>
      <c r="N7219">
        <v>-1.522779E-2</v>
      </c>
      <c r="O7219">
        <v>0.70699019999999901</v>
      </c>
      <c r="P7219">
        <v>0.81119229999999998</v>
      </c>
      <c r="Q7219">
        <v>0.19260769999999999</v>
      </c>
      <c r="R7219">
        <v>0.55214980000000002</v>
      </c>
      <c r="S7219">
        <v>3.189346</v>
      </c>
      <c r="T7219">
        <v>-0.10543329999999999</v>
      </c>
      <c r="U7219">
        <v>0.80075069999999904</v>
      </c>
      <c r="V7219">
        <v>0.19873370000000001</v>
      </c>
      <c r="W7219">
        <v>0.19234889999999999</v>
      </c>
      <c r="X7219">
        <v>0.96099259999999997</v>
      </c>
      <c r="Y7219">
        <v>0.51318620000000004</v>
      </c>
      <c r="Z7219">
        <v>-2.113174E-2</v>
      </c>
      <c r="AA7219">
        <v>0.85801719999999904</v>
      </c>
      <c r="AB7219">
        <v>37</v>
      </c>
      <c r="AC7219">
        <v>33.274700000000003</v>
      </c>
      <c r="AD7219">
        <v>-1.1047666475819999</v>
      </c>
      <c r="AE7219">
        <v>8.2625999999999902</v>
      </c>
      <c r="AF7219">
        <v>17.666444887412201</v>
      </c>
      <c r="AG7219">
        <v>-1.1047666475819999</v>
      </c>
      <c r="AH7219">
        <v>29.341706183272699</v>
      </c>
      <c r="AI7219">
        <v>91.8475083362775</v>
      </c>
      <c r="AJ7219">
        <v>58.948135484388999</v>
      </c>
      <c r="AK7219">
        <v>34.267470085360699</v>
      </c>
      <c r="AL7219">
        <v>78.910104620699201</v>
      </c>
      <c r="AM7219">
        <v>78.315911244891396</v>
      </c>
      <c r="AN7219">
        <v>0.99999998005082902</v>
      </c>
    </row>
    <row r="7220" spans="1:40" x14ac:dyDescent="0.25">
      <c r="A7220" t="str">
        <f>"20190304155816885"</f>
        <v>20190304155816885</v>
      </c>
      <c r="B7220" t="str">
        <f>"1551686296881478"</f>
        <v>1551686296881478</v>
      </c>
      <c r="C7220" t="s">
        <v>40</v>
      </c>
      <c r="D7220">
        <v>5.0899549999999998</v>
      </c>
      <c r="E7220">
        <v>0.63217719999999999</v>
      </c>
      <c r="F7220" t="s">
        <v>41</v>
      </c>
      <c r="G7220">
        <v>-146.77860000000001</v>
      </c>
      <c r="H7220" s="1">
        <v>-1.5107509999999999E-6</v>
      </c>
      <c r="I7220">
        <v>138.79050000000001</v>
      </c>
      <c r="J7220">
        <v>-177.0385</v>
      </c>
      <c r="K7220">
        <v>1.10527</v>
      </c>
      <c r="L7220">
        <v>131.2097</v>
      </c>
      <c r="M7220">
        <v>0.71217980000000003</v>
      </c>
      <c r="N7220">
        <v>-1.5769129999999999E-2</v>
      </c>
      <c r="O7220">
        <v>0.70182</v>
      </c>
      <c r="P7220">
        <v>0.81540219999999997</v>
      </c>
      <c r="Q7220">
        <v>0.19101360000000001</v>
      </c>
      <c r="R7220">
        <v>0.5464734</v>
      </c>
      <c r="S7220">
        <v>3.1771699999999998</v>
      </c>
      <c r="T7220">
        <v>-0.1154765</v>
      </c>
      <c r="U7220">
        <v>0.80584719999999999</v>
      </c>
      <c r="V7220">
        <v>0.1985798</v>
      </c>
      <c r="W7220">
        <v>0.1913348</v>
      </c>
      <c r="X7220">
        <v>0.96122680000000005</v>
      </c>
      <c r="Y7220">
        <v>0.50476560000000004</v>
      </c>
      <c r="Z7220">
        <v>-2.3491140000000001E-2</v>
      </c>
      <c r="AA7220">
        <v>0.86293679999999995</v>
      </c>
      <c r="AB7220">
        <v>37</v>
      </c>
      <c r="AC7220">
        <v>30.259899999999899</v>
      </c>
      <c r="AD7220">
        <v>-1.1052715107510001</v>
      </c>
      <c r="AE7220">
        <v>7.5808000000000098</v>
      </c>
      <c r="AF7220">
        <v>15.820219578835401</v>
      </c>
      <c r="AG7220">
        <v>-1.1052715107510001</v>
      </c>
      <c r="AH7220">
        <v>26.840493138887702</v>
      </c>
      <c r="AI7220">
        <v>92.031743711488204</v>
      </c>
      <c r="AJ7220">
        <v>59.4842166516814</v>
      </c>
      <c r="AK7220">
        <v>31.175519956750101</v>
      </c>
      <c r="AL7220">
        <v>78.969307610697399</v>
      </c>
      <c r="AM7220">
        <v>78.327477528784101</v>
      </c>
      <c r="AN7220">
        <v>0.99999995184865897</v>
      </c>
    </row>
    <row r="7221" spans="1:40" x14ac:dyDescent="0.25">
      <c r="A7221" t="str">
        <f>"20190304155816896"</f>
        <v>20190304155816896</v>
      </c>
      <c r="B7221" t="str">
        <f>"1551686296892214"</f>
        <v>1551686296892214</v>
      </c>
      <c r="C7221" t="s">
        <v>40</v>
      </c>
      <c r="D7221">
        <v>5.0924839999999998</v>
      </c>
      <c r="E7221">
        <v>0.63058029999999998</v>
      </c>
      <c r="F7221" t="s">
        <v>41</v>
      </c>
      <c r="G7221">
        <v>-148.68279999999999</v>
      </c>
      <c r="H7221" s="1">
        <v>-7.9248030000000004E-7</v>
      </c>
      <c r="I7221">
        <v>138.27010000000001</v>
      </c>
      <c r="J7221">
        <v>-176.9083</v>
      </c>
      <c r="K7221">
        <v>1.1057140000000001</v>
      </c>
      <c r="L7221">
        <v>131.33080000000001</v>
      </c>
      <c r="M7221">
        <v>0.71706499999999995</v>
      </c>
      <c r="N7221">
        <v>-1.6289049999999999E-2</v>
      </c>
      <c r="O7221">
        <v>0.69681579999999999</v>
      </c>
      <c r="P7221">
        <v>0.81942890000000002</v>
      </c>
      <c r="Q7221">
        <v>0.18974759999999999</v>
      </c>
      <c r="R7221">
        <v>0.54086259999999997</v>
      </c>
      <c r="S7221">
        <v>3.1778870000000001</v>
      </c>
      <c r="T7221">
        <v>-0.1238701</v>
      </c>
      <c r="U7221">
        <v>0.79127499999999995</v>
      </c>
      <c r="V7221">
        <v>0.19854810000000001</v>
      </c>
      <c r="W7221">
        <v>0.19062380000000001</v>
      </c>
      <c r="X7221">
        <v>0.96137459999999997</v>
      </c>
      <c r="Y7221">
        <v>0.50242019999999998</v>
      </c>
      <c r="Z7221">
        <v>-2.5452949999999998E-2</v>
      </c>
      <c r="AA7221">
        <v>0.86424889999999999</v>
      </c>
      <c r="AB7221">
        <v>37</v>
      </c>
      <c r="AC7221">
        <v>28.2255</v>
      </c>
      <c r="AD7221">
        <v>-1.1057147924802999</v>
      </c>
      <c r="AE7221">
        <v>6.9393000000000002</v>
      </c>
      <c r="AF7221">
        <v>14.672762377894999</v>
      </c>
      <c r="AG7221">
        <v>-1.1057147924802999</v>
      </c>
      <c r="AH7221">
        <v>25.042022007361101</v>
      </c>
      <c r="AI7221">
        <v>92.181717178400106</v>
      </c>
      <c r="AJ7221">
        <v>59.632869545023802</v>
      </c>
      <c r="AK7221">
        <v>29.045058567984299</v>
      </c>
      <c r="AL7221">
        <v>79.010808775088094</v>
      </c>
      <c r="AM7221">
        <v>78.331034762852894</v>
      </c>
      <c r="AN7221">
        <v>0.999999951332603</v>
      </c>
    </row>
    <row r="7222" spans="1:40" x14ac:dyDescent="0.25">
      <c r="A7222" t="str">
        <f>"20190304155816906"</f>
        <v>20190304155816906</v>
      </c>
      <c r="B7222" t="str">
        <f>"1551686296901974"</f>
        <v>1551686296901974</v>
      </c>
      <c r="C7222" t="s">
        <v>40</v>
      </c>
      <c r="D7222">
        <v>5.1121270000000001</v>
      </c>
      <c r="E7222">
        <v>0.62809589999999904</v>
      </c>
      <c r="F7222" t="s">
        <v>41</v>
      </c>
      <c r="G7222">
        <v>-150.68989999999999</v>
      </c>
      <c r="H7222" s="1">
        <v>-4.3042850000000002E-6</v>
      </c>
      <c r="I7222">
        <v>137.7672</v>
      </c>
      <c r="J7222">
        <v>-176.76650000000001</v>
      </c>
      <c r="K7222">
        <v>1.106168</v>
      </c>
      <c r="L7222">
        <v>131.46119999999999</v>
      </c>
      <c r="M7222">
        <v>0.72236099999999903</v>
      </c>
      <c r="N7222">
        <v>-1.6857799999999999E-2</v>
      </c>
      <c r="O7222">
        <v>0.6913106</v>
      </c>
      <c r="P7222">
        <v>0.82376919999999898</v>
      </c>
      <c r="Q7222">
        <v>0.18872739999999999</v>
      </c>
      <c r="R7222">
        <v>0.53458989999999995</v>
      </c>
      <c r="S7222">
        <v>3.1772770000000001</v>
      </c>
      <c r="T7222">
        <v>-0.13399639999999999</v>
      </c>
      <c r="U7222">
        <v>0.77999879999999999</v>
      </c>
      <c r="V7222">
        <v>0.19860649999999999</v>
      </c>
      <c r="W7222">
        <v>0.19020809999999999</v>
      </c>
      <c r="X7222">
        <v>0.96144490000000005</v>
      </c>
      <c r="Y7222">
        <v>0.49856509999999998</v>
      </c>
      <c r="Z7222">
        <v>-2.7802960000000002E-2</v>
      </c>
      <c r="AA7222">
        <v>0.86640629999999996</v>
      </c>
      <c r="AB7222">
        <v>37</v>
      </c>
      <c r="AC7222">
        <v>26.076599999999999</v>
      </c>
      <c r="AD7222">
        <v>-1.106172304285</v>
      </c>
      <c r="AE7222">
        <v>6.3060000000000098</v>
      </c>
      <c r="AF7222">
        <v>13.450869432911601</v>
      </c>
      <c r="AG7222">
        <v>-1.106172304285</v>
      </c>
      <c r="AH7222">
        <v>23.160047651748201</v>
      </c>
      <c r="AI7222">
        <v>92.365070490646801</v>
      </c>
      <c r="AJ7222">
        <v>59.8528796794062</v>
      </c>
      <c r="AK7222">
        <v>26.805546308539402</v>
      </c>
      <c r="AL7222">
        <v>79.035070849350205</v>
      </c>
      <c r="AM7222">
        <v>78.328526726042895</v>
      </c>
      <c r="AN7222">
        <v>0.99999997944193397</v>
      </c>
    </row>
    <row r="7223" spans="1:40" x14ac:dyDescent="0.25">
      <c r="A7223" t="str">
        <f>"20190304155816918"</f>
        <v>20190304155816918</v>
      </c>
      <c r="B7223" t="str">
        <f>"1551686296911734"</f>
        <v>1551686296911734</v>
      </c>
      <c r="C7223" t="s">
        <v>40</v>
      </c>
      <c r="D7223">
        <v>5.0827970000000002</v>
      </c>
      <c r="E7223">
        <v>0.62805180000000005</v>
      </c>
      <c r="F7223" t="s">
        <v>41</v>
      </c>
      <c r="G7223">
        <v>-151.5932</v>
      </c>
      <c r="H7223" s="1">
        <v>-3.9489459999999996E-6</v>
      </c>
      <c r="I7223">
        <v>137.58590000000001</v>
      </c>
      <c r="J7223">
        <v>-176.6362</v>
      </c>
      <c r="K7223">
        <v>1.106528</v>
      </c>
      <c r="L7223">
        <v>131.57839999999999</v>
      </c>
      <c r="M7223">
        <v>0.72719119999999904</v>
      </c>
      <c r="N7223">
        <v>-1.7357629999999999E-2</v>
      </c>
      <c r="O7223">
        <v>0.68621549999999998</v>
      </c>
      <c r="P7223">
        <v>0.82775200000000004</v>
      </c>
      <c r="Q7223">
        <v>0.18805540000000001</v>
      </c>
      <c r="R7223">
        <v>0.52864129999999998</v>
      </c>
      <c r="S7223">
        <v>3.1727599999999998</v>
      </c>
      <c r="T7223">
        <v>-0.13941779999999901</v>
      </c>
      <c r="U7223">
        <v>0.77194209999999996</v>
      </c>
      <c r="V7223">
        <v>0.1988038</v>
      </c>
      <c r="W7223">
        <v>0.19006909999999999</v>
      </c>
      <c r="X7223">
        <v>0.96143160000000005</v>
      </c>
      <c r="Y7223">
        <v>0.49421029999999999</v>
      </c>
      <c r="Z7223">
        <v>-2.8921490000000001E-2</v>
      </c>
      <c r="AA7223">
        <v>0.86886109999999905</v>
      </c>
      <c r="AB7223">
        <v>37</v>
      </c>
      <c r="AC7223">
        <v>25.042999999999999</v>
      </c>
      <c r="AD7223">
        <v>-1.1065319489459999</v>
      </c>
      <c r="AE7223">
        <v>6.0075000000000198</v>
      </c>
      <c r="AF7223">
        <v>12.7946043395958</v>
      </c>
      <c r="AG7223">
        <v>-1.1065319489459999</v>
      </c>
      <c r="AH7223">
        <v>22.295693388177501</v>
      </c>
      <c r="AI7223">
        <v>92.4648108728491</v>
      </c>
      <c r="AJ7223">
        <v>60.150214328503303</v>
      </c>
      <c r="AK7223">
        <v>25.729832040269201</v>
      </c>
      <c r="AL7223">
        <v>79.043182818195106</v>
      </c>
      <c r="AM7223">
        <v>78.317093422979497</v>
      </c>
      <c r="AN7223">
        <v>0.99999996757390397</v>
      </c>
    </row>
    <row r="7224" spans="1:40" x14ac:dyDescent="0.25">
      <c r="A7224" t="str">
        <f>"20190304155816929"</f>
        <v>20190304155816929</v>
      </c>
      <c r="B7224" t="str">
        <f>"1551686296921494"</f>
        <v>1551686296921494</v>
      </c>
      <c r="C7224" t="s">
        <v>40</v>
      </c>
      <c r="D7224">
        <v>5.1223109999999998</v>
      </c>
      <c r="E7224">
        <v>0.62661040000000001</v>
      </c>
      <c r="F7224" t="s">
        <v>41</v>
      </c>
      <c r="G7224">
        <v>-153.0187</v>
      </c>
      <c r="H7224" s="1">
        <v>-3.4152790000000002E-6</v>
      </c>
      <c r="I7224">
        <v>137.14689999999999</v>
      </c>
      <c r="J7224">
        <v>-176.494</v>
      </c>
      <c r="K7224">
        <v>1.106905</v>
      </c>
      <c r="L7224">
        <v>131.70570000000001</v>
      </c>
      <c r="M7224">
        <v>0.73242369999999901</v>
      </c>
      <c r="N7224">
        <v>-1.789965E-2</v>
      </c>
      <c r="O7224">
        <v>0.68061380000000005</v>
      </c>
      <c r="P7224">
        <v>0.8321151</v>
      </c>
      <c r="Q7224">
        <v>0.18707989999999999</v>
      </c>
      <c r="R7224">
        <v>0.52209729999999999</v>
      </c>
      <c r="S7224">
        <v>3.1793819999999999</v>
      </c>
      <c r="T7224">
        <v>-0.14896039999999999</v>
      </c>
      <c r="U7224">
        <v>0.74963380000000002</v>
      </c>
      <c r="V7224">
        <v>0.19905229999999999</v>
      </c>
      <c r="W7224">
        <v>0.18967120000000001</v>
      </c>
      <c r="X7224">
        <v>0.96145879999999995</v>
      </c>
      <c r="Y7224">
        <v>0.49362460000000002</v>
      </c>
      <c r="Z7224">
        <v>-3.1118900000000001E-2</v>
      </c>
      <c r="AA7224">
        <v>0.86911819999999895</v>
      </c>
      <c r="AB7224">
        <v>36</v>
      </c>
      <c r="AC7224">
        <v>23.475300000000001</v>
      </c>
      <c r="AD7224">
        <v>-1.1069084152789901</v>
      </c>
      <c r="AE7224">
        <v>5.4411999999999798</v>
      </c>
      <c r="AF7224">
        <v>11.969016663303499</v>
      </c>
      <c r="AG7224">
        <v>-1.1069084152789901</v>
      </c>
      <c r="AH7224">
        <v>20.856563692636001</v>
      </c>
      <c r="AI7224">
        <v>92.635534396253703</v>
      </c>
      <c r="AJ7224">
        <v>60.149653990479202</v>
      </c>
      <c r="AK7224">
        <v>24.072367045873101</v>
      </c>
      <c r="AL7224">
        <v>79.066403601004396</v>
      </c>
      <c r="AM7224">
        <v>78.3032140205883</v>
      </c>
      <c r="AN7224">
        <v>1.0000000031710801</v>
      </c>
    </row>
    <row r="7225" spans="1:40" x14ac:dyDescent="0.25">
      <c r="A7225" t="str">
        <f>"20190304155816941"</f>
        <v>20190304155816941</v>
      </c>
      <c r="B7225" t="str">
        <f>"1551686296932230"</f>
        <v>1551686296932230</v>
      </c>
      <c r="C7225" t="s">
        <v>40</v>
      </c>
      <c r="D7225">
        <v>5.1132710000000001</v>
      </c>
      <c r="E7225">
        <v>0.62500690000000003</v>
      </c>
      <c r="F7225" t="s">
        <v>41</v>
      </c>
      <c r="G7225">
        <v>-153.703</v>
      </c>
      <c r="H7225" s="1">
        <v>-3.1525170000000001E-6</v>
      </c>
      <c r="I7225">
        <v>136.97319999999999</v>
      </c>
      <c r="J7225">
        <v>-176.3596</v>
      </c>
      <c r="K7225">
        <v>1.107186</v>
      </c>
      <c r="L7225">
        <v>131.82259999999999</v>
      </c>
      <c r="M7225">
        <v>0.73731789999999997</v>
      </c>
      <c r="N7225">
        <v>-1.8377560000000001E-2</v>
      </c>
      <c r="O7225">
        <v>0.67529589999999995</v>
      </c>
      <c r="P7225">
        <v>0.83625139999999998</v>
      </c>
      <c r="Q7225">
        <v>0.18610070000000001</v>
      </c>
      <c r="R7225">
        <v>0.5158007</v>
      </c>
      <c r="S7225">
        <v>3.1789860000000001</v>
      </c>
      <c r="T7225">
        <v>-0.15439620000000001</v>
      </c>
      <c r="U7225">
        <v>0.73474119999999998</v>
      </c>
      <c r="V7225">
        <v>0.1993801</v>
      </c>
      <c r="W7225">
        <v>0.18921370000000001</v>
      </c>
      <c r="X7225">
        <v>0.96148100000000003</v>
      </c>
      <c r="Y7225">
        <v>0.4911141</v>
      </c>
      <c r="Z7225">
        <v>-3.2242809999999997E-2</v>
      </c>
      <c r="AA7225">
        <v>0.87049829999999995</v>
      </c>
      <c r="AB7225">
        <v>36</v>
      </c>
      <c r="AC7225">
        <v>22.656600000000001</v>
      </c>
      <c r="AD7225">
        <v>-1.1071891525169999</v>
      </c>
      <c r="AE7225">
        <v>5.1505999999999901</v>
      </c>
      <c r="AF7225">
        <v>11.4781584282611</v>
      </c>
      <c r="AG7225">
        <v>-1.1071891525169999</v>
      </c>
      <c r="AH7225">
        <v>20.140970013948301</v>
      </c>
      <c r="AI7225">
        <v>92.7344059107579</v>
      </c>
      <c r="AJ7225">
        <v>60.321571883702198</v>
      </c>
      <c r="AK7225">
        <v>23.208460996509</v>
      </c>
      <c r="AL7225">
        <v>79.093099595147905</v>
      </c>
      <c r="AM7225">
        <v>78.284746752491699</v>
      </c>
      <c r="AN7225">
        <v>0.99999998095234899</v>
      </c>
    </row>
    <row r="7226" spans="1:40" x14ac:dyDescent="0.25">
      <c r="A7226" t="str">
        <f>"20190304155816951"</f>
        <v>20190304155816951</v>
      </c>
      <c r="B7226" t="str">
        <f>"1551686296941991"</f>
        <v>1551686296941991</v>
      </c>
      <c r="C7226" t="s">
        <v>40</v>
      </c>
      <c r="D7226">
        <v>5.1082029999999996</v>
      </c>
      <c r="E7226">
        <v>0.62500690000000003</v>
      </c>
      <c r="F7226" t="s">
        <v>41</v>
      </c>
      <c r="G7226">
        <v>-154.51130000000001</v>
      </c>
      <c r="H7226" s="1">
        <v>-2.8385279999999999E-6</v>
      </c>
      <c r="I7226">
        <v>136.7885</v>
      </c>
      <c r="J7226">
        <v>-176.2216</v>
      </c>
      <c r="K7226">
        <v>1.107469</v>
      </c>
      <c r="L7226">
        <v>131.94210000000001</v>
      </c>
      <c r="M7226">
        <v>0.74230030000000002</v>
      </c>
      <c r="N7226">
        <v>-1.8865779999999999E-2</v>
      </c>
      <c r="O7226">
        <v>0.66980169999999895</v>
      </c>
      <c r="P7226">
        <v>0.84046399999999999</v>
      </c>
      <c r="Q7226">
        <v>0.18486330000000001</v>
      </c>
      <c r="R7226">
        <v>0.50935829999999904</v>
      </c>
      <c r="S7226">
        <v>3.1777799999999998</v>
      </c>
      <c r="T7226">
        <v>-0.16103779999999901</v>
      </c>
      <c r="U7226">
        <v>0.72227479999999999</v>
      </c>
      <c r="V7226">
        <v>0.19966900000000001</v>
      </c>
      <c r="W7226">
        <v>0.18851599999999999</v>
      </c>
      <c r="X7226">
        <v>0.96155809999999997</v>
      </c>
      <c r="Y7226">
        <v>0.4877454</v>
      </c>
      <c r="Z7226">
        <v>-3.364284E-2</v>
      </c>
      <c r="AA7226">
        <v>0.87233739999999904</v>
      </c>
      <c r="AB7226">
        <v>36</v>
      </c>
      <c r="AC7226">
        <v>21.710299999999901</v>
      </c>
      <c r="AD7226">
        <v>-1.107471838528</v>
      </c>
      <c r="AE7226">
        <v>4.8463999999999796</v>
      </c>
      <c r="AF7226">
        <v>10.918995663996901</v>
      </c>
      <c r="AG7226">
        <v>-1.107471838528</v>
      </c>
      <c r="AH7226">
        <v>19.317255370975001</v>
      </c>
      <c r="AI7226">
        <v>92.857225694667505</v>
      </c>
      <c r="AJ7226">
        <v>60.522881462854798</v>
      </c>
      <c r="AK7226">
        <v>22.2172751536047</v>
      </c>
      <c r="AL7226">
        <v>79.133807531080905</v>
      </c>
      <c r="AM7226">
        <v>78.269156244612105</v>
      </c>
      <c r="AN7226">
        <v>0.999999985746305</v>
      </c>
    </row>
    <row r="7227" spans="1:40" x14ac:dyDescent="0.25">
      <c r="A7227" t="str">
        <f>"20190304155816963"</f>
        <v>20190304155816963</v>
      </c>
      <c r="B7227" t="str">
        <f>"1551686296951751"</f>
        <v>1551686296951751</v>
      </c>
      <c r="C7227" t="s">
        <v>40</v>
      </c>
      <c r="D7227">
        <v>6.7778910000000003</v>
      </c>
      <c r="E7227">
        <v>0.59750019999999904</v>
      </c>
      <c r="F7227" t="s">
        <v>41</v>
      </c>
      <c r="G7227">
        <v>-154.97720000000001</v>
      </c>
      <c r="H7227" s="1">
        <v>-2.6721089999999998E-6</v>
      </c>
      <c r="I7227">
        <v>136.6</v>
      </c>
      <c r="J7227">
        <v>-176.06809999999999</v>
      </c>
      <c r="K7227">
        <v>1.1077239999999999</v>
      </c>
      <c r="L7227">
        <v>132.0719</v>
      </c>
      <c r="M7227">
        <v>0.74778279999999997</v>
      </c>
      <c r="N7227">
        <v>-1.9378929999999999E-2</v>
      </c>
      <c r="O7227">
        <v>0.66366049999999999</v>
      </c>
      <c r="P7227">
        <v>0.84490689999999902</v>
      </c>
      <c r="Q7227">
        <v>0.18347730000000001</v>
      </c>
      <c r="R7227">
        <v>0.50246259999999998</v>
      </c>
      <c r="S7227">
        <v>3.1829990000000001</v>
      </c>
      <c r="T7227">
        <v>-0.16592960000000001</v>
      </c>
      <c r="U7227">
        <v>0.69787600000000005</v>
      </c>
      <c r="V7227">
        <v>0.1996346</v>
      </c>
      <c r="W7227">
        <v>0.187747</v>
      </c>
      <c r="X7227">
        <v>0.96171569999999995</v>
      </c>
      <c r="Y7227">
        <v>0.48718</v>
      </c>
      <c r="Z7227">
        <v>-3.458398E-2</v>
      </c>
      <c r="AA7227">
        <v>0.87261650000000002</v>
      </c>
      <c r="AB7227">
        <v>36</v>
      </c>
      <c r="AC7227">
        <v>21.090899999999898</v>
      </c>
      <c r="AD7227">
        <v>-1.107726672109</v>
      </c>
      <c r="AE7227">
        <v>4.5280999999999896</v>
      </c>
      <c r="AF7227">
        <v>10.585242495516299</v>
      </c>
      <c r="AG7227">
        <v>-1.107726672109</v>
      </c>
      <c r="AH7227">
        <v>18.730668703602198</v>
      </c>
      <c r="AI7227">
        <v>92.947373884325799</v>
      </c>
      <c r="AJ7227">
        <v>60.5279530439201</v>
      </c>
      <c r="AK7227">
        <v>21.543267327707898</v>
      </c>
      <c r="AL7227">
        <v>79.178669181873701</v>
      </c>
      <c r="AM7227">
        <v>78.272990120314603</v>
      </c>
      <c r="AN7227">
        <v>0.99999999857632405</v>
      </c>
    </row>
    <row r="7228" spans="1:40" x14ac:dyDescent="0.25">
      <c r="A7228" t="str">
        <f>"20190304155816977"</f>
        <v>20190304155816977</v>
      </c>
      <c r="B7228" t="str">
        <f>"1551686296972246"</f>
        <v>1551686296972246</v>
      </c>
      <c r="C7228" t="s">
        <v>40</v>
      </c>
      <c r="D7228">
        <v>5.1538490000000001</v>
      </c>
      <c r="E7228">
        <v>0.59624560000000004</v>
      </c>
      <c r="F7228" t="s">
        <v>102</v>
      </c>
      <c r="G7228">
        <v>-85.342770000000002</v>
      </c>
      <c r="H7228">
        <v>0.51194379999999995</v>
      </c>
      <c r="I7228">
        <v>157.56739999999999</v>
      </c>
      <c r="J7228">
        <v>-175.89930000000001</v>
      </c>
      <c r="K7228">
        <v>1.1079669999999999</v>
      </c>
      <c r="L7228">
        <v>132.21250000000001</v>
      </c>
      <c r="M7228">
        <v>0.75374730000000001</v>
      </c>
      <c r="N7228">
        <v>-1.992449E-2</v>
      </c>
      <c r="O7228">
        <v>0.65686230000000001</v>
      </c>
      <c r="P7228">
        <v>0.84962209999999905</v>
      </c>
      <c r="Q7228">
        <v>0.182063</v>
      </c>
      <c r="R7228">
        <v>0.49497010000000002</v>
      </c>
      <c r="S7228">
        <v>3.0459589999999999</v>
      </c>
      <c r="T7228">
        <v>-2.0002249999999999E-2</v>
      </c>
      <c r="U7228">
        <v>0.85597230000000002</v>
      </c>
      <c r="V7228">
        <v>0.19943269999999999</v>
      </c>
      <c r="W7228">
        <v>0.18701590000000001</v>
      </c>
      <c r="X7228">
        <v>0.96190010000000004</v>
      </c>
      <c r="Y7228">
        <v>0.4284309</v>
      </c>
      <c r="Z7228">
        <v>4.4825489999999997E-3</v>
      </c>
      <c r="AA7228">
        <v>0.90356340000000002</v>
      </c>
      <c r="AB7228">
        <v>36</v>
      </c>
      <c r="AC7228">
        <v>90.556529999999995</v>
      </c>
      <c r="AD7228">
        <v>-0.59602319999999898</v>
      </c>
      <c r="AE7228">
        <v>25.354899999999901</v>
      </c>
      <c r="AF7228">
        <v>40.378375874763599</v>
      </c>
      <c r="AG7228">
        <v>-0.59602319999999898</v>
      </c>
      <c r="AH7228">
        <v>84.924863243140805</v>
      </c>
      <c r="AI7228">
        <v>90.363152360110405</v>
      </c>
      <c r="AJ7228">
        <v>64.570781328170298</v>
      </c>
      <c r="AK7228">
        <v>94.037231343786402</v>
      </c>
      <c r="AL7228">
        <v>79.221314315601305</v>
      </c>
      <c r="AM7228">
        <v>78.286706065200804</v>
      </c>
      <c r="AN7228">
        <v>1.0000000755310501</v>
      </c>
    </row>
    <row r="7229" spans="1:40" x14ac:dyDescent="0.25">
      <c r="A7229" t="str">
        <f>"20190304155816991"</f>
        <v>20190304155816991</v>
      </c>
      <c r="B7229" t="str">
        <f>"1551686296982006"</f>
        <v>1551686296982006</v>
      </c>
      <c r="C7229" t="s">
        <v>40</v>
      </c>
      <c r="D7229">
        <v>5.1899920000000002</v>
      </c>
      <c r="E7229">
        <v>0.59581219999999901</v>
      </c>
      <c r="F7229" t="s">
        <v>41</v>
      </c>
      <c r="G7229">
        <v>-128.3766</v>
      </c>
      <c r="H7229" s="1">
        <v>-2.1780869999999998E-6</v>
      </c>
      <c r="I7229">
        <v>145.25129999999999</v>
      </c>
      <c r="J7229">
        <v>-175.72309999999999</v>
      </c>
      <c r="K7229">
        <v>1.1081749999999999</v>
      </c>
      <c r="L7229">
        <v>132.3569</v>
      </c>
      <c r="M7229">
        <v>0.75990159999999995</v>
      </c>
      <c r="N7229">
        <v>-2.0476189999999998E-2</v>
      </c>
      <c r="O7229">
        <v>0.64971540000000005</v>
      </c>
      <c r="P7229">
        <v>0.85452050000000002</v>
      </c>
      <c r="Q7229">
        <v>0.18066080000000001</v>
      </c>
      <c r="R7229">
        <v>0.486987</v>
      </c>
      <c r="S7229">
        <v>3.0575410000000001</v>
      </c>
      <c r="T7229">
        <v>-7.1285009999999996E-2</v>
      </c>
      <c r="U7229">
        <v>0.83889769999999897</v>
      </c>
      <c r="V7229">
        <v>0.19934360000000001</v>
      </c>
      <c r="W7229">
        <v>0.18631039999999999</v>
      </c>
      <c r="X7229">
        <v>0.96205540000000001</v>
      </c>
      <c r="Y7229">
        <v>0.4254018</v>
      </c>
      <c r="Z7229">
        <v>-8.5936829999999995E-3</v>
      </c>
      <c r="AA7229">
        <v>0.90496379999999998</v>
      </c>
      <c r="AB7229">
        <v>36</v>
      </c>
      <c r="AC7229">
        <v>47.346499999999899</v>
      </c>
      <c r="AD7229">
        <v>-1.108177178087</v>
      </c>
      <c r="AE7229">
        <v>12.8943999999999</v>
      </c>
      <c r="AF7229">
        <v>20.956984926520999</v>
      </c>
      <c r="AG7229">
        <v>-1.108177178087</v>
      </c>
      <c r="AH7229">
        <v>44.343062148790203</v>
      </c>
      <c r="AI7229">
        <v>91.294359901142599</v>
      </c>
      <c r="AJ7229">
        <v>64.704102661023896</v>
      </c>
      <c r="AK7229">
        <v>49.058438974349102</v>
      </c>
      <c r="AL7229">
        <v>79.262458992513004</v>
      </c>
      <c r="AM7229">
        <v>78.293632515711295</v>
      </c>
      <c r="AN7229">
        <v>1.0000000143391301</v>
      </c>
    </row>
    <row r="7230" spans="1:40" x14ac:dyDescent="0.25">
      <c r="A7230" t="str">
        <f>"20190304155817007"</f>
        <v>20190304155817007</v>
      </c>
      <c r="B7230" t="str">
        <f>"1551686297001526"</f>
        <v>1551686297001526</v>
      </c>
      <c r="C7230" t="s">
        <v>40</v>
      </c>
      <c r="D7230">
        <v>5.212936</v>
      </c>
      <c r="E7230">
        <v>0.59030869999999902</v>
      </c>
      <c r="F7230" t="s">
        <v>41</v>
      </c>
      <c r="G7230">
        <v>-145.0899</v>
      </c>
      <c r="H7230" s="1">
        <v>-2.318019E-6</v>
      </c>
      <c r="I7230">
        <v>140.47790000000001</v>
      </c>
      <c r="J7230">
        <v>-175.49889999999999</v>
      </c>
      <c r="K7230">
        <v>1.108339</v>
      </c>
      <c r="L7230">
        <v>132.53579999999999</v>
      </c>
      <c r="M7230">
        <v>0.76763149999999902</v>
      </c>
      <c r="N7230">
        <v>-2.1131440000000001E-2</v>
      </c>
      <c r="O7230">
        <v>0.64054299999999997</v>
      </c>
      <c r="P7230">
        <v>0.86064419999999897</v>
      </c>
      <c r="Q7230">
        <v>0.1788689</v>
      </c>
      <c r="R7230">
        <v>0.4767574</v>
      </c>
      <c r="S7230">
        <v>3.0703429999999998</v>
      </c>
      <c r="T7230">
        <v>-0.1110715</v>
      </c>
      <c r="U7230">
        <v>0.81396480000000004</v>
      </c>
      <c r="V7230">
        <v>0.19921520000000001</v>
      </c>
      <c r="W7230">
        <v>0.18538170000000001</v>
      </c>
      <c r="X7230">
        <v>0.96226140000000004</v>
      </c>
      <c r="Y7230">
        <v>0.4221316</v>
      </c>
      <c r="Z7230">
        <v>-1.8393079999999999E-2</v>
      </c>
      <c r="AA7230">
        <v>0.90634800000000004</v>
      </c>
      <c r="AB7230">
        <v>36</v>
      </c>
      <c r="AC7230">
        <v>30.408999999999899</v>
      </c>
      <c r="AD7230">
        <v>-1.108341318019</v>
      </c>
      <c r="AE7230">
        <v>7.9421000000000097</v>
      </c>
      <c r="AF7230">
        <v>13.3680300676077</v>
      </c>
      <c r="AG7230">
        <v>-1.108341318019</v>
      </c>
      <c r="AH7230">
        <v>28.401192580865601</v>
      </c>
      <c r="AI7230">
        <v>92.0222017763965</v>
      </c>
      <c r="AJ7230">
        <v>64.794313157726805</v>
      </c>
      <c r="AK7230">
        <v>31.409558869571999</v>
      </c>
      <c r="AL7230">
        <v>79.316613245251105</v>
      </c>
      <c r="AM7230">
        <v>78.303400353219104</v>
      </c>
      <c r="AN7230">
        <v>1.00000003626794</v>
      </c>
    </row>
    <row r="7231" spans="1:40" x14ac:dyDescent="0.25">
      <c r="A7231" t="str">
        <f>"20190304155817020"</f>
        <v>20190304155817020</v>
      </c>
      <c r="B7231" t="str">
        <f>"1551686297012262"</f>
        <v>1551686297012262</v>
      </c>
      <c r="C7231" t="s">
        <v>40</v>
      </c>
      <c r="D7231">
        <v>5.2201370000000002</v>
      </c>
      <c r="E7231">
        <v>0.59012959999999903</v>
      </c>
      <c r="F7231" t="s">
        <v>41</v>
      </c>
      <c r="G7231">
        <v>-140.11199999999999</v>
      </c>
      <c r="H7231" s="1">
        <v>-4.6577749999999996E-6</v>
      </c>
      <c r="I7231">
        <v>141.98330000000001</v>
      </c>
      <c r="J7231">
        <v>-175.35299999999901</v>
      </c>
      <c r="K7231">
        <v>1.1083909999999999</v>
      </c>
      <c r="L7231">
        <v>132.64940000000001</v>
      </c>
      <c r="M7231">
        <v>0.77259889999999998</v>
      </c>
      <c r="N7231">
        <v>-2.1529590000000001E-2</v>
      </c>
      <c r="O7231">
        <v>0.63452940000000002</v>
      </c>
      <c r="P7231">
        <v>0.86454310000000001</v>
      </c>
      <c r="Q7231">
        <v>0.17810429999999999</v>
      </c>
      <c r="R7231">
        <v>0.46994089999999999</v>
      </c>
      <c r="S7231">
        <v>3.0539550000000002</v>
      </c>
      <c r="T7231">
        <v>-9.5652219999999996E-2</v>
      </c>
      <c r="U7231">
        <v>0.81533809999999995</v>
      </c>
      <c r="V7231">
        <v>0.19923450000000001</v>
      </c>
      <c r="W7231">
        <v>0.1851517</v>
      </c>
      <c r="X7231">
        <v>0.96230170000000004</v>
      </c>
      <c r="Y7231">
        <v>0.4135626</v>
      </c>
      <c r="Z7231">
        <v>-1.4199730000000001E-2</v>
      </c>
      <c r="AA7231">
        <v>0.91036490000000003</v>
      </c>
      <c r="AB7231">
        <v>36</v>
      </c>
      <c r="AC7231">
        <v>35.2409999999999</v>
      </c>
      <c r="AD7231">
        <v>-1.1083956577749901</v>
      </c>
      <c r="AE7231">
        <v>9.3338999999999999</v>
      </c>
      <c r="AF7231">
        <v>15.139606379322</v>
      </c>
      <c r="AG7231">
        <v>-1.1083956577749901</v>
      </c>
      <c r="AH7231">
        <v>33.126853302506603</v>
      </c>
      <c r="AI7231">
        <v>91.743066999516998</v>
      </c>
      <c r="AJ7231">
        <v>65.438691605564898</v>
      </c>
      <c r="AK7231">
        <v>36.4393280945296</v>
      </c>
      <c r="AL7231">
        <v>79.330023574735307</v>
      </c>
      <c r="AM7231">
        <v>78.302774796807995</v>
      </c>
      <c r="AN7231">
        <v>1.0000000499130099</v>
      </c>
    </row>
    <row r="7232" spans="1:40" x14ac:dyDescent="0.25">
      <c r="A7232" t="str">
        <f>"20190304155817031"</f>
        <v>20190304155817031</v>
      </c>
      <c r="B7232" t="str">
        <f>"1551686297022022"</f>
        <v>1551686297022022</v>
      </c>
      <c r="C7232" t="s">
        <v>40</v>
      </c>
      <c r="D7232">
        <v>5.3164800000000003</v>
      </c>
      <c r="E7232">
        <v>0.58648350000000005</v>
      </c>
      <c r="F7232" t="s">
        <v>41</v>
      </c>
      <c r="G7232">
        <v>-146.3477</v>
      </c>
      <c r="H7232" s="1">
        <v>-1.6951589999999901E-6</v>
      </c>
      <c r="I7232">
        <v>140.16499999999999</v>
      </c>
      <c r="J7232">
        <v>-175.19390000000001</v>
      </c>
      <c r="K7232">
        <v>1.1084320000000001</v>
      </c>
      <c r="L7232">
        <v>132.77199999999999</v>
      </c>
      <c r="M7232">
        <v>0.77795769999999997</v>
      </c>
      <c r="N7232">
        <v>-2.1957279999999999E-2</v>
      </c>
      <c r="O7232">
        <v>0.62793290000000002</v>
      </c>
      <c r="P7232">
        <v>0.86877229999999905</v>
      </c>
      <c r="Q7232">
        <v>0.17713609999999999</v>
      </c>
      <c r="R7232">
        <v>0.46244740000000001</v>
      </c>
      <c r="S7232">
        <v>3.0627900000000001</v>
      </c>
      <c r="T7232">
        <v>-0.1170398</v>
      </c>
      <c r="U7232">
        <v>0.79360959999999903</v>
      </c>
      <c r="V7232">
        <v>0.19929330000000001</v>
      </c>
      <c r="W7232">
        <v>0.18476129999999999</v>
      </c>
      <c r="X7232">
        <v>0.96236449999999996</v>
      </c>
      <c r="Y7232">
        <v>0.41237190000000001</v>
      </c>
      <c r="Z7232">
        <v>-1.9331399999999999E-2</v>
      </c>
      <c r="AA7232">
        <v>0.91081049999999997</v>
      </c>
      <c r="AB7232">
        <v>36</v>
      </c>
      <c r="AC7232">
        <v>28.8462</v>
      </c>
      <c r="AD7232">
        <v>-1.1084336951589999</v>
      </c>
      <c r="AE7232">
        <v>7.3929999999999696</v>
      </c>
      <c r="AF7232">
        <v>12.347909327015801</v>
      </c>
      <c r="AG7232">
        <v>-1.1084336951589999</v>
      </c>
      <c r="AH7232">
        <v>27.052480212051901</v>
      </c>
      <c r="AI7232">
        <v>92.134664733147702</v>
      </c>
      <c r="AJ7232">
        <v>65.466015318560295</v>
      </c>
      <c r="AK7232">
        <v>29.757959870062098</v>
      </c>
      <c r="AL7232">
        <v>79.352783946914997</v>
      </c>
      <c r="AM7232">
        <v>78.300160250046204</v>
      </c>
      <c r="AN7232">
        <v>0.99999999413141405</v>
      </c>
    </row>
    <row r="7233" spans="1:40" x14ac:dyDescent="0.25">
      <c r="A7233" t="str">
        <f>"20190304155817042"</f>
        <v>20190304155817042</v>
      </c>
      <c r="B7233" t="str">
        <f>"1551686297031782"</f>
        <v>1551686297031782</v>
      </c>
      <c r="C7233" t="s">
        <v>40</v>
      </c>
      <c r="D7233">
        <v>5.2145619999999999</v>
      </c>
      <c r="E7233">
        <v>0.58539269999999999</v>
      </c>
      <c r="F7233" t="s">
        <v>41</v>
      </c>
      <c r="G7233">
        <v>-145.4229</v>
      </c>
      <c r="H7233" s="1">
        <v>-2.182743E-6</v>
      </c>
      <c r="I7233">
        <v>140.50649999999999</v>
      </c>
      <c r="J7233">
        <v>-175.04409999999999</v>
      </c>
      <c r="K7233">
        <v>1.108422</v>
      </c>
      <c r="L7233">
        <v>132.88460000000001</v>
      </c>
      <c r="M7233">
        <v>0.78295190000000003</v>
      </c>
      <c r="N7233">
        <v>-2.232953E-2</v>
      </c>
      <c r="O7233">
        <v>0.62168140000000005</v>
      </c>
      <c r="P7233">
        <v>0.87265389999999998</v>
      </c>
      <c r="Q7233">
        <v>0.17638199999999901</v>
      </c>
      <c r="R7233">
        <v>0.45537329999999998</v>
      </c>
      <c r="S7233">
        <v>3.0539860000000001</v>
      </c>
      <c r="T7233">
        <v>-0.113706</v>
      </c>
      <c r="U7233">
        <v>0.79342650000000003</v>
      </c>
      <c r="V7233">
        <v>0.19931270000000001</v>
      </c>
      <c r="W7233">
        <v>0.18453220000000001</v>
      </c>
      <c r="X7233">
        <v>0.96240440000000005</v>
      </c>
      <c r="Y7233">
        <v>0.4045106</v>
      </c>
      <c r="Z7233">
        <v>-1.8171400000000001E-2</v>
      </c>
      <c r="AA7233">
        <v>0.91435279999999997</v>
      </c>
      <c r="AB7233">
        <v>36</v>
      </c>
      <c r="AC7233">
        <v>29.621199999999899</v>
      </c>
      <c r="AD7233">
        <v>-1.1084241827429999</v>
      </c>
      <c r="AE7233">
        <v>7.6218999999999797</v>
      </c>
      <c r="AF7233">
        <v>12.434142270245401</v>
      </c>
      <c r="AG7233">
        <v>-1.1084241827429999</v>
      </c>
      <c r="AH7233">
        <v>27.900691368357801</v>
      </c>
      <c r="AI7233">
        <v>92.078184727984393</v>
      </c>
      <c r="AJ7233">
        <v>65.979515898143106</v>
      </c>
      <c r="AK7233">
        <v>30.5660772261988</v>
      </c>
      <c r="AL7233">
        <v>79.366139671726899</v>
      </c>
      <c r="AM7233">
        <v>78.299524473474307</v>
      </c>
      <c r="AN7233">
        <v>0.99999995717874401</v>
      </c>
    </row>
    <row r="7234" spans="1:40" x14ac:dyDescent="0.25">
      <c r="A7234" t="str">
        <f>"20190304155817055"</f>
        <v>20190304155817055</v>
      </c>
      <c r="B7234" t="str">
        <f>"1551686297051613"</f>
        <v>1551686297051613</v>
      </c>
      <c r="C7234" t="s">
        <v>40</v>
      </c>
      <c r="D7234">
        <v>5.2657160000000003</v>
      </c>
      <c r="E7234">
        <v>0.5828624</v>
      </c>
      <c r="F7234" t="s">
        <v>41</v>
      </c>
      <c r="G7234">
        <v>-145.5325</v>
      </c>
      <c r="H7234" s="1">
        <v>-2.1039470000000001E-6</v>
      </c>
      <c r="I7234">
        <v>140.387</v>
      </c>
      <c r="J7234">
        <v>-174.8886</v>
      </c>
      <c r="K7234">
        <v>1.108384</v>
      </c>
      <c r="L7234">
        <v>133</v>
      </c>
      <c r="M7234">
        <v>0.78807910000000003</v>
      </c>
      <c r="N7234">
        <v>-2.2704680000000001E-2</v>
      </c>
      <c r="O7234">
        <v>0.61515509999999995</v>
      </c>
      <c r="P7234">
        <v>0.876718</v>
      </c>
      <c r="Q7234">
        <v>0.17573929999999999</v>
      </c>
      <c r="R7234">
        <v>0.44775150000000002</v>
      </c>
      <c r="S7234">
        <v>3.0556179999999999</v>
      </c>
      <c r="T7234">
        <v>-0.1147656</v>
      </c>
      <c r="U7234">
        <v>0.7767944</v>
      </c>
      <c r="V7234">
        <v>0.19959660000000001</v>
      </c>
      <c r="W7234">
        <v>0.18440699999999999</v>
      </c>
      <c r="X7234">
        <v>0.96236960000000005</v>
      </c>
      <c r="Y7234">
        <v>0.40169880000000002</v>
      </c>
      <c r="Z7234">
        <v>-1.8187700000000001E-2</v>
      </c>
      <c r="AA7234">
        <v>0.91559120000000005</v>
      </c>
      <c r="AB7234">
        <v>36</v>
      </c>
      <c r="AC7234">
        <v>29.356100000000001</v>
      </c>
      <c r="AD7234">
        <v>-1.108386103947</v>
      </c>
      <c r="AE7234">
        <v>7.3869999999999996</v>
      </c>
      <c r="AF7234">
        <v>12.2237818007602</v>
      </c>
      <c r="AG7234">
        <v>-1.108386103947</v>
      </c>
      <c r="AH7234">
        <v>27.649148765982499</v>
      </c>
      <c r="AI7234">
        <v>92.099765343215793</v>
      </c>
      <c r="AJ7234">
        <v>66.149616907399803</v>
      </c>
      <c r="AK7234">
        <v>30.251029548619499</v>
      </c>
      <c r="AL7234">
        <v>79.373438776190497</v>
      </c>
      <c r="AM7234">
        <v>78.282906850988795</v>
      </c>
      <c r="AN7234">
        <v>0.99999999569235998</v>
      </c>
    </row>
    <row r="7235" spans="1:40" x14ac:dyDescent="0.25">
      <c r="A7235" t="str">
        <f>"20190304155817067"</f>
        <v>20190304155817067</v>
      </c>
      <c r="B7235" t="str">
        <f>"1551686297061373"</f>
        <v>1551686297061373</v>
      </c>
      <c r="C7235" t="s">
        <v>40</v>
      </c>
      <c r="D7235">
        <v>5.1198319999999997</v>
      </c>
      <c r="E7235">
        <v>0.58326699999999998</v>
      </c>
      <c r="F7235" t="s">
        <v>41</v>
      </c>
      <c r="G7235">
        <v>-146.32380000000001</v>
      </c>
      <c r="H7235" s="1">
        <v>-1.714313E-6</v>
      </c>
      <c r="I7235">
        <v>140.19839999999999</v>
      </c>
      <c r="J7235">
        <v>-174.7244</v>
      </c>
      <c r="K7235">
        <v>1.108309</v>
      </c>
      <c r="L7235">
        <v>133.11959999999999</v>
      </c>
      <c r="M7235">
        <v>0.79343350000000001</v>
      </c>
      <c r="N7235">
        <v>-2.308199E-2</v>
      </c>
      <c r="O7235">
        <v>0.60821910000000001</v>
      </c>
      <c r="P7235">
        <v>0.88091160000000002</v>
      </c>
      <c r="Q7235">
        <v>0.17507439999999999</v>
      </c>
      <c r="R7235">
        <v>0.43970880000000001</v>
      </c>
      <c r="S7235">
        <v>3.0527190000000002</v>
      </c>
      <c r="T7235">
        <v>-0.1184529</v>
      </c>
      <c r="U7235">
        <v>0.76930240000000005</v>
      </c>
      <c r="V7235">
        <v>0.19984209999999999</v>
      </c>
      <c r="W7235">
        <v>0.18428050000000001</v>
      </c>
      <c r="X7235">
        <v>0.9623429</v>
      </c>
      <c r="Y7235">
        <v>0.39554489999999998</v>
      </c>
      <c r="Z7235">
        <v>-1.877208E-2</v>
      </c>
      <c r="AA7235">
        <v>0.91825480000000004</v>
      </c>
      <c r="AB7235">
        <v>36</v>
      </c>
      <c r="AC7235">
        <v>28.400600000000001</v>
      </c>
      <c r="AD7235">
        <v>-1.108310714313</v>
      </c>
      <c r="AE7235">
        <v>7.0788000000000002</v>
      </c>
      <c r="AF7235">
        <v>11.6436422767213</v>
      </c>
      <c r="AG7235">
        <v>-1.108310714313</v>
      </c>
      <c r="AH7235">
        <v>26.808163917991902</v>
      </c>
      <c r="AI7235">
        <v>92.171616413310204</v>
      </c>
      <c r="AJ7235">
        <v>66.523153382132307</v>
      </c>
      <c r="AK7235">
        <v>29.248596731495301</v>
      </c>
      <c r="AL7235">
        <v>79.380813253736704</v>
      </c>
      <c r="AM7235">
        <v>78.2685777684366</v>
      </c>
      <c r="AN7235">
        <v>1.00000001239653</v>
      </c>
    </row>
    <row r="7236" spans="1:40" x14ac:dyDescent="0.25">
      <c r="A7236" t="str">
        <f>"20190304155817078"</f>
        <v>20190304155817078</v>
      </c>
      <c r="B7236" t="str">
        <f>"1551686297072110"</f>
        <v>1551686297072110</v>
      </c>
      <c r="C7236" t="s">
        <v>40</v>
      </c>
      <c r="D7236">
        <v>5.1906530000000002</v>
      </c>
      <c r="E7236">
        <v>0.58262809999999998</v>
      </c>
      <c r="F7236" t="s">
        <v>41</v>
      </c>
      <c r="G7236">
        <v>-148.20599999999999</v>
      </c>
      <c r="H7236" s="1">
        <v>-7.6797949999999996E-7</v>
      </c>
      <c r="I7236">
        <v>139.5257</v>
      </c>
      <c r="J7236">
        <v>-174.56460000000001</v>
      </c>
      <c r="K7236">
        <v>1.1082069999999999</v>
      </c>
      <c r="L7236">
        <v>133.23330000000001</v>
      </c>
      <c r="M7236">
        <v>0.79860509999999996</v>
      </c>
      <c r="N7236">
        <v>-2.343777E-2</v>
      </c>
      <c r="O7236">
        <v>0.60139889999999996</v>
      </c>
      <c r="P7236">
        <v>0.88500029999999996</v>
      </c>
      <c r="Q7236">
        <v>0.17458080000000001</v>
      </c>
      <c r="R7236">
        <v>0.43162060000000002</v>
      </c>
      <c r="S7236">
        <v>3.0618289999999999</v>
      </c>
      <c r="T7236">
        <v>-0.127966</v>
      </c>
      <c r="U7236">
        <v>0.73965449999999999</v>
      </c>
      <c r="V7236">
        <v>0.20027829999999999</v>
      </c>
      <c r="W7236">
        <v>0.18429219999999999</v>
      </c>
      <c r="X7236">
        <v>0.96225000000000005</v>
      </c>
      <c r="Y7236">
        <v>0.39663389999999998</v>
      </c>
      <c r="Z7236">
        <v>-2.090991E-2</v>
      </c>
      <c r="AA7236">
        <v>0.91773870000000002</v>
      </c>
      <c r="AB7236">
        <v>36</v>
      </c>
      <c r="AC7236">
        <v>26.358599999999999</v>
      </c>
      <c r="AD7236">
        <v>-1.1082077679794999</v>
      </c>
      <c r="AE7236">
        <v>6.2923999999999802</v>
      </c>
      <c r="AF7236">
        <v>10.811783818165599</v>
      </c>
      <c r="AG7236">
        <v>-1.1082077679794999</v>
      </c>
      <c r="AH7236">
        <v>24.799704057303099</v>
      </c>
      <c r="AI7236">
        <v>92.345682816186098</v>
      </c>
      <c r="AJ7236">
        <v>66.444520567192598</v>
      </c>
      <c r="AK7236">
        <v>27.076707981539698</v>
      </c>
      <c r="AL7236">
        <v>79.380131480837093</v>
      </c>
      <c r="AM7236">
        <v>78.242579849499506</v>
      </c>
      <c r="AN7236">
        <v>1.00000003746586</v>
      </c>
    </row>
    <row r="7237" spans="1:40" x14ac:dyDescent="0.25">
      <c r="A7237" t="str">
        <f>"20190304155817091"</f>
        <v>20190304155817091</v>
      </c>
      <c r="B7237" t="str">
        <f>"1551686297081870"</f>
        <v>1551686297081870</v>
      </c>
      <c r="C7237" t="s">
        <v>40</v>
      </c>
      <c r="D7237">
        <v>5.1999930000000001</v>
      </c>
      <c r="E7237">
        <v>0.58181319999999903</v>
      </c>
      <c r="F7237" t="s">
        <v>41</v>
      </c>
      <c r="G7237">
        <v>-150.3107</v>
      </c>
      <c r="H7237" s="1">
        <v>-4.2647659999999997E-6</v>
      </c>
      <c r="I7237">
        <v>138.90719999999999</v>
      </c>
      <c r="J7237">
        <v>-174.399</v>
      </c>
      <c r="K7237">
        <v>1.1080859999999999</v>
      </c>
      <c r="L7237">
        <v>133.34989999999999</v>
      </c>
      <c r="M7237">
        <v>0.80391610000000002</v>
      </c>
      <c r="N7237">
        <v>-2.3805469999999999E-2</v>
      </c>
      <c r="O7237">
        <v>0.59426610000000002</v>
      </c>
      <c r="P7237">
        <v>0.88924029999999998</v>
      </c>
      <c r="Q7237">
        <v>0.1737572</v>
      </c>
      <c r="R7237">
        <v>0.42315510000000001</v>
      </c>
      <c r="S7237">
        <v>3.0675050000000001</v>
      </c>
      <c r="T7237">
        <v>-0.14016020000000001</v>
      </c>
      <c r="U7237">
        <v>0.71760559999999995</v>
      </c>
      <c r="V7237">
        <v>0.20076920000000001</v>
      </c>
      <c r="W7237">
        <v>0.18399270000000001</v>
      </c>
      <c r="X7237">
        <v>0.96220499999999998</v>
      </c>
      <c r="Y7237">
        <v>0.39499250000000002</v>
      </c>
      <c r="Z7237">
        <v>-2.3586099999999999E-2</v>
      </c>
      <c r="AA7237">
        <v>0.91838149999999996</v>
      </c>
      <c r="AB7237">
        <v>36</v>
      </c>
      <c r="AC7237">
        <v>24.0883</v>
      </c>
      <c r="AD7237">
        <v>-1.108090264766</v>
      </c>
      <c r="AE7237">
        <v>5.5572999999999899</v>
      </c>
      <c r="AF7237">
        <v>9.83029784698188</v>
      </c>
      <c r="AG7237">
        <v>-1.108090264766</v>
      </c>
      <c r="AH7237">
        <v>22.628448412085199</v>
      </c>
      <c r="AI7237">
        <v>92.571644736900495</v>
      </c>
      <c r="AJ7237">
        <v>66.518808851172594</v>
      </c>
      <c r="AK7237">
        <v>24.696341780386099</v>
      </c>
      <c r="AL7237">
        <v>79.397589968518801</v>
      </c>
      <c r="AM7237">
        <v>78.214030689467904</v>
      </c>
      <c r="AN7237">
        <v>1.0000000236734601</v>
      </c>
    </row>
    <row r="7238" spans="1:40" x14ac:dyDescent="0.25">
      <c r="A7238" t="str">
        <f>"20190304155817106"</f>
        <v>20190304155817106</v>
      </c>
      <c r="B7238" t="str">
        <f>"1551686297102365"</f>
        <v>1551686297102365</v>
      </c>
      <c r="C7238" t="s">
        <v>40</v>
      </c>
      <c r="D7238">
        <v>5.3044200000000004</v>
      </c>
      <c r="E7238">
        <v>0.579152</v>
      </c>
      <c r="F7238" t="s">
        <v>41</v>
      </c>
      <c r="G7238">
        <v>-151.97399999999999</v>
      </c>
      <c r="H7238" s="1">
        <v>-3.6365440000000002E-6</v>
      </c>
      <c r="I7238">
        <v>138.42609999999999</v>
      </c>
      <c r="J7238">
        <v>-174.19730000000001</v>
      </c>
      <c r="K7238">
        <v>1.1078870000000001</v>
      </c>
      <c r="L7238">
        <v>133.488</v>
      </c>
      <c r="M7238">
        <v>0.81034989999999996</v>
      </c>
      <c r="N7238">
        <v>-2.4230669999999999E-2</v>
      </c>
      <c r="O7238">
        <v>0.585445199999999</v>
      </c>
      <c r="P7238">
        <v>0.89414609999999894</v>
      </c>
      <c r="Q7238">
        <v>0.1729917</v>
      </c>
      <c r="R7238">
        <v>0.41300930000000002</v>
      </c>
      <c r="S7238">
        <v>3.0723720000000001</v>
      </c>
      <c r="T7238">
        <v>-0.15181539999999999</v>
      </c>
      <c r="U7238">
        <v>0.69548030000000005</v>
      </c>
      <c r="V7238">
        <v>0.2010303</v>
      </c>
      <c r="W7238">
        <v>0.1838708</v>
      </c>
      <c r="X7238">
        <v>0.96217379999999997</v>
      </c>
      <c r="Y7238">
        <v>0.39145170000000001</v>
      </c>
      <c r="Z7238">
        <v>-2.5981009999999999E-2</v>
      </c>
      <c r="AA7238">
        <v>0.91983179999999998</v>
      </c>
      <c r="AB7238">
        <v>36</v>
      </c>
      <c r="AC7238">
        <v>22.223299999999998</v>
      </c>
      <c r="AD7238">
        <v>-1.107890636544</v>
      </c>
      <c r="AE7238">
        <v>4.9380999999999897</v>
      </c>
      <c r="AF7238">
        <v>8.99028840283259</v>
      </c>
      <c r="AG7238">
        <v>-1.107890636544</v>
      </c>
      <c r="AH7238">
        <v>20.856376939667499</v>
      </c>
      <c r="AI7238">
        <v>92.792729958628996</v>
      </c>
      <c r="AJ7238">
        <v>66.681201005925701</v>
      </c>
      <c r="AK7238">
        <v>22.738539229206101</v>
      </c>
      <c r="AL7238">
        <v>79.404695695038001</v>
      </c>
      <c r="AM7238">
        <v>78.198760673696995</v>
      </c>
      <c r="AN7238">
        <v>1.00000003700858</v>
      </c>
    </row>
    <row r="7239" spans="1:40" x14ac:dyDescent="0.25">
      <c r="A7239" t="str">
        <f>"20190304155817119"</f>
        <v>20190304155817119</v>
      </c>
      <c r="B7239" t="str">
        <f>"1551686297112125"</f>
        <v>1551686297112125</v>
      </c>
      <c r="C7239" t="s">
        <v>40</v>
      </c>
      <c r="D7239">
        <v>5.2256769999999904</v>
      </c>
      <c r="E7239">
        <v>0.57822499999999999</v>
      </c>
      <c r="F7239" t="s">
        <v>41</v>
      </c>
      <c r="G7239">
        <v>-151.8518</v>
      </c>
      <c r="H7239" s="1">
        <v>-3.6860069999999999E-6</v>
      </c>
      <c r="I7239">
        <v>138.44280000000001</v>
      </c>
      <c r="J7239">
        <v>-174.0239</v>
      </c>
      <c r="K7239">
        <v>1.1076699999999999</v>
      </c>
      <c r="L7239">
        <v>133.60399999999899</v>
      </c>
      <c r="M7239">
        <v>0.81584909999999999</v>
      </c>
      <c r="N7239">
        <v>-2.456877E-2</v>
      </c>
      <c r="O7239">
        <v>0.5777426</v>
      </c>
      <c r="P7239">
        <v>0.89852719999999897</v>
      </c>
      <c r="Q7239">
        <v>0.17181340000000001</v>
      </c>
      <c r="R7239">
        <v>0.40389239999999998</v>
      </c>
      <c r="S7239">
        <v>3.0701450000000001</v>
      </c>
      <c r="T7239">
        <v>-0.15221709999999999</v>
      </c>
      <c r="U7239">
        <v>0.68077089999999996</v>
      </c>
      <c r="V7239">
        <v>0.20158580000000001</v>
      </c>
      <c r="W7239">
        <v>0.18319070000000001</v>
      </c>
      <c r="X7239">
        <v>0.96218729999999997</v>
      </c>
      <c r="Y7239">
        <v>0.38679150000000001</v>
      </c>
      <c r="Z7239">
        <v>-2.573845E-2</v>
      </c>
      <c r="AA7239">
        <v>0.92180790000000001</v>
      </c>
      <c r="AB7239">
        <v>36</v>
      </c>
      <c r="AC7239">
        <v>22.1721</v>
      </c>
      <c r="AD7239">
        <v>-1.107673686007</v>
      </c>
      <c r="AE7239">
        <v>4.8388000000000098</v>
      </c>
      <c r="AF7239">
        <v>8.8436439169964203</v>
      </c>
      <c r="AG7239">
        <v>-1.107673686007</v>
      </c>
      <c r="AH7239">
        <v>20.841324941435101</v>
      </c>
      <c r="AI7239">
        <v>92.800988648804406</v>
      </c>
      <c r="AJ7239">
        <v>67.006927278429799</v>
      </c>
      <c r="AK7239">
        <v>22.667108418141598</v>
      </c>
      <c r="AL7239">
        <v>79.444335849303101</v>
      </c>
      <c r="AM7239">
        <v>78.167230228553706</v>
      </c>
      <c r="AN7239">
        <v>1.0000000338046999</v>
      </c>
    </row>
    <row r="7240" spans="1:40" x14ac:dyDescent="0.25">
      <c r="A7240" t="str">
        <f>"20190304155817132"</f>
        <v>20190304155817132</v>
      </c>
      <c r="B7240" t="str">
        <f>"1551686297121886"</f>
        <v>1551686297121886</v>
      </c>
      <c r="C7240" t="s">
        <v>40</v>
      </c>
      <c r="D7240">
        <v>5.2458339999999897</v>
      </c>
      <c r="E7240">
        <v>0.57699350000000005</v>
      </c>
      <c r="F7240" t="s">
        <v>41</v>
      </c>
      <c r="G7240">
        <v>-152.30590000000001</v>
      </c>
      <c r="H7240" s="1">
        <v>-3.525509E-6</v>
      </c>
      <c r="I7240">
        <v>138.24940000000001</v>
      </c>
      <c r="J7240">
        <v>-173.84960000000001</v>
      </c>
      <c r="K7240">
        <v>1.107418</v>
      </c>
      <c r="L7240">
        <v>133.71899999999999</v>
      </c>
      <c r="M7240">
        <v>0.821321999999999</v>
      </c>
      <c r="N7240">
        <v>-2.4892640000000001E-2</v>
      </c>
      <c r="O7240">
        <v>0.56992159999999903</v>
      </c>
      <c r="P7240">
        <v>0.90274529999999997</v>
      </c>
      <c r="Q7240">
        <v>0.17080020000000001</v>
      </c>
      <c r="R7240">
        <v>0.39481450000000001</v>
      </c>
      <c r="S7240">
        <v>3.0732879999999998</v>
      </c>
      <c r="T7240">
        <v>-0.15674540000000001</v>
      </c>
      <c r="U7240">
        <v>0.6573639</v>
      </c>
      <c r="V7240">
        <v>0.2019695</v>
      </c>
      <c r="W7240">
        <v>0.18266850000000001</v>
      </c>
      <c r="X7240">
        <v>0.96220609999999995</v>
      </c>
      <c r="Y7240">
        <v>0.38484479999999999</v>
      </c>
      <c r="Z7240">
        <v>-2.6513829999999999E-2</v>
      </c>
      <c r="AA7240">
        <v>0.92260039999999999</v>
      </c>
      <c r="AB7240">
        <v>36</v>
      </c>
      <c r="AC7240">
        <v>21.543700000000001</v>
      </c>
      <c r="AD7240">
        <v>-1.1074215255090001</v>
      </c>
      <c r="AE7240">
        <v>4.53040000000001</v>
      </c>
      <c r="AF7240">
        <v>8.5383492061576902</v>
      </c>
      <c r="AG7240">
        <v>-1.1074215255090001</v>
      </c>
      <c r="AH7240">
        <v>20.231377617280199</v>
      </c>
      <c r="AI7240">
        <v>92.887013389082696</v>
      </c>
      <c r="AJ7240">
        <v>67.118553596801803</v>
      </c>
      <c r="AK7240">
        <v>21.987233338791</v>
      </c>
      <c r="AL7240">
        <v>79.474769083361494</v>
      </c>
      <c r="AM7240">
        <v>78.145569425879899</v>
      </c>
      <c r="AN7240">
        <v>1.0000000193498499</v>
      </c>
    </row>
    <row r="7241" spans="1:40" x14ac:dyDescent="0.25">
      <c r="A7241" t="str">
        <f>"20190304155817144"</f>
        <v>20190304155817144</v>
      </c>
      <c r="B7241" t="str">
        <f>"1551686297141405"</f>
        <v>1551686297141405</v>
      </c>
      <c r="C7241" t="s">
        <v>40</v>
      </c>
      <c r="D7241">
        <v>5.0972839999999904</v>
      </c>
      <c r="E7241">
        <v>0.57510289999999997</v>
      </c>
      <c r="F7241" t="s">
        <v>41</v>
      </c>
      <c r="G7241">
        <v>-152.75810000000001</v>
      </c>
      <c r="H7241" s="1">
        <v>-3.361051E-6</v>
      </c>
      <c r="I7241">
        <v>138.0829</v>
      </c>
      <c r="J7241">
        <v>-173.67410000000001</v>
      </c>
      <c r="K7241">
        <v>1.107094</v>
      </c>
      <c r="L7241">
        <v>133.83170000000001</v>
      </c>
      <c r="M7241">
        <v>0.82679990000000003</v>
      </c>
      <c r="N7241">
        <v>-2.5170979999999999E-2</v>
      </c>
      <c r="O7241">
        <v>0.56193269999999995</v>
      </c>
      <c r="P7241">
        <v>0.90695950000000003</v>
      </c>
      <c r="Q7241">
        <v>0.16967019999999999</v>
      </c>
      <c r="R7241">
        <v>0.3855344</v>
      </c>
      <c r="S7241">
        <v>3.0754549999999998</v>
      </c>
      <c r="T7241">
        <v>-0.16147779999999901</v>
      </c>
      <c r="U7241">
        <v>0.63632200000000005</v>
      </c>
      <c r="V7241">
        <v>0.20240320000000001</v>
      </c>
      <c r="W7241">
        <v>0.18196889999999999</v>
      </c>
      <c r="X7241">
        <v>0.96224750000000003</v>
      </c>
      <c r="Y7241">
        <v>0.38203280000000001</v>
      </c>
      <c r="Z7241">
        <v>-2.730606E-2</v>
      </c>
      <c r="AA7241">
        <v>0.92374529999999999</v>
      </c>
      <c r="AB7241">
        <v>36</v>
      </c>
      <c r="AC7241">
        <v>20.916</v>
      </c>
      <c r="AD7241">
        <v>-1.107097361051</v>
      </c>
      <c r="AE7241">
        <v>4.2511999999999803</v>
      </c>
      <c r="AF7241">
        <v>8.2189904336150104</v>
      </c>
      <c r="AG7241">
        <v>-1.107097361051</v>
      </c>
      <c r="AH7241">
        <v>19.635643156265601</v>
      </c>
      <c r="AI7241">
        <v>92.977250359860193</v>
      </c>
      <c r="AJ7241">
        <v>67.287030510223502</v>
      </c>
      <c r="AK7241">
        <v>21.315157763312499</v>
      </c>
      <c r="AL7241">
        <v>79.515536220426895</v>
      </c>
      <c r="AM7241">
        <v>78.121332844359799</v>
      </c>
      <c r="AN7241">
        <v>0.99999999359684999</v>
      </c>
    </row>
    <row r="7242" spans="1:40" x14ac:dyDescent="0.25">
      <c r="A7242" t="str">
        <f>"20190304155817156"</f>
        <v>20190304155817156</v>
      </c>
      <c r="B7242" t="str">
        <f>"1551686297152141"</f>
        <v>1551686297152141</v>
      </c>
      <c r="C7242" t="s">
        <v>40</v>
      </c>
      <c r="D7242">
        <v>4.9644469999999998</v>
      </c>
      <c r="E7242">
        <v>0.57552239999999999</v>
      </c>
      <c r="F7242" t="s">
        <v>41</v>
      </c>
      <c r="G7242">
        <v>-154.17939999999999</v>
      </c>
      <c r="H7242" s="1">
        <v>-2.809249E-6</v>
      </c>
      <c r="I7242">
        <v>137.75630000000001</v>
      </c>
      <c r="J7242">
        <v>-173.52940000000001</v>
      </c>
      <c r="K7242">
        <v>1.106806</v>
      </c>
      <c r="L7242">
        <v>133.92310000000001</v>
      </c>
      <c r="M7242">
        <v>0.83127070000000003</v>
      </c>
      <c r="N7242">
        <v>-2.5373880000000001E-2</v>
      </c>
      <c r="O7242">
        <v>0.55528859999999902</v>
      </c>
      <c r="P7242">
        <v>0.91042679999999998</v>
      </c>
      <c r="Q7242">
        <v>0.16845450000000001</v>
      </c>
      <c r="R7242">
        <v>0.37781789999999998</v>
      </c>
      <c r="S7242">
        <v>3.0771329999999999</v>
      </c>
      <c r="T7242">
        <v>-0.17474890000000001</v>
      </c>
      <c r="U7242">
        <v>0.61947629999999998</v>
      </c>
      <c r="V7242">
        <v>0.2027931</v>
      </c>
      <c r="W7242">
        <v>0.18107239999999999</v>
      </c>
      <c r="X7242">
        <v>0.96233449999999998</v>
      </c>
      <c r="Y7242">
        <v>0.37943510000000003</v>
      </c>
      <c r="Z7242">
        <v>-3.0083309999999999E-2</v>
      </c>
      <c r="AA7242">
        <v>0.92472920000000003</v>
      </c>
      <c r="AB7242">
        <v>36</v>
      </c>
      <c r="AC7242">
        <v>19.350000000000001</v>
      </c>
      <c r="AD7242">
        <v>-1.106808809249</v>
      </c>
      <c r="AE7242">
        <v>3.8332000000000002</v>
      </c>
      <c r="AF7242">
        <v>7.5371124600395198</v>
      </c>
      <c r="AG7242">
        <v>-1.106808809249</v>
      </c>
      <c r="AH7242">
        <v>18.162305143621101</v>
      </c>
      <c r="AI7242">
        <v>93.221534973279702</v>
      </c>
      <c r="AJ7242">
        <v>67.462207076881398</v>
      </c>
      <c r="AK7242">
        <v>19.695238462773698</v>
      </c>
      <c r="AL7242">
        <v>79.567769415076299</v>
      </c>
      <c r="AM7242">
        <v>78.100147463828904</v>
      </c>
      <c r="AN7242">
        <v>0.999999972669809</v>
      </c>
    </row>
    <row r="7243" spans="1:40" x14ac:dyDescent="0.25">
      <c r="A7243" t="str">
        <f>"20190304155817171"</f>
        <v>20190304155817171</v>
      </c>
      <c r="B7243" t="str">
        <f>"1551686297161902"</f>
        <v>1551686297161902</v>
      </c>
      <c r="C7243" t="s">
        <v>40</v>
      </c>
      <c r="D7243">
        <v>5.2541900000000004</v>
      </c>
      <c r="E7243">
        <v>0.57413519999999996</v>
      </c>
      <c r="F7243" t="s">
        <v>41</v>
      </c>
      <c r="G7243">
        <v>-153.31049999999999</v>
      </c>
      <c r="H7243" s="1">
        <v>-3.1746489999999999E-6</v>
      </c>
      <c r="I7243">
        <v>137.7978</v>
      </c>
      <c r="J7243">
        <v>-173.31099999999901</v>
      </c>
      <c r="K7243">
        <v>1.106325</v>
      </c>
      <c r="L7243">
        <v>134.0583</v>
      </c>
      <c r="M7243">
        <v>0.83793320000000004</v>
      </c>
      <c r="N7243">
        <v>-2.5636329999999999E-2</v>
      </c>
      <c r="O7243">
        <v>0.54517040000000005</v>
      </c>
      <c r="P7243">
        <v>0.9153734</v>
      </c>
      <c r="Q7243">
        <v>0.16698180000000001</v>
      </c>
      <c r="R7243">
        <v>0.36634499999999998</v>
      </c>
      <c r="S7243">
        <v>3.0813139999999999</v>
      </c>
      <c r="T7243">
        <v>-0.16867489999999999</v>
      </c>
      <c r="U7243">
        <v>0.59049989999999997</v>
      </c>
      <c r="V7243">
        <v>0.20310819999999999</v>
      </c>
      <c r="W7243">
        <v>0.18004239999999999</v>
      </c>
      <c r="X7243">
        <v>0.96246129999999996</v>
      </c>
      <c r="Y7243">
        <v>0.37691970000000002</v>
      </c>
      <c r="Z7243">
        <v>-2.8336179999999999E-2</v>
      </c>
      <c r="AA7243">
        <v>0.92581239999999998</v>
      </c>
      <c r="AB7243">
        <v>36</v>
      </c>
      <c r="AC7243">
        <v>20.000499999999899</v>
      </c>
      <c r="AD7243">
        <v>-1.1063281746489999</v>
      </c>
      <c r="AE7243">
        <v>3.7394999999999898</v>
      </c>
      <c r="AF7243">
        <v>7.7498721499433696</v>
      </c>
      <c r="AG7243">
        <v>-1.1063281746489999</v>
      </c>
      <c r="AH7243">
        <v>18.748499434324302</v>
      </c>
      <c r="AI7243">
        <v>93.121450850691602</v>
      </c>
      <c r="AJ7243">
        <v>67.541775841805901</v>
      </c>
      <c r="AK7243">
        <v>20.317251571247301</v>
      </c>
      <c r="AL7243">
        <v>79.627770299439803</v>
      </c>
      <c r="AM7243">
        <v>78.083711036828106</v>
      </c>
      <c r="AN7243">
        <v>0.99999998035134396</v>
      </c>
    </row>
    <row r="7244" spans="1:40" x14ac:dyDescent="0.25">
      <c r="A7244" t="str">
        <f>"20190304155817186"</f>
        <v>20190304155817186</v>
      </c>
      <c r="B7244" t="str">
        <f>"1551686297181421"</f>
        <v>1551686297181421</v>
      </c>
      <c r="C7244" t="s">
        <v>40</v>
      </c>
      <c r="D7244">
        <v>4.8166929999999999</v>
      </c>
      <c r="E7244">
        <v>0.57491800000000004</v>
      </c>
      <c r="F7244" t="s">
        <v>41</v>
      </c>
      <c r="G7244">
        <v>-153.0822</v>
      </c>
      <c r="H7244" s="1">
        <v>-3.2812360000000002E-6</v>
      </c>
      <c r="I7244">
        <v>137.74889999999999</v>
      </c>
      <c r="J7244">
        <v>-173.10419999999999</v>
      </c>
      <c r="K7244">
        <v>1.105818</v>
      </c>
      <c r="L7244">
        <v>134.1824</v>
      </c>
      <c r="M7244">
        <v>0.84414920000000004</v>
      </c>
      <c r="N7244">
        <v>-2.5808810000000001E-2</v>
      </c>
      <c r="O7244">
        <v>0.53548680000000004</v>
      </c>
      <c r="P7244">
        <v>0.9198982</v>
      </c>
      <c r="Q7244">
        <v>0.16577610000000001</v>
      </c>
      <c r="R7244">
        <v>0.35539500000000002</v>
      </c>
      <c r="S7244">
        <v>3.0829930000000001</v>
      </c>
      <c r="T7244">
        <v>-0.1686106</v>
      </c>
      <c r="U7244">
        <v>0.56248469999999995</v>
      </c>
      <c r="V7244">
        <v>0.20340800000000001</v>
      </c>
      <c r="W7244">
        <v>0.17916290000000001</v>
      </c>
      <c r="X7244">
        <v>0.96256209999999998</v>
      </c>
      <c r="Y7244">
        <v>0.3744864</v>
      </c>
      <c r="Z7244">
        <v>-2.8033160000000001E-2</v>
      </c>
      <c r="AA7244">
        <v>0.92680850000000004</v>
      </c>
      <c r="AB7244">
        <v>36</v>
      </c>
      <c r="AC7244">
        <v>20.021999999999899</v>
      </c>
      <c r="AD7244">
        <v>-1.105821281236</v>
      </c>
      <c r="AE7244">
        <v>3.5664999999999898</v>
      </c>
      <c r="AF7244">
        <v>7.6906895435063296</v>
      </c>
      <c r="AG7244">
        <v>-1.105821281236</v>
      </c>
      <c r="AH7244">
        <v>18.762164663099899</v>
      </c>
      <c r="AI7244">
        <v>93.121542402287105</v>
      </c>
      <c r="AJ7244">
        <v>67.711071473017498</v>
      </c>
      <c r="AK7244">
        <v>20.307347665461101</v>
      </c>
      <c r="AL7244">
        <v>79.6789948644481</v>
      </c>
      <c r="AM7244">
        <v>78.0678396391653</v>
      </c>
      <c r="AN7244">
        <v>0.99999997777840899</v>
      </c>
    </row>
    <row r="7245" spans="1:40" x14ac:dyDescent="0.25">
      <c r="A7245" t="str">
        <f>"20190304155817199"</f>
        <v>20190304155817199</v>
      </c>
      <c r="B7245" t="str">
        <f>"1551686297192157"</f>
        <v>1551686297192157</v>
      </c>
      <c r="C7245" t="s">
        <v>40</v>
      </c>
      <c r="D7245">
        <v>4.7592140000000001</v>
      </c>
      <c r="E7245">
        <v>0.57565849999999996</v>
      </c>
      <c r="F7245" t="s">
        <v>41</v>
      </c>
      <c r="G7245">
        <v>-152.642</v>
      </c>
      <c r="H7245" s="1">
        <v>-3.4919349999999999E-6</v>
      </c>
      <c r="I7245">
        <v>137.62569999999999</v>
      </c>
      <c r="J7245">
        <v>-172.92269999999999</v>
      </c>
      <c r="K7245">
        <v>1.1053470000000001</v>
      </c>
      <c r="L7245">
        <v>134.28870000000001</v>
      </c>
      <c r="M7245">
        <v>0.84951309999999902</v>
      </c>
      <c r="N7245">
        <v>-2.5910659999999999E-2</v>
      </c>
      <c r="O7245">
        <v>0.52693089999999998</v>
      </c>
      <c r="P7245">
        <v>0.92408679999999999</v>
      </c>
      <c r="Q7245">
        <v>0.16285179999999999</v>
      </c>
      <c r="R7245">
        <v>0.3457498</v>
      </c>
      <c r="S7245">
        <v>3.090408</v>
      </c>
      <c r="T7245">
        <v>-0.1670122</v>
      </c>
      <c r="U7245">
        <v>0.52005000000000001</v>
      </c>
      <c r="V7245">
        <v>0.2037349</v>
      </c>
      <c r="W7245">
        <v>0.1764695</v>
      </c>
      <c r="X7245">
        <v>0.96299049999999997</v>
      </c>
      <c r="Y7245">
        <v>0.3778725</v>
      </c>
      <c r="Z7245">
        <v>-2.761597E-2</v>
      </c>
      <c r="AA7245">
        <v>0.92544570000000004</v>
      </c>
      <c r="AB7245">
        <v>36</v>
      </c>
      <c r="AC7245">
        <v>20.2807</v>
      </c>
      <c r="AD7245">
        <v>-1.1053504919349999</v>
      </c>
      <c r="AE7245">
        <v>3.3369999999999802</v>
      </c>
      <c r="AF7245">
        <v>7.8316880881297504</v>
      </c>
      <c r="AG7245">
        <v>-1.1053504919349999</v>
      </c>
      <c r="AH7245">
        <v>18.938690139417499</v>
      </c>
      <c r="AI7245">
        <v>93.087255605180403</v>
      </c>
      <c r="AJ7245">
        <v>67.533511188911604</v>
      </c>
      <c r="AK7245">
        <v>20.523915859714599</v>
      </c>
      <c r="AL7245">
        <v>79.835815221900901</v>
      </c>
      <c r="AM7245">
        <v>78.054377948231306</v>
      </c>
      <c r="AN7245">
        <v>1.0000000484992499</v>
      </c>
    </row>
    <row r="7246" spans="1:40" x14ac:dyDescent="0.25">
      <c r="A7246" t="str">
        <f>"20190304155817219"</f>
        <v>20190304155817219</v>
      </c>
      <c r="B7246" t="str">
        <f>"1551686297211677"</f>
        <v>1551686297211677</v>
      </c>
      <c r="C7246" t="s">
        <v>40</v>
      </c>
      <c r="D7246">
        <v>4.7906490000000002</v>
      </c>
      <c r="E7246">
        <v>0.57621069999999996</v>
      </c>
      <c r="F7246" t="s">
        <v>41</v>
      </c>
      <c r="G7246">
        <v>-152.67699999999999</v>
      </c>
      <c r="H7246" s="1">
        <v>-3.5099020000000001E-6</v>
      </c>
      <c r="I7246">
        <v>137.43969999999999</v>
      </c>
      <c r="J7246">
        <v>-172.6482</v>
      </c>
      <c r="K7246">
        <v>1.1046240000000001</v>
      </c>
      <c r="L7246">
        <v>134.4451</v>
      </c>
      <c r="M7246">
        <v>0.85745769999999899</v>
      </c>
      <c r="N7246">
        <v>-2.5990360000000001E-2</v>
      </c>
      <c r="O7246">
        <v>0.51389770000000001</v>
      </c>
      <c r="P7246">
        <v>0.92963739999999995</v>
      </c>
      <c r="Q7246">
        <v>0.16128719999999999</v>
      </c>
      <c r="R7246">
        <v>0.33130179999999998</v>
      </c>
      <c r="S7246">
        <v>3.0959469999999998</v>
      </c>
      <c r="T7246">
        <v>-0.16902919999999999</v>
      </c>
      <c r="U7246">
        <v>0.48185729999999999</v>
      </c>
      <c r="V7246">
        <v>0.20391110000000001</v>
      </c>
      <c r="W7246">
        <v>0.17518339999999999</v>
      </c>
      <c r="X7246">
        <v>0.96318800000000004</v>
      </c>
      <c r="Y7246">
        <v>0.37511749999999999</v>
      </c>
      <c r="Z7246">
        <v>-2.76957E-2</v>
      </c>
      <c r="AA7246">
        <v>0.92656340000000004</v>
      </c>
      <c r="AB7246">
        <v>35</v>
      </c>
      <c r="AC7246">
        <v>19.9711999999999</v>
      </c>
      <c r="AD7246">
        <v>-1.104627509902</v>
      </c>
      <c r="AE7246">
        <v>2.9945999999999899</v>
      </c>
      <c r="AF7246">
        <v>7.6750471298476102</v>
      </c>
      <c r="AG7246">
        <v>-1.104627509902</v>
      </c>
      <c r="AH7246">
        <v>18.613989777042399</v>
      </c>
      <c r="AI7246">
        <v>93.140280392444794</v>
      </c>
      <c r="AJ7246">
        <v>67.5923328775188</v>
      </c>
      <c r="AK7246">
        <v>20.164502617244299</v>
      </c>
      <c r="AL7246">
        <v>79.910669398923702</v>
      </c>
      <c r="AM7246">
        <v>78.04672491318</v>
      </c>
      <c r="AN7246">
        <v>1.0000000418413799</v>
      </c>
    </row>
    <row r="7247" spans="1:40" x14ac:dyDescent="0.25">
      <c r="A7247" t="str">
        <f>"20190304155817231"</f>
        <v>20190304155817231</v>
      </c>
      <c r="B7247" t="str">
        <f>"1551686297221438"</f>
        <v>1551686297221438</v>
      </c>
      <c r="C7247" t="s">
        <v>40</v>
      </c>
      <c r="D7247">
        <v>4.8279750000000003</v>
      </c>
      <c r="E7247">
        <v>0.57654609999999995</v>
      </c>
      <c r="F7247" t="s">
        <v>41</v>
      </c>
      <c r="G7247">
        <v>-151.6927</v>
      </c>
      <c r="H7247" s="1">
        <v>-3.9489590000000001E-6</v>
      </c>
      <c r="I7247">
        <v>137.345</v>
      </c>
      <c r="J7247">
        <v>-172.46850000000001</v>
      </c>
      <c r="K7247">
        <v>1.1041510000000001</v>
      </c>
      <c r="L7247">
        <v>134.54499999999999</v>
      </c>
      <c r="M7247">
        <v>0.86254549999999997</v>
      </c>
      <c r="N7247">
        <v>-2.6001300000000001E-2</v>
      </c>
      <c r="O7247">
        <v>0.50531110000000001</v>
      </c>
      <c r="P7247">
        <v>0.93321330000000002</v>
      </c>
      <c r="Q7247">
        <v>0.1591359</v>
      </c>
      <c r="R7247">
        <v>0.32216270000000002</v>
      </c>
      <c r="S7247">
        <v>3.1024319999999999</v>
      </c>
      <c r="T7247">
        <v>-0.16353870000000001</v>
      </c>
      <c r="U7247">
        <v>0.42933650000000001</v>
      </c>
      <c r="V7247">
        <v>0.2036955</v>
      </c>
      <c r="W7247">
        <v>0.17319289999999901</v>
      </c>
      <c r="X7247">
        <v>0.96359349999999999</v>
      </c>
      <c r="Y7247">
        <v>0.38155440000000002</v>
      </c>
      <c r="Z7247">
        <v>-2.661121E-2</v>
      </c>
      <c r="AA7247">
        <v>0.92396319999999998</v>
      </c>
      <c r="AB7247">
        <v>35</v>
      </c>
      <c r="AC7247">
        <v>20.7758</v>
      </c>
      <c r="AD7247">
        <v>-1.1041549489589999</v>
      </c>
      <c r="AE7247">
        <v>2.80000000000001</v>
      </c>
      <c r="AF7247">
        <v>8.0634790898864903</v>
      </c>
      <c r="AG7247">
        <v>-1.1041549489589999</v>
      </c>
      <c r="AH7247">
        <v>19.287974575324</v>
      </c>
      <c r="AI7247">
        <v>93.0233324824638</v>
      </c>
      <c r="AJ7247">
        <v>67.312276459873004</v>
      </c>
      <c r="AK7247">
        <v>20.9347752890422</v>
      </c>
      <c r="AL7247">
        <v>80.026487176497199</v>
      </c>
      <c r="AM7247">
        <v>78.063881268464698</v>
      </c>
      <c r="AN7247">
        <v>1.00000003528645</v>
      </c>
    </row>
    <row r="7248" spans="1:40" x14ac:dyDescent="0.25">
      <c r="A7248" t="str">
        <f>"20190304155817244"</f>
        <v>20190304155817244</v>
      </c>
      <c r="B7248" t="str">
        <f>"1551686297241934"</f>
        <v>1551686297241934</v>
      </c>
      <c r="C7248" t="s">
        <v>40</v>
      </c>
      <c r="D7248">
        <v>4.8700650000000003</v>
      </c>
      <c r="E7248">
        <v>0.57658259999999995</v>
      </c>
      <c r="F7248" t="s">
        <v>41</v>
      </c>
      <c r="G7248">
        <v>-151.78909999999999</v>
      </c>
      <c r="H7248" s="1">
        <v>-3.9369109999999996E-6</v>
      </c>
      <c r="I7248">
        <v>137.18</v>
      </c>
      <c r="J7248">
        <v>-172.2773</v>
      </c>
      <c r="K7248">
        <v>1.103656</v>
      </c>
      <c r="L7248">
        <v>134.648</v>
      </c>
      <c r="M7248">
        <v>0.86785859999999904</v>
      </c>
      <c r="N7248">
        <v>-2.5955140000000002E-2</v>
      </c>
      <c r="O7248">
        <v>0.49613269999999998</v>
      </c>
      <c r="P7248">
        <v>0.93659820000000005</v>
      </c>
      <c r="Q7248">
        <v>0.15884529999999999</v>
      </c>
      <c r="R7248">
        <v>0.31233309999999997</v>
      </c>
      <c r="S7248">
        <v>3.1063390000000002</v>
      </c>
      <c r="T7248">
        <v>-0.1658589</v>
      </c>
      <c r="U7248">
        <v>0.39581300000000003</v>
      </c>
      <c r="V7248">
        <v>0.20348849999999999</v>
      </c>
      <c r="W7248">
        <v>0.17300650000000001</v>
      </c>
      <c r="X7248">
        <v>0.96367069999999999</v>
      </c>
      <c r="Y7248">
        <v>0.38168059999999998</v>
      </c>
      <c r="Z7248">
        <v>-2.6973690000000002E-2</v>
      </c>
      <c r="AA7248">
        <v>0.92390059999999996</v>
      </c>
      <c r="AB7248">
        <v>35</v>
      </c>
      <c r="AC7248">
        <v>20.488199999999999</v>
      </c>
      <c r="AD7248">
        <v>-1.1036599369110001</v>
      </c>
      <c r="AE7248">
        <v>2.5320000000000098</v>
      </c>
      <c r="AF7248">
        <v>7.9474189148352297</v>
      </c>
      <c r="AG7248">
        <v>-1.1036599369110001</v>
      </c>
      <c r="AH7248">
        <v>18.989211931611798</v>
      </c>
      <c r="AI7248">
        <v>93.068927364326001</v>
      </c>
      <c r="AJ7248">
        <v>67.289576268476495</v>
      </c>
      <c r="AK7248">
        <v>20.614793291418</v>
      </c>
      <c r="AL7248">
        <v>80.037330631073004</v>
      </c>
      <c r="AM7248">
        <v>78.076591542295006</v>
      </c>
      <c r="AN7248">
        <v>1.0000000183564901</v>
      </c>
    </row>
    <row r="7249" spans="1:40" x14ac:dyDescent="0.25">
      <c r="A7249" t="str">
        <f>"20190304155817258"</f>
        <v>20190304155817258</v>
      </c>
      <c r="B7249" t="str">
        <f>"1551686297252200"</f>
        <v>1551686297252200</v>
      </c>
      <c r="C7249" t="s">
        <v>40</v>
      </c>
      <c r="D7249">
        <v>4.8507559999999996</v>
      </c>
      <c r="E7249">
        <v>0.5764087</v>
      </c>
      <c r="F7249" t="s">
        <v>41</v>
      </c>
      <c r="G7249">
        <v>-151.19909999999999</v>
      </c>
      <c r="H7249" s="1">
        <v>-4.2026189999999997E-6</v>
      </c>
      <c r="I7249">
        <v>137.1087</v>
      </c>
      <c r="J7249">
        <v>-172.09799999999899</v>
      </c>
      <c r="K7249">
        <v>1.1032029999999999</v>
      </c>
      <c r="L7249">
        <v>134.7423</v>
      </c>
      <c r="M7249">
        <v>0.87274379999999996</v>
      </c>
      <c r="N7249">
        <v>-2.5881990000000001E-2</v>
      </c>
      <c r="O7249">
        <v>0.48749209999999898</v>
      </c>
      <c r="P7249">
        <v>0.93966249999999996</v>
      </c>
      <c r="Q7249">
        <v>0.15801670000000001</v>
      </c>
      <c r="R7249">
        <v>0.3034231</v>
      </c>
      <c r="S7249">
        <v>3.1096189999999999</v>
      </c>
      <c r="T7249">
        <v>-0.16282070000000001</v>
      </c>
      <c r="U7249">
        <v>0.3630371</v>
      </c>
      <c r="V7249">
        <v>0.2029782</v>
      </c>
      <c r="W7249">
        <v>0.1722658</v>
      </c>
      <c r="X7249">
        <v>0.96391090000000001</v>
      </c>
      <c r="Y7249">
        <v>0.38225609999999999</v>
      </c>
      <c r="Z7249">
        <v>-2.623002E-2</v>
      </c>
      <c r="AA7249">
        <v>0.92368410000000001</v>
      </c>
      <c r="AB7249">
        <v>35</v>
      </c>
      <c r="AC7249">
        <v>20.898900000000001</v>
      </c>
      <c r="AD7249">
        <v>-1.1032072026189901</v>
      </c>
      <c r="AE7249">
        <v>2.3663999999999898</v>
      </c>
      <c r="AF7249">
        <v>8.1032148520675396</v>
      </c>
      <c r="AG7249">
        <v>-1.1032072026189901</v>
      </c>
      <c r="AH7249">
        <v>19.3462568913544</v>
      </c>
      <c r="AI7249">
        <v>93.010808387040896</v>
      </c>
      <c r="AJ7249">
        <v>67.273538671648893</v>
      </c>
      <c r="AK7249">
        <v>21.003733305699701</v>
      </c>
      <c r="AL7249">
        <v>80.080415729429404</v>
      </c>
      <c r="AM7249">
        <v>78.108519443236005</v>
      </c>
      <c r="AN7249">
        <v>0.99999993933184295</v>
      </c>
    </row>
    <row r="7250" spans="1:40" x14ac:dyDescent="0.25">
      <c r="A7250" t="str">
        <f>"20190304155817272"</f>
        <v>20190304155817272</v>
      </c>
      <c r="B7250" t="str">
        <f>"1551686297261961"</f>
        <v>1551686297261961</v>
      </c>
      <c r="C7250" t="s">
        <v>40</v>
      </c>
      <c r="D7250">
        <v>4.8672500000000003</v>
      </c>
      <c r="E7250">
        <v>0.57620419999999895</v>
      </c>
      <c r="F7250" t="s">
        <v>41</v>
      </c>
      <c r="G7250">
        <v>-151.0265</v>
      </c>
      <c r="H7250" s="1">
        <v>-4.2940459999999999E-6</v>
      </c>
      <c r="I7250">
        <v>137.01079999999999</v>
      </c>
      <c r="J7250">
        <v>-171.88570000000001</v>
      </c>
      <c r="K7250">
        <v>1.102679</v>
      </c>
      <c r="L7250">
        <v>134.85159999999999</v>
      </c>
      <c r="M7250">
        <v>0.87840799999999997</v>
      </c>
      <c r="N7250">
        <v>-2.5764499999999999E-2</v>
      </c>
      <c r="O7250">
        <v>0.47721659999999999</v>
      </c>
      <c r="P7250">
        <v>0.94319019999999998</v>
      </c>
      <c r="Q7250">
        <v>0.1575703</v>
      </c>
      <c r="R7250">
        <v>0.29251319999999997</v>
      </c>
      <c r="S7250">
        <v>3.1118619999999999</v>
      </c>
      <c r="T7250">
        <v>-0.1629226</v>
      </c>
      <c r="U7250">
        <v>0.33502199999999999</v>
      </c>
      <c r="V7250">
        <v>0.202709</v>
      </c>
      <c r="W7250">
        <v>0.17187079999999999</v>
      </c>
      <c r="X7250">
        <v>0.96403810000000001</v>
      </c>
      <c r="Y7250">
        <v>0.3797046</v>
      </c>
      <c r="Z7250">
        <v>-2.6017990000000001E-2</v>
      </c>
      <c r="AA7250">
        <v>0.92474190000000001</v>
      </c>
      <c r="AB7250">
        <v>35</v>
      </c>
      <c r="AC7250">
        <v>20.859200000000001</v>
      </c>
      <c r="AD7250">
        <v>-1.1026832940460001</v>
      </c>
      <c r="AE7250">
        <v>2.15919999999999</v>
      </c>
      <c r="AF7250">
        <v>8.0381486532223505</v>
      </c>
      <c r="AG7250">
        <v>-1.1026832940460001</v>
      </c>
      <c r="AH7250">
        <v>19.3063399724583</v>
      </c>
      <c r="AI7250">
        <v>93.018273291270305</v>
      </c>
      <c r="AJ7250">
        <v>67.395712811841904</v>
      </c>
      <c r="AK7250">
        <v>20.9418840449089</v>
      </c>
      <c r="AL7250">
        <v>80.1033906787017</v>
      </c>
      <c r="AM7250">
        <v>78.125364891590607</v>
      </c>
      <c r="AN7250">
        <v>0.99999998441262405</v>
      </c>
    </row>
    <row r="7251" spans="1:40" x14ac:dyDescent="0.25">
      <c r="A7251" t="str">
        <f>"20190304155817285"</f>
        <v>20190304155817285</v>
      </c>
      <c r="B7251" t="str">
        <f>"1551686297282457"</f>
        <v>1551686297282457</v>
      </c>
      <c r="C7251" t="s">
        <v>40</v>
      </c>
      <c r="D7251">
        <v>4.9365319999999997</v>
      </c>
      <c r="E7251">
        <v>0.57558860000000001</v>
      </c>
      <c r="F7251" t="s">
        <v>41</v>
      </c>
      <c r="G7251">
        <v>-150.59479999999999</v>
      </c>
      <c r="H7251" s="1">
        <v>-4.4979190000000001E-6</v>
      </c>
      <c r="I7251">
        <v>136.90559999999999</v>
      </c>
      <c r="J7251">
        <v>-171.69059999999999</v>
      </c>
      <c r="K7251">
        <v>1.102214</v>
      </c>
      <c r="L7251">
        <v>134.94890000000001</v>
      </c>
      <c r="M7251">
        <v>0.88349560000000005</v>
      </c>
      <c r="N7251">
        <v>-2.561534E-2</v>
      </c>
      <c r="O7251">
        <v>0.4677386</v>
      </c>
      <c r="P7251">
        <v>0.94621069999999996</v>
      </c>
      <c r="Q7251">
        <v>0.15708469999999999</v>
      </c>
      <c r="R7251">
        <v>0.2828599</v>
      </c>
      <c r="S7251">
        <v>3.1144560000000001</v>
      </c>
      <c r="T7251">
        <v>-0.16130129999999901</v>
      </c>
      <c r="U7251">
        <v>0.30046079999999997</v>
      </c>
      <c r="V7251">
        <v>0.20206830000000001</v>
      </c>
      <c r="W7251">
        <v>0.1714156</v>
      </c>
      <c r="X7251">
        <v>0.96425369999999999</v>
      </c>
      <c r="Y7251">
        <v>0.3800076</v>
      </c>
      <c r="Z7251">
        <v>-2.558034E-2</v>
      </c>
      <c r="AA7251">
        <v>0.92462960000000005</v>
      </c>
      <c r="AB7251">
        <v>35</v>
      </c>
      <c r="AC7251">
        <v>21.095800000000001</v>
      </c>
      <c r="AD7251">
        <v>-1.102218497919</v>
      </c>
      <c r="AE7251">
        <v>1.9566999999999799</v>
      </c>
      <c r="AF7251">
        <v>8.1192798114761402</v>
      </c>
      <c r="AG7251">
        <v>-1.102218497919</v>
      </c>
      <c r="AH7251">
        <v>19.506891237841199</v>
      </c>
      <c r="AI7251">
        <v>92.986170244243098</v>
      </c>
      <c r="AJ7251">
        <v>67.401640532348793</v>
      </c>
      <c r="AK7251">
        <v>21.1578920509385</v>
      </c>
      <c r="AL7251">
        <v>80.129865285614699</v>
      </c>
      <c r="AM7251">
        <v>78.164408498258297</v>
      </c>
      <c r="AN7251">
        <v>1.00000005187596</v>
      </c>
    </row>
    <row r="7252" spans="1:40" x14ac:dyDescent="0.25">
      <c r="A7252" t="str">
        <f>"20190304155817299"</f>
        <v>20190304155817299</v>
      </c>
      <c r="B7252" t="str">
        <f>"1551686297292217"</f>
        <v>1551686297292217</v>
      </c>
      <c r="C7252" t="s">
        <v>40</v>
      </c>
      <c r="D7252">
        <v>4.9954229999999997</v>
      </c>
      <c r="E7252">
        <v>0.57507489999999895</v>
      </c>
      <c r="F7252" t="s">
        <v>41</v>
      </c>
      <c r="G7252">
        <v>-150.1849</v>
      </c>
      <c r="H7252" s="1">
        <v>-4.6859579999999998E-6</v>
      </c>
      <c r="I7252">
        <v>136.83690000000001</v>
      </c>
      <c r="J7252">
        <v>-171.5008</v>
      </c>
      <c r="K7252">
        <v>1.101783</v>
      </c>
      <c r="L7252">
        <v>135.04079999999999</v>
      </c>
      <c r="M7252">
        <v>0.8883337</v>
      </c>
      <c r="N7252">
        <v>-2.5443199999999999E-2</v>
      </c>
      <c r="O7252">
        <v>0.45849299999999998</v>
      </c>
      <c r="P7252">
        <v>0.94879029999999998</v>
      </c>
      <c r="Q7252">
        <v>0.15605769999999999</v>
      </c>
      <c r="R7252">
        <v>0.274669</v>
      </c>
      <c r="S7252">
        <v>3.1152950000000001</v>
      </c>
      <c r="T7252">
        <v>-0.15966610000000001</v>
      </c>
      <c r="U7252">
        <v>0.27349849999999998</v>
      </c>
      <c r="V7252">
        <v>0.2002324</v>
      </c>
      <c r="W7252">
        <v>0.1704618</v>
      </c>
      <c r="X7252">
        <v>0.96480549999999998</v>
      </c>
      <c r="Y7252">
        <v>0.37833359999999999</v>
      </c>
      <c r="Z7252">
        <v>-2.5085489999999998E-2</v>
      </c>
      <c r="AA7252">
        <v>0.92532930000000002</v>
      </c>
      <c r="AB7252">
        <v>35</v>
      </c>
      <c r="AC7252">
        <v>21.315899999999999</v>
      </c>
      <c r="AD7252">
        <v>-1.101787685958</v>
      </c>
      <c r="AE7252">
        <v>1.79610000000002</v>
      </c>
      <c r="AF7252">
        <v>8.1586593391176496</v>
      </c>
      <c r="AG7252">
        <v>-1.101787685958</v>
      </c>
      <c r="AH7252">
        <v>19.7132341532498</v>
      </c>
      <c r="AI7252">
        <v>92.956279930021694</v>
      </c>
      <c r="AJ7252">
        <v>67.516945104115393</v>
      </c>
      <c r="AK7252">
        <v>21.363268923494701</v>
      </c>
      <c r="AL7252">
        <v>80.1853293039905</v>
      </c>
      <c r="AM7252">
        <v>78.275471606942006</v>
      </c>
      <c r="AN7252">
        <v>0.99999994604962295</v>
      </c>
    </row>
    <row r="7253" spans="1:40" x14ac:dyDescent="0.25">
      <c r="A7253" t="str">
        <f>"20190304155817312"</f>
        <v>20190304155817312</v>
      </c>
      <c r="B7253" t="str">
        <f>"1551686297301976"</f>
        <v>1551686297301976</v>
      </c>
      <c r="C7253" t="s">
        <v>40</v>
      </c>
      <c r="D7253">
        <v>4.9356099999999996</v>
      </c>
      <c r="E7253">
        <v>0.57456870000000004</v>
      </c>
      <c r="F7253" t="s">
        <v>41</v>
      </c>
      <c r="G7253">
        <v>-149.44280000000001</v>
      </c>
      <c r="H7253" s="1">
        <v>-9.2166799999999997E-7</v>
      </c>
      <c r="I7253">
        <v>136.8125</v>
      </c>
      <c r="J7253">
        <v>-171.31450000000001</v>
      </c>
      <c r="K7253">
        <v>1.10138</v>
      </c>
      <c r="L7253">
        <v>135.12950000000001</v>
      </c>
      <c r="M7253">
        <v>0.89298180000000005</v>
      </c>
      <c r="N7253">
        <v>-2.5259730000000001E-2</v>
      </c>
      <c r="O7253">
        <v>0.44938339999999999</v>
      </c>
      <c r="P7253">
        <v>0.951349</v>
      </c>
      <c r="Q7253">
        <v>0.15555529999999901</v>
      </c>
      <c r="R7253">
        <v>0.26596560000000002</v>
      </c>
      <c r="S7253">
        <v>3.1151119999999999</v>
      </c>
      <c r="T7253">
        <v>-0.15559779999999901</v>
      </c>
      <c r="U7253">
        <v>0.25019839999999999</v>
      </c>
      <c r="V7253">
        <v>0.1990854</v>
      </c>
      <c r="W7253">
        <v>0.1699764</v>
      </c>
      <c r="X7253">
        <v>0.96512849999999994</v>
      </c>
      <c r="Y7253">
        <v>0.37578010000000001</v>
      </c>
      <c r="Z7253">
        <v>-2.4085970000000002E-2</v>
      </c>
      <c r="AA7253">
        <v>0.92639579999999999</v>
      </c>
      <c r="AB7253">
        <v>35</v>
      </c>
      <c r="AC7253">
        <v>21.871700000000001</v>
      </c>
      <c r="AD7253">
        <v>-1.1013809216679999</v>
      </c>
      <c r="AE7253">
        <v>1.6829999999999901</v>
      </c>
      <c r="AF7253">
        <v>8.3076058561030592</v>
      </c>
      <c r="AG7253">
        <v>-1.1013809216679999</v>
      </c>
      <c r="AH7253">
        <v>20.242788787106999</v>
      </c>
      <c r="AI7253">
        <v>92.881527188928601</v>
      </c>
      <c r="AJ7253">
        <v>67.686837399282595</v>
      </c>
      <c r="AK7253">
        <v>21.908898942539199</v>
      </c>
      <c r="AL7253">
        <v>80.2135530669578</v>
      </c>
      <c r="AM7253">
        <v>78.344585109642296</v>
      </c>
      <c r="AN7253">
        <v>0.99999999728118405</v>
      </c>
    </row>
    <row r="7254" spans="1:40" x14ac:dyDescent="0.25">
      <c r="A7254" t="str">
        <f>"20190304155817332"</f>
        <v>20190304155817332</v>
      </c>
      <c r="B7254" t="str">
        <f>"1551686297321496"</f>
        <v>1551686297321496</v>
      </c>
      <c r="C7254" t="s">
        <v>40</v>
      </c>
      <c r="D7254">
        <v>4.9377360000000001</v>
      </c>
      <c r="E7254">
        <v>0.57329269999999999</v>
      </c>
      <c r="F7254" t="s">
        <v>41</v>
      </c>
      <c r="G7254">
        <v>-149.34829999999999</v>
      </c>
      <c r="H7254" s="1">
        <v>-9.7883840000000001E-7</v>
      </c>
      <c r="I7254">
        <v>136.7184</v>
      </c>
      <c r="J7254">
        <v>-171.01939999999999</v>
      </c>
      <c r="K7254">
        <v>1.1007769999999999</v>
      </c>
      <c r="L7254">
        <v>135.2645</v>
      </c>
      <c r="M7254">
        <v>0.90012559999999997</v>
      </c>
      <c r="N7254">
        <v>-2.4919960000000001E-2</v>
      </c>
      <c r="O7254">
        <v>0.4349171</v>
      </c>
      <c r="P7254">
        <v>0.95472109999999999</v>
      </c>
      <c r="Q7254">
        <v>0.15552460000000001</v>
      </c>
      <c r="R7254">
        <v>0.25361359999999999</v>
      </c>
      <c r="S7254">
        <v>3.115936</v>
      </c>
      <c r="T7254">
        <v>-0.1562325</v>
      </c>
      <c r="U7254">
        <v>0.22540279999999999</v>
      </c>
      <c r="V7254">
        <v>0.1958106</v>
      </c>
      <c r="W7254">
        <v>0.16999990000000001</v>
      </c>
      <c r="X7254">
        <v>0.96579409999999999</v>
      </c>
      <c r="Y7254">
        <v>0.36817109999999997</v>
      </c>
      <c r="Z7254">
        <v>-2.3771500000000001E-2</v>
      </c>
      <c r="AA7254">
        <v>0.92945409999999995</v>
      </c>
      <c r="AB7254">
        <v>35</v>
      </c>
      <c r="AC7254">
        <v>21.671099999999999</v>
      </c>
      <c r="AD7254">
        <v>-1.1007779788384</v>
      </c>
      <c r="AE7254">
        <v>1.4539</v>
      </c>
      <c r="AF7254">
        <v>8.0981602778855208</v>
      </c>
      <c r="AG7254">
        <v>-1.1007779788384</v>
      </c>
      <c r="AH7254">
        <v>20.093682622997299</v>
      </c>
      <c r="AI7254">
        <v>92.908753850682203</v>
      </c>
      <c r="AJ7254">
        <v>68.049568863144799</v>
      </c>
      <c r="AK7254">
        <v>21.6921182321774</v>
      </c>
      <c r="AL7254">
        <v>80.212186760792406</v>
      </c>
      <c r="AM7254">
        <v>78.538881388171205</v>
      </c>
      <c r="AN7254">
        <v>1.00000000033359</v>
      </c>
    </row>
    <row r="7255" spans="1:40" x14ac:dyDescent="0.25">
      <c r="A7255" t="str">
        <f>"20190304155817344"</f>
        <v>20190304155817344</v>
      </c>
      <c r="B7255" t="str">
        <f>"1551686297341992"</f>
        <v>1551686297341992</v>
      </c>
      <c r="C7255" t="s">
        <v>40</v>
      </c>
      <c r="D7255">
        <v>4.9841280000000001</v>
      </c>
      <c r="E7255">
        <v>0.57207469999999905</v>
      </c>
      <c r="F7255" t="s">
        <v>41</v>
      </c>
      <c r="G7255">
        <v>-148.47139999999999</v>
      </c>
      <c r="H7255" s="1">
        <v>-1.289288E-6</v>
      </c>
      <c r="I7255">
        <v>136.67330000000001</v>
      </c>
      <c r="J7255">
        <v>-170.82849999999999</v>
      </c>
      <c r="K7255">
        <v>1.100409</v>
      </c>
      <c r="L7255">
        <v>135.3486</v>
      </c>
      <c r="M7255">
        <v>0.90460469999999904</v>
      </c>
      <c r="N7255">
        <v>-2.4675619999999999E-2</v>
      </c>
      <c r="O7255">
        <v>0.42553659999999999</v>
      </c>
      <c r="P7255">
        <v>0.95687929999999999</v>
      </c>
      <c r="Q7255">
        <v>0.15596760000000001</v>
      </c>
      <c r="R7255">
        <v>0.2450628</v>
      </c>
      <c r="S7255">
        <v>3.1153409999999999</v>
      </c>
      <c r="T7255">
        <v>-0.15208849999999999</v>
      </c>
      <c r="U7255">
        <v>0.19465640000000001</v>
      </c>
      <c r="V7255">
        <v>0.1942663</v>
      </c>
      <c r="W7255">
        <v>0.17041770000000001</v>
      </c>
      <c r="X7255">
        <v>0.96603229999999995</v>
      </c>
      <c r="Y7255">
        <v>0.3676664</v>
      </c>
      <c r="Z7255">
        <v>-2.2875889999999999E-2</v>
      </c>
      <c r="AA7255">
        <v>0.92967639999999996</v>
      </c>
      <c r="AB7255">
        <v>35</v>
      </c>
      <c r="AC7255">
        <v>22.357099999999999</v>
      </c>
      <c r="AD7255">
        <v>-1.1004102892880001</v>
      </c>
      <c r="AE7255">
        <v>1.3247</v>
      </c>
      <c r="AF7255">
        <v>8.2979353320254496</v>
      </c>
      <c r="AG7255">
        <v>-1.1004102892880001</v>
      </c>
      <c r="AH7255">
        <v>20.744299354649598</v>
      </c>
      <c r="AI7255">
        <v>92.819662669461707</v>
      </c>
      <c r="AJ7255">
        <v>68.198077187648096</v>
      </c>
      <c r="AK7255">
        <v>22.369456615987801</v>
      </c>
      <c r="AL7255">
        <v>80.187894065172699</v>
      </c>
      <c r="AM7255">
        <v>78.629638419561601</v>
      </c>
      <c r="AN7255">
        <v>0.999999996216134</v>
      </c>
    </row>
    <row r="7256" spans="1:40" x14ac:dyDescent="0.25">
      <c r="A7256" t="str">
        <f>"20190304155817357"</f>
        <v>20190304155817357</v>
      </c>
      <c r="B7256" t="str">
        <f>"1551686297351753"</f>
        <v>1551686297351753</v>
      </c>
      <c r="C7256" t="s">
        <v>40</v>
      </c>
      <c r="D7256">
        <v>4.958367</v>
      </c>
      <c r="E7256">
        <v>0.57146059999999999</v>
      </c>
      <c r="F7256" t="s">
        <v>41</v>
      </c>
      <c r="G7256">
        <v>-147.7706</v>
      </c>
      <c r="H7256" s="1">
        <v>-1.5326280000000001E-6</v>
      </c>
      <c r="I7256">
        <v>136.655</v>
      </c>
      <c r="J7256">
        <v>-170.6482</v>
      </c>
      <c r="K7256">
        <v>1.1000749999999999</v>
      </c>
      <c r="L7256">
        <v>135.42590000000001</v>
      </c>
      <c r="M7256">
        <v>0.90873519999999997</v>
      </c>
      <c r="N7256">
        <v>-2.4431669999999999E-2</v>
      </c>
      <c r="O7256">
        <v>0.41665740000000001</v>
      </c>
      <c r="P7256">
        <v>0.95874440000000005</v>
      </c>
      <c r="Q7256">
        <v>0.1567035</v>
      </c>
      <c r="R7256">
        <v>0.23717779999999999</v>
      </c>
      <c r="S7256">
        <v>3.1142120000000002</v>
      </c>
      <c r="T7256">
        <v>-0.1486218</v>
      </c>
      <c r="U7256">
        <v>0.17645259999999999</v>
      </c>
      <c r="V7256">
        <v>0.19261449999999999</v>
      </c>
      <c r="W7256">
        <v>0.17112479999999999</v>
      </c>
      <c r="X7256">
        <v>0.96623800000000004</v>
      </c>
      <c r="Y7256">
        <v>0.36398979999999997</v>
      </c>
      <c r="Z7256">
        <v>-2.201117E-2</v>
      </c>
      <c r="AA7256">
        <v>0.93114280000000005</v>
      </c>
      <c r="AB7256">
        <v>35</v>
      </c>
      <c r="AC7256">
        <v>22.877600000000001</v>
      </c>
      <c r="AD7256">
        <v>-1.100076532628</v>
      </c>
      <c r="AE7256">
        <v>1.2290999999999801</v>
      </c>
      <c r="AF7256">
        <v>8.3983449971965598</v>
      </c>
      <c r="AG7256">
        <v>-1.100076532628</v>
      </c>
      <c r="AH7256">
        <v>21.259141039799299</v>
      </c>
      <c r="AI7256">
        <v>92.755334748783497</v>
      </c>
      <c r="AJ7256">
        <v>68.443685387844994</v>
      </c>
      <c r="AK7256">
        <v>22.884349342283102</v>
      </c>
      <c r="AL7256">
        <v>80.146775843049696</v>
      </c>
      <c r="AM7256">
        <v>78.726169600820796</v>
      </c>
      <c r="AN7256">
        <v>0.99999995771464401</v>
      </c>
    </row>
    <row r="7257" spans="1:40" x14ac:dyDescent="0.25">
      <c r="A7257" t="str">
        <f>"20190304155817370"</f>
        <v>20190304155817370</v>
      </c>
      <c r="B7257" t="str">
        <f>"1551686297362488"</f>
        <v>1551686297362488</v>
      </c>
      <c r="C7257" t="s">
        <v>40</v>
      </c>
      <c r="D7257">
        <v>4.9986240000000004</v>
      </c>
      <c r="E7257">
        <v>0.57080739999999996</v>
      </c>
      <c r="F7257" t="s">
        <v>41</v>
      </c>
      <c r="G7257">
        <v>-147.10820000000001</v>
      </c>
      <c r="H7257" s="1">
        <v>-1.7718689999999999E-6</v>
      </c>
      <c r="I7257">
        <v>136.60310000000001</v>
      </c>
      <c r="J7257">
        <v>-170.46430000000001</v>
      </c>
      <c r="K7257">
        <v>1.0997459999999999</v>
      </c>
      <c r="L7257">
        <v>135.5034</v>
      </c>
      <c r="M7257">
        <v>0.9128501</v>
      </c>
      <c r="N7257">
        <v>-2.4176960000000001E-2</v>
      </c>
      <c r="O7257">
        <v>0.40757850000000001</v>
      </c>
      <c r="P7257">
        <v>0.96055760000000001</v>
      </c>
      <c r="Q7257">
        <v>0.15727099999999999</v>
      </c>
      <c r="R7257">
        <v>0.22933590000000001</v>
      </c>
      <c r="S7257">
        <v>3.1143489999999998</v>
      </c>
      <c r="T7257">
        <v>-0.14554049999999999</v>
      </c>
      <c r="U7257">
        <v>0.15574649999999901</v>
      </c>
      <c r="V7257">
        <v>0.19073509999999999</v>
      </c>
      <c r="W7257">
        <v>0.1716646</v>
      </c>
      <c r="X7257">
        <v>0.96651509999999996</v>
      </c>
      <c r="Y7257">
        <v>0.36091279999999998</v>
      </c>
      <c r="Z7257">
        <v>-2.1242259999999999E-2</v>
      </c>
      <c r="AA7257">
        <v>0.93235760000000001</v>
      </c>
      <c r="AB7257">
        <v>35</v>
      </c>
      <c r="AC7257">
        <v>23.356100000000001</v>
      </c>
      <c r="AD7257">
        <v>-1.0997477718690001</v>
      </c>
      <c r="AE7257">
        <v>1.0997000000000099</v>
      </c>
      <c r="AF7257">
        <v>8.4992704935466499</v>
      </c>
      <c r="AG7257">
        <v>-1.0997477718690001</v>
      </c>
      <c r="AH7257">
        <v>21.727131910059299</v>
      </c>
      <c r="AI7257">
        <v>92.698813417914494</v>
      </c>
      <c r="AJ7257">
        <v>68.635439826038507</v>
      </c>
      <c r="AK7257">
        <v>23.356269075375</v>
      </c>
      <c r="AL7257">
        <v>80.115383723516999</v>
      </c>
      <c r="AM7257">
        <v>78.836515426014699</v>
      </c>
      <c r="AN7257">
        <v>1.00000002589658</v>
      </c>
    </row>
    <row r="7258" spans="1:40" x14ac:dyDescent="0.25">
      <c r="A7258" t="str">
        <f>"20190304155817384"</f>
        <v>20190304155817384</v>
      </c>
      <c r="B7258" t="str">
        <f>"1551686297382008"</f>
        <v>1551686297382008</v>
      </c>
      <c r="C7258" t="s">
        <v>40</v>
      </c>
      <c r="D7258">
        <v>5.0088220000000003</v>
      </c>
      <c r="E7258">
        <v>0.56938979999999995</v>
      </c>
      <c r="F7258" t="s">
        <v>41</v>
      </c>
      <c r="G7258">
        <v>-146.55170000000001</v>
      </c>
      <c r="H7258" s="1">
        <v>-2.0063679999999999E-6</v>
      </c>
      <c r="I7258">
        <v>136.54519999999999</v>
      </c>
      <c r="J7258">
        <v>-170.24610000000001</v>
      </c>
      <c r="K7258">
        <v>1.099372</v>
      </c>
      <c r="L7258">
        <v>135.59139999999999</v>
      </c>
      <c r="M7258">
        <v>0.91759179999999996</v>
      </c>
      <c r="N7258">
        <v>-2.3854259999999999E-2</v>
      </c>
      <c r="O7258">
        <v>0.39680759999999998</v>
      </c>
      <c r="P7258">
        <v>0.96273240000000004</v>
      </c>
      <c r="Q7258">
        <v>0.15766060000000001</v>
      </c>
      <c r="R7258">
        <v>0.2197481</v>
      </c>
      <c r="S7258">
        <v>3.1142270000000001</v>
      </c>
      <c r="T7258">
        <v>-0.14322409999999999</v>
      </c>
      <c r="U7258">
        <v>0.1356812</v>
      </c>
      <c r="V7258">
        <v>0.18883240000000001</v>
      </c>
      <c r="W7258">
        <v>0.17198160000000001</v>
      </c>
      <c r="X7258">
        <v>0.96683229999999998</v>
      </c>
      <c r="Y7258">
        <v>0.35595339999999998</v>
      </c>
      <c r="Z7258">
        <v>-2.0546760000000001E-2</v>
      </c>
      <c r="AA7258">
        <v>0.93427780000000005</v>
      </c>
      <c r="AB7258">
        <v>35</v>
      </c>
      <c r="AC7258">
        <v>23.694400000000002</v>
      </c>
      <c r="AD7258">
        <v>-1.099374006368</v>
      </c>
      <c r="AE7258">
        <v>0.95380000000000098</v>
      </c>
      <c r="AF7258">
        <v>8.5110531790635093</v>
      </c>
      <c r="AG7258">
        <v>-1.099374006368</v>
      </c>
      <c r="AH7258">
        <v>22.079103785419999</v>
      </c>
      <c r="AI7258">
        <v>92.660057569995899</v>
      </c>
      <c r="AJ7258">
        <v>68.919345966812898</v>
      </c>
      <c r="AK7258">
        <v>23.6882560225541</v>
      </c>
      <c r="AL7258">
        <v>80.096946716814401</v>
      </c>
      <c r="AM7258">
        <v>78.948659058576197</v>
      </c>
      <c r="AN7258">
        <v>1.0000000211758</v>
      </c>
    </row>
    <row r="7259" spans="1:40" x14ac:dyDescent="0.25">
      <c r="A7259" t="str">
        <f>"20190304155817399"</f>
        <v>20190304155817399</v>
      </c>
      <c r="B7259" t="str">
        <f>"1551686297391768"</f>
        <v>1551686297391768</v>
      </c>
      <c r="C7259" t="s">
        <v>40</v>
      </c>
      <c r="D7259">
        <v>4.9834300000000002</v>
      </c>
      <c r="E7259">
        <v>0.56866939999999999</v>
      </c>
      <c r="F7259" t="s">
        <v>41</v>
      </c>
      <c r="G7259">
        <v>-145.8021</v>
      </c>
      <c r="H7259" s="1">
        <v>-2.3354870000000002E-6</v>
      </c>
      <c r="I7259">
        <v>136.5026</v>
      </c>
      <c r="J7259">
        <v>-170.029</v>
      </c>
      <c r="K7259">
        <v>1.099024</v>
      </c>
      <c r="L7259">
        <v>135.6765</v>
      </c>
      <c r="M7259">
        <v>0.92217729999999998</v>
      </c>
      <c r="N7259">
        <v>-2.3532669999999999E-2</v>
      </c>
      <c r="O7259">
        <v>0.38605070000000002</v>
      </c>
      <c r="P7259">
        <v>0.96437220000000001</v>
      </c>
      <c r="Q7259">
        <v>0.15823429999999999</v>
      </c>
      <c r="R7259">
        <v>0.21201039999999999</v>
      </c>
      <c r="S7259">
        <v>3.1125639999999999</v>
      </c>
      <c r="T7259">
        <v>-0.1399879</v>
      </c>
      <c r="U7259">
        <v>0.1160278</v>
      </c>
      <c r="V7259">
        <v>0.18511920000000001</v>
      </c>
      <c r="W7259">
        <v>0.17257059999999999</v>
      </c>
      <c r="X7259">
        <v>0.96744520000000001</v>
      </c>
      <c r="Y7259">
        <v>0.35092380000000001</v>
      </c>
      <c r="Z7259">
        <v>-1.9705489999999999E-2</v>
      </c>
      <c r="AA7259">
        <v>0.93619669999999999</v>
      </c>
      <c r="AB7259">
        <v>35</v>
      </c>
      <c r="AC7259">
        <v>24.226900000000001</v>
      </c>
      <c r="AD7259">
        <v>-1.099026335487</v>
      </c>
      <c r="AE7259">
        <v>0.82609999999999595</v>
      </c>
      <c r="AF7259">
        <v>8.5757538403144906</v>
      </c>
      <c r="AG7259">
        <v>-1.099026335487</v>
      </c>
      <c r="AH7259">
        <v>22.620196307528499</v>
      </c>
      <c r="AI7259">
        <v>92.601200361293394</v>
      </c>
      <c r="AJ7259">
        <v>69.237313311622501</v>
      </c>
      <c r="AK7259">
        <v>24.216207254788898</v>
      </c>
      <c r="AL7259">
        <v>80.0626867921859</v>
      </c>
      <c r="AM7259">
        <v>79.167479362154694</v>
      </c>
      <c r="AN7259">
        <v>0.99999997259801898</v>
      </c>
    </row>
    <row r="7260" spans="1:40" x14ac:dyDescent="0.25">
      <c r="A7260" t="str">
        <f>"20190304155817422"</f>
        <v>20190304155817422</v>
      </c>
      <c r="B7260" t="str">
        <f>"1551686297412263"</f>
        <v>1551686297412263</v>
      </c>
      <c r="C7260" t="s">
        <v>40</v>
      </c>
      <c r="D7260">
        <v>5.4860309999999997</v>
      </c>
      <c r="E7260">
        <v>0.56811119999999904</v>
      </c>
      <c r="F7260" t="s">
        <v>41</v>
      </c>
      <c r="G7260">
        <v>-145.1189</v>
      </c>
      <c r="H7260" s="1">
        <v>-2.6377920000000002E-6</v>
      </c>
      <c r="I7260">
        <v>136.45060000000001</v>
      </c>
      <c r="J7260">
        <v>-169.7054</v>
      </c>
      <c r="K7260">
        <v>1.0985370000000001</v>
      </c>
      <c r="L7260">
        <v>135.79810000000001</v>
      </c>
      <c r="M7260">
        <v>0.92876029999999998</v>
      </c>
      <c r="N7260">
        <v>-2.3058039999999998E-2</v>
      </c>
      <c r="O7260">
        <v>0.36996289999999998</v>
      </c>
      <c r="P7260">
        <v>0.96712730000000002</v>
      </c>
      <c r="Q7260">
        <v>0.15861889999999901</v>
      </c>
      <c r="R7260">
        <v>0.1987584</v>
      </c>
      <c r="S7260">
        <v>3.1121059999999998</v>
      </c>
      <c r="T7260">
        <v>-0.13730510000000001</v>
      </c>
      <c r="U7260">
        <v>9.6725459999999999E-2</v>
      </c>
      <c r="V7260">
        <v>0.18134069999999999</v>
      </c>
      <c r="W7260">
        <v>0.1728806</v>
      </c>
      <c r="X7260">
        <v>0.96810529999999995</v>
      </c>
      <c r="Y7260">
        <v>0.34045730000000002</v>
      </c>
      <c r="Z7260">
        <v>-1.8724810000000001E-2</v>
      </c>
      <c r="AA7260">
        <v>0.94007350000000001</v>
      </c>
      <c r="AB7260">
        <v>35</v>
      </c>
      <c r="AC7260">
        <v>24.586500000000001</v>
      </c>
      <c r="AD7260">
        <v>-1.098539637792</v>
      </c>
      <c r="AE7260">
        <v>0.65250000000000297</v>
      </c>
      <c r="AF7260">
        <v>8.4754269149706492</v>
      </c>
      <c r="AG7260">
        <v>-1.098539637792</v>
      </c>
      <c r="AH7260">
        <v>23.036547087863301</v>
      </c>
      <c r="AI7260">
        <v>92.562504288326494</v>
      </c>
      <c r="AJ7260">
        <v>69.800815094194306</v>
      </c>
      <c r="AK7260">
        <v>24.570758076586699</v>
      </c>
      <c r="AL7260">
        <v>80.044654460136897</v>
      </c>
      <c r="AM7260">
        <v>79.390581609104601</v>
      </c>
      <c r="AN7260">
        <v>1.0000000116104699</v>
      </c>
    </row>
    <row r="7261" spans="1:40" x14ac:dyDescent="0.25">
      <c r="A7261" t="str">
        <f>"20190304155817433"</f>
        <v>20190304155817433</v>
      </c>
      <c r="B7261" t="str">
        <f>"1551686297422025"</f>
        <v>1551686297422025</v>
      </c>
      <c r="C7261" t="s">
        <v>40</v>
      </c>
      <c r="D7261">
        <v>4.8228549999999997</v>
      </c>
      <c r="E7261">
        <v>0.56771759999999905</v>
      </c>
      <c r="F7261" t="s">
        <v>41</v>
      </c>
      <c r="G7261">
        <v>-143.83330000000001</v>
      </c>
      <c r="H7261" s="1">
        <v>-3.2188469999999998E-6</v>
      </c>
      <c r="I7261">
        <v>136.2842</v>
      </c>
      <c r="J7261">
        <v>-169.51849999999999</v>
      </c>
      <c r="K7261">
        <v>1.098268</v>
      </c>
      <c r="L7261">
        <v>135.8657</v>
      </c>
      <c r="M7261">
        <v>0.93242639999999999</v>
      </c>
      <c r="N7261">
        <v>-2.2789110000000001E-2</v>
      </c>
      <c r="O7261">
        <v>0.36064059999999998</v>
      </c>
      <c r="P7261">
        <v>0.96866039999999998</v>
      </c>
      <c r="Q7261">
        <v>0.15880279999999899</v>
      </c>
      <c r="R7261">
        <v>0.19099379999999999</v>
      </c>
      <c r="S7261">
        <v>3.111618</v>
      </c>
      <c r="T7261">
        <v>-0.13212009999999999</v>
      </c>
      <c r="U7261">
        <v>5.8471679999999998E-2</v>
      </c>
      <c r="V7261">
        <v>0.1792793</v>
      </c>
      <c r="W7261">
        <v>0.1730121</v>
      </c>
      <c r="X7261">
        <v>0.96846569999999998</v>
      </c>
      <c r="Y7261">
        <v>0.34262100000000001</v>
      </c>
      <c r="Z7261">
        <v>-1.7835219999999999E-2</v>
      </c>
      <c r="AA7261">
        <v>0.93930440000000004</v>
      </c>
      <c r="AB7261">
        <v>35</v>
      </c>
      <c r="AC7261">
        <v>25.685199999999899</v>
      </c>
      <c r="AD7261">
        <v>-1.0982712188470001</v>
      </c>
      <c r="AE7261">
        <v>0.41849999999999399</v>
      </c>
      <c r="AF7261">
        <v>8.8590176712026292</v>
      </c>
      <c r="AG7261">
        <v>-1.0982712188470001</v>
      </c>
      <c r="AH7261">
        <v>24.062764720326602</v>
      </c>
      <c r="AI7261">
        <v>92.452558501012405</v>
      </c>
      <c r="AJ7261">
        <v>69.788164102828006</v>
      </c>
      <c r="AK7261">
        <v>25.665249653074099</v>
      </c>
      <c r="AL7261">
        <v>80.0370050107271</v>
      </c>
      <c r="AM7261">
        <v>79.512309661295205</v>
      </c>
      <c r="AN7261">
        <v>1.00000003311569</v>
      </c>
    </row>
    <row r="7262" spans="1:40" x14ac:dyDescent="0.25">
      <c r="A7262" t="str">
        <f>"20190304155817446"</f>
        <v>20190304155817446</v>
      </c>
      <c r="B7262" t="str">
        <f>"1551686297441544"</f>
        <v>1551686297441544</v>
      </c>
      <c r="C7262" t="s">
        <v>40</v>
      </c>
      <c r="D7262">
        <v>5.4954320000000001</v>
      </c>
      <c r="E7262">
        <v>0.56718780000000002</v>
      </c>
      <c r="F7262" t="s">
        <v>41</v>
      </c>
      <c r="G7262">
        <v>-143.27610000000001</v>
      </c>
      <c r="H7262" s="1">
        <v>-3.4775090000000002E-6</v>
      </c>
      <c r="I7262">
        <v>136.17359999999999</v>
      </c>
      <c r="J7262">
        <v>-169.3278</v>
      </c>
      <c r="K7262">
        <v>1.098012</v>
      </c>
      <c r="L7262">
        <v>135.9324</v>
      </c>
      <c r="M7262">
        <v>0.93605850000000002</v>
      </c>
      <c r="N7262">
        <v>-2.251883E-2</v>
      </c>
      <c r="O7262">
        <v>0.35112300000000002</v>
      </c>
      <c r="P7262">
        <v>0.9701805</v>
      </c>
      <c r="Q7262">
        <v>0.15890509999999999</v>
      </c>
      <c r="R7262">
        <v>0.1830273</v>
      </c>
      <c r="S7262">
        <v>3.111221</v>
      </c>
      <c r="T7262">
        <v>-0.13020779999999901</v>
      </c>
      <c r="U7262">
        <v>3.649902E-2</v>
      </c>
      <c r="V7262">
        <v>0.1772484</v>
      </c>
      <c r="W7262">
        <v>0.17305110000000001</v>
      </c>
      <c r="X7262">
        <v>0.96883240000000004</v>
      </c>
      <c r="Y7262">
        <v>0.33969729999999998</v>
      </c>
      <c r="Z7262">
        <v>-1.7331550000000001E-2</v>
      </c>
      <c r="AA7262">
        <v>0.94037510000000002</v>
      </c>
      <c r="AB7262">
        <v>35</v>
      </c>
      <c r="AC7262">
        <v>26.051699999999901</v>
      </c>
      <c r="AD7262">
        <v>-1.0980154775090001</v>
      </c>
      <c r="AE7262">
        <v>0.241199999999992</v>
      </c>
      <c r="AF7262">
        <v>8.9080137933622794</v>
      </c>
      <c r="AG7262">
        <v>-1.0980154775090001</v>
      </c>
      <c r="AH7262">
        <v>24.4334130653566</v>
      </c>
      <c r="AI7262">
        <v>92.4176269850322</v>
      </c>
      <c r="AJ7262">
        <v>69.968990189395697</v>
      </c>
      <c r="AK7262">
        <v>26.0297910432243</v>
      </c>
      <c r="AL7262">
        <v>80.034735406317296</v>
      </c>
      <c r="AM7262">
        <v>79.632363479685907</v>
      </c>
      <c r="AN7262">
        <v>0.99999994890176302</v>
      </c>
    </row>
    <row r="7263" spans="1:40" x14ac:dyDescent="0.25">
      <c r="A7263" t="str">
        <f>"20190304155817459"</f>
        <v>20190304155817459</v>
      </c>
      <c r="B7263" t="str">
        <f>"1551686297452280"</f>
        <v>1551686297452280</v>
      </c>
      <c r="C7263" t="s">
        <v>40</v>
      </c>
      <c r="D7263">
        <v>5.2037420000000001</v>
      </c>
      <c r="E7263">
        <v>0.56693380000000004</v>
      </c>
      <c r="F7263" t="s">
        <v>41</v>
      </c>
      <c r="G7263">
        <v>-142.3768</v>
      </c>
      <c r="H7263" s="1">
        <v>-3.8834360000000001E-6</v>
      </c>
      <c r="I7263">
        <v>136.06</v>
      </c>
      <c r="J7263">
        <v>-169.14160000000001</v>
      </c>
      <c r="K7263">
        <v>1.097758</v>
      </c>
      <c r="L7263">
        <v>135.99520000000001</v>
      </c>
      <c r="M7263">
        <v>0.93949419999999995</v>
      </c>
      <c r="N7263">
        <v>-2.225887E-2</v>
      </c>
      <c r="O7263">
        <v>0.34184100000000001</v>
      </c>
      <c r="P7263">
        <v>0.97151339999999997</v>
      </c>
      <c r="Q7263">
        <v>0.15915370000000001</v>
      </c>
      <c r="R7263">
        <v>0.17559060000000001</v>
      </c>
      <c r="S7263">
        <v>3.1101679999999998</v>
      </c>
      <c r="T7263">
        <v>-0.12671169999999901</v>
      </c>
      <c r="U7263">
        <v>1.472473E-2</v>
      </c>
      <c r="V7263">
        <v>0.1749655</v>
      </c>
      <c r="W7263">
        <v>0.17324600000000001</v>
      </c>
      <c r="X7263">
        <v>0.96921250000000003</v>
      </c>
      <c r="Y7263">
        <v>0.33699580000000001</v>
      </c>
      <c r="Z7263">
        <v>-1.6589159999999999E-2</v>
      </c>
      <c r="AA7263">
        <v>0.94135999999999997</v>
      </c>
      <c r="AB7263">
        <v>35</v>
      </c>
      <c r="AC7263">
        <v>26.764800000000001</v>
      </c>
      <c r="AD7263">
        <v>-1.0977618834359999</v>
      </c>
      <c r="AE7263">
        <v>6.4799999999991004E-2</v>
      </c>
      <c r="AF7263">
        <v>9.0754117737593099</v>
      </c>
      <c r="AG7263">
        <v>-1.0977618834359999</v>
      </c>
      <c r="AH7263">
        <v>25.1314847347907</v>
      </c>
      <c r="AI7263">
        <v>92.352617400185494</v>
      </c>
      <c r="AJ7263">
        <v>70.144476253160803</v>
      </c>
      <c r="AK7263">
        <v>26.7424700615151</v>
      </c>
      <c r="AL7263">
        <v>80.023397581132002</v>
      </c>
      <c r="AM7263">
        <v>79.7669835092168</v>
      </c>
      <c r="AN7263">
        <v>0.99999998643124999</v>
      </c>
    </row>
    <row r="7264" spans="1:40" x14ac:dyDescent="0.25">
      <c r="A7264" t="str">
        <f>"20190304155817473"</f>
        <v>20190304155817473</v>
      </c>
      <c r="B7264" t="str">
        <f>"1551686297462040"</f>
        <v>1551686297462040</v>
      </c>
      <c r="C7264" t="s">
        <v>40</v>
      </c>
      <c r="D7264">
        <v>5.3859820000000003</v>
      </c>
      <c r="E7264">
        <v>0.56668640000000003</v>
      </c>
      <c r="F7264" t="s">
        <v>41</v>
      </c>
      <c r="G7264">
        <v>-142.38489999999999</v>
      </c>
      <c r="H7264" s="1">
        <v>-3.9026480000000002E-6</v>
      </c>
      <c r="I7264">
        <v>135.93209999999999</v>
      </c>
      <c r="J7264">
        <v>-168.9288</v>
      </c>
      <c r="K7264">
        <v>1.0974759999999999</v>
      </c>
      <c r="L7264">
        <v>136.0651</v>
      </c>
      <c r="M7264">
        <v>0.94328869999999998</v>
      </c>
      <c r="N7264">
        <v>-2.1967029999999999E-2</v>
      </c>
      <c r="O7264">
        <v>0.33124579999999998</v>
      </c>
      <c r="P7264">
        <v>0.97310890000000005</v>
      </c>
      <c r="Q7264">
        <v>0.1592645</v>
      </c>
      <c r="R7264">
        <v>0.16641529999999999</v>
      </c>
      <c r="S7264">
        <v>3.1101839999999998</v>
      </c>
      <c r="T7264">
        <v>-0.1276032</v>
      </c>
      <c r="U7264">
        <v>-7.3242189999999999E-3</v>
      </c>
      <c r="V7264">
        <v>0.173083399999999</v>
      </c>
      <c r="W7264">
        <v>0.17325679999999999</v>
      </c>
      <c r="X7264">
        <v>0.96954850000000004</v>
      </c>
      <c r="Y7264">
        <v>0.3330687</v>
      </c>
      <c r="Z7264">
        <v>-1.649809E-2</v>
      </c>
      <c r="AA7264">
        <v>0.94275830000000005</v>
      </c>
      <c r="AB7264">
        <v>35</v>
      </c>
      <c r="AC7264">
        <v>26.543900000000001</v>
      </c>
      <c r="AD7264">
        <v>-1.097479902648</v>
      </c>
      <c r="AE7264">
        <v>-0.133000000000009</v>
      </c>
      <c r="AF7264">
        <v>8.9049432710963696</v>
      </c>
      <c r="AG7264">
        <v>-1.097479902648</v>
      </c>
      <c r="AH7264">
        <v>24.9578753117828</v>
      </c>
      <c r="AI7264">
        <v>92.371606655619303</v>
      </c>
      <c r="AJ7264">
        <v>70.363654149953902</v>
      </c>
      <c r="AK7264">
        <v>26.521651850453399</v>
      </c>
      <c r="AL7264">
        <v>80.022769804931997</v>
      </c>
      <c r="AM7264">
        <v>79.878206758127405</v>
      </c>
      <c r="AN7264">
        <v>1.00000003797702</v>
      </c>
    </row>
    <row r="7265" spans="1:40" x14ac:dyDescent="0.25">
      <c r="A7265" t="str">
        <f>"20190304155817486"</f>
        <v>20190304155817486</v>
      </c>
      <c r="B7265" t="str">
        <f>"1551686297481560"</f>
        <v>1551686297481560</v>
      </c>
      <c r="C7265" t="s">
        <v>40</v>
      </c>
      <c r="D7265">
        <v>4.8209530000000003</v>
      </c>
      <c r="E7265">
        <v>0.56685220000000003</v>
      </c>
      <c r="F7265" t="s">
        <v>41</v>
      </c>
      <c r="G7265">
        <v>-142.37549999999999</v>
      </c>
      <c r="H7265" s="1">
        <v>-3.9353750000000004E-6</v>
      </c>
      <c r="I7265">
        <v>135.7704</v>
      </c>
      <c r="J7265">
        <v>-168.72</v>
      </c>
      <c r="K7265">
        <v>1.097213</v>
      </c>
      <c r="L7265">
        <v>136.1309</v>
      </c>
      <c r="M7265">
        <v>0.94686680000000001</v>
      </c>
      <c r="N7265">
        <v>-2.1685090000000001E-2</v>
      </c>
      <c r="O7265">
        <v>0.32089440000000002</v>
      </c>
      <c r="P7265">
        <v>0.97451639999999995</v>
      </c>
      <c r="Q7265">
        <v>0.15962100000000001</v>
      </c>
      <c r="R7265">
        <v>0.15760469999999999</v>
      </c>
      <c r="S7265">
        <v>3.1098479999999999</v>
      </c>
      <c r="T7265">
        <v>-0.12853339999999999</v>
      </c>
      <c r="U7265">
        <v>-3.4500120000000002E-2</v>
      </c>
      <c r="V7265">
        <v>0.1711241</v>
      </c>
      <c r="W7265">
        <v>0.17351510000000001</v>
      </c>
      <c r="X7265">
        <v>0.96984999999999999</v>
      </c>
      <c r="Y7265">
        <v>0.33097470000000001</v>
      </c>
      <c r="Z7265">
        <v>-1.6461440000000001E-2</v>
      </c>
      <c r="AA7265">
        <v>0.943496</v>
      </c>
      <c r="AB7265">
        <v>35</v>
      </c>
      <c r="AC7265">
        <v>26.3445</v>
      </c>
      <c r="AD7265">
        <v>-1.0972169353749901</v>
      </c>
      <c r="AE7265">
        <v>-0.36050000000000099</v>
      </c>
      <c r="AF7265">
        <v>8.7819852171649</v>
      </c>
      <c r="AG7265">
        <v>-1.0972169353749901</v>
      </c>
      <c r="AH7265">
        <v>24.791890919670799</v>
      </c>
      <c r="AI7265">
        <v>92.388830376929505</v>
      </c>
      <c r="AJ7265">
        <v>70.494422341088907</v>
      </c>
      <c r="AK7265">
        <v>26.3242284736064</v>
      </c>
      <c r="AL7265">
        <v>80.007742169827097</v>
      </c>
      <c r="AM7265">
        <v>79.993504087471095</v>
      </c>
      <c r="AN7265">
        <v>0.99999998501440901</v>
      </c>
    </row>
    <row r="7266" spans="1:40" x14ac:dyDescent="0.25">
      <c r="A7266" t="str">
        <f>"20190304155817499"</f>
        <v>20190304155817499</v>
      </c>
      <c r="B7266" t="str">
        <f>"1551686297492296"</f>
        <v>1551686297492296</v>
      </c>
      <c r="C7266" t="s">
        <v>40</v>
      </c>
      <c r="D7266">
        <v>4.8242659999999997</v>
      </c>
      <c r="E7266">
        <v>0.56742079999999995</v>
      </c>
      <c r="F7266" t="s">
        <v>41</v>
      </c>
      <c r="G7266">
        <v>-140.13079999999999</v>
      </c>
      <c r="H7266" s="1">
        <v>-4.9379679999999999E-6</v>
      </c>
      <c r="I7266">
        <v>135.54689999999999</v>
      </c>
      <c r="J7266">
        <v>-168.5428</v>
      </c>
      <c r="K7266">
        <v>1.097002</v>
      </c>
      <c r="L7266">
        <v>136.18450000000001</v>
      </c>
      <c r="M7266">
        <v>0.94978499999999999</v>
      </c>
      <c r="N7266">
        <v>-2.1448990000000001E-2</v>
      </c>
      <c r="O7266">
        <v>0.31216729999999998</v>
      </c>
      <c r="P7266">
        <v>0.97519370000000005</v>
      </c>
      <c r="Q7266">
        <v>0.16023470000000001</v>
      </c>
      <c r="R7266">
        <v>0.1527155</v>
      </c>
      <c r="S7266">
        <v>3.1082610000000002</v>
      </c>
      <c r="T7266">
        <v>-0.1192911</v>
      </c>
      <c r="U7266">
        <v>-6.3491820000000004E-2</v>
      </c>
      <c r="V7266">
        <v>0.166964</v>
      </c>
      <c r="W7266">
        <v>0.17415510000000001</v>
      </c>
      <c r="X7266">
        <v>0.9704602</v>
      </c>
      <c r="Y7266">
        <v>0.3311598</v>
      </c>
      <c r="Z7266">
        <v>-1.496187E-2</v>
      </c>
      <c r="AA7266">
        <v>0.94345610000000002</v>
      </c>
      <c r="AB7266">
        <v>35</v>
      </c>
      <c r="AC7266">
        <v>28.411999999999999</v>
      </c>
      <c r="AD7266">
        <v>-1.0970069379680001</v>
      </c>
      <c r="AE7266">
        <v>-0.63760000000002004</v>
      </c>
      <c r="AF7266">
        <v>9.4629602210022199</v>
      </c>
      <c r="AG7266">
        <v>-1.0970069379680001</v>
      </c>
      <c r="AH7266">
        <v>26.7525546805727</v>
      </c>
      <c r="AI7266">
        <v>92.213865820845299</v>
      </c>
      <c r="AJ7266">
        <v>70.520205797293002</v>
      </c>
      <c r="AK7266">
        <v>28.398067228303599</v>
      </c>
      <c r="AL7266">
        <v>79.970505969624199</v>
      </c>
      <c r="AM7266">
        <v>80.238047154905999</v>
      </c>
      <c r="AN7266">
        <v>0.99999998796802403</v>
      </c>
    </row>
    <row r="7267" spans="1:40" x14ac:dyDescent="0.25">
      <c r="A7267" t="str">
        <f>"20190304155817512"</f>
        <v>20190304155817512</v>
      </c>
      <c r="B7267" t="str">
        <f>"1551686297502057"</f>
        <v>1551686297502057</v>
      </c>
      <c r="C7267" t="s">
        <v>40</v>
      </c>
      <c r="D7267">
        <v>4.9382479999999997</v>
      </c>
      <c r="E7267">
        <v>0.56742079999999995</v>
      </c>
      <c r="F7267" t="s">
        <v>41</v>
      </c>
      <c r="G7267">
        <v>-138.58099999999999</v>
      </c>
      <c r="H7267" s="1">
        <v>-1.5956549999999901E-6</v>
      </c>
      <c r="I7267">
        <v>135.38159999999999</v>
      </c>
      <c r="J7267">
        <v>-168.33629999999999</v>
      </c>
      <c r="K7267">
        <v>1.096768</v>
      </c>
      <c r="L7267">
        <v>136.24549999999999</v>
      </c>
      <c r="M7267">
        <v>0.95306409999999997</v>
      </c>
      <c r="N7267">
        <v>-2.1177979999999999E-2</v>
      </c>
      <c r="O7267">
        <v>0.30202709999999999</v>
      </c>
      <c r="P7267">
        <v>0.97639469999999995</v>
      </c>
      <c r="Q7267">
        <v>0.1607933</v>
      </c>
      <c r="R7267">
        <v>0.1442185</v>
      </c>
      <c r="S7267">
        <v>3.1080779999999999</v>
      </c>
      <c r="T7267">
        <v>-0.1137972</v>
      </c>
      <c r="U7267">
        <v>-8.3282469999999997E-2</v>
      </c>
      <c r="V7267">
        <v>0.16496939999999999</v>
      </c>
      <c r="W7267">
        <v>0.17461099999999999</v>
      </c>
      <c r="X7267">
        <v>0.97071929999999995</v>
      </c>
      <c r="Y7267">
        <v>0.32714650000000001</v>
      </c>
      <c r="Z7267">
        <v>-1.391939E-2</v>
      </c>
      <c r="AA7267">
        <v>0.94487109999999996</v>
      </c>
      <c r="AB7267">
        <v>34</v>
      </c>
      <c r="AC7267">
        <v>29.755299999999899</v>
      </c>
      <c r="AD7267">
        <v>-1.0967695956550001</v>
      </c>
      <c r="AE7267">
        <v>-0.863900000000001</v>
      </c>
      <c r="AF7267">
        <v>9.7991572559040208</v>
      </c>
      <c r="AG7267">
        <v>-1.0967695956550001</v>
      </c>
      <c r="AH7267">
        <v>28.0659901164057</v>
      </c>
      <c r="AI7267">
        <v>92.112919502248502</v>
      </c>
      <c r="AJ7267">
        <v>70.753503215578306</v>
      </c>
      <c r="AK7267">
        <v>29.747708948523599</v>
      </c>
      <c r="AL7267">
        <v>79.943977793897801</v>
      </c>
      <c r="AM7267">
        <v>80.354988291256802</v>
      </c>
      <c r="AN7267">
        <v>0.99999993182492197</v>
      </c>
    </row>
    <row r="7268" spans="1:40" x14ac:dyDescent="0.25">
      <c r="A7268" t="str">
        <f>"20190304155817526"</f>
        <v>20190304155817526</v>
      </c>
      <c r="B7268" t="str">
        <f>"1551686297521577"</f>
        <v>1551686297521577</v>
      </c>
      <c r="C7268" t="s">
        <v>40</v>
      </c>
      <c r="D7268">
        <v>5.9583529999999998</v>
      </c>
      <c r="E7268">
        <v>0.56728290000000003</v>
      </c>
      <c r="F7268" t="s">
        <v>41</v>
      </c>
      <c r="G7268">
        <v>-137.97370000000001</v>
      </c>
      <c r="H7268" s="1">
        <v>-1.8589750000000001E-6</v>
      </c>
      <c r="I7268">
        <v>135.1688</v>
      </c>
      <c r="J7268">
        <v>-168.12559999999999</v>
      </c>
      <c r="K7268">
        <v>1.0965590000000001</v>
      </c>
      <c r="L7268">
        <v>136.3049</v>
      </c>
      <c r="M7268">
        <v>0.95625689999999997</v>
      </c>
      <c r="N7268">
        <v>-2.09062E-2</v>
      </c>
      <c r="O7268">
        <v>0.29178029999999999</v>
      </c>
      <c r="P7268">
        <v>0.97744120000000001</v>
      </c>
      <c r="Q7268">
        <v>0.16149810000000001</v>
      </c>
      <c r="R7268">
        <v>0.13611500000000001</v>
      </c>
      <c r="S7268">
        <v>3.1072850000000001</v>
      </c>
      <c r="T7268">
        <v>-0.1122422</v>
      </c>
      <c r="U7268">
        <v>-0.1101837</v>
      </c>
      <c r="V7268">
        <v>0.16250000000000001</v>
      </c>
      <c r="W7268">
        <v>0.1752312</v>
      </c>
      <c r="X7268">
        <v>0.97102409999999995</v>
      </c>
      <c r="Y7268">
        <v>0.32519360000000003</v>
      </c>
      <c r="Z7268">
        <v>-1.3543639999999999E-2</v>
      </c>
      <c r="AA7268">
        <v>0.94555040000000001</v>
      </c>
      <c r="AB7268">
        <v>34</v>
      </c>
      <c r="AC7268">
        <v>30.151899999999898</v>
      </c>
      <c r="AD7268">
        <v>-1.096560858975</v>
      </c>
      <c r="AE7268">
        <v>-1.1360999999999899</v>
      </c>
      <c r="AF7268">
        <v>9.8732541908007203</v>
      </c>
      <c r="AG7268">
        <v>-1.096560858975</v>
      </c>
      <c r="AH7268">
        <v>28.4700985786167</v>
      </c>
      <c r="AI7268">
        <v>92.084079298499901</v>
      </c>
      <c r="AJ7268">
        <v>70.873770273863897</v>
      </c>
      <c r="AK7268">
        <v>30.1534427074216</v>
      </c>
      <c r="AL7268">
        <v>79.907887338262796</v>
      </c>
      <c r="AM7268">
        <v>80.499638757850207</v>
      </c>
      <c r="AN7268">
        <v>1.0000000131171201</v>
      </c>
    </row>
    <row r="7269" spans="1:40" x14ac:dyDescent="0.25">
      <c r="A7269" t="str">
        <f>"20190304155817542"</f>
        <v>20190304155817542</v>
      </c>
      <c r="B7269" t="str">
        <f>"1551686297532312"</f>
        <v>1551686297532312</v>
      </c>
      <c r="C7269" t="s">
        <v>40</v>
      </c>
      <c r="D7269">
        <v>4.9269540000000003</v>
      </c>
      <c r="E7269">
        <v>0.56754979999999999</v>
      </c>
      <c r="F7269" t="s">
        <v>41</v>
      </c>
      <c r="G7269">
        <v>-134.9896</v>
      </c>
      <c r="H7269" s="1">
        <v>-2.9742100000000001E-6</v>
      </c>
      <c r="I7269">
        <v>134.86689999999999</v>
      </c>
      <c r="J7269">
        <v>-167.89869999999999</v>
      </c>
      <c r="K7269">
        <v>1.096366</v>
      </c>
      <c r="L7269">
        <v>136.36609999999999</v>
      </c>
      <c r="M7269">
        <v>0.95952660000000001</v>
      </c>
      <c r="N7269">
        <v>-2.0619849999999999E-2</v>
      </c>
      <c r="O7269">
        <v>0.28086230000000001</v>
      </c>
      <c r="P7269">
        <v>0.97855250000000005</v>
      </c>
      <c r="Q7269">
        <v>0.16205310000000001</v>
      </c>
      <c r="R7269">
        <v>0.12717680000000001</v>
      </c>
      <c r="S7269">
        <v>3.1049799999999999</v>
      </c>
      <c r="T7269">
        <v>-0.1027523</v>
      </c>
      <c r="U7269">
        <v>-0.13475039999999999</v>
      </c>
      <c r="V7269">
        <v>0.16020129999999999</v>
      </c>
      <c r="W7269">
        <v>0.1756809</v>
      </c>
      <c r="X7269">
        <v>0.97132470000000004</v>
      </c>
      <c r="Y7269">
        <v>0.32196659999999999</v>
      </c>
      <c r="Z7269">
        <v>-1.2013289999999999E-2</v>
      </c>
      <c r="AA7269">
        <v>0.94667480000000004</v>
      </c>
      <c r="AB7269">
        <v>34</v>
      </c>
      <c r="AC7269">
        <v>32.909099999999903</v>
      </c>
      <c r="AD7269">
        <v>-1.09636897421</v>
      </c>
      <c r="AE7269">
        <v>-1.4992000000000001</v>
      </c>
      <c r="AF7269">
        <v>10.6718985692148</v>
      </c>
      <c r="AG7269">
        <v>-1.09636897421</v>
      </c>
      <c r="AH7269">
        <v>31.128234493852698</v>
      </c>
      <c r="AI7269">
        <v>91.908241411093698</v>
      </c>
      <c r="AJ7269">
        <v>71.076407994103306</v>
      </c>
      <c r="AK7269">
        <v>32.9250425467227</v>
      </c>
      <c r="AL7269">
        <v>79.881714823831004</v>
      </c>
      <c r="AM7269">
        <v>80.634478167489405</v>
      </c>
      <c r="AN7269">
        <v>0.999999953988293</v>
      </c>
    </row>
    <row r="7270" spans="1:40" x14ac:dyDescent="0.25">
      <c r="A7270" t="str">
        <f>"20190304155817555"</f>
        <v>20190304155817555</v>
      </c>
      <c r="B7270" t="str">
        <f>"1551686297551833"</f>
        <v>1551686297551833</v>
      </c>
      <c r="C7270" t="s">
        <v>40</v>
      </c>
      <c r="D7270">
        <v>5.9210659999999997</v>
      </c>
      <c r="E7270">
        <v>0.56735970000000002</v>
      </c>
      <c r="F7270" t="s">
        <v>41</v>
      </c>
      <c r="G7270">
        <v>-133.5523</v>
      </c>
      <c r="H7270" s="1">
        <v>-3.648895E-6</v>
      </c>
      <c r="I7270">
        <v>134.5393</v>
      </c>
      <c r="J7270">
        <v>-167.68809999999999</v>
      </c>
      <c r="K7270">
        <v>1.0962190000000001</v>
      </c>
      <c r="L7270">
        <v>136.42070000000001</v>
      </c>
      <c r="M7270">
        <v>0.96241520000000003</v>
      </c>
      <c r="N7270">
        <v>-2.036029E-2</v>
      </c>
      <c r="O7270">
        <v>0.27081830000000001</v>
      </c>
      <c r="P7270">
        <v>0.97915739999999996</v>
      </c>
      <c r="Q7270">
        <v>0.1628811</v>
      </c>
      <c r="R7270">
        <v>0.12132859999999999</v>
      </c>
      <c r="S7270">
        <v>3.1036069999999998</v>
      </c>
      <c r="T7270">
        <v>-9.9070190000000002E-2</v>
      </c>
      <c r="U7270">
        <v>-0.16506960000000001</v>
      </c>
      <c r="V7270">
        <v>0.15574540000000001</v>
      </c>
      <c r="W7270">
        <v>0.17651789999999901</v>
      </c>
      <c r="X7270">
        <v>0.97189749999999997</v>
      </c>
      <c r="Y7270">
        <v>0.32133640000000002</v>
      </c>
      <c r="Z7270">
        <v>-1.141614E-2</v>
      </c>
      <c r="AA7270">
        <v>0.94689630000000002</v>
      </c>
      <c r="AB7270">
        <v>34</v>
      </c>
      <c r="AC7270">
        <v>34.135799999999897</v>
      </c>
      <c r="AD7270">
        <v>-1.096222648895</v>
      </c>
      <c r="AE7270">
        <v>-1.88140000000001</v>
      </c>
      <c r="AF7270">
        <v>11.046221554713201</v>
      </c>
      <c r="AG7270">
        <v>-1.096222648895</v>
      </c>
      <c r="AH7270">
        <v>32.316772585218899</v>
      </c>
      <c r="AI7270">
        <v>91.838441889519402</v>
      </c>
      <c r="AJ7270">
        <v>71.129018332511905</v>
      </c>
      <c r="AK7270">
        <v>34.170082017117302</v>
      </c>
      <c r="AL7270">
        <v>79.832997119425002</v>
      </c>
      <c r="AM7270">
        <v>80.895824718200103</v>
      </c>
      <c r="AN7270">
        <v>0.99999997457390899</v>
      </c>
    </row>
    <row r="7271" spans="1:40" x14ac:dyDescent="0.25">
      <c r="A7271" t="str">
        <f>"20190304155817569"</f>
        <v>20190304155817569</v>
      </c>
      <c r="B7271" t="str">
        <f>"1551686297561592"</f>
        <v>1551686297561592</v>
      </c>
      <c r="C7271" t="s">
        <v>40</v>
      </c>
      <c r="D7271">
        <v>4.93377</v>
      </c>
      <c r="E7271">
        <v>0.56758450000000005</v>
      </c>
      <c r="F7271" t="s">
        <v>41</v>
      </c>
      <c r="G7271">
        <v>-131.45529999999999</v>
      </c>
      <c r="H7271" s="1">
        <v>-4.5925389999999997E-6</v>
      </c>
      <c r="I7271">
        <v>134.291</v>
      </c>
      <c r="J7271">
        <v>-167.47110000000001</v>
      </c>
      <c r="K7271">
        <v>1.0960939999999999</v>
      </c>
      <c r="L7271">
        <v>136.47489999999999</v>
      </c>
      <c r="M7271">
        <v>0.96524699999999997</v>
      </c>
      <c r="N7271">
        <v>-2.0099519999999999E-2</v>
      </c>
      <c r="O7271">
        <v>0.26056509999999999</v>
      </c>
      <c r="P7271">
        <v>0.98009690000000005</v>
      </c>
      <c r="Q7271">
        <v>0.16330259999999999</v>
      </c>
      <c r="R7271">
        <v>0.1128816</v>
      </c>
      <c r="S7271">
        <v>3.102036</v>
      </c>
      <c r="T7271">
        <v>-9.3852160000000004E-2</v>
      </c>
      <c r="U7271">
        <v>-0.1823273</v>
      </c>
      <c r="V7271">
        <v>0.15368509999999999</v>
      </c>
      <c r="W7271">
        <v>0.1768431</v>
      </c>
      <c r="X7271">
        <v>0.97216639999999999</v>
      </c>
      <c r="Y7271">
        <v>0.31656590000000001</v>
      </c>
      <c r="Z7271">
        <v>-1.052114E-2</v>
      </c>
      <c r="AA7271">
        <v>0.94851220000000003</v>
      </c>
      <c r="AB7271">
        <v>34</v>
      </c>
      <c r="AC7271">
        <v>36.015799999999999</v>
      </c>
      <c r="AD7271">
        <v>-1.0960985925390001</v>
      </c>
      <c r="AE7271">
        <v>-2.1838999999999902</v>
      </c>
      <c r="AF7271">
        <v>11.4841880727485</v>
      </c>
      <c r="AG7271">
        <v>-1.0960985925390001</v>
      </c>
      <c r="AH7271">
        <v>34.170471915914298</v>
      </c>
      <c r="AI7271">
        <v>91.741602477417104</v>
      </c>
      <c r="AJ7271">
        <v>71.423267943129403</v>
      </c>
      <c r="AK7271">
        <v>36.065345676578701</v>
      </c>
      <c r="AL7271">
        <v>79.814067506221804</v>
      </c>
      <c r="AM7271">
        <v>81.016727544611797</v>
      </c>
      <c r="AN7271">
        <v>1.0000000506342801</v>
      </c>
    </row>
    <row r="7272" spans="1:40" x14ac:dyDescent="0.25">
      <c r="A7272" t="str">
        <f>"20190304155817585"</f>
        <v>20190304155817585</v>
      </c>
      <c r="B7272" t="str">
        <f>"1551686297582088"</f>
        <v>1551686297582088</v>
      </c>
      <c r="C7272" t="s">
        <v>40</v>
      </c>
      <c r="D7272">
        <v>5.909834</v>
      </c>
      <c r="E7272">
        <v>0.5676004</v>
      </c>
      <c r="F7272" t="s">
        <v>41</v>
      </c>
      <c r="G7272">
        <v>-130.19540000000001</v>
      </c>
      <c r="H7272" s="1">
        <v>-5.1952249999999999E-6</v>
      </c>
      <c r="I7272">
        <v>133.94040000000001</v>
      </c>
      <c r="J7272">
        <v>-167.23060000000001</v>
      </c>
      <c r="K7272">
        <v>1.0960080000000001</v>
      </c>
      <c r="L7272">
        <v>136.53129999999999</v>
      </c>
      <c r="M7272">
        <v>0.96819489999999997</v>
      </c>
      <c r="N7272">
        <v>-1.982016E-2</v>
      </c>
      <c r="O7272">
        <v>0.2494112</v>
      </c>
      <c r="P7272">
        <v>0.98096669999999997</v>
      </c>
      <c r="Q7272">
        <v>0.16410050000000001</v>
      </c>
      <c r="R7272">
        <v>0.1038063</v>
      </c>
      <c r="S7272">
        <v>3.1003880000000001</v>
      </c>
      <c r="T7272">
        <v>-9.1167449999999997E-2</v>
      </c>
      <c r="U7272">
        <v>-0.21080019999999999</v>
      </c>
      <c r="V7272">
        <v>0.15134839999999999</v>
      </c>
      <c r="W7272">
        <v>0.17754710000000001</v>
      </c>
      <c r="X7272">
        <v>0.97240459999999995</v>
      </c>
      <c r="Y7272">
        <v>0.31434060000000003</v>
      </c>
      <c r="Z7272">
        <v>-1.004913E-2</v>
      </c>
      <c r="AA7272">
        <v>0.94925709999999996</v>
      </c>
      <c r="AB7272">
        <v>34</v>
      </c>
      <c r="AC7272">
        <v>37.035200000000003</v>
      </c>
      <c r="AD7272">
        <v>-1.0960131952249901</v>
      </c>
      <c r="AE7272">
        <v>-2.5908999999999698</v>
      </c>
      <c r="AF7272">
        <v>11.7375670509148</v>
      </c>
      <c r="AG7272">
        <v>-1.0960131952249901</v>
      </c>
      <c r="AH7272">
        <v>35.187341031129598</v>
      </c>
      <c r="AI7272">
        <v>91.692448925233506</v>
      </c>
      <c r="AJ7272">
        <v>71.552663854052895</v>
      </c>
      <c r="AK7272">
        <v>37.1095768507247</v>
      </c>
      <c r="AL7272">
        <v>79.773082289441206</v>
      </c>
      <c r="AM7272">
        <v>81.153268891775099</v>
      </c>
      <c r="AN7272">
        <v>1.0000000085010601</v>
      </c>
    </row>
    <row r="7273" spans="1:40" x14ac:dyDescent="0.25">
      <c r="A7273" t="str">
        <f>"20190304155817600"</f>
        <v>20190304155817600</v>
      </c>
      <c r="B7273" t="str">
        <f>"1551686297591848"</f>
        <v>1551686297591848</v>
      </c>
      <c r="C7273" t="s">
        <v>40</v>
      </c>
      <c r="D7273">
        <v>4.935962</v>
      </c>
      <c r="E7273">
        <v>0.58771439999999997</v>
      </c>
      <c r="F7273" t="s">
        <v>41</v>
      </c>
      <c r="G7273">
        <v>-126.8634</v>
      </c>
      <c r="H7273" s="1">
        <v>-2.7043149999999999E-6</v>
      </c>
      <c r="I7273">
        <v>133.4118</v>
      </c>
      <c r="J7273">
        <v>-167.00489999999999</v>
      </c>
      <c r="K7273">
        <v>1.0959749999999999</v>
      </c>
      <c r="L7273">
        <v>136.58189999999999</v>
      </c>
      <c r="M7273">
        <v>0.97079680000000002</v>
      </c>
      <c r="N7273">
        <v>-1.956652E-2</v>
      </c>
      <c r="O7273">
        <v>0.23910439999999999</v>
      </c>
      <c r="P7273">
        <v>0.98139390000000004</v>
      </c>
      <c r="Q7273">
        <v>0.1654099</v>
      </c>
      <c r="R7273">
        <v>9.749729E-2</v>
      </c>
      <c r="S7273">
        <v>3.09761</v>
      </c>
      <c r="T7273">
        <v>-8.4103230000000001E-2</v>
      </c>
      <c r="U7273">
        <v>-0.23937990000000001</v>
      </c>
      <c r="V7273">
        <v>0.14713999999999999</v>
      </c>
      <c r="W7273">
        <v>0.1788622</v>
      </c>
      <c r="X7273">
        <v>0.97280940000000005</v>
      </c>
      <c r="Y7273">
        <v>0.313050299999999</v>
      </c>
      <c r="Z7273">
        <v>-9.064239E-3</v>
      </c>
      <c r="AA7273">
        <v>0.94969329999999996</v>
      </c>
      <c r="AB7273">
        <v>34</v>
      </c>
      <c r="AC7273">
        <v>40.141499999999901</v>
      </c>
      <c r="AD7273">
        <v>-1.0959777043150001</v>
      </c>
      <c r="AE7273">
        <v>-3.1700999999999899</v>
      </c>
      <c r="AF7273">
        <v>12.6685729028493</v>
      </c>
      <c r="AG7273">
        <v>-1.0959777043150001</v>
      </c>
      <c r="AH7273">
        <v>38.1902755886967</v>
      </c>
      <c r="AI7273">
        <v>91.560252594834296</v>
      </c>
      <c r="AJ7273">
        <v>71.648156904741697</v>
      </c>
      <c r="AK7273">
        <v>40.251596938056601</v>
      </c>
      <c r="AL7273">
        <v>79.696506781156302</v>
      </c>
      <c r="AM7273">
        <v>81.399055070969595</v>
      </c>
      <c r="AN7273">
        <v>0.99999999745860002</v>
      </c>
    </row>
    <row r="7274" spans="1:40" x14ac:dyDescent="0.25">
      <c r="A7274" t="str">
        <f>"20190304155817622"</f>
        <v>20190304155817622</v>
      </c>
      <c r="B7274" t="str">
        <f>"1551686297612345"</f>
        <v>1551686297612345</v>
      </c>
      <c r="C7274" t="s">
        <v>40</v>
      </c>
      <c r="D7274">
        <v>4.9175319999999996</v>
      </c>
      <c r="E7274">
        <v>0.57600739999999995</v>
      </c>
      <c r="F7274" t="s">
        <v>46</v>
      </c>
      <c r="G7274">
        <v>0</v>
      </c>
      <c r="H7274">
        <v>0</v>
      </c>
      <c r="I7274">
        <v>0</v>
      </c>
      <c r="J7274">
        <v>-166.67740000000001</v>
      </c>
      <c r="K7274">
        <v>1.0959840000000001</v>
      </c>
      <c r="L7274">
        <v>136.65119999999999</v>
      </c>
      <c r="M7274">
        <v>0.9742982</v>
      </c>
      <c r="N7274">
        <v>-1.9212679999999999E-2</v>
      </c>
      <c r="O7274">
        <v>0.22444149999999999</v>
      </c>
      <c r="P7274">
        <v>0.98217330000000003</v>
      </c>
      <c r="Q7274">
        <v>0.1667227</v>
      </c>
      <c r="R7274">
        <v>8.6829550000000005E-2</v>
      </c>
      <c r="S7274">
        <v>3.0129239999999999</v>
      </c>
      <c r="T7274">
        <v>0.49886269999999999</v>
      </c>
      <c r="U7274">
        <v>-0.40412900000000002</v>
      </c>
      <c r="V7274">
        <v>0.14285989999999901</v>
      </c>
      <c r="W7274">
        <v>0.18012359999999999</v>
      </c>
      <c r="X7274">
        <v>0.97321449999999998</v>
      </c>
      <c r="Y7274">
        <v>0.34421790000000002</v>
      </c>
      <c r="Z7274">
        <v>6.5760490000000005E-2</v>
      </c>
      <c r="AA7274">
        <v>0.93658399999999997</v>
      </c>
      <c r="AB7274">
        <v>34</v>
      </c>
      <c r="AC7274">
        <v>3.0129239999999999</v>
      </c>
      <c r="AD7274">
        <v>0.49886269999999999</v>
      </c>
      <c r="AE7274">
        <v>-0.40412900000000002</v>
      </c>
      <c r="AF7274">
        <v>1.04210070647866</v>
      </c>
      <c r="AG7274">
        <v>0.49886269999999999</v>
      </c>
      <c r="AH7274">
        <v>2.7706925072241799</v>
      </c>
      <c r="AI7274">
        <v>80.434167139876905</v>
      </c>
      <c r="AJ7274">
        <v>69.387936043945999</v>
      </c>
      <c r="AK7274">
        <v>3.00192852104824</v>
      </c>
      <c r="AL7274">
        <v>79.623040371833994</v>
      </c>
      <c r="AM7274">
        <v>81.649090383765198</v>
      </c>
      <c r="AN7274">
        <v>0.99999996265760904</v>
      </c>
    </row>
    <row r="7275" spans="1:40" x14ac:dyDescent="0.25">
      <c r="A7275" t="str">
        <f>"20190304155817638"</f>
        <v>20190304155817638</v>
      </c>
      <c r="B7275" t="str">
        <f>"1551686297631865"</f>
        <v>1551686297631865</v>
      </c>
      <c r="C7275" t="s">
        <v>40</v>
      </c>
      <c r="D7275">
        <v>4.841456</v>
      </c>
      <c r="E7275">
        <v>0.57389749999999995</v>
      </c>
      <c r="F7275" t="s">
        <v>46</v>
      </c>
      <c r="G7275">
        <v>0</v>
      </c>
      <c r="H7275">
        <v>0</v>
      </c>
      <c r="I7275">
        <v>0</v>
      </c>
      <c r="J7275">
        <v>-166.4187</v>
      </c>
      <c r="K7275">
        <v>1.0960540000000001</v>
      </c>
      <c r="L7275">
        <v>136.70230000000001</v>
      </c>
      <c r="M7275">
        <v>0.97683609999999998</v>
      </c>
      <c r="N7275">
        <v>-1.894531E-2</v>
      </c>
      <c r="O7275">
        <v>0.21314820000000001</v>
      </c>
      <c r="P7275">
        <v>0.98283200000000004</v>
      </c>
      <c r="Q7275">
        <v>0.16730729999999999</v>
      </c>
      <c r="R7275">
        <v>7.7778949999999999E-2</v>
      </c>
      <c r="S7275">
        <v>3.0301360000000002</v>
      </c>
      <c r="T7275">
        <v>0.32490360000000001</v>
      </c>
      <c r="U7275">
        <v>-0.34878540000000002</v>
      </c>
      <c r="V7275">
        <v>0.14040830000000001</v>
      </c>
      <c r="W7275">
        <v>0.18064520000000001</v>
      </c>
      <c r="X7275">
        <v>0.97347459999999997</v>
      </c>
      <c r="Y7275">
        <v>0.32034509999999899</v>
      </c>
      <c r="Z7275">
        <v>4.069279E-2</v>
      </c>
      <c r="AA7275">
        <v>0.94642649999999995</v>
      </c>
      <c r="AB7275">
        <v>34</v>
      </c>
      <c r="AC7275">
        <v>3.0301360000000002</v>
      </c>
      <c r="AD7275">
        <v>0.32490360000000001</v>
      </c>
      <c r="AE7275">
        <v>-0.34878540000000002</v>
      </c>
      <c r="AF7275">
        <v>0.97568065226164402</v>
      </c>
      <c r="AG7275">
        <v>0.32490360000000001</v>
      </c>
      <c r="AH7275">
        <v>2.8537410081119501</v>
      </c>
      <c r="AI7275">
        <v>83.851272658670197</v>
      </c>
      <c r="AJ7275">
        <v>71.124682642725901</v>
      </c>
      <c r="AK7275">
        <v>3.0333731761638698</v>
      </c>
      <c r="AL7275">
        <v>79.592656745994404</v>
      </c>
      <c r="AM7275">
        <v>81.792592763818305</v>
      </c>
      <c r="AN7275">
        <v>0.99999998791854405</v>
      </c>
    </row>
    <row r="7276" spans="1:40" x14ac:dyDescent="0.25">
      <c r="A7276" t="str">
        <f>"20190304155817656"</f>
        <v>20190304155817656</v>
      </c>
      <c r="B7276" t="str">
        <f>"1551686297652361"</f>
        <v>1551686297652361</v>
      </c>
      <c r="C7276" t="s">
        <v>40</v>
      </c>
      <c r="D7276">
        <v>4.9747300000000001</v>
      </c>
      <c r="E7276">
        <v>0.57276119999999997</v>
      </c>
      <c r="F7276" t="s">
        <v>46</v>
      </c>
      <c r="G7276">
        <v>0</v>
      </c>
      <c r="H7276">
        <v>0</v>
      </c>
      <c r="I7276">
        <v>0</v>
      </c>
      <c r="J7276">
        <v>-166.16220000000001</v>
      </c>
      <c r="K7276">
        <v>1.0961730000000001</v>
      </c>
      <c r="L7276">
        <v>136.75020000000001</v>
      </c>
      <c r="M7276">
        <v>0.97916380000000003</v>
      </c>
      <c r="N7276">
        <v>-1.869123E-2</v>
      </c>
      <c r="O7276">
        <v>0.20221030000000001</v>
      </c>
      <c r="P7276">
        <v>0.98326550000000001</v>
      </c>
      <c r="Q7276">
        <v>0.16778670000000001</v>
      </c>
      <c r="R7276">
        <v>7.0970829999999999E-2</v>
      </c>
      <c r="S7276">
        <v>3.0252530000000002</v>
      </c>
      <c r="T7276">
        <v>0.32661210000000002</v>
      </c>
      <c r="U7276">
        <v>-0.35975649999999998</v>
      </c>
      <c r="V7276">
        <v>0.13610069999999999</v>
      </c>
      <c r="W7276">
        <v>0.1811488</v>
      </c>
      <c r="X7276">
        <v>0.97399259999999999</v>
      </c>
      <c r="Y7276">
        <v>0.31339289999999997</v>
      </c>
      <c r="Z7276">
        <v>3.926926E-2</v>
      </c>
      <c r="AA7276">
        <v>0.94881119999999997</v>
      </c>
      <c r="AB7276">
        <v>34</v>
      </c>
      <c r="AC7276">
        <v>3.0252530000000002</v>
      </c>
      <c r="AD7276">
        <v>0.32661210000000002</v>
      </c>
      <c r="AE7276">
        <v>-0.35975649999999998</v>
      </c>
      <c r="AF7276">
        <v>0.95321075598283</v>
      </c>
      <c r="AG7276">
        <v>0.32661210000000002</v>
      </c>
      <c r="AH7276">
        <v>2.8571386657284701</v>
      </c>
      <c r="AI7276">
        <v>83.811103050940304</v>
      </c>
      <c r="AJ7276">
        <v>71.5500508118742</v>
      </c>
      <c r="AK7276">
        <v>3.02960848368043</v>
      </c>
      <c r="AL7276">
        <v>79.563318028941097</v>
      </c>
      <c r="AM7276">
        <v>82.045290654034503</v>
      </c>
      <c r="AN7276">
        <v>0.99999993656834296</v>
      </c>
    </row>
    <row r="7277" spans="1:40" x14ac:dyDescent="0.25">
      <c r="A7277" t="str">
        <f>"20190304155817678"</f>
        <v>20190304155817678</v>
      </c>
      <c r="B7277" t="str">
        <f>"1551686297671880"</f>
        <v>1551686297671880</v>
      </c>
      <c r="C7277" t="s">
        <v>40</v>
      </c>
      <c r="D7277">
        <v>4.8090739999999998</v>
      </c>
      <c r="E7277">
        <v>0.55322839999999995</v>
      </c>
      <c r="F7277" t="s">
        <v>46</v>
      </c>
      <c r="G7277">
        <v>0</v>
      </c>
      <c r="H7277">
        <v>0</v>
      </c>
      <c r="I7277">
        <v>0</v>
      </c>
      <c r="J7277">
        <v>-165.81909999999999</v>
      </c>
      <c r="K7277">
        <v>1.096406</v>
      </c>
      <c r="L7277">
        <v>136.80959999999999</v>
      </c>
      <c r="M7277">
        <v>0.98198929999999995</v>
      </c>
      <c r="N7277">
        <v>-1.8369070000000001E-2</v>
      </c>
      <c r="O7277">
        <v>0.18804209999999999</v>
      </c>
      <c r="P7277">
        <v>0.9837998</v>
      </c>
      <c r="Q7277">
        <v>0.16857820000000001</v>
      </c>
      <c r="R7277">
        <v>6.0989189999999999E-2</v>
      </c>
      <c r="S7277">
        <v>3.0268860000000002</v>
      </c>
      <c r="T7277">
        <v>0.29911459999999901</v>
      </c>
      <c r="U7277">
        <v>-0.37220760000000003</v>
      </c>
      <c r="V7277">
        <v>0.13168740000000001</v>
      </c>
      <c r="W7277">
        <v>0.18193619999999999</v>
      </c>
      <c r="X7277">
        <v>0.97445250000000005</v>
      </c>
      <c r="Y7277">
        <v>0.30407770000000001</v>
      </c>
      <c r="Z7277">
        <v>3.399841E-2</v>
      </c>
      <c r="AA7277">
        <v>0.95204040000000001</v>
      </c>
      <c r="AB7277">
        <v>34</v>
      </c>
      <c r="AC7277">
        <v>3.0268860000000002</v>
      </c>
      <c r="AD7277">
        <v>0.29911459999999901</v>
      </c>
      <c r="AE7277">
        <v>-0.37220760000000003</v>
      </c>
      <c r="AF7277">
        <v>0.925936194521084</v>
      </c>
      <c r="AG7277">
        <v>0.29911459999999901</v>
      </c>
      <c r="AH7277">
        <v>2.8752095121721601</v>
      </c>
      <c r="AI7277">
        <v>84.344778638037397</v>
      </c>
      <c r="AJ7277">
        <v>72.149297723191594</v>
      </c>
      <c r="AK7277">
        <v>3.03540065216152</v>
      </c>
      <c r="AL7277">
        <v>79.5174418090145</v>
      </c>
      <c r="AM7277">
        <v>82.303680941643606</v>
      </c>
      <c r="AN7277">
        <v>1.0000000134727201</v>
      </c>
    </row>
    <row r="7278" spans="1:40" x14ac:dyDescent="0.25">
      <c r="A7278" t="str">
        <f>"20190304155817696"</f>
        <v>20190304155817696</v>
      </c>
      <c r="B7278" t="str">
        <f>"1551686297692377"</f>
        <v>1551686297692377</v>
      </c>
      <c r="C7278" t="s">
        <v>40</v>
      </c>
      <c r="D7278">
        <v>5.053509</v>
      </c>
      <c r="E7278">
        <v>0.552898</v>
      </c>
      <c r="F7278" t="s">
        <v>41</v>
      </c>
      <c r="G7278">
        <v>-101.732</v>
      </c>
      <c r="H7278" s="1">
        <v>-5.336944E-6</v>
      </c>
      <c r="I7278">
        <v>131.45249999999999</v>
      </c>
      <c r="J7278">
        <v>-165.5582</v>
      </c>
      <c r="K7278">
        <v>1.0966260000000001</v>
      </c>
      <c r="L7278">
        <v>136.85169999999999</v>
      </c>
      <c r="M7278">
        <v>0.98393339999999996</v>
      </c>
      <c r="N7278">
        <v>-1.8137049999999998E-2</v>
      </c>
      <c r="O7278">
        <v>0.177612299999999</v>
      </c>
      <c r="P7278">
        <v>0.98419800000000002</v>
      </c>
      <c r="Q7278">
        <v>0.16901969999999999</v>
      </c>
      <c r="R7278">
        <v>5.2790589999999998E-2</v>
      </c>
      <c r="S7278">
        <v>3.074341</v>
      </c>
      <c r="T7278">
        <v>-5.2596209999999997E-2</v>
      </c>
      <c r="U7278">
        <v>-0.25698850000000001</v>
      </c>
      <c r="V7278">
        <v>0.12929060000000001</v>
      </c>
      <c r="W7278">
        <v>0.1823506</v>
      </c>
      <c r="X7278">
        <v>0.97469589999999995</v>
      </c>
      <c r="Y7278">
        <v>0.25892300000000001</v>
      </c>
      <c r="Z7278">
        <v>-4.3671300000000003E-3</v>
      </c>
      <c r="AA7278">
        <v>0.96588810000000003</v>
      </c>
      <c r="AB7278">
        <v>34</v>
      </c>
      <c r="AC7278">
        <v>63.826199999999901</v>
      </c>
      <c r="AD7278">
        <v>-1.0966313369439999</v>
      </c>
      <c r="AE7278">
        <v>-5.3992000000000004</v>
      </c>
      <c r="AF7278">
        <v>16.646631005924299</v>
      </c>
      <c r="AG7278">
        <v>-1.0966313369439999</v>
      </c>
      <c r="AH7278">
        <v>61.8338151799963</v>
      </c>
      <c r="AI7278">
        <v>90.981116957939804</v>
      </c>
      <c r="AJ7278">
        <v>74.9323193390466</v>
      </c>
      <c r="AK7278">
        <v>64.044778271538405</v>
      </c>
      <c r="AL7278">
        <v>79.493293816567203</v>
      </c>
      <c r="AM7278">
        <v>82.443990696096193</v>
      </c>
      <c r="AN7278">
        <v>0.99999994902276301</v>
      </c>
    </row>
    <row r="7279" spans="1:40" x14ac:dyDescent="0.25">
      <c r="A7279" t="str">
        <f>"20190304155817710"</f>
        <v>20190304155817710</v>
      </c>
      <c r="B7279" t="str">
        <f>"1551686297702137"</f>
        <v>1551686297702137</v>
      </c>
      <c r="C7279" t="s">
        <v>40</v>
      </c>
      <c r="D7279">
        <v>5.0412169999999996</v>
      </c>
      <c r="E7279">
        <v>0.55327919999999997</v>
      </c>
      <c r="F7279" t="s">
        <v>41</v>
      </c>
      <c r="G7279">
        <v>-100.7954</v>
      </c>
      <c r="H7279" s="1">
        <v>-5.8660820000000004E-6</v>
      </c>
      <c r="I7279">
        <v>130.96539999999999</v>
      </c>
      <c r="J7279">
        <v>-165.3279</v>
      </c>
      <c r="K7279">
        <v>1.096846</v>
      </c>
      <c r="L7279">
        <v>136.88679999999999</v>
      </c>
      <c r="M7279">
        <v>0.98551420000000001</v>
      </c>
      <c r="N7279">
        <v>-1.7941220000000001E-2</v>
      </c>
      <c r="O7279">
        <v>0.16864179999999901</v>
      </c>
      <c r="P7279">
        <v>0.98438760000000003</v>
      </c>
      <c r="Q7279">
        <v>0.16990529999999901</v>
      </c>
      <c r="R7279">
        <v>4.5975160000000001E-2</v>
      </c>
      <c r="S7279">
        <v>3.0720830000000001</v>
      </c>
      <c r="T7279">
        <v>-5.2019719999999998E-2</v>
      </c>
      <c r="U7279">
        <v>-0.27922059999999999</v>
      </c>
      <c r="V7279">
        <v>0.12700149999999999</v>
      </c>
      <c r="W7279">
        <v>0.18322630000000001</v>
      </c>
      <c r="X7279">
        <v>0.9748327</v>
      </c>
      <c r="Y7279">
        <v>0.25712109999999999</v>
      </c>
      <c r="Z7279">
        <v>-4.3040350000000003E-3</v>
      </c>
      <c r="AA7279">
        <v>0.96636960000000005</v>
      </c>
      <c r="AB7279">
        <v>34</v>
      </c>
      <c r="AC7279">
        <v>64.532499999999999</v>
      </c>
      <c r="AD7279">
        <v>-1.0968518660819999</v>
      </c>
      <c r="AE7279">
        <v>-5.9214000000000002</v>
      </c>
      <c r="AF7279">
        <v>16.716401651034499</v>
      </c>
      <c r="AG7279">
        <v>-1.0968518660819999</v>
      </c>
      <c r="AH7279">
        <v>62.591239927092097</v>
      </c>
      <c r="AI7279">
        <v>90.969961259690194</v>
      </c>
      <c r="AJ7279">
        <v>75.046873886907093</v>
      </c>
      <c r="AK7279">
        <v>64.794324472021799</v>
      </c>
      <c r="AL7279">
        <v>79.442260912236605</v>
      </c>
      <c r="AM7279">
        <v>82.577295138093703</v>
      </c>
      <c r="AN7279">
        <v>1.0000000255016099</v>
      </c>
    </row>
    <row r="7280" spans="1:40" x14ac:dyDescent="0.25">
      <c r="A7280" t="str">
        <f>"20190304155817722"</f>
        <v>20190304155817722</v>
      </c>
      <c r="B7280" t="str">
        <f>"1551686297711896"</f>
        <v>1551686297711896</v>
      </c>
      <c r="C7280" t="s">
        <v>40</v>
      </c>
      <c r="D7280">
        <v>5.0821350000000001</v>
      </c>
      <c r="E7280">
        <v>0.55298800000000004</v>
      </c>
      <c r="F7280" t="s">
        <v>41</v>
      </c>
      <c r="G7280">
        <v>-112.30200000000001</v>
      </c>
      <c r="H7280" s="1">
        <v>-4.7251620000000003E-6</v>
      </c>
      <c r="I7280">
        <v>131.6507</v>
      </c>
      <c r="J7280">
        <v>-165.1301</v>
      </c>
      <c r="K7280">
        <v>1.0970709999999999</v>
      </c>
      <c r="L7280">
        <v>136.91480000000001</v>
      </c>
      <c r="M7280">
        <v>0.98675420000000003</v>
      </c>
      <c r="N7280">
        <v>-1.778006E-2</v>
      </c>
      <c r="O7280">
        <v>0.16124530000000001</v>
      </c>
      <c r="P7280">
        <v>0.98431500000000005</v>
      </c>
      <c r="Q7280">
        <v>0.1710682</v>
      </c>
      <c r="R7280">
        <v>4.3126699999999997E-2</v>
      </c>
      <c r="S7280">
        <v>3.0727229999999999</v>
      </c>
      <c r="T7280">
        <v>-6.3559889999999994E-2</v>
      </c>
      <c r="U7280">
        <v>-0.303421</v>
      </c>
      <c r="V7280">
        <v>0.1223616</v>
      </c>
      <c r="W7280">
        <v>0.18448249999999999</v>
      </c>
      <c r="X7280">
        <v>0.97518910000000003</v>
      </c>
      <c r="Y7280">
        <v>0.2573706</v>
      </c>
      <c r="Z7280">
        <v>-5.4080589999999998E-3</v>
      </c>
      <c r="AA7280">
        <v>0.96629759999999998</v>
      </c>
      <c r="AB7280">
        <v>34</v>
      </c>
      <c r="AC7280">
        <v>52.8280999999999</v>
      </c>
      <c r="AD7280">
        <v>-1.09707572516199</v>
      </c>
      <c r="AE7280">
        <v>-5.2641000000000098</v>
      </c>
      <c r="AF7280">
        <v>13.708969371495</v>
      </c>
      <c r="AG7280">
        <v>-1.09707572516199</v>
      </c>
      <c r="AH7280">
        <v>51.265753168044299</v>
      </c>
      <c r="AI7280">
        <v>91.184328874172095</v>
      </c>
      <c r="AJ7280">
        <v>75.028833793130005</v>
      </c>
      <c r="AK7280">
        <v>53.078402992763202</v>
      </c>
      <c r="AL7280">
        <v>79.369037125708701</v>
      </c>
      <c r="AM7280">
        <v>82.848203019248601</v>
      </c>
      <c r="AN7280">
        <v>0.99999996735980901</v>
      </c>
    </row>
    <row r="7281" spans="1:40" x14ac:dyDescent="0.25">
      <c r="A7281" t="str">
        <f>"20190304155817746"</f>
        <v>20190304155817746</v>
      </c>
      <c r="B7281" t="str">
        <f>"1551686297742154"</f>
        <v>1551686297742154</v>
      </c>
      <c r="C7281" t="s">
        <v>40</v>
      </c>
      <c r="D7281">
        <v>5.0532729999999999</v>
      </c>
      <c r="E7281">
        <v>0.551598699999999</v>
      </c>
      <c r="F7281" t="s">
        <v>41</v>
      </c>
      <c r="G7281">
        <v>-110.11790000000001</v>
      </c>
      <c r="H7281" s="1">
        <v>-5.6826459999999996E-6</v>
      </c>
      <c r="I7281">
        <v>131.3801</v>
      </c>
      <c r="J7281">
        <v>-164.79480000000001</v>
      </c>
      <c r="K7281">
        <v>1.0974889999999999</v>
      </c>
      <c r="L7281">
        <v>136.95959999999999</v>
      </c>
      <c r="M7281">
        <v>0.98866980000000004</v>
      </c>
      <c r="N7281">
        <v>-1.7519139999999999E-2</v>
      </c>
      <c r="O7281">
        <v>0.14908150000000001</v>
      </c>
      <c r="P7281">
        <v>0.98438619999999999</v>
      </c>
      <c r="Q7281">
        <v>0.17240229999999901</v>
      </c>
      <c r="R7281">
        <v>3.5521320000000002E-2</v>
      </c>
      <c r="S7281">
        <v>3.072006</v>
      </c>
      <c r="T7281">
        <v>-6.1263199999999997E-2</v>
      </c>
      <c r="U7281">
        <v>-0.30906679999999997</v>
      </c>
      <c r="V7281">
        <v>0.1176301</v>
      </c>
      <c r="W7281">
        <v>0.18587000000000001</v>
      </c>
      <c r="X7281">
        <v>0.97550780000000004</v>
      </c>
      <c r="Y7281">
        <v>0.24724679999999999</v>
      </c>
      <c r="Z7281">
        <v>-4.9853800000000002E-3</v>
      </c>
      <c r="AA7281">
        <v>0.96893969999999896</v>
      </c>
      <c r="AB7281">
        <v>34</v>
      </c>
      <c r="AC7281">
        <v>54.676900000000003</v>
      </c>
      <c r="AD7281">
        <v>-1.0974946826459999</v>
      </c>
      <c r="AE7281">
        <v>-5.5794999999999897</v>
      </c>
      <c r="AF7281">
        <v>13.664245464732099</v>
      </c>
      <c r="AG7281">
        <v>-1.0974946826459999</v>
      </c>
      <c r="AH7281">
        <v>53.212546083465803</v>
      </c>
      <c r="AI7281">
        <v>91.144424255838899</v>
      </c>
      <c r="AJ7281">
        <v>75.598398121833</v>
      </c>
      <c r="AK7281">
        <v>54.9498968095834</v>
      </c>
      <c r="AL7281">
        <v>79.288140299604507</v>
      </c>
      <c r="AM7281">
        <v>83.124273960076906</v>
      </c>
      <c r="AN7281">
        <v>0.99999998259342404</v>
      </c>
    </row>
    <row r="7282" spans="1:40" x14ac:dyDescent="0.25">
      <c r="A7282" t="str">
        <f>"20190304155817768"</f>
        <v>20190304155817768</v>
      </c>
      <c r="B7282" t="str">
        <f>"1551686297761672"</f>
        <v>1551686297761672</v>
      </c>
      <c r="C7282" t="s">
        <v>40</v>
      </c>
      <c r="D7282">
        <v>5.0725860000000003</v>
      </c>
      <c r="E7282">
        <v>0.55094189999999998</v>
      </c>
      <c r="F7282" t="s">
        <v>41</v>
      </c>
      <c r="G7282">
        <v>-115.2856</v>
      </c>
      <c r="H7282" s="1">
        <v>-3.6717080000000002E-6</v>
      </c>
      <c r="I7282">
        <v>131.79399999999899</v>
      </c>
      <c r="J7282">
        <v>-164.44640000000001</v>
      </c>
      <c r="K7282">
        <v>1.09799</v>
      </c>
      <c r="L7282">
        <v>137.00210000000001</v>
      </c>
      <c r="M7282">
        <v>0.99040379999999995</v>
      </c>
      <c r="N7282">
        <v>-1.7263210000000001E-2</v>
      </c>
      <c r="O7282">
        <v>0.1371223</v>
      </c>
      <c r="P7282">
        <v>0.98434630000000001</v>
      </c>
      <c r="Q7282">
        <v>0.17393699999999901</v>
      </c>
      <c r="R7282">
        <v>2.8431600000000001E-2</v>
      </c>
      <c r="S7282">
        <v>3.071075</v>
      </c>
      <c r="T7282">
        <v>-6.8077799999999994E-2</v>
      </c>
      <c r="U7282">
        <v>-0.32041930000000002</v>
      </c>
      <c r="V7282">
        <v>0.1125789</v>
      </c>
      <c r="W7282">
        <v>0.18747820000000001</v>
      </c>
      <c r="X7282">
        <v>0.975796</v>
      </c>
      <c r="Y7282">
        <v>0.23908799999999999</v>
      </c>
      <c r="Z7282">
        <v>-5.3794079999999996E-3</v>
      </c>
      <c r="AA7282">
        <v>0.97098300000000004</v>
      </c>
      <c r="AB7282">
        <v>34</v>
      </c>
      <c r="AC7282">
        <v>49.160800000000002</v>
      </c>
      <c r="AD7282">
        <v>-1.0979936717080001</v>
      </c>
      <c r="AE7282">
        <v>-5.2081000000000301</v>
      </c>
      <c r="AF7282">
        <v>11.895068219408</v>
      </c>
      <c r="AG7282">
        <v>-1.0979936717080001</v>
      </c>
      <c r="AH7282">
        <v>47.958383178483203</v>
      </c>
      <c r="AI7282">
        <v>91.272983314319305</v>
      </c>
      <c r="AJ7282">
        <v>76.070094569322904</v>
      </c>
      <c r="AK7282">
        <v>49.423726641580799</v>
      </c>
      <c r="AL7282">
        <v>79.1943482734128</v>
      </c>
      <c r="AM7282">
        <v>83.418805517327897</v>
      </c>
      <c r="AN7282">
        <v>0.99999995890822402</v>
      </c>
    </row>
    <row r="7283" spans="1:40" x14ac:dyDescent="0.25">
      <c r="A7283" t="str">
        <f>"20190304155817790"</f>
        <v>20190304155817790</v>
      </c>
      <c r="B7283" t="str">
        <f>"1551686297782169"</f>
        <v>1551686297782169</v>
      </c>
      <c r="C7283" t="s">
        <v>40</v>
      </c>
      <c r="D7283">
        <v>4.9367470000000004</v>
      </c>
      <c r="E7283">
        <v>0.55085790000000001</v>
      </c>
      <c r="F7283" t="s">
        <v>41</v>
      </c>
      <c r="G7283">
        <v>-119.631</v>
      </c>
      <c r="H7283" s="1">
        <v>-2.1131440000000001E-6</v>
      </c>
      <c r="I7283">
        <v>132.09389999999999</v>
      </c>
      <c r="J7283">
        <v>-164.10890000000001</v>
      </c>
      <c r="K7283">
        <v>1.098554</v>
      </c>
      <c r="L7283">
        <v>137.03960000000001</v>
      </c>
      <c r="M7283">
        <v>0.99185029999999996</v>
      </c>
      <c r="N7283">
        <v>-1.702708E-2</v>
      </c>
      <c r="O7283">
        <v>0.12626599999999999</v>
      </c>
      <c r="P7283">
        <v>0.98432520000000001</v>
      </c>
      <c r="Q7283">
        <v>0.17484539999999901</v>
      </c>
      <c r="R7283">
        <v>2.3093229999999999E-2</v>
      </c>
      <c r="S7283">
        <v>3.070694</v>
      </c>
      <c r="T7283">
        <v>-7.5232980000000005E-2</v>
      </c>
      <c r="U7283">
        <v>-0.33630369999999998</v>
      </c>
      <c r="V7283">
        <v>0.10687290000000001</v>
      </c>
      <c r="W7283">
        <v>0.18849399999999999</v>
      </c>
      <c r="X7283">
        <v>0.9762419</v>
      </c>
      <c r="Y7283">
        <v>0.23341039999999999</v>
      </c>
      <c r="Z7283">
        <v>-5.7829040000000002E-3</v>
      </c>
      <c r="AA7283">
        <v>0.97236109999999998</v>
      </c>
      <c r="AB7283">
        <v>34</v>
      </c>
      <c r="AC7283">
        <v>44.477899999999998</v>
      </c>
      <c r="AD7283">
        <v>-1.098556113144</v>
      </c>
      <c r="AE7283">
        <v>-4.9457000000000102</v>
      </c>
      <c r="AF7283">
        <v>10.5166286825272</v>
      </c>
      <c r="AG7283">
        <v>-1.098556113144</v>
      </c>
      <c r="AH7283">
        <v>43.471054586747201</v>
      </c>
      <c r="AI7283">
        <v>91.4070402254344</v>
      </c>
      <c r="AJ7283">
        <v>76.400157183423602</v>
      </c>
      <c r="AK7283">
        <v>44.738561569006997</v>
      </c>
      <c r="AL7283">
        <v>79.135091492114796</v>
      </c>
      <c r="AM7283">
        <v>83.752492418236798</v>
      </c>
      <c r="AN7283">
        <v>1.000000026053</v>
      </c>
    </row>
    <row r="7284" spans="1:40" x14ac:dyDescent="0.25">
      <c r="A7284" t="str">
        <f>"20190304155817813"</f>
        <v>20190304155817813</v>
      </c>
      <c r="B7284" t="str">
        <f>"1551686297801689"</f>
        <v>1551686297801689</v>
      </c>
      <c r="C7284" t="s">
        <v>40</v>
      </c>
      <c r="D7284">
        <v>5.0802690000000004</v>
      </c>
      <c r="E7284">
        <v>0.54971780000000003</v>
      </c>
      <c r="F7284" t="s">
        <v>41</v>
      </c>
      <c r="G7284">
        <v>-116.3267</v>
      </c>
      <c r="H7284" s="1">
        <v>-3.3790580000000001E-6</v>
      </c>
      <c r="I7284">
        <v>131.56229999999999</v>
      </c>
      <c r="J7284">
        <v>-163.76499999999999</v>
      </c>
      <c r="K7284">
        <v>1.0991820000000001</v>
      </c>
      <c r="L7284">
        <v>137.07409999999999</v>
      </c>
      <c r="M7284">
        <v>0.99310880000000001</v>
      </c>
      <c r="N7284">
        <v>-1.6799379999999999E-2</v>
      </c>
      <c r="O7284">
        <v>0.11598550000000001</v>
      </c>
      <c r="P7284">
        <v>0.9841415</v>
      </c>
      <c r="Q7284">
        <v>0.17645720000000001</v>
      </c>
      <c r="R7284">
        <v>1.8117830000000001E-2</v>
      </c>
      <c r="S7284">
        <v>3.0685730000000002</v>
      </c>
      <c r="T7284">
        <v>-7.0549249999999994E-2</v>
      </c>
      <c r="U7284">
        <v>-0.35174559999999999</v>
      </c>
      <c r="V7284">
        <v>0.1013679</v>
      </c>
      <c r="W7284">
        <v>0.19020719999999999</v>
      </c>
      <c r="X7284">
        <v>0.9764967</v>
      </c>
      <c r="Y7284">
        <v>0.2282554</v>
      </c>
      <c r="Z7284">
        <v>-5.2543160000000002E-3</v>
      </c>
      <c r="AA7284">
        <v>0.97358710000000004</v>
      </c>
      <c r="AB7284">
        <v>34</v>
      </c>
      <c r="AC7284">
        <v>47.438299999999899</v>
      </c>
      <c r="AD7284">
        <v>-1.099185379058</v>
      </c>
      <c r="AE7284">
        <v>-5.5117999999999903</v>
      </c>
      <c r="AF7284">
        <v>10.9717093627805</v>
      </c>
      <c r="AG7284">
        <v>-1.099185379058</v>
      </c>
      <c r="AH7284">
        <v>46.454056244154003</v>
      </c>
      <c r="AI7284">
        <v>91.319185489080297</v>
      </c>
      <c r="AJ7284">
        <v>76.711172571130504</v>
      </c>
      <c r="AK7284">
        <v>47.744800307194602</v>
      </c>
      <c r="AL7284">
        <v>79.035123798001607</v>
      </c>
      <c r="AM7284">
        <v>84.073482834100304</v>
      </c>
      <c r="AN7284">
        <v>1.00000001759656</v>
      </c>
    </row>
    <row r="7285" spans="1:40" x14ac:dyDescent="0.25">
      <c r="A7285" t="str">
        <f>"20190304155817835"</f>
        <v>20190304155817835</v>
      </c>
      <c r="B7285" t="str">
        <f>"1551686297831945"</f>
        <v>1551686297831945</v>
      </c>
      <c r="C7285" t="s">
        <v>40</v>
      </c>
      <c r="D7285">
        <v>5.0824910000000001</v>
      </c>
      <c r="E7285">
        <v>0.54705249999999905</v>
      </c>
      <c r="F7285" t="s">
        <v>41</v>
      </c>
      <c r="G7285">
        <v>-117.8381</v>
      </c>
      <c r="H7285" s="1">
        <v>-2.8266249999999998E-6</v>
      </c>
      <c r="I7285">
        <v>131.7055</v>
      </c>
      <c r="J7285">
        <v>-163.42410000000001</v>
      </c>
      <c r="K7285">
        <v>1.0998000000000001</v>
      </c>
      <c r="L7285">
        <v>137.1053</v>
      </c>
      <c r="M7285">
        <v>0.9941837</v>
      </c>
      <c r="N7285">
        <v>-1.6591930000000001E-2</v>
      </c>
      <c r="O7285">
        <v>0.1064119</v>
      </c>
      <c r="P7285">
        <v>0.98377049999999999</v>
      </c>
      <c r="Q7285">
        <v>0.17885179999999901</v>
      </c>
      <c r="R7285">
        <v>1.4413779999999999E-2</v>
      </c>
      <c r="S7285">
        <v>3.0681150000000001</v>
      </c>
      <c r="T7285">
        <v>-7.3430179999999998E-2</v>
      </c>
      <c r="U7285">
        <v>-0.35864259999999998</v>
      </c>
      <c r="V7285">
        <v>9.5324019999999995E-2</v>
      </c>
      <c r="W7285">
        <v>0.1927092</v>
      </c>
      <c r="X7285">
        <v>0.97661480000000001</v>
      </c>
      <c r="Y7285">
        <v>0.2210413</v>
      </c>
      <c r="Z7285">
        <v>-5.2550339999999996E-3</v>
      </c>
      <c r="AA7285">
        <v>0.97525030000000001</v>
      </c>
      <c r="AB7285">
        <v>34</v>
      </c>
      <c r="AC7285">
        <v>45.585999999999999</v>
      </c>
      <c r="AD7285">
        <v>-1.099802826625</v>
      </c>
      <c r="AE7285">
        <v>-5.3997999999999902</v>
      </c>
      <c r="AF7285">
        <v>10.2148295208265</v>
      </c>
      <c r="AG7285">
        <v>-1.099802826625</v>
      </c>
      <c r="AH7285">
        <v>44.726741918929399</v>
      </c>
      <c r="AI7285">
        <v>91.373239796942897</v>
      </c>
      <c r="AJ7285">
        <v>77.135256522278794</v>
      </c>
      <c r="AK7285">
        <v>45.891543350376899</v>
      </c>
      <c r="AL7285">
        <v>78.889067438329903</v>
      </c>
      <c r="AM7285">
        <v>84.425214520522005</v>
      </c>
      <c r="AN7285">
        <v>0.99999998606632001</v>
      </c>
    </row>
    <row r="7286" spans="1:40" x14ac:dyDescent="0.25">
      <c r="A7286" t="str">
        <f>"20190304155817857"</f>
        <v>20190304155817857</v>
      </c>
      <c r="B7286" t="str">
        <f>"1551686297851465"</f>
        <v>1551686297851465</v>
      </c>
      <c r="C7286" t="s">
        <v>40</v>
      </c>
      <c r="D7286">
        <v>5.1499410000000001</v>
      </c>
      <c r="E7286">
        <v>0.54448369999999902</v>
      </c>
      <c r="F7286" t="s">
        <v>41</v>
      </c>
      <c r="G7286">
        <v>-103.5699</v>
      </c>
      <c r="H7286" s="1">
        <v>-4.9313569999999998E-6</v>
      </c>
      <c r="I7286">
        <v>130.30359999999999</v>
      </c>
      <c r="J7286">
        <v>-163.09780000000001</v>
      </c>
      <c r="K7286">
        <v>1.1003769999999999</v>
      </c>
      <c r="L7286">
        <v>137.13239999999999</v>
      </c>
      <c r="M7286">
        <v>0.9950677</v>
      </c>
      <c r="N7286">
        <v>-1.641248E-2</v>
      </c>
      <c r="O7286">
        <v>9.7831680000000004E-2</v>
      </c>
      <c r="P7286">
        <v>0.98346809999999996</v>
      </c>
      <c r="Q7286">
        <v>0.18065980000000001</v>
      </c>
      <c r="R7286">
        <v>1.2366449999999999E-2</v>
      </c>
      <c r="S7286">
        <v>3.064835</v>
      </c>
      <c r="T7286">
        <v>-5.6315539999999997E-2</v>
      </c>
      <c r="U7286">
        <v>-0.34828189999999998</v>
      </c>
      <c r="V7286">
        <v>8.863625E-2</v>
      </c>
      <c r="W7286">
        <v>0.19463939999999999</v>
      </c>
      <c r="X7286">
        <v>0.97686189999999995</v>
      </c>
      <c r="Y7286">
        <v>0.20952209999999999</v>
      </c>
      <c r="Z7286">
        <v>-3.835663E-3</v>
      </c>
      <c r="AA7286">
        <v>0.97779640000000001</v>
      </c>
      <c r="AB7286">
        <v>34</v>
      </c>
      <c r="AC7286">
        <v>59.527900000000002</v>
      </c>
      <c r="AD7286">
        <v>-1.100381931357</v>
      </c>
      <c r="AE7286">
        <v>-6.8288000000000002</v>
      </c>
      <c r="AF7286">
        <v>12.616276836169799</v>
      </c>
      <c r="AG7286">
        <v>-1.100381931357</v>
      </c>
      <c r="AH7286">
        <v>58.5543550081061</v>
      </c>
      <c r="AI7286">
        <v>91.052456497600105</v>
      </c>
      <c r="AJ7286">
        <v>77.840785221186806</v>
      </c>
      <c r="AK7286">
        <v>59.908211223646603</v>
      </c>
      <c r="AL7286">
        <v>78.776341179256093</v>
      </c>
      <c r="AM7286">
        <v>84.815424283722194</v>
      </c>
      <c r="AN7286">
        <v>1.0000000262590101</v>
      </c>
    </row>
    <row r="7287" spans="1:40" x14ac:dyDescent="0.25">
      <c r="A7287" t="str">
        <f>"20190304155817879"</f>
        <v>20190304155817879</v>
      </c>
      <c r="B7287" t="str">
        <f>"1551686297871960"</f>
        <v>1551686297871960</v>
      </c>
      <c r="C7287" t="s">
        <v>40</v>
      </c>
      <c r="D7287">
        <v>5.5436009999999998</v>
      </c>
      <c r="E7287">
        <v>0.48509150000000001</v>
      </c>
      <c r="F7287" t="s">
        <v>41</v>
      </c>
      <c r="G7287">
        <v>-90.200950000000006</v>
      </c>
      <c r="H7287">
        <v>7.9986769999999999E-2</v>
      </c>
      <c r="I7287">
        <v>129.18940000000001</v>
      </c>
      <c r="J7287">
        <v>-162.7595</v>
      </c>
      <c r="K7287">
        <v>1.100973</v>
      </c>
      <c r="L7287">
        <v>137.15790000000001</v>
      </c>
      <c r="M7287">
        <v>0.99584980000000001</v>
      </c>
      <c r="N7287">
        <v>-1.624103E-2</v>
      </c>
      <c r="O7287">
        <v>8.9552190000000004E-2</v>
      </c>
      <c r="P7287">
        <v>0.9832727</v>
      </c>
      <c r="Q7287">
        <v>0.18181220000000001</v>
      </c>
      <c r="R7287">
        <v>1.0914200000000001E-2</v>
      </c>
      <c r="S7287">
        <v>3.0625</v>
      </c>
      <c r="T7287">
        <v>-4.286802E-2</v>
      </c>
      <c r="U7287">
        <v>-0.33369450000000001</v>
      </c>
      <c r="V7287">
        <v>8.1645860000000001E-2</v>
      </c>
      <c r="W7287">
        <v>0.1959137</v>
      </c>
      <c r="X7287">
        <v>0.97721630000000004</v>
      </c>
      <c r="Y7287">
        <v>0.19688050000000001</v>
      </c>
      <c r="Z7287">
        <v>-2.7776749999999998E-3</v>
      </c>
      <c r="AA7287">
        <v>0.98042359999999995</v>
      </c>
      <c r="AB7287">
        <v>34</v>
      </c>
      <c r="AC7287">
        <v>72.558549999999997</v>
      </c>
      <c r="AD7287">
        <v>-1.0209862300000001</v>
      </c>
      <c r="AE7287">
        <v>-7.9684999999999997</v>
      </c>
      <c r="AF7287">
        <v>14.432285201988901</v>
      </c>
      <c r="AG7287">
        <v>-1.0209862300000001</v>
      </c>
      <c r="AH7287">
        <v>71.539255657913401</v>
      </c>
      <c r="AI7287">
        <v>90.801506866654194</v>
      </c>
      <c r="AJ7287">
        <v>78.594273476311898</v>
      </c>
      <c r="AK7287">
        <v>72.987659019328007</v>
      </c>
      <c r="AL7287">
        <v>78.701895209538904</v>
      </c>
      <c r="AM7287">
        <v>85.224062774035602</v>
      </c>
      <c r="AN7287">
        <v>0.999999960644259</v>
      </c>
    </row>
    <row r="7288" spans="1:40" x14ac:dyDescent="0.25">
      <c r="A7288" t="str">
        <f>"20190304155817902"</f>
        <v>20190304155817902</v>
      </c>
      <c r="B7288" t="str">
        <f>"1551686297891481"</f>
        <v>1551686297891481</v>
      </c>
      <c r="C7288" t="s">
        <v>40</v>
      </c>
      <c r="D7288">
        <v>5.5017139999999998</v>
      </c>
      <c r="E7288">
        <v>0.48504730000000001</v>
      </c>
      <c r="F7288" t="s">
        <v>46</v>
      </c>
      <c r="G7288">
        <v>0</v>
      </c>
      <c r="H7288">
        <v>0</v>
      </c>
      <c r="I7288">
        <v>0</v>
      </c>
      <c r="J7288">
        <v>-162.42400000000001</v>
      </c>
      <c r="K7288">
        <v>1.1015779999999999</v>
      </c>
      <c r="L7288">
        <v>137.18090000000001</v>
      </c>
      <c r="M7288">
        <v>0.99650640000000001</v>
      </c>
      <c r="N7288">
        <v>-1.6081209999999999E-2</v>
      </c>
      <c r="O7288">
        <v>8.195318E-2</v>
      </c>
      <c r="P7288">
        <v>0.98293629999999999</v>
      </c>
      <c r="Q7288">
        <v>0.18308070000000001</v>
      </c>
      <c r="R7288">
        <v>1.7821299999999901E-2</v>
      </c>
      <c r="S7288">
        <v>3.027237</v>
      </c>
      <c r="T7288">
        <v>0.12026729999999999</v>
      </c>
      <c r="U7288">
        <v>0.14001459999999999</v>
      </c>
      <c r="V7288">
        <v>6.6989999999999994E-2</v>
      </c>
      <c r="W7288">
        <v>0.1974631</v>
      </c>
      <c r="X7288">
        <v>0.97801879999999997</v>
      </c>
      <c r="Y7288">
        <v>3.568561E-2</v>
      </c>
      <c r="Z7288">
        <v>4.9878980000000002E-3</v>
      </c>
      <c r="AA7288">
        <v>0.99935059999999998</v>
      </c>
      <c r="AB7288">
        <v>34</v>
      </c>
      <c r="AC7288">
        <v>3.027237</v>
      </c>
      <c r="AD7288">
        <v>0.12026729999999999</v>
      </c>
      <c r="AE7288">
        <v>0.14001459999999999</v>
      </c>
      <c r="AF7288">
        <v>0.108409555409842</v>
      </c>
      <c r="AG7288">
        <v>0.12026729999999999</v>
      </c>
      <c r="AH7288">
        <v>3.02376504758602</v>
      </c>
      <c r="AI7288">
        <v>87.723777850508995</v>
      </c>
      <c r="AJ7288">
        <v>87.946682182593193</v>
      </c>
      <c r="AK7288">
        <v>3.0280970787206201</v>
      </c>
      <c r="AL7288">
        <v>78.611353540944705</v>
      </c>
      <c r="AM7288">
        <v>86.081610553026294</v>
      </c>
      <c r="AN7288">
        <v>1.0000000545575201</v>
      </c>
    </row>
    <row r="7289" spans="1:40" x14ac:dyDescent="0.25">
      <c r="A7289" t="str">
        <f>"20190304155817924"</f>
        <v>20190304155817924</v>
      </c>
      <c r="B7289" t="str">
        <f>"1551686297921737"</f>
        <v>1551686297921737</v>
      </c>
      <c r="C7289" t="s">
        <v>40</v>
      </c>
      <c r="D7289">
        <v>5.0519189999999998</v>
      </c>
      <c r="E7289">
        <v>0.48583559999999998</v>
      </c>
      <c r="F7289" t="s">
        <v>46</v>
      </c>
      <c r="G7289">
        <v>0</v>
      </c>
      <c r="H7289">
        <v>0</v>
      </c>
      <c r="I7289">
        <v>0</v>
      </c>
      <c r="J7289">
        <v>-162.0813</v>
      </c>
      <c r="K7289">
        <v>1.1022069999999999</v>
      </c>
      <c r="L7289">
        <v>137.202</v>
      </c>
      <c r="M7289">
        <v>0.99707210000000002</v>
      </c>
      <c r="N7289">
        <v>-1.5928049999999999E-2</v>
      </c>
      <c r="O7289">
        <v>7.4790309999999999E-2</v>
      </c>
      <c r="P7289">
        <v>0.98296360000000005</v>
      </c>
      <c r="Q7289">
        <v>0.18280730000000001</v>
      </c>
      <c r="R7289">
        <v>1.9089729999999999E-2</v>
      </c>
      <c r="S7289">
        <v>3.0254970000000001</v>
      </c>
      <c r="T7289">
        <v>0.12712290000000001</v>
      </c>
      <c r="U7289">
        <v>0.16036989999999901</v>
      </c>
      <c r="V7289">
        <v>5.8364220000000001E-2</v>
      </c>
      <c r="W7289">
        <v>0.19731489999999999</v>
      </c>
      <c r="X7289">
        <v>0.97860130000000001</v>
      </c>
      <c r="Y7289">
        <v>2.1774519999999999E-2</v>
      </c>
      <c r="Z7289">
        <v>4.6096799999999997E-3</v>
      </c>
      <c r="AA7289">
        <v>0.99975230000000004</v>
      </c>
      <c r="AB7289">
        <v>34</v>
      </c>
      <c r="AC7289">
        <v>3.0254970000000001</v>
      </c>
      <c r="AD7289">
        <v>0.12712290000000001</v>
      </c>
      <c r="AE7289">
        <v>0.16036989999999901</v>
      </c>
      <c r="AF7289">
        <v>6.6269258138912102E-2</v>
      </c>
      <c r="AG7289">
        <v>0.12712290000000001</v>
      </c>
      <c r="AH7289">
        <v>3.02369371367721</v>
      </c>
      <c r="AI7289">
        <v>87.593151319630607</v>
      </c>
      <c r="AJ7289">
        <v>88.744469051592603</v>
      </c>
      <c r="AK7289">
        <v>3.0270902729204701</v>
      </c>
      <c r="AL7289">
        <v>78.620014886317094</v>
      </c>
      <c r="AM7289">
        <v>86.586896989956003</v>
      </c>
      <c r="AN7289">
        <v>1.0000000281499499</v>
      </c>
    </row>
    <row r="7290" spans="1:40" x14ac:dyDescent="0.25">
      <c r="A7290" t="str">
        <f>"20190304155817946"</f>
        <v>20190304155817946</v>
      </c>
      <c r="B7290" t="str">
        <f>"1551686297942235"</f>
        <v>1551686297942235</v>
      </c>
      <c r="C7290" t="s">
        <v>40</v>
      </c>
      <c r="D7290">
        <v>5.1090280000000003</v>
      </c>
      <c r="E7290">
        <v>0.48579060000000002</v>
      </c>
      <c r="F7290" t="s">
        <v>46</v>
      </c>
      <c r="G7290">
        <v>0</v>
      </c>
      <c r="H7290">
        <v>0</v>
      </c>
      <c r="I7290">
        <v>0</v>
      </c>
      <c r="J7290">
        <v>-161.74459999999999</v>
      </c>
      <c r="K7290">
        <v>1.102835</v>
      </c>
      <c r="L7290">
        <v>137.2209</v>
      </c>
      <c r="M7290">
        <v>0.99753890000000001</v>
      </c>
      <c r="N7290">
        <v>-1.5788690000000001E-2</v>
      </c>
      <c r="O7290">
        <v>6.8314410000000006E-2</v>
      </c>
      <c r="P7290">
        <v>0.98280259999999997</v>
      </c>
      <c r="Q7290">
        <v>0.1833938</v>
      </c>
      <c r="R7290">
        <v>2.1585440000000001E-2</v>
      </c>
      <c r="S7290">
        <v>3.0253299999999999</v>
      </c>
      <c r="T7290">
        <v>0.126919</v>
      </c>
      <c r="U7290">
        <v>0.1573639</v>
      </c>
      <c r="V7290">
        <v>4.919668E-2</v>
      </c>
      <c r="W7290">
        <v>0.1980189</v>
      </c>
      <c r="X7290">
        <v>0.97896280000000002</v>
      </c>
      <c r="Y7290">
        <v>1.628454E-2</v>
      </c>
      <c r="Z7290">
        <v>4.1507109999999996E-3</v>
      </c>
      <c r="AA7290">
        <v>0.99985880000000005</v>
      </c>
      <c r="AB7290">
        <v>34</v>
      </c>
      <c r="AC7290">
        <v>3.0253299999999999</v>
      </c>
      <c r="AD7290">
        <v>0.126919</v>
      </c>
      <c r="AE7290">
        <v>0.1573639</v>
      </c>
      <c r="AF7290">
        <v>4.9616130023683397E-2</v>
      </c>
      <c r="AG7290">
        <v>0.126919</v>
      </c>
      <c r="AH7290">
        <v>3.02370484744098</v>
      </c>
      <c r="AI7290">
        <v>87.596762881072394</v>
      </c>
      <c r="AJ7290">
        <v>89.0599149443144</v>
      </c>
      <c r="AK7290">
        <v>3.0267740578638498</v>
      </c>
      <c r="AL7290">
        <v>78.578866227979006</v>
      </c>
      <c r="AM7290">
        <v>87.123084926405198</v>
      </c>
      <c r="AN7290">
        <v>0.99999998093203601</v>
      </c>
    </row>
    <row r="7291" spans="1:40" x14ac:dyDescent="0.25">
      <c r="A7291" t="str">
        <f>"20190304155817968"</f>
        <v>20190304155817968</v>
      </c>
      <c r="B7291" t="str">
        <f>"1551686297961753"</f>
        <v>1551686297961753</v>
      </c>
      <c r="C7291" t="s">
        <v>40</v>
      </c>
      <c r="D7291">
        <v>5.1100159999999999</v>
      </c>
      <c r="E7291">
        <v>0.48583130000000002</v>
      </c>
      <c r="F7291" t="s">
        <v>46</v>
      </c>
      <c r="G7291">
        <v>0</v>
      </c>
      <c r="H7291">
        <v>0</v>
      </c>
      <c r="I7291">
        <v>0</v>
      </c>
      <c r="J7291">
        <v>-161.41560000000001</v>
      </c>
      <c r="K7291">
        <v>1.1034469999999901</v>
      </c>
      <c r="L7291">
        <v>137.23759999999999</v>
      </c>
      <c r="M7291">
        <v>0.99792170000000002</v>
      </c>
      <c r="N7291">
        <v>-1.5663730000000001E-2</v>
      </c>
      <c r="O7291">
        <v>6.2504690000000002E-2</v>
      </c>
      <c r="P7291">
        <v>0.98250800000000005</v>
      </c>
      <c r="Q7291">
        <v>0.18460470000000001</v>
      </c>
      <c r="R7291">
        <v>2.4477459999999999E-2</v>
      </c>
      <c r="S7291">
        <v>3.0319060000000002</v>
      </c>
      <c r="T7291">
        <v>9.1145989999999996E-2</v>
      </c>
      <c r="U7291">
        <v>0.1637421</v>
      </c>
      <c r="V7291">
        <v>4.0301610000000002E-2</v>
      </c>
      <c r="W7291">
        <v>0.19932459999999999</v>
      </c>
      <c r="X7291">
        <v>0.97910450000000004</v>
      </c>
      <c r="Y7291">
        <v>8.5322149999999992E-3</v>
      </c>
      <c r="Z7291">
        <v>2.9157380000000002E-3</v>
      </c>
      <c r="AA7291">
        <v>0.9999593</v>
      </c>
      <c r="AB7291">
        <v>34</v>
      </c>
      <c r="AC7291">
        <v>3.0319060000000002</v>
      </c>
      <c r="AD7291">
        <v>9.1145989999999996E-2</v>
      </c>
      <c r="AE7291">
        <v>0.1637421</v>
      </c>
      <c r="AF7291">
        <v>2.6086247655744702E-2</v>
      </c>
      <c r="AG7291">
        <v>9.1145989999999996E-2</v>
      </c>
      <c r="AH7291">
        <v>3.0334785682621601</v>
      </c>
      <c r="AI7291">
        <v>88.279032864446194</v>
      </c>
      <c r="AJ7291">
        <v>89.507299946558803</v>
      </c>
      <c r="AK7291">
        <v>3.0349596880215199</v>
      </c>
      <c r="AL7291">
        <v>78.502534536790094</v>
      </c>
      <c r="AM7291">
        <v>87.642938638359894</v>
      </c>
      <c r="AN7291">
        <v>1.0000000689269899</v>
      </c>
    </row>
    <row r="7292" spans="1:40" x14ac:dyDescent="0.25">
      <c r="A7292" t="str">
        <f>"20190304155817991"</f>
        <v>20190304155817991</v>
      </c>
      <c r="B7292" t="str">
        <f>"1551686297982249"</f>
        <v>1551686297982249</v>
      </c>
      <c r="C7292" t="s">
        <v>40</v>
      </c>
      <c r="D7292">
        <v>5.231827</v>
      </c>
      <c r="E7292">
        <v>0.48658659999999998</v>
      </c>
      <c r="F7292" t="s">
        <v>46</v>
      </c>
      <c r="G7292">
        <v>0</v>
      </c>
      <c r="H7292">
        <v>0</v>
      </c>
      <c r="I7292">
        <v>0</v>
      </c>
      <c r="J7292">
        <v>-161.0772</v>
      </c>
      <c r="K7292">
        <v>1.1040559999999999</v>
      </c>
      <c r="L7292">
        <v>137.25319999999999</v>
      </c>
      <c r="M7292">
        <v>0.99825059999999999</v>
      </c>
      <c r="N7292">
        <v>-1.5546040000000001E-2</v>
      </c>
      <c r="O7292">
        <v>5.7044440000000002E-2</v>
      </c>
      <c r="P7292">
        <v>0.98207920000000004</v>
      </c>
      <c r="Q7292">
        <v>0.18643370000000001</v>
      </c>
      <c r="R7292">
        <v>2.7618670000000001E-2</v>
      </c>
      <c r="S7292">
        <v>3.035507</v>
      </c>
      <c r="T7292">
        <v>7.2604539999999995E-2</v>
      </c>
      <c r="U7292">
        <v>0.17134089999999999</v>
      </c>
      <c r="V7292">
        <v>3.1505409999999998E-2</v>
      </c>
      <c r="W7292">
        <v>0.20122419999999999</v>
      </c>
      <c r="X7292">
        <v>0.97903839999999998</v>
      </c>
      <c r="Y7292">
        <v>6.5225489999999999E-4</v>
      </c>
      <c r="Z7292">
        <v>2.2514219999999999E-3</v>
      </c>
      <c r="AA7292">
        <v>0.99999729999999998</v>
      </c>
      <c r="AB7292">
        <v>34</v>
      </c>
      <c r="AC7292">
        <v>3.035507</v>
      </c>
      <c r="AD7292">
        <v>7.2604539999999995E-2</v>
      </c>
      <c r="AE7292">
        <v>0.17134089999999999</v>
      </c>
      <c r="AF7292">
        <v>2.1166895415812002E-3</v>
      </c>
      <c r="AG7292">
        <v>7.2604539999999995E-2</v>
      </c>
      <c r="AH7292">
        <v>3.0386052958285799</v>
      </c>
      <c r="AI7292">
        <v>88.631233443299493</v>
      </c>
      <c r="AJ7292">
        <v>89.960087821270506</v>
      </c>
      <c r="AK7292">
        <v>3.0394733167838002</v>
      </c>
      <c r="AL7292">
        <v>78.391443709472398</v>
      </c>
      <c r="AM7292">
        <v>88.156860535507306</v>
      </c>
      <c r="AN7292">
        <v>0.99999997909973304</v>
      </c>
    </row>
    <row r="7293" spans="1:40" x14ac:dyDescent="0.25">
      <c r="A7293" t="str">
        <f>"20190304155818014"</f>
        <v>20190304155818014</v>
      </c>
      <c r="B7293" t="str">
        <f>"1551686298001769"</f>
        <v>1551686298001769</v>
      </c>
      <c r="C7293" t="s">
        <v>40</v>
      </c>
      <c r="D7293">
        <v>5.1848239999999999</v>
      </c>
      <c r="E7293">
        <v>0.48636420000000002</v>
      </c>
      <c r="F7293" t="s">
        <v>46</v>
      </c>
      <c r="G7293">
        <v>0</v>
      </c>
      <c r="H7293">
        <v>0</v>
      </c>
      <c r="I7293">
        <v>0</v>
      </c>
      <c r="J7293">
        <v>-160.72819999999999</v>
      </c>
      <c r="K7293">
        <v>1.1046450000000001</v>
      </c>
      <c r="L7293">
        <v>137.26769999999999</v>
      </c>
      <c r="M7293">
        <v>0.99853029999999998</v>
      </c>
      <c r="N7293">
        <v>-1.5435519999999999E-2</v>
      </c>
      <c r="O7293">
        <v>5.1951230000000001E-2</v>
      </c>
      <c r="P7293">
        <v>0.98171450000000005</v>
      </c>
      <c r="Q7293">
        <v>0.18789990000000001</v>
      </c>
      <c r="R7293">
        <v>3.0498170000000002E-2</v>
      </c>
      <c r="S7293">
        <v>3.0381320000000001</v>
      </c>
      <c r="T7293">
        <v>6.1599019999999997E-2</v>
      </c>
      <c r="U7293">
        <v>0.1746521</v>
      </c>
      <c r="V7293">
        <v>2.334025E-2</v>
      </c>
      <c r="W7293">
        <v>0.20273350000000001</v>
      </c>
      <c r="X7293">
        <v>0.97895569999999998</v>
      </c>
      <c r="Y7293">
        <v>-5.4753709999999997E-3</v>
      </c>
      <c r="Z7293">
        <v>1.840148E-3</v>
      </c>
      <c r="AA7293">
        <v>0.99998330000000002</v>
      </c>
      <c r="AB7293">
        <v>33</v>
      </c>
      <c r="AC7293">
        <v>3.0381320000000001</v>
      </c>
      <c r="AD7293">
        <v>6.1599019999999997E-2</v>
      </c>
      <c r="AE7293">
        <v>0.1746521</v>
      </c>
      <c r="AF7293">
        <v>-1.65559096381428E-2</v>
      </c>
      <c r="AG7293">
        <v>6.1599019999999997E-2</v>
      </c>
      <c r="AH7293">
        <v>3.0418565203448402</v>
      </c>
      <c r="AI7293">
        <v>88.839909355217401</v>
      </c>
      <c r="AJ7293">
        <v>90.311840606374403</v>
      </c>
      <c r="AK7293">
        <v>3.04252520577452</v>
      </c>
      <c r="AL7293">
        <v>78.303147046117502</v>
      </c>
      <c r="AM7293">
        <v>88.634213465630907</v>
      </c>
      <c r="AN7293">
        <v>0.99999995092740002</v>
      </c>
    </row>
    <row r="7294" spans="1:40" x14ac:dyDescent="0.25">
      <c r="A7294" t="str">
        <f>"20190304155818037"</f>
        <v>20190304155818037</v>
      </c>
      <c r="B7294" t="str">
        <f>"1551686298032025"</f>
        <v>1551686298032025</v>
      </c>
      <c r="C7294" t="s">
        <v>40</v>
      </c>
      <c r="D7294">
        <v>5.0003760000000002</v>
      </c>
      <c r="E7294">
        <v>0.48588189999999998</v>
      </c>
      <c r="F7294" t="s">
        <v>46</v>
      </c>
      <c r="G7294">
        <v>0</v>
      </c>
      <c r="H7294">
        <v>0</v>
      </c>
      <c r="I7294">
        <v>0</v>
      </c>
      <c r="J7294">
        <v>-160.3811</v>
      </c>
      <c r="K7294">
        <v>1.1051569999999999</v>
      </c>
      <c r="L7294">
        <v>137.2808</v>
      </c>
      <c r="M7294">
        <v>0.99876370000000003</v>
      </c>
      <c r="N7294">
        <v>-1.533545E-2</v>
      </c>
      <c r="O7294">
        <v>4.7288910000000003E-2</v>
      </c>
      <c r="P7294">
        <v>0.98122679999999995</v>
      </c>
      <c r="Q7294">
        <v>0.18984329999999999</v>
      </c>
      <c r="R7294">
        <v>3.396942E-2</v>
      </c>
      <c r="S7294">
        <v>3.0378720000000001</v>
      </c>
      <c r="T7294">
        <v>6.3869480000000006E-2</v>
      </c>
      <c r="U7294">
        <v>0.18571470000000001</v>
      </c>
      <c r="V7294">
        <v>1.504317E-2</v>
      </c>
      <c r="W7294">
        <v>0.204704</v>
      </c>
      <c r="X7294">
        <v>0.97870829999999998</v>
      </c>
      <c r="Y7294">
        <v>-1.3774949999999999E-2</v>
      </c>
      <c r="Z7294">
        <v>1.678515E-3</v>
      </c>
      <c r="AA7294">
        <v>0.99990369999999995</v>
      </c>
      <c r="AB7294">
        <v>33</v>
      </c>
      <c r="AC7294">
        <v>3.0378720000000001</v>
      </c>
      <c r="AD7294">
        <v>6.3869480000000006E-2</v>
      </c>
      <c r="AE7294">
        <v>0.18571470000000001</v>
      </c>
      <c r="AF7294">
        <v>-4.1813943330895498E-2</v>
      </c>
      <c r="AG7294">
        <v>6.3869480000000006E-2</v>
      </c>
      <c r="AH7294">
        <v>3.0419162706346801</v>
      </c>
      <c r="AI7294">
        <v>88.797281655321896</v>
      </c>
      <c r="AJ7294">
        <v>90.787533708435703</v>
      </c>
      <c r="AK7294">
        <v>3.0428740220200301</v>
      </c>
      <c r="AL7294">
        <v>78.187827723381702</v>
      </c>
      <c r="AM7294">
        <v>89.119408422677296</v>
      </c>
      <c r="AN7294">
        <v>0.99999998053426897</v>
      </c>
    </row>
    <row r="7295" spans="1:40" x14ac:dyDescent="0.25">
      <c r="A7295" t="str">
        <f>"20190304155818058"</f>
        <v>20190304155818058</v>
      </c>
      <c r="B7295" t="str">
        <f>"1551686298051544"</f>
        <v>1551686298051544</v>
      </c>
      <c r="C7295" t="s">
        <v>40</v>
      </c>
      <c r="D7295">
        <v>5.962796</v>
      </c>
      <c r="E7295">
        <v>0.4860006</v>
      </c>
      <c r="F7295" t="s">
        <v>46</v>
      </c>
      <c r="G7295">
        <v>0</v>
      </c>
      <c r="H7295">
        <v>0</v>
      </c>
      <c r="I7295">
        <v>0</v>
      </c>
      <c r="J7295">
        <v>-160.0675</v>
      </c>
      <c r="K7295">
        <v>1.105577</v>
      </c>
      <c r="L7295">
        <v>137.29159999999999</v>
      </c>
      <c r="M7295">
        <v>0.99894090000000002</v>
      </c>
      <c r="N7295">
        <v>-1.525308E-2</v>
      </c>
      <c r="O7295">
        <v>4.3408460000000003E-2</v>
      </c>
      <c r="P7295">
        <v>0.98050959999999998</v>
      </c>
      <c r="Q7295">
        <v>0.1926224</v>
      </c>
      <c r="R7295">
        <v>3.8697460000000003E-2</v>
      </c>
      <c r="S7295">
        <v>3.0398710000000002</v>
      </c>
      <c r="T7295">
        <v>5.47775E-2</v>
      </c>
      <c r="U7295">
        <v>0.20007320000000001</v>
      </c>
      <c r="V7295">
        <v>6.3053950000000001E-3</v>
      </c>
      <c r="W7295">
        <v>0.20750830000000001</v>
      </c>
      <c r="X7295">
        <v>0.978213</v>
      </c>
      <c r="Y7295">
        <v>-2.2315930000000001E-2</v>
      </c>
      <c r="Z7295">
        <v>1.412125E-3</v>
      </c>
      <c r="AA7295">
        <v>0.99975000000000003</v>
      </c>
      <c r="AB7295">
        <v>33</v>
      </c>
      <c r="AC7295">
        <v>3.0398710000000002</v>
      </c>
      <c r="AD7295">
        <v>5.47775E-2</v>
      </c>
      <c r="AE7295">
        <v>0.20007320000000001</v>
      </c>
      <c r="AF7295">
        <v>-6.7891138991503494E-2</v>
      </c>
      <c r="AG7295">
        <v>5.47775E-2</v>
      </c>
      <c r="AH7295">
        <v>3.0447064776939201</v>
      </c>
      <c r="AI7295">
        <v>88.969555414585997</v>
      </c>
      <c r="AJ7295">
        <v>91.277374769286595</v>
      </c>
      <c r="AK7295">
        <v>3.0459558953752301</v>
      </c>
      <c r="AL7295">
        <v>78.023628670863602</v>
      </c>
      <c r="AM7295">
        <v>89.630686242856697</v>
      </c>
      <c r="AN7295">
        <v>1.0000000629719901</v>
      </c>
    </row>
    <row r="7296" spans="1:40" x14ac:dyDescent="0.25">
      <c r="A7296" t="str">
        <f>"20190304155818079"</f>
        <v>20190304155818079</v>
      </c>
      <c r="B7296" t="str">
        <f>"1551686298072041"</f>
        <v>1551686298072041</v>
      </c>
      <c r="C7296" t="s">
        <v>40</v>
      </c>
      <c r="D7296">
        <v>4.9601249999999997</v>
      </c>
      <c r="E7296">
        <v>0.4857919</v>
      </c>
      <c r="F7296" t="s">
        <v>46</v>
      </c>
      <c r="G7296">
        <v>0</v>
      </c>
      <c r="H7296">
        <v>0</v>
      </c>
      <c r="I7296">
        <v>0</v>
      </c>
      <c r="J7296">
        <v>-159.7397</v>
      </c>
      <c r="K7296">
        <v>1.1059920000000001</v>
      </c>
      <c r="L7296">
        <v>137.30179999999999</v>
      </c>
      <c r="M7296">
        <v>0.99909689999999995</v>
      </c>
      <c r="N7296">
        <v>-1.517365E-2</v>
      </c>
      <c r="O7296">
        <v>3.9687680000000003E-2</v>
      </c>
      <c r="P7296">
        <v>0.97978379999999998</v>
      </c>
      <c r="Q7296">
        <v>0.1954505</v>
      </c>
      <c r="R7296">
        <v>4.2697489999999998E-2</v>
      </c>
      <c r="S7296">
        <v>3.039307</v>
      </c>
      <c r="T7296">
        <v>6.0746429999999997E-2</v>
      </c>
      <c r="U7296">
        <v>0.21334839999999999</v>
      </c>
      <c r="V7296">
        <v>-1.5456479999999999E-3</v>
      </c>
      <c r="W7296">
        <v>0.210337</v>
      </c>
      <c r="X7296">
        <v>0.97762769999999999</v>
      </c>
      <c r="Y7296">
        <v>-3.039706E-2</v>
      </c>
      <c r="Z7296">
        <v>1.321025E-3</v>
      </c>
      <c r="AA7296">
        <v>0.99953709999999996</v>
      </c>
      <c r="AB7296">
        <v>33</v>
      </c>
      <c r="AC7296">
        <v>3.039307</v>
      </c>
      <c r="AD7296">
        <v>6.0746429999999997E-2</v>
      </c>
      <c r="AE7296">
        <v>0.21334839999999999</v>
      </c>
      <c r="AF7296">
        <v>-9.2506564031894903E-2</v>
      </c>
      <c r="AG7296">
        <v>6.0746429999999997E-2</v>
      </c>
      <c r="AH7296">
        <v>3.0441700439499102</v>
      </c>
      <c r="AI7296">
        <v>88.857341452661004</v>
      </c>
      <c r="AJ7296">
        <v>91.740574621379693</v>
      </c>
      <c r="AK7296">
        <v>3.0461810270613801</v>
      </c>
      <c r="AL7296">
        <v>77.857897737744096</v>
      </c>
      <c r="AM7296">
        <v>90.090585642392099</v>
      </c>
      <c r="AN7296">
        <v>0.99999998120201405</v>
      </c>
    </row>
    <row r="7297" spans="1:40" x14ac:dyDescent="0.25">
      <c r="A7297" t="str">
        <f>"20190304155818102"</f>
        <v>20190304155818102</v>
      </c>
      <c r="B7297" t="str">
        <f>"1551686298091560"</f>
        <v>1551686298091560</v>
      </c>
      <c r="C7297" t="s">
        <v>40</v>
      </c>
      <c r="D7297">
        <v>5.0268420000000003</v>
      </c>
      <c r="E7297">
        <v>0.48592350000000001</v>
      </c>
      <c r="F7297" t="s">
        <v>46</v>
      </c>
      <c r="G7297">
        <v>0</v>
      </c>
      <c r="H7297">
        <v>0</v>
      </c>
      <c r="I7297">
        <v>0</v>
      </c>
      <c r="J7297">
        <v>-159.40289999999999</v>
      </c>
      <c r="K7297">
        <v>1.106403</v>
      </c>
      <c r="L7297">
        <v>137.31139999999999</v>
      </c>
      <c r="M7297">
        <v>0.99923039999999996</v>
      </c>
      <c r="N7297">
        <v>-1.509828E-2</v>
      </c>
      <c r="O7297">
        <v>3.6203850000000003E-2</v>
      </c>
      <c r="P7297">
        <v>0.97927819999999999</v>
      </c>
      <c r="Q7297">
        <v>0.1972074</v>
      </c>
      <c r="R7297">
        <v>4.6081370000000003E-2</v>
      </c>
      <c r="S7297">
        <v>3.0386660000000001</v>
      </c>
      <c r="T7297">
        <v>6.6924689999999995E-2</v>
      </c>
      <c r="U7297">
        <v>0.22694400000000001</v>
      </c>
      <c r="V7297">
        <v>-8.5497109999999998E-3</v>
      </c>
      <c r="W7297">
        <v>0.21207819999999999</v>
      </c>
      <c r="X7297">
        <v>0.97721530000000001</v>
      </c>
      <c r="Y7297">
        <v>-3.834365E-2</v>
      </c>
      <c r="Z7297">
        <v>1.210095E-3</v>
      </c>
      <c r="AA7297">
        <v>0.99926389999999998</v>
      </c>
      <c r="AB7297">
        <v>33</v>
      </c>
      <c r="AC7297">
        <v>3.0386660000000001</v>
      </c>
      <c r="AD7297">
        <v>6.6924689999999995E-2</v>
      </c>
      <c r="AE7297">
        <v>0.22694400000000001</v>
      </c>
      <c r="AF7297">
        <v>-0.116714940845456</v>
      </c>
      <c r="AG7297">
        <v>6.6924689999999995E-2</v>
      </c>
      <c r="AH7297">
        <v>3.04342256521968</v>
      </c>
      <c r="AI7297">
        <v>88.741197106415896</v>
      </c>
      <c r="AJ7297">
        <v>92.196210978375902</v>
      </c>
      <c r="AK7297">
        <v>3.0463949517481299</v>
      </c>
      <c r="AL7297">
        <v>77.755832080181193</v>
      </c>
      <c r="AM7297">
        <v>90.501271171187696</v>
      </c>
      <c r="AN7297">
        <v>1.00000000151375</v>
      </c>
    </row>
    <row r="7298" spans="1:40" x14ac:dyDescent="0.25">
      <c r="A7298" t="str">
        <f>"20190304155818124"</f>
        <v>20190304155818124</v>
      </c>
      <c r="B7298" t="str">
        <f>"1551686298121817"</f>
        <v>1551686298121817</v>
      </c>
      <c r="C7298" t="s">
        <v>40</v>
      </c>
      <c r="D7298">
        <v>4.6497529999999996</v>
      </c>
      <c r="E7298">
        <v>0.48570629999999998</v>
      </c>
      <c r="F7298" t="s">
        <v>46</v>
      </c>
      <c r="G7298">
        <v>0</v>
      </c>
      <c r="H7298">
        <v>0</v>
      </c>
      <c r="I7298">
        <v>0</v>
      </c>
      <c r="J7298">
        <v>-159.0744</v>
      </c>
      <c r="K7298">
        <v>1.1068100000000001</v>
      </c>
      <c r="L7298">
        <v>137.31989999999999</v>
      </c>
      <c r="M7298">
        <v>0.99933850000000002</v>
      </c>
      <c r="N7298">
        <v>-1.5030709999999999E-2</v>
      </c>
      <c r="O7298">
        <v>3.3117349999999997E-2</v>
      </c>
      <c r="P7298">
        <v>0.97860769999999997</v>
      </c>
      <c r="Q7298">
        <v>0.1998983</v>
      </c>
      <c r="R7298">
        <v>4.8661799999999998E-2</v>
      </c>
      <c r="S7298">
        <v>3.03952</v>
      </c>
      <c r="T7298">
        <v>6.3887719999999995E-2</v>
      </c>
      <c r="U7298">
        <v>0.23567199999999999</v>
      </c>
      <c r="V7298">
        <v>-1.435122E-2</v>
      </c>
      <c r="W7298">
        <v>0.21473410000000001</v>
      </c>
      <c r="X7298">
        <v>0.97656710000000002</v>
      </c>
      <c r="Y7298">
        <v>-4.4258159999999998E-2</v>
      </c>
      <c r="Z7298">
        <v>1.06061E-3</v>
      </c>
      <c r="AA7298">
        <v>0.99901960000000001</v>
      </c>
      <c r="AB7298">
        <v>33</v>
      </c>
      <c r="AC7298">
        <v>3.03952</v>
      </c>
      <c r="AD7298">
        <v>6.3887719999999995E-2</v>
      </c>
      <c r="AE7298">
        <v>0.23567199999999999</v>
      </c>
      <c r="AF7298">
        <v>-0.13481127970363399</v>
      </c>
      <c r="AG7298">
        <v>6.3887719999999995E-2</v>
      </c>
      <c r="AH7298">
        <v>3.0443211285333498</v>
      </c>
      <c r="AI7298">
        <v>88.798951517824605</v>
      </c>
      <c r="AJ7298">
        <v>92.535565085414106</v>
      </c>
      <c r="AK7298">
        <v>3.0479742215997701</v>
      </c>
      <c r="AL7298">
        <v>77.600071940608203</v>
      </c>
      <c r="AM7298">
        <v>90.841934110255806</v>
      </c>
      <c r="AN7298">
        <v>0.99999999601035405</v>
      </c>
    </row>
    <row r="7299" spans="1:40" x14ac:dyDescent="0.25">
      <c r="A7299" t="str">
        <f>"20190304155818147"</f>
        <v>20190304155818147</v>
      </c>
      <c r="B7299" t="str">
        <f>"1551686298142316"</f>
        <v>1551686298142316</v>
      </c>
      <c r="C7299" t="s">
        <v>40</v>
      </c>
      <c r="D7299">
        <v>5.1498220000000003</v>
      </c>
      <c r="E7299">
        <v>0.49559560000000002</v>
      </c>
      <c r="F7299" t="s">
        <v>46</v>
      </c>
      <c r="G7299">
        <v>0</v>
      </c>
      <c r="H7299">
        <v>0</v>
      </c>
      <c r="I7299">
        <v>0</v>
      </c>
      <c r="J7299">
        <v>-158.73650000000001</v>
      </c>
      <c r="K7299">
        <v>1.107237</v>
      </c>
      <c r="L7299">
        <v>137.328</v>
      </c>
      <c r="M7299">
        <v>0.99943009999999999</v>
      </c>
      <c r="N7299">
        <v>-1.496748E-2</v>
      </c>
      <c r="O7299">
        <v>3.0260530000000001E-2</v>
      </c>
      <c r="P7299">
        <v>0.97779450000000001</v>
      </c>
      <c r="Q7299">
        <v>0.20335249999999999</v>
      </c>
      <c r="R7299">
        <v>5.065621E-2</v>
      </c>
      <c r="S7299">
        <v>2.9838870000000002</v>
      </c>
      <c r="T7299">
        <v>0.33858529999999998</v>
      </c>
      <c r="U7299">
        <v>0.25221250000000001</v>
      </c>
      <c r="V7299">
        <v>-1.9341469999999999E-2</v>
      </c>
      <c r="W7299">
        <v>0.21813850000000001</v>
      </c>
      <c r="X7299">
        <v>0.97572610000000004</v>
      </c>
      <c r="Y7299">
        <v>-5.3978539999999998E-2</v>
      </c>
      <c r="Z7299">
        <v>1.2244000000000001E-3</v>
      </c>
      <c r="AA7299">
        <v>0.99854140000000002</v>
      </c>
      <c r="AB7299">
        <v>33</v>
      </c>
      <c r="AC7299">
        <v>2.9838870000000002</v>
      </c>
      <c r="AD7299">
        <v>0.33858529999999998</v>
      </c>
      <c r="AE7299">
        <v>0.25221250000000001</v>
      </c>
      <c r="AF7299">
        <v>-0.15975055379033301</v>
      </c>
      <c r="AG7299">
        <v>0.33858529999999998</v>
      </c>
      <c r="AH7299">
        <v>2.9524084338860002</v>
      </c>
      <c r="AI7299">
        <v>83.467313418752298</v>
      </c>
      <c r="AJ7299">
        <v>93.097171620052805</v>
      </c>
      <c r="AK7299">
        <v>2.97605037008677</v>
      </c>
      <c r="AL7299">
        <v>77.400277852677107</v>
      </c>
      <c r="AM7299">
        <v>91.1356050492208</v>
      </c>
      <c r="AN7299">
        <v>0.99999995993260904</v>
      </c>
    </row>
    <row r="7300" spans="1:40" x14ac:dyDescent="0.25">
      <c r="A7300" t="str">
        <f>"20190304155818169"</f>
        <v>20190304155818169</v>
      </c>
      <c r="B7300" t="str">
        <f>"1551686298161832"</f>
        <v>1551686298161832</v>
      </c>
      <c r="C7300" t="s">
        <v>40</v>
      </c>
      <c r="D7300">
        <v>5.0035080000000001</v>
      </c>
      <c r="E7300">
        <v>0.49025869999999999</v>
      </c>
      <c r="F7300" t="s">
        <v>46</v>
      </c>
      <c r="G7300">
        <v>0</v>
      </c>
      <c r="H7300">
        <v>0</v>
      </c>
      <c r="I7300">
        <v>0</v>
      </c>
      <c r="J7300">
        <v>-158.41149999999999</v>
      </c>
      <c r="K7300">
        <v>1.107613</v>
      </c>
      <c r="L7300">
        <v>137.33510000000001</v>
      </c>
      <c r="M7300">
        <v>0.99950159999999999</v>
      </c>
      <c r="N7300">
        <v>-1.491258E-2</v>
      </c>
      <c r="O7300">
        <v>2.782507E-2</v>
      </c>
      <c r="P7300">
        <v>0.97697440000000002</v>
      </c>
      <c r="Q7300">
        <v>0.20689440000000001</v>
      </c>
      <c r="R7300">
        <v>5.2113439999999997E-2</v>
      </c>
      <c r="S7300">
        <v>2.8564759999999998</v>
      </c>
      <c r="T7300">
        <v>0.96844629999999998</v>
      </c>
      <c r="U7300">
        <v>0.19783020000000001</v>
      </c>
      <c r="V7300">
        <v>-2.3368839999999998E-2</v>
      </c>
      <c r="W7300">
        <v>0.22162399999999999</v>
      </c>
      <c r="X7300">
        <v>0.9748521</v>
      </c>
      <c r="Y7300">
        <v>-4.0824310000000003E-2</v>
      </c>
      <c r="Z7300">
        <v>3.1546550000000001E-3</v>
      </c>
      <c r="AA7300">
        <v>0.99916139999999998</v>
      </c>
      <c r="AB7300">
        <v>33</v>
      </c>
      <c r="AC7300">
        <v>2.8564759999999998</v>
      </c>
      <c r="AD7300">
        <v>0.96844629999999998</v>
      </c>
      <c r="AE7300">
        <v>0.19783020000000001</v>
      </c>
      <c r="AF7300">
        <v>-0.1061230263716</v>
      </c>
      <c r="AG7300">
        <v>0.96844629999999998</v>
      </c>
      <c r="AH7300">
        <v>2.5671972422298901</v>
      </c>
      <c r="AI7300">
        <v>69.347728416550694</v>
      </c>
      <c r="AJ7300">
        <v>92.367150250185603</v>
      </c>
      <c r="AK7300">
        <v>2.7458426781632501</v>
      </c>
      <c r="AL7300">
        <v>77.195563209690107</v>
      </c>
      <c r="AM7300">
        <v>91.373212945031099</v>
      </c>
      <c r="AN7300">
        <v>0.999999958466676</v>
      </c>
    </row>
    <row r="7301" spans="1:40" x14ac:dyDescent="0.25">
      <c r="A7301" t="str">
        <f>"20190304155818193"</f>
        <v>20190304155818193</v>
      </c>
      <c r="B7301" t="str">
        <f>"1551686298182329"</f>
        <v>1551686298182329</v>
      </c>
      <c r="C7301" t="s">
        <v>40</v>
      </c>
      <c r="D7301">
        <v>8.0404689999999999</v>
      </c>
      <c r="E7301">
        <v>0.49353079999999999</v>
      </c>
      <c r="F7301" t="s">
        <v>46</v>
      </c>
      <c r="G7301">
        <v>0</v>
      </c>
      <c r="H7301">
        <v>0</v>
      </c>
      <c r="I7301">
        <v>0</v>
      </c>
      <c r="J7301">
        <v>-158.0702</v>
      </c>
      <c r="K7301">
        <v>1.1079619999999999</v>
      </c>
      <c r="L7301">
        <v>137.34209999999999</v>
      </c>
      <c r="M7301">
        <v>0.9995617</v>
      </c>
      <c r="N7301">
        <v>-1.48606E-2</v>
      </c>
      <c r="O7301">
        <v>2.5609650000000001E-2</v>
      </c>
      <c r="P7301">
        <v>0.97721279999999999</v>
      </c>
      <c r="Q7301">
        <v>0.20562159999999999</v>
      </c>
      <c r="R7301">
        <v>5.2680909999999997E-2</v>
      </c>
      <c r="S7301">
        <v>2.8223569999999998</v>
      </c>
      <c r="T7301">
        <v>1.10991</v>
      </c>
      <c r="U7301">
        <v>0.24942020000000001</v>
      </c>
      <c r="V7301">
        <v>-2.6292800000000002E-2</v>
      </c>
      <c r="W7301">
        <v>0.22030050000000001</v>
      </c>
      <c r="X7301">
        <v>0.97507759999999999</v>
      </c>
      <c r="Y7301">
        <v>-6.025341E-2</v>
      </c>
      <c r="Z7301">
        <v>-8.8319280000000004E-4</v>
      </c>
      <c r="AA7301">
        <v>0.99818269999999998</v>
      </c>
      <c r="AB7301">
        <v>33</v>
      </c>
      <c r="AC7301">
        <v>2.8223569999999998</v>
      </c>
      <c r="AD7301">
        <v>1.10991</v>
      </c>
      <c r="AE7301">
        <v>0.24942020000000001</v>
      </c>
      <c r="AF7301">
        <v>-0.15349646301744799</v>
      </c>
      <c r="AG7301">
        <v>1.10991</v>
      </c>
      <c r="AH7301">
        <v>2.4516138896591499</v>
      </c>
      <c r="AI7301">
        <v>65.6845724059731</v>
      </c>
      <c r="AJ7301">
        <v>93.582633700416196</v>
      </c>
      <c r="AK7301">
        <v>2.69552815533961</v>
      </c>
      <c r="AL7301">
        <v>77.273316249301701</v>
      </c>
      <c r="AM7301">
        <v>91.544596565999996</v>
      </c>
      <c r="AN7301">
        <v>0.99999997382692396</v>
      </c>
    </row>
    <row r="7302" spans="1:40" x14ac:dyDescent="0.25">
      <c r="A7302" t="str">
        <f>"20190304155818215"</f>
        <v>20190304155818215</v>
      </c>
      <c r="B7302" t="str">
        <f>"1551686298211609"</f>
        <v>1551686298211609</v>
      </c>
      <c r="C7302" t="s">
        <v>40</v>
      </c>
      <c r="D7302">
        <v>5.1129930000000003</v>
      </c>
      <c r="E7302">
        <v>0.49174570000000001</v>
      </c>
      <c r="F7302" t="s">
        <v>46</v>
      </c>
      <c r="G7302">
        <v>0</v>
      </c>
      <c r="H7302">
        <v>0</v>
      </c>
      <c r="I7302">
        <v>0</v>
      </c>
      <c r="J7302">
        <v>-157.73140000000001</v>
      </c>
      <c r="K7302">
        <v>1.1082909999999999</v>
      </c>
      <c r="L7302">
        <v>137.3486</v>
      </c>
      <c r="M7302">
        <v>0.99960910000000003</v>
      </c>
      <c r="N7302">
        <v>-1.481414E-2</v>
      </c>
      <c r="O7302">
        <v>2.3716270000000001E-2</v>
      </c>
      <c r="P7302">
        <v>0.97762230000000006</v>
      </c>
      <c r="Q7302">
        <v>0.20328869999999999</v>
      </c>
      <c r="R7302">
        <v>5.4114530000000001E-2</v>
      </c>
      <c r="S7302">
        <v>2.8049010000000001</v>
      </c>
      <c r="T7302">
        <v>1.2011909999999999</v>
      </c>
      <c r="U7302">
        <v>0.22828670000000001</v>
      </c>
      <c r="V7302">
        <v>-2.9749540000000001E-2</v>
      </c>
      <c r="W7302">
        <v>0.21792539999999999</v>
      </c>
      <c r="X7302">
        <v>0.97551189999999999</v>
      </c>
      <c r="Y7302">
        <v>-5.5049790000000001E-2</v>
      </c>
      <c r="Z7302">
        <v>-8.0255880000000004E-4</v>
      </c>
      <c r="AA7302">
        <v>0.99848329999999996</v>
      </c>
      <c r="AB7302">
        <v>33</v>
      </c>
      <c r="AC7302">
        <v>2.8049010000000001</v>
      </c>
      <c r="AD7302">
        <v>1.2011909999999999</v>
      </c>
      <c r="AE7302">
        <v>0.22828670000000001</v>
      </c>
      <c r="AF7302">
        <v>-0.136774591903743</v>
      </c>
      <c r="AG7302">
        <v>1.2011909999999999</v>
      </c>
      <c r="AH7302">
        <v>2.3765463893179199</v>
      </c>
      <c r="AI7302">
        <v>63.224463187447199</v>
      </c>
      <c r="AJ7302">
        <v>93.2938434862983</v>
      </c>
      <c r="AK7302">
        <v>2.6663720385669198</v>
      </c>
      <c r="AL7302">
        <v>77.412788969650606</v>
      </c>
      <c r="AM7302">
        <v>91.746770041308395</v>
      </c>
      <c r="AN7302">
        <v>0.99999999106849002</v>
      </c>
    </row>
    <row r="7303" spans="1:40" x14ac:dyDescent="0.25">
      <c r="A7303" t="str">
        <f>"20190304155818237"</f>
        <v>20190304155818237</v>
      </c>
      <c r="B7303" t="str">
        <f>"1551686298232105"</f>
        <v>1551686298232105</v>
      </c>
      <c r="C7303" t="s">
        <v>40</v>
      </c>
      <c r="D7303">
        <v>5.2474879999999997</v>
      </c>
      <c r="E7303">
        <v>0.49043439999999999</v>
      </c>
      <c r="F7303" t="s">
        <v>46</v>
      </c>
      <c r="G7303">
        <v>0</v>
      </c>
      <c r="H7303">
        <v>0</v>
      </c>
      <c r="I7303">
        <v>0</v>
      </c>
      <c r="J7303">
        <v>-157.39959999999999</v>
      </c>
      <c r="K7303">
        <v>1.1085799999999999</v>
      </c>
      <c r="L7303">
        <v>137.3546</v>
      </c>
      <c r="M7303">
        <v>0.99964679999999995</v>
      </c>
      <c r="N7303">
        <v>-1.477326E-2</v>
      </c>
      <c r="O7303">
        <v>2.2091670000000001E-2</v>
      </c>
      <c r="P7303">
        <v>0.97730119999999998</v>
      </c>
      <c r="Q7303">
        <v>0.20435120000000001</v>
      </c>
      <c r="R7303">
        <v>5.5886480000000002E-2</v>
      </c>
      <c r="S7303">
        <v>2.80159</v>
      </c>
      <c r="T7303">
        <v>1.2186629999999901</v>
      </c>
      <c r="U7303">
        <v>0.24717710000000001</v>
      </c>
      <c r="V7303">
        <v>-3.3253560000000001E-2</v>
      </c>
      <c r="W7303">
        <v>0.2189403</v>
      </c>
      <c r="X7303">
        <v>0.97517140000000002</v>
      </c>
      <c r="Y7303">
        <v>-6.2567109999999995E-2</v>
      </c>
      <c r="Z7303">
        <v>-3.0279270000000001E-3</v>
      </c>
      <c r="AA7303">
        <v>0.99803609999999998</v>
      </c>
      <c r="AB7303">
        <v>33</v>
      </c>
      <c r="AC7303">
        <v>2.80159</v>
      </c>
      <c r="AD7303">
        <v>1.2186629999999901</v>
      </c>
      <c r="AE7303">
        <v>0.24717710000000001</v>
      </c>
      <c r="AF7303">
        <v>-0.15593979245894601</v>
      </c>
      <c r="AG7303">
        <v>1.2186629999999901</v>
      </c>
      <c r="AH7303">
        <v>2.3627500636463799</v>
      </c>
      <c r="AI7303">
        <v>62.766845307763603</v>
      </c>
      <c r="AJ7303">
        <v>93.776003655844704</v>
      </c>
      <c r="AK7303">
        <v>2.66308929435385</v>
      </c>
      <c r="AL7303">
        <v>77.3532000962946</v>
      </c>
      <c r="AM7303">
        <v>91.953041948133105</v>
      </c>
      <c r="AN7303">
        <v>0.99999995679735998</v>
      </c>
    </row>
    <row r="7304" spans="1:40" x14ac:dyDescent="0.25">
      <c r="A7304" t="str">
        <f>"20190304155818259"</f>
        <v>20190304155818259</v>
      </c>
      <c r="B7304" t="str">
        <f>"1551686298251625"</f>
        <v>1551686298251625</v>
      </c>
      <c r="C7304" t="s">
        <v>40</v>
      </c>
      <c r="D7304">
        <v>5.0877019999999904</v>
      </c>
      <c r="E7304">
        <v>0.48997370000000001</v>
      </c>
      <c r="F7304" t="s">
        <v>46</v>
      </c>
      <c r="G7304">
        <v>0</v>
      </c>
      <c r="H7304">
        <v>0</v>
      </c>
      <c r="I7304">
        <v>0</v>
      </c>
      <c r="J7304">
        <v>-157.08349999999999</v>
      </c>
      <c r="K7304">
        <v>1.1088469999999999</v>
      </c>
      <c r="L7304">
        <v>137.36009999999999</v>
      </c>
      <c r="M7304">
        <v>0.99967620000000001</v>
      </c>
      <c r="N7304">
        <v>-1.4738070000000001E-2</v>
      </c>
      <c r="O7304">
        <v>2.0740189999999999E-2</v>
      </c>
      <c r="P7304">
        <v>0.97656549999999998</v>
      </c>
      <c r="Q7304">
        <v>0.2075603</v>
      </c>
      <c r="R7304">
        <v>5.6910490000000001E-2</v>
      </c>
      <c r="S7304">
        <v>2.798889</v>
      </c>
      <c r="T7304">
        <v>1.2232909999999999</v>
      </c>
      <c r="U7304">
        <v>0.26269530000000002</v>
      </c>
      <c r="V7304">
        <v>-3.5718310000000003E-2</v>
      </c>
      <c r="W7304">
        <v>0.22209499999999999</v>
      </c>
      <c r="X7304">
        <v>0.97437059999999998</v>
      </c>
      <c r="Y7304">
        <v>-6.8783860000000002E-2</v>
      </c>
      <c r="Z7304">
        <v>-4.8770300000000001E-3</v>
      </c>
      <c r="AA7304">
        <v>0.9976197</v>
      </c>
      <c r="AB7304">
        <v>33</v>
      </c>
      <c r="AC7304">
        <v>2.798889</v>
      </c>
      <c r="AD7304">
        <v>1.2232909999999999</v>
      </c>
      <c r="AE7304">
        <v>0.26269530000000002</v>
      </c>
      <c r="AF7304">
        <v>-0.17201155314967501</v>
      </c>
      <c r="AG7304">
        <v>1.2232909999999999</v>
      </c>
      <c r="AH7304">
        <v>2.3573561078624801</v>
      </c>
      <c r="AI7304">
        <v>62.636219833007502</v>
      </c>
      <c r="AJ7304">
        <v>94.173361965012305</v>
      </c>
      <c r="AK7304">
        <v>2.66142004658687</v>
      </c>
      <c r="AL7304">
        <v>77.167888058518699</v>
      </c>
      <c r="AM7304">
        <v>92.099398787163906</v>
      </c>
      <c r="AN7304">
        <v>1.0000000264193001</v>
      </c>
    </row>
    <row r="7305" spans="1:40" x14ac:dyDescent="0.25">
      <c r="A7305" t="str">
        <f>"20190304155818280"</f>
        <v>20190304155818280</v>
      </c>
      <c r="B7305" t="str">
        <f>"1551686298272121"</f>
        <v>1551686298272121</v>
      </c>
      <c r="C7305" t="s">
        <v>40</v>
      </c>
      <c r="D7305">
        <v>5.1424979999999998</v>
      </c>
      <c r="E7305">
        <v>0.48966709999999902</v>
      </c>
      <c r="F7305" t="s">
        <v>46</v>
      </c>
      <c r="G7305">
        <v>0</v>
      </c>
      <c r="H7305">
        <v>0</v>
      </c>
      <c r="I7305">
        <v>0</v>
      </c>
      <c r="J7305">
        <v>-156.75890000000001</v>
      </c>
      <c r="K7305">
        <v>1.1090880000000001</v>
      </c>
      <c r="L7305">
        <v>137.36539999999999</v>
      </c>
      <c r="M7305">
        <v>0.99970079999999995</v>
      </c>
      <c r="N7305">
        <v>-1.470539E-2</v>
      </c>
      <c r="O7305">
        <v>1.9541800000000002E-2</v>
      </c>
      <c r="P7305">
        <v>0.97575230000000002</v>
      </c>
      <c r="Q7305">
        <v>0.21115790000000001</v>
      </c>
      <c r="R7305">
        <v>5.7617979999999999E-2</v>
      </c>
      <c r="S7305">
        <v>2.7986759999999999</v>
      </c>
      <c r="T7305">
        <v>1.212386</v>
      </c>
      <c r="U7305">
        <v>0.26863100000000001</v>
      </c>
      <c r="V7305">
        <v>-3.7710149999999998E-2</v>
      </c>
      <c r="W7305">
        <v>0.2256377</v>
      </c>
      <c r="X7305">
        <v>0.97348120000000005</v>
      </c>
      <c r="Y7305">
        <v>-7.1782579999999999E-2</v>
      </c>
      <c r="Z7305">
        <v>-5.9419859999999998E-3</v>
      </c>
      <c r="AA7305">
        <v>0.99740260000000003</v>
      </c>
      <c r="AB7305">
        <v>33</v>
      </c>
      <c r="AC7305">
        <v>2.7986759999999999</v>
      </c>
      <c r="AD7305">
        <v>1.212386</v>
      </c>
      <c r="AE7305">
        <v>0.26863100000000001</v>
      </c>
      <c r="AF7305">
        <v>-0.18034723047852999</v>
      </c>
      <c r="AG7305">
        <v>1.212386</v>
      </c>
      <c r="AH7305">
        <v>2.36383833863685</v>
      </c>
      <c r="AI7305">
        <v>62.914684788909099</v>
      </c>
      <c r="AJ7305">
        <v>94.362885415833404</v>
      </c>
      <c r="AK7305">
        <v>2.66273104682893</v>
      </c>
      <c r="AL7305">
        <v>76.959620449797001</v>
      </c>
      <c r="AM7305">
        <v>92.218381487308093</v>
      </c>
      <c r="AN7305">
        <v>1.00000003691387</v>
      </c>
    </row>
    <row r="7306" spans="1:40" x14ac:dyDescent="0.25">
      <c r="A7306" t="str">
        <f>"20190304155818304"</f>
        <v>20190304155818304</v>
      </c>
      <c r="B7306" t="str">
        <f>"1551686298301402"</f>
        <v>1551686298301402</v>
      </c>
      <c r="C7306" t="s">
        <v>40</v>
      </c>
      <c r="D7306">
        <v>7.6927399999999997</v>
      </c>
      <c r="E7306">
        <v>0.48899569999999998</v>
      </c>
      <c r="F7306" t="s">
        <v>46</v>
      </c>
      <c r="G7306">
        <v>0</v>
      </c>
      <c r="H7306">
        <v>0</v>
      </c>
      <c r="I7306">
        <v>0</v>
      </c>
      <c r="J7306">
        <v>-156.42179999999999</v>
      </c>
      <c r="K7306">
        <v>1.109332</v>
      </c>
      <c r="L7306">
        <v>137.3707</v>
      </c>
      <c r="M7306">
        <v>0.99972179999999999</v>
      </c>
      <c r="N7306">
        <v>-1.467481E-2</v>
      </c>
      <c r="O7306">
        <v>1.8470529999999999E-2</v>
      </c>
      <c r="P7306">
        <v>0.97548820000000003</v>
      </c>
      <c r="Q7306">
        <v>0.21253859999999999</v>
      </c>
      <c r="R7306">
        <v>5.7013220000000003E-2</v>
      </c>
      <c r="S7306">
        <v>2.7934570000000001</v>
      </c>
      <c r="T7306">
        <v>1.2243850000000001</v>
      </c>
      <c r="U7306">
        <v>0.27319339999999998</v>
      </c>
      <c r="V7306">
        <v>-3.8260599999999999E-2</v>
      </c>
      <c r="W7306">
        <v>0.226967</v>
      </c>
      <c r="X7306">
        <v>0.97315059999999998</v>
      </c>
      <c r="Y7306">
        <v>-7.4222780000000002E-2</v>
      </c>
      <c r="Z7306">
        <v>-6.9703339999999999E-3</v>
      </c>
      <c r="AA7306">
        <v>0.99721729999999997</v>
      </c>
      <c r="AB7306">
        <v>33</v>
      </c>
      <c r="AC7306">
        <v>2.7934570000000001</v>
      </c>
      <c r="AD7306">
        <v>1.2243850000000001</v>
      </c>
      <c r="AE7306">
        <v>0.27319339999999998</v>
      </c>
      <c r="AF7306">
        <v>-0.186126435867147</v>
      </c>
      <c r="AG7306">
        <v>1.2243850000000001</v>
      </c>
      <c r="AH7306">
        <v>2.3507084986568598</v>
      </c>
      <c r="AI7306">
        <v>62.560180740070699</v>
      </c>
      <c r="AJ7306">
        <v>94.527169959443995</v>
      </c>
      <c r="AK7306">
        <v>2.6569892969319899</v>
      </c>
      <c r="AL7306">
        <v>76.881428037306407</v>
      </c>
      <c r="AM7306">
        <v>92.251493675412206</v>
      </c>
      <c r="AN7306">
        <v>0.99999999144085905</v>
      </c>
    </row>
    <row r="7307" spans="1:40" x14ac:dyDescent="0.25">
      <c r="A7307" t="str">
        <f>"20190304155818325"</f>
        <v>20190304155818325</v>
      </c>
      <c r="B7307" t="str">
        <f>"1551686298321897"</f>
        <v>1551686298321897</v>
      </c>
      <c r="C7307" t="s">
        <v>40</v>
      </c>
      <c r="D7307">
        <v>5.103999</v>
      </c>
      <c r="E7307">
        <v>0.48929220000000001</v>
      </c>
      <c r="F7307" t="s">
        <v>46</v>
      </c>
      <c r="G7307">
        <v>0</v>
      </c>
      <c r="H7307">
        <v>0</v>
      </c>
      <c r="I7307">
        <v>0</v>
      </c>
      <c r="J7307">
        <v>-156.1011</v>
      </c>
      <c r="K7307">
        <v>1.109551</v>
      </c>
      <c r="L7307">
        <v>137.37549999999999</v>
      </c>
      <c r="M7307">
        <v>0.99973800000000002</v>
      </c>
      <c r="N7307">
        <v>-1.4648700000000001E-2</v>
      </c>
      <c r="O7307">
        <v>1.7588030000000001E-2</v>
      </c>
      <c r="P7307">
        <v>0.9749411</v>
      </c>
      <c r="Q7307">
        <v>0.21507319999999999</v>
      </c>
      <c r="R7307">
        <v>5.6862820000000001E-2</v>
      </c>
      <c r="S7307">
        <v>2.7926030000000002</v>
      </c>
      <c r="T7307">
        <v>1.2236560000000001</v>
      </c>
      <c r="U7307">
        <v>0.27670289999999997</v>
      </c>
      <c r="V7307">
        <v>-3.9069670000000001E-2</v>
      </c>
      <c r="W7307">
        <v>0.2294535</v>
      </c>
      <c r="X7307">
        <v>0.97253520000000004</v>
      </c>
      <c r="Y7307">
        <v>-7.6123940000000001E-2</v>
      </c>
      <c r="Z7307">
        <v>-7.7332199999999999E-3</v>
      </c>
      <c r="AA7307">
        <v>0.99706830000000002</v>
      </c>
      <c r="AB7307">
        <v>33</v>
      </c>
      <c r="AC7307">
        <v>2.7926030000000002</v>
      </c>
      <c r="AD7307">
        <v>1.2236560000000001</v>
      </c>
      <c r="AE7307">
        <v>0.27670289999999997</v>
      </c>
      <c r="AF7307">
        <v>-0.19118741291352001</v>
      </c>
      <c r="AG7307">
        <v>1.2236560000000001</v>
      </c>
      <c r="AH7307">
        <v>2.3501896971353902</v>
      </c>
      <c r="AI7307">
        <v>62.573019325150398</v>
      </c>
      <c r="AJ7307">
        <v>94.650757813393895</v>
      </c>
      <c r="AK7307">
        <v>2.6565538288756598</v>
      </c>
      <c r="AL7307">
        <v>76.735101273018003</v>
      </c>
      <c r="AM7307">
        <v>92.300507098671005</v>
      </c>
      <c r="AN7307">
        <v>1.0000000315075901</v>
      </c>
    </row>
    <row r="7308" spans="1:40" x14ac:dyDescent="0.25">
      <c r="A7308" t="str">
        <f>"20190304155818348"</f>
        <v>20190304155818348</v>
      </c>
      <c r="B7308" t="str">
        <f>"1551686298342393"</f>
        <v>1551686298342393</v>
      </c>
      <c r="C7308" t="s">
        <v>40</v>
      </c>
      <c r="D7308">
        <v>5.0697939999999999</v>
      </c>
      <c r="E7308">
        <v>0.48902689999999999</v>
      </c>
      <c r="F7308" t="s">
        <v>46</v>
      </c>
      <c r="G7308">
        <v>0</v>
      </c>
      <c r="H7308">
        <v>0</v>
      </c>
      <c r="I7308">
        <v>0</v>
      </c>
      <c r="J7308">
        <v>-155.7671</v>
      </c>
      <c r="K7308">
        <v>1.1097509999999999</v>
      </c>
      <c r="L7308">
        <v>137.38040000000001</v>
      </c>
      <c r="M7308">
        <v>0.99975230000000004</v>
      </c>
      <c r="N7308">
        <v>-1.4624409999999999E-2</v>
      </c>
      <c r="O7308">
        <v>1.678116E-2</v>
      </c>
      <c r="P7308">
        <v>0.97379230000000006</v>
      </c>
      <c r="Q7308">
        <v>0.2203582</v>
      </c>
      <c r="R7308">
        <v>5.631299E-2</v>
      </c>
      <c r="S7308">
        <v>2.7898100000000001</v>
      </c>
      <c r="T7308">
        <v>1.229849</v>
      </c>
      <c r="U7308">
        <v>0.2742462</v>
      </c>
      <c r="V7308">
        <v>-3.940076E-2</v>
      </c>
      <c r="W7308">
        <v>0.23468259999999999</v>
      </c>
      <c r="X7308">
        <v>0.97127319999999995</v>
      </c>
      <c r="Y7308">
        <v>-7.6025319999999993E-2</v>
      </c>
      <c r="Z7308">
        <v>-8.1125910000000006E-3</v>
      </c>
      <c r="AA7308">
        <v>0.99707290000000004</v>
      </c>
      <c r="AB7308">
        <v>33</v>
      </c>
      <c r="AC7308">
        <v>2.7898100000000001</v>
      </c>
      <c r="AD7308">
        <v>1.229849</v>
      </c>
      <c r="AE7308">
        <v>0.2742462</v>
      </c>
      <c r="AF7308">
        <v>-0.190684112884945</v>
      </c>
      <c r="AG7308">
        <v>1.229849</v>
      </c>
      <c r="AH7308">
        <v>2.34303967336959</v>
      </c>
      <c r="AI7308">
        <v>62.383010316234703</v>
      </c>
      <c r="AJ7308">
        <v>94.652661221353796</v>
      </c>
      <c r="AK7308">
        <v>2.6530593481284201</v>
      </c>
      <c r="AL7308">
        <v>76.427085928816098</v>
      </c>
      <c r="AM7308">
        <v>92.322992295409605</v>
      </c>
      <c r="AN7308">
        <v>0.999999985834788</v>
      </c>
    </row>
    <row r="7309" spans="1:40" x14ac:dyDescent="0.25">
      <c r="A7309" t="str">
        <f>"20190304155818370"</f>
        <v>20190304155818370</v>
      </c>
      <c r="B7309" t="str">
        <f>"1551686298361913"</f>
        <v>1551686298361913</v>
      </c>
      <c r="C7309" t="s">
        <v>40</v>
      </c>
      <c r="D7309">
        <v>5.1502220000000003</v>
      </c>
      <c r="E7309">
        <v>0.48874089999999998</v>
      </c>
      <c r="F7309" t="s">
        <v>46</v>
      </c>
      <c r="G7309">
        <v>0</v>
      </c>
      <c r="H7309">
        <v>0</v>
      </c>
      <c r="I7309">
        <v>0</v>
      </c>
      <c r="J7309">
        <v>-155.44460000000001</v>
      </c>
      <c r="K7309">
        <v>1.1099110000000001</v>
      </c>
      <c r="L7309">
        <v>137.38499999999999</v>
      </c>
      <c r="M7309">
        <v>0.99976399999999999</v>
      </c>
      <c r="N7309">
        <v>-1.460352E-2</v>
      </c>
      <c r="O7309">
        <v>1.6090170000000001E-2</v>
      </c>
      <c r="P7309">
        <v>0.9729894</v>
      </c>
      <c r="Q7309">
        <v>0.2239987</v>
      </c>
      <c r="R7309">
        <v>5.5822749999999997E-2</v>
      </c>
      <c r="S7309">
        <v>2.783112</v>
      </c>
      <c r="T7309">
        <v>1.2450289999999999</v>
      </c>
      <c r="U7309">
        <v>0.2750244</v>
      </c>
      <c r="V7309">
        <v>-3.9659109999999997E-2</v>
      </c>
      <c r="W7309">
        <v>0.23827889999999999</v>
      </c>
      <c r="X7309">
        <v>0.97038670000000005</v>
      </c>
      <c r="Y7309">
        <v>-7.6922359999999995E-2</v>
      </c>
      <c r="Z7309">
        <v>-8.7218859999999999E-3</v>
      </c>
      <c r="AA7309">
        <v>0.99699899999999997</v>
      </c>
      <c r="AB7309">
        <v>33</v>
      </c>
      <c r="AC7309">
        <v>2.783112</v>
      </c>
      <c r="AD7309">
        <v>1.2450289999999999</v>
      </c>
      <c r="AE7309">
        <v>0.2750244</v>
      </c>
      <c r="AF7309">
        <v>-0.192126184871489</v>
      </c>
      <c r="AG7309">
        <v>1.2450289999999999</v>
      </c>
      <c r="AH7309">
        <v>2.3261604139247001</v>
      </c>
      <c r="AI7309">
        <v>61.923963663123097</v>
      </c>
      <c r="AJ7309">
        <v>94.721553257737796</v>
      </c>
      <c r="AK7309">
        <v>2.6453793590078201</v>
      </c>
      <c r="AL7309">
        <v>76.215018302115794</v>
      </c>
      <c r="AM7309">
        <v>92.340340961788201</v>
      </c>
      <c r="AN7309">
        <v>1.0000000133640401</v>
      </c>
    </row>
    <row r="7310" spans="1:40" x14ac:dyDescent="0.25">
      <c r="A7310" t="str">
        <f>"20190304155818393"</f>
        <v>20190304155818393</v>
      </c>
      <c r="B7310" t="str">
        <f>"1551686298381433"</f>
        <v>1551686298381433</v>
      </c>
      <c r="C7310" t="s">
        <v>40</v>
      </c>
      <c r="D7310">
        <v>4.9560000000000004</v>
      </c>
      <c r="E7310">
        <v>0.48896509999999999</v>
      </c>
      <c r="F7310" t="s">
        <v>46</v>
      </c>
      <c r="G7310">
        <v>0</v>
      </c>
      <c r="H7310">
        <v>0</v>
      </c>
      <c r="I7310">
        <v>0</v>
      </c>
      <c r="J7310">
        <v>-155.114</v>
      </c>
      <c r="K7310">
        <v>1.1100300000000001</v>
      </c>
      <c r="L7310">
        <v>137.3896</v>
      </c>
      <c r="M7310">
        <v>0.9997743</v>
      </c>
      <c r="N7310">
        <v>-1.458456E-2</v>
      </c>
      <c r="O7310">
        <v>1.544448E-2</v>
      </c>
      <c r="P7310">
        <v>0.97206210000000004</v>
      </c>
      <c r="Q7310">
        <v>0.2279552</v>
      </c>
      <c r="R7310">
        <v>5.5960719999999999E-2</v>
      </c>
      <c r="S7310">
        <v>2.7790219999999999</v>
      </c>
      <c r="T7310">
        <v>1.2527269999999999</v>
      </c>
      <c r="U7310">
        <v>0.27636719999999998</v>
      </c>
      <c r="V7310">
        <v>-4.0485779999999999E-2</v>
      </c>
      <c r="W7310">
        <v>0.2421952</v>
      </c>
      <c r="X7310">
        <v>0.96938250000000004</v>
      </c>
      <c r="Y7310">
        <v>-7.7944059999999996E-2</v>
      </c>
      <c r="Z7310">
        <v>-9.2863500000000005E-3</v>
      </c>
      <c r="AA7310">
        <v>0.99691450000000004</v>
      </c>
      <c r="AB7310">
        <v>33</v>
      </c>
      <c r="AC7310">
        <v>2.7790219999999999</v>
      </c>
      <c r="AD7310">
        <v>1.2527269999999999</v>
      </c>
      <c r="AE7310">
        <v>0.27636719999999998</v>
      </c>
      <c r="AF7310">
        <v>-0.19431126210195901</v>
      </c>
      <c r="AG7310">
        <v>1.2527269999999999</v>
      </c>
      <c r="AH7310">
        <v>2.3167918452106502</v>
      </c>
      <c r="AI7310">
        <v>61.683127507508097</v>
      </c>
      <c r="AJ7310">
        <v>94.794224404257207</v>
      </c>
      <c r="AK7310">
        <v>2.6409479845584301</v>
      </c>
      <c r="AL7310">
        <v>75.983861178680499</v>
      </c>
      <c r="AM7310">
        <v>92.3915400000581</v>
      </c>
      <c r="AN7310">
        <v>1.0000000222957399</v>
      </c>
    </row>
    <row r="7311" spans="1:40" x14ac:dyDescent="0.25">
      <c r="A7311" t="str">
        <f>"20190304155818415"</f>
        <v>20190304155818415</v>
      </c>
      <c r="B7311" t="str">
        <f>"1551686298411689"</f>
        <v>1551686298411689</v>
      </c>
      <c r="C7311" t="s">
        <v>40</v>
      </c>
      <c r="D7311">
        <v>4.846088</v>
      </c>
      <c r="E7311">
        <v>0.48890869999999997</v>
      </c>
      <c r="F7311" t="s">
        <v>46</v>
      </c>
      <c r="G7311">
        <v>0</v>
      </c>
      <c r="H7311">
        <v>0</v>
      </c>
      <c r="I7311">
        <v>0</v>
      </c>
      <c r="J7311">
        <v>-154.7877</v>
      </c>
      <c r="K7311">
        <v>1.1100859999999999</v>
      </c>
      <c r="L7311">
        <v>137.3939</v>
      </c>
      <c r="M7311">
        <v>0.9997838</v>
      </c>
      <c r="N7311">
        <v>-1.456768E-2</v>
      </c>
      <c r="O7311">
        <v>1.484194E-2</v>
      </c>
      <c r="P7311">
        <v>0.9719276</v>
      </c>
      <c r="Q7311">
        <v>0.2285645</v>
      </c>
      <c r="R7311">
        <v>5.5811989999999999E-2</v>
      </c>
      <c r="S7311">
        <v>2.771973</v>
      </c>
      <c r="T7311">
        <v>1.272343</v>
      </c>
      <c r="U7311">
        <v>0.27589419999999998</v>
      </c>
      <c r="V7311">
        <v>-4.0961709999999998E-2</v>
      </c>
      <c r="W7311">
        <v>0.24278040000000001</v>
      </c>
      <c r="X7311">
        <v>0.96921599999999997</v>
      </c>
      <c r="Y7311">
        <v>-7.8321520000000006E-2</v>
      </c>
      <c r="Z7311">
        <v>-9.8047780000000001E-3</v>
      </c>
      <c r="AA7311">
        <v>0.99687990000000004</v>
      </c>
      <c r="AB7311">
        <v>33</v>
      </c>
      <c r="AC7311">
        <v>2.771973</v>
      </c>
      <c r="AD7311">
        <v>1.272343</v>
      </c>
      <c r="AE7311">
        <v>0.27589419999999998</v>
      </c>
      <c r="AF7311">
        <v>-0.194203799814719</v>
      </c>
      <c r="AG7311">
        <v>1.272343</v>
      </c>
      <c r="AH7311">
        <v>2.2966441790199501</v>
      </c>
      <c r="AI7311">
        <v>61.099948499956199</v>
      </c>
      <c r="AJ7311">
        <v>94.833421985022397</v>
      </c>
      <c r="AK7311">
        <v>2.6327070308975999</v>
      </c>
      <c r="AL7311">
        <v>75.949298723121203</v>
      </c>
      <c r="AM7311">
        <v>92.420035662589399</v>
      </c>
      <c r="AN7311">
        <v>0.99999991948313804</v>
      </c>
    </row>
    <row r="7312" spans="1:40" x14ac:dyDescent="0.25">
      <c r="A7312" t="str">
        <f>"20190304155818438"</f>
        <v>20190304155818438</v>
      </c>
      <c r="B7312" t="str">
        <f>"1551686298432185"</f>
        <v>1551686298432185</v>
      </c>
      <c r="C7312" t="s">
        <v>40</v>
      </c>
      <c r="D7312">
        <v>4.8776210000000004</v>
      </c>
      <c r="E7312">
        <v>0.48868640000000002</v>
      </c>
      <c r="F7312" t="s">
        <v>46</v>
      </c>
      <c r="G7312">
        <v>0</v>
      </c>
      <c r="H7312">
        <v>0</v>
      </c>
      <c r="I7312">
        <v>0</v>
      </c>
      <c r="J7312">
        <v>-154.46039999999999</v>
      </c>
      <c r="K7312">
        <v>1.1101270000000001</v>
      </c>
      <c r="L7312">
        <v>137.398</v>
      </c>
      <c r="M7312">
        <v>0.99979260000000003</v>
      </c>
      <c r="N7312">
        <v>-1.4552560000000001E-2</v>
      </c>
      <c r="O7312">
        <v>1.4253429999999999E-2</v>
      </c>
      <c r="P7312">
        <v>0.97175829999999996</v>
      </c>
      <c r="Q7312">
        <v>0.2291677</v>
      </c>
      <c r="R7312">
        <v>5.6287619999999997E-2</v>
      </c>
      <c r="S7312">
        <v>2.7711030000000001</v>
      </c>
      <c r="T7312">
        <v>1.274265</v>
      </c>
      <c r="U7312">
        <v>0.27668759999999998</v>
      </c>
      <c r="V7312">
        <v>-4.2038199999999998E-2</v>
      </c>
      <c r="W7312">
        <v>0.2433632</v>
      </c>
      <c r="X7312">
        <v>0.96902379999999999</v>
      </c>
      <c r="Y7312">
        <v>-7.9065960000000005E-2</v>
      </c>
      <c r="Z7312">
        <v>-1.024506E-2</v>
      </c>
      <c r="AA7312">
        <v>0.99681679999999995</v>
      </c>
      <c r="AB7312">
        <v>33</v>
      </c>
      <c r="AC7312">
        <v>2.7711030000000001</v>
      </c>
      <c r="AD7312">
        <v>1.274265</v>
      </c>
      <c r="AE7312">
        <v>0.27668759999999998</v>
      </c>
      <c r="AF7312">
        <v>-0.19610077356043101</v>
      </c>
      <c r="AG7312">
        <v>1.274265</v>
      </c>
      <c r="AH7312">
        <v>2.2943971281434798</v>
      </c>
      <c r="AI7312">
        <v>61.0414504660666</v>
      </c>
      <c r="AJ7312">
        <v>94.885164264022606</v>
      </c>
      <c r="AK7312">
        <v>2.6318178100410101</v>
      </c>
      <c r="AL7312">
        <v>75.914875322685702</v>
      </c>
      <c r="AM7312">
        <v>92.484048524916503</v>
      </c>
      <c r="AN7312">
        <v>0.99999999116995997</v>
      </c>
    </row>
    <row r="7313" spans="1:40" x14ac:dyDescent="0.25">
      <c r="A7313" t="str">
        <f>"20190304155818459"</f>
        <v>20190304155818459</v>
      </c>
      <c r="B7313" t="str">
        <f>"1551686298451705"</f>
        <v>1551686298451705</v>
      </c>
      <c r="C7313" t="s">
        <v>40</v>
      </c>
      <c r="D7313">
        <v>4.8290309999999996</v>
      </c>
      <c r="E7313">
        <v>0.4885409</v>
      </c>
      <c r="F7313" t="s">
        <v>46</v>
      </c>
      <c r="G7313">
        <v>0</v>
      </c>
      <c r="H7313">
        <v>0</v>
      </c>
      <c r="I7313">
        <v>0</v>
      </c>
      <c r="J7313">
        <v>-154.1421</v>
      </c>
      <c r="K7313">
        <v>1.110155</v>
      </c>
      <c r="L7313">
        <v>137.40190000000001</v>
      </c>
      <c r="M7313">
        <v>0.99980089999999999</v>
      </c>
      <c r="N7313">
        <v>-1.4539369999999999E-2</v>
      </c>
      <c r="O7313">
        <v>1.3683529999999999E-2</v>
      </c>
      <c r="P7313">
        <v>0.97198359999999995</v>
      </c>
      <c r="Q7313">
        <v>0.2280826</v>
      </c>
      <c r="R7313">
        <v>5.6805750000000002E-2</v>
      </c>
      <c r="S7313">
        <v>2.7703090000000001</v>
      </c>
      <c r="T7313">
        <v>1.2748660000000001</v>
      </c>
      <c r="U7313">
        <v>0.28031919999999999</v>
      </c>
      <c r="V7313">
        <v>-4.3127899999999997E-2</v>
      </c>
      <c r="W7313">
        <v>0.24226739999999999</v>
      </c>
      <c r="X7313">
        <v>0.96925050000000001</v>
      </c>
      <c r="Y7313">
        <v>-8.0726690000000004E-2</v>
      </c>
      <c r="Z7313">
        <v>-1.085995E-2</v>
      </c>
      <c r="AA7313">
        <v>0.99667709999999998</v>
      </c>
      <c r="AB7313">
        <v>33</v>
      </c>
      <c r="AC7313">
        <v>2.7703090000000001</v>
      </c>
      <c r="AD7313">
        <v>1.2748660000000001</v>
      </c>
      <c r="AE7313">
        <v>0.28031919999999999</v>
      </c>
      <c r="AF7313">
        <v>-0.20037681954988601</v>
      </c>
      <c r="AG7313">
        <v>1.2748660000000001</v>
      </c>
      <c r="AH7313">
        <v>2.2931731884807101</v>
      </c>
      <c r="AI7313">
        <v>61.0210264188078</v>
      </c>
      <c r="AJ7313">
        <v>94.9938050653071</v>
      </c>
      <c r="AK7313">
        <v>2.63136418234643</v>
      </c>
      <c r="AL7313">
        <v>75.979597414717105</v>
      </c>
      <c r="AM7313">
        <v>92.547760120357594</v>
      </c>
      <c r="AN7313">
        <v>1.00000002030571</v>
      </c>
    </row>
    <row r="7314" spans="1:40" x14ac:dyDescent="0.25">
      <c r="A7314" t="str">
        <f>"20190304155818482"</f>
        <v>20190304155818482</v>
      </c>
      <c r="B7314" t="str">
        <f>"1551686298472201"</f>
        <v>1551686298472201</v>
      </c>
      <c r="C7314" t="s">
        <v>40</v>
      </c>
      <c r="D7314">
        <v>4.8041989999999997</v>
      </c>
      <c r="E7314">
        <v>0.48837930000000002</v>
      </c>
      <c r="F7314" t="s">
        <v>46</v>
      </c>
      <c r="G7314">
        <v>0</v>
      </c>
      <c r="H7314">
        <v>0</v>
      </c>
      <c r="I7314">
        <v>0</v>
      </c>
      <c r="J7314">
        <v>-153.81270000000001</v>
      </c>
      <c r="K7314">
        <v>1.110188</v>
      </c>
      <c r="L7314">
        <v>137.4058</v>
      </c>
      <c r="M7314">
        <v>0.99980880000000005</v>
      </c>
      <c r="N7314">
        <v>-1.452708E-2</v>
      </c>
      <c r="O7314">
        <v>1.308933E-2</v>
      </c>
      <c r="P7314">
        <v>0.97187020000000002</v>
      </c>
      <c r="Q7314">
        <v>0.22833410000000001</v>
      </c>
      <c r="R7314">
        <v>5.7723770000000001E-2</v>
      </c>
      <c r="S7314">
        <v>2.7704770000000001</v>
      </c>
      <c r="T7314">
        <v>1.275981</v>
      </c>
      <c r="U7314">
        <v>0.28361510000000001</v>
      </c>
      <c r="V7314">
        <v>-4.4638749999999998E-2</v>
      </c>
      <c r="W7314">
        <v>0.24250430000000001</v>
      </c>
      <c r="X7314">
        <v>0.96912279999999995</v>
      </c>
      <c r="Y7314">
        <v>-8.2265050000000006E-2</v>
      </c>
      <c r="Z7314">
        <v>-1.146139E-2</v>
      </c>
      <c r="AA7314">
        <v>0.9965446</v>
      </c>
      <c r="AB7314">
        <v>33</v>
      </c>
      <c r="AC7314">
        <v>2.7704770000000001</v>
      </c>
      <c r="AD7314">
        <v>1.275981</v>
      </c>
      <c r="AE7314">
        <v>0.28361510000000001</v>
      </c>
      <c r="AF7314">
        <v>-0.20441309407922201</v>
      </c>
      <c r="AG7314">
        <v>1.275981</v>
      </c>
      <c r="AH7314">
        <v>2.2926760930533199</v>
      </c>
      <c r="AI7314">
        <v>60.9983117481693</v>
      </c>
      <c r="AJ7314">
        <v>95.094971975615707</v>
      </c>
      <c r="AK7314">
        <v>2.6317818855388202</v>
      </c>
      <c r="AL7314">
        <v>75.965606231996105</v>
      </c>
      <c r="AM7314">
        <v>92.637235984325699</v>
      </c>
      <c r="AN7314">
        <v>0.99999997749994496</v>
      </c>
    </row>
    <row r="7315" spans="1:40" x14ac:dyDescent="0.25">
      <c r="A7315" t="str">
        <f>"20190304155818505"</f>
        <v>20190304155818505</v>
      </c>
      <c r="B7315" t="str">
        <f>"1551686298501481"</f>
        <v>1551686298501481</v>
      </c>
      <c r="C7315" t="s">
        <v>40</v>
      </c>
      <c r="D7315">
        <v>4.9251370000000003</v>
      </c>
      <c r="E7315">
        <v>0.4883226</v>
      </c>
      <c r="F7315" t="s">
        <v>46</v>
      </c>
      <c r="G7315">
        <v>0</v>
      </c>
      <c r="H7315">
        <v>0</v>
      </c>
      <c r="I7315">
        <v>0</v>
      </c>
      <c r="J7315">
        <v>-153.48570000000001</v>
      </c>
      <c r="K7315">
        <v>1.1102000000000001</v>
      </c>
      <c r="L7315">
        <v>137.40940000000001</v>
      </c>
      <c r="M7315">
        <v>0.9998167</v>
      </c>
      <c r="N7315">
        <v>-1.4516029999999999E-2</v>
      </c>
      <c r="O7315">
        <v>1.2492619999999999E-2</v>
      </c>
      <c r="P7315">
        <v>0.97146350000000004</v>
      </c>
      <c r="Q7315">
        <v>0.22979740000000001</v>
      </c>
      <c r="R7315">
        <v>5.8754029999999999E-2</v>
      </c>
      <c r="S7315">
        <v>2.7697910000000001</v>
      </c>
      <c r="T7315">
        <v>1.276694</v>
      </c>
      <c r="U7315">
        <v>0.28799439999999998</v>
      </c>
      <c r="V7315">
        <v>-4.62628E-2</v>
      </c>
      <c r="W7315">
        <v>0.243951</v>
      </c>
      <c r="X7315">
        <v>0.96868350000000003</v>
      </c>
      <c r="Y7315">
        <v>-8.4185060000000006E-2</v>
      </c>
      <c r="Z7315">
        <v>-1.2145009999999999E-2</v>
      </c>
      <c r="AA7315">
        <v>0.99637609999999999</v>
      </c>
      <c r="AB7315">
        <v>33</v>
      </c>
      <c r="AC7315">
        <v>2.7697910000000001</v>
      </c>
      <c r="AD7315">
        <v>1.276694</v>
      </c>
      <c r="AE7315">
        <v>0.28799439999999998</v>
      </c>
      <c r="AF7315">
        <v>-0.20936099455358601</v>
      </c>
      <c r="AG7315">
        <v>1.276694</v>
      </c>
      <c r="AH7315">
        <v>2.2915209394655198</v>
      </c>
      <c r="AI7315">
        <v>60.977284873035003</v>
      </c>
      <c r="AJ7315">
        <v>95.220240770711996</v>
      </c>
      <c r="AK7315">
        <v>2.6315105570157602</v>
      </c>
      <c r="AL7315">
        <v>75.880150861838203</v>
      </c>
      <c r="AM7315">
        <v>92.734278710803494</v>
      </c>
      <c r="AN7315">
        <v>1.0000000301185401</v>
      </c>
    </row>
    <row r="7316" spans="1:40" x14ac:dyDescent="0.25">
      <c r="A7316" t="str">
        <f>"20190304155818526"</f>
        <v>20190304155818526</v>
      </c>
      <c r="B7316" t="str">
        <f>"1551686298521977"</f>
        <v>1551686298521977</v>
      </c>
      <c r="C7316" t="s">
        <v>40</v>
      </c>
      <c r="D7316">
        <v>4.8706500000000004</v>
      </c>
      <c r="E7316">
        <v>0.48814239999999998</v>
      </c>
      <c r="F7316" t="s">
        <v>46</v>
      </c>
      <c r="G7316">
        <v>0</v>
      </c>
      <c r="H7316">
        <v>0</v>
      </c>
      <c r="I7316">
        <v>0</v>
      </c>
      <c r="J7316">
        <v>-153.166</v>
      </c>
      <c r="K7316">
        <v>1.110206</v>
      </c>
      <c r="L7316">
        <v>137.4128</v>
      </c>
      <c r="M7316">
        <v>0.99982389999999999</v>
      </c>
      <c r="N7316">
        <v>-1.4506150000000001E-2</v>
      </c>
      <c r="O7316">
        <v>1.19039E-2</v>
      </c>
      <c r="P7316">
        <v>0.97126020000000002</v>
      </c>
      <c r="Q7316">
        <v>0.23055410000000001</v>
      </c>
      <c r="R7316">
        <v>5.9148939999999997E-2</v>
      </c>
      <c r="S7316">
        <v>2.7666930000000001</v>
      </c>
      <c r="T7316">
        <v>1.284259</v>
      </c>
      <c r="U7316">
        <v>0.29168699999999997</v>
      </c>
      <c r="V7316">
        <v>-4.7239349999999999E-2</v>
      </c>
      <c r="W7316">
        <v>0.24469450000000001</v>
      </c>
      <c r="X7316">
        <v>0.9684488</v>
      </c>
      <c r="Y7316">
        <v>-8.5878999999999997E-2</v>
      </c>
      <c r="Z7316">
        <v>-1.285494E-2</v>
      </c>
      <c r="AA7316">
        <v>0.99622259999999996</v>
      </c>
      <c r="AB7316">
        <v>33</v>
      </c>
      <c r="AC7316">
        <v>2.7666930000000001</v>
      </c>
      <c r="AD7316">
        <v>1.284259</v>
      </c>
      <c r="AE7316">
        <v>0.29168699999999997</v>
      </c>
      <c r="AF7316">
        <v>-0.21327879215089299</v>
      </c>
      <c r="AG7316">
        <v>1.284259</v>
      </c>
      <c r="AH7316">
        <v>2.2833816955462898</v>
      </c>
      <c r="AI7316">
        <v>60.7511848710745</v>
      </c>
      <c r="AJ7316">
        <v>95.336217772669201</v>
      </c>
      <c r="AK7316">
        <v>2.62842937698889</v>
      </c>
      <c r="AL7316">
        <v>75.836219883537595</v>
      </c>
      <c r="AM7316">
        <v>92.792581082729399</v>
      </c>
      <c r="AN7316">
        <v>1.00000001637005</v>
      </c>
    </row>
    <row r="7317" spans="1:40" x14ac:dyDescent="0.25">
      <c r="A7317" t="str">
        <f>"20190304155818549"</f>
        <v>20190304155818549</v>
      </c>
      <c r="B7317" t="str">
        <f>"1551686298541497"</f>
        <v>1551686298541497</v>
      </c>
      <c r="C7317" t="s">
        <v>40</v>
      </c>
      <c r="D7317">
        <v>4.8458370000000004</v>
      </c>
      <c r="E7317">
        <v>0.48808230000000002</v>
      </c>
      <c r="F7317" t="s">
        <v>46</v>
      </c>
      <c r="G7317">
        <v>0</v>
      </c>
      <c r="H7317">
        <v>0</v>
      </c>
      <c r="I7317">
        <v>0</v>
      </c>
      <c r="J7317">
        <v>-152.84540000000001</v>
      </c>
      <c r="K7317">
        <v>1.1102069999999999</v>
      </c>
      <c r="L7317">
        <v>137.41589999999999</v>
      </c>
      <c r="M7317">
        <v>0.99983109999999997</v>
      </c>
      <c r="N7317">
        <v>-1.449715E-2</v>
      </c>
      <c r="O7317">
        <v>1.1310229999999999E-2</v>
      </c>
      <c r="P7317">
        <v>0.97150239999999999</v>
      </c>
      <c r="Q7317">
        <v>0.229437</v>
      </c>
      <c r="R7317">
        <v>5.9514360000000002E-2</v>
      </c>
      <c r="S7317">
        <v>2.7654879999999999</v>
      </c>
      <c r="T7317">
        <v>1.28633</v>
      </c>
      <c r="U7317">
        <v>0.29452509999999998</v>
      </c>
      <c r="V7317">
        <v>-4.8185730000000003E-2</v>
      </c>
      <c r="W7317">
        <v>0.24357229999999999</v>
      </c>
      <c r="X7317">
        <v>0.96868500000000002</v>
      </c>
      <c r="Y7317">
        <v>-8.7295159999999997E-2</v>
      </c>
      <c r="Z7317">
        <v>-1.3451869999999999E-2</v>
      </c>
      <c r="AA7317">
        <v>0.99609170000000002</v>
      </c>
      <c r="AB7317">
        <v>32</v>
      </c>
      <c r="AC7317">
        <v>2.7654879999999999</v>
      </c>
      <c r="AD7317">
        <v>1.28633</v>
      </c>
      <c r="AE7317">
        <v>0.29452509999999998</v>
      </c>
      <c r="AF7317">
        <v>-0.21683753648564899</v>
      </c>
      <c r="AG7317">
        <v>1.28633</v>
      </c>
      <c r="AH7317">
        <v>2.2807346865143101</v>
      </c>
      <c r="AI7317">
        <v>60.687259477177001</v>
      </c>
      <c r="AJ7317">
        <v>95.430988713570599</v>
      </c>
      <c r="AK7317">
        <v>2.6274348890883501</v>
      </c>
      <c r="AL7317">
        <v>75.902522916742001</v>
      </c>
      <c r="AM7317">
        <v>92.847742235080204</v>
      </c>
      <c r="AN7317">
        <v>0.99999997956396103</v>
      </c>
    </row>
    <row r="7318" spans="1:40" x14ac:dyDescent="0.25">
      <c r="A7318" t="str">
        <f>"20190304155818571"</f>
        <v>20190304155818571</v>
      </c>
      <c r="B7318" t="str">
        <f>"1551686298561993"</f>
        <v>1551686298561993</v>
      </c>
      <c r="C7318" t="s">
        <v>40</v>
      </c>
      <c r="D7318">
        <v>4.7560289999999998</v>
      </c>
      <c r="E7318">
        <v>0.48822080000000001</v>
      </c>
      <c r="F7318" t="s">
        <v>46</v>
      </c>
      <c r="G7318">
        <v>0</v>
      </c>
      <c r="H7318">
        <v>0</v>
      </c>
      <c r="I7318">
        <v>0</v>
      </c>
      <c r="J7318">
        <v>-152.51939999999999</v>
      </c>
      <c r="K7318">
        <v>1.1102240000000001</v>
      </c>
      <c r="L7318">
        <v>137.41899999999899</v>
      </c>
      <c r="M7318">
        <v>0.99983759999999999</v>
      </c>
      <c r="N7318">
        <v>-1.448877E-2</v>
      </c>
      <c r="O7318">
        <v>1.070553E-2</v>
      </c>
      <c r="P7318">
        <v>0.97166379999999997</v>
      </c>
      <c r="Q7318">
        <v>0.2287777</v>
      </c>
      <c r="R7318">
        <v>5.9417060000000001E-2</v>
      </c>
      <c r="S7318">
        <v>2.7672119999999998</v>
      </c>
      <c r="T7318">
        <v>1.2814219999999901</v>
      </c>
      <c r="U7318">
        <v>0.29653930000000001</v>
      </c>
      <c r="V7318">
        <v>-4.8679550000000002E-2</v>
      </c>
      <c r="W7318">
        <v>0.2429067</v>
      </c>
      <c r="X7318">
        <v>0.96882749999999995</v>
      </c>
      <c r="Y7318">
        <v>-8.8436490000000006E-2</v>
      </c>
      <c r="Z7318">
        <v>-1.391073E-2</v>
      </c>
      <c r="AA7318">
        <v>0.99598469999999995</v>
      </c>
      <c r="AB7318">
        <v>32</v>
      </c>
      <c r="AC7318">
        <v>2.7672119999999998</v>
      </c>
      <c r="AD7318">
        <v>1.2814219999999901</v>
      </c>
      <c r="AE7318">
        <v>0.29653930000000001</v>
      </c>
      <c r="AF7318">
        <v>-0.220209741306718</v>
      </c>
      <c r="AG7318">
        <v>1.2814219999999901</v>
      </c>
      <c r="AH7318">
        <v>2.2856625574290801</v>
      </c>
      <c r="AI7318">
        <v>60.836261631600998</v>
      </c>
      <c r="AJ7318">
        <v>95.5031162849249</v>
      </c>
      <c r="AK7318">
        <v>2.6295984481824601</v>
      </c>
      <c r="AL7318">
        <v>75.9418407493106</v>
      </c>
      <c r="AM7318">
        <v>92.876455430230905</v>
      </c>
      <c r="AN7318">
        <v>1.0000000441246699</v>
      </c>
    </row>
    <row r="7319" spans="1:40" x14ac:dyDescent="0.25">
      <c r="A7319" t="str">
        <f>"20190304155818661"</f>
        <v>20190304155818661</v>
      </c>
      <c r="B7319" t="str">
        <f>"1551686298651785"</f>
        <v>1551686298651785</v>
      </c>
      <c r="C7319" t="s">
        <v>40</v>
      </c>
      <c r="D7319">
        <v>5.0325040000000003</v>
      </c>
      <c r="E7319">
        <v>0.54057599999999995</v>
      </c>
      <c r="F7319" t="s">
        <v>46</v>
      </c>
      <c r="G7319">
        <v>0</v>
      </c>
      <c r="H7319">
        <v>0</v>
      </c>
      <c r="I7319">
        <v>0</v>
      </c>
      <c r="J7319">
        <v>-151.2295</v>
      </c>
      <c r="K7319">
        <v>1.1102719999999999</v>
      </c>
      <c r="L7319">
        <v>137.42910000000001</v>
      </c>
      <c r="M7319">
        <v>0.99986090000000005</v>
      </c>
      <c r="N7319">
        <v>-1.446132E-2</v>
      </c>
      <c r="O7319">
        <v>8.3087999999999999E-3</v>
      </c>
      <c r="P7319">
        <v>0.97065650000000003</v>
      </c>
      <c r="Q7319">
        <v>0.2332649</v>
      </c>
      <c r="R7319">
        <v>5.8425299999999999E-2</v>
      </c>
      <c r="S7319">
        <v>2.7675480000000001</v>
      </c>
      <c r="T7319">
        <v>1.282022</v>
      </c>
      <c r="U7319">
        <v>0.2956085</v>
      </c>
      <c r="V7319">
        <v>-5.003005E-2</v>
      </c>
      <c r="W7319">
        <v>0.24735070000000001</v>
      </c>
      <c r="X7319">
        <v>0.96763350000000004</v>
      </c>
      <c r="Y7319">
        <v>-9.0056520000000001E-2</v>
      </c>
      <c r="Z7319">
        <v>-1.534729E-2</v>
      </c>
      <c r="AA7319">
        <v>0.99581839999999999</v>
      </c>
      <c r="AB7319">
        <v>32</v>
      </c>
      <c r="AC7319">
        <v>2.7675480000000001</v>
      </c>
      <c r="AD7319">
        <v>1.282022</v>
      </c>
      <c r="AE7319">
        <v>0.2956085</v>
      </c>
      <c r="AF7319">
        <v>-0.22488759581680801</v>
      </c>
      <c r="AG7319">
        <v>1.282022</v>
      </c>
      <c r="AH7319">
        <v>2.2850921452581998</v>
      </c>
      <c r="AI7319">
        <v>60.8236324787011</v>
      </c>
      <c r="AJ7319">
        <v>95.620670701312804</v>
      </c>
      <c r="AK7319">
        <v>2.62979104712845</v>
      </c>
      <c r="AL7319">
        <v>75.679204282711197</v>
      </c>
      <c r="AM7319">
        <v>92.959757490924304</v>
      </c>
      <c r="AN7319">
        <v>0.99999998250787103</v>
      </c>
    </row>
    <row r="7320" spans="1:40" x14ac:dyDescent="0.25">
      <c r="A7320" t="str">
        <f>"20190304155818683"</f>
        <v>20190304155818683</v>
      </c>
      <c r="B7320" t="str">
        <f>"1551686298672282"</f>
        <v>1551686298672282</v>
      </c>
      <c r="C7320" t="s">
        <v>40</v>
      </c>
      <c r="D7320">
        <v>5.147329</v>
      </c>
      <c r="E7320">
        <v>0.53929539999999998</v>
      </c>
      <c r="F7320" t="s">
        <v>46</v>
      </c>
      <c r="G7320">
        <v>0</v>
      </c>
      <c r="H7320">
        <v>0</v>
      </c>
      <c r="I7320">
        <v>0</v>
      </c>
      <c r="J7320">
        <v>-150.90309999999999</v>
      </c>
      <c r="K7320">
        <v>1.110268</v>
      </c>
      <c r="L7320">
        <v>137.43109999999999</v>
      </c>
      <c r="M7320">
        <v>0.99986589999999997</v>
      </c>
      <c r="N7320">
        <v>-1.4455529999999999E-2</v>
      </c>
      <c r="O7320">
        <v>7.7019130000000003E-3</v>
      </c>
      <c r="P7320">
        <v>0.97078880000000001</v>
      </c>
      <c r="Q7320">
        <v>0.2328094</v>
      </c>
      <c r="R7320">
        <v>5.8043490000000003E-2</v>
      </c>
      <c r="S7320">
        <v>2.690353</v>
      </c>
      <c r="T7320">
        <v>1.69215</v>
      </c>
      <c r="U7320">
        <v>-0.104522699999999</v>
      </c>
      <c r="V7320">
        <v>-5.0238669999999999E-2</v>
      </c>
      <c r="W7320">
        <v>0.2468909</v>
      </c>
      <c r="X7320">
        <v>0.96774009999999999</v>
      </c>
      <c r="Y7320">
        <v>3.8307599999999997E-2</v>
      </c>
      <c r="Z7320">
        <v>1.5285139999999999E-2</v>
      </c>
      <c r="AA7320">
        <v>0.99914910000000001</v>
      </c>
      <c r="AB7320">
        <v>32</v>
      </c>
      <c r="AC7320">
        <v>2.690353</v>
      </c>
      <c r="AD7320">
        <v>1.69215</v>
      </c>
      <c r="AE7320">
        <v>-0.104522699999999</v>
      </c>
      <c r="AF7320">
        <v>8.97792485842729E-2</v>
      </c>
      <c r="AG7320">
        <v>1.69215</v>
      </c>
      <c r="AH7320">
        <v>1.92792523324624</v>
      </c>
      <c r="AI7320">
        <v>48.757171235051203</v>
      </c>
      <c r="AJ7320">
        <v>87.333787412827903</v>
      </c>
      <c r="AK7320">
        <v>2.5667737806366802</v>
      </c>
      <c r="AL7320">
        <v>75.706391951661303</v>
      </c>
      <c r="AM7320">
        <v>92.971750486011402</v>
      </c>
      <c r="AN7320">
        <v>0.99999997080709402</v>
      </c>
    </row>
    <row r="7321" spans="1:40" x14ac:dyDescent="0.25">
      <c r="A7321" t="str">
        <f>"20190304155818705"</f>
        <v>20190304155818705</v>
      </c>
      <c r="B7321" t="str">
        <f>"1551686298701562"</f>
        <v>1551686298701562</v>
      </c>
      <c r="C7321" t="s">
        <v>40</v>
      </c>
      <c r="D7321">
        <v>4.7859809999999996</v>
      </c>
      <c r="E7321">
        <v>0.53439269999999905</v>
      </c>
      <c r="F7321" t="s">
        <v>46</v>
      </c>
      <c r="G7321">
        <v>0</v>
      </c>
      <c r="H7321">
        <v>0</v>
      </c>
      <c r="I7321">
        <v>0</v>
      </c>
      <c r="J7321">
        <v>-150.59119999999999</v>
      </c>
      <c r="K7321">
        <v>1.110258</v>
      </c>
      <c r="L7321">
        <v>137.43289999999999</v>
      </c>
      <c r="M7321">
        <v>0.99987040000000005</v>
      </c>
      <c r="N7321">
        <v>-1.4450299999999999E-2</v>
      </c>
      <c r="O7321">
        <v>7.1220709999999998E-3</v>
      </c>
      <c r="P7321">
        <v>0.97095480000000001</v>
      </c>
      <c r="Q7321">
        <v>0.23225460000000001</v>
      </c>
      <c r="R7321">
        <v>5.7487820000000002E-2</v>
      </c>
      <c r="S7321">
        <v>2.6802980000000001</v>
      </c>
      <c r="T7321">
        <v>1.732531</v>
      </c>
      <c r="U7321">
        <v>-9.214783E-2</v>
      </c>
      <c r="V7321">
        <v>-5.0246970000000002E-2</v>
      </c>
      <c r="W7321">
        <v>0.24633269999999999</v>
      </c>
      <c r="X7321">
        <v>0.96788189999999996</v>
      </c>
      <c r="Y7321">
        <v>3.3791679999999998E-2</v>
      </c>
      <c r="Z7321">
        <v>1.399915E-2</v>
      </c>
      <c r="AA7321">
        <v>0.99933090000000002</v>
      </c>
      <c r="AB7321">
        <v>32</v>
      </c>
      <c r="AC7321">
        <v>2.6802980000000001</v>
      </c>
      <c r="AD7321">
        <v>1.732531</v>
      </c>
      <c r="AE7321">
        <v>-9.214783E-2</v>
      </c>
      <c r="AF7321">
        <v>7.8483141274992896E-2</v>
      </c>
      <c r="AG7321">
        <v>1.732531</v>
      </c>
      <c r="AH7321">
        <v>1.8905743666589401</v>
      </c>
      <c r="AI7321">
        <v>47.522282864859399</v>
      </c>
      <c r="AJ7321">
        <v>87.622853459560105</v>
      </c>
      <c r="AK7321">
        <v>2.5655593357576501</v>
      </c>
      <c r="AL7321">
        <v>75.739393650308401</v>
      </c>
      <c r="AM7321">
        <v>92.971805903840107</v>
      </c>
      <c r="AN7321">
        <v>0.99999996471553898</v>
      </c>
    </row>
    <row r="7322" spans="1:40" x14ac:dyDescent="0.25">
      <c r="A7322" t="str">
        <f>"20190304155818728"</f>
        <v>20190304155818728</v>
      </c>
      <c r="B7322" t="str">
        <f>"1551686298722057"</f>
        <v>1551686298722057</v>
      </c>
      <c r="C7322" t="s">
        <v>40</v>
      </c>
      <c r="D7322">
        <v>4.9374320000000003</v>
      </c>
      <c r="E7322">
        <v>0.53242900000000004</v>
      </c>
      <c r="F7322" t="s">
        <v>46</v>
      </c>
      <c r="G7322">
        <v>0</v>
      </c>
      <c r="H7322">
        <v>0</v>
      </c>
      <c r="I7322">
        <v>0</v>
      </c>
      <c r="J7322">
        <v>-150.26339999999999</v>
      </c>
      <c r="K7322">
        <v>1.110244</v>
      </c>
      <c r="L7322">
        <v>137.43459999999999</v>
      </c>
      <c r="M7322">
        <v>0.9998745</v>
      </c>
      <c r="N7322">
        <v>-1.444486E-2</v>
      </c>
      <c r="O7322">
        <v>6.5133190000000001E-3</v>
      </c>
      <c r="P7322">
        <v>0.97102790000000005</v>
      </c>
      <c r="Q7322">
        <v>0.23211680000000001</v>
      </c>
      <c r="R7322">
        <v>5.680661E-2</v>
      </c>
      <c r="S7322">
        <v>2.6905670000000002</v>
      </c>
      <c r="T7322">
        <v>1.68268499999999</v>
      </c>
      <c r="U7322">
        <v>-5.6137079999999999E-2</v>
      </c>
      <c r="V7322">
        <v>-5.0157930000000003E-2</v>
      </c>
      <c r="W7322">
        <v>0.24618989999999999</v>
      </c>
      <c r="X7322">
        <v>0.96792290000000003</v>
      </c>
      <c r="Y7322">
        <v>2.2263640000000001E-2</v>
      </c>
      <c r="Z7322">
        <v>1.003827E-2</v>
      </c>
      <c r="AA7322">
        <v>0.99970170000000003</v>
      </c>
      <c r="AB7322">
        <v>32</v>
      </c>
      <c r="AC7322">
        <v>2.6905670000000002</v>
      </c>
      <c r="AD7322">
        <v>1.68268499999999</v>
      </c>
      <c r="AE7322">
        <v>-5.6137079999999999E-2</v>
      </c>
      <c r="AF7322">
        <v>5.2957954314966402E-2</v>
      </c>
      <c r="AG7322">
        <v>1.68268499999999</v>
      </c>
      <c r="AH7322">
        <v>1.9340239965720201</v>
      </c>
      <c r="AI7322">
        <v>48.9859449380697</v>
      </c>
      <c r="AJ7322">
        <v>88.431503814065294</v>
      </c>
      <c r="AK7322">
        <v>2.5641143058503899</v>
      </c>
      <c r="AL7322">
        <v>75.747836163074993</v>
      </c>
      <c r="AM7322">
        <v>92.966423703651699</v>
      </c>
      <c r="AN7322">
        <v>1.0000000125741499</v>
      </c>
    </row>
    <row r="7323" spans="1:40" x14ac:dyDescent="0.25">
      <c r="A7323" t="str">
        <f>"20190304155818750"</f>
        <v>20190304155818750</v>
      </c>
      <c r="B7323" t="str">
        <f>"1551686298741577"</f>
        <v>1551686298741577</v>
      </c>
      <c r="C7323" t="s">
        <v>40</v>
      </c>
      <c r="D7323">
        <v>5.0501319999999996</v>
      </c>
      <c r="E7323">
        <v>0.53189500000000001</v>
      </c>
      <c r="F7323" t="s">
        <v>46</v>
      </c>
      <c r="G7323">
        <v>0</v>
      </c>
      <c r="H7323">
        <v>0</v>
      </c>
      <c r="I7323">
        <v>0</v>
      </c>
      <c r="J7323">
        <v>-149.94909999999999</v>
      </c>
      <c r="K7323">
        <v>1.110228</v>
      </c>
      <c r="L7323">
        <v>137.43610000000001</v>
      </c>
      <c r="M7323">
        <v>0.99987809999999999</v>
      </c>
      <c r="N7323">
        <v>-1.4439799999999999E-2</v>
      </c>
      <c r="O7323">
        <v>5.9292989999999999E-3</v>
      </c>
      <c r="P7323">
        <v>0.97106769999999998</v>
      </c>
      <c r="Q7323">
        <v>0.23219219999999999</v>
      </c>
      <c r="R7323">
        <v>5.5807009999999997E-2</v>
      </c>
      <c r="S7323">
        <v>2.6934049999999998</v>
      </c>
      <c r="T7323">
        <v>1.667538</v>
      </c>
      <c r="U7323">
        <v>-4.2724610000000003E-2</v>
      </c>
      <c r="V7323">
        <v>-4.9726850000000003E-2</v>
      </c>
      <c r="W7323">
        <v>0.2462597</v>
      </c>
      <c r="X7323">
        <v>0.96792739999999999</v>
      </c>
      <c r="Y7323">
        <v>1.766966E-2</v>
      </c>
      <c r="Z7323">
        <v>8.34138699999999E-3</v>
      </c>
      <c r="AA7323">
        <v>0.99980910000000001</v>
      </c>
      <c r="AB7323">
        <v>32</v>
      </c>
      <c r="AC7323">
        <v>2.6934049999999998</v>
      </c>
      <c r="AD7323">
        <v>1.667538</v>
      </c>
      <c r="AE7323">
        <v>-4.2724610000000003E-2</v>
      </c>
      <c r="AF7323">
        <v>4.2434230208077503E-2</v>
      </c>
      <c r="AG7323">
        <v>1.667538</v>
      </c>
      <c r="AH7323">
        <v>1.9469934130545099</v>
      </c>
      <c r="AI7323">
        <v>49.427716760472201</v>
      </c>
      <c r="AJ7323">
        <v>88.751450607867199</v>
      </c>
      <c r="AK7323">
        <v>2.56383833262064</v>
      </c>
      <c r="AL7323">
        <v>75.743710069909</v>
      </c>
      <c r="AM7323">
        <v>92.940960215208307</v>
      </c>
      <c r="AN7323">
        <v>1.00000002556288</v>
      </c>
    </row>
    <row r="7324" spans="1:40" x14ac:dyDescent="0.25">
      <c r="A7324" t="str">
        <f>"20190304155818773"</f>
        <v>20190304155818773</v>
      </c>
      <c r="B7324" t="str">
        <f>"1551686298762073"</f>
        <v>1551686298762073</v>
      </c>
      <c r="C7324" t="s">
        <v>40</v>
      </c>
      <c r="D7324">
        <v>4.9610510000000003</v>
      </c>
      <c r="E7324">
        <v>0.5302905</v>
      </c>
      <c r="F7324" t="s">
        <v>46</v>
      </c>
      <c r="G7324">
        <v>0</v>
      </c>
      <c r="H7324">
        <v>0</v>
      </c>
      <c r="I7324">
        <v>0</v>
      </c>
      <c r="J7324">
        <v>-149.6172</v>
      </c>
      <c r="K7324">
        <v>1.110209</v>
      </c>
      <c r="L7324">
        <v>137.43729999999999</v>
      </c>
      <c r="M7324">
        <v>0.99988169999999998</v>
      </c>
      <c r="N7324">
        <v>-1.443472E-2</v>
      </c>
      <c r="O7324">
        <v>5.3124369999999997E-3</v>
      </c>
      <c r="P7324">
        <v>0.97121329999999995</v>
      </c>
      <c r="Q7324">
        <v>0.23177400000000001</v>
      </c>
      <c r="R7324">
        <v>5.5006069999999997E-2</v>
      </c>
      <c r="S7324">
        <v>2.693619</v>
      </c>
      <c r="T7324">
        <v>1.6651939999999901</v>
      </c>
      <c r="U7324">
        <v>-4.1717530000000003E-2</v>
      </c>
      <c r="V7324">
        <v>-4.9526010000000002E-2</v>
      </c>
      <c r="W7324">
        <v>0.24583769999999999</v>
      </c>
      <c r="X7324">
        <v>0.96804489999999999</v>
      </c>
      <c r="Y7324">
        <v>1.6929130000000001E-2</v>
      </c>
      <c r="Z7324">
        <v>7.7675069999999999E-3</v>
      </c>
      <c r="AA7324">
        <v>0.99982649999999995</v>
      </c>
      <c r="AB7324">
        <v>32</v>
      </c>
      <c r="AC7324">
        <v>2.693619</v>
      </c>
      <c r="AD7324">
        <v>1.6651939999999901</v>
      </c>
      <c r="AE7324">
        <v>-4.1717530000000003E-2</v>
      </c>
      <c r="AF7324">
        <v>4.0539008980973297E-2</v>
      </c>
      <c r="AG7324">
        <v>1.6651939999999901</v>
      </c>
      <c r="AH7324">
        <v>1.9487737776767899</v>
      </c>
      <c r="AI7324">
        <v>49.492796492053202</v>
      </c>
      <c r="AJ7324">
        <v>88.808286937736</v>
      </c>
      <c r="AK7324">
        <v>2.5636368123128901</v>
      </c>
      <c r="AL7324">
        <v>75.768654894227495</v>
      </c>
      <c r="AM7324">
        <v>92.928747891121205</v>
      </c>
      <c r="AN7324">
        <v>0.99999996441190897</v>
      </c>
    </row>
    <row r="7325" spans="1:40" x14ac:dyDescent="0.25">
      <c r="A7325" t="str">
        <f>"20190304155818795"</f>
        <v>20190304155818795</v>
      </c>
      <c r="B7325" t="str">
        <f>"1551686298792332"</f>
        <v>1551686298792332</v>
      </c>
      <c r="C7325" t="s">
        <v>40</v>
      </c>
      <c r="D7325">
        <v>5.0233739999999996</v>
      </c>
      <c r="E7325">
        <v>0.52797289999999997</v>
      </c>
      <c r="F7325" t="s">
        <v>46</v>
      </c>
      <c r="G7325">
        <v>0</v>
      </c>
      <c r="H7325">
        <v>0</v>
      </c>
      <c r="I7325">
        <v>0</v>
      </c>
      <c r="J7325">
        <v>-149.30179999999999</v>
      </c>
      <c r="K7325">
        <v>1.1101909999999999</v>
      </c>
      <c r="L7325">
        <v>137.4384</v>
      </c>
      <c r="M7325">
        <v>0.99988469999999996</v>
      </c>
      <c r="N7325">
        <v>-1.443006E-2</v>
      </c>
      <c r="O7325">
        <v>4.7256700000000004E-3</v>
      </c>
      <c r="P7325">
        <v>0.97168100000000002</v>
      </c>
      <c r="Q7325">
        <v>0.23004939999999999</v>
      </c>
      <c r="R7325">
        <v>5.3976789999999997E-2</v>
      </c>
      <c r="S7325">
        <v>2.6995089999999999</v>
      </c>
      <c r="T7325">
        <v>1.639716</v>
      </c>
      <c r="U7325">
        <v>-3.3477779999999999E-2</v>
      </c>
      <c r="V7325">
        <v>-4.9067520000000003E-2</v>
      </c>
      <c r="W7325">
        <v>0.2441142</v>
      </c>
      <c r="X7325">
        <v>0.96850429999999998</v>
      </c>
      <c r="Y7325">
        <v>1.3974449999999999E-2</v>
      </c>
      <c r="Z7325">
        <v>6.5111550000000002E-3</v>
      </c>
      <c r="AA7325">
        <v>0.99988109999999997</v>
      </c>
      <c r="AB7325">
        <v>32</v>
      </c>
      <c r="AC7325">
        <v>2.6995089999999999</v>
      </c>
      <c r="AD7325">
        <v>1.639716</v>
      </c>
      <c r="AE7325">
        <v>-3.3477779999999999E-2</v>
      </c>
      <c r="AF7325">
        <v>3.3775984533379898E-2</v>
      </c>
      <c r="AG7325">
        <v>1.639716</v>
      </c>
      <c r="AH7325">
        <v>1.9718997606187301</v>
      </c>
      <c r="AI7325">
        <v>50.259210874480999</v>
      </c>
      <c r="AJ7325">
        <v>89.018696499712604</v>
      </c>
      <c r="AK7325">
        <v>2.5647998057773198</v>
      </c>
      <c r="AL7325">
        <v>75.870507835627905</v>
      </c>
      <c r="AM7325">
        <v>92.900307352230698</v>
      </c>
      <c r="AN7325">
        <v>0.99999997163953902</v>
      </c>
    </row>
    <row r="7326" spans="1:40" x14ac:dyDescent="0.25">
      <c r="A7326" t="str">
        <f>"20190304155818818"</f>
        <v>20190304155818818</v>
      </c>
      <c r="B7326" t="str">
        <f>"1551686298811849"</f>
        <v>1551686298811849</v>
      </c>
      <c r="C7326" t="s">
        <v>40</v>
      </c>
      <c r="D7326">
        <v>5.0786110000000004</v>
      </c>
      <c r="E7326">
        <v>0.52731169999999905</v>
      </c>
      <c r="F7326" t="s">
        <v>46</v>
      </c>
      <c r="G7326">
        <v>0</v>
      </c>
      <c r="H7326">
        <v>0</v>
      </c>
      <c r="I7326">
        <v>0</v>
      </c>
      <c r="J7326">
        <v>-148.97210000000001</v>
      </c>
      <c r="K7326">
        <v>1.1101810000000001</v>
      </c>
      <c r="L7326">
        <v>137.4393</v>
      </c>
      <c r="M7326">
        <v>0.99988759999999999</v>
      </c>
      <c r="N7326">
        <v>-1.442533E-2</v>
      </c>
      <c r="O7326">
        <v>4.1124969999999997E-3</v>
      </c>
      <c r="P7326">
        <v>0.97236619999999996</v>
      </c>
      <c r="Q7326">
        <v>0.22746910000000001</v>
      </c>
      <c r="R7326">
        <v>5.2555499999999998E-2</v>
      </c>
      <c r="S7326">
        <v>2.7021329999999999</v>
      </c>
      <c r="T7326">
        <v>1.63164</v>
      </c>
      <c r="U7326">
        <v>-1.8371579999999998E-2</v>
      </c>
      <c r="V7326">
        <v>-4.8243809999999998E-2</v>
      </c>
      <c r="W7326">
        <v>0.24153769999999999</v>
      </c>
      <c r="X7326">
        <v>0.96919140000000004</v>
      </c>
      <c r="Y7326">
        <v>8.7552729999999992E-3</v>
      </c>
      <c r="Z7326">
        <v>4.7156619999999998E-3</v>
      </c>
      <c r="AA7326">
        <v>0.99995049999999996</v>
      </c>
      <c r="AB7326">
        <v>32</v>
      </c>
      <c r="AC7326">
        <v>2.7021329999999999</v>
      </c>
      <c r="AD7326">
        <v>1.63164</v>
      </c>
      <c r="AE7326">
        <v>-1.8371579999999998E-2</v>
      </c>
      <c r="AF7326">
        <v>2.16071528411068E-2</v>
      </c>
      <c r="AG7326">
        <v>1.63164</v>
      </c>
      <c r="AH7326">
        <v>1.98009458368958</v>
      </c>
      <c r="AI7326">
        <v>50.5124265642174</v>
      </c>
      <c r="AJ7326">
        <v>89.374802829991197</v>
      </c>
      <c r="AK7326">
        <v>2.5658313504614201</v>
      </c>
      <c r="AL7326">
        <v>76.022684813765594</v>
      </c>
      <c r="AM7326">
        <v>92.849681788996605</v>
      </c>
      <c r="AN7326">
        <v>0.99999994777928103</v>
      </c>
    </row>
    <row r="7327" spans="1:40" x14ac:dyDescent="0.25">
      <c r="A7327" t="str">
        <f>"20190304155818843"</f>
        <v>20190304155818843</v>
      </c>
      <c r="B7327" t="str">
        <f>"1551686298832346"</f>
        <v>1551686298832346</v>
      </c>
      <c r="C7327" t="s">
        <v>40</v>
      </c>
      <c r="D7327">
        <v>4.9856889999999998</v>
      </c>
      <c r="E7327">
        <v>0.52737869999999998</v>
      </c>
      <c r="F7327" t="s">
        <v>46</v>
      </c>
      <c r="G7327">
        <v>0</v>
      </c>
      <c r="H7327">
        <v>0</v>
      </c>
      <c r="I7327">
        <v>0</v>
      </c>
      <c r="J7327">
        <v>-148.626</v>
      </c>
      <c r="K7327">
        <v>1.1101639999999999</v>
      </c>
      <c r="L7327">
        <v>137.44</v>
      </c>
      <c r="M7327">
        <v>0.9998901</v>
      </c>
      <c r="N7327">
        <v>-1.442059E-2</v>
      </c>
      <c r="O7327">
        <v>3.468451E-3</v>
      </c>
      <c r="P7327">
        <v>0.97295929999999997</v>
      </c>
      <c r="Q7327">
        <v>0.22532540000000001</v>
      </c>
      <c r="R7327">
        <v>5.0785869999999997E-2</v>
      </c>
      <c r="S7327">
        <v>2.7057950000000002</v>
      </c>
      <c r="T7327">
        <v>1.626187</v>
      </c>
      <c r="U7327">
        <v>-1.7608639999999998E-2</v>
      </c>
      <c r="V7327">
        <v>-4.7102129999999999E-2</v>
      </c>
      <c r="W7327">
        <v>0.2393962</v>
      </c>
      <c r="X7327">
        <v>0.96977880000000005</v>
      </c>
      <c r="Y7327">
        <v>8.0634460000000002E-3</v>
      </c>
      <c r="Z7327">
        <v>4.1443540000000003E-3</v>
      </c>
      <c r="AA7327">
        <v>0.99995889999999998</v>
      </c>
      <c r="AB7327">
        <v>32</v>
      </c>
      <c r="AC7327">
        <v>2.7057950000000002</v>
      </c>
      <c r="AD7327">
        <v>1.626187</v>
      </c>
      <c r="AE7327">
        <v>-1.7608639999999998E-2</v>
      </c>
      <c r="AF7327">
        <v>1.9831525829099299E-2</v>
      </c>
      <c r="AG7327">
        <v>1.626187</v>
      </c>
      <c r="AH7327">
        <v>1.98776252207513</v>
      </c>
      <c r="AI7327">
        <v>50.714824966196403</v>
      </c>
      <c r="AJ7327">
        <v>89.428389950511999</v>
      </c>
      <c r="AK7327">
        <v>2.5682829463577801</v>
      </c>
      <c r="AL7327">
        <v>76.149094160826607</v>
      </c>
      <c r="AM7327">
        <v>92.780669257893805</v>
      </c>
      <c r="AN7327">
        <v>1.0000000360771999</v>
      </c>
    </row>
    <row r="7328" spans="1:40" x14ac:dyDescent="0.25">
      <c r="A7328" t="str">
        <f>"20190304155818864"</f>
        <v>20190304155818864</v>
      </c>
      <c r="B7328" t="str">
        <f>"1551686298851866"</f>
        <v>1551686298851866</v>
      </c>
      <c r="C7328" t="s">
        <v>40</v>
      </c>
      <c r="D7328">
        <v>4.9664780000000004</v>
      </c>
      <c r="E7328">
        <v>0.52766689999999905</v>
      </c>
      <c r="F7328" t="s">
        <v>46</v>
      </c>
      <c r="G7328">
        <v>0</v>
      </c>
      <c r="H7328">
        <v>0</v>
      </c>
      <c r="I7328">
        <v>0</v>
      </c>
      <c r="J7328">
        <v>-148.32740000000001</v>
      </c>
      <c r="K7328">
        <v>1.110161</v>
      </c>
      <c r="L7328">
        <v>137.44049999999999</v>
      </c>
      <c r="M7328">
        <v>0.99989189999999994</v>
      </c>
      <c r="N7328">
        <v>-1.4416740000000001E-2</v>
      </c>
      <c r="O7328">
        <v>2.912782E-3</v>
      </c>
      <c r="P7328">
        <v>0.9735528</v>
      </c>
      <c r="Q7328">
        <v>0.22311239999999999</v>
      </c>
      <c r="R7328">
        <v>4.9151849999999997E-2</v>
      </c>
      <c r="S7328">
        <v>2.7096100000000001</v>
      </c>
      <c r="T7328">
        <v>1.6192679999999999</v>
      </c>
      <c r="U7328">
        <v>-2.362061E-2</v>
      </c>
      <c r="V7328">
        <v>-4.601102E-2</v>
      </c>
      <c r="W7328">
        <v>0.23718620000000001</v>
      </c>
      <c r="X7328">
        <v>0.97037399999999996</v>
      </c>
      <c r="Y7328">
        <v>9.5887730000000001E-3</v>
      </c>
      <c r="Z7328">
        <v>4.2192929999999998E-3</v>
      </c>
      <c r="AA7328">
        <v>0.99994510000000003</v>
      </c>
      <c r="AB7328">
        <v>32</v>
      </c>
      <c r="AC7328">
        <v>2.7096100000000001</v>
      </c>
      <c r="AD7328">
        <v>1.6192679999999999</v>
      </c>
      <c r="AE7328">
        <v>-2.362061E-2</v>
      </c>
      <c r="AF7328">
        <v>2.3221437546465402E-2</v>
      </c>
      <c r="AG7328">
        <v>1.6192679999999999</v>
      </c>
      <c r="AH7328">
        <v>1.9965573527459699</v>
      </c>
      <c r="AI7328">
        <v>50.958804896447603</v>
      </c>
      <c r="AJ7328">
        <v>89.333637786536201</v>
      </c>
      <c r="AK7328">
        <v>2.5707604621570099</v>
      </c>
      <c r="AL7328">
        <v>76.279473149948402</v>
      </c>
      <c r="AM7328">
        <v>92.714689670184796</v>
      </c>
      <c r="AN7328">
        <v>1.00000000365394</v>
      </c>
    </row>
    <row r="7329" spans="1:40" x14ac:dyDescent="0.25">
      <c r="A7329" t="str">
        <f>"20190304155818962"</f>
        <v>20190304155818962</v>
      </c>
      <c r="B7329" t="str">
        <f>"1551686298951417"</f>
        <v>1551686298951417</v>
      </c>
      <c r="C7329" t="s">
        <v>40</v>
      </c>
      <c r="D7329">
        <v>5.0052399999999997</v>
      </c>
      <c r="E7329">
        <v>0.55353469999999905</v>
      </c>
      <c r="F7329" t="s">
        <v>46</v>
      </c>
      <c r="G7329">
        <v>0</v>
      </c>
      <c r="H7329">
        <v>0</v>
      </c>
      <c r="I7329">
        <v>0</v>
      </c>
      <c r="J7329">
        <v>-146.93</v>
      </c>
      <c r="K7329">
        <v>1.1101430000000001</v>
      </c>
      <c r="L7329">
        <v>137.44030000000001</v>
      </c>
      <c r="M7329">
        <v>0.99989640000000002</v>
      </c>
      <c r="N7329">
        <v>-1.4399790000000001E-2</v>
      </c>
      <c r="O7329">
        <v>3.1218590000000002E-4</v>
      </c>
      <c r="P7329">
        <v>0.97499899999999995</v>
      </c>
      <c r="Q7329">
        <v>0.21840409999999999</v>
      </c>
      <c r="R7329">
        <v>4.095041E-2</v>
      </c>
      <c r="S7329">
        <v>2.713562</v>
      </c>
      <c r="T7329">
        <v>1.6123829999999999</v>
      </c>
      <c r="U7329">
        <v>-3.1158450000000001E-2</v>
      </c>
      <c r="V7329">
        <v>-4.035043E-2</v>
      </c>
      <c r="W7329">
        <v>0.2324734</v>
      </c>
      <c r="X7329">
        <v>0.9717654</v>
      </c>
      <c r="Y7329">
        <v>1.0133319999999999E-2</v>
      </c>
      <c r="Z7329">
        <v>2.8806930000000001E-3</v>
      </c>
      <c r="AA7329">
        <v>0.99994450000000001</v>
      </c>
      <c r="AB7329">
        <v>32</v>
      </c>
      <c r="AC7329">
        <v>2.713562</v>
      </c>
      <c r="AD7329">
        <v>1.6123829999999999</v>
      </c>
      <c r="AE7329">
        <v>-3.1158450000000001E-2</v>
      </c>
      <c r="AF7329">
        <v>2.3654983049023099E-2</v>
      </c>
      <c r="AG7329">
        <v>1.6123829999999999</v>
      </c>
      <c r="AH7329">
        <v>2.0055516986934099</v>
      </c>
      <c r="AI7329">
        <v>51.204062390256702</v>
      </c>
      <c r="AJ7329">
        <v>89.324241878268694</v>
      </c>
      <c r="AK7329">
        <v>2.5734366347442998</v>
      </c>
      <c r="AL7329">
        <v>76.5572652078137</v>
      </c>
      <c r="AM7329">
        <v>92.377715882195403</v>
      </c>
      <c r="AN7329">
        <v>1.0000000157729501</v>
      </c>
    </row>
    <row r="7330" spans="1:40" x14ac:dyDescent="0.25">
      <c r="A7330" t="str">
        <f>"20190304155818985"</f>
        <v>20190304155818985</v>
      </c>
      <c r="B7330" t="str">
        <f>"1551686298982180"</f>
        <v>1551686298982180</v>
      </c>
      <c r="C7330" t="s">
        <v>40</v>
      </c>
      <c r="D7330">
        <v>6.9879910000000001</v>
      </c>
      <c r="E7330">
        <v>0.54681650000000004</v>
      </c>
      <c r="F7330" t="s">
        <v>51</v>
      </c>
      <c r="G7330">
        <v>325.05829999999997</v>
      </c>
      <c r="H7330">
        <v>-0.1</v>
      </c>
      <c r="I7330">
        <v>86.465760000000003</v>
      </c>
      <c r="J7330">
        <v>-146.61019999999999</v>
      </c>
      <c r="K7330">
        <v>1.110142</v>
      </c>
      <c r="L7330">
        <v>137.43979999999999</v>
      </c>
      <c r="M7330">
        <v>0.99989620000000001</v>
      </c>
      <c r="N7330">
        <v>-1.43961E-2</v>
      </c>
      <c r="O7330">
        <v>-2.8318460000000001E-4</v>
      </c>
      <c r="P7330">
        <v>0.9752227</v>
      </c>
      <c r="Q7330">
        <v>0.2177009</v>
      </c>
      <c r="R7330">
        <v>3.9333029999999998E-2</v>
      </c>
      <c r="S7330">
        <v>3.092743</v>
      </c>
      <c r="T7330">
        <v>-7.9295640000000001E-3</v>
      </c>
      <c r="U7330">
        <v>-0.3340149</v>
      </c>
      <c r="V7330">
        <v>-3.9315549999999998E-2</v>
      </c>
      <c r="W7330">
        <v>0.23176740000000001</v>
      </c>
      <c r="X7330">
        <v>0.97197639999999996</v>
      </c>
      <c r="Y7330">
        <v>0.1070913</v>
      </c>
      <c r="Z7330">
        <v>-9.1336170000000003E-4</v>
      </c>
      <c r="AA7330">
        <v>0.99424869999999999</v>
      </c>
      <c r="AB7330">
        <v>32</v>
      </c>
      <c r="AC7330">
        <v>471.66849999999999</v>
      </c>
      <c r="AD7330">
        <v>-1.2101420000000001</v>
      </c>
      <c r="AE7330">
        <v>-50.974039999999903</v>
      </c>
      <c r="AF7330">
        <v>50.840124041836901</v>
      </c>
      <c r="AG7330">
        <v>-1.2101420000000001</v>
      </c>
      <c r="AH7330">
        <v>471.679848599499</v>
      </c>
      <c r="AI7330">
        <v>90.146151239047995</v>
      </c>
      <c r="AJ7330">
        <v>83.848111005786805</v>
      </c>
      <c r="AK7330">
        <v>474.41338749143301</v>
      </c>
      <c r="AL7330">
        <v>76.598851410382807</v>
      </c>
      <c r="AM7330">
        <v>92.316298797638794</v>
      </c>
      <c r="AN7330">
        <v>0.99999998116576005</v>
      </c>
    </row>
    <row r="7331" spans="1:40" x14ac:dyDescent="0.25">
      <c r="A7331" t="str">
        <f>"20190304155819007"</f>
        <v>20190304155819007</v>
      </c>
      <c r="B7331" t="str">
        <f>"1551686299001700"</f>
        <v>1551686299001700</v>
      </c>
      <c r="C7331" t="s">
        <v>40</v>
      </c>
      <c r="D7331">
        <v>4.9738290000000003</v>
      </c>
      <c r="E7331">
        <v>0.53873369999999998</v>
      </c>
      <c r="F7331" t="s">
        <v>46</v>
      </c>
      <c r="G7331">
        <v>0</v>
      </c>
      <c r="H7331">
        <v>0</v>
      </c>
      <c r="I7331">
        <v>0</v>
      </c>
      <c r="J7331">
        <v>-146.2962</v>
      </c>
      <c r="K7331">
        <v>1.110142</v>
      </c>
      <c r="L7331">
        <v>137.4391</v>
      </c>
      <c r="M7331">
        <v>0.99989600000000001</v>
      </c>
      <c r="N7331">
        <v>-1.4392459999999999E-2</v>
      </c>
      <c r="O7331">
        <v>-8.6842009999999999E-4</v>
      </c>
      <c r="P7331">
        <v>0.97522900000000001</v>
      </c>
      <c r="Q7331">
        <v>0.217727</v>
      </c>
      <c r="R7331">
        <v>3.903123E-2</v>
      </c>
      <c r="S7331">
        <v>3.0538479999999999</v>
      </c>
      <c r="T7331">
        <v>0.15040709999999999</v>
      </c>
      <c r="U7331">
        <v>-0.27836609999999901</v>
      </c>
      <c r="V7331">
        <v>-3.958507E-2</v>
      </c>
      <c r="W7331">
        <v>0.2317902</v>
      </c>
      <c r="X7331">
        <v>0.97196009999999999</v>
      </c>
      <c r="Y7331">
        <v>8.9836780000000005E-2</v>
      </c>
      <c r="Z7331">
        <v>1.5031479999999999E-3</v>
      </c>
      <c r="AA7331">
        <v>0.99595529999999999</v>
      </c>
      <c r="AB7331">
        <v>32</v>
      </c>
      <c r="AC7331">
        <v>3.0538479999999999</v>
      </c>
      <c r="AD7331">
        <v>0.15040709999999999</v>
      </c>
      <c r="AE7331">
        <v>-0.27836609999999901</v>
      </c>
      <c r="AF7331">
        <v>0.27505199421590298</v>
      </c>
      <c r="AG7331">
        <v>0.15040709999999999</v>
      </c>
      <c r="AH7331">
        <v>3.0467589089952498</v>
      </c>
      <c r="AI7331">
        <v>87.185244073402103</v>
      </c>
      <c r="AJ7331">
        <v>84.841497268905101</v>
      </c>
      <c r="AK7331">
        <v>3.0628443879496201</v>
      </c>
      <c r="AL7331">
        <v>76.597509509002904</v>
      </c>
      <c r="AM7331">
        <v>92.332199321492396</v>
      </c>
      <c r="AN7331">
        <v>1.0000000552874699</v>
      </c>
    </row>
    <row r="7332" spans="1:40" x14ac:dyDescent="0.25">
      <c r="A7332" t="str">
        <f>"20190304155819030"</f>
        <v>20190304155819030</v>
      </c>
      <c r="B7332" t="str">
        <f>"1551686299022195"</f>
        <v>1551686299022195</v>
      </c>
      <c r="C7332" t="s">
        <v>40</v>
      </c>
      <c r="D7332">
        <v>4.5097769999999997</v>
      </c>
      <c r="E7332">
        <v>0.53274619999999995</v>
      </c>
      <c r="F7332" t="s">
        <v>46</v>
      </c>
      <c r="G7332">
        <v>0</v>
      </c>
      <c r="H7332">
        <v>0</v>
      </c>
      <c r="I7332">
        <v>0</v>
      </c>
      <c r="J7332">
        <v>-145.98159999999999</v>
      </c>
      <c r="K7332">
        <v>1.110139</v>
      </c>
      <c r="L7332">
        <v>137.43819999999999</v>
      </c>
      <c r="M7332">
        <v>0.9998956</v>
      </c>
      <c r="N7332">
        <v>-1.4388959999999999E-2</v>
      </c>
      <c r="O7332">
        <v>-1.4549679999999901E-3</v>
      </c>
      <c r="P7332">
        <v>0.97517220000000004</v>
      </c>
      <c r="Q7332">
        <v>0.21804670000000001</v>
      </c>
      <c r="R7332">
        <v>3.8663360000000001E-2</v>
      </c>
      <c r="S7332">
        <v>3.0687410000000002</v>
      </c>
      <c r="T7332">
        <v>7.2629810000000003E-2</v>
      </c>
      <c r="U7332">
        <v>-0.2186584</v>
      </c>
      <c r="V7332">
        <v>-3.9789159999999997E-2</v>
      </c>
      <c r="W7332">
        <v>0.2321056</v>
      </c>
      <c r="X7332">
        <v>0.97187639999999997</v>
      </c>
      <c r="Y7332">
        <v>6.9615259999999998E-2</v>
      </c>
      <c r="Z7332">
        <v>2.6583139999999998E-4</v>
      </c>
      <c r="AA7332">
        <v>0.99757390000000001</v>
      </c>
      <c r="AB7332">
        <v>32</v>
      </c>
      <c r="AC7332">
        <v>3.0687410000000002</v>
      </c>
      <c r="AD7332">
        <v>7.2629810000000003E-2</v>
      </c>
      <c r="AE7332">
        <v>-0.2186584</v>
      </c>
      <c r="AF7332">
        <v>0.214073478192711</v>
      </c>
      <c r="AG7332">
        <v>7.2629810000000003E-2</v>
      </c>
      <c r="AH7332">
        <v>3.0673464104339998</v>
      </c>
      <c r="AI7332">
        <v>88.646872095570998</v>
      </c>
      <c r="AJ7332">
        <v>86.007737993034695</v>
      </c>
      <c r="AK7332">
        <v>3.0756652199107299</v>
      </c>
      <c r="AL7332">
        <v>76.578930495398197</v>
      </c>
      <c r="AM7332">
        <v>92.344411798474297</v>
      </c>
      <c r="AN7332">
        <v>0.999999961840912</v>
      </c>
    </row>
    <row r="7333" spans="1:40" x14ac:dyDescent="0.25">
      <c r="A7333" t="str">
        <f>"20190304155819054"</f>
        <v>20190304155819054</v>
      </c>
      <c r="B7333" t="str">
        <f>"1551686299041715"</f>
        <v>1551686299041715</v>
      </c>
      <c r="C7333" t="s">
        <v>40</v>
      </c>
      <c r="D7333">
        <v>4.7482030000000002</v>
      </c>
      <c r="E7333">
        <v>0.52977890000000005</v>
      </c>
      <c r="F7333" t="s">
        <v>46</v>
      </c>
      <c r="G7333">
        <v>0</v>
      </c>
      <c r="H7333">
        <v>0</v>
      </c>
      <c r="I7333">
        <v>0</v>
      </c>
      <c r="J7333">
        <v>-145.6387</v>
      </c>
      <c r="K7333">
        <v>1.110131</v>
      </c>
      <c r="L7333">
        <v>137.43700000000001</v>
      </c>
      <c r="M7333">
        <v>0.99989450000000002</v>
      </c>
      <c r="N7333">
        <v>-1.4385139999999999E-2</v>
      </c>
      <c r="O7333">
        <v>-2.0940830000000001E-3</v>
      </c>
      <c r="P7333">
        <v>0.97532180000000002</v>
      </c>
      <c r="Q7333">
        <v>0.21739069999999999</v>
      </c>
      <c r="R7333">
        <v>3.8584819999999999E-2</v>
      </c>
      <c r="S7333">
        <v>3.075256</v>
      </c>
      <c r="T7333">
        <v>3.5789010000000003E-2</v>
      </c>
      <c r="U7333">
        <v>-0.17384340000000001</v>
      </c>
      <c r="V7333">
        <v>-4.0335999999999997E-2</v>
      </c>
      <c r="W7333">
        <v>0.2314483</v>
      </c>
      <c r="X7333">
        <v>0.97201070000000001</v>
      </c>
      <c r="Y7333">
        <v>5.435011E-2</v>
      </c>
      <c r="Z7333">
        <v>-1.297018E-4</v>
      </c>
      <c r="AA7333">
        <v>0.99852189999999996</v>
      </c>
      <c r="AB7333">
        <v>32</v>
      </c>
      <c r="AC7333">
        <v>3.075256</v>
      </c>
      <c r="AD7333">
        <v>3.5789010000000003E-2</v>
      </c>
      <c r="AE7333">
        <v>-0.17384340000000001</v>
      </c>
      <c r="AF7333">
        <v>0.16737991489700399</v>
      </c>
      <c r="AG7333">
        <v>3.5789010000000003E-2</v>
      </c>
      <c r="AH7333">
        <v>3.0751981675248299</v>
      </c>
      <c r="AI7333">
        <v>89.334209933459803</v>
      </c>
      <c r="AJ7333">
        <v>86.884522998754903</v>
      </c>
      <c r="AK7333">
        <v>3.07995789885118</v>
      </c>
      <c r="AL7333">
        <v>76.617646522591897</v>
      </c>
      <c r="AM7333">
        <v>92.376267399331496</v>
      </c>
      <c r="AN7333">
        <v>1.0000000546916801</v>
      </c>
    </row>
    <row r="7334" spans="1:40" x14ac:dyDescent="0.25">
      <c r="A7334" t="str">
        <f>"20190304155819074"</f>
        <v>20190304155819074</v>
      </c>
      <c r="B7334" t="str">
        <f>"1551686299071503"</f>
        <v>1551686299071503</v>
      </c>
      <c r="C7334" t="s">
        <v>40</v>
      </c>
      <c r="D7334">
        <v>4.9480370000000002</v>
      </c>
      <c r="E7334">
        <v>0.52861880000000006</v>
      </c>
      <c r="F7334" t="s">
        <v>46</v>
      </c>
      <c r="G7334">
        <v>0</v>
      </c>
      <c r="H7334">
        <v>0</v>
      </c>
      <c r="I7334">
        <v>0</v>
      </c>
      <c r="J7334">
        <v>-145.3484</v>
      </c>
      <c r="K7334">
        <v>1.110133</v>
      </c>
      <c r="L7334">
        <v>137.4358</v>
      </c>
      <c r="M7334">
        <v>0.99989320000000004</v>
      </c>
      <c r="N7334">
        <v>-1.4381919999999999E-2</v>
      </c>
      <c r="O7334">
        <v>-2.6355749999999998E-3</v>
      </c>
      <c r="P7334">
        <v>0.97546520000000003</v>
      </c>
      <c r="Q7334">
        <v>0.2168535</v>
      </c>
      <c r="R7334">
        <v>3.7981769999999998E-2</v>
      </c>
      <c r="S7334">
        <v>3.077286</v>
      </c>
      <c r="T7334">
        <v>2.0621179999999999E-2</v>
      </c>
      <c r="U7334">
        <v>-0.1511536</v>
      </c>
      <c r="V7334">
        <v>-4.0262970000000002E-2</v>
      </c>
      <c r="W7334">
        <v>0.23090920000000001</v>
      </c>
      <c r="X7334">
        <v>0.9721419</v>
      </c>
      <c r="Y7334">
        <v>4.6428909999999997E-2</v>
      </c>
      <c r="Z7334">
        <v>-2.341489E-4</v>
      </c>
      <c r="AA7334">
        <v>0.99892159999999997</v>
      </c>
      <c r="AB7334">
        <v>31</v>
      </c>
      <c r="AC7334">
        <v>3.077286</v>
      </c>
      <c r="AD7334">
        <v>2.0621179999999999E-2</v>
      </c>
      <c r="AE7334">
        <v>-0.1511536</v>
      </c>
      <c r="AF7334">
        <v>0.143035411261976</v>
      </c>
      <c r="AG7334">
        <v>2.0621179999999999E-2</v>
      </c>
      <c r="AH7334">
        <v>3.0775358647347102</v>
      </c>
      <c r="AI7334">
        <v>89.616506527708495</v>
      </c>
      <c r="AJ7334">
        <v>87.338964554916302</v>
      </c>
      <c r="AK7334">
        <v>3.0809270294292701</v>
      </c>
      <c r="AL7334">
        <v>76.649394215247796</v>
      </c>
      <c r="AM7334">
        <v>92.371650232322395</v>
      </c>
      <c r="AN7334">
        <v>1.00000001956673</v>
      </c>
    </row>
    <row r="7335" spans="1:40" x14ac:dyDescent="0.25">
      <c r="A7335" t="str">
        <f>"20190304155819096"</f>
        <v>20190304155819096</v>
      </c>
      <c r="B7335" t="str">
        <f>"1551686299092009"</f>
        <v>1551686299092009</v>
      </c>
      <c r="C7335" t="s">
        <v>40</v>
      </c>
      <c r="D7335">
        <v>4.8506130000000001</v>
      </c>
      <c r="E7335">
        <v>0.52686009999999905</v>
      </c>
      <c r="F7335" t="s">
        <v>51</v>
      </c>
      <c r="G7335">
        <v>475.93740000000003</v>
      </c>
      <c r="H7335">
        <v>-0.1</v>
      </c>
      <c r="I7335">
        <v>108.3871</v>
      </c>
      <c r="J7335">
        <v>-145.03880000000001</v>
      </c>
      <c r="K7335">
        <v>1.1101259999999999</v>
      </c>
      <c r="L7335">
        <v>137.43430000000001</v>
      </c>
      <c r="M7335">
        <v>0.99989150000000004</v>
      </c>
      <c r="N7335">
        <v>-1.4378520000000001E-2</v>
      </c>
      <c r="O7335">
        <v>-3.2130660000000001E-3</v>
      </c>
      <c r="P7335">
        <v>0.97540550000000004</v>
      </c>
      <c r="Q7335">
        <v>0.217278</v>
      </c>
      <c r="R7335">
        <v>3.707531E-2</v>
      </c>
      <c r="S7335">
        <v>3.0823969999999998</v>
      </c>
      <c r="T7335">
        <v>-6.0038569999999996E-3</v>
      </c>
      <c r="U7335">
        <v>-0.14411930000000001</v>
      </c>
      <c r="V7335">
        <v>-3.991956E-2</v>
      </c>
      <c r="W7335">
        <v>0.23132910000000001</v>
      </c>
      <c r="X7335">
        <v>0.97205620000000004</v>
      </c>
      <c r="Y7335">
        <v>4.3493980000000002E-2</v>
      </c>
      <c r="Z7335">
        <v>-3.9513699999999999E-4</v>
      </c>
      <c r="AA7335">
        <v>0.99905359999999999</v>
      </c>
      <c r="AB7335">
        <v>31</v>
      </c>
      <c r="AC7335">
        <v>620.97619999999995</v>
      </c>
      <c r="AD7335">
        <v>-1.210126</v>
      </c>
      <c r="AE7335">
        <v>-29.0472</v>
      </c>
      <c r="AF7335">
        <v>27.051503803684401</v>
      </c>
      <c r="AG7335">
        <v>-1.210126</v>
      </c>
      <c r="AH7335">
        <v>621.063980716169</v>
      </c>
      <c r="AI7335">
        <v>90.1115333520127</v>
      </c>
      <c r="AJ7335">
        <v>87.505960760371906</v>
      </c>
      <c r="AK7335">
        <v>621.65401664108197</v>
      </c>
      <c r="AL7335">
        <v>76.624665813806402</v>
      </c>
      <c r="AM7335">
        <v>92.3516518904284</v>
      </c>
      <c r="AN7335">
        <v>0.99999998986792105</v>
      </c>
    </row>
    <row r="7336" spans="1:40" x14ac:dyDescent="0.25">
      <c r="A7336" t="str">
        <f>"20190304155819118"</f>
        <v>20190304155819118</v>
      </c>
      <c r="B7336" t="str">
        <f>"1551686299111520"</f>
        <v>1551686299111520</v>
      </c>
      <c r="C7336" t="s">
        <v>40</v>
      </c>
      <c r="D7336">
        <v>4.8359399999999999</v>
      </c>
      <c r="E7336">
        <v>0.52489699999999995</v>
      </c>
      <c r="F7336" t="s">
        <v>51</v>
      </c>
      <c r="G7336">
        <v>89.335239999999999</v>
      </c>
      <c r="H7336">
        <v>-0.1</v>
      </c>
      <c r="I7336">
        <v>127.3545</v>
      </c>
      <c r="J7336">
        <v>-144.7294</v>
      </c>
      <c r="K7336">
        <v>1.1101289999999999</v>
      </c>
      <c r="L7336">
        <v>137.43270000000001</v>
      </c>
      <c r="M7336">
        <v>0.99988940000000004</v>
      </c>
      <c r="N7336">
        <v>-1.43751E-2</v>
      </c>
      <c r="O7336">
        <v>-3.789962E-3</v>
      </c>
      <c r="P7336">
        <v>0.97558389999999995</v>
      </c>
      <c r="Q7336">
        <v>0.2166737</v>
      </c>
      <c r="R7336">
        <v>3.5900550000000003E-2</v>
      </c>
      <c r="S7336">
        <v>3.0842290000000001</v>
      </c>
      <c r="T7336">
        <v>-1.5924569999999999E-2</v>
      </c>
      <c r="U7336">
        <v>-0.1326447</v>
      </c>
      <c r="V7336">
        <v>-3.9309820000000002E-2</v>
      </c>
      <c r="W7336">
        <v>0.2307227</v>
      </c>
      <c r="X7336">
        <v>0.97222520000000001</v>
      </c>
      <c r="Y7336">
        <v>3.9178699999999997E-2</v>
      </c>
      <c r="Z7336">
        <v>-4.177494E-4</v>
      </c>
      <c r="AA7336">
        <v>0.99923209999999996</v>
      </c>
      <c r="AB7336">
        <v>31</v>
      </c>
      <c r="AC7336">
        <v>234.06464</v>
      </c>
      <c r="AD7336">
        <v>-1.210129</v>
      </c>
      <c r="AE7336">
        <v>-10.078200000000001</v>
      </c>
      <c r="AF7336">
        <v>9.1906945537759803</v>
      </c>
      <c r="AG7336">
        <v>-1.210129</v>
      </c>
      <c r="AH7336">
        <v>234.09491288792</v>
      </c>
      <c r="AI7336">
        <v>90.295953861859999</v>
      </c>
      <c r="AJ7336">
        <v>87.751691000431293</v>
      </c>
      <c r="AK7336">
        <v>234.27838465932001</v>
      </c>
      <c r="AL7336">
        <v>76.660376606709903</v>
      </c>
      <c r="AM7336">
        <v>92.315369551437797</v>
      </c>
      <c r="AN7336">
        <v>1.0000000328793801</v>
      </c>
    </row>
    <row r="7337" spans="1:40" x14ac:dyDescent="0.25">
      <c r="A7337" t="str">
        <f>"20190304155819141"</f>
        <v>20190304155819141</v>
      </c>
      <c r="B7337" t="str">
        <f>"1551686299132016"</f>
        <v>1551686299132016</v>
      </c>
      <c r="C7337" t="s">
        <v>40</v>
      </c>
      <c r="D7337">
        <v>4.837853</v>
      </c>
      <c r="E7337">
        <v>0.52396259999999995</v>
      </c>
      <c r="F7337" t="s">
        <v>51</v>
      </c>
      <c r="G7337">
        <v>4.5085449999999998</v>
      </c>
      <c r="H7337">
        <v>-0.1</v>
      </c>
      <c r="I7337">
        <v>131.60429999999999</v>
      </c>
      <c r="J7337">
        <v>-144.41069999999999</v>
      </c>
      <c r="K7337">
        <v>1.110128</v>
      </c>
      <c r="L7337">
        <v>137.4308</v>
      </c>
      <c r="M7337">
        <v>0.99988730000000003</v>
      </c>
      <c r="N7337">
        <v>-1.437158E-2</v>
      </c>
      <c r="O7337">
        <v>-4.382932E-3</v>
      </c>
      <c r="P7337">
        <v>0.97559879999999999</v>
      </c>
      <c r="Q7337">
        <v>0.21677379999999999</v>
      </c>
      <c r="R7337">
        <v>3.4874629999999997E-2</v>
      </c>
      <c r="S7337">
        <v>3.0850520000000001</v>
      </c>
      <c r="T7337">
        <v>-2.5015829999999999E-2</v>
      </c>
      <c r="U7337">
        <v>-0.12048339999999901</v>
      </c>
      <c r="V7337">
        <v>-3.8862929999999997E-2</v>
      </c>
      <c r="W7337">
        <v>0.23081869999999999</v>
      </c>
      <c r="X7337">
        <v>0.97222039999999998</v>
      </c>
      <c r="Y7337">
        <v>3.464068E-2</v>
      </c>
      <c r="Z7337">
        <v>-4.16876E-4</v>
      </c>
      <c r="AA7337">
        <v>0.9993997</v>
      </c>
      <c r="AB7337">
        <v>31</v>
      </c>
      <c r="AC7337">
        <v>148.91924499999999</v>
      </c>
      <c r="AD7337">
        <v>-1.2101280000000001</v>
      </c>
      <c r="AE7337">
        <v>-5.8265000000000002</v>
      </c>
      <c r="AF7337">
        <v>5.1733327149228296</v>
      </c>
      <c r="AG7337">
        <v>-1.2101280000000001</v>
      </c>
      <c r="AH7337">
        <v>148.933534612984</v>
      </c>
      <c r="AI7337">
        <v>90.465253932350805</v>
      </c>
      <c r="AJ7337">
        <v>88.010582348126306</v>
      </c>
      <c r="AK7337">
        <v>149.028270853126</v>
      </c>
      <c r="AL7337">
        <v>76.654723899718604</v>
      </c>
      <c r="AM7337">
        <v>92.289086940613601</v>
      </c>
      <c r="AN7337">
        <v>1.0000000528870101</v>
      </c>
    </row>
    <row r="7338" spans="1:40" x14ac:dyDescent="0.25">
      <c r="A7338" t="str">
        <f>"20190304155819163"</f>
        <v>20190304155819163</v>
      </c>
      <c r="B7338" t="str">
        <f>"1551686299161803"</f>
        <v>1551686299161803</v>
      </c>
      <c r="C7338" t="s">
        <v>40</v>
      </c>
      <c r="D7338">
        <v>4.8055570000000003</v>
      </c>
      <c r="E7338">
        <v>0.5210707</v>
      </c>
      <c r="F7338" t="s">
        <v>51</v>
      </c>
      <c r="G7338">
        <v>8.2637330000000002</v>
      </c>
      <c r="H7338">
        <v>-0.1</v>
      </c>
      <c r="I7338">
        <v>131.709</v>
      </c>
      <c r="J7338">
        <v>-144.0968</v>
      </c>
      <c r="K7338">
        <v>1.1101319999999999</v>
      </c>
      <c r="L7338">
        <v>137.4288</v>
      </c>
      <c r="M7338">
        <v>0.99988460000000001</v>
      </c>
      <c r="N7338">
        <v>-1.436814E-2</v>
      </c>
      <c r="O7338">
        <v>-4.9609579999999997E-3</v>
      </c>
      <c r="P7338">
        <v>0.97576759999999996</v>
      </c>
      <c r="Q7338">
        <v>0.21628069999999999</v>
      </c>
      <c r="R7338">
        <v>3.3174540000000002E-2</v>
      </c>
      <c r="S7338">
        <v>3.0845790000000002</v>
      </c>
      <c r="T7338">
        <v>-2.444899E-2</v>
      </c>
      <c r="U7338">
        <v>-0.1156006</v>
      </c>
      <c r="V7338">
        <v>-3.7730729999999997E-2</v>
      </c>
      <c r="W7338">
        <v>0.23032269999999999</v>
      </c>
      <c r="X7338">
        <v>0.97238250000000004</v>
      </c>
      <c r="Y7338">
        <v>3.248943E-2</v>
      </c>
      <c r="Z7338">
        <v>-3.9417739999999998E-4</v>
      </c>
      <c r="AA7338">
        <v>0.99947200000000003</v>
      </c>
      <c r="AB7338">
        <v>31</v>
      </c>
      <c r="AC7338">
        <v>152.360533</v>
      </c>
      <c r="AD7338">
        <v>-1.210132</v>
      </c>
      <c r="AE7338">
        <v>-5.7197999999999896</v>
      </c>
      <c r="AF7338">
        <v>4.96348478655091</v>
      </c>
      <c r="AG7338">
        <v>-1.210132</v>
      </c>
      <c r="AH7338">
        <v>152.37743725589601</v>
      </c>
      <c r="AI7338">
        <v>90.454773669782099</v>
      </c>
      <c r="AJ7338">
        <v>88.134328696676207</v>
      </c>
      <c r="AK7338">
        <v>152.46305777255799</v>
      </c>
      <c r="AL7338">
        <v>76.683928006178704</v>
      </c>
      <c r="AM7338">
        <v>92.222096354572997</v>
      </c>
      <c r="AN7338">
        <v>0.99999994021393401</v>
      </c>
    </row>
    <row r="7339" spans="1:40" x14ac:dyDescent="0.25">
      <c r="A7339" t="str">
        <f>"20190304155819186"</f>
        <v>20190304155819186</v>
      </c>
      <c r="B7339" t="str">
        <f>"1551686299182302"</f>
        <v>1551686299182302</v>
      </c>
      <c r="C7339" t="s">
        <v>40</v>
      </c>
      <c r="D7339">
        <v>4.1238890000000001</v>
      </c>
      <c r="E7339">
        <v>0.51814609999999905</v>
      </c>
      <c r="F7339" t="s">
        <v>51</v>
      </c>
      <c r="G7339">
        <v>-25.40964</v>
      </c>
      <c r="H7339">
        <v>-0.1</v>
      </c>
      <c r="I7339">
        <v>133.65799999999999</v>
      </c>
      <c r="J7339">
        <v>-143.78460000000001</v>
      </c>
      <c r="K7339">
        <v>1.1101430000000001</v>
      </c>
      <c r="L7339">
        <v>137.42660000000001</v>
      </c>
      <c r="M7339">
        <v>0.99988160000000004</v>
      </c>
      <c r="N7339">
        <v>-1.4364699999999999E-2</v>
      </c>
      <c r="O7339">
        <v>-5.5245989999999998E-3</v>
      </c>
      <c r="P7339">
        <v>0.97587769999999996</v>
      </c>
      <c r="Q7339">
        <v>0.21607850000000001</v>
      </c>
      <c r="R7339">
        <v>3.119077E-2</v>
      </c>
      <c r="S7339">
        <v>3.0848239999999998</v>
      </c>
      <c r="T7339">
        <v>-3.145278E-2</v>
      </c>
      <c r="U7339">
        <v>-9.8007200000000003E-2</v>
      </c>
      <c r="V7339">
        <v>-3.6302569999999999E-2</v>
      </c>
      <c r="W7339">
        <v>0.23011580000000001</v>
      </c>
      <c r="X7339">
        <v>0.97248590000000001</v>
      </c>
      <c r="Y7339">
        <v>2.6228640000000001E-2</v>
      </c>
      <c r="Z7339">
        <v>-3.4516290000000002E-4</v>
      </c>
      <c r="AA7339">
        <v>0.99965590000000004</v>
      </c>
      <c r="AB7339">
        <v>31</v>
      </c>
      <c r="AC7339">
        <v>118.37496</v>
      </c>
      <c r="AD7339">
        <v>-1.210143</v>
      </c>
      <c r="AE7339">
        <v>-3.7686000000000202</v>
      </c>
      <c r="AF7339">
        <v>3.1141757047507501</v>
      </c>
      <c r="AG7339">
        <v>-1.210143</v>
      </c>
      <c r="AH7339">
        <v>118.381615874658</v>
      </c>
      <c r="AI7339">
        <v>90.585476849807407</v>
      </c>
      <c r="AJ7339">
        <v>88.493110762540894</v>
      </c>
      <c r="AK7339">
        <v>118.428752900196</v>
      </c>
      <c r="AL7339">
        <v>76.696110418896495</v>
      </c>
      <c r="AM7339">
        <v>92.137839426099603</v>
      </c>
      <c r="AN7339">
        <v>0.99999999184852695</v>
      </c>
    </row>
    <row r="7340" spans="1:40" x14ac:dyDescent="0.25">
      <c r="A7340" t="str">
        <f>"20190304155819207"</f>
        <v>20190304155819207</v>
      </c>
      <c r="B7340" t="str">
        <f>"1551686299201818"</f>
        <v>1551686299201818</v>
      </c>
      <c r="C7340" t="s">
        <v>40</v>
      </c>
      <c r="D7340">
        <v>4.90726</v>
      </c>
      <c r="E7340">
        <v>0.51887550000000005</v>
      </c>
      <c r="F7340" t="s">
        <v>51</v>
      </c>
      <c r="G7340">
        <v>-32.280549999999998</v>
      </c>
      <c r="H7340">
        <v>-0.1</v>
      </c>
      <c r="I7340">
        <v>134.52379999999999</v>
      </c>
      <c r="J7340">
        <v>-143.4786</v>
      </c>
      <c r="K7340">
        <v>1.1101479999999999</v>
      </c>
      <c r="L7340">
        <v>137.42439999999999</v>
      </c>
      <c r="M7340">
        <v>0.9998785</v>
      </c>
      <c r="N7340">
        <v>-1.436135E-2</v>
      </c>
      <c r="O7340">
        <v>-6.0576140000000002E-3</v>
      </c>
      <c r="P7340">
        <v>0.97605459999999999</v>
      </c>
      <c r="Q7340">
        <v>0.2155492</v>
      </c>
      <c r="R7340">
        <v>2.9257709999999999E-2</v>
      </c>
      <c r="S7340">
        <v>3.0841370000000001</v>
      </c>
      <c r="T7340">
        <v>-3.3471819999999999E-2</v>
      </c>
      <c r="U7340">
        <v>-8.0291749999999995E-2</v>
      </c>
      <c r="V7340">
        <v>-3.4899199999999998E-2</v>
      </c>
      <c r="W7340">
        <v>0.22958300000000001</v>
      </c>
      <c r="X7340">
        <v>0.97266319999999995</v>
      </c>
      <c r="Y7340">
        <v>1.99656E-2</v>
      </c>
      <c r="Z7340">
        <v>-2.7298889999999998E-4</v>
      </c>
      <c r="AA7340">
        <v>0.99980060000000004</v>
      </c>
      <c r="AB7340">
        <v>31</v>
      </c>
      <c r="AC7340">
        <v>111.19804999999999</v>
      </c>
      <c r="AD7340">
        <v>-1.210148</v>
      </c>
      <c r="AE7340">
        <v>-2.9005999999999901</v>
      </c>
      <c r="AF7340">
        <v>2.2266188850414501</v>
      </c>
      <c r="AG7340">
        <v>-1.210148</v>
      </c>
      <c r="AH7340">
        <v>111.200420754761</v>
      </c>
      <c r="AI7340">
        <v>90.623376615862895</v>
      </c>
      <c r="AJ7340">
        <v>88.852892661187099</v>
      </c>
      <c r="AK7340">
        <v>111.229294099518</v>
      </c>
      <c r="AL7340">
        <v>76.727477593442899</v>
      </c>
      <c r="AM7340">
        <v>92.054893677856896</v>
      </c>
      <c r="AN7340">
        <v>1.0000000043419399</v>
      </c>
    </row>
    <row r="7341" spans="1:40" x14ac:dyDescent="0.25">
      <c r="A7341" t="str">
        <f>"20190304155819231"</f>
        <v>20190304155819231</v>
      </c>
      <c r="B7341" t="str">
        <f>"1551686299222314"</f>
        <v>1551686299222314</v>
      </c>
      <c r="C7341" t="s">
        <v>40</v>
      </c>
      <c r="D7341">
        <v>4.9199630000000001</v>
      </c>
      <c r="E7341">
        <v>0.51943329999999999</v>
      </c>
      <c r="F7341" t="s">
        <v>41</v>
      </c>
      <c r="G7341">
        <v>-50.519640000000003</v>
      </c>
      <c r="H7341" s="1">
        <v>-4.9271359999999999E-6</v>
      </c>
      <c r="I7341">
        <v>134.6679</v>
      </c>
      <c r="J7341">
        <v>-143.16810000000001</v>
      </c>
      <c r="K7341">
        <v>1.1101620000000001</v>
      </c>
      <c r="L7341">
        <v>137.42189999999999</v>
      </c>
      <c r="M7341">
        <v>0.99987550000000003</v>
      </c>
      <c r="N7341">
        <v>-1.435785E-2</v>
      </c>
      <c r="O7341">
        <v>-6.5667429999999999E-3</v>
      </c>
      <c r="P7341">
        <v>0.97629149999999998</v>
      </c>
      <c r="Q7341">
        <v>0.21479760000000001</v>
      </c>
      <c r="R7341">
        <v>2.6779879999999999E-2</v>
      </c>
      <c r="S7341">
        <v>3.0844879999999999</v>
      </c>
      <c r="T7341">
        <v>-3.6836149999999998E-2</v>
      </c>
      <c r="U7341">
        <v>-9.1461180000000003E-2</v>
      </c>
      <c r="V7341">
        <v>-3.2933999999999998E-2</v>
      </c>
      <c r="W7341">
        <v>0.2288269</v>
      </c>
      <c r="X7341">
        <v>0.97290989999999999</v>
      </c>
      <c r="Y7341">
        <v>2.3070179999999999E-2</v>
      </c>
      <c r="Z7341">
        <v>-3.1927000000000002E-4</v>
      </c>
      <c r="AA7341">
        <v>0.99973380000000001</v>
      </c>
      <c r="AB7341">
        <v>31</v>
      </c>
      <c r="AC7341">
        <v>92.64846</v>
      </c>
      <c r="AD7341">
        <v>-1.110166927136</v>
      </c>
      <c r="AE7341">
        <v>-2.7539999999999898</v>
      </c>
      <c r="AF7341">
        <v>2.1451716127175602</v>
      </c>
      <c r="AG7341">
        <v>-1.110166927136</v>
      </c>
      <c r="AH7341">
        <v>92.651257326726295</v>
      </c>
      <c r="AI7341">
        <v>90.686313360504599</v>
      </c>
      <c r="AJ7341">
        <v>88.673657242322506</v>
      </c>
      <c r="AK7341">
        <v>92.682736882751598</v>
      </c>
      <c r="AL7341">
        <v>76.771984195197604</v>
      </c>
      <c r="AM7341">
        <v>91.938780702562497</v>
      </c>
      <c r="AN7341">
        <v>1.0000000360187999</v>
      </c>
    </row>
    <row r="7342" spans="1:40" x14ac:dyDescent="0.25">
      <c r="A7342" t="str">
        <f>"20190304155819256"</f>
        <v>20190304155819256</v>
      </c>
      <c r="B7342" t="str">
        <f>"1551686299251594"</f>
        <v>1551686299251594</v>
      </c>
      <c r="C7342" t="s">
        <v>40</v>
      </c>
      <c r="D7342">
        <v>4.9042329999999996</v>
      </c>
      <c r="E7342">
        <v>0.52025909999999997</v>
      </c>
      <c r="F7342" t="s">
        <v>41</v>
      </c>
      <c r="G7342">
        <v>-56.75705</v>
      </c>
      <c r="H7342" s="1">
        <v>-2.440423E-6</v>
      </c>
      <c r="I7342">
        <v>134.53980000000001</v>
      </c>
      <c r="J7342">
        <v>-142.8176</v>
      </c>
      <c r="K7342">
        <v>1.1102000000000001</v>
      </c>
      <c r="L7342">
        <v>137.41899999999899</v>
      </c>
      <c r="M7342">
        <v>0.99987199999999998</v>
      </c>
      <c r="N7342">
        <v>-1.435382E-2</v>
      </c>
      <c r="O7342">
        <v>-7.0859859999999998E-3</v>
      </c>
      <c r="P7342">
        <v>0.97633460000000005</v>
      </c>
      <c r="Q7342">
        <v>0.2148283</v>
      </c>
      <c r="R7342">
        <v>2.4897389999999998E-2</v>
      </c>
      <c r="S7342">
        <v>3.0843959999999999</v>
      </c>
      <c r="T7342">
        <v>-3.9626719999999997E-2</v>
      </c>
      <c r="U7342">
        <v>-0.1028748</v>
      </c>
      <c r="V7342">
        <v>-3.1579139999999999E-2</v>
      </c>
      <c r="W7342">
        <v>0.2288501</v>
      </c>
      <c r="X7342">
        <v>0.97294930000000002</v>
      </c>
      <c r="Y7342">
        <v>2.6246559999999999E-2</v>
      </c>
      <c r="Z7342">
        <v>-3.6768229999999997E-4</v>
      </c>
      <c r="AA7342">
        <v>0.99965539999999997</v>
      </c>
      <c r="AB7342">
        <v>31</v>
      </c>
      <c r="AC7342">
        <v>86.060550000000006</v>
      </c>
      <c r="AD7342">
        <v>-1.110202440423</v>
      </c>
      <c r="AE7342">
        <v>-2.87919999999996</v>
      </c>
      <c r="AF7342">
        <v>2.2688639415439602</v>
      </c>
      <c r="AG7342">
        <v>-1.110202440423</v>
      </c>
      <c r="AH7342">
        <v>86.064486467793202</v>
      </c>
      <c r="AI7342">
        <v>90.738798318553194</v>
      </c>
      <c r="AJ7342">
        <v>88.489897153763096</v>
      </c>
      <c r="AK7342">
        <v>86.101545421722406</v>
      </c>
      <c r="AL7342">
        <v>76.770617881876106</v>
      </c>
      <c r="AM7342">
        <v>91.859003836117594</v>
      </c>
      <c r="AN7342">
        <v>0.99999997536181895</v>
      </c>
    </row>
    <row r="7343" spans="1:40" x14ac:dyDescent="0.25">
      <c r="A7343" t="str">
        <f>"20190304155819280"</f>
        <v>20190304155819280</v>
      </c>
      <c r="B7343" t="str">
        <f>"1551686299271621"</f>
        <v>1551686299271621</v>
      </c>
      <c r="C7343" t="s">
        <v>40</v>
      </c>
      <c r="D7343">
        <v>4.9562080000000002</v>
      </c>
      <c r="E7343">
        <v>0.5201749</v>
      </c>
      <c r="F7343" t="s">
        <v>41</v>
      </c>
      <c r="G7343">
        <v>-63.501649999999998</v>
      </c>
      <c r="H7343" s="1">
        <v>-3.6837080000000002E-6</v>
      </c>
      <c r="I7343">
        <v>134.4658</v>
      </c>
      <c r="J7343">
        <v>-142.4759</v>
      </c>
      <c r="K7343">
        <v>1.110239</v>
      </c>
      <c r="L7343">
        <v>137.416</v>
      </c>
      <c r="M7343">
        <v>0.9998686</v>
      </c>
      <c r="N7343">
        <v>-1.434991E-2</v>
      </c>
      <c r="O7343">
        <v>-7.5414100000000001E-3</v>
      </c>
      <c r="P7343">
        <v>0.97628780000000004</v>
      </c>
      <c r="Q7343">
        <v>0.2152027</v>
      </c>
      <c r="R7343">
        <v>2.3449560000000001E-2</v>
      </c>
      <c r="S7343">
        <v>3.0851440000000001</v>
      </c>
      <c r="T7343">
        <v>-4.3183449999999998E-2</v>
      </c>
      <c r="U7343">
        <v>-0.1148682</v>
      </c>
      <c r="V7343">
        <v>-3.0597050000000001E-2</v>
      </c>
      <c r="W7343">
        <v>0.2292159</v>
      </c>
      <c r="X7343">
        <v>0.97289460000000005</v>
      </c>
      <c r="Y7343">
        <v>2.966299E-2</v>
      </c>
      <c r="Z7343">
        <v>-4.2313270000000002E-4</v>
      </c>
      <c r="AA7343">
        <v>0.99955989999999995</v>
      </c>
      <c r="AB7343">
        <v>31</v>
      </c>
      <c r="AC7343">
        <v>78.974249999999998</v>
      </c>
      <c r="AD7343">
        <v>-1.1102426837079999</v>
      </c>
      <c r="AE7343">
        <v>-2.9501999999999899</v>
      </c>
      <c r="AF7343">
        <v>2.35401297454229</v>
      </c>
      <c r="AG7343">
        <v>-1.1102426837079999</v>
      </c>
      <c r="AH7343">
        <v>78.978667486945994</v>
      </c>
      <c r="AI7343">
        <v>90.805024962369401</v>
      </c>
      <c r="AJ7343">
        <v>88.292765706215107</v>
      </c>
      <c r="AK7343">
        <v>79.021540948747798</v>
      </c>
      <c r="AL7343">
        <v>76.749087165482507</v>
      </c>
      <c r="AM7343">
        <v>91.801329968418401</v>
      </c>
      <c r="AN7343">
        <v>1.00000000549533</v>
      </c>
    </row>
    <row r="7344" spans="1:40" x14ac:dyDescent="0.25">
      <c r="A7344" t="str">
        <f>"20190304155819298"</f>
        <v>20190304155819298</v>
      </c>
      <c r="B7344" t="str">
        <f>"1551686299292117"</f>
        <v>1551686299292117</v>
      </c>
      <c r="C7344" t="s">
        <v>40</v>
      </c>
      <c r="D7344">
        <v>5.0611329999999999</v>
      </c>
      <c r="E7344">
        <v>0.51992119999999997</v>
      </c>
      <c r="F7344" t="s">
        <v>41</v>
      </c>
      <c r="G7344">
        <v>-60.722850000000001</v>
      </c>
      <c r="H7344" s="1">
        <v>-4.9106769999999998E-6</v>
      </c>
      <c r="I7344">
        <v>134.26920000000001</v>
      </c>
      <c r="J7344">
        <v>-142.21180000000001</v>
      </c>
      <c r="K7344">
        <v>1.1102730000000001</v>
      </c>
      <c r="L7344">
        <v>137.41370000000001</v>
      </c>
      <c r="M7344">
        <v>0.99986640000000004</v>
      </c>
      <c r="N7344">
        <v>-1.4346879999999999E-2</v>
      </c>
      <c r="O7344">
        <v>-7.8452939999999992E-3</v>
      </c>
      <c r="P7344">
        <v>0.97632110000000005</v>
      </c>
      <c r="Q7344">
        <v>0.21516379999999999</v>
      </c>
      <c r="R7344">
        <v>2.2398069999999999E-2</v>
      </c>
      <c r="S7344">
        <v>3.0849760000000002</v>
      </c>
      <c r="T7344">
        <v>-4.1895389999999998E-2</v>
      </c>
      <c r="U7344">
        <v>-0.1187439</v>
      </c>
      <c r="V7344">
        <v>-2.986252E-2</v>
      </c>
      <c r="W7344">
        <v>0.2291714</v>
      </c>
      <c r="X7344">
        <v>0.97292789999999996</v>
      </c>
      <c r="Y7344">
        <v>3.061527E-2</v>
      </c>
      <c r="Z7344">
        <v>-4.3355999999999999E-4</v>
      </c>
      <c r="AA7344">
        <v>0.99953110000000001</v>
      </c>
      <c r="AB7344">
        <v>31</v>
      </c>
      <c r="AC7344">
        <v>81.488950000000003</v>
      </c>
      <c r="AD7344">
        <v>-1.110277910677</v>
      </c>
      <c r="AE7344">
        <v>-3.1444999999999901</v>
      </c>
      <c r="AF7344">
        <v>2.5045684460784901</v>
      </c>
      <c r="AG7344">
        <v>-1.110277910677</v>
      </c>
      <c r="AH7344">
        <v>81.496007512634193</v>
      </c>
      <c r="AI7344">
        <v>90.780164460175598</v>
      </c>
      <c r="AJ7344">
        <v>88.239716847722306</v>
      </c>
      <c r="AK7344">
        <v>81.542043269955897</v>
      </c>
      <c r="AL7344">
        <v>76.751706474546097</v>
      </c>
      <c r="AM7344">
        <v>91.7580535638226</v>
      </c>
      <c r="AN7344">
        <v>0.99999999963856001</v>
      </c>
    </row>
    <row r="7345" spans="1:40" x14ac:dyDescent="0.25">
      <c r="A7345" t="str">
        <f>"20190304155819320"</f>
        <v>20190304155819320</v>
      </c>
      <c r="B7345" t="str">
        <f>"1551686299311636"</f>
        <v>1551686299311636</v>
      </c>
      <c r="C7345" t="s">
        <v>40</v>
      </c>
      <c r="D7345">
        <v>4.9925730000000001</v>
      </c>
      <c r="E7345">
        <v>0.52002159999999997</v>
      </c>
      <c r="F7345" t="s">
        <v>41</v>
      </c>
      <c r="G7345">
        <v>-54.525599999999997</v>
      </c>
      <c r="H7345" s="1">
        <v>-3.340346E-6</v>
      </c>
      <c r="I7345">
        <v>134.01159999999999</v>
      </c>
      <c r="J7345">
        <v>-141.92439999999999</v>
      </c>
      <c r="K7345">
        <v>1.1103190000000001</v>
      </c>
      <c r="L7345">
        <v>137.4111</v>
      </c>
      <c r="M7345">
        <v>0.99986419999999998</v>
      </c>
      <c r="N7345">
        <v>-1.434358E-2</v>
      </c>
      <c r="O7345">
        <v>-8.1173959999999903E-3</v>
      </c>
      <c r="P7345">
        <v>0.97647879999999998</v>
      </c>
      <c r="Q7345">
        <v>0.21454809999999999</v>
      </c>
      <c r="R7345">
        <v>2.1408119999999999E-2</v>
      </c>
      <c r="S7345">
        <v>3.0841059999999998</v>
      </c>
      <c r="T7345">
        <v>-3.9050700000000001E-2</v>
      </c>
      <c r="U7345">
        <v>-0.1196594</v>
      </c>
      <c r="V7345">
        <v>-2.9165880000000002E-2</v>
      </c>
      <c r="W7345">
        <v>0.22855120000000001</v>
      </c>
      <c r="X7345">
        <v>0.97309489999999998</v>
      </c>
      <c r="Y7345">
        <v>3.065093E-2</v>
      </c>
      <c r="Z7345">
        <v>-4.2757070000000002E-4</v>
      </c>
      <c r="AA7345">
        <v>0.99953009999999998</v>
      </c>
      <c r="AB7345">
        <v>31</v>
      </c>
      <c r="AC7345">
        <v>87.398799999999994</v>
      </c>
      <c r="AD7345">
        <v>-1.1103223403460001</v>
      </c>
      <c r="AE7345">
        <v>-3.39950000000001</v>
      </c>
      <c r="AF7345">
        <v>2.6894309288073699</v>
      </c>
      <c r="AG7345">
        <v>-1.1103223403460001</v>
      </c>
      <c r="AH7345">
        <v>87.409431799133699</v>
      </c>
      <c r="AI7345">
        <v>90.727418943009297</v>
      </c>
      <c r="AJ7345">
        <v>88.237667946905702</v>
      </c>
      <c r="AK7345">
        <v>87.457844827480798</v>
      </c>
      <c r="AL7345">
        <v>76.788210057674604</v>
      </c>
      <c r="AM7345">
        <v>91.716771612462907</v>
      </c>
      <c r="AN7345">
        <v>0.999999991991812</v>
      </c>
    </row>
    <row r="7346" spans="1:40" x14ac:dyDescent="0.25">
      <c r="A7346" t="str">
        <f>"20190304155819342"</f>
        <v>20190304155819342</v>
      </c>
      <c r="B7346" t="str">
        <f>"1551686299332133"</f>
        <v>1551686299332133</v>
      </c>
      <c r="C7346" t="s">
        <v>40</v>
      </c>
      <c r="D7346">
        <v>5.0103229999999996</v>
      </c>
      <c r="E7346">
        <v>0.52026559999999999</v>
      </c>
      <c r="F7346" t="s">
        <v>41</v>
      </c>
      <c r="G7346">
        <v>-65.330650000000006</v>
      </c>
      <c r="H7346" s="1">
        <v>-2.9746580000000002E-6</v>
      </c>
      <c r="I7346">
        <v>134.3563</v>
      </c>
      <c r="J7346">
        <v>-141.61529999999999</v>
      </c>
      <c r="K7346">
        <v>1.1103719999999999</v>
      </c>
      <c r="L7346">
        <v>137.4083</v>
      </c>
      <c r="M7346">
        <v>0.99986240000000004</v>
      </c>
      <c r="N7346">
        <v>-1.434002E-2</v>
      </c>
      <c r="O7346">
        <v>-8.3389980000000002E-3</v>
      </c>
      <c r="P7346">
        <v>0.97658009999999995</v>
      </c>
      <c r="Q7346">
        <v>0.2141218</v>
      </c>
      <c r="R7346">
        <v>2.1058049999999998E-2</v>
      </c>
      <c r="S7346">
        <v>3.0847630000000001</v>
      </c>
      <c r="T7346">
        <v>-4.4717430000000002E-2</v>
      </c>
      <c r="U7346">
        <v>-0.1230316</v>
      </c>
      <c r="V7346">
        <v>-2.9065440000000001E-2</v>
      </c>
      <c r="W7346">
        <v>0.2281185</v>
      </c>
      <c r="X7346">
        <v>0.97319940000000005</v>
      </c>
      <c r="Y7346">
        <v>3.1510789999999997E-2</v>
      </c>
      <c r="Z7346">
        <v>-4.5307099999999999E-4</v>
      </c>
      <c r="AA7346">
        <v>0.99950329999999998</v>
      </c>
      <c r="AB7346">
        <v>31</v>
      </c>
      <c r="AC7346">
        <v>76.2846499999999</v>
      </c>
      <c r="AD7346">
        <v>-1.1103749746579901</v>
      </c>
      <c r="AE7346">
        <v>-3.0519999999999898</v>
      </c>
      <c r="AF7346">
        <v>2.4151800165541899</v>
      </c>
      <c r="AG7346">
        <v>-1.1103749746579901</v>
      </c>
      <c r="AH7346">
        <v>76.291312428904504</v>
      </c>
      <c r="AI7346">
        <v>90.833429879120004</v>
      </c>
      <c r="AJ7346">
        <v>88.186773596382693</v>
      </c>
      <c r="AK7346">
        <v>76.337607895593806</v>
      </c>
      <c r="AL7346">
        <v>76.8136742326638</v>
      </c>
      <c r="AM7346">
        <v>91.710679400387605</v>
      </c>
      <c r="AN7346">
        <v>0.99999996100250099</v>
      </c>
    </row>
    <row r="7347" spans="1:40" x14ac:dyDescent="0.25">
      <c r="A7347" t="str">
        <f>"20190304155819364"</f>
        <v>20190304155819364</v>
      </c>
      <c r="B7347" t="str">
        <f>"1551686299362388"</f>
        <v>1551686299362388</v>
      </c>
      <c r="C7347" t="s">
        <v>40</v>
      </c>
      <c r="D7347">
        <v>4.9971199999999998</v>
      </c>
      <c r="E7347">
        <v>0.52016739999999995</v>
      </c>
      <c r="F7347" t="s">
        <v>41</v>
      </c>
      <c r="G7347">
        <v>-74.34975</v>
      </c>
      <c r="H7347" s="1">
        <v>-3.2820289999999998E-6</v>
      </c>
      <c r="I7347">
        <v>134.67920000000001</v>
      </c>
      <c r="J7347">
        <v>-141.31030000000001</v>
      </c>
      <c r="K7347">
        <v>1.1104259999999999</v>
      </c>
      <c r="L7347">
        <v>137.40549999999999</v>
      </c>
      <c r="M7347">
        <v>0.99986120000000001</v>
      </c>
      <c r="N7347">
        <v>-1.433661E-2</v>
      </c>
      <c r="O7347">
        <v>-8.4871389999999994E-3</v>
      </c>
      <c r="P7347">
        <v>0.97657939999999999</v>
      </c>
      <c r="Q7347">
        <v>0.21414900000000001</v>
      </c>
      <c r="R7347">
        <v>2.0811739999999999E-2</v>
      </c>
      <c r="S7347">
        <v>3.0858150000000002</v>
      </c>
      <c r="T7347">
        <v>-5.0938610000000002E-2</v>
      </c>
      <c r="U7347">
        <v>-0.12519839999999999</v>
      </c>
      <c r="V7347">
        <v>-2.899616E-2</v>
      </c>
      <c r="W7347">
        <v>0.22813800000000001</v>
      </c>
      <c r="X7347">
        <v>0.97319690000000003</v>
      </c>
      <c r="Y7347">
        <v>3.2048239999999999E-2</v>
      </c>
      <c r="Z7347">
        <v>-4.7586839999999998E-4</v>
      </c>
      <c r="AA7347">
        <v>0.99948619999999999</v>
      </c>
      <c r="AB7347">
        <v>31</v>
      </c>
      <c r="AC7347">
        <v>66.960549999999998</v>
      </c>
      <c r="AD7347">
        <v>-1.1104292820289901</v>
      </c>
      <c r="AE7347">
        <v>-2.7262999999999802</v>
      </c>
      <c r="AF7347">
        <v>2.15724760030868</v>
      </c>
      <c r="AG7347">
        <v>-1.1104292820289901</v>
      </c>
      <c r="AH7347">
        <v>66.962893901341403</v>
      </c>
      <c r="AI7347">
        <v>90.949542293895803</v>
      </c>
      <c r="AJ7347">
        <v>88.1548221299945</v>
      </c>
      <c r="AK7347">
        <v>67.006834950187894</v>
      </c>
      <c r="AL7347">
        <v>76.812526762968702</v>
      </c>
      <c r="AM7347">
        <v>91.706608643101603</v>
      </c>
      <c r="AN7347">
        <v>0.999999965254177</v>
      </c>
    </row>
    <row r="7348" spans="1:40" x14ac:dyDescent="0.25">
      <c r="A7348" t="str">
        <f>"20190304155819386"</f>
        <v>20190304155819386</v>
      </c>
      <c r="B7348" t="str">
        <f>"1551686299381909"</f>
        <v>1551686299381909</v>
      </c>
      <c r="C7348" t="s">
        <v>40</v>
      </c>
      <c r="D7348">
        <v>4.9405469999999996</v>
      </c>
      <c r="E7348">
        <v>0.51976120000000003</v>
      </c>
      <c r="F7348" t="s">
        <v>41</v>
      </c>
      <c r="G7348">
        <v>-79.370999999999995</v>
      </c>
      <c r="H7348" s="1">
        <v>-1.4545400000000001E-6</v>
      </c>
      <c r="I7348">
        <v>134.90180000000001</v>
      </c>
      <c r="J7348">
        <v>-140.99780000000001</v>
      </c>
      <c r="K7348">
        <v>1.110479</v>
      </c>
      <c r="L7348">
        <v>137.40280000000001</v>
      </c>
      <c r="M7348">
        <v>0.99986050000000004</v>
      </c>
      <c r="N7348">
        <v>-1.433332E-2</v>
      </c>
      <c r="O7348">
        <v>-8.5766969999999994E-3</v>
      </c>
      <c r="P7348">
        <v>0.97644980000000003</v>
      </c>
      <c r="Q7348">
        <v>0.21470980000000001</v>
      </c>
      <c r="R7348">
        <v>2.111002E-2</v>
      </c>
      <c r="S7348">
        <v>3.0867460000000002</v>
      </c>
      <c r="T7348">
        <v>-5.5338140000000001E-2</v>
      </c>
      <c r="U7348">
        <v>-0.1247711</v>
      </c>
      <c r="V7348">
        <v>-2.9412219999999999E-2</v>
      </c>
      <c r="W7348">
        <v>0.22868949999999999</v>
      </c>
      <c r="X7348">
        <v>0.973055</v>
      </c>
      <c r="Y7348">
        <v>3.1807389999999998E-2</v>
      </c>
      <c r="Z7348">
        <v>-4.8228330000000001E-4</v>
      </c>
      <c r="AA7348">
        <v>0.99949390000000005</v>
      </c>
      <c r="AB7348">
        <v>31</v>
      </c>
      <c r="AC7348">
        <v>61.626800000000003</v>
      </c>
      <c r="AD7348">
        <v>-1.11048045454</v>
      </c>
      <c r="AE7348">
        <v>-2.5009999999999999</v>
      </c>
      <c r="AF7348">
        <v>1.97166016002595</v>
      </c>
      <c r="AG7348">
        <v>-1.11048045454</v>
      </c>
      <c r="AH7348">
        <v>61.626008312310297</v>
      </c>
      <c r="AI7348">
        <v>91.031811586324494</v>
      </c>
      <c r="AJ7348">
        <v>88.167506099699693</v>
      </c>
      <c r="AK7348">
        <v>61.667540174191203</v>
      </c>
      <c r="AL7348">
        <v>76.780070581798</v>
      </c>
      <c r="AM7348">
        <v>91.731333918079301</v>
      </c>
      <c r="AN7348">
        <v>0.99999999956028895</v>
      </c>
    </row>
    <row r="7349" spans="1:40" x14ac:dyDescent="0.25">
      <c r="A7349" t="str">
        <f>"20190304155819409"</f>
        <v>20190304155819409</v>
      </c>
      <c r="B7349" t="str">
        <f>"1551686299402406"</f>
        <v>1551686299402406</v>
      </c>
      <c r="C7349" t="s">
        <v>40</v>
      </c>
      <c r="D7349">
        <v>5.0134019999999904</v>
      </c>
      <c r="E7349">
        <v>0.51939899999999894</v>
      </c>
      <c r="F7349" t="s">
        <v>41</v>
      </c>
      <c r="G7349">
        <v>-75.666200000000003</v>
      </c>
      <c r="H7349" s="1">
        <v>-2.7305860000000002E-6</v>
      </c>
      <c r="I7349">
        <v>134.84440000000001</v>
      </c>
      <c r="J7349">
        <v>-140.69560000000001</v>
      </c>
      <c r="K7349">
        <v>1.1105210000000001</v>
      </c>
      <c r="L7349">
        <v>137.40010000000001</v>
      </c>
      <c r="M7349">
        <v>0.99986010000000003</v>
      </c>
      <c r="N7349">
        <v>-1.4329980000000001E-2</v>
      </c>
      <c r="O7349">
        <v>-8.6160799999999999E-3</v>
      </c>
      <c r="P7349">
        <v>0.97631880000000004</v>
      </c>
      <c r="Q7349">
        <v>0.21526770000000001</v>
      </c>
      <c r="R7349">
        <v>2.1474670000000001E-2</v>
      </c>
      <c r="S7349">
        <v>3.0865019999999999</v>
      </c>
      <c r="T7349">
        <v>-5.2463170000000003E-2</v>
      </c>
      <c r="U7349">
        <v>-0.120864899999999</v>
      </c>
      <c r="V7349">
        <v>-2.9837900000000001E-2</v>
      </c>
      <c r="W7349">
        <v>0.2292391</v>
      </c>
      <c r="X7349">
        <v>0.97291269999999996</v>
      </c>
      <c r="Y7349">
        <v>3.050928E-2</v>
      </c>
      <c r="Z7349">
        <v>-4.5495099999999999E-4</v>
      </c>
      <c r="AA7349">
        <v>0.99953440000000005</v>
      </c>
      <c r="AB7349">
        <v>31</v>
      </c>
      <c r="AC7349">
        <v>65.029399999999995</v>
      </c>
      <c r="AD7349">
        <v>-1.1105237305859901</v>
      </c>
      <c r="AE7349">
        <v>-2.5556999999999999</v>
      </c>
      <c r="AF7349">
        <v>1.99466819733615</v>
      </c>
      <c r="AG7349">
        <v>-1.1105237305859901</v>
      </c>
      <c r="AH7349">
        <v>65.030072402062004</v>
      </c>
      <c r="AI7349">
        <v>90.977889679228696</v>
      </c>
      <c r="AJ7349">
        <v>88.243116702149393</v>
      </c>
      <c r="AK7349">
        <v>65.070133554427898</v>
      </c>
      <c r="AL7349">
        <v>76.747721379330898</v>
      </c>
      <c r="AM7349">
        <v>91.756632480698201</v>
      </c>
      <c r="AN7349">
        <v>0.99999999353325497</v>
      </c>
    </row>
    <row r="7350" spans="1:40" x14ac:dyDescent="0.25">
      <c r="A7350" t="str">
        <f>"20190304155819432"</f>
        <v>20190304155819432</v>
      </c>
      <c r="B7350" t="str">
        <f>"1551686299421925"</f>
        <v>1551686299421925</v>
      </c>
      <c r="C7350" t="s">
        <v>40</v>
      </c>
      <c r="D7350">
        <v>5.0203930000000003</v>
      </c>
      <c r="E7350">
        <v>0.51939820000000003</v>
      </c>
      <c r="F7350" t="s">
        <v>41</v>
      </c>
      <c r="G7350">
        <v>-71.351299999999995</v>
      </c>
      <c r="H7350" s="1">
        <v>-4.5497970000000002E-6</v>
      </c>
      <c r="I7350">
        <v>134.78380000000001</v>
      </c>
      <c r="J7350">
        <v>-140.38480000000001</v>
      </c>
      <c r="K7350">
        <v>1.110549</v>
      </c>
      <c r="L7350">
        <v>137.3974</v>
      </c>
      <c r="M7350">
        <v>0.99986019999999998</v>
      </c>
      <c r="N7350">
        <v>-1.432631E-2</v>
      </c>
      <c r="O7350">
        <v>-8.6224409999999998E-3</v>
      </c>
      <c r="P7350">
        <v>0.97627770000000003</v>
      </c>
      <c r="Q7350">
        <v>0.21548790000000001</v>
      </c>
      <c r="R7350">
        <v>2.113545E-2</v>
      </c>
      <c r="S7350">
        <v>3.0862270000000001</v>
      </c>
      <c r="T7350">
        <v>-4.9424889999999999E-2</v>
      </c>
      <c r="U7350">
        <v>-0.1164398</v>
      </c>
      <c r="V7350">
        <v>-2.9521370000000002E-2</v>
      </c>
      <c r="W7350">
        <v>0.2294535</v>
      </c>
      <c r="X7350">
        <v>0.97287179999999995</v>
      </c>
      <c r="Y7350">
        <v>2.9076390000000001E-2</v>
      </c>
      <c r="Z7350">
        <v>-4.2659019999999998E-4</v>
      </c>
      <c r="AA7350">
        <v>0.9995771</v>
      </c>
      <c r="AB7350">
        <v>31</v>
      </c>
      <c r="AC7350">
        <v>69.033500000000004</v>
      </c>
      <c r="AD7350">
        <v>-1.1105535497970001</v>
      </c>
      <c r="AE7350">
        <v>-2.6135999999999902</v>
      </c>
      <c r="AF7350">
        <v>2.01768302772083</v>
      </c>
      <c r="AG7350">
        <v>-1.1105535497970001</v>
      </c>
      <c r="AH7350">
        <v>69.035630509769703</v>
      </c>
      <c r="AI7350">
        <v>90.921225619487899</v>
      </c>
      <c r="AJ7350">
        <v>88.325910527746103</v>
      </c>
      <c r="AK7350">
        <v>69.074037480581396</v>
      </c>
      <c r="AL7350">
        <v>76.735100571790397</v>
      </c>
      <c r="AM7350">
        <v>91.738082073026703</v>
      </c>
      <c r="AN7350">
        <v>0.99999997959208298</v>
      </c>
    </row>
    <row r="7351" spans="1:40" x14ac:dyDescent="0.25">
      <c r="A7351" t="str">
        <f>"20190304155819458"</f>
        <v>20190304155819458</v>
      </c>
      <c r="B7351" t="str">
        <f>"1551686299452182"</f>
        <v>1551686299452182</v>
      </c>
      <c r="C7351" t="s">
        <v>40</v>
      </c>
      <c r="D7351">
        <v>5.0262969999999996</v>
      </c>
      <c r="E7351">
        <v>0.51873930000000001</v>
      </c>
      <c r="F7351" t="s">
        <v>41</v>
      </c>
      <c r="G7351">
        <v>-73.876009999999994</v>
      </c>
      <c r="H7351" s="1">
        <v>-3.4506390000000001E-6</v>
      </c>
      <c r="I7351">
        <v>134.87440000000001</v>
      </c>
      <c r="J7351">
        <v>-140.02799999999999</v>
      </c>
      <c r="K7351">
        <v>1.1105609999999999</v>
      </c>
      <c r="L7351">
        <v>137.39429999999999</v>
      </c>
      <c r="M7351">
        <v>0.99986039999999998</v>
      </c>
      <c r="N7351">
        <v>-1.4322039999999999E-2</v>
      </c>
      <c r="O7351">
        <v>-8.600323E-3</v>
      </c>
      <c r="P7351">
        <v>0.97628179999999998</v>
      </c>
      <c r="Q7351">
        <v>0.2154963</v>
      </c>
      <c r="R7351">
        <v>2.0863469999999999E-2</v>
      </c>
      <c r="S7351">
        <v>3.0868069999999999</v>
      </c>
      <c r="T7351">
        <v>-5.1542999999999901E-2</v>
      </c>
      <c r="U7351">
        <v>-0.1170959</v>
      </c>
      <c r="V7351">
        <v>-2.9240220000000001E-2</v>
      </c>
      <c r="W7351">
        <v>0.22945579999999999</v>
      </c>
      <c r="X7351">
        <v>0.97287979999999996</v>
      </c>
      <c r="Y7351">
        <v>2.9303070000000001E-2</v>
      </c>
      <c r="Z7351">
        <v>-4.3410049999999999E-4</v>
      </c>
      <c r="AA7351">
        <v>0.99957050000000003</v>
      </c>
      <c r="AB7351">
        <v>31</v>
      </c>
      <c r="AC7351">
        <v>66.151989999999998</v>
      </c>
      <c r="AD7351">
        <v>-1.110564450639</v>
      </c>
      <c r="AE7351">
        <v>-2.5198999999999701</v>
      </c>
      <c r="AF7351">
        <v>1.9502710530529801</v>
      </c>
      <c r="AG7351">
        <v>-1.110564450639</v>
      </c>
      <c r="AH7351">
        <v>66.152599751731799</v>
      </c>
      <c r="AI7351">
        <v>90.961368907617398</v>
      </c>
      <c r="AJ7351">
        <v>88.311329504387402</v>
      </c>
      <c r="AK7351">
        <v>66.1906591936674</v>
      </c>
      <c r="AL7351">
        <v>76.734965859106495</v>
      </c>
      <c r="AM7351">
        <v>91.721525118917796</v>
      </c>
      <c r="AN7351">
        <v>1.00000002993366</v>
      </c>
    </row>
    <row r="7352" spans="1:40" x14ac:dyDescent="0.25">
      <c r="A7352" t="str">
        <f>"20190304155819479"</f>
        <v>20190304155819479</v>
      </c>
      <c r="B7352" t="str">
        <f>"1551686299471700"</f>
        <v>1551686299471700</v>
      </c>
      <c r="C7352" t="s">
        <v>40</v>
      </c>
      <c r="D7352">
        <v>5.028143</v>
      </c>
      <c r="E7352">
        <v>0.51760390000000001</v>
      </c>
      <c r="F7352" t="s">
        <v>41</v>
      </c>
      <c r="G7352">
        <v>-72.803820000000002</v>
      </c>
      <c r="H7352" s="1">
        <v>-3.8993750000000003E-6</v>
      </c>
      <c r="I7352">
        <v>134.93770000000001</v>
      </c>
      <c r="J7352">
        <v>-139.7302</v>
      </c>
      <c r="K7352">
        <v>1.110574</v>
      </c>
      <c r="L7352">
        <v>137.39169999999999</v>
      </c>
      <c r="M7352">
        <v>0.99986090000000005</v>
      </c>
      <c r="N7352">
        <v>-1.43185E-2</v>
      </c>
      <c r="O7352">
        <v>-8.5690539999999996E-3</v>
      </c>
      <c r="P7352">
        <v>0.976248</v>
      </c>
      <c r="Q7352">
        <v>0.21564610000000001</v>
      </c>
      <c r="R7352">
        <v>2.0893160000000001E-2</v>
      </c>
      <c r="S7352">
        <v>3.0865629999999999</v>
      </c>
      <c r="T7352">
        <v>-5.0990939999999998E-2</v>
      </c>
      <c r="U7352">
        <v>-0.112793</v>
      </c>
      <c r="V7352">
        <v>-2.9246620000000001E-2</v>
      </c>
      <c r="W7352">
        <v>0.2296011</v>
      </c>
      <c r="X7352">
        <v>0.97284530000000002</v>
      </c>
      <c r="Y7352">
        <v>2.7946209999999999E-2</v>
      </c>
      <c r="Z7352">
        <v>-4.1208999999999999E-4</v>
      </c>
      <c r="AA7352">
        <v>0.99960939999999998</v>
      </c>
      <c r="AB7352">
        <v>31</v>
      </c>
      <c r="AC7352">
        <v>66.926379999999995</v>
      </c>
      <c r="AD7352">
        <v>-1.110577899375</v>
      </c>
      <c r="AE7352">
        <v>-2.4539999999999802</v>
      </c>
      <c r="AF7352">
        <v>1.8798384571237401</v>
      </c>
      <c r="AG7352">
        <v>-1.110577899375</v>
      </c>
      <c r="AH7352">
        <v>66.926548647577604</v>
      </c>
      <c r="AI7352">
        <v>90.950303119273102</v>
      </c>
      <c r="AJ7352">
        <v>88.391094407461196</v>
      </c>
      <c r="AK7352">
        <v>66.962154160182394</v>
      </c>
      <c r="AL7352">
        <v>76.726412069546399</v>
      </c>
      <c r="AM7352">
        <v>91.721962720687998</v>
      </c>
      <c r="AN7352">
        <v>1.00000000381736</v>
      </c>
    </row>
    <row r="7353" spans="1:40" x14ac:dyDescent="0.25">
      <c r="A7353" t="str">
        <f>"20190304155819500"</f>
        <v>20190304155819500</v>
      </c>
      <c r="B7353" t="str">
        <f>"1551686299492198"</f>
        <v>1551686299492198</v>
      </c>
      <c r="C7353" t="s">
        <v>40</v>
      </c>
      <c r="D7353">
        <v>5.1503680000000003</v>
      </c>
      <c r="E7353">
        <v>0.5165054</v>
      </c>
      <c r="F7353" t="s">
        <v>41</v>
      </c>
      <c r="G7353">
        <v>-75.010350000000003</v>
      </c>
      <c r="H7353" s="1">
        <v>-2.9051200000000001E-6</v>
      </c>
      <c r="I7353">
        <v>135.2063</v>
      </c>
      <c r="J7353">
        <v>-139.45079999999999</v>
      </c>
      <c r="K7353">
        <v>1.1105879999999999</v>
      </c>
      <c r="L7353">
        <v>137.38929999999999</v>
      </c>
      <c r="M7353">
        <v>0.99986120000000001</v>
      </c>
      <c r="N7353">
        <v>-1.431521E-2</v>
      </c>
      <c r="O7353">
        <v>-8.5275309999999997E-3</v>
      </c>
      <c r="P7353">
        <v>0.97622819999999999</v>
      </c>
      <c r="Q7353">
        <v>0.2156959</v>
      </c>
      <c r="R7353">
        <v>2.1306410000000001E-2</v>
      </c>
      <c r="S7353">
        <v>3.0868989999999998</v>
      </c>
      <c r="T7353">
        <v>-5.2970410000000002E-2</v>
      </c>
      <c r="U7353">
        <v>-0.1042328</v>
      </c>
      <c r="V7353">
        <v>-2.9627609999999999E-2</v>
      </c>
      <c r="W7353">
        <v>0.22964609999999999</v>
      </c>
      <c r="X7353">
        <v>0.97282310000000005</v>
      </c>
      <c r="Y7353">
        <v>2.5215410000000001E-2</v>
      </c>
      <c r="Z7353">
        <v>-3.7261210000000001E-4</v>
      </c>
      <c r="AA7353">
        <v>0.99968190000000001</v>
      </c>
      <c r="AB7353">
        <v>31</v>
      </c>
      <c r="AC7353">
        <v>64.440449999999899</v>
      </c>
      <c r="AD7353">
        <v>-1.11059090511999</v>
      </c>
      <c r="AE7353">
        <v>-2.1829999999999901</v>
      </c>
      <c r="AF7353">
        <v>1.6328619356632299</v>
      </c>
      <c r="AG7353">
        <v>-1.11059090511999</v>
      </c>
      <c r="AH7353">
        <v>64.437606412315304</v>
      </c>
      <c r="AI7353">
        <v>90.987085983094204</v>
      </c>
      <c r="AJ7353">
        <v>88.548424042543303</v>
      </c>
      <c r="AK7353">
        <v>64.467858428894104</v>
      </c>
      <c r="AL7353">
        <v>76.723762317181396</v>
      </c>
      <c r="AM7353">
        <v>91.744420405007702</v>
      </c>
      <c r="AN7353">
        <v>0.99999995520656504</v>
      </c>
    </row>
    <row r="7354" spans="1:40" x14ac:dyDescent="0.25">
      <c r="A7354" t="str">
        <f>"20190304155819521"</f>
        <v>20190304155819521</v>
      </c>
      <c r="B7354" t="str">
        <f>"1551686299511717"</f>
        <v>1551686299511717</v>
      </c>
      <c r="C7354" t="s">
        <v>40</v>
      </c>
      <c r="D7354">
        <v>5.0604089999999999</v>
      </c>
      <c r="E7354">
        <v>0.51596549999999997</v>
      </c>
      <c r="F7354" t="s">
        <v>41</v>
      </c>
      <c r="G7354">
        <v>-75.937419999999904</v>
      </c>
      <c r="H7354" s="1">
        <v>-2.4758620000000001E-6</v>
      </c>
      <c r="I7354">
        <v>135.45480000000001</v>
      </c>
      <c r="J7354">
        <v>-139.1576</v>
      </c>
      <c r="K7354">
        <v>1.110603</v>
      </c>
      <c r="L7354">
        <v>137.3869</v>
      </c>
      <c r="M7354">
        <v>0.99986180000000002</v>
      </c>
      <c r="N7354">
        <v>-1.431177E-2</v>
      </c>
      <c r="O7354">
        <v>-8.4656490000000004E-3</v>
      </c>
      <c r="P7354">
        <v>0.97627140000000001</v>
      </c>
      <c r="Q7354">
        <v>0.2154442</v>
      </c>
      <c r="R7354">
        <v>2.1864069999999999E-2</v>
      </c>
      <c r="S7354">
        <v>3.0870510000000002</v>
      </c>
      <c r="T7354">
        <v>-5.3979989999999999E-2</v>
      </c>
      <c r="U7354">
        <v>-9.4024659999999996E-2</v>
      </c>
      <c r="V7354">
        <v>-3.0136030000000001E-2</v>
      </c>
      <c r="W7354">
        <v>0.22939039999999999</v>
      </c>
      <c r="X7354">
        <v>0.97286779999999995</v>
      </c>
      <c r="Y7354">
        <v>2.1973889999999999E-2</v>
      </c>
      <c r="Z7354">
        <v>-3.2252870000000001E-4</v>
      </c>
      <c r="AA7354">
        <v>0.99975849999999999</v>
      </c>
      <c r="AB7354">
        <v>31</v>
      </c>
      <c r="AC7354">
        <v>63.220179999999999</v>
      </c>
      <c r="AD7354">
        <v>-1.1106054758620001</v>
      </c>
      <c r="AE7354">
        <v>-1.9320999999999899</v>
      </c>
      <c r="AF7354">
        <v>1.3963455848080299</v>
      </c>
      <c r="AG7354">
        <v>-1.1106054758620001</v>
      </c>
      <c r="AH7354">
        <v>63.214781815844802</v>
      </c>
      <c r="AI7354">
        <v>91.006266974247893</v>
      </c>
      <c r="AJ7354">
        <v>88.734604497590198</v>
      </c>
      <c r="AK7354">
        <v>63.239954661116599</v>
      </c>
      <c r="AL7354">
        <v>76.738814558257104</v>
      </c>
      <c r="AM7354">
        <v>91.774254813992599</v>
      </c>
      <c r="AN7354">
        <v>0.99999994609657805</v>
      </c>
    </row>
    <row r="7355" spans="1:40" x14ac:dyDescent="0.25">
      <c r="A7355" t="str">
        <f>"20190304155819543"</f>
        <v>20190304155819543</v>
      </c>
      <c r="B7355" t="str">
        <f>"1551686299532213"</f>
        <v>1551686299532213</v>
      </c>
      <c r="C7355" t="s">
        <v>40</v>
      </c>
      <c r="D7355">
        <v>4.9977070000000001</v>
      </c>
      <c r="E7355">
        <v>0.48286839999999998</v>
      </c>
      <c r="F7355" t="s">
        <v>41</v>
      </c>
      <c r="G7355">
        <v>-76.757450000000006</v>
      </c>
      <c r="H7355" s="1">
        <v>-2.1544629999999999E-6</v>
      </c>
      <c r="I7355">
        <v>135.614</v>
      </c>
      <c r="J7355">
        <v>-138.85509999999999</v>
      </c>
      <c r="K7355">
        <v>1.1106199999999999</v>
      </c>
      <c r="L7355">
        <v>137.3844</v>
      </c>
      <c r="M7355">
        <v>0.99986260000000005</v>
      </c>
      <c r="N7355">
        <v>-1.430826E-2</v>
      </c>
      <c r="O7355">
        <v>-8.3754090000000003E-3</v>
      </c>
      <c r="P7355">
        <v>0.97640309999999997</v>
      </c>
      <c r="Q7355">
        <v>0.21473519999999999</v>
      </c>
      <c r="R7355">
        <v>2.2928299999999999E-2</v>
      </c>
      <c r="S7355">
        <v>3.0870060000000001</v>
      </c>
      <c r="T7355">
        <v>-5.4942850000000001E-2</v>
      </c>
      <c r="U7355">
        <v>-8.7707519999999997E-2</v>
      </c>
      <c r="V7355">
        <v>-3.1128090000000001E-2</v>
      </c>
      <c r="W7355">
        <v>0.22867789999999999</v>
      </c>
      <c r="X7355">
        <v>0.97300430000000004</v>
      </c>
      <c r="Y7355">
        <v>2.0020840000000002E-2</v>
      </c>
      <c r="Z7355">
        <v>-2.922081E-4</v>
      </c>
      <c r="AA7355">
        <v>0.99979949999999995</v>
      </c>
      <c r="AB7355">
        <v>31</v>
      </c>
      <c r="AC7355">
        <v>62.097649999999902</v>
      </c>
      <c r="AD7355">
        <v>-1.1106221544629999</v>
      </c>
      <c r="AE7355">
        <v>-1.77039999999999</v>
      </c>
      <c r="AF7355">
        <v>1.2497919981068399</v>
      </c>
      <c r="AG7355">
        <v>-1.1106221544629999</v>
      </c>
      <c r="AH7355">
        <v>62.090455713612997</v>
      </c>
      <c r="AI7355">
        <v>91.024542229113493</v>
      </c>
      <c r="AJ7355">
        <v>88.846873687228694</v>
      </c>
      <c r="AK7355">
        <v>62.112962836534003</v>
      </c>
      <c r="AL7355">
        <v>76.7807526896121</v>
      </c>
      <c r="AM7355">
        <v>91.832366104169594</v>
      </c>
      <c r="AN7355">
        <v>0.99999995387697305</v>
      </c>
    </row>
    <row r="7356" spans="1:40" x14ac:dyDescent="0.25">
      <c r="A7356" t="str">
        <f>"20190304155819565"</f>
        <v>20190304155819565</v>
      </c>
      <c r="B7356" t="str">
        <f>"1551686299562471"</f>
        <v>1551686299562471</v>
      </c>
      <c r="C7356" t="s">
        <v>40</v>
      </c>
      <c r="D7356">
        <v>5.0325110000000004</v>
      </c>
      <c r="E7356">
        <v>0.48489779999999999</v>
      </c>
      <c r="F7356" t="s">
        <v>41</v>
      </c>
      <c r="G7356">
        <v>-97.992069999999998</v>
      </c>
      <c r="H7356" s="1">
        <v>-8.8104880000000001E-7</v>
      </c>
      <c r="I7356">
        <v>139.7567</v>
      </c>
      <c r="J7356">
        <v>-138.5513</v>
      </c>
      <c r="K7356">
        <v>1.110649</v>
      </c>
      <c r="L7356">
        <v>137.38200000000001</v>
      </c>
      <c r="M7356">
        <v>0.99986370000000002</v>
      </c>
      <c r="N7356">
        <v>-1.4304900000000001E-2</v>
      </c>
      <c r="O7356">
        <v>-8.2494500000000002E-3</v>
      </c>
      <c r="P7356">
        <v>0.97649079999999999</v>
      </c>
      <c r="Q7356">
        <v>0.21426290000000001</v>
      </c>
      <c r="R7356">
        <v>2.3607779999999998E-2</v>
      </c>
      <c r="S7356">
        <v>3.0867309999999999</v>
      </c>
      <c r="T7356">
        <v>-8.3894490000000002E-2</v>
      </c>
      <c r="U7356">
        <v>0.1791992</v>
      </c>
      <c r="V7356">
        <v>-3.1702399999999999E-2</v>
      </c>
      <c r="W7356">
        <v>0.22820070000000001</v>
      </c>
      <c r="X7356">
        <v>0.97309789999999996</v>
      </c>
      <c r="Y7356">
        <v>-6.6153680000000006E-2</v>
      </c>
      <c r="Z7356">
        <v>1.477889E-3</v>
      </c>
      <c r="AA7356">
        <v>0.99780829999999998</v>
      </c>
      <c r="AB7356">
        <v>31</v>
      </c>
      <c r="AC7356">
        <v>40.559229999999999</v>
      </c>
      <c r="AD7356">
        <v>-1.1106498810487999</v>
      </c>
      <c r="AE7356">
        <v>2.37469999999999</v>
      </c>
      <c r="AF7356">
        <v>-2.70722166301347</v>
      </c>
      <c r="AG7356">
        <v>-1.1106498810487999</v>
      </c>
      <c r="AH7356">
        <v>40.507986441212303</v>
      </c>
      <c r="AI7356">
        <v>91.567050948954801</v>
      </c>
      <c r="AJ7356">
        <v>93.823494330031593</v>
      </c>
      <c r="AK7356">
        <v>40.613539094893</v>
      </c>
      <c r="AL7356">
        <v>76.808838290007898</v>
      </c>
      <c r="AM7356">
        <v>91.8659700055331</v>
      </c>
      <c r="AN7356">
        <v>1.00000006231532</v>
      </c>
    </row>
    <row r="7357" spans="1:40" x14ac:dyDescent="0.25">
      <c r="A7357" t="str">
        <f>"20190304155819588"</f>
        <v>20190304155819588</v>
      </c>
      <c r="B7357" t="str">
        <f>"1551686299581989"</f>
        <v>1551686299581989</v>
      </c>
      <c r="C7357" t="s">
        <v>40</v>
      </c>
      <c r="D7357">
        <v>5.0887849999999997</v>
      </c>
      <c r="E7357">
        <v>0.48551519999999998</v>
      </c>
      <c r="F7357" t="s">
        <v>41</v>
      </c>
      <c r="G7357">
        <v>-94.904660000000007</v>
      </c>
      <c r="H7357" s="1">
        <v>-2.1982430000000001E-6</v>
      </c>
      <c r="I7357">
        <v>139.72929999999999</v>
      </c>
      <c r="J7357">
        <v>-138.244</v>
      </c>
      <c r="K7357">
        <v>1.1106910000000001</v>
      </c>
      <c r="L7357">
        <v>137.37960000000001</v>
      </c>
      <c r="M7357">
        <v>0.99986509999999995</v>
      </c>
      <c r="N7357">
        <v>-1.4301589999999999E-2</v>
      </c>
      <c r="O7357">
        <v>-8.0775299999999994E-3</v>
      </c>
      <c r="P7357">
        <v>0.97631500000000004</v>
      </c>
      <c r="Q7357">
        <v>0.21499989999999999</v>
      </c>
      <c r="R7357">
        <v>2.417296E-2</v>
      </c>
      <c r="S7357">
        <v>3.085464</v>
      </c>
      <c r="T7357">
        <v>-7.8514100000000003E-2</v>
      </c>
      <c r="U7357">
        <v>0.16593929999999901</v>
      </c>
      <c r="V7357">
        <v>-3.211808E-2</v>
      </c>
      <c r="W7357">
        <v>0.22892950000000001</v>
      </c>
      <c r="X7357">
        <v>0.97291300000000003</v>
      </c>
      <c r="Y7357">
        <v>-6.173667E-2</v>
      </c>
      <c r="Z7357">
        <v>1.316656E-3</v>
      </c>
      <c r="AA7357">
        <v>0.99809159999999997</v>
      </c>
      <c r="AB7357">
        <v>31</v>
      </c>
      <c r="AC7357">
        <v>43.33934</v>
      </c>
      <c r="AD7357">
        <v>-1.1106931982429999</v>
      </c>
      <c r="AE7357">
        <v>2.3496999999999799</v>
      </c>
      <c r="AF7357">
        <v>-2.69796716136588</v>
      </c>
      <c r="AG7357">
        <v>-1.1106931982429999</v>
      </c>
      <c r="AH7357">
        <v>43.2905947941587</v>
      </c>
      <c r="AI7357">
        <v>91.466852731971798</v>
      </c>
      <c r="AJ7357">
        <v>93.566189420672004</v>
      </c>
      <c r="AK7357">
        <v>43.388803438404203</v>
      </c>
      <c r="AL7357">
        <v>76.765944812464397</v>
      </c>
      <c r="AM7357">
        <v>91.890777865853394</v>
      </c>
      <c r="AN7357">
        <v>0.99999999630106795</v>
      </c>
    </row>
    <row r="7358" spans="1:40" x14ac:dyDescent="0.25">
      <c r="A7358" t="str">
        <f>"20190304155819610"</f>
        <v>20190304155819610</v>
      </c>
      <c r="B7358" t="str">
        <f>"1551686299602485"</f>
        <v>1551686299602485</v>
      </c>
      <c r="C7358" t="s">
        <v>40</v>
      </c>
      <c r="D7358">
        <v>5.0619630000000004</v>
      </c>
      <c r="E7358">
        <v>0.48622290000000001</v>
      </c>
      <c r="F7358" t="s">
        <v>41</v>
      </c>
      <c r="G7358">
        <v>-91.472539999999995</v>
      </c>
      <c r="H7358" s="1">
        <v>-3.703931E-6</v>
      </c>
      <c r="I7358">
        <v>139.8545</v>
      </c>
      <c r="J7358">
        <v>-137.9436</v>
      </c>
      <c r="K7358">
        <v>1.1107290000000001</v>
      </c>
      <c r="L7358">
        <v>137.37739999999999</v>
      </c>
      <c r="M7358">
        <v>0.9998669</v>
      </c>
      <c r="N7358">
        <v>-1.429833E-2</v>
      </c>
      <c r="O7358">
        <v>-7.8596889999999996E-3</v>
      </c>
      <c r="P7358">
        <v>0.97604990000000003</v>
      </c>
      <c r="Q7358">
        <v>0.2161429</v>
      </c>
      <c r="R7358">
        <v>2.4677350000000001E-2</v>
      </c>
      <c r="S7358">
        <v>3.084854</v>
      </c>
      <c r="T7358">
        <v>-7.3256849999999998E-2</v>
      </c>
      <c r="U7358">
        <v>0.16323850000000001</v>
      </c>
      <c r="V7358">
        <v>-3.2428350000000002E-2</v>
      </c>
      <c r="W7358">
        <v>0.23006190000000001</v>
      </c>
      <c r="X7358">
        <v>0.97263560000000004</v>
      </c>
      <c r="Y7358">
        <v>-6.066237E-2</v>
      </c>
      <c r="Z7358">
        <v>1.227988E-3</v>
      </c>
      <c r="AA7358">
        <v>0.99815759999999998</v>
      </c>
      <c r="AB7358">
        <v>31</v>
      </c>
      <c r="AC7358">
        <v>46.471060000000001</v>
      </c>
      <c r="AD7358">
        <v>-1.110732703931</v>
      </c>
      <c r="AE7358">
        <v>2.4771000000000001</v>
      </c>
      <c r="AF7358">
        <v>-2.8406906364439299</v>
      </c>
      <c r="AG7358">
        <v>-1.110732703931</v>
      </c>
      <c r="AH7358">
        <v>46.423706995524299</v>
      </c>
      <c r="AI7358">
        <v>91.368038413161699</v>
      </c>
      <c r="AJ7358">
        <v>93.501592417346998</v>
      </c>
      <c r="AK7358">
        <v>46.523798443784202</v>
      </c>
      <c r="AL7358">
        <v>76.699284498100596</v>
      </c>
      <c r="AM7358">
        <v>91.909573940435394</v>
      </c>
      <c r="AN7358">
        <v>1.00000004305134</v>
      </c>
    </row>
    <row r="7359" spans="1:40" x14ac:dyDescent="0.25">
      <c r="A7359" t="str">
        <f>"20190304155819632"</f>
        <v>20190304155819632</v>
      </c>
      <c r="B7359" t="str">
        <f>"1551686299622005"</f>
        <v>1551686299622005</v>
      </c>
      <c r="C7359" t="s">
        <v>40</v>
      </c>
      <c r="D7359">
        <v>5.0620349999999998</v>
      </c>
      <c r="E7359">
        <v>0.48660199999999998</v>
      </c>
      <c r="F7359" t="s">
        <v>41</v>
      </c>
      <c r="G7359">
        <v>-90.766139999999993</v>
      </c>
      <c r="H7359" s="1">
        <v>-3.9971570000000003E-6</v>
      </c>
      <c r="I7359">
        <v>139.8176</v>
      </c>
      <c r="J7359">
        <v>-137.63579999999999</v>
      </c>
      <c r="K7359">
        <v>1.110773</v>
      </c>
      <c r="L7359">
        <v>137.37520000000001</v>
      </c>
      <c r="M7359">
        <v>0.99986920000000001</v>
      </c>
      <c r="N7359">
        <v>-1.4297809999999999E-2</v>
      </c>
      <c r="O7359">
        <v>-7.5813959999999998E-3</v>
      </c>
      <c r="P7359">
        <v>0.97586090000000003</v>
      </c>
      <c r="Q7359">
        <v>0.2170532</v>
      </c>
      <c r="R7359">
        <v>2.4156239999999999E-2</v>
      </c>
      <c r="S7359">
        <v>3.0856479999999999</v>
      </c>
      <c r="T7359">
        <v>-7.2647569999999995E-2</v>
      </c>
      <c r="U7359">
        <v>0.1596069</v>
      </c>
      <c r="V7359">
        <v>-3.1656589999999998E-2</v>
      </c>
      <c r="W7359">
        <v>0.2309667</v>
      </c>
      <c r="X7359">
        <v>0.97244649999999999</v>
      </c>
      <c r="Y7359">
        <v>-5.9200450000000002E-2</v>
      </c>
      <c r="Z7359">
        <v>1.189992E-3</v>
      </c>
      <c r="AA7359">
        <v>0.99824539999999995</v>
      </c>
      <c r="AB7359">
        <v>30</v>
      </c>
      <c r="AC7359">
        <v>46.869659999999897</v>
      </c>
      <c r="AD7359">
        <v>-1.1107769971570001</v>
      </c>
      <c r="AE7359">
        <v>2.4423999999999899</v>
      </c>
      <c r="AF7359">
        <v>-2.79613730126967</v>
      </c>
      <c r="AG7359">
        <v>-1.1107769971570001</v>
      </c>
      <c r="AH7359">
        <v>46.823566536211899</v>
      </c>
      <c r="AI7359">
        <v>91.356534610284399</v>
      </c>
      <c r="AJ7359">
        <v>93.4174423069705</v>
      </c>
      <c r="AK7359">
        <v>46.920129928592701</v>
      </c>
      <c r="AL7359">
        <v>76.646007582727094</v>
      </c>
      <c r="AM7359">
        <v>91.864522826321604</v>
      </c>
      <c r="AN7359">
        <v>0.99999997578078303</v>
      </c>
    </row>
    <row r="7360" spans="1:40" x14ac:dyDescent="0.25">
      <c r="A7360" t="str">
        <f>"20190304155819656"</f>
        <v>20190304155819656</v>
      </c>
      <c r="B7360" t="str">
        <f>"1551686299652262"</f>
        <v>1551686299652262</v>
      </c>
      <c r="C7360" t="s">
        <v>40</v>
      </c>
      <c r="D7360">
        <v>5.008394</v>
      </c>
      <c r="E7360">
        <v>0.48694999999999999</v>
      </c>
      <c r="F7360" t="s">
        <v>41</v>
      </c>
      <c r="G7360">
        <v>-88.660799999999995</v>
      </c>
      <c r="H7360" s="1">
        <v>-6.1689509999999998E-7</v>
      </c>
      <c r="I7360">
        <v>139.84209999999999</v>
      </c>
      <c r="J7360">
        <v>-137.3253</v>
      </c>
      <c r="K7360">
        <v>1.110819</v>
      </c>
      <c r="L7360">
        <v>137.3732</v>
      </c>
      <c r="M7360">
        <v>0.99987110000000001</v>
      </c>
      <c r="N7360">
        <v>-1.432054E-2</v>
      </c>
      <c r="O7360">
        <v>-7.2589789999999996E-3</v>
      </c>
      <c r="P7360">
        <v>0.97585189999999999</v>
      </c>
      <c r="Q7360">
        <v>0.21709600000000001</v>
      </c>
      <c r="R7360">
        <v>2.4137160000000001E-2</v>
      </c>
      <c r="S7360">
        <v>3.0859070000000002</v>
      </c>
      <c r="T7360">
        <v>-6.9989560000000006E-2</v>
      </c>
      <c r="U7360">
        <v>0.15544129999999901</v>
      </c>
      <c r="V7360">
        <v>-3.1343570000000001E-2</v>
      </c>
      <c r="W7360">
        <v>0.23102929999999999</v>
      </c>
      <c r="X7360">
        <v>0.97244180000000002</v>
      </c>
      <c r="Y7360">
        <v>-5.7532430000000002E-2</v>
      </c>
      <c r="Z7360">
        <v>1.124882E-3</v>
      </c>
      <c r="AA7360">
        <v>0.99834299999999998</v>
      </c>
      <c r="AB7360">
        <v>30</v>
      </c>
      <c r="AC7360">
        <v>48.664499999999997</v>
      </c>
      <c r="AD7360">
        <v>-1.1108196168950999</v>
      </c>
      <c r="AE7360">
        <v>2.4688999999999899</v>
      </c>
      <c r="AF7360">
        <v>-2.8206598780465999</v>
      </c>
      <c r="AG7360">
        <v>-1.1108196168950999</v>
      </c>
      <c r="AH7360">
        <v>48.620026607496897</v>
      </c>
      <c r="AI7360">
        <v>91.306610273312799</v>
      </c>
      <c r="AJ7360">
        <v>93.320256536137506</v>
      </c>
      <c r="AK7360">
        <v>48.714443748057001</v>
      </c>
      <c r="AL7360">
        <v>76.642321570677296</v>
      </c>
      <c r="AM7360">
        <v>91.846108183252795</v>
      </c>
      <c r="AN7360">
        <v>1.00000000561303</v>
      </c>
    </row>
    <row r="7361" spans="1:40" x14ac:dyDescent="0.25">
      <c r="A7361" t="str">
        <f>"20190304155819679"</f>
        <v>20190304155819679</v>
      </c>
      <c r="B7361" t="str">
        <f>"1551686299671782"</f>
        <v>1551686299671782</v>
      </c>
      <c r="C7361" t="s">
        <v>40</v>
      </c>
      <c r="D7361">
        <v>5.1186660000000002</v>
      </c>
      <c r="E7361">
        <v>0.486535</v>
      </c>
      <c r="F7361" t="s">
        <v>41</v>
      </c>
      <c r="G7361">
        <v>-92.535610000000005</v>
      </c>
      <c r="H7361" s="1">
        <v>-3.1882639999999999E-6</v>
      </c>
      <c r="I7361">
        <v>139.59520000000001</v>
      </c>
      <c r="J7361">
        <v>-137.0069</v>
      </c>
      <c r="K7361">
        <v>1.110868</v>
      </c>
      <c r="L7361">
        <v>137.37129999999999</v>
      </c>
      <c r="M7361">
        <v>0.99987280000000001</v>
      </c>
      <c r="N7361">
        <v>-1.438878E-2</v>
      </c>
      <c r="O7361">
        <v>-6.8893330000000001E-3</v>
      </c>
      <c r="P7361">
        <v>0.97578359999999997</v>
      </c>
      <c r="Q7361">
        <v>0.21741920000000001</v>
      </c>
      <c r="R7361">
        <v>2.3980979999999999E-2</v>
      </c>
      <c r="S7361">
        <v>3.0874790000000001</v>
      </c>
      <c r="T7361">
        <v>-7.6571940000000005E-2</v>
      </c>
      <c r="U7361">
        <v>0.15316769999999999</v>
      </c>
      <c r="V7361">
        <v>-3.0845890000000001E-2</v>
      </c>
      <c r="W7361">
        <v>0.2314158</v>
      </c>
      <c r="X7361">
        <v>0.97236579999999995</v>
      </c>
      <c r="Y7361">
        <v>-5.6401060000000003E-2</v>
      </c>
      <c r="Z7361">
        <v>1.1766719999999999E-3</v>
      </c>
      <c r="AA7361">
        <v>0.9984075</v>
      </c>
      <c r="AB7361">
        <v>30</v>
      </c>
      <c r="AC7361">
        <v>44.471290000000003</v>
      </c>
      <c r="AD7361">
        <v>-1.1108711882640001</v>
      </c>
      <c r="AE7361">
        <v>2.2239000000000102</v>
      </c>
      <c r="AF7361">
        <v>-2.5286825391844299</v>
      </c>
      <c r="AG7361">
        <v>-1.1108711882640001</v>
      </c>
      <c r="AH7361">
        <v>44.427259231779402</v>
      </c>
      <c r="AI7361">
        <v>91.430027176286899</v>
      </c>
      <c r="AJ7361">
        <v>93.257610071797401</v>
      </c>
      <c r="AK7361">
        <v>44.513027677620599</v>
      </c>
      <c r="AL7361">
        <v>76.619559789863501</v>
      </c>
      <c r="AM7361">
        <v>91.816956987657605</v>
      </c>
      <c r="AN7361">
        <v>0.99999999521458605</v>
      </c>
    </row>
    <row r="7362" spans="1:40" x14ac:dyDescent="0.25">
      <c r="A7362" t="str">
        <f>"20190304155819702"</f>
        <v>20190304155819702</v>
      </c>
      <c r="B7362" t="str">
        <f>"1551686299692277"</f>
        <v>1551686299692277</v>
      </c>
      <c r="C7362" t="s">
        <v>40</v>
      </c>
      <c r="D7362">
        <v>5.2040300000000004</v>
      </c>
      <c r="E7362">
        <v>0.4865333</v>
      </c>
      <c r="F7362" t="s">
        <v>41</v>
      </c>
      <c r="G7362">
        <v>-93.862089999999995</v>
      </c>
      <c r="H7362" s="1">
        <v>-2.6255800000000002E-6</v>
      </c>
      <c r="I7362">
        <v>139.55930000000001</v>
      </c>
      <c r="J7362">
        <v>-136.70410000000001</v>
      </c>
      <c r="K7362">
        <v>1.110949</v>
      </c>
      <c r="L7362">
        <v>137.36959999999999</v>
      </c>
      <c r="M7362">
        <v>0.99987289999999995</v>
      </c>
      <c r="N7362">
        <v>-1.456647E-2</v>
      </c>
      <c r="O7362">
        <v>-6.5028760000000003E-3</v>
      </c>
      <c r="P7362">
        <v>0.97571269999999999</v>
      </c>
      <c r="Q7362">
        <v>0.21769859999999999</v>
      </c>
      <c r="R7362">
        <v>2.4342869999999999E-2</v>
      </c>
      <c r="S7362">
        <v>3.0883180000000001</v>
      </c>
      <c r="T7362">
        <v>-7.9516409999999996E-2</v>
      </c>
      <c r="U7362">
        <v>0.15661620000000001</v>
      </c>
      <c r="V7362">
        <v>-3.0847610000000001E-2</v>
      </c>
      <c r="W7362">
        <v>0.2318644</v>
      </c>
      <c r="X7362">
        <v>0.97225890000000004</v>
      </c>
      <c r="Y7362">
        <v>-5.7111540000000002E-2</v>
      </c>
      <c r="Z7362">
        <v>1.223645E-3</v>
      </c>
      <c r="AA7362">
        <v>0.99836709999999995</v>
      </c>
      <c r="AB7362">
        <v>30</v>
      </c>
      <c r="AC7362">
        <v>42.842009999999902</v>
      </c>
      <c r="AD7362">
        <v>-1.11095162558</v>
      </c>
      <c r="AE7362">
        <v>2.18970000000001</v>
      </c>
      <c r="AF7362">
        <v>-2.4666251668114301</v>
      </c>
      <c r="AG7362">
        <v>-1.11095162558</v>
      </c>
      <c r="AH7362">
        <v>42.798159087379297</v>
      </c>
      <c r="AI7362">
        <v>91.484483598007898</v>
      </c>
      <c r="AJ7362">
        <v>93.298530711957298</v>
      </c>
      <c r="AK7362">
        <v>42.883573480956002</v>
      </c>
      <c r="AL7362">
        <v>76.593138642224801</v>
      </c>
      <c r="AM7362">
        <v>91.817257887067498</v>
      </c>
      <c r="AN7362">
        <v>1.0000000218296401</v>
      </c>
    </row>
    <row r="7363" spans="1:40" x14ac:dyDescent="0.25">
      <c r="A7363" t="str">
        <f>"20190304155819722"</f>
        <v>20190304155819722</v>
      </c>
      <c r="B7363" t="str">
        <f>"1551686299711797"</f>
        <v>1551686299711797</v>
      </c>
      <c r="C7363" t="s">
        <v>40</v>
      </c>
      <c r="D7363">
        <v>5.1491110000000004</v>
      </c>
      <c r="E7363">
        <v>0.4864096</v>
      </c>
      <c r="F7363" t="s">
        <v>41</v>
      </c>
      <c r="G7363">
        <v>-95.148610000000005</v>
      </c>
      <c r="H7363" s="1">
        <v>-2.0870199999999998E-6</v>
      </c>
      <c r="I7363">
        <v>139.48400000000001</v>
      </c>
      <c r="J7363">
        <v>-136.4264</v>
      </c>
      <c r="K7363">
        <v>1.1110450000000001</v>
      </c>
      <c r="L7363">
        <v>137.3682</v>
      </c>
      <c r="M7363">
        <v>0.99987099999999995</v>
      </c>
      <c r="N7363">
        <v>-1.486052E-2</v>
      </c>
      <c r="O7363">
        <v>-6.1142710000000001E-3</v>
      </c>
      <c r="P7363">
        <v>0.975634</v>
      </c>
      <c r="Q7363">
        <v>0.21797030000000001</v>
      </c>
      <c r="R7363">
        <v>2.5052149999999999E-2</v>
      </c>
      <c r="S7363">
        <v>3.089188</v>
      </c>
      <c r="T7363">
        <v>-8.2586770000000004E-2</v>
      </c>
      <c r="U7363">
        <v>0.15718080000000001</v>
      </c>
      <c r="V7363">
        <v>-3.1190599999999999E-2</v>
      </c>
      <c r="W7363">
        <v>0.2324186</v>
      </c>
      <c r="X7363">
        <v>0.97211559999999997</v>
      </c>
      <c r="Y7363">
        <v>-5.6889299999999997E-2</v>
      </c>
      <c r="Z7363">
        <v>1.2554650000000001E-3</v>
      </c>
      <c r="AA7363">
        <v>0.99837969999999998</v>
      </c>
      <c r="AB7363">
        <v>30</v>
      </c>
      <c r="AC7363">
        <v>41.277790000000003</v>
      </c>
      <c r="AD7363">
        <v>-1.11104708702</v>
      </c>
      <c r="AE7363">
        <v>2.1158000000000001</v>
      </c>
      <c r="AF7363">
        <v>-2.3664618948535199</v>
      </c>
      <c r="AG7363">
        <v>-1.11104708702</v>
      </c>
      <c r="AH7363">
        <v>41.234284729380803</v>
      </c>
      <c r="AI7363">
        <v>91.540912110536993</v>
      </c>
      <c r="AJ7363">
        <v>93.284638296203894</v>
      </c>
      <c r="AK7363">
        <v>41.317076429401702</v>
      </c>
      <c r="AL7363">
        <v>76.560493216642399</v>
      </c>
      <c r="AM7363">
        <v>91.8377206066301</v>
      </c>
      <c r="AN7363">
        <v>0.999999999458839</v>
      </c>
    </row>
    <row r="7364" spans="1:40" x14ac:dyDescent="0.25">
      <c r="A7364" t="str">
        <f>"20190304155819746"</f>
        <v>20190304155819746</v>
      </c>
      <c r="B7364" t="str">
        <f>"1551686299742054"</f>
        <v>1551686299742054</v>
      </c>
      <c r="C7364" t="s">
        <v>40</v>
      </c>
      <c r="D7364">
        <v>5.1622909999999997</v>
      </c>
      <c r="E7364">
        <v>0.48606270000000001</v>
      </c>
      <c r="F7364" t="s">
        <v>41</v>
      </c>
      <c r="G7364">
        <v>-94.764120000000005</v>
      </c>
      <c r="H7364" s="1">
        <v>-2.2443179999999999E-6</v>
      </c>
      <c r="I7364">
        <v>139.52709999999999</v>
      </c>
      <c r="J7364">
        <v>-136.10980000000001</v>
      </c>
      <c r="K7364">
        <v>1.1111799999999901</v>
      </c>
      <c r="L7364">
        <v>137.36680000000001</v>
      </c>
      <c r="M7364">
        <v>0.99986600000000003</v>
      </c>
      <c r="N7364">
        <v>-1.537528E-2</v>
      </c>
      <c r="O7364">
        <v>-5.6381299999999999E-3</v>
      </c>
      <c r="P7364">
        <v>0.97580820000000001</v>
      </c>
      <c r="Q7364">
        <v>0.21709020000000001</v>
      </c>
      <c r="R7364">
        <v>2.589706E-2</v>
      </c>
      <c r="S7364">
        <v>3.0892330000000001</v>
      </c>
      <c r="T7364">
        <v>-8.2383390000000001E-2</v>
      </c>
      <c r="U7364">
        <v>0.16008</v>
      </c>
      <c r="V7364">
        <v>-3.158383E-2</v>
      </c>
      <c r="W7364">
        <v>0.23204060000000001</v>
      </c>
      <c r="X7364">
        <v>0.97219319999999998</v>
      </c>
      <c r="Y7364">
        <v>-5.7347210000000003E-2</v>
      </c>
      <c r="Z7364">
        <v>1.268936E-3</v>
      </c>
      <c r="AA7364">
        <v>0.9983535</v>
      </c>
      <c r="AB7364">
        <v>30</v>
      </c>
      <c r="AC7364">
        <v>41.345680000000002</v>
      </c>
      <c r="AD7364">
        <v>-1.1111822443179999</v>
      </c>
      <c r="AE7364">
        <v>2.1602999999999701</v>
      </c>
      <c r="AF7364">
        <v>-2.39168272859829</v>
      </c>
      <c r="AG7364">
        <v>-1.1111822443179999</v>
      </c>
      <c r="AH7364">
        <v>41.303089692613597</v>
      </c>
      <c r="AI7364">
        <v>91.5384879509607</v>
      </c>
      <c r="AJ7364">
        <v>93.314049242353605</v>
      </c>
      <c r="AK7364">
        <v>41.387197179930503</v>
      </c>
      <c r="AL7364">
        <v>76.582759750199799</v>
      </c>
      <c r="AM7364">
        <v>91.860724727939299</v>
      </c>
      <c r="AN7364">
        <v>0.99999999824603403</v>
      </c>
    </row>
    <row r="7365" spans="1:40" x14ac:dyDescent="0.25">
      <c r="A7365" t="str">
        <f>"20190304155819770"</f>
        <v>20190304155819770</v>
      </c>
      <c r="B7365" t="str">
        <f>"1551686299762550"</f>
        <v>1551686299762550</v>
      </c>
      <c r="C7365" t="s">
        <v>40</v>
      </c>
      <c r="D7365">
        <v>5.083126</v>
      </c>
      <c r="E7365">
        <v>0.48599829999999999</v>
      </c>
      <c r="F7365" t="s">
        <v>41</v>
      </c>
      <c r="G7365">
        <v>-98.475729999999999</v>
      </c>
      <c r="H7365" s="1">
        <v>-6.7975980000000001E-7</v>
      </c>
      <c r="I7365">
        <v>139.37090000000001</v>
      </c>
      <c r="J7365">
        <v>-135.79480000000001</v>
      </c>
      <c r="K7365">
        <v>1.1113420000000001</v>
      </c>
      <c r="L7365">
        <v>137.3656</v>
      </c>
      <c r="M7365">
        <v>0.99985740000000001</v>
      </c>
      <c r="N7365">
        <v>-1.6084939999999999E-2</v>
      </c>
      <c r="O7365">
        <v>-5.1404889999999998E-3</v>
      </c>
      <c r="P7365">
        <v>0.97602990000000001</v>
      </c>
      <c r="Q7365">
        <v>0.2160096</v>
      </c>
      <c r="R7365">
        <v>2.6563779999999999E-2</v>
      </c>
      <c r="S7365">
        <v>3.0902859999999999</v>
      </c>
      <c r="T7365">
        <v>-9.1243389999999994E-2</v>
      </c>
      <c r="U7365">
        <v>0.16456599999999999</v>
      </c>
      <c r="V7365">
        <v>-3.1776459999999999E-2</v>
      </c>
      <c r="W7365">
        <v>0.23165189999999999</v>
      </c>
      <c r="X7365">
        <v>0.97227960000000002</v>
      </c>
      <c r="Y7365">
        <v>-5.8270889999999999E-2</v>
      </c>
      <c r="Z7365">
        <v>1.3976360000000001E-3</v>
      </c>
      <c r="AA7365">
        <v>0.99829979999999996</v>
      </c>
      <c r="AB7365">
        <v>30</v>
      </c>
      <c r="AC7365">
        <v>37.319070000000004</v>
      </c>
      <c r="AD7365">
        <v>-1.1113426797598001</v>
      </c>
      <c r="AE7365">
        <v>2.0053000000000001</v>
      </c>
      <c r="AF7365">
        <v>-2.1951954579920701</v>
      </c>
      <c r="AG7365">
        <v>-1.1113426797598001</v>
      </c>
      <c r="AH7365">
        <v>37.275306009647402</v>
      </c>
      <c r="AI7365">
        <v>91.704784207879698</v>
      </c>
      <c r="AJ7365">
        <v>93.370336705388596</v>
      </c>
      <c r="AK7365">
        <v>37.356423862081598</v>
      </c>
      <c r="AL7365">
        <v>76.605654241554305</v>
      </c>
      <c r="AM7365">
        <v>91.871899010712397</v>
      </c>
      <c r="AN7365">
        <v>0.99999998337995</v>
      </c>
    </row>
    <row r="7366" spans="1:40" x14ac:dyDescent="0.25">
      <c r="A7366" t="str">
        <f>"20190304155819791"</f>
        <v>20190304155819791</v>
      </c>
      <c r="B7366" t="str">
        <f>"1551686299782069"</f>
        <v>1551686299782069</v>
      </c>
      <c r="C7366" t="s">
        <v>40</v>
      </c>
      <c r="D7366">
        <v>5.0874119999999996</v>
      </c>
      <c r="E7366">
        <v>0.48598619999999998</v>
      </c>
      <c r="F7366" t="s">
        <v>41</v>
      </c>
      <c r="G7366">
        <v>-100.43219999999999</v>
      </c>
      <c r="H7366" s="1">
        <v>-4.5636349999999997E-6</v>
      </c>
      <c r="I7366">
        <v>139.27590000000001</v>
      </c>
      <c r="J7366">
        <v>-135.5154</v>
      </c>
      <c r="K7366">
        <v>1.1114980000000001</v>
      </c>
      <c r="L7366">
        <v>137.3646</v>
      </c>
      <c r="M7366">
        <v>0.99984720000000005</v>
      </c>
      <c r="N7366">
        <v>-1.6839929999999999E-2</v>
      </c>
      <c r="O7366">
        <v>-4.6866620000000003E-3</v>
      </c>
      <c r="P7366">
        <v>0.9762729</v>
      </c>
      <c r="Q7366">
        <v>0.21476909999999999</v>
      </c>
      <c r="R7366">
        <v>2.766484E-2</v>
      </c>
      <c r="S7366">
        <v>3.0906220000000002</v>
      </c>
      <c r="T7366">
        <v>-9.7129579999999993E-2</v>
      </c>
      <c r="U7366">
        <v>0.16696169999999999</v>
      </c>
      <c r="V7366">
        <v>-3.2443880000000001E-2</v>
      </c>
      <c r="W7366">
        <v>0.2311481</v>
      </c>
      <c r="X7366">
        <v>0.97237750000000001</v>
      </c>
      <c r="Y7366">
        <v>-5.8578449999999997E-2</v>
      </c>
      <c r="Z7366">
        <v>1.48168E-3</v>
      </c>
      <c r="AA7366">
        <v>0.99828170000000005</v>
      </c>
      <c r="AB7366">
        <v>30</v>
      </c>
      <c r="AC7366">
        <v>35.083199999999998</v>
      </c>
      <c r="AD7366">
        <v>-1.11150256363499</v>
      </c>
      <c r="AE7366">
        <v>1.91130000000001</v>
      </c>
      <c r="AF7366">
        <v>-2.0736501720724498</v>
      </c>
      <c r="AG7366">
        <v>-1.11150256363499</v>
      </c>
      <c r="AH7366">
        <v>35.038789836845901</v>
      </c>
      <c r="AI7366">
        <v>91.813759412153601</v>
      </c>
      <c r="AJ7366">
        <v>93.386903022793803</v>
      </c>
      <c r="AK7366">
        <v>35.117691498954699</v>
      </c>
      <c r="AL7366">
        <v>76.635325743802497</v>
      </c>
      <c r="AM7366">
        <v>91.910994490012598</v>
      </c>
      <c r="AN7366">
        <v>1.00000002599465</v>
      </c>
    </row>
    <row r="7367" spans="1:40" x14ac:dyDescent="0.25">
      <c r="A7367" t="str">
        <f>"20190304155819815"</f>
        <v>20190304155819815</v>
      </c>
      <c r="B7367" t="str">
        <f>"1551686299812325"</f>
        <v>1551686299812325</v>
      </c>
      <c r="C7367" t="s">
        <v>40</v>
      </c>
      <c r="D7367">
        <v>5.0885490000000004</v>
      </c>
      <c r="E7367">
        <v>0.48592950000000001</v>
      </c>
      <c r="F7367" t="s">
        <v>41</v>
      </c>
      <c r="G7367">
        <v>-102.27679999999999</v>
      </c>
      <c r="H7367" s="1">
        <v>-3.7062249999999998E-6</v>
      </c>
      <c r="I7367">
        <v>139.19380000000001</v>
      </c>
      <c r="J7367">
        <v>-135.2073</v>
      </c>
      <c r="K7367">
        <v>1.111656</v>
      </c>
      <c r="L7367">
        <v>137.3638</v>
      </c>
      <c r="M7367">
        <v>0.99983420000000001</v>
      </c>
      <c r="N7367">
        <v>-1.7726080000000002E-2</v>
      </c>
      <c r="O7367">
        <v>-4.1813010000000001E-3</v>
      </c>
      <c r="P7367">
        <v>0.97634770000000004</v>
      </c>
      <c r="Q7367">
        <v>0.2142076</v>
      </c>
      <c r="R7367">
        <v>2.9334249999999999E-2</v>
      </c>
      <c r="S7367">
        <v>3.0908199999999999</v>
      </c>
      <c r="T7367">
        <v>-0.1033573</v>
      </c>
      <c r="U7367">
        <v>0.17008970000000001</v>
      </c>
      <c r="V7367">
        <v>-3.362793E-2</v>
      </c>
      <c r="W7367">
        <v>0.23144780000000001</v>
      </c>
      <c r="X7367">
        <v>0.97226599999999996</v>
      </c>
      <c r="Y7367">
        <v>-5.9071680000000001E-2</v>
      </c>
      <c r="Z7367">
        <v>1.5765E-3</v>
      </c>
      <c r="AA7367">
        <v>0.99825249999999999</v>
      </c>
      <c r="AB7367">
        <v>29</v>
      </c>
      <c r="AC7367">
        <v>32.930500000000002</v>
      </c>
      <c r="AD7367">
        <v>-1.111659706225</v>
      </c>
      <c r="AE7367">
        <v>1.8300000000000101</v>
      </c>
      <c r="AF7367">
        <v>-1.9654650386214001</v>
      </c>
      <c r="AG7367">
        <v>-1.111659706225</v>
      </c>
      <c r="AH7367">
        <v>32.8851989245399</v>
      </c>
      <c r="AI7367">
        <v>91.932657811094202</v>
      </c>
      <c r="AJ7367">
        <v>93.420354804943699</v>
      </c>
      <c r="AK7367">
        <v>32.962632607652097</v>
      </c>
      <c r="AL7367">
        <v>76.61767588264</v>
      </c>
      <c r="AM7367">
        <v>91.980909249547395</v>
      </c>
      <c r="AN7367">
        <v>1.0000000482784599</v>
      </c>
    </row>
    <row r="7368" spans="1:40" x14ac:dyDescent="0.25">
      <c r="A7368" t="str">
        <f>"20190304155819836"</f>
        <v>20190304155819836</v>
      </c>
      <c r="B7368" t="str">
        <f>"1551686299831845"</f>
        <v>1551686299831845</v>
      </c>
      <c r="C7368" t="s">
        <v>40</v>
      </c>
      <c r="D7368">
        <v>5.083971</v>
      </c>
      <c r="E7368">
        <v>0.48565849999999999</v>
      </c>
      <c r="F7368" t="s">
        <v>41</v>
      </c>
      <c r="G7368">
        <v>-103.0119</v>
      </c>
      <c r="H7368" s="1">
        <v>-3.358319E-6</v>
      </c>
      <c r="I7368">
        <v>139.19630000000001</v>
      </c>
      <c r="J7368">
        <v>-134.93950000000001</v>
      </c>
      <c r="K7368">
        <v>1.111782</v>
      </c>
      <c r="L7368">
        <v>137.36320000000001</v>
      </c>
      <c r="M7368">
        <v>0.99982150000000003</v>
      </c>
      <c r="N7368">
        <v>-1.8516310000000001E-2</v>
      </c>
      <c r="O7368">
        <v>-3.7398499999999999E-3</v>
      </c>
      <c r="P7368">
        <v>0.97630099999999997</v>
      </c>
      <c r="Q7368">
        <v>0.2142299</v>
      </c>
      <c r="R7368">
        <v>3.069533E-2</v>
      </c>
      <c r="S7368">
        <v>3.090805</v>
      </c>
      <c r="T7368">
        <v>-0.1067208</v>
      </c>
      <c r="U7368">
        <v>0.17591860000000001</v>
      </c>
      <c r="V7368">
        <v>-3.456236E-2</v>
      </c>
      <c r="W7368">
        <v>0.23223630000000001</v>
      </c>
      <c r="X7368">
        <v>0.9720451</v>
      </c>
      <c r="Y7368">
        <v>-6.0503069999999999E-2</v>
      </c>
      <c r="Z7368">
        <v>1.664093E-3</v>
      </c>
      <c r="AA7368">
        <v>0.99816660000000001</v>
      </c>
      <c r="AB7368">
        <v>29</v>
      </c>
      <c r="AC7368">
        <v>31.927600000000002</v>
      </c>
      <c r="AD7368">
        <v>-1.111785358319</v>
      </c>
      <c r="AE7368">
        <v>1.8331</v>
      </c>
      <c r="AF7368">
        <v>-1.95015514914748</v>
      </c>
      <c r="AG7368">
        <v>-1.111785358319</v>
      </c>
      <c r="AH7368">
        <v>31.881987601026399</v>
      </c>
      <c r="AI7368">
        <v>91.993480342941993</v>
      </c>
      <c r="AJ7368">
        <v>93.5003030323236</v>
      </c>
      <c r="AK7368">
        <v>31.960918403273698</v>
      </c>
      <c r="AL7368">
        <v>76.571231621635405</v>
      </c>
      <c r="AM7368">
        <v>92.036369986014293</v>
      </c>
      <c r="AN7368">
        <v>0.99999996610023401</v>
      </c>
    </row>
    <row r="7369" spans="1:40" x14ac:dyDescent="0.25">
      <c r="A7369" t="str">
        <f>"20190304155819858"</f>
        <v>20190304155819858</v>
      </c>
      <c r="B7369" t="str">
        <f>"1551686299852341"</f>
        <v>1551686299852341</v>
      </c>
      <c r="C7369" t="s">
        <v>40</v>
      </c>
      <c r="D7369">
        <v>5.1375780000000004</v>
      </c>
      <c r="E7369">
        <v>0.48565530000000001</v>
      </c>
      <c r="F7369" t="s">
        <v>41</v>
      </c>
      <c r="G7369">
        <v>-102.70780000000001</v>
      </c>
      <c r="H7369" s="1">
        <v>-3.4901770000000001E-6</v>
      </c>
      <c r="I7369">
        <v>139.26310000000001</v>
      </c>
      <c r="J7369">
        <v>-134.6499</v>
      </c>
      <c r="K7369">
        <v>1.1119019999999999</v>
      </c>
      <c r="L7369">
        <v>137.36269999999999</v>
      </c>
      <c r="M7369">
        <v>0.99980720000000001</v>
      </c>
      <c r="N7369">
        <v>-1.9364099999999999E-2</v>
      </c>
      <c r="O7369">
        <v>-3.258595E-3</v>
      </c>
      <c r="P7369">
        <v>0.97631480000000004</v>
      </c>
      <c r="Q7369">
        <v>0.2140522</v>
      </c>
      <c r="R7369">
        <v>3.1485770000000003E-2</v>
      </c>
      <c r="S7369">
        <v>3.0904850000000001</v>
      </c>
      <c r="T7369">
        <v>-0.106602</v>
      </c>
      <c r="U7369">
        <v>0.18217469999999999</v>
      </c>
      <c r="V7369">
        <v>-3.4884520000000002E-2</v>
      </c>
      <c r="W7369">
        <v>0.2328828</v>
      </c>
      <c r="X7369">
        <v>0.97187889999999999</v>
      </c>
      <c r="Y7369">
        <v>-6.20401999999999E-2</v>
      </c>
      <c r="Z7369">
        <v>1.719513E-3</v>
      </c>
      <c r="AA7369">
        <v>0.99807210000000002</v>
      </c>
      <c r="AB7369">
        <v>29</v>
      </c>
      <c r="AC7369">
        <v>31.9421</v>
      </c>
      <c r="AD7369">
        <v>-1.111905490177</v>
      </c>
      <c r="AE7369">
        <v>1.9004000000000101</v>
      </c>
      <c r="AF7369">
        <v>-2.0020783546894201</v>
      </c>
      <c r="AG7369">
        <v>-1.111905490177</v>
      </c>
      <c r="AH7369">
        <v>31.8972217987838</v>
      </c>
      <c r="AI7369">
        <v>91.992547663236493</v>
      </c>
      <c r="AJ7369">
        <v>93.591546507680206</v>
      </c>
      <c r="AK7369">
        <v>31.9793278546971</v>
      </c>
      <c r="AL7369">
        <v>76.533145610722499</v>
      </c>
      <c r="AM7369">
        <v>92.055686215329402</v>
      </c>
      <c r="AN7369">
        <v>0.99999996226833898</v>
      </c>
    </row>
    <row r="7370" spans="1:40" x14ac:dyDescent="0.25">
      <c r="A7370" t="str">
        <f>"20190304155819881"</f>
        <v>20190304155819881</v>
      </c>
      <c r="B7370" t="str">
        <f>"1551686299871861"</f>
        <v>1551686299871861</v>
      </c>
      <c r="C7370" t="s">
        <v>40</v>
      </c>
      <c r="D7370">
        <v>5.1094359999999996</v>
      </c>
      <c r="E7370">
        <v>0.4856394</v>
      </c>
      <c r="F7370" t="s">
        <v>41</v>
      </c>
      <c r="G7370">
        <v>-102.6721</v>
      </c>
      <c r="H7370" s="1">
        <v>-3.5055580000000001E-6</v>
      </c>
      <c r="I7370">
        <v>139.27160000000001</v>
      </c>
      <c r="J7370">
        <v>-134.35079999999999</v>
      </c>
      <c r="K7370">
        <v>1.1119969999999999</v>
      </c>
      <c r="L7370">
        <v>137.36240000000001</v>
      </c>
      <c r="M7370">
        <v>0.99979150000000006</v>
      </c>
      <c r="N7370">
        <v>-2.0230390000000001E-2</v>
      </c>
      <c r="O7370">
        <v>-2.7579900000000001E-3</v>
      </c>
      <c r="P7370">
        <v>0.97624460000000002</v>
      </c>
      <c r="Q7370">
        <v>0.21425939999999999</v>
      </c>
      <c r="R7370">
        <v>3.2244299999999997E-2</v>
      </c>
      <c r="S7370">
        <v>3.0903930000000002</v>
      </c>
      <c r="T7370">
        <v>-0.1074567</v>
      </c>
      <c r="U7370">
        <v>0.1844788</v>
      </c>
      <c r="V7370">
        <v>-3.5153009999999998E-2</v>
      </c>
      <c r="W7370">
        <v>0.23393120000000001</v>
      </c>
      <c r="X7370">
        <v>0.97161750000000002</v>
      </c>
      <c r="Y7370">
        <v>-6.2281919999999998E-2</v>
      </c>
      <c r="Z7370">
        <v>1.7524820000000001E-3</v>
      </c>
      <c r="AA7370">
        <v>0.99805710000000003</v>
      </c>
      <c r="AB7370">
        <v>29</v>
      </c>
      <c r="AC7370">
        <v>31.6786999999999</v>
      </c>
      <c r="AD7370">
        <v>-1.112000505558</v>
      </c>
      <c r="AE7370">
        <v>1.90919999999999</v>
      </c>
      <c r="AF7370">
        <v>-1.9941319182241499</v>
      </c>
      <c r="AG7370">
        <v>-1.112000505558</v>
      </c>
      <c r="AH7370">
        <v>31.634474437514701</v>
      </c>
      <c r="AI7370">
        <v>92.009221280481796</v>
      </c>
      <c r="AJ7370">
        <v>93.606962615552405</v>
      </c>
      <c r="AK7370">
        <v>31.716763393659999</v>
      </c>
      <c r="AL7370">
        <v>76.471371681290904</v>
      </c>
      <c r="AM7370">
        <v>92.0720509697545</v>
      </c>
      <c r="AN7370">
        <v>1.0000000533758699</v>
      </c>
    </row>
    <row r="7371" spans="1:40" x14ac:dyDescent="0.25">
      <c r="A7371" t="str">
        <f>"20190304155819901"</f>
        <v>20190304155819901</v>
      </c>
      <c r="B7371" t="str">
        <f>"1551686299892357"</f>
        <v>1551686299892357</v>
      </c>
      <c r="C7371" t="s">
        <v>40</v>
      </c>
      <c r="D7371">
        <v>5.0846159999999996</v>
      </c>
      <c r="E7371">
        <v>0.4856819</v>
      </c>
      <c r="F7371" t="s">
        <v>41</v>
      </c>
      <c r="G7371">
        <v>-102.01649999999999</v>
      </c>
      <c r="H7371" s="1">
        <v>-3.8066550000000001E-6</v>
      </c>
      <c r="I7371">
        <v>139.32140000000001</v>
      </c>
      <c r="J7371">
        <v>-134.1054</v>
      </c>
      <c r="K7371">
        <v>1.112074</v>
      </c>
      <c r="L7371">
        <v>137.3622</v>
      </c>
      <c r="M7371">
        <v>0.99977819999999995</v>
      </c>
      <c r="N7371">
        <v>-2.0931080000000001E-2</v>
      </c>
      <c r="O7371">
        <v>-2.3462740000000002E-3</v>
      </c>
      <c r="P7371">
        <v>0.97598949999999995</v>
      </c>
      <c r="Q7371">
        <v>0.21534210000000001</v>
      </c>
      <c r="R7371">
        <v>3.2744219999999997E-2</v>
      </c>
      <c r="S7371">
        <v>3.0901489999999998</v>
      </c>
      <c r="T7371">
        <v>-0.10627250000000001</v>
      </c>
      <c r="U7371">
        <v>0.18722530000000001</v>
      </c>
      <c r="V7371">
        <v>-3.5247859999999999E-2</v>
      </c>
      <c r="W7371">
        <v>0.23569019999999999</v>
      </c>
      <c r="X7371">
        <v>0.97118879999999996</v>
      </c>
      <c r="Y7371">
        <v>-6.2759469999999998E-2</v>
      </c>
      <c r="Z7371">
        <v>1.7671919999999999E-3</v>
      </c>
      <c r="AA7371">
        <v>0.99802709999999994</v>
      </c>
      <c r="AB7371">
        <v>28</v>
      </c>
      <c r="AC7371">
        <v>32.088900000000002</v>
      </c>
      <c r="AD7371">
        <v>-1.1120778066549999</v>
      </c>
      <c r="AE7371">
        <v>1.9592000000000001</v>
      </c>
      <c r="AF7371">
        <v>-2.0320689023242</v>
      </c>
      <c r="AG7371">
        <v>-1.1120778066549999</v>
      </c>
      <c r="AH7371">
        <v>32.0458680984162</v>
      </c>
      <c r="AI7371">
        <v>91.983539352918498</v>
      </c>
      <c r="AJ7371">
        <v>93.628339655965604</v>
      </c>
      <c r="AK7371">
        <v>32.129483084122803</v>
      </c>
      <c r="AL7371">
        <v>76.367688589245901</v>
      </c>
      <c r="AM7371">
        <v>92.078553194975299</v>
      </c>
      <c r="AN7371">
        <v>0.999999983628029</v>
      </c>
    </row>
    <row r="7372" spans="1:40" x14ac:dyDescent="0.25">
      <c r="A7372" t="str">
        <f>"20190304155819924"</f>
        <v>20190304155819924</v>
      </c>
      <c r="B7372" t="str">
        <f>"1551686299911877"</f>
        <v>1551686299911877</v>
      </c>
      <c r="C7372" t="s">
        <v>40</v>
      </c>
      <c r="D7372">
        <v>5.0473929999999996</v>
      </c>
      <c r="E7372">
        <v>0.4856105</v>
      </c>
      <c r="F7372" t="s">
        <v>41</v>
      </c>
      <c r="G7372">
        <v>-100.4522</v>
      </c>
      <c r="H7372" s="1">
        <v>-4.5287439999999999E-6</v>
      </c>
      <c r="I7372">
        <v>139.41919999999999</v>
      </c>
      <c r="J7372">
        <v>-133.82249999999999</v>
      </c>
      <c r="K7372">
        <v>1.1121479999999999</v>
      </c>
      <c r="L7372">
        <v>137.3621</v>
      </c>
      <c r="M7372">
        <v>0.9997625</v>
      </c>
      <c r="N7372">
        <v>-2.1716579999999999E-2</v>
      </c>
      <c r="O7372">
        <v>-1.8737700000000001E-3</v>
      </c>
      <c r="P7372">
        <v>0.97588680000000005</v>
      </c>
      <c r="Q7372">
        <v>0.21573639999999999</v>
      </c>
      <c r="R7372">
        <v>3.3210110000000001E-2</v>
      </c>
      <c r="S7372">
        <v>3.0899960000000002</v>
      </c>
      <c r="T7372">
        <v>-0.1021098</v>
      </c>
      <c r="U7372">
        <v>0.18887329999999999</v>
      </c>
      <c r="V7372">
        <v>-3.524878E-2</v>
      </c>
      <c r="W7372">
        <v>0.23684620000000001</v>
      </c>
      <c r="X7372">
        <v>0.97090750000000003</v>
      </c>
      <c r="Y7372">
        <v>-6.2824039999999998E-2</v>
      </c>
      <c r="Z7372">
        <v>1.7411460000000001E-3</v>
      </c>
      <c r="AA7372">
        <v>0.99802310000000005</v>
      </c>
      <c r="AB7372">
        <v>28</v>
      </c>
      <c r="AC7372">
        <v>33.370299999999901</v>
      </c>
      <c r="AD7372">
        <v>-1.1121525287439999</v>
      </c>
      <c r="AE7372">
        <v>2.0570999999999899</v>
      </c>
      <c r="AF7372">
        <v>-2.1172965564437201</v>
      </c>
      <c r="AG7372">
        <v>-1.1121525287439999</v>
      </c>
      <c r="AH7372">
        <v>33.3295060145715</v>
      </c>
      <c r="AI7372">
        <v>91.907317944410394</v>
      </c>
      <c r="AJ7372">
        <v>93.6348982318856</v>
      </c>
      <c r="AK7372">
        <v>33.415203113709801</v>
      </c>
      <c r="AL7372">
        <v>76.299524837723197</v>
      </c>
      <c r="AM7372">
        <v>92.079209103658798</v>
      </c>
      <c r="AN7372">
        <v>0.99999998625108899</v>
      </c>
    </row>
    <row r="7373" spans="1:40" x14ac:dyDescent="0.25">
      <c r="A7373" t="str">
        <f>"20190304155819945"</f>
        <v>20190304155819945</v>
      </c>
      <c r="B7373" t="str">
        <f>"1551686299942133"</f>
        <v>1551686299942133</v>
      </c>
      <c r="C7373" t="s">
        <v>40</v>
      </c>
      <c r="D7373">
        <v>5.0635009999999996</v>
      </c>
      <c r="E7373">
        <v>0.48567579999999999</v>
      </c>
      <c r="F7373" t="s">
        <v>41</v>
      </c>
      <c r="G7373">
        <v>-99.649320000000003</v>
      </c>
      <c r="H7373" s="1">
        <v>-1.5666460000000001E-7</v>
      </c>
      <c r="I7373">
        <v>139.48159999999999</v>
      </c>
      <c r="J7373">
        <v>-133.5583</v>
      </c>
      <c r="K7373">
        <v>1.112214</v>
      </c>
      <c r="L7373">
        <v>137.3622</v>
      </c>
      <c r="M7373">
        <v>0.99974770000000002</v>
      </c>
      <c r="N7373">
        <v>-2.2419519999999998E-2</v>
      </c>
      <c r="O7373">
        <v>-1.434184E-3</v>
      </c>
      <c r="P7373">
        <v>0.97581110000000004</v>
      </c>
      <c r="Q7373">
        <v>0.21598139999999999</v>
      </c>
      <c r="R7373">
        <v>3.3839319999999999E-2</v>
      </c>
      <c r="S7373">
        <v>3.0898279999999998</v>
      </c>
      <c r="T7373">
        <v>-0.1005567</v>
      </c>
      <c r="U7373">
        <v>0.1916351</v>
      </c>
      <c r="V7373">
        <v>-3.5445150000000002E-2</v>
      </c>
      <c r="W7373">
        <v>0.2377726</v>
      </c>
      <c r="X7373">
        <v>0.97067389999999998</v>
      </c>
      <c r="Y7373">
        <v>-6.3277539999999993E-2</v>
      </c>
      <c r="Z7373">
        <v>1.7533129999999901E-3</v>
      </c>
      <c r="AA7373">
        <v>0.99799439999999995</v>
      </c>
      <c r="AB7373">
        <v>28</v>
      </c>
      <c r="AC7373">
        <v>33.90898</v>
      </c>
      <c r="AD7373">
        <v>-1.1122141566646</v>
      </c>
      <c r="AE7373">
        <v>2.1193999999999802</v>
      </c>
      <c r="AF7373">
        <v>-2.16572085789441</v>
      </c>
      <c r="AG7373">
        <v>-1.1122141566646</v>
      </c>
      <c r="AH7373">
        <v>33.8696082764368</v>
      </c>
      <c r="AI7373">
        <v>91.8769791170742</v>
      </c>
      <c r="AJ7373">
        <v>93.658677123023097</v>
      </c>
      <c r="AK7373">
        <v>33.9569982767011</v>
      </c>
      <c r="AL7373">
        <v>76.244885304393193</v>
      </c>
      <c r="AM7373">
        <v>92.091284785510396</v>
      </c>
      <c r="AN7373">
        <v>0.99999999405524598</v>
      </c>
    </row>
    <row r="7374" spans="1:40" x14ac:dyDescent="0.25">
      <c r="A7374" t="str">
        <f>"20190304155819968"</f>
        <v>20190304155819968</v>
      </c>
      <c r="B7374" t="str">
        <f>"1551686299962629"</f>
        <v>1551686299962629</v>
      </c>
      <c r="C7374" t="s">
        <v>40</v>
      </c>
      <c r="D7374">
        <v>5.2292969999999999</v>
      </c>
      <c r="E7374">
        <v>0.48575439999999998</v>
      </c>
      <c r="F7374" t="s">
        <v>41</v>
      </c>
      <c r="G7374">
        <v>-98.511570000000006</v>
      </c>
      <c r="H7374" s="1">
        <v>-6.3179539999999997E-7</v>
      </c>
      <c r="I7374">
        <v>139.55459999999999</v>
      </c>
      <c r="J7374">
        <v>-133.28290000000001</v>
      </c>
      <c r="K7374">
        <v>1.1122700000000001</v>
      </c>
      <c r="L7374">
        <v>137.36240000000001</v>
      </c>
      <c r="M7374">
        <v>0.99973259999999997</v>
      </c>
      <c r="N7374">
        <v>-2.310773E-2</v>
      </c>
      <c r="O7374">
        <v>-9.7372439999999995E-4</v>
      </c>
      <c r="P7374">
        <v>0.97562130000000002</v>
      </c>
      <c r="Q7374">
        <v>0.21682899999999999</v>
      </c>
      <c r="R7374">
        <v>3.3890789999999997E-2</v>
      </c>
      <c r="S7374">
        <v>3.0893860000000002</v>
      </c>
      <c r="T7374">
        <v>-9.8042130000000005E-2</v>
      </c>
      <c r="U7374">
        <v>0.19326779999999999</v>
      </c>
      <c r="V7374">
        <v>-3.5044329999999999E-2</v>
      </c>
      <c r="W7374">
        <v>0.23928550000000001</v>
      </c>
      <c r="X7374">
        <v>0.97031659999999997</v>
      </c>
      <c r="Y7374">
        <v>-6.3353610000000005E-2</v>
      </c>
      <c r="Z7374">
        <v>1.7455280000000001E-3</v>
      </c>
      <c r="AA7374">
        <v>0.99798960000000003</v>
      </c>
      <c r="AB7374">
        <v>28</v>
      </c>
      <c r="AC7374">
        <v>34.771329999999999</v>
      </c>
      <c r="AD7374">
        <v>-1.1122706317953901</v>
      </c>
      <c r="AE7374">
        <v>2.1921999999999802</v>
      </c>
      <c r="AF7374">
        <v>-2.2237992167352001</v>
      </c>
      <c r="AG7374">
        <v>-1.1122706317953901</v>
      </c>
      <c r="AH7374">
        <v>34.733777990099703</v>
      </c>
      <c r="AI7374">
        <v>91.830395815114898</v>
      </c>
      <c r="AJ7374">
        <v>93.663311329623895</v>
      </c>
      <c r="AK7374">
        <v>34.822661621137499</v>
      </c>
      <c r="AL7374">
        <v>76.155625873522993</v>
      </c>
      <c r="AM7374">
        <v>92.0684175251276</v>
      </c>
      <c r="AN7374">
        <v>0.99999997990547895</v>
      </c>
    </row>
    <row r="7375" spans="1:40" x14ac:dyDescent="0.25">
      <c r="A7375" t="str">
        <f>"20190304155819989"</f>
        <v>20190304155819989</v>
      </c>
      <c r="B7375" t="str">
        <f>"1551686299982149"</f>
        <v>1551686299982149</v>
      </c>
      <c r="C7375" t="s">
        <v>40</v>
      </c>
      <c r="D7375">
        <v>5.0632760000000001</v>
      </c>
      <c r="E7375">
        <v>0.48585450000000002</v>
      </c>
      <c r="F7375" t="s">
        <v>41</v>
      </c>
      <c r="G7375">
        <v>-96.998270000000005</v>
      </c>
      <c r="H7375" s="1">
        <v>-1.2754840000000001E-6</v>
      </c>
      <c r="I7375">
        <v>139.63679999999999</v>
      </c>
      <c r="J7375">
        <v>-133.01769999999999</v>
      </c>
      <c r="K7375">
        <v>1.1123149999999999</v>
      </c>
      <c r="L7375">
        <v>137.36269999999999</v>
      </c>
      <c r="M7375">
        <v>0.99971840000000001</v>
      </c>
      <c r="N7375">
        <v>-2.3728280000000001E-2</v>
      </c>
      <c r="O7375">
        <v>-5.2342899999999995E-4</v>
      </c>
      <c r="P7375">
        <v>0.97540070000000001</v>
      </c>
      <c r="Q7375">
        <v>0.2178081</v>
      </c>
      <c r="R7375">
        <v>3.3957439999999998E-2</v>
      </c>
      <c r="S7375">
        <v>3.0892940000000002</v>
      </c>
      <c r="T7375">
        <v>-9.469938E-2</v>
      </c>
      <c r="U7375">
        <v>0.1936493</v>
      </c>
      <c r="V7375">
        <v>-3.4668579999999997E-2</v>
      </c>
      <c r="W7375">
        <v>0.2408621</v>
      </c>
      <c r="X7375">
        <v>0.96993989999999997</v>
      </c>
      <c r="Y7375">
        <v>-6.3031299999999998E-2</v>
      </c>
      <c r="Z7375">
        <v>1.7174880000000001E-3</v>
      </c>
      <c r="AA7375">
        <v>0.99801010000000001</v>
      </c>
      <c r="AB7375">
        <v>27</v>
      </c>
      <c r="AC7375">
        <v>36.01943</v>
      </c>
      <c r="AD7375">
        <v>-1.1123162754839999</v>
      </c>
      <c r="AE7375">
        <v>2.2740999999999998</v>
      </c>
      <c r="AF7375">
        <v>-2.2907827096746498</v>
      </c>
      <c r="AG7375">
        <v>-1.1123162754839999</v>
      </c>
      <c r="AH7375">
        <v>35.9840549279673</v>
      </c>
      <c r="AI7375">
        <v>91.766952412601199</v>
      </c>
      <c r="AJ7375">
        <v>93.642593959082106</v>
      </c>
      <c r="AK7375">
        <v>36.074050811887197</v>
      </c>
      <c r="AL7375">
        <v>76.062571308499102</v>
      </c>
      <c r="AM7375">
        <v>92.047052669814406</v>
      </c>
      <c r="AN7375">
        <v>0.99999993563381595</v>
      </c>
    </row>
    <row r="7376" spans="1:40" x14ac:dyDescent="0.25">
      <c r="A7376" t="str">
        <f>"20190304155820012"</f>
        <v>20190304155820012</v>
      </c>
      <c r="B7376" t="str">
        <f>"1551686300001670"</f>
        <v>1551686300001670</v>
      </c>
      <c r="C7376" t="s">
        <v>40</v>
      </c>
      <c r="D7376">
        <v>5.1592979999999997</v>
      </c>
      <c r="E7376">
        <v>0.4859349</v>
      </c>
      <c r="F7376" t="s">
        <v>41</v>
      </c>
      <c r="G7376">
        <v>-95.5518</v>
      </c>
      <c r="H7376" s="1">
        <v>-1.9160189999999998E-6</v>
      </c>
      <c r="I7376">
        <v>139.71199999999999</v>
      </c>
      <c r="J7376">
        <v>-132.75290000000001</v>
      </c>
      <c r="K7376">
        <v>1.11236</v>
      </c>
      <c r="L7376">
        <v>137.3631</v>
      </c>
      <c r="M7376">
        <v>0.99970440000000005</v>
      </c>
      <c r="N7376">
        <v>-2.4312719999999999E-2</v>
      </c>
      <c r="O7376" s="1">
        <v>-5.9835730000000002E-5</v>
      </c>
      <c r="P7376">
        <v>0.97515419999999997</v>
      </c>
      <c r="Q7376">
        <v>0.21887590000000001</v>
      </c>
      <c r="R7376">
        <v>3.4172899999999999E-2</v>
      </c>
      <c r="S7376">
        <v>3.0894010000000001</v>
      </c>
      <c r="T7376">
        <v>-9.1720579999999996E-2</v>
      </c>
      <c r="U7376">
        <v>0.1937256</v>
      </c>
      <c r="V7376">
        <v>-3.4431709999999997E-2</v>
      </c>
      <c r="W7376">
        <v>0.24249129999999999</v>
      </c>
      <c r="X7376">
        <v>0.96954240000000003</v>
      </c>
      <c r="Y7376">
        <v>-6.2593270000000006E-2</v>
      </c>
      <c r="Z7376">
        <v>1.6904349999999999E-3</v>
      </c>
      <c r="AA7376">
        <v>0.99803770000000003</v>
      </c>
      <c r="AB7376">
        <v>27</v>
      </c>
      <c r="AC7376">
        <v>37.201099999999997</v>
      </c>
      <c r="AD7376">
        <v>-1.1123619160189999</v>
      </c>
      <c r="AE7376">
        <v>2.3489000000000102</v>
      </c>
      <c r="AF7376">
        <v>-2.34903470318456</v>
      </c>
      <c r="AG7376">
        <v>-1.1123619160189999</v>
      </c>
      <c r="AH7376">
        <v>37.167859934609503</v>
      </c>
      <c r="AI7376">
        <v>91.710828435021696</v>
      </c>
      <c r="AJ7376">
        <v>93.616323466665506</v>
      </c>
      <c r="AK7376">
        <v>37.258624842950503</v>
      </c>
      <c r="AL7376">
        <v>75.966374592140298</v>
      </c>
      <c r="AM7376">
        <v>92.033910977568596</v>
      </c>
      <c r="AN7376">
        <v>1.0000000193134799</v>
      </c>
    </row>
    <row r="7377" spans="1:40" x14ac:dyDescent="0.25">
      <c r="A7377" t="str">
        <f>"20190304155820034"</f>
        <v>20190304155820034</v>
      </c>
      <c r="B7377" t="str">
        <f>"1551686300031926"</f>
        <v>1551686300031926</v>
      </c>
      <c r="C7377" t="s">
        <v>40</v>
      </c>
      <c r="D7377">
        <v>5.1011680000000004</v>
      </c>
      <c r="E7377">
        <v>0.48589579999999999</v>
      </c>
      <c r="F7377" t="s">
        <v>41</v>
      </c>
      <c r="G7377">
        <v>-93.532420000000002</v>
      </c>
      <c r="H7377" s="1">
        <v>-2.8128259999999999E-6</v>
      </c>
      <c r="I7377">
        <v>139.82660000000001</v>
      </c>
      <c r="J7377">
        <v>-132.48859999999999</v>
      </c>
      <c r="K7377">
        <v>1.112412</v>
      </c>
      <c r="L7377">
        <v>137.36369999999999</v>
      </c>
      <c r="M7377">
        <v>0.99969079999999999</v>
      </c>
      <c r="N7377">
        <v>-2.4870079999999999E-2</v>
      </c>
      <c r="O7377">
        <v>4.1590689999999999E-4</v>
      </c>
      <c r="P7377">
        <v>0.97516360000000002</v>
      </c>
      <c r="Q7377">
        <v>0.2188225</v>
      </c>
      <c r="R7377">
        <v>3.4252459999999998E-2</v>
      </c>
      <c r="S7377">
        <v>3.0893099999999998</v>
      </c>
      <c r="T7377">
        <v>-8.7618230000000005E-2</v>
      </c>
      <c r="U7377">
        <v>0.194046</v>
      </c>
      <c r="V7377">
        <v>-3.4047859999999999E-2</v>
      </c>
      <c r="W7377">
        <v>0.2429798</v>
      </c>
      <c r="X7377">
        <v>0.96943360000000001</v>
      </c>
      <c r="Y7377">
        <v>-6.2226459999999997E-2</v>
      </c>
      <c r="Z7377">
        <v>1.654895E-3</v>
      </c>
      <c r="AA7377">
        <v>0.99806070000000002</v>
      </c>
      <c r="AB7377">
        <v>27</v>
      </c>
      <c r="AC7377">
        <v>38.956179999999897</v>
      </c>
      <c r="AD7377">
        <v>-1.1124148128260001</v>
      </c>
      <c r="AE7377">
        <v>2.4629000000000101</v>
      </c>
      <c r="AF7377">
        <v>-2.44470710870893</v>
      </c>
      <c r="AG7377">
        <v>-1.1124148128260001</v>
      </c>
      <c r="AH7377">
        <v>38.925586985574597</v>
      </c>
      <c r="AI7377">
        <v>91.633735199860595</v>
      </c>
      <c r="AJ7377">
        <v>93.593720173726993</v>
      </c>
      <c r="AK7377">
        <v>39.018141700172002</v>
      </c>
      <c r="AL7377">
        <v>75.937522043131693</v>
      </c>
      <c r="AM7377">
        <v>92.011480890647604</v>
      </c>
      <c r="AN7377">
        <v>0.99999997239378902</v>
      </c>
    </row>
    <row r="7378" spans="1:40" x14ac:dyDescent="0.25">
      <c r="A7378" t="str">
        <f>"20190304155820058"</f>
        <v>20190304155820058</v>
      </c>
      <c r="B7378" t="str">
        <f>"1551686300052421"</f>
        <v>1551686300052421</v>
      </c>
      <c r="C7378" t="s">
        <v>40</v>
      </c>
      <c r="D7378">
        <v>5.0981719999999999</v>
      </c>
      <c r="E7378">
        <v>0.48586760000000001</v>
      </c>
      <c r="F7378" t="s">
        <v>41</v>
      </c>
      <c r="G7378">
        <v>-93.453680000000006</v>
      </c>
      <c r="H7378" s="1">
        <v>-2.8467330000000001E-6</v>
      </c>
      <c r="I7378">
        <v>139.8271</v>
      </c>
      <c r="J7378">
        <v>-132.22120000000001</v>
      </c>
      <c r="K7378">
        <v>1.1124609999999999</v>
      </c>
      <c r="L7378">
        <v>137.36439999999999</v>
      </c>
      <c r="M7378">
        <v>0.99967709999999999</v>
      </c>
      <c r="N7378">
        <v>-2.5395830000000001E-2</v>
      </c>
      <c r="O7378">
        <v>9.1609600000000003E-4</v>
      </c>
      <c r="P7378">
        <v>0.9751573</v>
      </c>
      <c r="Q7378">
        <v>0.2188068</v>
      </c>
      <c r="R7378">
        <v>3.452993E-2</v>
      </c>
      <c r="S7378">
        <v>3.0893099999999998</v>
      </c>
      <c r="T7378">
        <v>-8.80388E-2</v>
      </c>
      <c r="U7378">
        <v>0.19496150000000001</v>
      </c>
      <c r="V7378">
        <v>-3.3839210000000002E-2</v>
      </c>
      <c r="W7378">
        <v>0.24347369999999999</v>
      </c>
      <c r="X7378">
        <v>0.96931699999999998</v>
      </c>
      <c r="Y7378">
        <v>-6.202104E-2</v>
      </c>
      <c r="Z7378">
        <v>1.668597E-3</v>
      </c>
      <c r="AA7378">
        <v>0.99807349999999995</v>
      </c>
      <c r="AB7378">
        <v>26</v>
      </c>
      <c r="AC7378">
        <v>38.767519999999998</v>
      </c>
      <c r="AD7378">
        <v>-1.1124638467329999</v>
      </c>
      <c r="AE7378">
        <v>2.4627000000000101</v>
      </c>
      <c r="AF7378">
        <v>-2.4251837549471902</v>
      </c>
      <c r="AG7378">
        <v>-1.1124638467329999</v>
      </c>
      <c r="AH7378">
        <v>38.737990035568401</v>
      </c>
      <c r="AI7378">
        <v>91.641735393444307</v>
      </c>
      <c r="AJ7378">
        <v>93.582315033717904</v>
      </c>
      <c r="AK7378">
        <v>38.829769044527502</v>
      </c>
      <c r="AL7378">
        <v>75.908347791931604</v>
      </c>
      <c r="AM7378">
        <v>91.999404576412601</v>
      </c>
      <c r="AN7378">
        <v>0.99999999060705702</v>
      </c>
    </row>
    <row r="7379" spans="1:40" x14ac:dyDescent="0.25">
      <c r="A7379" t="str">
        <f>"20190304155820084"</f>
        <v>20190304155820084</v>
      </c>
      <c r="B7379" t="str">
        <f>"1551686300071941"</f>
        <v>1551686300071941</v>
      </c>
      <c r="C7379" t="s">
        <v>40</v>
      </c>
      <c r="D7379">
        <v>5.1886060000000001</v>
      </c>
      <c r="E7379">
        <v>0.4858365</v>
      </c>
      <c r="F7379" t="s">
        <v>41</v>
      </c>
      <c r="G7379">
        <v>-93.1815</v>
      </c>
      <c r="H7379" s="1">
        <v>-2.9706739999999999E-6</v>
      </c>
      <c r="I7379">
        <v>139.85409999999999</v>
      </c>
      <c r="J7379">
        <v>-131.91899999999899</v>
      </c>
      <c r="K7379">
        <v>1.1125100000000001</v>
      </c>
      <c r="L7379">
        <v>137.3655</v>
      </c>
      <c r="M7379">
        <v>0.99966250000000001</v>
      </c>
      <c r="N7379">
        <v>-2.5934329999999998E-2</v>
      </c>
      <c r="O7379">
        <v>1.512324E-3</v>
      </c>
      <c r="P7379">
        <v>0.97524149999999998</v>
      </c>
      <c r="Q7379">
        <v>0.2183341</v>
      </c>
      <c r="R7379">
        <v>3.5133919999999999E-2</v>
      </c>
      <c r="S7379">
        <v>3.0892029999999999</v>
      </c>
      <c r="T7379">
        <v>-8.8029029999999994E-2</v>
      </c>
      <c r="U7379">
        <v>0.19700619999999999</v>
      </c>
      <c r="V7379">
        <v>-3.3866489999999999E-2</v>
      </c>
      <c r="W7379">
        <v>0.24352599999999999</v>
      </c>
      <c r="X7379">
        <v>0.96930289999999997</v>
      </c>
      <c r="Y7379">
        <v>-6.2085330000000001E-2</v>
      </c>
      <c r="Z7379">
        <v>1.6859869999999999E-3</v>
      </c>
      <c r="AA7379">
        <v>0.9980694</v>
      </c>
      <c r="AB7379">
        <v>26</v>
      </c>
      <c r="AC7379">
        <v>38.737499999999898</v>
      </c>
      <c r="AD7379">
        <v>-1.112512970674</v>
      </c>
      <c r="AE7379">
        <v>2.4885999999999902</v>
      </c>
      <c r="AF7379">
        <v>-2.4279994144521</v>
      </c>
      <c r="AG7379">
        <v>-1.112512970674</v>
      </c>
      <c r="AH7379">
        <v>38.709424323096997</v>
      </c>
      <c r="AI7379">
        <v>91.643006570335302</v>
      </c>
      <c r="AJ7379">
        <v>93.589103006950097</v>
      </c>
      <c r="AK7379">
        <v>38.801448396832697</v>
      </c>
      <c r="AL7379">
        <v>75.905258104215804</v>
      </c>
      <c r="AM7379">
        <v>92.001044201552801</v>
      </c>
      <c r="AN7379">
        <v>0.99999998188466399</v>
      </c>
    </row>
    <row r="7380" spans="1:40" x14ac:dyDescent="0.25">
      <c r="A7380" t="str">
        <f>"20190304155820106"</f>
        <v>20190304155820106</v>
      </c>
      <c r="B7380" t="str">
        <f>"1551686300102197"</f>
        <v>1551686300102197</v>
      </c>
      <c r="C7380" t="s">
        <v>40</v>
      </c>
      <c r="D7380">
        <v>5.1312360000000004</v>
      </c>
      <c r="E7380">
        <v>0.48566999999999999</v>
      </c>
      <c r="F7380" t="s">
        <v>41</v>
      </c>
      <c r="G7380">
        <v>-93.584209999999999</v>
      </c>
      <c r="H7380" s="1">
        <v>-2.7925509999999999E-6</v>
      </c>
      <c r="I7380">
        <v>139.8339</v>
      </c>
      <c r="J7380">
        <v>-131.6722</v>
      </c>
      <c r="K7380">
        <v>1.112549</v>
      </c>
      <c r="L7380">
        <v>137.3665</v>
      </c>
      <c r="M7380">
        <v>0.99965130000000002</v>
      </c>
      <c r="N7380">
        <v>-2.6332769999999998E-2</v>
      </c>
      <c r="O7380">
        <v>2.030806E-3</v>
      </c>
      <c r="P7380">
        <v>0.97538519999999895</v>
      </c>
      <c r="Q7380">
        <v>0.21762119999999999</v>
      </c>
      <c r="R7380">
        <v>3.5564739999999997E-2</v>
      </c>
      <c r="S7380">
        <v>3.0890659999999999</v>
      </c>
      <c r="T7380">
        <v>-8.9647649999999995E-2</v>
      </c>
      <c r="U7380">
        <v>0.1989136</v>
      </c>
      <c r="V7380">
        <v>-3.3796760000000002E-2</v>
      </c>
      <c r="W7380">
        <v>0.24320229999999901</v>
      </c>
      <c r="X7380">
        <v>0.96938659999999999</v>
      </c>
      <c r="Y7380">
        <v>-6.2182420000000002E-2</v>
      </c>
      <c r="Z7380">
        <v>1.7157779999999901E-3</v>
      </c>
      <c r="AA7380">
        <v>0.99806329999999999</v>
      </c>
      <c r="AB7380">
        <v>26</v>
      </c>
      <c r="AC7380">
        <v>38.087989999999998</v>
      </c>
      <c r="AD7380">
        <v>-1.112551792551</v>
      </c>
      <c r="AE7380">
        <v>2.4673999999999898</v>
      </c>
      <c r="AF7380">
        <v>-2.3879897870206799</v>
      </c>
      <c r="AG7380">
        <v>-1.112551792551</v>
      </c>
      <c r="AH7380">
        <v>38.060585364420099</v>
      </c>
      <c r="AI7380">
        <v>91.671056418056295</v>
      </c>
      <c r="AJ7380">
        <v>93.590134607621906</v>
      </c>
      <c r="AK7380">
        <v>38.151650357439799</v>
      </c>
      <c r="AL7380">
        <v>75.924379610257802</v>
      </c>
      <c r="AM7380">
        <v>91.996755174208502</v>
      </c>
      <c r="AN7380">
        <v>0.99999997998567303</v>
      </c>
    </row>
    <row r="7381" spans="1:40" x14ac:dyDescent="0.25">
      <c r="A7381" t="str">
        <f>"20190304155820124"</f>
        <v>20190304155820124</v>
      </c>
      <c r="B7381" t="str">
        <f>"1551686300121718"</f>
        <v>1551686300121718</v>
      </c>
      <c r="C7381" t="s">
        <v>40</v>
      </c>
      <c r="D7381">
        <v>5.916334</v>
      </c>
      <c r="E7381">
        <v>0.48565540000000001</v>
      </c>
      <c r="F7381" t="s">
        <v>41</v>
      </c>
      <c r="G7381">
        <v>-94.294650000000004</v>
      </c>
      <c r="H7381" s="1">
        <v>-2.481313E-6</v>
      </c>
      <c r="I7381">
        <v>139.80959999999999</v>
      </c>
      <c r="J7381">
        <v>-131.46950000000001</v>
      </c>
      <c r="K7381">
        <v>1.112582</v>
      </c>
      <c r="L7381">
        <v>137.3674</v>
      </c>
      <c r="M7381">
        <v>0.99964240000000004</v>
      </c>
      <c r="N7381">
        <v>-2.663041E-2</v>
      </c>
      <c r="O7381">
        <v>2.482241E-3</v>
      </c>
      <c r="P7381">
        <v>0.97535099999999997</v>
      </c>
      <c r="Q7381">
        <v>0.21769659999999999</v>
      </c>
      <c r="R7381">
        <v>3.603949E-2</v>
      </c>
      <c r="S7381">
        <v>3.088867</v>
      </c>
      <c r="T7381">
        <v>-9.1940759999999996E-2</v>
      </c>
      <c r="U7381">
        <v>0.20190430000000001</v>
      </c>
      <c r="V7381">
        <v>-3.3838890000000003E-2</v>
      </c>
      <c r="W7381">
        <v>0.2435649</v>
      </c>
      <c r="X7381">
        <v>0.96929410000000005</v>
      </c>
      <c r="Y7381">
        <v>-6.2695440000000005E-2</v>
      </c>
      <c r="Z7381">
        <v>1.7603180000000001E-3</v>
      </c>
      <c r="AA7381">
        <v>0.99803109999999995</v>
      </c>
      <c r="AB7381">
        <v>25</v>
      </c>
      <c r="AC7381">
        <v>37.174849999999999</v>
      </c>
      <c r="AD7381">
        <v>-1.1125844813129999</v>
      </c>
      <c r="AE7381">
        <v>2.4421999999999802</v>
      </c>
      <c r="AF7381">
        <v>-2.3477889068469402</v>
      </c>
      <c r="AG7381">
        <v>-1.1125844813129999</v>
      </c>
      <c r="AH7381">
        <v>37.147669108259301</v>
      </c>
      <c r="AI7381">
        <v>91.712099969312007</v>
      </c>
      <c r="AJ7381">
        <v>93.616369980997504</v>
      </c>
      <c r="AK7381">
        <v>37.238411313533497</v>
      </c>
      <c r="AL7381">
        <v>75.9029602447809</v>
      </c>
      <c r="AM7381">
        <v>91.999432882445902</v>
      </c>
      <c r="AN7381">
        <v>0.99999999164162601</v>
      </c>
    </row>
    <row r="7382" spans="1:40" x14ac:dyDescent="0.25">
      <c r="A7382" t="str">
        <f>"20190304155820146"</f>
        <v>20190304155820146</v>
      </c>
      <c r="B7382" t="str">
        <f>"1551686300142213"</f>
        <v>1551686300142213</v>
      </c>
      <c r="C7382" t="s">
        <v>40</v>
      </c>
      <c r="D7382">
        <v>5.1608090000000004</v>
      </c>
      <c r="E7382">
        <v>0.48558810000000002</v>
      </c>
      <c r="F7382" t="s">
        <v>41</v>
      </c>
      <c r="G7382">
        <v>-93.952169999999995</v>
      </c>
      <c r="H7382" s="1">
        <v>-2.6403290000000001E-6</v>
      </c>
      <c r="I7382">
        <v>139.85509999999999</v>
      </c>
      <c r="J7382">
        <v>-131.22669999999999</v>
      </c>
      <c r="K7382">
        <v>1.112622</v>
      </c>
      <c r="L7382">
        <v>137.36869999999999</v>
      </c>
      <c r="M7382">
        <v>0.99963219999999997</v>
      </c>
      <c r="N7382">
        <v>-2.695382E-2</v>
      </c>
      <c r="O7382">
        <v>3.0506259999999999E-3</v>
      </c>
      <c r="P7382">
        <v>0.97533639999999999</v>
      </c>
      <c r="Q7382">
        <v>0.21759290000000001</v>
      </c>
      <c r="R7382">
        <v>3.7051250000000001E-2</v>
      </c>
      <c r="S7382">
        <v>3.0886990000000001</v>
      </c>
      <c r="T7382">
        <v>-9.1595889999999999E-2</v>
      </c>
      <c r="U7382">
        <v>0.2048035</v>
      </c>
      <c r="V7382">
        <v>-3.4305219999999997E-2</v>
      </c>
      <c r="W7382">
        <v>0.24377389999999999</v>
      </c>
      <c r="X7382">
        <v>0.96922520000000001</v>
      </c>
      <c r="Y7382">
        <v>-6.3063919999999996E-2</v>
      </c>
      <c r="Z7382">
        <v>1.7770100000000001E-3</v>
      </c>
      <c r="AA7382">
        <v>0.99800789999999995</v>
      </c>
      <c r="AB7382">
        <v>25</v>
      </c>
      <c r="AC7382">
        <v>37.274529999999999</v>
      </c>
      <c r="AD7382">
        <v>-1.1126246403290001</v>
      </c>
      <c r="AE7382">
        <v>2.4864000000000002</v>
      </c>
      <c r="AF7382">
        <v>-2.3705336968970601</v>
      </c>
      <c r="AG7382">
        <v>-1.1126246403290001</v>
      </c>
      <c r="AH7382">
        <v>37.248902868442897</v>
      </c>
      <c r="AI7382">
        <v>91.707463931787998</v>
      </c>
      <c r="AJ7382">
        <v>93.641413475694307</v>
      </c>
      <c r="AK7382">
        <v>37.340837276379901</v>
      </c>
      <c r="AL7382">
        <v>75.890613754376901</v>
      </c>
      <c r="AM7382">
        <v>92.027107989586298</v>
      </c>
      <c r="AN7382">
        <v>1.0000000253777399</v>
      </c>
    </row>
    <row r="7383" spans="1:40" x14ac:dyDescent="0.25">
      <c r="A7383" t="str">
        <f>"20190304155820168"</f>
        <v>20190304155820168</v>
      </c>
      <c r="B7383" t="str">
        <f>"1551686300161733"</f>
        <v>1551686300161733</v>
      </c>
      <c r="C7383" t="s">
        <v>40</v>
      </c>
      <c r="D7383">
        <v>5.2754699999999897</v>
      </c>
      <c r="E7383">
        <v>0.48556660000000001</v>
      </c>
      <c r="F7383" t="s">
        <v>41</v>
      </c>
      <c r="G7383">
        <v>-94.041259999999994</v>
      </c>
      <c r="H7383" s="1">
        <v>-2.6106609999999998E-6</v>
      </c>
      <c r="I7383">
        <v>139.88720000000001</v>
      </c>
      <c r="J7383">
        <v>-130.9828</v>
      </c>
      <c r="K7383">
        <v>1.112652</v>
      </c>
      <c r="L7383">
        <v>137.37020000000001</v>
      </c>
      <c r="M7383">
        <v>0.99962200000000001</v>
      </c>
      <c r="N7383">
        <v>-2.7254179999999999E-2</v>
      </c>
      <c r="O7383">
        <v>3.650464E-3</v>
      </c>
      <c r="P7383">
        <v>0.97537569999999996</v>
      </c>
      <c r="Q7383">
        <v>0.21721979999999999</v>
      </c>
      <c r="R7383">
        <v>3.8186970000000001E-2</v>
      </c>
      <c r="S7383">
        <v>3.0885470000000002</v>
      </c>
      <c r="T7383">
        <v>-9.2412229999999998E-2</v>
      </c>
      <c r="U7383">
        <v>0.2091827</v>
      </c>
      <c r="V7383">
        <v>-3.4862869999999997E-2</v>
      </c>
      <c r="W7383">
        <v>0.24369160000000001</v>
      </c>
      <c r="X7383">
        <v>0.96922600000000003</v>
      </c>
      <c r="Y7383">
        <v>-6.3875310000000005E-2</v>
      </c>
      <c r="Z7383">
        <v>1.816586E-3</v>
      </c>
      <c r="AA7383">
        <v>0.99795619999999996</v>
      </c>
      <c r="AB7383">
        <v>25</v>
      </c>
      <c r="AC7383">
        <v>36.941540000000003</v>
      </c>
      <c r="AD7383">
        <v>-1.112654610661</v>
      </c>
      <c r="AE7383">
        <v>2.5169999999999901</v>
      </c>
      <c r="AF7383">
        <v>-2.3799303253613799</v>
      </c>
      <c r="AG7383">
        <v>-1.112654610661</v>
      </c>
      <c r="AH7383">
        <v>36.917149772116801</v>
      </c>
      <c r="AI7383">
        <v>91.722754325755403</v>
      </c>
      <c r="AJ7383">
        <v>93.688571060787396</v>
      </c>
      <c r="AK7383">
        <v>37.010512235486601</v>
      </c>
      <c r="AL7383">
        <v>75.895475853455494</v>
      </c>
      <c r="AM7383">
        <v>92.060029869015196</v>
      </c>
      <c r="AN7383">
        <v>1.00000002734559</v>
      </c>
    </row>
    <row r="7384" spans="1:40" x14ac:dyDescent="0.25">
      <c r="A7384" t="str">
        <f>"20190304155820191"</f>
        <v>20190304155820191</v>
      </c>
      <c r="B7384" t="str">
        <f>"1551686300182231"</f>
        <v>1551686300182231</v>
      </c>
      <c r="C7384" t="s">
        <v>40</v>
      </c>
      <c r="D7384">
        <v>5.2036480000000003</v>
      </c>
      <c r="E7384">
        <v>0.48550870000000002</v>
      </c>
      <c r="F7384" t="s">
        <v>41</v>
      </c>
      <c r="G7384">
        <v>-93.676100000000005</v>
      </c>
      <c r="H7384" s="1">
        <v>-2.7834260000000002E-6</v>
      </c>
      <c r="I7384">
        <v>139.9478</v>
      </c>
      <c r="J7384">
        <v>-130.74340000000001</v>
      </c>
      <c r="K7384">
        <v>1.112684</v>
      </c>
      <c r="L7384">
        <v>137.37180000000001</v>
      </c>
      <c r="M7384">
        <v>0.9996119</v>
      </c>
      <c r="N7384">
        <v>-2.7532560000000001E-2</v>
      </c>
      <c r="O7384">
        <v>4.2626299999999999E-3</v>
      </c>
      <c r="P7384">
        <v>0.97547879999999998</v>
      </c>
      <c r="Q7384">
        <v>0.21655730000000001</v>
      </c>
      <c r="R7384">
        <v>3.9298109999999997E-2</v>
      </c>
      <c r="S7384">
        <v>3.0878909999999999</v>
      </c>
      <c r="T7384">
        <v>-9.2094780000000001E-2</v>
      </c>
      <c r="U7384">
        <v>0.21334839999999999</v>
      </c>
      <c r="V7384">
        <v>-3.5378970000000003E-2</v>
      </c>
      <c r="W7384">
        <v>0.2433022</v>
      </c>
      <c r="X7384">
        <v>0.96930510000000003</v>
      </c>
      <c r="Y7384">
        <v>-6.461778E-2</v>
      </c>
      <c r="Z7384">
        <v>1.84369E-3</v>
      </c>
      <c r="AA7384">
        <v>0.99790840000000003</v>
      </c>
      <c r="AB7384">
        <v>25</v>
      </c>
      <c r="AC7384">
        <v>37.067300000000003</v>
      </c>
      <c r="AD7384">
        <v>-1.1126867834259999</v>
      </c>
      <c r="AE7384">
        <v>2.5759999999999899</v>
      </c>
      <c r="AF7384">
        <v>-2.41574616491254</v>
      </c>
      <c r="AG7384">
        <v>-1.1126867834259999</v>
      </c>
      <c r="AH7384">
        <v>37.044727813101296</v>
      </c>
      <c r="AI7384">
        <v>91.716792001258497</v>
      </c>
      <c r="AJ7384">
        <v>93.731066883794995</v>
      </c>
      <c r="AK7384">
        <v>37.140082931491399</v>
      </c>
      <c r="AL7384">
        <v>75.918478862616993</v>
      </c>
      <c r="AM7384">
        <v>92.090328660363497</v>
      </c>
      <c r="AN7384">
        <v>1.0000000044645501</v>
      </c>
    </row>
    <row r="7385" spans="1:40" x14ac:dyDescent="0.25">
      <c r="A7385" t="str">
        <f>"20190304155820213"</f>
        <v>20190304155820213</v>
      </c>
      <c r="B7385" t="str">
        <f>"1551686300201751"</f>
        <v>1551686300201751</v>
      </c>
      <c r="C7385" t="s">
        <v>40</v>
      </c>
      <c r="D7385">
        <v>5.2390800000000004</v>
      </c>
      <c r="E7385">
        <v>0.4855662</v>
      </c>
      <c r="F7385" t="s">
        <v>41</v>
      </c>
      <c r="G7385">
        <v>-94.553430000000006</v>
      </c>
      <c r="H7385" s="1">
        <v>-2.3995040000000002E-6</v>
      </c>
      <c r="I7385">
        <v>139.9194</v>
      </c>
      <c r="J7385">
        <v>-130.50380000000001</v>
      </c>
      <c r="K7385">
        <v>1.112717</v>
      </c>
      <c r="L7385">
        <v>137.37370000000001</v>
      </c>
      <c r="M7385">
        <v>0.99960170000000004</v>
      </c>
      <c r="N7385">
        <v>-2.7804100000000002E-2</v>
      </c>
      <c r="O7385">
        <v>4.8898860000000004E-3</v>
      </c>
      <c r="P7385">
        <v>0.97545959999999998</v>
      </c>
      <c r="Q7385">
        <v>0.21646599999999999</v>
      </c>
      <c r="R7385">
        <v>4.0270140000000003E-2</v>
      </c>
      <c r="S7385">
        <v>3.0877379999999999</v>
      </c>
      <c r="T7385">
        <v>-9.4934699999999997E-2</v>
      </c>
      <c r="U7385">
        <v>0.21736150000000001</v>
      </c>
      <c r="V7385">
        <v>-3.5738819999999998E-2</v>
      </c>
      <c r="W7385">
        <v>0.2434742</v>
      </c>
      <c r="X7385">
        <v>0.96924869999999996</v>
      </c>
      <c r="Y7385">
        <v>-6.5282129999999994E-2</v>
      </c>
      <c r="Z7385">
        <v>1.8970619999999999E-3</v>
      </c>
      <c r="AA7385">
        <v>0.997865</v>
      </c>
      <c r="AB7385">
        <v>24</v>
      </c>
      <c r="AC7385">
        <v>35.950369999999999</v>
      </c>
      <c r="AD7385">
        <v>-1.1127193995039999</v>
      </c>
      <c r="AE7385">
        <v>2.5456999999999801</v>
      </c>
      <c r="AF7385">
        <v>-2.3675515946083001</v>
      </c>
      <c r="AG7385">
        <v>-1.1127193995039999</v>
      </c>
      <c r="AH7385">
        <v>35.928145489585503</v>
      </c>
      <c r="AI7385">
        <v>91.770086114663599</v>
      </c>
      <c r="AJ7385">
        <v>93.770160486978</v>
      </c>
      <c r="AK7385">
        <v>36.023257533654402</v>
      </c>
      <c r="AL7385">
        <v>75.908318331134396</v>
      </c>
      <c r="AM7385">
        <v>92.111693623560697</v>
      </c>
      <c r="AN7385">
        <v>0.99999999588616095</v>
      </c>
    </row>
    <row r="7386" spans="1:40" x14ac:dyDescent="0.25">
      <c r="A7386" t="str">
        <f>"20190304155820235"</f>
        <v>20190304155820235</v>
      </c>
      <c r="B7386" t="str">
        <f>"1551686300232005"</f>
        <v>1551686300232005</v>
      </c>
      <c r="C7386" t="s">
        <v>40</v>
      </c>
      <c r="D7386">
        <v>5.1273109999999997</v>
      </c>
      <c r="E7386">
        <v>0.50527959999999905</v>
      </c>
      <c r="F7386" t="s">
        <v>41</v>
      </c>
      <c r="G7386">
        <v>-94.19314</v>
      </c>
      <c r="H7386" s="1">
        <v>-2.5652419999999999E-6</v>
      </c>
      <c r="I7386">
        <v>139.9614</v>
      </c>
      <c r="J7386">
        <v>-130.27019999999999</v>
      </c>
      <c r="K7386">
        <v>1.112744</v>
      </c>
      <c r="L7386">
        <v>137.37559999999999</v>
      </c>
      <c r="M7386">
        <v>0.99959120000000001</v>
      </c>
      <c r="N7386">
        <v>-2.8056270000000001E-2</v>
      </c>
      <c r="O7386">
        <v>5.5092099999999996E-3</v>
      </c>
      <c r="P7386">
        <v>0.97531829999999997</v>
      </c>
      <c r="Q7386">
        <v>0.21696599999999999</v>
      </c>
      <c r="R7386">
        <v>4.0990369999999998E-2</v>
      </c>
      <c r="S7386">
        <v>3.087402</v>
      </c>
      <c r="T7386">
        <v>-9.4611639999999997E-2</v>
      </c>
      <c r="U7386">
        <v>0.2200317</v>
      </c>
      <c r="V7386">
        <v>-3.5853019999999999E-2</v>
      </c>
      <c r="W7386">
        <v>0.2442155</v>
      </c>
      <c r="X7386">
        <v>0.96905799999999997</v>
      </c>
      <c r="Y7386">
        <v>-6.5529999999999894E-2</v>
      </c>
      <c r="Z7386">
        <v>1.9094229999999999E-3</v>
      </c>
      <c r="AA7386">
        <v>0.99784870000000003</v>
      </c>
      <c r="AB7386">
        <v>24</v>
      </c>
      <c r="AC7386">
        <v>36.077059999999904</v>
      </c>
      <c r="AD7386">
        <v>-1.1127465652420001</v>
      </c>
      <c r="AE7386">
        <v>2.5857999999999999</v>
      </c>
      <c r="AF7386">
        <v>-2.3846693550920399</v>
      </c>
      <c r="AG7386">
        <v>-1.1127465652420001</v>
      </c>
      <c r="AH7386">
        <v>36.056637023406203</v>
      </c>
      <c r="AI7386">
        <v>91.763797458345607</v>
      </c>
      <c r="AJ7386">
        <v>93.783847026667701</v>
      </c>
      <c r="AK7386">
        <v>36.152536927430702</v>
      </c>
      <c r="AL7386">
        <v>75.864523442344094</v>
      </c>
      <c r="AM7386">
        <v>92.118851706385101</v>
      </c>
      <c r="AN7386">
        <v>1.0000000284236801</v>
      </c>
    </row>
    <row r="7387" spans="1:40" x14ac:dyDescent="0.25">
      <c r="A7387" t="str">
        <f>"20190304155820258"</f>
        <v>20190304155820258</v>
      </c>
      <c r="B7387" t="str">
        <f>"1551686300252502"</f>
        <v>1551686300252502</v>
      </c>
      <c r="C7387" t="s">
        <v>40</v>
      </c>
      <c r="D7387">
        <v>5.0665769999999997</v>
      </c>
      <c r="E7387">
        <v>0.50653769999999998</v>
      </c>
      <c r="F7387" t="s">
        <v>51</v>
      </c>
      <c r="G7387">
        <v>676.42160000000001</v>
      </c>
      <c r="H7387">
        <v>-0.1</v>
      </c>
      <c r="I7387">
        <v>155.0497</v>
      </c>
      <c r="J7387">
        <v>-130.04220000000001</v>
      </c>
      <c r="K7387">
        <v>1.1127689999999999</v>
      </c>
      <c r="L7387">
        <v>137.3776</v>
      </c>
      <c r="M7387">
        <v>0.99958119999999995</v>
      </c>
      <c r="N7387">
        <v>-2.8286410000000001E-2</v>
      </c>
      <c r="O7387">
        <v>6.1152799999999998E-3</v>
      </c>
      <c r="P7387">
        <v>0.97521020000000003</v>
      </c>
      <c r="Q7387">
        <v>0.21727730000000001</v>
      </c>
      <c r="R7387">
        <v>4.1901069999999999E-2</v>
      </c>
      <c r="S7387">
        <v>3.0741269999999998</v>
      </c>
      <c r="T7387">
        <v>-4.6215060000000001E-3</v>
      </c>
      <c r="U7387">
        <v>6.7352289999999995E-2</v>
      </c>
      <c r="V7387">
        <v>-3.6167770000000002E-2</v>
      </c>
      <c r="W7387">
        <v>0.24474770000000001</v>
      </c>
      <c r="X7387">
        <v>0.968912</v>
      </c>
      <c r="Y7387">
        <v>-1.5789319999999999E-2</v>
      </c>
      <c r="Z7387">
        <v>3.9905909999999998E-4</v>
      </c>
      <c r="AA7387">
        <v>0.99987519999999996</v>
      </c>
      <c r="AB7387">
        <v>23</v>
      </c>
      <c r="AC7387">
        <v>806.46379999999999</v>
      </c>
      <c r="AD7387">
        <v>-1.212769</v>
      </c>
      <c r="AE7387">
        <v>17.6721</v>
      </c>
      <c r="AF7387">
        <v>-12.738014600075299</v>
      </c>
      <c r="AG7387">
        <v>-1.212769</v>
      </c>
      <c r="AH7387">
        <v>806.55499825218101</v>
      </c>
      <c r="AI7387">
        <v>90.086141464494602</v>
      </c>
      <c r="AJ7387">
        <v>90.904803525600499</v>
      </c>
      <c r="AK7387">
        <v>806.65649010602704</v>
      </c>
      <c r="AL7387">
        <v>75.833075979482501</v>
      </c>
      <c r="AM7387">
        <v>92.137757490422302</v>
      </c>
      <c r="AN7387">
        <v>1.0000000039930299</v>
      </c>
    </row>
    <row r="7388" spans="1:40" x14ac:dyDescent="0.25">
      <c r="A7388" t="str">
        <f>"20190304155820283"</f>
        <v>20190304155820283</v>
      </c>
      <c r="B7388" t="str">
        <f>"1551686300272024"</f>
        <v>1551686300272024</v>
      </c>
      <c r="C7388" t="s">
        <v>40</v>
      </c>
      <c r="D7388">
        <v>5.1842329999999999</v>
      </c>
      <c r="E7388">
        <v>0.50742370000000003</v>
      </c>
      <c r="F7388" t="s">
        <v>51</v>
      </c>
      <c r="G7388">
        <v>42.974980000000002</v>
      </c>
      <c r="H7388">
        <v>-0.1</v>
      </c>
      <c r="I7388">
        <v>140.77529999999999</v>
      </c>
      <c r="J7388">
        <v>-129.78440000000001</v>
      </c>
      <c r="K7388">
        <v>1.1127990000000001</v>
      </c>
      <c r="L7388">
        <v>137.3801</v>
      </c>
      <c r="M7388">
        <v>0.9995695</v>
      </c>
      <c r="N7388">
        <v>-2.8543099999999998E-2</v>
      </c>
      <c r="O7388">
        <v>6.7990180000000004E-3</v>
      </c>
      <c r="P7388">
        <v>0.97504369999999996</v>
      </c>
      <c r="Q7388">
        <v>0.2178252</v>
      </c>
      <c r="R7388">
        <v>4.2920659999999999E-2</v>
      </c>
      <c r="S7388">
        <v>3.0784609999999999</v>
      </c>
      <c r="T7388">
        <v>-2.1578549999999998E-2</v>
      </c>
      <c r="U7388">
        <v>6.045532E-2</v>
      </c>
      <c r="V7388">
        <v>-3.651364E-2</v>
      </c>
      <c r="W7388">
        <v>0.24554139999999999</v>
      </c>
      <c r="X7388">
        <v>0.96869819999999995</v>
      </c>
      <c r="Y7388">
        <v>-1.283343E-2</v>
      </c>
      <c r="Z7388">
        <v>3.7463839999999997E-4</v>
      </c>
      <c r="AA7388">
        <v>0.99991759999999996</v>
      </c>
      <c r="AB7388">
        <v>23</v>
      </c>
      <c r="AC7388">
        <v>172.75937999999999</v>
      </c>
      <c r="AD7388">
        <v>-1.212799</v>
      </c>
      <c r="AE7388">
        <v>3.39519999999998</v>
      </c>
      <c r="AF7388">
        <v>-2.2199392665042299</v>
      </c>
      <c r="AG7388">
        <v>-1.212799</v>
      </c>
      <c r="AH7388">
        <v>172.76996580776799</v>
      </c>
      <c r="AI7388">
        <v>90.402161262106304</v>
      </c>
      <c r="AJ7388">
        <v>90.736158920932397</v>
      </c>
      <c r="AK7388">
        <v>172.78848369315199</v>
      </c>
      <c r="AL7388">
        <v>75.786169167501697</v>
      </c>
      <c r="AM7388">
        <v>92.158657362860396</v>
      </c>
      <c r="AN7388">
        <v>1.0000000138516201</v>
      </c>
    </row>
    <row r="7389" spans="1:40" x14ac:dyDescent="0.25">
      <c r="A7389" t="str">
        <f>"20190304155820306"</f>
        <v>20190304155820306</v>
      </c>
      <c r="B7389" t="str">
        <f>"1551686300302278"</f>
        <v>1551686300302278</v>
      </c>
      <c r="C7389" t="s">
        <v>40</v>
      </c>
      <c r="D7389">
        <v>5.0732229999999996</v>
      </c>
      <c r="E7389">
        <v>0.50797859999999995</v>
      </c>
      <c r="F7389" t="s">
        <v>51</v>
      </c>
      <c r="G7389">
        <v>17.14264</v>
      </c>
      <c r="H7389">
        <v>-0.1</v>
      </c>
      <c r="I7389">
        <v>140.08789999999999</v>
      </c>
      <c r="J7389">
        <v>-129.5626</v>
      </c>
      <c r="K7389">
        <v>1.1128209999999901</v>
      </c>
      <c r="L7389">
        <v>137.38239999999999</v>
      </c>
      <c r="M7389">
        <v>0.99955899999999998</v>
      </c>
      <c r="N7389">
        <v>-2.8763480000000001E-2</v>
      </c>
      <c r="O7389">
        <v>7.3847579999999999E-3</v>
      </c>
      <c r="P7389">
        <v>0.97470639999999997</v>
      </c>
      <c r="Q7389">
        <v>0.2190348</v>
      </c>
      <c r="R7389">
        <v>4.4402030000000002E-2</v>
      </c>
      <c r="S7389">
        <v>3.0799560000000001</v>
      </c>
      <c r="T7389">
        <v>-2.5423290000000001E-2</v>
      </c>
      <c r="U7389">
        <v>5.6762699999999902E-2</v>
      </c>
      <c r="V7389">
        <v>-3.7418949999999999E-2</v>
      </c>
      <c r="W7389">
        <v>0.24695610000000001</v>
      </c>
      <c r="X7389">
        <v>0.9683039</v>
      </c>
      <c r="Y7389">
        <v>-1.103938E-2</v>
      </c>
      <c r="Z7389">
        <v>3.5588329999999997E-4</v>
      </c>
      <c r="AA7389">
        <v>0.99993900000000002</v>
      </c>
      <c r="AB7389">
        <v>23</v>
      </c>
      <c r="AC7389">
        <v>146.70524</v>
      </c>
      <c r="AD7389">
        <v>-1.2128209999999999</v>
      </c>
      <c r="AE7389">
        <v>2.7054999999999998</v>
      </c>
      <c r="AF7389">
        <v>-1.6214842862308301</v>
      </c>
      <c r="AG7389">
        <v>-1.2128209999999999</v>
      </c>
      <c r="AH7389">
        <v>146.71120064371601</v>
      </c>
      <c r="AI7389">
        <v>90.473608681379204</v>
      </c>
      <c r="AJ7389">
        <v>90.633219707971406</v>
      </c>
      <c r="AK7389">
        <v>146.72517350608001</v>
      </c>
      <c r="AL7389">
        <v>75.702536853084794</v>
      </c>
      <c r="AM7389">
        <v>92.213025938293299</v>
      </c>
      <c r="AN7389">
        <v>0.99999996795075996</v>
      </c>
    </row>
    <row r="7390" spans="1:40" x14ac:dyDescent="0.25">
      <c r="A7390" t="str">
        <f>"20190304155820326"</f>
        <v>20190304155820326</v>
      </c>
      <c r="B7390" t="str">
        <f>"1551686300321797"</f>
        <v>1551686300321797</v>
      </c>
      <c r="C7390" t="s">
        <v>40</v>
      </c>
      <c r="D7390">
        <v>5.1166669999999996</v>
      </c>
      <c r="E7390">
        <v>0.5080325</v>
      </c>
      <c r="F7390" t="s">
        <v>51</v>
      </c>
      <c r="G7390">
        <v>24.444240000000001</v>
      </c>
      <c r="H7390">
        <v>-0.1</v>
      </c>
      <c r="I7390">
        <v>140.25810000000001</v>
      </c>
      <c r="J7390">
        <v>-129.36590000000001</v>
      </c>
      <c r="K7390">
        <v>1.1128450000000001</v>
      </c>
      <c r="L7390">
        <v>137.3845</v>
      </c>
      <c r="M7390">
        <v>0.99954969999999999</v>
      </c>
      <c r="N7390">
        <v>-2.894828E-2</v>
      </c>
      <c r="O7390">
        <v>7.9028269999999994E-3</v>
      </c>
      <c r="P7390">
        <v>0.97434100000000001</v>
      </c>
      <c r="Q7390">
        <v>0.22045110000000001</v>
      </c>
      <c r="R7390">
        <v>4.5400780000000002E-2</v>
      </c>
      <c r="S7390">
        <v>3.0806879999999999</v>
      </c>
      <c r="T7390">
        <v>-2.4260759999999999E-2</v>
      </c>
      <c r="U7390">
        <v>5.7525630000000001E-2</v>
      </c>
      <c r="V7390">
        <v>-3.7907749999999997E-2</v>
      </c>
      <c r="W7390">
        <v>0.2485415</v>
      </c>
      <c r="X7390">
        <v>0.96787920000000005</v>
      </c>
      <c r="Y7390">
        <v>-1.0764579999999999E-2</v>
      </c>
      <c r="Z7390">
        <v>3.6483639999999998E-4</v>
      </c>
      <c r="AA7390">
        <v>0.999942</v>
      </c>
      <c r="AB7390">
        <v>22</v>
      </c>
      <c r="AC7390">
        <v>153.81013999999999</v>
      </c>
      <c r="AD7390">
        <v>-1.212845</v>
      </c>
      <c r="AE7390">
        <v>2.8736000000000099</v>
      </c>
      <c r="AF7390">
        <v>-1.65736265022874</v>
      </c>
      <c r="AG7390">
        <v>-1.212845</v>
      </c>
      <c r="AH7390">
        <v>153.81849102468499</v>
      </c>
      <c r="AI7390">
        <v>90.451736497716396</v>
      </c>
      <c r="AJ7390">
        <v>90.617326368090502</v>
      </c>
      <c r="AK7390">
        <v>153.83220087179299</v>
      </c>
      <c r="AL7390">
        <v>75.608777704986096</v>
      </c>
      <c r="AM7390">
        <v>92.242887897726703</v>
      </c>
      <c r="AN7390">
        <v>1.00000001026247</v>
      </c>
    </row>
    <row r="7391" spans="1:40" x14ac:dyDescent="0.25">
      <c r="A7391" t="str">
        <f>"20190304155820348"</f>
        <v>20190304155820348</v>
      </c>
      <c r="B7391" t="str">
        <f>"1551686300342294"</f>
        <v>1551686300342294</v>
      </c>
      <c r="C7391" t="s">
        <v>40</v>
      </c>
      <c r="D7391">
        <v>4.8468519999999904</v>
      </c>
      <c r="E7391">
        <v>0.50004300000000002</v>
      </c>
      <c r="F7391" t="s">
        <v>51</v>
      </c>
      <c r="G7391">
        <v>72.437869999999904</v>
      </c>
      <c r="H7391">
        <v>-0.1</v>
      </c>
      <c r="I7391">
        <v>141.3451</v>
      </c>
      <c r="J7391">
        <v>-129.15719999999999</v>
      </c>
      <c r="K7391">
        <v>1.11287</v>
      </c>
      <c r="L7391">
        <v>137.38679999999999</v>
      </c>
      <c r="M7391">
        <v>0.99953999999999998</v>
      </c>
      <c r="N7391">
        <v>-2.91258E-2</v>
      </c>
      <c r="O7391">
        <v>8.4505180000000006E-3</v>
      </c>
      <c r="P7391">
        <v>0.97387400000000002</v>
      </c>
      <c r="Q7391">
        <v>0.22215080000000001</v>
      </c>
      <c r="R7391">
        <v>4.7100950000000003E-2</v>
      </c>
      <c r="S7391">
        <v>3.080368</v>
      </c>
      <c r="T7391">
        <v>-1.8513080000000001E-2</v>
      </c>
      <c r="U7391">
        <v>6.045532E-2</v>
      </c>
      <c r="V7391">
        <v>-3.907128E-2</v>
      </c>
      <c r="W7391">
        <v>0.25040020000000002</v>
      </c>
      <c r="X7391">
        <v>0.96735369999999998</v>
      </c>
      <c r="Y7391">
        <v>-1.117013E-2</v>
      </c>
      <c r="Z7391">
        <v>3.9168260000000001E-4</v>
      </c>
      <c r="AA7391">
        <v>0.99993750000000003</v>
      </c>
      <c r="AB7391">
        <v>22</v>
      </c>
      <c r="AC7391">
        <v>201.59506999999999</v>
      </c>
      <c r="AD7391">
        <v>-1.2128699999999999</v>
      </c>
      <c r="AE7391">
        <v>3.9582999999999999</v>
      </c>
      <c r="AF7391">
        <v>-2.2537711280791699</v>
      </c>
      <c r="AG7391">
        <v>-1.2128699999999999</v>
      </c>
      <c r="AH7391">
        <v>201.61403461886201</v>
      </c>
      <c r="AI7391">
        <v>90.344654341915003</v>
      </c>
      <c r="AJ7391">
        <v>90.640462334016107</v>
      </c>
      <c r="AK7391">
        <v>201.630279207341</v>
      </c>
      <c r="AL7391">
        <v>75.498804828326996</v>
      </c>
      <c r="AM7391">
        <v>92.3129113138897</v>
      </c>
      <c r="AN7391">
        <v>1.00000000299228</v>
      </c>
    </row>
    <row r="7392" spans="1:40" x14ac:dyDescent="0.25">
      <c r="A7392" t="str">
        <f>"20190304155820369"</f>
        <v>20190304155820369</v>
      </c>
      <c r="B7392" t="str">
        <f>"1551686300361814"</f>
        <v>1551686300361814</v>
      </c>
      <c r="C7392" t="s">
        <v>40</v>
      </c>
      <c r="D7392">
        <v>5.1892809999999896</v>
      </c>
      <c r="E7392">
        <v>0.49939129999999998</v>
      </c>
      <c r="F7392" t="s">
        <v>41</v>
      </c>
      <c r="G7392">
        <v>-91.935890000000001</v>
      </c>
      <c r="H7392" s="1">
        <v>-3.5662229999999998E-6</v>
      </c>
      <c r="I7392">
        <v>138.91480000000001</v>
      </c>
      <c r="J7392">
        <v>-128.94739999999999</v>
      </c>
      <c r="K7392">
        <v>1.112889</v>
      </c>
      <c r="L7392">
        <v>137.38929999999999</v>
      </c>
      <c r="M7392">
        <v>0.99953029999999998</v>
      </c>
      <c r="N7392">
        <v>-2.929704E-2</v>
      </c>
      <c r="O7392">
        <v>8.9988289999999999E-3</v>
      </c>
      <c r="P7392">
        <v>0.97357519999999997</v>
      </c>
      <c r="Q7392">
        <v>0.22319700000000001</v>
      </c>
      <c r="R7392">
        <v>4.832007E-2</v>
      </c>
      <c r="S7392">
        <v>3.0954440000000001</v>
      </c>
      <c r="T7392">
        <v>-9.2550160000000006E-2</v>
      </c>
      <c r="U7392">
        <v>0.1270752</v>
      </c>
      <c r="V7392">
        <v>-3.9751259999999997E-2</v>
      </c>
      <c r="W7392">
        <v>0.25160440000000001</v>
      </c>
      <c r="X7392">
        <v>0.96701349999999997</v>
      </c>
      <c r="Y7392">
        <v>-3.1992720000000002E-2</v>
      </c>
      <c r="Z7392">
        <v>9.4184800000000001E-4</v>
      </c>
      <c r="AA7392">
        <v>0.99948760000000003</v>
      </c>
      <c r="AB7392">
        <v>22</v>
      </c>
      <c r="AC7392">
        <v>37.011509999999902</v>
      </c>
      <c r="AD7392">
        <v>-1.112892566223</v>
      </c>
      <c r="AE7392">
        <v>1.5255000000000201</v>
      </c>
      <c r="AF7392">
        <v>-1.19115977946195</v>
      </c>
      <c r="AG7392">
        <v>-1.112892566223</v>
      </c>
      <c r="AH7392">
        <v>36.990356189749598</v>
      </c>
      <c r="AI7392">
        <v>91.722389836699904</v>
      </c>
      <c r="AJ7392">
        <v>91.844395659611607</v>
      </c>
      <c r="AK7392">
        <v>37.026258824362898</v>
      </c>
      <c r="AL7392">
        <v>75.427527702695897</v>
      </c>
      <c r="AM7392">
        <v>92.353946287923407</v>
      </c>
      <c r="AN7392">
        <v>1.00000002297659</v>
      </c>
    </row>
    <row r="7393" spans="1:40" x14ac:dyDescent="0.25">
      <c r="A7393" t="str">
        <f>"20190304155820393"</f>
        <v>20190304155820393</v>
      </c>
      <c r="B7393" t="str">
        <f>"1551686300382310"</f>
        <v>1551686300382310</v>
      </c>
      <c r="C7393" t="s">
        <v>40</v>
      </c>
      <c r="D7393">
        <v>5.1136339999999896</v>
      </c>
      <c r="E7393">
        <v>0.50041740000000001</v>
      </c>
      <c r="F7393" t="s">
        <v>41</v>
      </c>
      <c r="G7393">
        <v>-65.416439999999994</v>
      </c>
      <c r="H7393" s="1">
        <v>-2.1039549999999999E-6</v>
      </c>
      <c r="I7393">
        <v>140.2002</v>
      </c>
      <c r="J7393">
        <v>-128.73580000000001</v>
      </c>
      <c r="K7393">
        <v>1.112908</v>
      </c>
      <c r="L7393">
        <v>137.392</v>
      </c>
      <c r="M7393">
        <v>0.99952010000000002</v>
      </c>
      <c r="N7393">
        <v>-2.9470759999999999E-2</v>
      </c>
      <c r="O7393">
        <v>9.5506069999999992E-3</v>
      </c>
      <c r="P7393">
        <v>0.97360089999999999</v>
      </c>
      <c r="Q7393">
        <v>0.22287100000000001</v>
      </c>
      <c r="R7393">
        <v>4.9296079999999999E-2</v>
      </c>
      <c r="S7393">
        <v>3.0870359999999999</v>
      </c>
      <c r="T7393">
        <v>-5.4076550000000001E-2</v>
      </c>
      <c r="U7393">
        <v>0.13658139999999999</v>
      </c>
      <c r="V7393">
        <v>-4.0180840000000002E-2</v>
      </c>
      <c r="W7393">
        <v>0.25144929999999999</v>
      </c>
      <c r="X7393">
        <v>0.96703609999999895</v>
      </c>
      <c r="Y7393">
        <v>-3.463931E-2</v>
      </c>
      <c r="Z7393">
        <v>9.2833550000000003E-4</v>
      </c>
      <c r="AA7393">
        <v>0.99939940000000005</v>
      </c>
      <c r="AB7393">
        <v>22</v>
      </c>
      <c r="AC7393">
        <v>63.319359999999897</v>
      </c>
      <c r="AD7393">
        <v>-1.112910103955</v>
      </c>
      <c r="AE7393">
        <v>2.8081999999999998</v>
      </c>
      <c r="AF7393">
        <v>-2.2023917251166698</v>
      </c>
      <c r="AG7393">
        <v>-1.112910103955</v>
      </c>
      <c r="AH7393">
        <v>63.323777651643297</v>
      </c>
      <c r="AI7393">
        <v>91.006256588514304</v>
      </c>
      <c r="AJ7393">
        <v>91.991935916473196</v>
      </c>
      <c r="AK7393">
        <v>63.371838495384601</v>
      </c>
      <c r="AL7393">
        <v>75.436709640823096</v>
      </c>
      <c r="AM7393">
        <v>92.379300059926905</v>
      </c>
      <c r="AN7393">
        <v>1.0000000345383999</v>
      </c>
    </row>
    <row r="7394" spans="1:40" x14ac:dyDescent="0.25">
      <c r="A7394" t="str">
        <f>"20190304155820414"</f>
        <v>20190304155820414</v>
      </c>
      <c r="B7394" t="str">
        <f>"1551686300411590"</f>
        <v>1551686300411590</v>
      </c>
      <c r="C7394" t="s">
        <v>40</v>
      </c>
      <c r="D7394">
        <v>5.1798659999999996</v>
      </c>
      <c r="E7394">
        <v>0.50153959999999997</v>
      </c>
      <c r="F7394" t="s">
        <v>41</v>
      </c>
      <c r="G7394">
        <v>-72.394359999999907</v>
      </c>
      <c r="H7394" s="1">
        <v>-3.2885750000000001E-6</v>
      </c>
      <c r="I7394">
        <v>139.77979999999999</v>
      </c>
      <c r="J7394">
        <v>-128.53380000000001</v>
      </c>
      <c r="K7394">
        <v>1.1129199999999999</v>
      </c>
      <c r="L7394">
        <v>137.3946</v>
      </c>
      <c r="M7394">
        <v>0.99951020000000002</v>
      </c>
      <c r="N7394">
        <v>-2.9629280000000001E-2</v>
      </c>
      <c r="O7394">
        <v>1.0078490000000001E-2</v>
      </c>
      <c r="P7394">
        <v>0.97365990000000002</v>
      </c>
      <c r="Q7394">
        <v>0.2224595</v>
      </c>
      <c r="R7394">
        <v>4.9980829999999997E-2</v>
      </c>
      <c r="S7394">
        <v>3.0886840000000002</v>
      </c>
      <c r="T7394">
        <v>-6.1010719999999997E-2</v>
      </c>
      <c r="U7394">
        <v>0.1309052</v>
      </c>
      <c r="V7394">
        <v>-4.034269E-2</v>
      </c>
      <c r="W7394">
        <v>0.25119459999999999</v>
      </c>
      <c r="X7394">
        <v>0.96709560000000006</v>
      </c>
      <c r="Y7394">
        <v>-3.2252910000000003E-2</v>
      </c>
      <c r="Z7394">
        <v>8.9624859999999998E-4</v>
      </c>
      <c r="AA7394">
        <v>0.99947940000000002</v>
      </c>
      <c r="AB7394">
        <v>21</v>
      </c>
      <c r="AC7394">
        <v>56.13944</v>
      </c>
      <c r="AD7394">
        <v>-1.112923288575</v>
      </c>
      <c r="AE7394">
        <v>2.38519999999999</v>
      </c>
      <c r="AF7394">
        <v>-1.8183161637693399</v>
      </c>
      <c r="AG7394">
        <v>-1.112923288575</v>
      </c>
      <c r="AH7394">
        <v>56.1386131758658</v>
      </c>
      <c r="AI7394">
        <v>91.135119720565896</v>
      </c>
      <c r="AJ7394">
        <v>91.855147941130397</v>
      </c>
      <c r="AK7394">
        <v>56.179077611039297</v>
      </c>
      <c r="AL7394">
        <v>75.451787469018001</v>
      </c>
      <c r="AM7394">
        <v>92.388726089346505</v>
      </c>
      <c r="AN7394">
        <v>1.00000007962247</v>
      </c>
    </row>
    <row r="7395" spans="1:40" x14ac:dyDescent="0.25">
      <c r="A7395" t="str">
        <f>"20190304155820436"</f>
        <v>20190304155820436</v>
      </c>
      <c r="B7395" t="str">
        <f>"1551686300432085"</f>
        <v>1551686300432085</v>
      </c>
      <c r="C7395" t="s">
        <v>40</v>
      </c>
      <c r="D7395">
        <v>5.2281680000000001</v>
      </c>
      <c r="E7395">
        <v>0.50221439999999995</v>
      </c>
      <c r="F7395" t="s">
        <v>41</v>
      </c>
      <c r="G7395">
        <v>-73.708799999999997</v>
      </c>
      <c r="H7395" s="1">
        <v>-2.684598E-6</v>
      </c>
      <c r="I7395">
        <v>139.59739999999999</v>
      </c>
      <c r="J7395">
        <v>-128.32849999999999</v>
      </c>
      <c r="K7395">
        <v>1.1129279999999999</v>
      </c>
      <c r="L7395">
        <v>137.3974</v>
      </c>
      <c r="M7395">
        <v>0.99950039999999996</v>
      </c>
      <c r="N7395">
        <v>-2.9772860000000002E-2</v>
      </c>
      <c r="O7395">
        <v>1.06172E-2</v>
      </c>
      <c r="P7395">
        <v>0.97376819999999997</v>
      </c>
      <c r="Q7395">
        <v>0.2218629</v>
      </c>
      <c r="R7395">
        <v>5.0525680000000003E-2</v>
      </c>
      <c r="S7395">
        <v>3.0890960000000001</v>
      </c>
      <c r="T7395">
        <v>-6.2707189999999996E-2</v>
      </c>
      <c r="U7395">
        <v>0.124115</v>
      </c>
      <c r="V7395">
        <v>-4.0354939999999999E-2</v>
      </c>
      <c r="W7395">
        <v>0.25074259999999998</v>
      </c>
      <c r="X7395">
        <v>0.96721230000000002</v>
      </c>
      <c r="Y7395">
        <v>-2.9515900000000001E-2</v>
      </c>
      <c r="Z7395">
        <v>8.3988349999999999E-4</v>
      </c>
      <c r="AA7395">
        <v>0.99956389999999995</v>
      </c>
      <c r="AB7395">
        <v>21</v>
      </c>
      <c r="AC7395">
        <v>54.619700000000002</v>
      </c>
      <c r="AD7395">
        <v>-1.112930684598</v>
      </c>
      <c r="AE7395">
        <v>2.1999999999999802</v>
      </c>
      <c r="AF7395">
        <v>-1.61903936874891</v>
      </c>
      <c r="AG7395">
        <v>-1.112930684598</v>
      </c>
      <c r="AH7395">
        <v>54.617347515177997</v>
      </c>
      <c r="AI7395">
        <v>91.166834790496793</v>
      </c>
      <c r="AJ7395">
        <v>91.697939753703096</v>
      </c>
      <c r="AK7395">
        <v>54.652671963774999</v>
      </c>
      <c r="AL7395">
        <v>75.478540275520103</v>
      </c>
      <c r="AM7395">
        <v>92.389162614487802</v>
      </c>
      <c r="AN7395">
        <v>1.00000000295422</v>
      </c>
    </row>
    <row r="7396" spans="1:40" x14ac:dyDescent="0.25">
      <c r="A7396" t="str">
        <f>"20190304155820459"</f>
        <v>20190304155820459</v>
      </c>
      <c r="B7396" t="str">
        <f>"1551686300451605"</f>
        <v>1551686300451605</v>
      </c>
      <c r="C7396" t="s">
        <v>40</v>
      </c>
      <c r="D7396">
        <v>5.1778909999999998</v>
      </c>
      <c r="E7396">
        <v>0.50199119999999997</v>
      </c>
      <c r="F7396" t="s">
        <v>41</v>
      </c>
      <c r="G7396">
        <v>-74.725099999999998</v>
      </c>
      <c r="H7396" s="1">
        <v>-2.268909E-6</v>
      </c>
      <c r="I7396">
        <v>139.4829</v>
      </c>
      <c r="J7396">
        <v>-128.1353</v>
      </c>
      <c r="K7396">
        <v>1.112932</v>
      </c>
      <c r="L7396">
        <v>137.40010000000001</v>
      </c>
      <c r="M7396">
        <v>0.99949129999999997</v>
      </c>
      <c r="N7396">
        <v>-2.9890150000000001E-2</v>
      </c>
      <c r="O7396">
        <v>1.1125700000000001E-2</v>
      </c>
      <c r="P7396">
        <v>0.97390169999999998</v>
      </c>
      <c r="Q7396">
        <v>0.22116920000000001</v>
      </c>
      <c r="R7396">
        <v>5.0985460000000003E-2</v>
      </c>
      <c r="S7396">
        <v>3.0892029999999999</v>
      </c>
      <c r="T7396">
        <v>-6.4139009999999996E-2</v>
      </c>
      <c r="U7396">
        <v>0.12019349999999999</v>
      </c>
      <c r="V7396">
        <v>-4.0310859999999997E-2</v>
      </c>
      <c r="W7396">
        <v>0.25016840000000001</v>
      </c>
      <c r="X7396">
        <v>0.96736279999999997</v>
      </c>
      <c r="Y7396">
        <v>-2.7739400000000001E-2</v>
      </c>
      <c r="Z7396">
        <v>8.0442239999999998E-4</v>
      </c>
      <c r="AA7396">
        <v>0.99961489999999997</v>
      </c>
      <c r="AB7396">
        <v>20</v>
      </c>
      <c r="AC7396">
        <v>53.410200000000003</v>
      </c>
      <c r="AD7396">
        <v>-1.112934268909</v>
      </c>
      <c r="AE7396">
        <v>2.08279999999999</v>
      </c>
      <c r="AF7396">
        <v>-1.48753459807124</v>
      </c>
      <c r="AG7396">
        <v>-1.112934268909</v>
      </c>
      <c r="AH7396">
        <v>53.406920201206503</v>
      </c>
      <c r="AI7396">
        <v>91.193337849941699</v>
      </c>
      <c r="AJ7396">
        <v>91.595437903684697</v>
      </c>
      <c r="AK7396">
        <v>53.439222554649902</v>
      </c>
      <c r="AL7396">
        <v>75.512522405975801</v>
      </c>
      <c r="AM7396">
        <v>92.386185068128597</v>
      </c>
      <c r="AN7396">
        <v>0.999999990308169</v>
      </c>
    </row>
    <row r="7397" spans="1:40" x14ac:dyDescent="0.25">
      <c r="A7397" t="str">
        <f>"20190304155820482"</f>
        <v>20190304155820482</v>
      </c>
      <c r="B7397" t="str">
        <f>"1551686300472103"</f>
        <v>1551686300472103</v>
      </c>
      <c r="C7397" t="s">
        <v>40</v>
      </c>
      <c r="D7397">
        <v>5.3568369999999996</v>
      </c>
      <c r="E7397">
        <v>0.5028106</v>
      </c>
      <c r="F7397" t="s">
        <v>41</v>
      </c>
      <c r="G7397">
        <v>-77.353489999999994</v>
      </c>
      <c r="H7397" s="1">
        <v>-1.1510019999999999E-6</v>
      </c>
      <c r="I7397">
        <v>139.42840000000001</v>
      </c>
      <c r="J7397">
        <v>-127.92789999999999</v>
      </c>
      <c r="K7397">
        <v>1.112932</v>
      </c>
      <c r="L7397">
        <v>137.40309999999999</v>
      </c>
      <c r="M7397">
        <v>0.99948170000000003</v>
      </c>
      <c r="N7397">
        <v>-2.9999919999999999E-2</v>
      </c>
      <c r="O7397">
        <v>1.167281E-2</v>
      </c>
      <c r="P7397">
        <v>0.97419540000000004</v>
      </c>
      <c r="Q7397">
        <v>0.21978819999999999</v>
      </c>
      <c r="R7397">
        <v>5.1347660000000003E-2</v>
      </c>
      <c r="S7397">
        <v>3.0893099999999998</v>
      </c>
      <c r="T7397">
        <v>-6.7705269999999998E-2</v>
      </c>
      <c r="U7397">
        <v>0.1233978</v>
      </c>
      <c r="V7397">
        <v>-4.0129230000000002E-2</v>
      </c>
      <c r="W7397">
        <v>0.24890509999999999</v>
      </c>
      <c r="X7397">
        <v>0.96769620000000001</v>
      </c>
      <c r="Y7397">
        <v>-2.8224519999999999E-2</v>
      </c>
      <c r="Z7397">
        <v>8.2737030000000001E-4</v>
      </c>
      <c r="AA7397">
        <v>0.99960119999999997</v>
      </c>
      <c r="AB7397">
        <v>20</v>
      </c>
      <c r="AC7397">
        <v>50.574409999999901</v>
      </c>
      <c r="AD7397">
        <v>-1.112933151002</v>
      </c>
      <c r="AE7397">
        <v>2.0253000000000099</v>
      </c>
      <c r="AF7397">
        <v>-1.4338573117853699</v>
      </c>
      <c r="AG7397">
        <v>-1.112933151002</v>
      </c>
      <c r="AH7397">
        <v>50.570163091943897</v>
      </c>
      <c r="AI7397">
        <v>91.260238693720893</v>
      </c>
      <c r="AJ7397">
        <v>91.624119092832501</v>
      </c>
      <c r="AK7397">
        <v>50.602726825092802</v>
      </c>
      <c r="AL7397">
        <v>75.587269179836596</v>
      </c>
      <c r="AM7397">
        <v>92.374628423185698</v>
      </c>
      <c r="AN7397">
        <v>1.00000001970042</v>
      </c>
    </row>
    <row r="7398" spans="1:40" x14ac:dyDescent="0.25">
      <c r="A7398" t="str">
        <f>"20190304155820508"</f>
        <v>20190304155820508</v>
      </c>
      <c r="B7398" t="str">
        <f>"1551686300502359"</f>
        <v>1551686300502359</v>
      </c>
      <c r="C7398" t="s">
        <v>40</v>
      </c>
      <c r="D7398">
        <v>5.3459750000000001</v>
      </c>
      <c r="E7398">
        <v>0.50353379999999903</v>
      </c>
      <c r="F7398" t="s">
        <v>41</v>
      </c>
      <c r="G7398">
        <v>-82.050539999999998</v>
      </c>
      <c r="H7398" s="1">
        <v>-3.4735439999999998E-6</v>
      </c>
      <c r="I7398">
        <v>139.1601</v>
      </c>
      <c r="J7398">
        <v>-127.71559999999999</v>
      </c>
      <c r="K7398">
        <v>1.1129420000000001</v>
      </c>
      <c r="L7398">
        <v>137.40629999999999</v>
      </c>
      <c r="M7398">
        <v>0.99947209999999997</v>
      </c>
      <c r="N7398">
        <v>-3.0098429999999999E-2</v>
      </c>
      <c r="O7398">
        <v>1.2235899999999999E-2</v>
      </c>
      <c r="P7398">
        <v>0.97429140000000003</v>
      </c>
      <c r="Q7398">
        <v>0.21932950000000001</v>
      </c>
      <c r="R7398">
        <v>5.1487970000000001E-2</v>
      </c>
      <c r="S7398">
        <v>3.0901489999999998</v>
      </c>
      <c r="T7398">
        <v>-7.4963569999999993E-2</v>
      </c>
      <c r="U7398">
        <v>0.1183472</v>
      </c>
      <c r="V7398">
        <v>-3.971309E-2</v>
      </c>
      <c r="W7398">
        <v>0.24854709999999999</v>
      </c>
      <c r="X7398">
        <v>0.96780529999999998</v>
      </c>
      <c r="Y7398">
        <v>-2.6017869999999998E-2</v>
      </c>
      <c r="Z7398">
        <v>7.7894770000000002E-4</v>
      </c>
      <c r="AA7398">
        <v>0.99966109999999997</v>
      </c>
      <c r="AB7398">
        <v>20</v>
      </c>
      <c r="AC7398">
        <v>45.665059999999997</v>
      </c>
      <c r="AD7398">
        <v>-1.1129454735439901</v>
      </c>
      <c r="AE7398">
        <v>1.75380000000001</v>
      </c>
      <c r="AF7398">
        <v>-1.19395409566342</v>
      </c>
      <c r="AG7398">
        <v>-1.1129454735439901</v>
      </c>
      <c r="AH7398">
        <v>45.656028077902</v>
      </c>
      <c r="AI7398">
        <v>91.3959311532507</v>
      </c>
      <c r="AJ7398">
        <v>91.4980046559551</v>
      </c>
      <c r="AK7398">
        <v>45.685195346630699</v>
      </c>
      <c r="AL7398">
        <v>75.608445488362506</v>
      </c>
      <c r="AM7398">
        <v>92.349766665503495</v>
      </c>
      <c r="AN7398">
        <v>0.99999994457192198</v>
      </c>
    </row>
    <row r="7399" spans="1:40" x14ac:dyDescent="0.25">
      <c r="A7399" t="str">
        <f>"20190304155820527"</f>
        <v>20190304155820527</v>
      </c>
      <c r="B7399" t="str">
        <f>"1551686300521878"</f>
        <v>1551686300521878</v>
      </c>
      <c r="C7399" t="s">
        <v>40</v>
      </c>
      <c r="D7399">
        <v>5.161098</v>
      </c>
      <c r="E7399">
        <v>0.50334909999999999</v>
      </c>
      <c r="F7399" t="s">
        <v>41</v>
      </c>
      <c r="G7399">
        <v>-85.619900000000001</v>
      </c>
      <c r="H7399" s="1">
        <v>-1.9803820000000001E-6</v>
      </c>
      <c r="I7399">
        <v>138.94540000000001</v>
      </c>
      <c r="J7399">
        <v>-127.54510000000001</v>
      </c>
      <c r="K7399">
        <v>1.112946</v>
      </c>
      <c r="L7399">
        <v>137.40899999999999</v>
      </c>
      <c r="M7399">
        <v>0.99946429999999997</v>
      </c>
      <c r="N7399">
        <v>-3.0166479999999999E-2</v>
      </c>
      <c r="O7399">
        <v>1.2690750000000001E-2</v>
      </c>
      <c r="P7399">
        <v>0.97418740000000004</v>
      </c>
      <c r="Q7399">
        <v>0.21977260000000001</v>
      </c>
      <c r="R7399">
        <v>5.1563970000000001E-2</v>
      </c>
      <c r="S7399">
        <v>3.091583</v>
      </c>
      <c r="T7399">
        <v>-8.173656E-2</v>
      </c>
      <c r="U7399">
        <v>0.1130371</v>
      </c>
      <c r="V7399">
        <v>-3.9341840000000003E-2</v>
      </c>
      <c r="W7399">
        <v>0.24905430000000001</v>
      </c>
      <c r="X7399">
        <v>0.9676901</v>
      </c>
      <c r="Y7399">
        <v>-2.3829719999999999E-2</v>
      </c>
      <c r="Z7399">
        <v>7.2212289999999896E-4</v>
      </c>
      <c r="AA7399">
        <v>0.99971569999999998</v>
      </c>
      <c r="AB7399">
        <v>19</v>
      </c>
      <c r="AC7399">
        <v>41.925199999999997</v>
      </c>
      <c r="AD7399">
        <v>-1.1129479803819999</v>
      </c>
      <c r="AE7399">
        <v>1.53640000000001</v>
      </c>
      <c r="AF7399">
        <v>-1.0032656135276901</v>
      </c>
      <c r="AG7399">
        <v>-1.1129479803819999</v>
      </c>
      <c r="AH7399">
        <v>41.911832271313202</v>
      </c>
      <c r="AI7399">
        <v>91.520668219555304</v>
      </c>
      <c r="AJ7399">
        <v>91.371257392333206</v>
      </c>
      <c r="AK7399">
        <v>41.938608458519603</v>
      </c>
      <c r="AL7399">
        <v>75.578442065673798</v>
      </c>
      <c r="AM7399">
        <v>92.328101427149704</v>
      </c>
      <c r="AN7399">
        <v>0.99999997718054201</v>
      </c>
    </row>
    <row r="7400" spans="1:40" x14ac:dyDescent="0.25">
      <c r="A7400" t="str">
        <f>"20190304155820549"</f>
        <v>20190304155820549</v>
      </c>
      <c r="B7400" t="str">
        <f>"1551686300542374"</f>
        <v>1551686300542374</v>
      </c>
      <c r="C7400" t="s">
        <v>40</v>
      </c>
      <c r="D7400">
        <v>5.2162240000000004</v>
      </c>
      <c r="E7400">
        <v>0.50361420000000001</v>
      </c>
      <c r="F7400" t="s">
        <v>41</v>
      </c>
      <c r="G7400">
        <v>-81.945480000000003</v>
      </c>
      <c r="H7400" s="1">
        <v>-3.5278290000000001E-6</v>
      </c>
      <c r="I7400">
        <v>139.10810000000001</v>
      </c>
      <c r="J7400">
        <v>-127.36709999999999</v>
      </c>
      <c r="K7400">
        <v>1.112943</v>
      </c>
      <c r="L7400">
        <v>137.4118</v>
      </c>
      <c r="M7400">
        <v>0.99945629999999996</v>
      </c>
      <c r="N7400">
        <v>-3.0227110000000001E-2</v>
      </c>
      <c r="O7400">
        <v>1.3166539999999999E-2</v>
      </c>
      <c r="P7400">
        <v>0.97420229999999997</v>
      </c>
      <c r="Q7400">
        <v>0.21958659999999999</v>
      </c>
      <c r="R7400">
        <v>5.207109E-2</v>
      </c>
      <c r="S7400">
        <v>3.090408</v>
      </c>
      <c r="T7400">
        <v>-7.5427530000000007E-2</v>
      </c>
      <c r="U7400">
        <v>0.1151581</v>
      </c>
      <c r="V7400">
        <v>-3.9379129999999998E-2</v>
      </c>
      <c r="W7400">
        <v>0.24892900000000001</v>
      </c>
      <c r="X7400">
        <v>0.96772089999999999</v>
      </c>
      <c r="Y7400">
        <v>-2.4054760000000001E-2</v>
      </c>
      <c r="Z7400">
        <v>7.3410689999999998E-4</v>
      </c>
      <c r="AA7400">
        <v>0.9997104</v>
      </c>
      <c r="AB7400">
        <v>19</v>
      </c>
      <c r="AC7400">
        <v>45.421619999999898</v>
      </c>
      <c r="AD7400">
        <v>-1.1129465278290001</v>
      </c>
      <c r="AE7400">
        <v>1.6962999999999999</v>
      </c>
      <c r="AF7400">
        <v>-1.0971760299211699</v>
      </c>
      <c r="AG7400">
        <v>-1.1129465278290001</v>
      </c>
      <c r="AH7400">
        <v>45.412796963044499</v>
      </c>
      <c r="AI7400">
        <v>91.403476331354994</v>
      </c>
      <c r="AJ7400">
        <v>91.384000393037894</v>
      </c>
      <c r="AK7400">
        <v>45.439680602103103</v>
      </c>
      <c r="AL7400">
        <v>75.585855778759097</v>
      </c>
      <c r="AM7400">
        <v>92.330231591193098</v>
      </c>
      <c r="AN7400">
        <v>1.00000005160868</v>
      </c>
    </row>
    <row r="7401" spans="1:40" x14ac:dyDescent="0.25">
      <c r="A7401" t="str">
        <f>"20190304155820571"</f>
        <v>20190304155820571</v>
      </c>
      <c r="B7401" t="str">
        <f>"1551686300561894"</f>
        <v>1551686300561894</v>
      </c>
      <c r="C7401" t="s">
        <v>40</v>
      </c>
      <c r="D7401">
        <v>5.1448609999999997</v>
      </c>
      <c r="E7401">
        <v>0.50386399999999998</v>
      </c>
      <c r="F7401" t="s">
        <v>41</v>
      </c>
      <c r="G7401">
        <v>-79.395979999999994</v>
      </c>
      <c r="H7401" s="1">
        <v>-3.1792409999999997E-7</v>
      </c>
      <c r="I7401">
        <v>139.18520000000001</v>
      </c>
      <c r="J7401">
        <v>-127.1938</v>
      </c>
      <c r="K7401">
        <v>1.1129519999999999</v>
      </c>
      <c r="L7401">
        <v>137.41470000000001</v>
      </c>
      <c r="M7401">
        <v>0.99944849999999996</v>
      </c>
      <c r="N7401">
        <v>-3.0283330000000001E-2</v>
      </c>
      <c r="O7401">
        <v>1.362903E-2</v>
      </c>
      <c r="P7401">
        <v>0.9742364</v>
      </c>
      <c r="Q7401">
        <v>0.2192634</v>
      </c>
      <c r="R7401">
        <v>5.2792209999999999E-2</v>
      </c>
      <c r="S7401">
        <v>3.089493</v>
      </c>
      <c r="T7401">
        <v>-7.1677089999999999E-2</v>
      </c>
      <c r="U7401">
        <v>0.11421199999999999</v>
      </c>
      <c r="V7401">
        <v>-3.964264E-2</v>
      </c>
      <c r="W7401">
        <v>0.248663</v>
      </c>
      <c r="X7401">
        <v>0.96777840000000004</v>
      </c>
      <c r="Y7401">
        <v>-2.3299139999999999E-2</v>
      </c>
      <c r="Z7401">
        <v>7.1996259999999998E-4</v>
      </c>
      <c r="AA7401">
        <v>0.99972830000000001</v>
      </c>
      <c r="AB7401">
        <v>19</v>
      </c>
      <c r="AC7401">
        <v>47.797819999999902</v>
      </c>
      <c r="AD7401">
        <v>-1.1129523179241001</v>
      </c>
      <c r="AE7401">
        <v>1.77049999999999</v>
      </c>
      <c r="AF7401">
        <v>-1.1179932971474</v>
      </c>
      <c r="AG7401">
        <v>-1.1129523179241001</v>
      </c>
      <c r="AH7401">
        <v>47.7916419759595</v>
      </c>
      <c r="AI7401">
        <v>91.333674950881999</v>
      </c>
      <c r="AJ7401">
        <v>91.3400798550677</v>
      </c>
      <c r="AK7401">
        <v>47.817670527041898</v>
      </c>
      <c r="AL7401">
        <v>75.601589439045696</v>
      </c>
      <c r="AM7401">
        <v>92.345668024529203</v>
      </c>
      <c r="AN7401">
        <v>0.99999992899086199</v>
      </c>
    </row>
    <row r="7402" spans="1:40" x14ac:dyDescent="0.25">
      <c r="A7402" t="str">
        <f>"20190304155820593"</f>
        <v>20190304155820593</v>
      </c>
      <c r="B7402" t="str">
        <f>"1551686300582390"</f>
        <v>1551686300582390</v>
      </c>
      <c r="C7402" t="s">
        <v>40</v>
      </c>
      <c r="D7402">
        <v>5.1575059999999997</v>
      </c>
      <c r="E7402">
        <v>0.50426159999999998</v>
      </c>
      <c r="F7402" t="s">
        <v>41</v>
      </c>
      <c r="G7402">
        <v>-81.711039999999997</v>
      </c>
      <c r="H7402" s="1">
        <v>-3.630285E-6</v>
      </c>
      <c r="I7402">
        <v>139.0975</v>
      </c>
      <c r="J7402">
        <v>-127.0158</v>
      </c>
      <c r="K7402">
        <v>1.112957</v>
      </c>
      <c r="L7402">
        <v>137.4178</v>
      </c>
      <c r="M7402">
        <v>0.9994402</v>
      </c>
      <c r="N7402">
        <v>-3.0341679999999999E-2</v>
      </c>
      <c r="O7402">
        <v>1.410192E-2</v>
      </c>
      <c r="P7402">
        <v>0.97417819999999999</v>
      </c>
      <c r="Q7402">
        <v>0.21934960000000001</v>
      </c>
      <c r="R7402">
        <v>5.3507319999999997E-2</v>
      </c>
      <c r="S7402">
        <v>3.0901640000000001</v>
      </c>
      <c r="T7402">
        <v>-7.5615760000000004E-2</v>
      </c>
      <c r="U7402">
        <v>0.11433409999999999</v>
      </c>
      <c r="V7402">
        <v>-3.9890799999999997E-2</v>
      </c>
      <c r="W7402">
        <v>0.24880530000000001</v>
      </c>
      <c r="X7402">
        <v>0.96773169999999997</v>
      </c>
      <c r="Y7402">
        <v>-2.2856540000000002E-2</v>
      </c>
      <c r="Z7402">
        <v>7.0958920000000001E-4</v>
      </c>
      <c r="AA7402">
        <v>0.99973849999999997</v>
      </c>
      <c r="AB7402">
        <v>18</v>
      </c>
      <c r="AC7402">
        <v>45.304759999999902</v>
      </c>
      <c r="AD7402">
        <v>-1.1129606302849999</v>
      </c>
      <c r="AE7402">
        <v>1.67969999999999</v>
      </c>
      <c r="AF7402">
        <v>-1.03972788911766</v>
      </c>
      <c r="AG7402">
        <v>-1.1129606302849999</v>
      </c>
      <c r="AH7402">
        <v>45.2966501152506</v>
      </c>
      <c r="AI7402">
        <v>91.407131362965998</v>
      </c>
      <c r="AJ7402">
        <v>91.314921980238097</v>
      </c>
      <c r="AK7402">
        <v>45.322248698750599</v>
      </c>
      <c r="AL7402">
        <v>75.593172713165799</v>
      </c>
      <c r="AM7402">
        <v>92.360448951743507</v>
      </c>
      <c r="AN7402">
        <v>0.99999999820880903</v>
      </c>
    </row>
    <row r="7403" spans="1:40" x14ac:dyDescent="0.25">
      <c r="A7403" t="str">
        <f>"20190304155820615"</f>
        <v>20190304155820615</v>
      </c>
      <c r="B7403" t="str">
        <f>"1551686300611670"</f>
        <v>1551686300611670</v>
      </c>
      <c r="C7403" t="s">
        <v>40</v>
      </c>
      <c r="D7403">
        <v>5.3080579999999999</v>
      </c>
      <c r="E7403">
        <v>0.50484209999999996</v>
      </c>
      <c r="F7403" t="s">
        <v>41</v>
      </c>
      <c r="G7403">
        <v>-79.954369999999997</v>
      </c>
      <c r="H7403" s="1">
        <v>-1.273092E-7</v>
      </c>
      <c r="I7403">
        <v>139.1439</v>
      </c>
      <c r="J7403">
        <v>-126.8449</v>
      </c>
      <c r="K7403">
        <v>1.1129629999999999</v>
      </c>
      <c r="L7403">
        <v>137.42080000000001</v>
      </c>
      <c r="M7403">
        <v>0.99943210000000005</v>
      </c>
      <c r="N7403">
        <v>-3.0391029999999999E-2</v>
      </c>
      <c r="O7403">
        <v>1.4552819999999999E-2</v>
      </c>
      <c r="P7403">
        <v>0.9739852</v>
      </c>
      <c r="Q7403">
        <v>0.21987699999999999</v>
      </c>
      <c r="R7403">
        <v>5.4835750000000003E-2</v>
      </c>
      <c r="S7403">
        <v>3.0897519999999998</v>
      </c>
      <c r="T7403">
        <v>-7.306957E-2</v>
      </c>
      <c r="U7403">
        <v>0.113327</v>
      </c>
      <c r="V7403">
        <v>-4.0775199999999998E-2</v>
      </c>
      <c r="W7403">
        <v>0.2493766</v>
      </c>
      <c r="X7403">
        <v>0.96754779999999996</v>
      </c>
      <c r="Y7403">
        <v>-2.208628E-2</v>
      </c>
      <c r="Z7403">
        <v>6.9526889999999995E-4</v>
      </c>
      <c r="AA7403">
        <v>0.99975579999999997</v>
      </c>
      <c r="AB7403">
        <v>18</v>
      </c>
      <c r="AC7403">
        <v>46.890529999999998</v>
      </c>
      <c r="AD7403">
        <v>-1.1129631273092</v>
      </c>
      <c r="AE7403">
        <v>1.7230999999999801</v>
      </c>
      <c r="AF7403">
        <v>-1.0396276362936201</v>
      </c>
      <c r="AG7403">
        <v>-1.1129631273092</v>
      </c>
      <c r="AH7403">
        <v>46.884269930737098</v>
      </c>
      <c r="AI7403">
        <v>91.359527473266994</v>
      </c>
      <c r="AJ7403">
        <v>91.270287792782398</v>
      </c>
      <c r="AK7403">
        <v>46.908999983831599</v>
      </c>
      <c r="AL7403">
        <v>75.559374712896897</v>
      </c>
      <c r="AM7403">
        <v>92.4131782105855</v>
      </c>
      <c r="AN7403">
        <v>1.00000002542371</v>
      </c>
    </row>
    <row r="7404" spans="1:40" x14ac:dyDescent="0.25">
      <c r="A7404" t="str">
        <f>"20190304155820638"</f>
        <v>20190304155820638</v>
      </c>
      <c r="B7404" t="str">
        <f>"1551686300632166"</f>
        <v>1551686300632166</v>
      </c>
      <c r="C7404" t="s">
        <v>40</v>
      </c>
      <c r="D7404">
        <v>5.0995030000000003</v>
      </c>
      <c r="E7404">
        <v>0.50498100000000001</v>
      </c>
      <c r="F7404" t="s">
        <v>41</v>
      </c>
      <c r="G7404">
        <v>-77.551240000000007</v>
      </c>
      <c r="H7404" s="1">
        <v>-1.102336E-6</v>
      </c>
      <c r="I7404">
        <v>139.22450000000001</v>
      </c>
      <c r="J7404">
        <v>-126.67140000000001</v>
      </c>
      <c r="K7404">
        <v>1.1129659999999999</v>
      </c>
      <c r="L7404">
        <v>137.4239</v>
      </c>
      <c r="M7404">
        <v>0.99942430000000004</v>
      </c>
      <c r="N7404">
        <v>-3.0431529999999998E-2</v>
      </c>
      <c r="O7404">
        <v>1.5006780000000001E-2</v>
      </c>
      <c r="P7404">
        <v>0.97374170000000004</v>
      </c>
      <c r="Q7404">
        <v>0.2206332</v>
      </c>
      <c r="R7404">
        <v>5.611186E-2</v>
      </c>
      <c r="S7404">
        <v>3.0895079999999999</v>
      </c>
      <c r="T7404">
        <v>-6.9755670000000006E-2</v>
      </c>
      <c r="U7404">
        <v>0.113052399999999</v>
      </c>
      <c r="V7404">
        <v>-4.1605660000000003E-2</v>
      </c>
      <c r="W7404">
        <v>0.2501661</v>
      </c>
      <c r="X7404">
        <v>0.96730859999999996</v>
      </c>
      <c r="Y7404">
        <v>-2.154764E-2</v>
      </c>
      <c r="Z7404">
        <v>6.8934829999999999E-4</v>
      </c>
      <c r="AA7404">
        <v>0.99976759999999998</v>
      </c>
      <c r="AB7404">
        <v>17</v>
      </c>
      <c r="AC7404">
        <v>49.120159999999998</v>
      </c>
      <c r="AD7404">
        <v>-1.1129671023359999</v>
      </c>
      <c r="AE7404">
        <v>1.8006</v>
      </c>
      <c r="AF7404">
        <v>-1.0623754560370999</v>
      </c>
      <c r="AG7404">
        <v>-1.1129671023359999</v>
      </c>
      <c r="AH7404">
        <v>49.116475337349897</v>
      </c>
      <c r="AI7404">
        <v>91.297782514358801</v>
      </c>
      <c r="AJ7404">
        <v>91.239098278625207</v>
      </c>
      <c r="AK7404">
        <v>49.140568646943599</v>
      </c>
      <c r="AL7404">
        <v>75.5126589253438</v>
      </c>
      <c r="AM7404">
        <v>92.462875150259805</v>
      </c>
      <c r="AN7404">
        <v>1.0000000180836</v>
      </c>
    </row>
    <row r="7405" spans="1:40" x14ac:dyDescent="0.25">
      <c r="A7405" t="str">
        <f>"20190304155820660"</f>
        <v>20190304155820660</v>
      </c>
      <c r="B7405" t="str">
        <f>"1551686300651686"</f>
        <v>1551686300651686</v>
      </c>
      <c r="C7405" t="s">
        <v>40</v>
      </c>
      <c r="D7405">
        <v>5.2242050000000004</v>
      </c>
      <c r="E7405">
        <v>0.50527200000000005</v>
      </c>
      <c r="F7405" t="s">
        <v>41</v>
      </c>
      <c r="G7405">
        <v>-75.851650000000006</v>
      </c>
      <c r="H7405" s="1">
        <v>-1.8127649999999999E-6</v>
      </c>
      <c r="I7405">
        <v>139.32990000000001</v>
      </c>
      <c r="J7405">
        <v>-126.5077</v>
      </c>
      <c r="K7405">
        <v>1.11297</v>
      </c>
      <c r="L7405">
        <v>137.42689999999999</v>
      </c>
      <c r="M7405">
        <v>0.99941650000000004</v>
      </c>
      <c r="N7405">
        <v>-3.047501E-2</v>
      </c>
      <c r="O7405">
        <v>1.543076E-2</v>
      </c>
      <c r="P7405">
        <v>0.97349850000000004</v>
      </c>
      <c r="Q7405">
        <v>0.22143889999999999</v>
      </c>
      <c r="R7405">
        <v>5.7144300000000002E-2</v>
      </c>
      <c r="S7405">
        <v>3.0895540000000001</v>
      </c>
      <c r="T7405">
        <v>-6.7662120000000006E-2</v>
      </c>
      <c r="U7405">
        <v>0.1158752</v>
      </c>
      <c r="V7405">
        <v>-4.2219739999999999E-2</v>
      </c>
      <c r="W7405">
        <v>0.25100810000000001</v>
      </c>
      <c r="X7405">
        <v>0.96706380000000003</v>
      </c>
      <c r="Y7405">
        <v>-2.2035530000000001E-2</v>
      </c>
      <c r="Z7405">
        <v>7.0975970000000004E-4</v>
      </c>
      <c r="AA7405">
        <v>0.99975689999999995</v>
      </c>
      <c r="AB7405">
        <v>17</v>
      </c>
      <c r="AC7405">
        <v>50.656049999999901</v>
      </c>
      <c r="AD7405">
        <v>-1.1129718127649999</v>
      </c>
      <c r="AE7405">
        <v>1.90300000000002</v>
      </c>
      <c r="AF7405">
        <v>-1.1202087085124199</v>
      </c>
      <c r="AG7405">
        <v>-1.1129718127649999</v>
      </c>
      <c r="AH7405">
        <v>50.654973307157498</v>
      </c>
      <c r="AI7405">
        <v>91.258370997592195</v>
      </c>
      <c r="AJ7405">
        <v>91.266860233138502</v>
      </c>
      <c r="AK7405">
        <v>50.679580646997003</v>
      </c>
      <c r="AL7405">
        <v>75.462825387380803</v>
      </c>
      <c r="AM7405">
        <v>92.499812108562907</v>
      </c>
      <c r="AN7405">
        <v>0.99999998299085802</v>
      </c>
    </row>
    <row r="7406" spans="1:40" x14ac:dyDescent="0.25">
      <c r="A7406" t="str">
        <f>"20190304155820682"</f>
        <v>20190304155820682</v>
      </c>
      <c r="B7406" t="str">
        <f>"1551686300672182"</f>
        <v>1551686300672182</v>
      </c>
      <c r="C7406" t="s">
        <v>40</v>
      </c>
      <c r="D7406">
        <v>5.1572899999999997</v>
      </c>
      <c r="E7406">
        <v>0.50516090000000002</v>
      </c>
      <c r="F7406" t="s">
        <v>41</v>
      </c>
      <c r="G7406">
        <v>-72.214799999999997</v>
      </c>
      <c r="H7406" s="1">
        <v>-3.346383E-6</v>
      </c>
      <c r="I7406">
        <v>139.47970000000001</v>
      </c>
      <c r="J7406">
        <v>-126.3408</v>
      </c>
      <c r="K7406">
        <v>1.112967</v>
      </c>
      <c r="L7406">
        <v>137.43010000000001</v>
      </c>
      <c r="M7406">
        <v>0.99940819999999997</v>
      </c>
      <c r="N7406">
        <v>-3.0528449999999999E-2</v>
      </c>
      <c r="O7406">
        <v>1.5857110000000001E-2</v>
      </c>
      <c r="P7406">
        <v>0.97344419999999998</v>
      </c>
      <c r="Q7406">
        <v>0.22152359999999999</v>
      </c>
      <c r="R7406">
        <v>5.7738690000000002E-2</v>
      </c>
      <c r="S7406">
        <v>3.0892179999999998</v>
      </c>
      <c r="T7406">
        <v>-6.3327190000000005E-2</v>
      </c>
      <c r="U7406">
        <v>0.11680599999999999</v>
      </c>
      <c r="V7406">
        <v>-4.2390650000000002E-2</v>
      </c>
      <c r="W7406">
        <v>0.25114520000000001</v>
      </c>
      <c r="X7406">
        <v>0.96702080000000001</v>
      </c>
      <c r="Y7406">
        <v>-2.1915279999999999E-2</v>
      </c>
      <c r="Z7406">
        <v>7.1855889999999998E-4</v>
      </c>
      <c r="AA7406">
        <v>0.99975959999999997</v>
      </c>
      <c r="AB7406">
        <v>17</v>
      </c>
      <c r="AC7406">
        <v>54.125999999999998</v>
      </c>
      <c r="AD7406">
        <v>-1.1129703463830001</v>
      </c>
      <c r="AE7406">
        <v>2.0495999999999901</v>
      </c>
      <c r="AF7406">
        <v>-1.19015746811971</v>
      </c>
      <c r="AG7406">
        <v>-1.1129703463830001</v>
      </c>
      <c r="AH7406">
        <v>54.128850195520101</v>
      </c>
      <c r="AI7406">
        <v>91.177636633773304</v>
      </c>
      <c r="AJ7406">
        <v>91.259587333700907</v>
      </c>
      <c r="AK7406">
        <v>54.153371098020401</v>
      </c>
      <c r="AL7406">
        <v>75.454711226371302</v>
      </c>
      <c r="AM7406">
        <v>92.510030163269803</v>
      </c>
      <c r="AN7406">
        <v>1.0000000531615501</v>
      </c>
    </row>
    <row r="7407" spans="1:40" x14ac:dyDescent="0.25">
      <c r="A7407" t="str">
        <f>"20190304155820708"</f>
        <v>20190304155820708</v>
      </c>
      <c r="B7407" t="str">
        <f>"1551686300702438"</f>
        <v>1551686300702438</v>
      </c>
      <c r="C7407" t="s">
        <v>40</v>
      </c>
      <c r="D7407">
        <v>5.380363</v>
      </c>
      <c r="E7407">
        <v>0.53293630000000003</v>
      </c>
      <c r="F7407" t="s">
        <v>41</v>
      </c>
      <c r="G7407">
        <v>-69.636919999999904</v>
      </c>
      <c r="H7407" s="1">
        <v>-1.4646959999999999E-7</v>
      </c>
      <c r="I7407">
        <v>139.648</v>
      </c>
      <c r="J7407">
        <v>-126.1636</v>
      </c>
      <c r="K7407">
        <v>1.11297</v>
      </c>
      <c r="L7407">
        <v>137.43340000000001</v>
      </c>
      <c r="M7407">
        <v>0.99939940000000005</v>
      </c>
      <c r="N7407">
        <v>-3.05846E-2</v>
      </c>
      <c r="O7407">
        <v>1.6299890000000001E-2</v>
      </c>
      <c r="P7407">
        <v>0.97356799999999999</v>
      </c>
      <c r="Q7407">
        <v>0.22090889999999999</v>
      </c>
      <c r="R7407">
        <v>5.8006120000000001E-2</v>
      </c>
      <c r="S7407">
        <v>3.08847</v>
      </c>
      <c r="T7407">
        <v>-6.0619590000000001E-2</v>
      </c>
      <c r="U7407">
        <v>0.1208038</v>
      </c>
      <c r="V7407">
        <v>-4.2215240000000001E-2</v>
      </c>
      <c r="W7407">
        <v>0.2505908</v>
      </c>
      <c r="X7407">
        <v>0.96717220000000004</v>
      </c>
      <c r="Y7407">
        <v>-2.2774079999999999E-2</v>
      </c>
      <c r="Z7407">
        <v>7.5075749999999996E-4</v>
      </c>
      <c r="AA7407">
        <v>0.99974039999999997</v>
      </c>
      <c r="AB7407">
        <v>17</v>
      </c>
      <c r="AC7407">
        <v>56.526679999999999</v>
      </c>
      <c r="AD7407">
        <v>-1.1129701464696</v>
      </c>
      <c r="AE7407">
        <v>2.2145999999999901</v>
      </c>
      <c r="AF7407">
        <v>-1.2919956291771499</v>
      </c>
      <c r="AG7407">
        <v>-1.1129701464696</v>
      </c>
      <c r="AH7407">
        <v>56.533395306219703</v>
      </c>
      <c r="AI7407">
        <v>91.127539137588698</v>
      </c>
      <c r="AJ7407">
        <v>91.309191013001794</v>
      </c>
      <c r="AK7407">
        <v>56.559108374355098</v>
      </c>
      <c r="AL7407">
        <v>75.487524124902805</v>
      </c>
      <c r="AM7407">
        <v>92.499266211342302</v>
      </c>
      <c r="AN7407">
        <v>0.999999969992868</v>
      </c>
    </row>
    <row r="7408" spans="1:40" x14ac:dyDescent="0.25">
      <c r="A7408" t="str">
        <f>"20190304155820732"</f>
        <v>20190304155820732</v>
      </c>
      <c r="B7408" t="str">
        <f>"1551686300721957"</f>
        <v>1551686300721957</v>
      </c>
      <c r="C7408" t="s">
        <v>40</v>
      </c>
      <c r="D7408">
        <v>5.6810479999999997</v>
      </c>
      <c r="E7408">
        <v>0.58436060000000001</v>
      </c>
      <c r="F7408" t="s">
        <v>46</v>
      </c>
      <c r="G7408">
        <v>0</v>
      </c>
      <c r="H7408">
        <v>0</v>
      </c>
      <c r="I7408">
        <v>0</v>
      </c>
      <c r="J7408">
        <v>-125.99769999999999</v>
      </c>
      <c r="K7408">
        <v>1.11297</v>
      </c>
      <c r="L7408">
        <v>137.4367</v>
      </c>
      <c r="M7408">
        <v>0.99939160000000005</v>
      </c>
      <c r="N7408">
        <v>-3.0626150000000001E-2</v>
      </c>
      <c r="O7408">
        <v>1.6701480000000001E-2</v>
      </c>
      <c r="P7408">
        <v>0.97371509999999994</v>
      </c>
      <c r="Q7408">
        <v>0.22012000000000001</v>
      </c>
      <c r="R7408">
        <v>5.8536730000000002E-2</v>
      </c>
      <c r="S7408">
        <v>3.0640260000000001</v>
      </c>
      <c r="T7408">
        <v>0.10231609999999999</v>
      </c>
      <c r="U7408">
        <v>-9.7167970000000006E-2</v>
      </c>
      <c r="V7408">
        <v>-4.2342600000000001E-2</v>
      </c>
      <c r="W7408">
        <v>0.2498494</v>
      </c>
      <c r="X7408">
        <v>0.96735850000000001</v>
      </c>
      <c r="Y7408">
        <v>4.8356679999999999E-2</v>
      </c>
      <c r="Z7408">
        <v>1.134721E-3</v>
      </c>
      <c r="AA7408">
        <v>0.99882950000000004</v>
      </c>
      <c r="AB7408">
        <v>16</v>
      </c>
      <c r="AC7408">
        <v>3.0640260000000001</v>
      </c>
      <c r="AD7408">
        <v>0.10231609999999999</v>
      </c>
      <c r="AE7408">
        <v>-9.7167970000000006E-2</v>
      </c>
      <c r="AF7408">
        <v>0.148187104306404</v>
      </c>
      <c r="AG7408">
        <v>0.10231609999999999</v>
      </c>
      <c r="AH7408">
        <v>3.0585675224137701</v>
      </c>
      <c r="AI7408">
        <v>88.0862823435411</v>
      </c>
      <c r="AJ7408">
        <v>87.226197740831694</v>
      </c>
      <c r="AK7408">
        <v>3.0638641111129998</v>
      </c>
      <c r="AL7408">
        <v>75.531399999609405</v>
      </c>
      <c r="AM7408">
        <v>92.506314534254102</v>
      </c>
      <c r="AN7408">
        <v>1.0000000429886799</v>
      </c>
    </row>
    <row r="7409" spans="1:40" x14ac:dyDescent="0.25">
      <c r="A7409" t="str">
        <f>"20190304155820752"</f>
        <v>20190304155820752</v>
      </c>
      <c r="B7409" t="str">
        <f>"1551686300742455"</f>
        <v>1551686300742455</v>
      </c>
      <c r="C7409" t="s">
        <v>40</v>
      </c>
      <c r="D7409">
        <v>5.3749440000000002</v>
      </c>
      <c r="E7409">
        <v>0.57110550000000004</v>
      </c>
      <c r="F7409" t="s">
        <v>46</v>
      </c>
      <c r="G7409">
        <v>0</v>
      </c>
      <c r="H7409">
        <v>0</v>
      </c>
      <c r="I7409">
        <v>0</v>
      </c>
      <c r="J7409">
        <v>-125.863</v>
      </c>
      <c r="K7409">
        <v>1.1129659999999999</v>
      </c>
      <c r="L7409">
        <v>137.4393</v>
      </c>
      <c r="M7409">
        <v>0.99938539999999998</v>
      </c>
      <c r="N7409">
        <v>-3.065201E-2</v>
      </c>
      <c r="O7409">
        <v>1.7017640000000001E-2</v>
      </c>
      <c r="P7409">
        <v>0.97399230000000003</v>
      </c>
      <c r="Q7409">
        <v>0.21892929999999999</v>
      </c>
      <c r="R7409">
        <v>5.8388500000000003E-2</v>
      </c>
      <c r="S7409">
        <v>3.0878909999999999</v>
      </c>
      <c r="T7409">
        <v>0.103849499999999</v>
      </c>
      <c r="U7409">
        <v>-0.5055847</v>
      </c>
      <c r="V7409">
        <v>-4.1873420000000001E-2</v>
      </c>
      <c r="W7409">
        <v>0.24869440000000001</v>
      </c>
      <c r="X7409">
        <v>0.96767650000000005</v>
      </c>
      <c r="Y7409">
        <v>0.1783168</v>
      </c>
      <c r="Z7409">
        <v>1.312609E-3</v>
      </c>
      <c r="AA7409">
        <v>0.98397230000000002</v>
      </c>
      <c r="AB7409">
        <v>16</v>
      </c>
      <c r="AC7409">
        <v>3.0878909999999999</v>
      </c>
      <c r="AD7409">
        <v>0.103849499999999</v>
      </c>
      <c r="AE7409">
        <v>-0.5055847</v>
      </c>
      <c r="AF7409">
        <v>0.557470659673588</v>
      </c>
      <c r="AG7409">
        <v>0.103849499999999</v>
      </c>
      <c r="AH7409">
        <v>3.0754478258955</v>
      </c>
      <c r="AI7409">
        <v>88.096999721102605</v>
      </c>
      <c r="AJ7409">
        <v>79.725844303061393</v>
      </c>
      <c r="AK7409">
        <v>3.1272891751247598</v>
      </c>
      <c r="AL7409">
        <v>75.599733756767293</v>
      </c>
      <c r="AM7409">
        <v>92.477764476312601</v>
      </c>
      <c r="AN7409">
        <v>1.00000004827305</v>
      </c>
    </row>
    <row r="7410" spans="1:40" x14ac:dyDescent="0.25">
      <c r="A7410" t="str">
        <f>"20190304155820773"</f>
        <v>20190304155820773</v>
      </c>
      <c r="B7410" t="str">
        <f>"1551686300761974"</f>
        <v>1551686300761974</v>
      </c>
      <c r="C7410" t="s">
        <v>40</v>
      </c>
      <c r="D7410">
        <v>5.745304</v>
      </c>
      <c r="E7410">
        <v>0.56786599999999998</v>
      </c>
      <c r="F7410" t="s">
        <v>51</v>
      </c>
      <c r="G7410">
        <v>-29.620090000000001</v>
      </c>
      <c r="H7410">
        <v>-0.1</v>
      </c>
      <c r="I7410">
        <v>124.9761</v>
      </c>
      <c r="J7410">
        <v>-125.7188</v>
      </c>
      <c r="K7410">
        <v>1.112975</v>
      </c>
      <c r="L7410">
        <v>137.44220000000001</v>
      </c>
      <c r="M7410">
        <v>0.99937670000000001</v>
      </c>
      <c r="N7410">
        <v>-3.0747879999999998E-2</v>
      </c>
      <c r="O7410">
        <v>1.7344910000000002E-2</v>
      </c>
      <c r="P7410">
        <v>0.97413519999999998</v>
      </c>
      <c r="Q7410">
        <v>0.21850020000000001</v>
      </c>
      <c r="R7410">
        <v>5.7605829999999997E-2</v>
      </c>
      <c r="S7410">
        <v>3.1130979999999999</v>
      </c>
      <c r="T7410">
        <v>-3.923488E-2</v>
      </c>
      <c r="U7410">
        <v>-0.40313719999999997</v>
      </c>
      <c r="V7410">
        <v>-4.0759839999999999E-2</v>
      </c>
      <c r="W7410">
        <v>0.24836469999999999</v>
      </c>
      <c r="X7410">
        <v>0.96780869999999997</v>
      </c>
      <c r="Y7410">
        <v>0.14557239999999999</v>
      </c>
      <c r="Z7410">
        <v>-2.8482569999999999E-3</v>
      </c>
      <c r="AA7410">
        <v>0.98934350000000004</v>
      </c>
      <c r="AB7410">
        <v>15</v>
      </c>
      <c r="AC7410">
        <v>96.098709999999997</v>
      </c>
      <c r="AD7410">
        <v>-1.2129749999999999</v>
      </c>
      <c r="AE7410">
        <v>-12.466100000000001</v>
      </c>
      <c r="AF7410">
        <v>14.129620942713499</v>
      </c>
      <c r="AG7410">
        <v>-1.2129749999999999</v>
      </c>
      <c r="AH7410">
        <v>95.852895624647402</v>
      </c>
      <c r="AI7410">
        <v>90.717263254671295</v>
      </c>
      <c r="AJ7410">
        <v>81.614451699219401</v>
      </c>
      <c r="AK7410">
        <v>96.896311054471695</v>
      </c>
      <c r="AL7410">
        <v>75.619235867371799</v>
      </c>
      <c r="AM7410">
        <v>92.411620714200396</v>
      </c>
      <c r="AN7410">
        <v>1.0000000342793001</v>
      </c>
    </row>
    <row r="7411" spans="1:40" x14ac:dyDescent="0.25">
      <c r="A7411" t="str">
        <f>"20190304155820798"</f>
        <v>20190304155820798</v>
      </c>
      <c r="B7411" t="str">
        <f>"1551686300792230"</f>
        <v>1551686300792230</v>
      </c>
      <c r="C7411" t="s">
        <v>40</v>
      </c>
      <c r="D7411">
        <v>5.8396790000000003</v>
      </c>
      <c r="E7411">
        <v>0.56060390000000004</v>
      </c>
      <c r="F7411" t="s">
        <v>41</v>
      </c>
      <c r="G7411">
        <v>-80.670850000000002</v>
      </c>
      <c r="H7411" s="1">
        <v>-5.3438850000000004E-6</v>
      </c>
      <c r="I7411">
        <v>131.95269999999999</v>
      </c>
      <c r="J7411">
        <v>-125.56659999999999</v>
      </c>
      <c r="K7411">
        <v>1.1131070000000001</v>
      </c>
      <c r="L7411">
        <v>137.4453</v>
      </c>
      <c r="M7411">
        <v>0.99935169999999995</v>
      </c>
      <c r="N7411">
        <v>-3.1371919999999998E-2</v>
      </c>
      <c r="O7411">
        <v>1.7667950000000002E-2</v>
      </c>
      <c r="P7411">
        <v>0.97456100000000001</v>
      </c>
      <c r="Q7411">
        <v>0.21661710000000001</v>
      </c>
      <c r="R7411">
        <v>5.7515860000000002E-2</v>
      </c>
      <c r="S7411">
        <v>3.119415</v>
      </c>
      <c r="T7411">
        <v>-7.707E-2</v>
      </c>
      <c r="U7411">
        <v>-0.38012699999999999</v>
      </c>
      <c r="V7411">
        <v>-4.033486E-2</v>
      </c>
      <c r="W7411">
        <v>0.24710260000000001</v>
      </c>
      <c r="X7411">
        <v>0.9681495</v>
      </c>
      <c r="Y7411">
        <v>0.13839589999999999</v>
      </c>
      <c r="Z7411">
        <v>-3.7659149999999999E-3</v>
      </c>
      <c r="AA7411">
        <v>0.99036990000000003</v>
      </c>
      <c r="AB7411">
        <v>15</v>
      </c>
      <c r="AC7411">
        <v>44.8957499999999</v>
      </c>
      <c r="AD7411">
        <v>-1.1131123438849999</v>
      </c>
      <c r="AE7411">
        <v>-5.4926000000000004</v>
      </c>
      <c r="AF7411">
        <v>6.2815438770126404</v>
      </c>
      <c r="AG7411">
        <v>-1.1131123438849999</v>
      </c>
      <c r="AH7411">
        <v>44.764533288644699</v>
      </c>
      <c r="AI7411">
        <v>91.410605420901703</v>
      </c>
      <c r="AJ7411">
        <v>82.012176526886904</v>
      </c>
      <c r="AK7411">
        <v>45.216813832015198</v>
      </c>
      <c r="AL7411">
        <v>75.693875394332494</v>
      </c>
      <c r="AM7411">
        <v>92.385666215338702</v>
      </c>
      <c r="AN7411">
        <v>1.0000000251041099</v>
      </c>
    </row>
    <row r="7412" spans="1:40" x14ac:dyDescent="0.25">
      <c r="A7412" t="str">
        <f>"20190304155820820"</f>
        <v>20190304155820820</v>
      </c>
      <c r="B7412" t="str">
        <f>"1551686300811750"</f>
        <v>1551686300811750</v>
      </c>
      <c r="C7412" t="s">
        <v>40</v>
      </c>
      <c r="D7412">
        <v>5.8029010000000003</v>
      </c>
      <c r="E7412">
        <v>0.55853529999999996</v>
      </c>
      <c r="F7412" t="s">
        <v>41</v>
      </c>
      <c r="G7412">
        <v>-96.350489999999994</v>
      </c>
      <c r="H7412" s="1">
        <v>-2.6099580000000001E-6</v>
      </c>
      <c r="I7412">
        <v>134.42250000000001</v>
      </c>
      <c r="J7412">
        <v>-125.42610000000001</v>
      </c>
      <c r="K7412">
        <v>1.1132219999999999</v>
      </c>
      <c r="L7412">
        <v>137.44810000000001</v>
      </c>
      <c r="M7412">
        <v>0.99932609999999999</v>
      </c>
      <c r="N7412">
        <v>-3.2020079999999999E-2</v>
      </c>
      <c r="O7412">
        <v>1.7954169999999998E-2</v>
      </c>
      <c r="P7412">
        <v>0.97508189999999995</v>
      </c>
      <c r="Q7412">
        <v>0.2142723</v>
      </c>
      <c r="R7412">
        <v>5.7472910000000002E-2</v>
      </c>
      <c r="S7412">
        <v>3.12384</v>
      </c>
      <c r="T7412">
        <v>-0.1190155</v>
      </c>
      <c r="U7412">
        <v>-0.32319639999999999</v>
      </c>
      <c r="V7412">
        <v>-3.999163E-2</v>
      </c>
      <c r="W7412">
        <v>0.2454056</v>
      </c>
      <c r="X7412">
        <v>0.96859530000000005</v>
      </c>
      <c r="Y7412">
        <v>0.1206028</v>
      </c>
      <c r="Z7412">
        <v>-4.3369970000000004E-3</v>
      </c>
      <c r="AA7412">
        <v>0.99269130000000005</v>
      </c>
      <c r="AB7412">
        <v>14</v>
      </c>
      <c r="AC7412">
        <v>29.075610000000001</v>
      </c>
      <c r="AD7412">
        <v>-1.1132246099580001</v>
      </c>
      <c r="AE7412">
        <v>-3.0255999999999901</v>
      </c>
      <c r="AF7412">
        <v>3.5422709625062199</v>
      </c>
      <c r="AG7412">
        <v>-1.1132246099580001</v>
      </c>
      <c r="AH7412">
        <v>28.974549380194802</v>
      </c>
      <c r="AI7412">
        <v>92.184021041879603</v>
      </c>
      <c r="AJ7412">
        <v>83.029917373544507</v>
      </c>
      <c r="AK7412">
        <v>29.2114954151508</v>
      </c>
      <c r="AL7412">
        <v>75.794195995933293</v>
      </c>
      <c r="AM7412">
        <v>92.364301071908997</v>
      </c>
      <c r="AN7412">
        <v>1.0000000470817501</v>
      </c>
    </row>
    <row r="7413" spans="1:40" x14ac:dyDescent="0.25">
      <c r="A7413" t="str">
        <f>"20190304155820840"</f>
        <v>20190304155820840</v>
      </c>
      <c r="B7413" t="str">
        <f>"1551686300832247"</f>
        <v>1551686300832247</v>
      </c>
      <c r="C7413" t="s">
        <v>40</v>
      </c>
      <c r="D7413">
        <v>5.6574429999999998</v>
      </c>
      <c r="E7413">
        <v>0.55665359999999997</v>
      </c>
      <c r="F7413" t="s">
        <v>41</v>
      </c>
      <c r="G7413">
        <v>-100.6585</v>
      </c>
      <c r="H7413" s="1">
        <v>-5.2114429999999999E-6</v>
      </c>
      <c r="I7413">
        <v>135.02080000000001</v>
      </c>
      <c r="J7413">
        <v>-125.30840000000001</v>
      </c>
      <c r="K7413">
        <v>1.113202</v>
      </c>
      <c r="L7413">
        <v>137.45050000000001</v>
      </c>
      <c r="M7413">
        <v>0.99931680000000001</v>
      </c>
      <c r="N7413">
        <v>-3.2174800000000003E-2</v>
      </c>
      <c r="O7413">
        <v>1.818956E-2</v>
      </c>
      <c r="P7413">
        <v>0.97553369999999995</v>
      </c>
      <c r="Q7413">
        <v>0.21232870000000001</v>
      </c>
      <c r="R7413">
        <v>5.7014139999999998E-2</v>
      </c>
      <c r="S7413">
        <v>3.12561</v>
      </c>
      <c r="T7413">
        <v>-0.14048659999999999</v>
      </c>
      <c r="U7413">
        <v>-0.30632019999999999</v>
      </c>
      <c r="V7413">
        <v>-3.9288339999999998E-2</v>
      </c>
      <c r="W7413">
        <v>0.2436287</v>
      </c>
      <c r="X7413">
        <v>0.9690725</v>
      </c>
      <c r="Y7413">
        <v>0.1154317</v>
      </c>
      <c r="Z7413">
        <v>-4.6817109999999999E-3</v>
      </c>
      <c r="AA7413">
        <v>0.99330439999999998</v>
      </c>
      <c r="AB7413">
        <v>14</v>
      </c>
      <c r="AC7413">
        <v>24.649899999999999</v>
      </c>
      <c r="AD7413">
        <v>-1.1132072114430001</v>
      </c>
      <c r="AE7413">
        <v>-2.4296999999999902</v>
      </c>
      <c r="AF7413">
        <v>2.8720994122193599</v>
      </c>
      <c r="AG7413">
        <v>-1.1132072114430001</v>
      </c>
      <c r="AH7413">
        <v>24.552007770044199</v>
      </c>
      <c r="AI7413">
        <v>92.578498745961298</v>
      </c>
      <c r="AJ7413">
        <v>83.327851228873598</v>
      </c>
      <c r="AK7413">
        <v>24.744479603935702</v>
      </c>
      <c r="AL7413">
        <v>75.899191556029393</v>
      </c>
      <c r="AM7413">
        <v>92.321626038621105</v>
      </c>
      <c r="AN7413">
        <v>1.0000000136899401</v>
      </c>
    </row>
    <row r="7414" spans="1:40" x14ac:dyDescent="0.25">
      <c r="A7414" t="str">
        <f>"20190304155820861"</f>
        <v>20190304155820861</v>
      </c>
      <c r="B7414" t="str">
        <f>"1551686300851766"</f>
        <v>1551686300851766</v>
      </c>
      <c r="C7414" t="s">
        <v>40</v>
      </c>
      <c r="D7414">
        <v>5.7820609999999997</v>
      </c>
      <c r="E7414">
        <v>0.55468669999999998</v>
      </c>
      <c r="F7414" t="s">
        <v>41</v>
      </c>
      <c r="G7414">
        <v>-103.3402</v>
      </c>
      <c r="H7414" s="1">
        <v>-3.8783459999999998E-6</v>
      </c>
      <c r="I7414">
        <v>135.3897</v>
      </c>
      <c r="J7414">
        <v>-125.1807</v>
      </c>
      <c r="K7414">
        <v>1.1130580000000001</v>
      </c>
      <c r="L7414">
        <v>137.45320000000001</v>
      </c>
      <c r="M7414">
        <v>0.99932279999999996</v>
      </c>
      <c r="N7414">
        <v>-3.184878E-2</v>
      </c>
      <c r="O7414">
        <v>1.8437220000000001E-2</v>
      </c>
      <c r="P7414">
        <v>0.97598359999999995</v>
      </c>
      <c r="Q7414">
        <v>0.2103093</v>
      </c>
      <c r="R7414">
        <v>5.6803100000000002E-2</v>
      </c>
      <c r="S7414">
        <v>3.126862</v>
      </c>
      <c r="T7414">
        <v>-0.1584489</v>
      </c>
      <c r="U7414">
        <v>-0.29333500000000001</v>
      </c>
      <c r="V7414">
        <v>-3.882356E-2</v>
      </c>
      <c r="W7414">
        <v>0.2413092</v>
      </c>
      <c r="X7414">
        <v>0.96967139999999996</v>
      </c>
      <c r="Y7414">
        <v>0.11151610000000001</v>
      </c>
      <c r="Z7414">
        <v>-4.9454570000000003E-3</v>
      </c>
      <c r="AA7414">
        <v>0.99375029999999998</v>
      </c>
      <c r="AB7414">
        <v>14</v>
      </c>
      <c r="AC7414">
        <v>21.840499999999999</v>
      </c>
      <c r="AD7414">
        <v>-1.113061878346</v>
      </c>
      <c r="AE7414">
        <v>-2.0634999999999999</v>
      </c>
      <c r="AF7414">
        <v>2.4596993812656902</v>
      </c>
      <c r="AG7414">
        <v>-1.113061878346</v>
      </c>
      <c r="AH7414">
        <v>21.7427475969852</v>
      </c>
      <c r="AI7414">
        <v>92.912004068327803</v>
      </c>
      <c r="AJ7414">
        <v>83.545720571629005</v>
      </c>
      <c r="AK7414">
        <v>21.909726170297802</v>
      </c>
      <c r="AL7414">
        <v>76.036176876716596</v>
      </c>
      <c r="AM7414">
        <v>92.292775334629695</v>
      </c>
      <c r="AN7414">
        <v>1.0000000113968299</v>
      </c>
    </row>
    <row r="7415" spans="1:40" x14ac:dyDescent="0.25">
      <c r="A7415" t="str">
        <f>"20190304155820884"</f>
        <v>20190304155820884</v>
      </c>
      <c r="B7415" t="str">
        <f>"1551686300881554"</f>
        <v>1551686300881554</v>
      </c>
      <c r="C7415" t="s">
        <v>40</v>
      </c>
      <c r="D7415">
        <v>5.7700940000000003</v>
      </c>
      <c r="E7415">
        <v>0.55248059999999999</v>
      </c>
      <c r="F7415" t="s">
        <v>41</v>
      </c>
      <c r="G7415">
        <v>-105.3719</v>
      </c>
      <c r="H7415" s="1">
        <v>-2.8643050000000002E-6</v>
      </c>
      <c r="I7415">
        <v>135.69200000000001</v>
      </c>
      <c r="J7415">
        <v>-125.0487</v>
      </c>
      <c r="K7415">
        <v>1.112914</v>
      </c>
      <c r="L7415">
        <v>137.45590000000001</v>
      </c>
      <c r="M7415">
        <v>0.99933170000000004</v>
      </c>
      <c r="N7415">
        <v>-3.1416850000000003E-2</v>
      </c>
      <c r="O7415">
        <v>1.8681989999999999E-2</v>
      </c>
      <c r="P7415">
        <v>0.97632450000000004</v>
      </c>
      <c r="Q7415">
        <v>0.2089046</v>
      </c>
      <c r="R7415">
        <v>5.6120040000000003E-2</v>
      </c>
      <c r="S7415">
        <v>3.1278839999999999</v>
      </c>
      <c r="T7415">
        <v>-0.1757562</v>
      </c>
      <c r="U7415">
        <v>-0.27809139999999999</v>
      </c>
      <c r="V7415">
        <v>-3.7891340000000003E-2</v>
      </c>
      <c r="W7415">
        <v>0.2394976</v>
      </c>
      <c r="X7415">
        <v>0.9701573</v>
      </c>
      <c r="Y7415">
        <v>0.1068928</v>
      </c>
      <c r="Z7415">
        <v>-5.1412009999999998E-3</v>
      </c>
      <c r="AA7415">
        <v>0.99425730000000001</v>
      </c>
      <c r="AB7415">
        <v>13</v>
      </c>
      <c r="AC7415">
        <v>19.6768</v>
      </c>
      <c r="AD7415">
        <v>-1.112916864305</v>
      </c>
      <c r="AE7415">
        <v>-1.7639</v>
      </c>
      <c r="AF7415">
        <v>2.1246326532064899</v>
      </c>
      <c r="AG7415">
        <v>-1.112916864305</v>
      </c>
      <c r="AH7415">
        <v>19.578261208242999</v>
      </c>
      <c r="AI7415">
        <v>93.234500550178495</v>
      </c>
      <c r="AJ7415">
        <v>83.806499629562197</v>
      </c>
      <c r="AK7415">
        <v>19.7246282549537</v>
      </c>
      <c r="AL7415">
        <v>76.143110073524298</v>
      </c>
      <c r="AM7415">
        <v>92.236658893366396</v>
      </c>
      <c r="AN7415">
        <v>1.0000000203980199</v>
      </c>
    </row>
    <row r="7416" spans="1:40" x14ac:dyDescent="0.25">
      <c r="A7416" t="str">
        <f>"20190304155820909"</f>
        <v>20190304155820909</v>
      </c>
      <c r="B7416" t="str">
        <f>"1551686300902050"</f>
        <v>1551686300902050</v>
      </c>
      <c r="C7416" t="s">
        <v>40</v>
      </c>
      <c r="D7416">
        <v>5.7814160000000001</v>
      </c>
      <c r="E7416">
        <v>0.55137400000000003</v>
      </c>
      <c r="F7416" t="s">
        <v>41</v>
      </c>
      <c r="G7416">
        <v>-106.71129999999999</v>
      </c>
      <c r="H7416" s="1">
        <v>-2.230965E-6</v>
      </c>
      <c r="I7416">
        <v>135.9187</v>
      </c>
      <c r="J7416">
        <v>-124.9053</v>
      </c>
      <c r="K7416">
        <v>1.1128559999999901</v>
      </c>
      <c r="L7416">
        <v>137.459</v>
      </c>
      <c r="M7416">
        <v>0.99933300000000003</v>
      </c>
      <c r="N7416">
        <v>-3.1224129999999999E-2</v>
      </c>
      <c r="O7416">
        <v>1.8939350000000001E-2</v>
      </c>
      <c r="P7416">
        <v>0.97653089999999998</v>
      </c>
      <c r="Q7416">
        <v>0.2081664</v>
      </c>
      <c r="R7416">
        <v>5.5268240000000003E-2</v>
      </c>
      <c r="S7416">
        <v>3.1284480000000001</v>
      </c>
      <c r="T7416">
        <v>-0.18986890000000001</v>
      </c>
      <c r="U7416">
        <v>-0.26225279999999901</v>
      </c>
      <c r="V7416">
        <v>-3.6777570000000002E-2</v>
      </c>
      <c r="W7416">
        <v>0.23857990000000001</v>
      </c>
      <c r="X7416">
        <v>0.97042620000000002</v>
      </c>
      <c r="Y7416">
        <v>0.1021112</v>
      </c>
      <c r="Z7416">
        <v>-5.2463659999999997E-3</v>
      </c>
      <c r="AA7416">
        <v>0.99475910000000001</v>
      </c>
      <c r="AB7416">
        <v>13</v>
      </c>
      <c r="AC7416">
        <v>18.193999999999999</v>
      </c>
      <c r="AD7416">
        <v>-1.1128582309649999</v>
      </c>
      <c r="AE7416">
        <v>-1.5403</v>
      </c>
      <c r="AF7416">
        <v>1.877798643882</v>
      </c>
      <c r="AG7416">
        <v>-1.1128582309649999</v>
      </c>
      <c r="AH7416">
        <v>18.094332228668801</v>
      </c>
      <c r="AI7416">
        <v>93.500683731377507</v>
      </c>
      <c r="AJ7416">
        <v>84.075151977134198</v>
      </c>
      <c r="AK7416">
        <v>18.225516178990201</v>
      </c>
      <c r="AL7416">
        <v>76.1972597103845</v>
      </c>
      <c r="AM7416">
        <v>92.170377884413099</v>
      </c>
      <c r="AN7416">
        <v>0.99999998399277701</v>
      </c>
    </row>
    <row r="7417" spans="1:40" x14ac:dyDescent="0.25">
      <c r="A7417" t="str">
        <f>"20190304155820933"</f>
        <v>20190304155820933</v>
      </c>
      <c r="B7417" t="str">
        <f>"1551686300921569"</f>
        <v>1551686300921569</v>
      </c>
      <c r="C7417" t="s">
        <v>40</v>
      </c>
      <c r="D7417">
        <v>5.2642100000000003</v>
      </c>
      <c r="E7417">
        <v>0.55394019999999899</v>
      </c>
      <c r="F7417" t="s">
        <v>41</v>
      </c>
      <c r="G7417">
        <v>-107.3443</v>
      </c>
      <c r="H7417" s="1">
        <v>-1.9615050000000001E-6</v>
      </c>
      <c r="I7417">
        <v>136.01779999999999</v>
      </c>
      <c r="J7417">
        <v>-124.7841</v>
      </c>
      <c r="K7417">
        <v>1.1128640000000001</v>
      </c>
      <c r="L7417">
        <v>137.4615</v>
      </c>
      <c r="M7417">
        <v>0.99932909999999997</v>
      </c>
      <c r="N7417">
        <v>-3.1217660000000001E-2</v>
      </c>
      <c r="O7417">
        <v>1.9151350000000001E-2</v>
      </c>
      <c r="P7417">
        <v>0.9766591</v>
      </c>
      <c r="Q7417">
        <v>0.20773820000000001</v>
      </c>
      <c r="R7417">
        <v>5.4607019999999999E-2</v>
      </c>
      <c r="S7417">
        <v>3.1289220000000002</v>
      </c>
      <c r="T7417">
        <v>-0.19828370000000001</v>
      </c>
      <c r="U7417">
        <v>-0.25677489999999997</v>
      </c>
      <c r="V7417">
        <v>-3.5900410000000001E-2</v>
      </c>
      <c r="W7417">
        <v>0.23815059999999999</v>
      </c>
      <c r="X7417">
        <v>0.97056450000000005</v>
      </c>
      <c r="Y7417">
        <v>0.1005617</v>
      </c>
      <c r="Z7417">
        <v>-5.3668209999999999E-3</v>
      </c>
      <c r="AA7417">
        <v>0.99491629999999998</v>
      </c>
      <c r="AB7417">
        <v>13</v>
      </c>
      <c r="AC7417">
        <v>17.439799999999899</v>
      </c>
      <c r="AD7417">
        <v>-1.1128659615049901</v>
      </c>
      <c r="AE7417">
        <v>-1.4437</v>
      </c>
      <c r="AF7417">
        <v>1.77043349168918</v>
      </c>
      <c r="AG7417">
        <v>-1.1128659615049901</v>
      </c>
      <c r="AH7417">
        <v>17.3388137736729</v>
      </c>
      <c r="AI7417">
        <v>93.653462638339207</v>
      </c>
      <c r="AJ7417">
        <v>84.169842125917498</v>
      </c>
      <c r="AK7417">
        <v>17.464460154120999</v>
      </c>
      <c r="AL7417">
        <v>76.222587028124707</v>
      </c>
      <c r="AM7417">
        <v>92.118359616032507</v>
      </c>
      <c r="AN7417">
        <v>0.99999999818938901</v>
      </c>
    </row>
    <row r="7418" spans="1:40" x14ac:dyDescent="0.25">
      <c r="A7418" t="str">
        <f>"20190304155820953"</f>
        <v>20190304155820953</v>
      </c>
      <c r="B7418" t="str">
        <f>"1551686300942067"</f>
        <v>1551686300942067</v>
      </c>
      <c r="C7418" t="s">
        <v>40</v>
      </c>
      <c r="D7418">
        <v>5.7291829999999999</v>
      </c>
      <c r="E7418">
        <v>0.55262149999999999</v>
      </c>
      <c r="F7418" t="s">
        <v>41</v>
      </c>
      <c r="G7418">
        <v>-106.80759999999999</v>
      </c>
      <c r="H7418" s="1">
        <v>-2.2095959999999999E-6</v>
      </c>
      <c r="I7418">
        <v>135.86000000000001</v>
      </c>
      <c r="J7418">
        <v>-124.67010000000001</v>
      </c>
      <c r="K7418">
        <v>1.1128499999999999</v>
      </c>
      <c r="L7418">
        <v>137.4639</v>
      </c>
      <c r="M7418">
        <v>0.99932840000000001</v>
      </c>
      <c r="N7418">
        <v>-3.112943E-2</v>
      </c>
      <c r="O7418">
        <v>1.933965E-2</v>
      </c>
      <c r="P7418">
        <v>0.97677179999999997</v>
      </c>
      <c r="Q7418">
        <v>0.20740990000000001</v>
      </c>
      <c r="R7418">
        <v>5.383404E-2</v>
      </c>
      <c r="S7418">
        <v>3.1284640000000001</v>
      </c>
      <c r="T7418">
        <v>-0.19367309999999999</v>
      </c>
      <c r="U7418">
        <v>-0.2787018</v>
      </c>
      <c r="V7418">
        <v>-3.4937679999999999E-2</v>
      </c>
      <c r="W7418">
        <v>0.2377407</v>
      </c>
      <c r="X7418">
        <v>0.97070009999999995</v>
      </c>
      <c r="Y7418">
        <v>0.107673</v>
      </c>
      <c r="Z7418">
        <v>-5.5984650000000004E-3</v>
      </c>
      <c r="AA7418">
        <v>0.99417060000000002</v>
      </c>
      <c r="AB7418">
        <v>12</v>
      </c>
      <c r="AC7418">
        <v>17.862500000000001</v>
      </c>
      <c r="AD7418">
        <v>-1.1128522095959901</v>
      </c>
      <c r="AE7418">
        <v>-1.6038999999999799</v>
      </c>
      <c r="AF7418">
        <v>1.9417452319023101</v>
      </c>
      <c r="AG7418">
        <v>-1.1128522095959901</v>
      </c>
      <c r="AH7418">
        <v>17.7597404012574</v>
      </c>
      <c r="AI7418">
        <v>93.564366721233696</v>
      </c>
      <c r="AJ7418">
        <v>83.760401361312503</v>
      </c>
      <c r="AK7418">
        <v>17.9002009403826</v>
      </c>
      <c r="AL7418">
        <v>76.246766843182897</v>
      </c>
      <c r="AM7418">
        <v>92.061314183332897</v>
      </c>
      <c r="AN7418">
        <v>0.99999998303014104</v>
      </c>
    </row>
    <row r="7419" spans="1:40" x14ac:dyDescent="0.25">
      <c r="A7419" t="str">
        <f>"20190304155820973"</f>
        <v>20190304155820973</v>
      </c>
      <c r="B7419" t="str">
        <f>"1551686300961586"</f>
        <v>1551686300961586</v>
      </c>
      <c r="C7419" t="s">
        <v>40</v>
      </c>
      <c r="D7419">
        <v>7.0643529999999997</v>
      </c>
      <c r="E7419">
        <v>0.55447250000000003</v>
      </c>
      <c r="F7419" t="s">
        <v>41</v>
      </c>
      <c r="G7419">
        <v>-107.41889999999999</v>
      </c>
      <c r="H7419" s="1">
        <v>-1.9447350000000001E-6</v>
      </c>
      <c r="I7419">
        <v>135.97319999999999</v>
      </c>
      <c r="J7419">
        <v>-124.56529999999999</v>
      </c>
      <c r="K7419">
        <v>1.112822</v>
      </c>
      <c r="L7419">
        <v>137.46619999999999</v>
      </c>
      <c r="M7419">
        <v>0.99933059999999996</v>
      </c>
      <c r="N7419">
        <v>-3.0953060000000001E-2</v>
      </c>
      <c r="O7419">
        <v>1.9502530000000001E-2</v>
      </c>
      <c r="P7419">
        <v>0.97676940000000001</v>
      </c>
      <c r="Q7419">
        <v>0.20747869999999999</v>
      </c>
      <c r="R7419">
        <v>5.3611810000000003E-2</v>
      </c>
      <c r="S7419">
        <v>3.129105</v>
      </c>
      <c r="T7419">
        <v>-0.20185510000000001</v>
      </c>
      <c r="U7419">
        <v>-0.270401</v>
      </c>
      <c r="V7419">
        <v>-3.4554849999999998E-2</v>
      </c>
      <c r="W7419">
        <v>0.2376383</v>
      </c>
      <c r="X7419">
        <v>0.97073889999999996</v>
      </c>
      <c r="Y7419">
        <v>0.105184</v>
      </c>
      <c r="Z7419">
        <v>-5.6690279999999996E-3</v>
      </c>
      <c r="AA7419">
        <v>0.9944366</v>
      </c>
      <c r="AB7419">
        <v>12</v>
      </c>
      <c r="AC7419">
        <v>17.1464</v>
      </c>
      <c r="AD7419">
        <v>-1.1128239447349999</v>
      </c>
      <c r="AE7419">
        <v>-1.4929999999999899</v>
      </c>
      <c r="AF7419">
        <v>1.819667151515</v>
      </c>
      <c r="AG7419">
        <v>-1.1128239447349999</v>
      </c>
      <c r="AH7419">
        <v>17.042757525886099</v>
      </c>
      <c r="AI7419">
        <v>93.714827162091098</v>
      </c>
      <c r="AJ7419">
        <v>83.905578293985002</v>
      </c>
      <c r="AK7419">
        <v>17.175713951985401</v>
      </c>
      <c r="AL7419">
        <v>76.2528073526437</v>
      </c>
      <c r="AM7419">
        <v>92.038665058250501</v>
      </c>
      <c r="AN7419">
        <v>1.0000000056293099</v>
      </c>
    </row>
    <row r="7420" spans="1:40" x14ac:dyDescent="0.25">
      <c r="A7420" t="str">
        <f>"20190304155820995"</f>
        <v>20190304155820995</v>
      </c>
      <c r="B7420" t="str">
        <f>"1551686300992348"</f>
        <v>1551686300992348</v>
      </c>
      <c r="C7420" t="s">
        <v>40</v>
      </c>
      <c r="D7420">
        <v>5.3203559999999896</v>
      </c>
      <c r="E7420">
        <v>0.55902559999999901</v>
      </c>
      <c r="F7420" t="s">
        <v>41</v>
      </c>
      <c r="G7420">
        <v>-106.6499</v>
      </c>
      <c r="H7420" s="1">
        <v>-2.279626E-6</v>
      </c>
      <c r="I7420">
        <v>135.8245</v>
      </c>
      <c r="J7420">
        <v>-124.4586</v>
      </c>
      <c r="K7420">
        <v>1.1127910000000001</v>
      </c>
      <c r="L7420">
        <v>137.46850000000001</v>
      </c>
      <c r="M7420">
        <v>0.99933369999999999</v>
      </c>
      <c r="N7420">
        <v>-3.07494E-2</v>
      </c>
      <c r="O7420">
        <v>1.9662809999999999E-2</v>
      </c>
      <c r="P7420">
        <v>0.97666629999999999</v>
      </c>
      <c r="Q7420">
        <v>0.207928</v>
      </c>
      <c r="R7420">
        <v>5.3745439999999998E-2</v>
      </c>
      <c r="S7420">
        <v>3.1283569999999998</v>
      </c>
      <c r="T7420">
        <v>-0.19431899999999999</v>
      </c>
      <c r="U7420">
        <v>-0.2866669</v>
      </c>
      <c r="V7420">
        <v>-3.4531850000000003E-2</v>
      </c>
      <c r="W7420">
        <v>0.2378866</v>
      </c>
      <c r="X7420">
        <v>0.97067890000000001</v>
      </c>
      <c r="Y7420">
        <v>0.1104986</v>
      </c>
      <c r="Z7420">
        <v>-5.7414079999999999E-3</v>
      </c>
      <c r="AA7420">
        <v>0.99385970000000001</v>
      </c>
      <c r="AB7420">
        <v>12</v>
      </c>
      <c r="AC7420">
        <v>17.808700000000002</v>
      </c>
      <c r="AD7420">
        <v>-1.1127932796259901</v>
      </c>
      <c r="AE7420">
        <v>-1.6439999999999999</v>
      </c>
      <c r="AF7420">
        <v>1.9863265493654101</v>
      </c>
      <c r="AG7420">
        <v>-1.1127932796259901</v>
      </c>
      <c r="AH7420">
        <v>17.7043703422408</v>
      </c>
      <c r="AI7420">
        <v>93.574180676116399</v>
      </c>
      <c r="AJ7420">
        <v>83.598519499248894</v>
      </c>
      <c r="AK7420">
        <v>17.850168942032699</v>
      </c>
      <c r="AL7420">
        <v>76.238160787583098</v>
      </c>
      <c r="AM7420">
        <v>92.037435074299395</v>
      </c>
      <c r="AN7420">
        <v>1.0000000050145901</v>
      </c>
    </row>
    <row r="7421" spans="1:40" x14ac:dyDescent="0.25">
      <c r="A7421" t="str">
        <f>"20190304155821018"</f>
        <v>20190304155821018</v>
      </c>
      <c r="B7421" t="str">
        <f>"1551686301011868"</f>
        <v>1551686301011868</v>
      </c>
      <c r="C7421" t="s">
        <v>40</v>
      </c>
      <c r="D7421">
        <v>5.2241200000000001</v>
      </c>
      <c r="E7421">
        <v>0.56261939999999999</v>
      </c>
      <c r="F7421" t="s">
        <v>41</v>
      </c>
      <c r="G7421">
        <v>-104.7384</v>
      </c>
      <c r="H7421" s="1">
        <v>-3.2096670000000001E-6</v>
      </c>
      <c r="I7421">
        <v>135.4333</v>
      </c>
      <c r="J7421">
        <v>-124.3451</v>
      </c>
      <c r="K7421">
        <v>1.112773</v>
      </c>
      <c r="L7421">
        <v>137.4709</v>
      </c>
      <c r="M7421">
        <v>0.99933640000000001</v>
      </c>
      <c r="N7421">
        <v>-3.0554479999999998E-2</v>
      </c>
      <c r="O7421">
        <v>1.983234E-2</v>
      </c>
      <c r="P7421">
        <v>0.97670729999999994</v>
      </c>
      <c r="Q7421">
        <v>0.2076568</v>
      </c>
      <c r="R7421">
        <v>5.4050199999999902E-2</v>
      </c>
      <c r="S7421">
        <v>3.1269990000000001</v>
      </c>
      <c r="T7421">
        <v>-0.17645379999999899</v>
      </c>
      <c r="U7421">
        <v>-0.322708099999999</v>
      </c>
      <c r="V7421">
        <v>-3.466731E-2</v>
      </c>
      <c r="W7421">
        <v>0.23742849999999999</v>
      </c>
      <c r="X7421">
        <v>0.97078620000000004</v>
      </c>
      <c r="Y7421">
        <v>0.12206789999999899</v>
      </c>
      <c r="Z7421">
        <v>-5.8161189999999998E-3</v>
      </c>
      <c r="AA7421">
        <v>0.99250470000000002</v>
      </c>
      <c r="AB7421">
        <v>11</v>
      </c>
      <c r="AC7421">
        <v>19.6067</v>
      </c>
      <c r="AD7421">
        <v>-1.112776209667</v>
      </c>
      <c r="AE7421">
        <v>-2.0375999999999901</v>
      </c>
      <c r="AF7421">
        <v>2.41852011853089</v>
      </c>
      <c r="AG7421">
        <v>-1.112776209667</v>
      </c>
      <c r="AH7421">
        <v>19.500269362244001</v>
      </c>
      <c r="AI7421">
        <v>93.241242016479305</v>
      </c>
      <c r="AJ7421">
        <v>82.929996467268595</v>
      </c>
      <c r="AK7421">
        <v>19.681158900242899</v>
      </c>
      <c r="AL7421">
        <v>76.265181831371706</v>
      </c>
      <c r="AM7421">
        <v>92.045194771881995</v>
      </c>
      <c r="AN7421">
        <v>0.99999998055266204</v>
      </c>
    </row>
    <row r="7422" spans="1:40" x14ac:dyDescent="0.25">
      <c r="A7422" t="str">
        <f>"20190304155821040"</f>
        <v>20190304155821040</v>
      </c>
      <c r="B7422" t="str">
        <f>"1551686301032364"</f>
        <v>1551686301032364</v>
      </c>
      <c r="C7422" t="s">
        <v>40</v>
      </c>
      <c r="D7422">
        <v>6.680822</v>
      </c>
      <c r="E7422">
        <v>0.55918290000000004</v>
      </c>
      <c r="F7422" t="s">
        <v>41</v>
      </c>
      <c r="G7422">
        <v>-104.4128</v>
      </c>
      <c r="H7422" s="1">
        <v>-3.3986730000000001E-6</v>
      </c>
      <c r="I7422">
        <v>135.2353</v>
      </c>
      <c r="J7422">
        <v>-124.2449</v>
      </c>
      <c r="K7422">
        <v>1.1127579999999999</v>
      </c>
      <c r="L7422">
        <v>137.47309999999999</v>
      </c>
      <c r="M7422">
        <v>0.99933839999999996</v>
      </c>
      <c r="N7422">
        <v>-3.0396070000000001E-2</v>
      </c>
      <c r="O7422">
        <v>1.9981470000000001E-2</v>
      </c>
      <c r="P7422">
        <v>0.97671569999999996</v>
      </c>
      <c r="Q7422">
        <v>0.2075265</v>
      </c>
      <c r="R7422">
        <v>5.4400909999999997E-2</v>
      </c>
      <c r="S7422">
        <v>3.128098</v>
      </c>
      <c r="T7422">
        <v>-0.17463509999999999</v>
      </c>
      <c r="U7422">
        <v>-0.35084530000000003</v>
      </c>
      <c r="V7422">
        <v>-3.4869299999999999E-2</v>
      </c>
      <c r="W7422">
        <v>0.23714550000000001</v>
      </c>
      <c r="X7422">
        <v>0.97084809999999999</v>
      </c>
      <c r="Y7422">
        <v>0.1309853</v>
      </c>
      <c r="Z7422">
        <v>-6.1480440000000001E-3</v>
      </c>
      <c r="AA7422">
        <v>0.9913653</v>
      </c>
      <c r="AB7422">
        <v>11</v>
      </c>
      <c r="AC7422">
        <v>19.832100000000001</v>
      </c>
      <c r="AD7422">
        <v>-1.1127613986729901</v>
      </c>
      <c r="AE7422">
        <v>-2.2377999999999898</v>
      </c>
      <c r="AF7422">
        <v>2.6256482041411999</v>
      </c>
      <c r="AG7422">
        <v>-1.1127613986729901</v>
      </c>
      <c r="AH7422">
        <v>19.722092560623999</v>
      </c>
      <c r="AI7422">
        <v>93.201138197745095</v>
      </c>
      <c r="AJ7422">
        <v>82.416672210672303</v>
      </c>
      <c r="AK7422">
        <v>19.927197529811</v>
      </c>
      <c r="AL7422">
        <v>76.281872750578898</v>
      </c>
      <c r="AM7422">
        <v>92.056969899812401</v>
      </c>
      <c r="AN7422">
        <v>0.999999944763173</v>
      </c>
    </row>
    <row r="7423" spans="1:40" x14ac:dyDescent="0.25">
      <c r="A7423" t="str">
        <f>"20190304155821063"</f>
        <v>20190304155821063</v>
      </c>
      <c r="B7423" t="str">
        <f>"1551686301051885"</f>
        <v>1551686301051885</v>
      </c>
      <c r="C7423" t="s">
        <v>40</v>
      </c>
      <c r="D7423">
        <v>5.771611</v>
      </c>
      <c r="E7423">
        <v>0.53610590000000002</v>
      </c>
      <c r="F7423" t="s">
        <v>46</v>
      </c>
      <c r="G7423">
        <v>0</v>
      </c>
      <c r="H7423">
        <v>0</v>
      </c>
      <c r="I7423">
        <v>0</v>
      </c>
      <c r="J7423">
        <v>-124.1416</v>
      </c>
      <c r="K7423">
        <v>1.112741</v>
      </c>
      <c r="L7423">
        <v>137.47540000000001</v>
      </c>
      <c r="M7423">
        <v>0.99934020000000001</v>
      </c>
      <c r="N7423">
        <v>-3.0231709999999998E-2</v>
      </c>
      <c r="O7423">
        <v>2.0130390000000001E-2</v>
      </c>
      <c r="P7423">
        <v>0.97676090000000004</v>
      </c>
      <c r="Q7423">
        <v>0.2070843</v>
      </c>
      <c r="R7423">
        <v>5.5268030000000003E-2</v>
      </c>
      <c r="S7423">
        <v>3.0178379999999998</v>
      </c>
      <c r="T7423">
        <v>0.33476719999999999</v>
      </c>
      <c r="U7423">
        <v>-0.3133087</v>
      </c>
      <c r="V7423">
        <v>-3.558849E-2</v>
      </c>
      <c r="W7423">
        <v>0.23654600000000001</v>
      </c>
      <c r="X7423">
        <v>0.97096830000000001</v>
      </c>
      <c r="Y7423">
        <v>0.1225383</v>
      </c>
      <c r="Z7423">
        <v>7.7214579999999996E-3</v>
      </c>
      <c r="AA7423">
        <v>0.99243369999999997</v>
      </c>
      <c r="AB7423">
        <v>11</v>
      </c>
      <c r="AC7423">
        <v>3.0178379999999998</v>
      </c>
      <c r="AD7423">
        <v>0.33476719999999999</v>
      </c>
      <c r="AE7423">
        <v>-0.3133087</v>
      </c>
      <c r="AF7423">
        <v>0.36952454905448501</v>
      </c>
      <c r="AG7423">
        <v>0.33476719999999999</v>
      </c>
      <c r="AH7423">
        <v>2.9747015944460502</v>
      </c>
      <c r="AI7423">
        <v>83.627629772210298</v>
      </c>
      <c r="AJ7423">
        <v>82.918856028435798</v>
      </c>
      <c r="AK7423">
        <v>3.0162007636345498</v>
      </c>
      <c r="AL7423">
        <v>76.317228215811397</v>
      </c>
      <c r="AM7423">
        <v>92.099098300266803</v>
      </c>
      <c r="AN7423">
        <v>0.99999999517068505</v>
      </c>
    </row>
    <row r="7424" spans="1:40" x14ac:dyDescent="0.25">
      <c r="A7424" t="str">
        <f>"20190304155821085"</f>
        <v>20190304155821085</v>
      </c>
      <c r="B7424" t="str">
        <f>"1551686301081670"</f>
        <v>1551686301081670</v>
      </c>
      <c r="C7424" t="s">
        <v>40</v>
      </c>
      <c r="D7424">
        <v>5.722963</v>
      </c>
      <c r="E7424">
        <v>0.55555500000000002</v>
      </c>
      <c r="F7424" t="s">
        <v>42</v>
      </c>
      <c r="G7424">
        <v>-123.37130000000001</v>
      </c>
      <c r="H7424">
        <v>1.039307</v>
      </c>
      <c r="I7424">
        <v>137.44120000000001</v>
      </c>
      <c r="J7424">
        <v>-124.04300000000001</v>
      </c>
      <c r="K7424">
        <v>1.1127320000000001</v>
      </c>
      <c r="L7424">
        <v>137.47749999999999</v>
      </c>
      <c r="M7424">
        <v>0.99934210000000001</v>
      </c>
      <c r="N7424">
        <v>-3.0079419999999999E-2</v>
      </c>
      <c r="O7424">
        <v>2.026683E-2</v>
      </c>
      <c r="P7424">
        <v>0.9769369</v>
      </c>
      <c r="Q7424">
        <v>0.206064</v>
      </c>
      <c r="R7424">
        <v>5.596541E-2</v>
      </c>
      <c r="S7424">
        <v>3.1427610000000001</v>
      </c>
      <c r="T7424">
        <v>-0.29980250000000003</v>
      </c>
      <c r="U7424">
        <v>-0.13842769999999999</v>
      </c>
      <c r="V7424">
        <v>-3.6148100000000002E-2</v>
      </c>
      <c r="W7424">
        <v>0.23538390000000001</v>
      </c>
      <c r="X7424">
        <v>0.97123000000000004</v>
      </c>
      <c r="Y7424">
        <v>6.3827079999999994E-2</v>
      </c>
      <c r="Z7424">
        <v>-5.3191840000000002E-3</v>
      </c>
      <c r="AA7424">
        <v>0.99794680000000002</v>
      </c>
      <c r="AB7424">
        <v>10</v>
      </c>
      <c r="AC7424">
        <v>0.67169999999998697</v>
      </c>
      <c r="AD7424">
        <v>-7.3425000000000004E-2</v>
      </c>
      <c r="AE7424">
        <v>-3.6299999999982901E-2</v>
      </c>
      <c r="AF7424">
        <v>4.9324261809482503E-2</v>
      </c>
      <c r="AG7424">
        <v>-7.3425000000000004E-2</v>
      </c>
      <c r="AH7424">
        <v>0.66292753667800097</v>
      </c>
      <c r="AI7424">
        <v>96.302964764386005</v>
      </c>
      <c r="AJ7424">
        <v>85.744822524310905</v>
      </c>
      <c r="AK7424">
        <v>0.66880268563606504</v>
      </c>
      <c r="AL7424">
        <v>76.385746412294196</v>
      </c>
      <c r="AM7424">
        <v>92.131501311348202</v>
      </c>
      <c r="AN7424">
        <v>0.99999998920640998</v>
      </c>
    </row>
    <row r="7425" spans="1:40" x14ac:dyDescent="0.25">
      <c r="A7425" t="str">
        <f>"20190304155821108"</f>
        <v>20190304155821108</v>
      </c>
      <c r="B7425" t="str">
        <f>"1551686301102166"</f>
        <v>1551686301102166</v>
      </c>
      <c r="C7425" t="s">
        <v>40</v>
      </c>
      <c r="D7425">
        <v>4.3422489999999998</v>
      </c>
      <c r="E7425">
        <v>0.58159689999999997</v>
      </c>
      <c r="F7425" t="s">
        <v>41</v>
      </c>
      <c r="G7425">
        <v>-109.1661</v>
      </c>
      <c r="H7425" s="1">
        <v>-1.2401190000000001E-6</v>
      </c>
      <c r="I7425">
        <v>136.09979999999999</v>
      </c>
      <c r="J7425">
        <v>-123.946</v>
      </c>
      <c r="K7425">
        <v>1.1127549999999999</v>
      </c>
      <c r="L7425">
        <v>137.47970000000001</v>
      </c>
      <c r="M7425">
        <v>0.99933910000000004</v>
      </c>
      <c r="N7425">
        <v>-3.0090349999999998E-2</v>
      </c>
      <c r="O7425">
        <v>2.039666E-2</v>
      </c>
      <c r="P7425">
        <v>0.97707339999999998</v>
      </c>
      <c r="Q7425">
        <v>0.205207</v>
      </c>
      <c r="R7425">
        <v>5.6726249999999999E-2</v>
      </c>
      <c r="S7425">
        <v>3.1369479999999998</v>
      </c>
      <c r="T7425">
        <v>-0.23463030000000001</v>
      </c>
      <c r="U7425">
        <v>-0.290512099999999</v>
      </c>
      <c r="V7425">
        <v>-3.6777740000000003E-2</v>
      </c>
      <c r="W7425">
        <v>0.2345431</v>
      </c>
      <c r="X7425">
        <v>0.97140970000000004</v>
      </c>
      <c r="Y7425">
        <v>0.11205809999999999</v>
      </c>
      <c r="Z7425">
        <v>-6.7777330000000002E-3</v>
      </c>
      <c r="AA7425">
        <v>0.99367859999999997</v>
      </c>
      <c r="AB7425">
        <v>10</v>
      </c>
      <c r="AC7425">
        <v>14.7798999999999</v>
      </c>
      <c r="AD7425">
        <v>-1.1127562401190001</v>
      </c>
      <c r="AE7425">
        <v>-1.3799000000000201</v>
      </c>
      <c r="AF7425">
        <v>1.6718152704862801</v>
      </c>
      <c r="AG7425">
        <v>-1.1127562401190001</v>
      </c>
      <c r="AH7425">
        <v>14.666249271117101</v>
      </c>
      <c r="AI7425">
        <v>94.311015292198405</v>
      </c>
      <c r="AJ7425">
        <v>83.496886841800006</v>
      </c>
      <c r="AK7425">
        <v>14.803109822976401</v>
      </c>
      <c r="AL7425">
        <v>76.435307501590401</v>
      </c>
      <c r="AM7425">
        <v>92.168192604561</v>
      </c>
      <c r="AN7425">
        <v>0.99999993658560105</v>
      </c>
    </row>
    <row r="7426" spans="1:40" x14ac:dyDescent="0.25">
      <c r="A7426" t="str">
        <f>"20190304155821136"</f>
        <v>20190304155821136</v>
      </c>
      <c r="B7426" t="str">
        <f>"1551686301132423"</f>
        <v>1551686301132423</v>
      </c>
      <c r="C7426" t="s">
        <v>40</v>
      </c>
      <c r="D7426">
        <v>4.8768929999999999</v>
      </c>
      <c r="E7426">
        <v>0.563295199999999</v>
      </c>
      <c r="F7426" t="s">
        <v>46</v>
      </c>
      <c r="G7426">
        <v>0</v>
      </c>
      <c r="H7426">
        <v>0</v>
      </c>
      <c r="I7426">
        <v>0</v>
      </c>
      <c r="J7426">
        <v>-123.8349</v>
      </c>
      <c r="K7426">
        <v>1.1128100000000001</v>
      </c>
      <c r="L7426">
        <v>137.4821</v>
      </c>
      <c r="M7426">
        <v>0.99933229999999995</v>
      </c>
      <c r="N7426">
        <v>-3.0217029999999999E-2</v>
      </c>
      <c r="O7426">
        <v>2.0543459999999999E-2</v>
      </c>
      <c r="P7426">
        <v>0.97723899999999997</v>
      </c>
      <c r="Q7426">
        <v>0.2042107</v>
      </c>
      <c r="R7426">
        <v>5.7464189999999998E-2</v>
      </c>
      <c r="S7426">
        <v>3.0439759999999998</v>
      </c>
      <c r="T7426">
        <v>0.26034299999999999</v>
      </c>
      <c r="U7426">
        <v>-0.48663329999999999</v>
      </c>
      <c r="V7426">
        <v>-3.7365700000000002E-2</v>
      </c>
      <c r="W7426">
        <v>0.2336762</v>
      </c>
      <c r="X7426">
        <v>0.97159620000000002</v>
      </c>
      <c r="Y7426">
        <v>0.1775861</v>
      </c>
      <c r="Z7426">
        <v>7.1878840000000003E-3</v>
      </c>
      <c r="AA7426">
        <v>0.98407900000000004</v>
      </c>
      <c r="AB7426">
        <v>10</v>
      </c>
      <c r="AC7426">
        <v>3.0439759999999998</v>
      </c>
      <c r="AD7426">
        <v>0.26034299999999999</v>
      </c>
      <c r="AE7426">
        <v>-0.48663329999999999</v>
      </c>
      <c r="AF7426">
        <v>0.54520413480746199</v>
      </c>
      <c r="AG7426">
        <v>0.26034299999999999</v>
      </c>
      <c r="AH7426">
        <v>3.0118489333862501</v>
      </c>
      <c r="AI7426">
        <v>85.138280834358397</v>
      </c>
      <c r="AJ7426">
        <v>79.739442736072903</v>
      </c>
      <c r="AK7426">
        <v>3.0718496095675101</v>
      </c>
      <c r="AL7426">
        <v>76.486397429885699</v>
      </c>
      <c r="AM7426">
        <v>92.202398863171993</v>
      </c>
      <c r="AN7426">
        <v>0.99999996891868403</v>
      </c>
    </row>
    <row r="7427" spans="1:40" x14ac:dyDescent="0.25">
      <c r="A7427" t="str">
        <f>"20190304155821154"</f>
        <v>20190304155821154</v>
      </c>
      <c r="B7427" t="str">
        <f>"1551686301151942"</f>
        <v>1551686301151942</v>
      </c>
      <c r="C7427" t="s">
        <v>40</v>
      </c>
      <c r="D7427">
        <v>4.5318969999999998</v>
      </c>
      <c r="E7427">
        <v>0.55615990000000004</v>
      </c>
      <c r="F7427" t="s">
        <v>41</v>
      </c>
      <c r="G7427">
        <v>-73.894919999999999</v>
      </c>
      <c r="H7427" s="1">
        <v>-4.1079570000000002E-6</v>
      </c>
      <c r="I7427">
        <v>131.9332</v>
      </c>
      <c r="J7427">
        <v>-123.7565</v>
      </c>
      <c r="K7427">
        <v>1.1128</v>
      </c>
      <c r="L7427">
        <v>137.48390000000001</v>
      </c>
      <c r="M7427">
        <v>0.99933119999999998</v>
      </c>
      <c r="N7427">
        <v>-3.0180249999999999E-2</v>
      </c>
      <c r="O7427">
        <v>2.0646390000000001E-2</v>
      </c>
      <c r="P7427">
        <v>0.97738219999999998</v>
      </c>
      <c r="Q7427">
        <v>0.20337060000000001</v>
      </c>
      <c r="R7427">
        <v>5.8003840000000001E-2</v>
      </c>
      <c r="S7427">
        <v>3.1045989999999999</v>
      </c>
      <c r="T7427">
        <v>-6.9179770000000002E-2</v>
      </c>
      <c r="U7427">
        <v>-0.34495540000000002</v>
      </c>
      <c r="V7427">
        <v>-3.7800029999999998E-2</v>
      </c>
      <c r="W7427">
        <v>0.23280580000000001</v>
      </c>
      <c r="X7427">
        <v>0.97178830000000005</v>
      </c>
      <c r="Y7427">
        <v>0.1308607</v>
      </c>
      <c r="Z7427">
        <v>-3.2725979999999998E-3</v>
      </c>
      <c r="AA7427">
        <v>0.99139540000000004</v>
      </c>
      <c r="AB7427">
        <v>9</v>
      </c>
      <c r="AC7427">
        <v>49.861579999999996</v>
      </c>
      <c r="AD7427">
        <v>-1.1128041079569999</v>
      </c>
      <c r="AE7427">
        <v>-5.5507</v>
      </c>
      <c r="AF7427">
        <v>6.5762111110206103</v>
      </c>
      <c r="AG7427">
        <v>-1.1128041079569999</v>
      </c>
      <c r="AH7427">
        <v>49.711829966205201</v>
      </c>
      <c r="AI7427">
        <v>91.271285716550693</v>
      </c>
      <c r="AJ7427">
        <v>82.464288094231193</v>
      </c>
      <c r="AK7427">
        <v>50.157261928341903</v>
      </c>
      <c r="AL7427">
        <v>76.537681788827399</v>
      </c>
      <c r="AM7427">
        <v>92.227533397678897</v>
      </c>
      <c r="AN7427">
        <v>0.99999994139926296</v>
      </c>
    </row>
    <row r="7428" spans="1:40" x14ac:dyDescent="0.25">
      <c r="A7428" t="str">
        <f>"20190304155821175"</f>
        <v>20190304155821175</v>
      </c>
      <c r="B7428" t="str">
        <f>"1551686301172439"</f>
        <v>1551686301172439</v>
      </c>
      <c r="C7428" t="s">
        <v>40</v>
      </c>
      <c r="D7428">
        <v>4.6212010000000001</v>
      </c>
      <c r="E7428">
        <v>0.56078430000000001</v>
      </c>
      <c r="F7428" t="s">
        <v>41</v>
      </c>
      <c r="G7428">
        <v>-98.062640000000002</v>
      </c>
      <c r="H7428" s="1">
        <v>-1.844713E-6</v>
      </c>
      <c r="I7428">
        <v>135.1087</v>
      </c>
      <c r="J7428">
        <v>-123.67740000000001</v>
      </c>
      <c r="K7428">
        <v>1.1127549999999999</v>
      </c>
      <c r="L7428">
        <v>137.48560000000001</v>
      </c>
      <c r="M7428">
        <v>0.99933559999999999</v>
      </c>
      <c r="N7428">
        <v>-2.99654E-2</v>
      </c>
      <c r="O7428">
        <v>2.0748050000000001E-2</v>
      </c>
      <c r="P7428">
        <v>0.97746460000000002</v>
      </c>
      <c r="Q7428">
        <v>0.20283619999999999</v>
      </c>
      <c r="R7428">
        <v>5.8486929999999999E-2</v>
      </c>
      <c r="S7428">
        <v>3.114563</v>
      </c>
      <c r="T7428">
        <v>-0.1348915</v>
      </c>
      <c r="U7428">
        <v>-0.28790280000000001</v>
      </c>
      <c r="V7428">
        <v>-3.8181850000000003E-2</v>
      </c>
      <c r="W7428">
        <v>0.2320661</v>
      </c>
      <c r="X7428">
        <v>0.97195039999999999</v>
      </c>
      <c r="Y7428">
        <v>0.1125152</v>
      </c>
      <c r="Z7428">
        <v>-4.3973730000000004E-3</v>
      </c>
      <c r="AA7428">
        <v>0.99364030000000003</v>
      </c>
      <c r="AB7428">
        <v>9</v>
      </c>
      <c r="AC7428">
        <v>25.61476</v>
      </c>
      <c r="AD7428">
        <v>-1.1127568447129901</v>
      </c>
      <c r="AE7428">
        <v>-2.3769</v>
      </c>
      <c r="AF7428">
        <v>2.9026518084778501</v>
      </c>
      <c r="AG7428">
        <v>-1.1127568447129901</v>
      </c>
      <c r="AH7428">
        <v>25.512167167643199</v>
      </c>
      <c r="AI7428">
        <v>92.481481281638196</v>
      </c>
      <c r="AJ7428">
        <v>83.5090733550838</v>
      </c>
      <c r="AK7428">
        <v>25.700861637433299</v>
      </c>
      <c r="AL7428">
        <v>76.581258472168798</v>
      </c>
      <c r="AM7428">
        <v>92.2496359474885</v>
      </c>
      <c r="AN7428">
        <v>1.0000000542493901</v>
      </c>
    </row>
    <row r="7429" spans="1:40" x14ac:dyDescent="0.25">
      <c r="A7429" t="str">
        <f>"20190304155821196"</f>
        <v>20190304155821196</v>
      </c>
      <c r="B7429" t="str">
        <f>"1551686301191958"</f>
        <v>1551686301191958</v>
      </c>
      <c r="C7429" t="s">
        <v>40</v>
      </c>
      <c r="D7429">
        <v>5.826587</v>
      </c>
      <c r="E7429">
        <v>0.55758369999999902</v>
      </c>
      <c r="F7429" t="s">
        <v>41</v>
      </c>
      <c r="G7429">
        <v>-100.2306</v>
      </c>
      <c r="H7429" s="1">
        <v>-5.4078659999999998E-6</v>
      </c>
      <c r="I7429">
        <v>135.05359999999999</v>
      </c>
      <c r="J7429">
        <v>-123.59829999999999</v>
      </c>
      <c r="K7429">
        <v>1.1126879999999999</v>
      </c>
      <c r="L7429">
        <v>137.48740000000001</v>
      </c>
      <c r="M7429">
        <v>0.99934290000000003</v>
      </c>
      <c r="N7429">
        <v>-2.965419E-2</v>
      </c>
      <c r="O7429">
        <v>2.084652E-2</v>
      </c>
      <c r="P7429">
        <v>0.97748199999999996</v>
      </c>
      <c r="Q7429">
        <v>0.20258760000000001</v>
      </c>
      <c r="R7429">
        <v>5.9057209999999999E-2</v>
      </c>
      <c r="S7429">
        <v>3.1192470000000001</v>
      </c>
      <c r="T7429">
        <v>-0.14803659999999999</v>
      </c>
      <c r="U7429">
        <v>-0.32354739999999999</v>
      </c>
      <c r="V7429">
        <v>-3.8655620000000002E-2</v>
      </c>
      <c r="W7429">
        <v>0.23151550000000001</v>
      </c>
      <c r="X7429">
        <v>0.97206289999999995</v>
      </c>
      <c r="Y7429">
        <v>0.1236665</v>
      </c>
      <c r="Z7429">
        <v>-5.1356199999999996E-3</v>
      </c>
      <c r="AA7429">
        <v>0.99231049999999998</v>
      </c>
      <c r="AB7429">
        <v>9</v>
      </c>
      <c r="AC7429">
        <v>23.367699999999999</v>
      </c>
      <c r="AD7429">
        <v>-1.11269340786599</v>
      </c>
      <c r="AE7429">
        <v>-2.4338000000000202</v>
      </c>
      <c r="AF7429">
        <v>2.9140837974379599</v>
      </c>
      <c r="AG7429">
        <v>-1.11269340786599</v>
      </c>
      <c r="AH7429">
        <v>23.259686894468999</v>
      </c>
      <c r="AI7429">
        <v>92.717606073744193</v>
      </c>
      <c r="AJ7429">
        <v>82.858920871932696</v>
      </c>
      <c r="AK7429">
        <v>23.467914381707001</v>
      </c>
      <c r="AL7429">
        <v>76.613687767585603</v>
      </c>
      <c r="AM7429">
        <v>92.277257473705106</v>
      </c>
      <c r="AN7429">
        <v>0.99999998262712197</v>
      </c>
    </row>
    <row r="7430" spans="1:40" x14ac:dyDescent="0.25">
      <c r="A7430" t="str">
        <f>"20190304155821218"</f>
        <v>20190304155821218</v>
      </c>
      <c r="B7430" t="str">
        <f>"1551686301212454"</f>
        <v>1551686301212454</v>
      </c>
      <c r="C7430" t="s">
        <v>40</v>
      </c>
      <c r="D7430">
        <v>5.8198939999999997</v>
      </c>
      <c r="E7430">
        <v>0.55352860000000004</v>
      </c>
      <c r="F7430" t="s">
        <v>41</v>
      </c>
      <c r="G7430">
        <v>-106.1272</v>
      </c>
      <c r="H7430" s="1">
        <v>-2.4837539999999998E-6</v>
      </c>
      <c r="I7430">
        <v>135.82470000000001</v>
      </c>
      <c r="J7430">
        <v>-123.5204</v>
      </c>
      <c r="K7430">
        <v>1.1126389999999999</v>
      </c>
      <c r="L7430">
        <v>137.48910000000001</v>
      </c>
      <c r="M7430">
        <v>0.9993495</v>
      </c>
      <c r="N7430">
        <v>-2.9360420000000002E-2</v>
      </c>
      <c r="O7430">
        <v>2.0940940000000002E-2</v>
      </c>
      <c r="P7430">
        <v>0.9775452</v>
      </c>
      <c r="Q7430">
        <v>0.20238780000000001</v>
      </c>
      <c r="R7430">
        <v>5.8690560000000003E-2</v>
      </c>
      <c r="S7430">
        <v>3.128387</v>
      </c>
      <c r="T7430">
        <v>-0.19923869999999999</v>
      </c>
      <c r="U7430">
        <v>-0.29771419999999998</v>
      </c>
      <c r="V7430">
        <v>-3.8194279999999997E-2</v>
      </c>
      <c r="W7430">
        <v>0.23103209999999999</v>
      </c>
      <c r="X7430">
        <v>0.97219619999999995</v>
      </c>
      <c r="Y7430">
        <v>0.1152209</v>
      </c>
      <c r="Z7430">
        <v>-6.0716969999999896E-3</v>
      </c>
      <c r="AA7430">
        <v>0.99332140000000002</v>
      </c>
      <c r="AB7430">
        <v>8</v>
      </c>
      <c r="AC7430">
        <v>17.393199999999901</v>
      </c>
      <c r="AD7430">
        <v>-1.112641483754</v>
      </c>
      <c r="AE7430">
        <v>-1.6644000000000001</v>
      </c>
      <c r="AF7430">
        <v>2.0202296912922799</v>
      </c>
      <c r="AG7430">
        <v>-1.112641483754</v>
      </c>
      <c r="AH7430">
        <v>17.284424850753801</v>
      </c>
      <c r="AI7430">
        <v>93.658354346927695</v>
      </c>
      <c r="AJ7430">
        <v>83.333430886005601</v>
      </c>
      <c r="AK7430">
        <v>17.4376214403887</v>
      </c>
      <c r="AL7430">
        <v>76.642157187258604</v>
      </c>
      <c r="AM7430">
        <v>92.249799182825797</v>
      </c>
      <c r="AN7430">
        <v>1.0000000427747799</v>
      </c>
    </row>
    <row r="7431" spans="1:40" x14ac:dyDescent="0.25">
      <c r="A7431" t="str">
        <f>"20190304155821240"</f>
        <v>20190304155821240</v>
      </c>
      <c r="B7431" t="str">
        <f>"1551686301231973"</f>
        <v>1551686301231973</v>
      </c>
      <c r="C7431" t="s">
        <v>40</v>
      </c>
      <c r="D7431">
        <v>5.7806110000000004</v>
      </c>
      <c r="E7431">
        <v>0.55296279999999998</v>
      </c>
      <c r="F7431" t="s">
        <v>41</v>
      </c>
      <c r="G7431">
        <v>-108.0136</v>
      </c>
      <c r="H7431" s="1">
        <v>-1.665154E-6</v>
      </c>
      <c r="I7431">
        <v>136.16560000000001</v>
      </c>
      <c r="J7431">
        <v>-123.4431</v>
      </c>
      <c r="K7431">
        <v>1.112608</v>
      </c>
      <c r="L7431">
        <v>137.49090000000001</v>
      </c>
      <c r="M7431">
        <v>0.99935469999999904</v>
      </c>
      <c r="N7431">
        <v>-2.9119880000000001E-2</v>
      </c>
      <c r="O7431">
        <v>2.1032329999999998E-2</v>
      </c>
      <c r="P7431">
        <v>0.97764280000000003</v>
      </c>
      <c r="Q7431">
        <v>0.20189560000000001</v>
      </c>
      <c r="R7431">
        <v>5.8761340000000002E-2</v>
      </c>
      <c r="S7431">
        <v>3.1314850000000001</v>
      </c>
      <c r="T7431">
        <v>-0.22469020000000001</v>
      </c>
      <c r="U7431">
        <v>-0.26727289999999998</v>
      </c>
      <c r="V7431">
        <v>-3.8171789999999997E-2</v>
      </c>
      <c r="W7431">
        <v>0.23030970000000001</v>
      </c>
      <c r="X7431">
        <v>0.97236840000000002</v>
      </c>
      <c r="Y7431">
        <v>0.1055883</v>
      </c>
      <c r="Z7431">
        <v>-6.2134139999999996E-3</v>
      </c>
      <c r="AA7431">
        <v>0.99439049999999995</v>
      </c>
      <c r="AB7431">
        <v>8</v>
      </c>
      <c r="AC7431">
        <v>15.429500000000001</v>
      </c>
      <c r="AD7431">
        <v>-1.1126096651540001</v>
      </c>
      <c r="AE7431">
        <v>-1.3252999999999899</v>
      </c>
      <c r="AF7431">
        <v>1.6411913049024101</v>
      </c>
      <c r="AG7431">
        <v>-1.1126096651540001</v>
      </c>
      <c r="AH7431">
        <v>15.319125911681001</v>
      </c>
      <c r="AI7431">
        <v>94.130475815404495</v>
      </c>
      <c r="AJ7431">
        <v>83.8850274763074</v>
      </c>
      <c r="AK7431">
        <v>15.446909977863401</v>
      </c>
      <c r="AL7431">
        <v>76.684693892576306</v>
      </c>
      <c r="AM7431">
        <v>92.248078008429701</v>
      </c>
      <c r="AN7431">
        <v>0.99999997439222599</v>
      </c>
    </row>
    <row r="7432" spans="1:40" x14ac:dyDescent="0.25">
      <c r="A7432" t="str">
        <f>"20190304155821263"</f>
        <v>20190304155821263</v>
      </c>
      <c r="B7432" t="str">
        <f>"1551686301252470"</f>
        <v>1551686301252470</v>
      </c>
      <c r="C7432" t="s">
        <v>40</v>
      </c>
      <c r="D7432">
        <v>5.3145030000000002</v>
      </c>
      <c r="E7432">
        <v>0.55018909999999999</v>
      </c>
      <c r="F7432" t="s">
        <v>41</v>
      </c>
      <c r="G7432">
        <v>-107.5286</v>
      </c>
      <c r="H7432" s="1">
        <v>-1.854201E-6</v>
      </c>
      <c r="I7432">
        <v>136.15520000000001</v>
      </c>
      <c r="J7432">
        <v>-123.37050000000001</v>
      </c>
      <c r="K7432">
        <v>1.1127119999999999</v>
      </c>
      <c r="L7432">
        <v>137.49250000000001</v>
      </c>
      <c r="M7432">
        <v>0.99934529999999999</v>
      </c>
      <c r="N7432">
        <v>-2.9378689999999999E-2</v>
      </c>
      <c r="O7432">
        <v>2.111333E-2</v>
      </c>
      <c r="P7432">
        <v>0.97782029999999998</v>
      </c>
      <c r="Q7432">
        <v>0.20119219999999999</v>
      </c>
      <c r="R7432">
        <v>5.821668E-2</v>
      </c>
      <c r="S7432">
        <v>3.1295929999999998</v>
      </c>
      <c r="T7432">
        <v>-0.21879460000000001</v>
      </c>
      <c r="U7432">
        <v>-0.26266479999999998</v>
      </c>
      <c r="V7432">
        <v>-3.7541579999999998E-2</v>
      </c>
      <c r="W7432">
        <v>0.22986329999999999</v>
      </c>
      <c r="X7432">
        <v>0.97249859999999999</v>
      </c>
      <c r="Y7432">
        <v>0.1042879</v>
      </c>
      <c r="Z7432">
        <v>-6.0253759999999998E-3</v>
      </c>
      <c r="AA7432">
        <v>0.99452890000000005</v>
      </c>
      <c r="AB7432">
        <v>8</v>
      </c>
      <c r="AC7432">
        <v>15.841900000000001</v>
      </c>
      <c r="AD7432">
        <v>-1.112713854201</v>
      </c>
      <c r="AE7432">
        <v>-1.3372999999999899</v>
      </c>
      <c r="AF7432">
        <v>1.6634727332407699</v>
      </c>
      <c r="AG7432">
        <v>-1.112713854201</v>
      </c>
      <c r="AH7432">
        <v>15.733049234314599</v>
      </c>
      <c r="AI7432">
        <v>94.023135102704103</v>
      </c>
      <c r="AJ7432">
        <v>83.964477575827104</v>
      </c>
      <c r="AK7432">
        <v>15.859826980926799</v>
      </c>
      <c r="AL7432">
        <v>76.710976446224393</v>
      </c>
      <c r="AM7432">
        <v>92.210704033651695</v>
      </c>
      <c r="AN7432">
        <v>1.0000000169588701</v>
      </c>
    </row>
    <row r="7433" spans="1:40" x14ac:dyDescent="0.25">
      <c r="A7433" t="str">
        <f>"20190304155821285"</f>
        <v>20190304155821285</v>
      </c>
      <c r="B7433" t="str">
        <f>"1551686301281750"</f>
        <v>1551686301281750</v>
      </c>
      <c r="C7433" t="s">
        <v>40</v>
      </c>
      <c r="D7433">
        <v>6.5738659999999998</v>
      </c>
      <c r="E7433">
        <v>0.54798409999999997</v>
      </c>
      <c r="F7433" t="s">
        <v>41</v>
      </c>
      <c r="G7433">
        <v>-108.33320000000001</v>
      </c>
      <c r="H7433" s="1">
        <v>-1.498932E-6</v>
      </c>
      <c r="I7433">
        <v>136.32910000000001</v>
      </c>
      <c r="J7433">
        <v>-123.3043</v>
      </c>
      <c r="K7433">
        <v>1.1129450000000001</v>
      </c>
      <c r="L7433">
        <v>137.494</v>
      </c>
      <c r="M7433">
        <v>0.99931800000000004</v>
      </c>
      <c r="N7433">
        <v>-3.0252569999999999E-2</v>
      </c>
      <c r="O7433">
        <v>2.1179650000000001E-2</v>
      </c>
      <c r="P7433">
        <v>0.97799899999999995</v>
      </c>
      <c r="Q7433">
        <v>0.2003894</v>
      </c>
      <c r="R7433">
        <v>5.7986360000000001E-2</v>
      </c>
      <c r="S7433">
        <v>3.1301269999999999</v>
      </c>
      <c r="T7433">
        <v>-0.23161860000000001</v>
      </c>
      <c r="U7433">
        <v>-0.24215700000000001</v>
      </c>
      <c r="V7433">
        <v>-3.7239210000000002E-2</v>
      </c>
      <c r="W7433">
        <v>0.2299167</v>
      </c>
      <c r="X7433">
        <v>0.97249759999999996</v>
      </c>
      <c r="Y7433">
        <v>9.7845959999999996E-2</v>
      </c>
      <c r="Z7433">
        <v>-6.0189170000000004E-3</v>
      </c>
      <c r="AA7433">
        <v>0.99518329999999999</v>
      </c>
      <c r="AB7433">
        <v>8</v>
      </c>
      <c r="AC7433">
        <v>14.9710999999999</v>
      </c>
      <c r="AD7433">
        <v>-1.1129464989319999</v>
      </c>
      <c r="AE7433">
        <v>-1.1648999999999801</v>
      </c>
      <c r="AF7433">
        <v>1.4737706631812699</v>
      </c>
      <c r="AG7433">
        <v>-1.1129464989319999</v>
      </c>
      <c r="AH7433">
        <v>14.8614195532344</v>
      </c>
      <c r="AI7433">
        <v>94.261961703228906</v>
      </c>
      <c r="AJ7433">
        <v>84.336634010972503</v>
      </c>
      <c r="AK7433">
        <v>14.9757283967891</v>
      </c>
      <c r="AL7433">
        <v>76.707832621661396</v>
      </c>
      <c r="AM7433">
        <v>92.192918134425597</v>
      </c>
      <c r="AN7433">
        <v>1.0000000148530299</v>
      </c>
    </row>
    <row r="7434" spans="1:40" x14ac:dyDescent="0.25">
      <c r="A7434" t="str">
        <f>"20190304155821310"</f>
        <v>20190304155821310</v>
      </c>
      <c r="B7434" t="str">
        <f>"1551686301302246"</f>
        <v>1551686301302246</v>
      </c>
      <c r="C7434" t="s">
        <v>40</v>
      </c>
      <c r="D7434">
        <v>5.8195240000000004</v>
      </c>
      <c r="E7434">
        <v>0.54615780000000003</v>
      </c>
      <c r="F7434" t="s">
        <v>41</v>
      </c>
      <c r="G7434">
        <v>-109.2334</v>
      </c>
      <c r="H7434" s="1">
        <v>-1.113178E-6</v>
      </c>
      <c r="I7434">
        <v>136.4796</v>
      </c>
      <c r="J7434">
        <v>-123.2394</v>
      </c>
      <c r="K7434">
        <v>1.113191</v>
      </c>
      <c r="L7434">
        <v>137.49539999999999</v>
      </c>
      <c r="M7434">
        <v>0.99928300000000003</v>
      </c>
      <c r="N7434">
        <v>-3.134704E-2</v>
      </c>
      <c r="O7434">
        <v>2.1236419999999999E-2</v>
      </c>
      <c r="P7434">
        <v>0.97814449999999997</v>
      </c>
      <c r="Q7434">
        <v>0.1996232</v>
      </c>
      <c r="R7434">
        <v>5.8175089999999999E-2</v>
      </c>
      <c r="S7434">
        <v>3.1316380000000001</v>
      </c>
      <c r="T7434">
        <v>-0.2476988</v>
      </c>
      <c r="U7434">
        <v>-0.2257538</v>
      </c>
      <c r="V7434">
        <v>-3.7365820000000001E-2</v>
      </c>
      <c r="W7434">
        <v>0.23022110000000001</v>
      </c>
      <c r="X7434">
        <v>0.97242070000000003</v>
      </c>
      <c r="Y7434">
        <v>9.2650120000000002E-2</v>
      </c>
      <c r="Z7434">
        <v>-6.1220880000000004E-3</v>
      </c>
      <c r="AA7434">
        <v>0.99567989999999995</v>
      </c>
      <c r="AB7434">
        <v>7</v>
      </c>
      <c r="AC7434">
        <v>14.005999999999901</v>
      </c>
      <c r="AD7434">
        <v>-1.113192113178</v>
      </c>
      <c r="AE7434">
        <v>-1.0157999999999801</v>
      </c>
      <c r="AF7434">
        <v>1.3049539341533101</v>
      </c>
      <c r="AG7434">
        <v>-1.113192113178</v>
      </c>
      <c r="AH7434">
        <v>13.893946685367499</v>
      </c>
      <c r="AI7434">
        <v>94.560803271241895</v>
      </c>
      <c r="AJ7434">
        <v>84.634378819998801</v>
      </c>
      <c r="AK7434">
        <v>13.9994234148031</v>
      </c>
      <c r="AL7434">
        <v>76.689910672034998</v>
      </c>
      <c r="AM7434">
        <v>92.200540380946507</v>
      </c>
      <c r="AN7434">
        <v>0.99999998858898598</v>
      </c>
    </row>
    <row r="7435" spans="1:40" x14ac:dyDescent="0.25">
      <c r="A7435" t="str">
        <f>"20190304155821337"</f>
        <v>20190304155821337</v>
      </c>
      <c r="B7435" t="str">
        <f>"1551686301332502"</f>
        <v>1551686301332502</v>
      </c>
      <c r="C7435" t="s">
        <v>40</v>
      </c>
      <c r="D7435">
        <v>5.7956629999999896</v>
      </c>
      <c r="E7435">
        <v>0.54410919999999996</v>
      </c>
      <c r="F7435" t="s">
        <v>41</v>
      </c>
      <c r="G7435">
        <v>-110.08669999999999</v>
      </c>
      <c r="H7435" s="1">
        <v>-4.7685409999999998E-6</v>
      </c>
      <c r="I7435">
        <v>136.60900000000001</v>
      </c>
      <c r="J7435">
        <v>-123.1695</v>
      </c>
      <c r="K7435">
        <v>1.113183</v>
      </c>
      <c r="L7435">
        <v>137.49700000000001</v>
      </c>
      <c r="M7435">
        <v>0.99927120000000003</v>
      </c>
      <c r="N7435">
        <v>-3.1681250000000001E-2</v>
      </c>
      <c r="O7435">
        <v>2.1295149999999999E-2</v>
      </c>
      <c r="P7435">
        <v>0.97821519999999995</v>
      </c>
      <c r="Q7435">
        <v>0.1994486</v>
      </c>
      <c r="R7435">
        <v>5.7581399999999998E-2</v>
      </c>
      <c r="S7435">
        <v>3.1337130000000002</v>
      </c>
      <c r="T7435">
        <v>-0.26522449999999997</v>
      </c>
      <c r="U7435">
        <v>-0.21119689999999999</v>
      </c>
      <c r="V7435">
        <v>-3.6711580000000001E-2</v>
      </c>
      <c r="W7435">
        <v>0.23037379999999999</v>
      </c>
      <c r="X7435">
        <v>0.97240950000000004</v>
      </c>
      <c r="Y7435">
        <v>8.8023669999999998E-2</v>
      </c>
      <c r="Z7435">
        <v>-6.2379150000000001E-3</v>
      </c>
      <c r="AA7435">
        <v>0.99609890000000001</v>
      </c>
      <c r="AB7435">
        <v>6</v>
      </c>
      <c r="AC7435">
        <v>13.082800000000001</v>
      </c>
      <c r="AD7435">
        <v>-1.1131877685410001</v>
      </c>
      <c r="AE7435">
        <v>-0.88800000000000501</v>
      </c>
      <c r="AF7435">
        <v>1.1581917278480001</v>
      </c>
      <c r="AG7435">
        <v>-1.1131877685410001</v>
      </c>
      <c r="AH7435">
        <v>12.9674575042045</v>
      </c>
      <c r="AI7435">
        <v>94.887151818818495</v>
      </c>
      <c r="AJ7435">
        <v>84.896155780985296</v>
      </c>
      <c r="AK7435">
        <v>13.0665813895538</v>
      </c>
      <c r="AL7435">
        <v>76.680920523601202</v>
      </c>
      <c r="AM7435">
        <v>92.162072778415407</v>
      </c>
      <c r="AN7435">
        <v>1.00000003176139</v>
      </c>
    </row>
    <row r="7436" spans="1:40" x14ac:dyDescent="0.25">
      <c r="A7436" t="str">
        <f>"20190304155821357"</f>
        <v>20190304155821357</v>
      </c>
      <c r="B7436" t="str">
        <f>"1551686301352022"</f>
        <v>1551686301352022</v>
      </c>
      <c r="C7436" t="s">
        <v>40</v>
      </c>
      <c r="D7436">
        <v>6.0207649999999999</v>
      </c>
      <c r="E7436">
        <v>0.54230900000000004</v>
      </c>
      <c r="F7436" t="s">
        <v>42</v>
      </c>
      <c r="G7436">
        <v>-122.39700000000001</v>
      </c>
      <c r="H7436">
        <v>1.042907</v>
      </c>
      <c r="I7436">
        <v>137.4485</v>
      </c>
      <c r="J7436">
        <v>-123.1172</v>
      </c>
      <c r="K7436">
        <v>1.1129849999999999</v>
      </c>
      <c r="L7436">
        <v>137.4982</v>
      </c>
      <c r="M7436">
        <v>0.99928589999999995</v>
      </c>
      <c r="N7436">
        <v>-3.1182109999999999E-2</v>
      </c>
      <c r="O7436">
        <v>2.134432E-2</v>
      </c>
      <c r="P7436">
        <v>0.9780491</v>
      </c>
      <c r="Q7436">
        <v>0.20027619999999999</v>
      </c>
      <c r="R7436">
        <v>5.7531649999999997E-2</v>
      </c>
      <c r="S7436">
        <v>3.1365660000000002</v>
      </c>
      <c r="T7436">
        <v>-0.28544019999999998</v>
      </c>
      <c r="U7436">
        <v>-0.19638059999999999</v>
      </c>
      <c r="V7436">
        <v>-3.6619100000000002E-2</v>
      </c>
      <c r="W7436">
        <v>0.23070969999999999</v>
      </c>
      <c r="X7436">
        <v>0.97233329999999996</v>
      </c>
      <c r="Y7436">
        <v>8.3287120000000006E-2</v>
      </c>
      <c r="Z7436">
        <v>-6.3545930000000004E-3</v>
      </c>
      <c r="AA7436">
        <v>0.99650530000000004</v>
      </c>
      <c r="AB7436">
        <v>6</v>
      </c>
      <c r="AC7436">
        <v>0.72019999999999096</v>
      </c>
      <c r="AD7436">
        <v>-7.0078000000000001E-2</v>
      </c>
      <c r="AE7436">
        <v>-4.9700000000001403E-2</v>
      </c>
      <c r="AF7436">
        <v>6.4460901337898294E-2</v>
      </c>
      <c r="AG7436">
        <v>-7.0078000000000001E-2</v>
      </c>
      <c r="AH7436">
        <v>0.71226271456187895</v>
      </c>
      <c r="AI7436">
        <v>95.596398070784204</v>
      </c>
      <c r="AJ7436">
        <v>84.828729191140596</v>
      </c>
      <c r="AK7436">
        <v>0.71859885084819797</v>
      </c>
      <c r="AL7436">
        <v>76.661141456697095</v>
      </c>
      <c r="AM7436">
        <v>92.156800310261701</v>
      </c>
      <c r="AN7436">
        <v>0.99999998522389399</v>
      </c>
    </row>
    <row r="7437" spans="1:40" x14ac:dyDescent="0.25">
      <c r="A7437" t="str">
        <f>"20190304155821375"</f>
        <v>20190304155821375</v>
      </c>
      <c r="B7437" t="str">
        <f>"1551686301372519"</f>
        <v>1551686301372519</v>
      </c>
      <c r="C7437" t="s">
        <v>40</v>
      </c>
      <c r="D7437">
        <v>5.1018980000000003</v>
      </c>
      <c r="E7437">
        <v>0.54810550000000002</v>
      </c>
      <c r="F7437" t="s">
        <v>42</v>
      </c>
      <c r="G7437">
        <v>-122.34910000000001</v>
      </c>
      <c r="H7437">
        <v>1.0420400000000001</v>
      </c>
      <c r="I7437">
        <v>137.4537</v>
      </c>
      <c r="J7437">
        <v>-123.07640000000001</v>
      </c>
      <c r="K7437">
        <v>1.112843</v>
      </c>
      <c r="L7437">
        <v>137.4991</v>
      </c>
      <c r="M7437">
        <v>0.99929849999999998</v>
      </c>
      <c r="N7437">
        <v>-3.0742189999999999E-2</v>
      </c>
      <c r="O7437">
        <v>2.1385500000000002E-2</v>
      </c>
      <c r="P7437">
        <v>0.97815099999999999</v>
      </c>
      <c r="Q7437">
        <v>0.1997823</v>
      </c>
      <c r="R7437">
        <v>5.7514740000000002E-2</v>
      </c>
      <c r="S7437">
        <v>3.137375</v>
      </c>
      <c r="T7437">
        <v>-0.28987000000000002</v>
      </c>
      <c r="U7437">
        <v>-0.1815948</v>
      </c>
      <c r="V7437">
        <v>-3.6560960000000003E-2</v>
      </c>
      <c r="W7437">
        <v>0.22979140000000001</v>
      </c>
      <c r="X7437">
        <v>0.972553</v>
      </c>
      <c r="Y7437">
        <v>7.8644770000000003E-2</v>
      </c>
      <c r="Z7437">
        <v>-6.1501000000000004E-3</v>
      </c>
      <c r="AA7437">
        <v>0.99688370000000004</v>
      </c>
      <c r="AB7437">
        <v>6</v>
      </c>
      <c r="AC7437">
        <v>0.72729999999999895</v>
      </c>
      <c r="AD7437">
        <v>-7.0803000000000102E-2</v>
      </c>
      <c r="AE7437">
        <v>-4.5400000000000697E-2</v>
      </c>
      <c r="AF7437">
        <v>6.0380624159834702E-2</v>
      </c>
      <c r="AG7437">
        <v>-7.0803000000000102E-2</v>
      </c>
      <c r="AH7437">
        <v>0.71937105123912204</v>
      </c>
      <c r="AI7437">
        <v>95.601574103147101</v>
      </c>
      <c r="AJ7437">
        <v>85.202107799555293</v>
      </c>
      <c r="AK7437">
        <v>0.72536445594184695</v>
      </c>
      <c r="AL7437">
        <v>76.715209964701998</v>
      </c>
      <c r="AM7437">
        <v>92.152893202068498</v>
      </c>
      <c r="AN7437">
        <v>1.0000000645595299</v>
      </c>
    </row>
    <row r="7438" spans="1:40" x14ac:dyDescent="0.25">
      <c r="A7438" t="str">
        <f>"20190304155821397"</f>
        <v>20190304155821397</v>
      </c>
      <c r="B7438" t="str">
        <f>"1551686301392038"</f>
        <v>1551686301392038</v>
      </c>
      <c r="C7438" t="s">
        <v>40</v>
      </c>
      <c r="D7438">
        <v>6.9700629999999997</v>
      </c>
      <c r="E7438">
        <v>0.55083110000000002</v>
      </c>
      <c r="F7438" t="s">
        <v>42</v>
      </c>
      <c r="G7438">
        <v>-122.3022</v>
      </c>
      <c r="H7438">
        <v>1.043115</v>
      </c>
      <c r="I7438">
        <v>137.4427</v>
      </c>
      <c r="J7438">
        <v>-123.0257</v>
      </c>
      <c r="K7438">
        <v>1.1127849999999999</v>
      </c>
      <c r="L7438">
        <v>137.50020000000001</v>
      </c>
      <c r="M7438">
        <v>0.99930419999999998</v>
      </c>
      <c r="N7438">
        <v>-3.0523560000000002E-2</v>
      </c>
      <c r="O7438">
        <v>2.1437310000000001E-2</v>
      </c>
      <c r="P7438">
        <v>0.97823320000000002</v>
      </c>
      <c r="Q7438">
        <v>0.19920109999999999</v>
      </c>
      <c r="R7438">
        <v>5.812867E-2</v>
      </c>
      <c r="S7438">
        <v>3.1381839999999999</v>
      </c>
      <c r="T7438">
        <v>-0.28272180000000002</v>
      </c>
      <c r="U7438">
        <v>-0.22833249999999999</v>
      </c>
      <c r="V7438">
        <v>-3.7123620000000003E-2</v>
      </c>
      <c r="W7438">
        <v>0.22900100000000001</v>
      </c>
      <c r="X7438">
        <v>0.97271810000000003</v>
      </c>
      <c r="Y7438">
        <v>9.3398880000000004E-2</v>
      </c>
      <c r="Z7438">
        <v>-6.8971419999999898E-3</v>
      </c>
      <c r="AA7438">
        <v>0.99560490000000001</v>
      </c>
      <c r="AB7438">
        <v>5</v>
      </c>
      <c r="AC7438">
        <v>0.72350000000000103</v>
      </c>
      <c r="AD7438">
        <v>-6.9670000000000107E-2</v>
      </c>
      <c r="AE7438">
        <v>-5.7500000000004499E-2</v>
      </c>
      <c r="AF7438">
        <v>7.2337331801167207E-2</v>
      </c>
      <c r="AG7438">
        <v>-6.9670000000000107E-2</v>
      </c>
      <c r="AH7438">
        <v>0.71550719382541905</v>
      </c>
      <c r="AI7438">
        <v>95.533412666993698</v>
      </c>
      <c r="AJ7438">
        <v>84.227047651585394</v>
      </c>
      <c r="AK7438">
        <v>0.72252137884497003</v>
      </c>
      <c r="AL7438">
        <v>76.761737245479907</v>
      </c>
      <c r="AM7438">
        <v>92.185622882859306</v>
      </c>
      <c r="AN7438">
        <v>1.00000006161525</v>
      </c>
    </row>
    <row r="7439" spans="1:40" x14ac:dyDescent="0.25">
      <c r="A7439" t="str">
        <f>"20190304155821420"</f>
        <v>20190304155821420</v>
      </c>
      <c r="B7439" t="str">
        <f>"1551686301412535"</f>
        <v>1551686301412535</v>
      </c>
      <c r="C7439" t="s">
        <v>40</v>
      </c>
      <c r="D7439">
        <v>5.0484220000000004</v>
      </c>
      <c r="E7439">
        <v>0.57628509999999999</v>
      </c>
      <c r="F7439" t="s">
        <v>41</v>
      </c>
      <c r="G7439">
        <v>-110.5723</v>
      </c>
      <c r="H7439" s="1">
        <v>-4.5771720000000001E-6</v>
      </c>
      <c r="I7439">
        <v>136.51329999999999</v>
      </c>
      <c r="J7439">
        <v>-122.9808</v>
      </c>
      <c r="K7439">
        <v>1.1127990000000001</v>
      </c>
      <c r="L7439">
        <v>137.50120000000001</v>
      </c>
      <c r="M7439">
        <v>0.99930240000000004</v>
      </c>
      <c r="N7439">
        <v>-3.054699E-2</v>
      </c>
      <c r="O7439">
        <v>2.1483700000000001E-2</v>
      </c>
      <c r="P7439">
        <v>0.97842220000000002</v>
      </c>
      <c r="Q7439">
        <v>0.1981502</v>
      </c>
      <c r="R7439">
        <v>5.8537520000000003E-2</v>
      </c>
      <c r="S7439">
        <v>3.1386569999999998</v>
      </c>
      <c r="T7439">
        <v>-0.28045799999999999</v>
      </c>
      <c r="U7439">
        <v>-0.2487335</v>
      </c>
      <c r="V7439">
        <v>-3.7483049999999997E-2</v>
      </c>
      <c r="W7439">
        <v>0.22797880000000001</v>
      </c>
      <c r="X7439">
        <v>0.97294429999999998</v>
      </c>
      <c r="Y7439">
        <v>9.9840219999999993E-2</v>
      </c>
      <c r="Z7439">
        <v>-7.2353369999999997E-3</v>
      </c>
      <c r="AA7439">
        <v>0.99497720000000001</v>
      </c>
      <c r="AB7439">
        <v>5</v>
      </c>
      <c r="AC7439">
        <v>12.4085</v>
      </c>
      <c r="AD7439">
        <v>-1.112803577172</v>
      </c>
      <c r="AE7439">
        <v>-0.98790000000002398</v>
      </c>
      <c r="AF7439">
        <v>1.24443126939355</v>
      </c>
      <c r="AG7439">
        <v>-1.112803577172</v>
      </c>
      <c r="AH7439">
        <v>12.286208641935399</v>
      </c>
      <c r="AI7439">
        <v>95.149149268750193</v>
      </c>
      <c r="AJ7439">
        <v>84.216415611341901</v>
      </c>
      <c r="AK7439">
        <v>12.399107378306701</v>
      </c>
      <c r="AL7439">
        <v>76.821895082681195</v>
      </c>
      <c r="AM7439">
        <v>92.206250666561601</v>
      </c>
      <c r="AN7439">
        <v>0.99999996159461502</v>
      </c>
    </row>
    <row r="7440" spans="1:40" x14ac:dyDescent="0.25">
      <c r="A7440" t="str">
        <f>"20190304155821442"</f>
        <v>20190304155821442</v>
      </c>
      <c r="B7440" t="str">
        <f>"1551686301432054"</f>
        <v>1551686301432054</v>
      </c>
      <c r="C7440" t="s">
        <v>40</v>
      </c>
      <c r="D7440">
        <v>4.3361859999999997</v>
      </c>
      <c r="E7440">
        <v>0.6073556</v>
      </c>
      <c r="F7440" t="s">
        <v>46</v>
      </c>
      <c r="G7440">
        <v>0</v>
      </c>
      <c r="H7440">
        <v>0</v>
      </c>
      <c r="I7440">
        <v>0</v>
      </c>
      <c r="J7440">
        <v>-122.938</v>
      </c>
      <c r="K7440">
        <v>1.1128</v>
      </c>
      <c r="L7440">
        <v>137.50219999999999</v>
      </c>
      <c r="M7440">
        <v>0.99930269999999999</v>
      </c>
      <c r="N7440">
        <v>-3.0505339999999999E-2</v>
      </c>
      <c r="O7440">
        <v>2.152805E-2</v>
      </c>
      <c r="P7440">
        <v>0.97855250000000005</v>
      </c>
      <c r="Q7440">
        <v>0.197411</v>
      </c>
      <c r="R7440">
        <v>5.8857060000000003E-2</v>
      </c>
      <c r="S7440">
        <v>3.0249790000000001</v>
      </c>
      <c r="T7440">
        <v>0.33261049999999998</v>
      </c>
      <c r="U7440">
        <v>-0.4373322</v>
      </c>
      <c r="V7440">
        <v>-3.775684E-2</v>
      </c>
      <c r="W7440">
        <v>0.22720380000000001</v>
      </c>
      <c r="X7440">
        <v>0.97311499999999995</v>
      </c>
      <c r="Y7440">
        <v>0.163469</v>
      </c>
      <c r="Z7440">
        <v>9.4015539999999995E-3</v>
      </c>
      <c r="AA7440">
        <v>0.98650369999999998</v>
      </c>
      <c r="AB7440">
        <v>5</v>
      </c>
      <c r="AC7440">
        <v>3.0249790000000001</v>
      </c>
      <c r="AD7440">
        <v>0.33261049999999998</v>
      </c>
      <c r="AE7440">
        <v>-0.4373322</v>
      </c>
      <c r="AF7440">
        <v>0.49650313742550001</v>
      </c>
      <c r="AG7440">
        <v>0.33261049999999998</v>
      </c>
      <c r="AH7440">
        <v>2.9795724175110401</v>
      </c>
      <c r="AI7440">
        <v>83.716362214522206</v>
      </c>
      <c r="AJ7440">
        <v>80.5394040708304</v>
      </c>
      <c r="AK7440">
        <v>3.0389137699803501</v>
      </c>
      <c r="AL7440">
        <v>76.867496204292806</v>
      </c>
      <c r="AM7440">
        <v>92.221960388992997</v>
      </c>
      <c r="AN7440">
        <v>0.99999997446311195</v>
      </c>
    </row>
    <row r="7441" spans="1:40" x14ac:dyDescent="0.25">
      <c r="A7441" t="str">
        <f>"20190304155821464"</f>
        <v>20190304155821464</v>
      </c>
      <c r="B7441" t="str">
        <f>"1551686301462311"</f>
        <v>1551686301462311</v>
      </c>
      <c r="C7441" t="s">
        <v>40</v>
      </c>
      <c r="D7441">
        <v>5.0754299999999999</v>
      </c>
      <c r="E7441">
        <v>0.53539199999999998</v>
      </c>
      <c r="F7441" t="s">
        <v>41</v>
      </c>
      <c r="G7441">
        <v>-103.45480000000001</v>
      </c>
      <c r="H7441" s="1">
        <v>-4.2122869999999997E-6</v>
      </c>
      <c r="I7441">
        <v>133.20179999999999</v>
      </c>
      <c r="J7441">
        <v>-122.8986</v>
      </c>
      <c r="K7441">
        <v>1.1127450000000001</v>
      </c>
      <c r="L7441">
        <v>137.50309999999999</v>
      </c>
      <c r="M7441">
        <v>0.99930819999999998</v>
      </c>
      <c r="N7441">
        <v>-3.029977E-2</v>
      </c>
      <c r="O7441">
        <v>2.1569580000000001E-2</v>
      </c>
      <c r="P7441">
        <v>0.97868980000000005</v>
      </c>
      <c r="Q7441">
        <v>0.19660559999999999</v>
      </c>
      <c r="R7441">
        <v>5.926584E-2</v>
      </c>
      <c r="S7441">
        <v>3.143707</v>
      </c>
      <c r="T7441">
        <v>-0.1795561</v>
      </c>
      <c r="U7441">
        <v>-0.69389339999999999</v>
      </c>
      <c r="V7441">
        <v>-3.8121849999999999E-2</v>
      </c>
      <c r="W7441">
        <v>0.2262034</v>
      </c>
      <c r="X7441">
        <v>0.97333380000000003</v>
      </c>
      <c r="Y7441">
        <v>0.23598089999999999</v>
      </c>
      <c r="Z7441">
        <v>-1.0848200000000001E-2</v>
      </c>
      <c r="AA7441">
        <v>0.97169720000000004</v>
      </c>
      <c r="AB7441">
        <v>4</v>
      </c>
      <c r="AC7441">
        <v>19.4438</v>
      </c>
      <c r="AD7441">
        <v>-1.112749212287</v>
      </c>
      <c r="AE7441">
        <v>-4.3012999999999897</v>
      </c>
      <c r="AF7441">
        <v>4.7051942811712699</v>
      </c>
      <c r="AG7441">
        <v>-1.112749212287</v>
      </c>
      <c r="AH7441">
        <v>19.286233836786099</v>
      </c>
      <c r="AI7441">
        <v>93.208217312862701</v>
      </c>
      <c r="AJ7441">
        <v>76.289576635240195</v>
      </c>
      <c r="AK7441">
        <v>19.883055088195199</v>
      </c>
      <c r="AL7441">
        <v>76.926347101638797</v>
      </c>
      <c r="AM7441">
        <v>92.2429153047581</v>
      </c>
      <c r="AN7441">
        <v>0.99999996992071005</v>
      </c>
    </row>
    <row r="7442" spans="1:40" x14ac:dyDescent="0.25">
      <c r="A7442" t="str">
        <f>"20190304155821487"</f>
        <v>20190304155821487</v>
      </c>
      <c r="B7442" t="str">
        <f>"1551686301481830"</f>
        <v>1551686301481830</v>
      </c>
      <c r="C7442" t="s">
        <v>40</v>
      </c>
      <c r="D7442">
        <v>5.082198</v>
      </c>
      <c r="E7442">
        <v>0.53023169999999897</v>
      </c>
      <c r="F7442" t="s">
        <v>41</v>
      </c>
      <c r="G7442">
        <v>-106.16160000000001</v>
      </c>
      <c r="H7442" s="1">
        <v>-2.2840149999999998E-6</v>
      </c>
      <c r="I7442">
        <v>136.85890000000001</v>
      </c>
      <c r="J7442">
        <v>-122.86109999999999</v>
      </c>
      <c r="K7442">
        <v>1.1126879999999999</v>
      </c>
      <c r="L7442">
        <v>137.50399999999999</v>
      </c>
      <c r="M7442">
        <v>0.99931499999999995</v>
      </c>
      <c r="N7442">
        <v>-3.004654E-2</v>
      </c>
      <c r="O7442">
        <v>2.1610170000000001E-2</v>
      </c>
      <c r="P7442">
        <v>0.97884780000000005</v>
      </c>
      <c r="Q7442">
        <v>0.19575870000000001</v>
      </c>
      <c r="R7442">
        <v>5.9464620000000003E-2</v>
      </c>
      <c r="S7442">
        <v>3.114182</v>
      </c>
      <c r="T7442">
        <v>-0.2070438</v>
      </c>
      <c r="U7442">
        <v>-0.1198578</v>
      </c>
      <c r="V7442">
        <v>-3.8277480000000003E-2</v>
      </c>
      <c r="W7442">
        <v>0.22511500000000001</v>
      </c>
      <c r="X7442">
        <v>0.97358</v>
      </c>
      <c r="Y7442">
        <v>5.9848100000000001E-2</v>
      </c>
      <c r="Z7442">
        <v>-3.6735280000000001E-3</v>
      </c>
      <c r="AA7442">
        <v>0.99820070000000005</v>
      </c>
      <c r="AB7442">
        <v>4</v>
      </c>
      <c r="AC7442">
        <v>16.699499999999901</v>
      </c>
      <c r="AD7442">
        <v>-1.1126902840149999</v>
      </c>
      <c r="AE7442">
        <v>-0.64509999999998502</v>
      </c>
      <c r="AF7442">
        <v>1.00155137254057</v>
      </c>
      <c r="AG7442">
        <v>-1.1126902840149999</v>
      </c>
      <c r="AH7442">
        <v>16.608026916873602</v>
      </c>
      <c r="AI7442">
        <v>93.825995264034006</v>
      </c>
      <c r="AJ7442">
        <v>86.548942615151304</v>
      </c>
      <c r="AK7442">
        <v>16.675363351111098</v>
      </c>
      <c r="AL7442">
        <v>76.990358970304001</v>
      </c>
      <c r="AM7442">
        <v>92.251493535357795</v>
      </c>
      <c r="AN7442">
        <v>0.999999972550074</v>
      </c>
    </row>
    <row r="7443" spans="1:40" x14ac:dyDescent="0.25">
      <c r="A7443" t="str">
        <f>"20190304155821510"</f>
        <v>20190304155821510</v>
      </c>
      <c r="B7443" t="str">
        <f>"1551686301502326"</f>
        <v>1551686301502326</v>
      </c>
      <c r="C7443" t="s">
        <v>40</v>
      </c>
      <c r="D7443">
        <v>4.9769350000000001</v>
      </c>
      <c r="E7443">
        <v>0.52592280000000002</v>
      </c>
      <c r="F7443" t="s">
        <v>41</v>
      </c>
      <c r="G7443">
        <v>-109.45140000000001</v>
      </c>
      <c r="H7443" s="1">
        <v>-8.4714510000000003E-7</v>
      </c>
      <c r="I7443">
        <v>137.16489999999999</v>
      </c>
      <c r="J7443">
        <v>-122.82850000000001</v>
      </c>
      <c r="K7443">
        <v>1.1126689999999999</v>
      </c>
      <c r="L7443">
        <v>137.50470000000001</v>
      </c>
      <c r="M7443">
        <v>0.99931930000000002</v>
      </c>
      <c r="N7443">
        <v>-2.9877290000000001E-2</v>
      </c>
      <c r="O7443">
        <v>2.1645020000000001E-2</v>
      </c>
      <c r="P7443">
        <v>0.97895750000000004</v>
      </c>
      <c r="Q7443">
        <v>0.1952497</v>
      </c>
      <c r="R7443">
        <v>5.9328779999999998E-2</v>
      </c>
      <c r="S7443">
        <v>3.121429</v>
      </c>
      <c r="T7443">
        <v>-0.25900600000000001</v>
      </c>
      <c r="U7443">
        <v>-7.8933719999999999E-2</v>
      </c>
      <c r="V7443">
        <v>-3.8104329999999999E-2</v>
      </c>
      <c r="W7443">
        <v>0.22444459999999999</v>
      </c>
      <c r="X7443">
        <v>0.97374159999999998</v>
      </c>
      <c r="Y7443">
        <v>4.6672720000000001E-2</v>
      </c>
      <c r="Z7443">
        <v>-3.7785330000000002E-3</v>
      </c>
      <c r="AA7443">
        <v>0.99890310000000004</v>
      </c>
      <c r="AB7443">
        <v>4</v>
      </c>
      <c r="AC7443">
        <v>13.3771</v>
      </c>
      <c r="AD7443">
        <v>-1.1126698471451</v>
      </c>
      <c r="AE7443">
        <v>-0.33980000000002503</v>
      </c>
      <c r="AF7443">
        <v>0.62507544082021704</v>
      </c>
      <c r="AG7443">
        <v>-1.1126698471451</v>
      </c>
      <c r="AH7443">
        <v>13.2748229865227</v>
      </c>
      <c r="AI7443">
        <v>94.785943452904206</v>
      </c>
      <c r="AJ7443">
        <v>87.304088302663601</v>
      </c>
      <c r="AK7443">
        <v>13.3360293498093</v>
      </c>
      <c r="AL7443">
        <v>77.029779340923398</v>
      </c>
      <c r="AM7443">
        <v>92.240947622731596</v>
      </c>
      <c r="AN7443">
        <v>1.00000001100223</v>
      </c>
    </row>
    <row r="7444" spans="1:40" x14ac:dyDescent="0.25">
      <c r="A7444" t="str">
        <f>"20190304155821535"</f>
        <v>20190304155821535</v>
      </c>
      <c r="B7444" t="str">
        <f>"1551686301532582"</f>
        <v>1551686301532582</v>
      </c>
      <c r="C7444" t="s">
        <v>40</v>
      </c>
      <c r="D7444">
        <v>4.9307759999999998</v>
      </c>
      <c r="E7444">
        <v>0.52130379999999998</v>
      </c>
      <c r="F7444" t="s">
        <v>41</v>
      </c>
      <c r="G7444">
        <v>-110.5478</v>
      </c>
      <c r="H7444" s="1">
        <v>-4.4434249999999997E-6</v>
      </c>
      <c r="I7444">
        <v>137.32660000000001</v>
      </c>
      <c r="J7444">
        <v>-122.7948</v>
      </c>
      <c r="K7444">
        <v>1.1126670000000001</v>
      </c>
      <c r="L7444">
        <v>137.50550000000001</v>
      </c>
      <c r="M7444">
        <v>0.99932240000000006</v>
      </c>
      <c r="N7444">
        <v>-2.975185E-2</v>
      </c>
      <c r="O7444">
        <v>2.168074E-2</v>
      </c>
      <c r="P7444">
        <v>0.97905209999999998</v>
      </c>
      <c r="Q7444">
        <v>0.19490489999999999</v>
      </c>
      <c r="R7444">
        <v>5.8901019999999998E-2</v>
      </c>
      <c r="S7444">
        <v>3.123672</v>
      </c>
      <c r="T7444">
        <v>-0.28301490000000001</v>
      </c>
      <c r="U7444">
        <v>-4.5303339999999998E-2</v>
      </c>
      <c r="V7444">
        <v>-3.7639499999999999E-2</v>
      </c>
      <c r="W7444">
        <v>0.2239804</v>
      </c>
      <c r="X7444">
        <v>0.97386660000000003</v>
      </c>
      <c r="Y7444">
        <v>3.5950500000000003E-2</v>
      </c>
      <c r="Z7444">
        <v>-3.477511E-3</v>
      </c>
      <c r="AA7444">
        <v>0.99934750000000006</v>
      </c>
      <c r="AB7444">
        <v>4</v>
      </c>
      <c r="AC7444">
        <v>12.247</v>
      </c>
      <c r="AD7444">
        <v>-1.112671443425</v>
      </c>
      <c r="AE7444">
        <v>-0.17889999999999801</v>
      </c>
      <c r="AF7444">
        <v>0.44086128855312201</v>
      </c>
      <c r="AG7444">
        <v>-1.112671443425</v>
      </c>
      <c r="AH7444">
        <v>12.140053405887199</v>
      </c>
      <c r="AI7444">
        <v>95.233265093011596</v>
      </c>
      <c r="AJ7444">
        <v>87.920240096145804</v>
      </c>
      <c r="AK7444">
        <v>12.198905406410599</v>
      </c>
      <c r="AL7444">
        <v>77.057071430583903</v>
      </c>
      <c r="AM7444">
        <v>92.213354096194706</v>
      </c>
      <c r="AN7444">
        <v>1.00000005306998</v>
      </c>
    </row>
    <row r="7445" spans="1:40" x14ac:dyDescent="0.25">
      <c r="A7445" t="str">
        <f>"20190304155821559"</f>
        <v>20190304155821559</v>
      </c>
      <c r="B7445" t="str">
        <f>"1551686301552102"</f>
        <v>1551686301552102</v>
      </c>
      <c r="C7445" t="s">
        <v>40</v>
      </c>
      <c r="D7445">
        <v>4.8381420000000004</v>
      </c>
      <c r="E7445">
        <v>0.51984390000000003</v>
      </c>
      <c r="F7445" t="s">
        <v>41</v>
      </c>
      <c r="G7445">
        <v>-111.074</v>
      </c>
      <c r="H7445" s="1">
        <v>-4.1925339999999998E-6</v>
      </c>
      <c r="I7445">
        <v>137.4683</v>
      </c>
      <c r="J7445">
        <v>-122.7655</v>
      </c>
      <c r="K7445">
        <v>1.112671</v>
      </c>
      <c r="L7445">
        <v>137.5061</v>
      </c>
      <c r="M7445">
        <v>0.99932520000000002</v>
      </c>
      <c r="N7445">
        <v>-2.9629829999999999E-2</v>
      </c>
      <c r="O7445">
        <v>2.1711040000000001E-2</v>
      </c>
      <c r="P7445">
        <v>0.97912279999999996</v>
      </c>
      <c r="Q7445">
        <v>0.19475970000000001</v>
      </c>
      <c r="R7445">
        <v>5.8202480000000001E-2</v>
      </c>
      <c r="S7445">
        <v>3.1238250000000001</v>
      </c>
      <c r="T7445">
        <v>-0.2965487</v>
      </c>
      <c r="U7445">
        <v>-9.9029540000000003E-3</v>
      </c>
      <c r="V7445">
        <v>-3.6909440000000002E-2</v>
      </c>
      <c r="W7445">
        <v>0.22371820000000001</v>
      </c>
      <c r="X7445">
        <v>0.97395469999999895</v>
      </c>
      <c r="Y7445">
        <v>2.4697819999999999E-2</v>
      </c>
      <c r="Z7445">
        <v>-2.9505730000000002E-3</v>
      </c>
      <c r="AA7445">
        <v>0.99969059999999998</v>
      </c>
      <c r="AB7445">
        <v>3</v>
      </c>
      <c r="AC7445">
        <v>11.6915</v>
      </c>
      <c r="AD7445">
        <v>-1.1126751925339999</v>
      </c>
      <c r="AE7445">
        <v>-3.7800000000004198E-2</v>
      </c>
      <c r="AF7445">
        <v>0.28911859276366098</v>
      </c>
      <c r="AG7445">
        <v>-1.1126751925339999</v>
      </c>
      <c r="AH7445">
        <v>11.583011577266801</v>
      </c>
      <c r="AI7445">
        <v>95.485353106744299</v>
      </c>
      <c r="AJ7445">
        <v>88.570161473365701</v>
      </c>
      <c r="AK7445">
        <v>11.6399223727591</v>
      </c>
      <c r="AL7445">
        <v>77.072484162607395</v>
      </c>
      <c r="AM7445">
        <v>92.170268950613803</v>
      </c>
      <c r="AN7445">
        <v>0.99999994871221998</v>
      </c>
    </row>
    <row r="7446" spans="1:40" x14ac:dyDescent="0.25">
      <c r="A7446" t="str">
        <f>"20190304155821576"</f>
        <v>20190304155821576</v>
      </c>
      <c r="B7446" t="str">
        <f>"1551686301571622"</f>
        <v>1551686301571622</v>
      </c>
      <c r="C7446" t="s">
        <v>40</v>
      </c>
      <c r="D7446">
        <v>4.9355070000000003</v>
      </c>
      <c r="E7446">
        <v>0.51905920000000005</v>
      </c>
      <c r="F7446" t="s">
        <v>41</v>
      </c>
      <c r="G7446">
        <v>-111.3733</v>
      </c>
      <c r="H7446" s="1">
        <v>-4.0582439999999999E-6</v>
      </c>
      <c r="I7446">
        <v>137.5016</v>
      </c>
      <c r="J7446">
        <v>-122.7484</v>
      </c>
      <c r="K7446">
        <v>1.1126670000000001</v>
      </c>
      <c r="L7446">
        <v>137.50649999999999</v>
      </c>
      <c r="M7446">
        <v>0.99932710000000002</v>
      </c>
      <c r="N7446">
        <v>-2.9550759999999999E-2</v>
      </c>
      <c r="O7446">
        <v>2.1728730000000002E-2</v>
      </c>
      <c r="P7446">
        <v>0.97891269999999997</v>
      </c>
      <c r="Q7446">
        <v>0.19597110000000001</v>
      </c>
      <c r="R7446">
        <v>5.7666769999999999E-2</v>
      </c>
      <c r="S7446">
        <v>3.1247410000000002</v>
      </c>
      <c r="T7446">
        <v>-0.3051914</v>
      </c>
      <c r="U7446">
        <v>-1.2512210000000001E-3</v>
      </c>
      <c r="V7446">
        <v>-3.636056E-2</v>
      </c>
      <c r="W7446">
        <v>0.22484560000000001</v>
      </c>
      <c r="X7446">
        <v>0.97371580000000002</v>
      </c>
      <c r="Y7446">
        <v>2.1952059999999999E-2</v>
      </c>
      <c r="Z7446">
        <v>-2.8707580000000002E-3</v>
      </c>
      <c r="AA7446">
        <v>0.9997549</v>
      </c>
      <c r="AB7446">
        <v>3</v>
      </c>
      <c r="AC7446">
        <v>11.3751</v>
      </c>
      <c r="AD7446">
        <v>-1.112671058244</v>
      </c>
      <c r="AE7446">
        <v>-4.8999999999921303E-3</v>
      </c>
      <c r="AF7446">
        <v>0.24978336587692301</v>
      </c>
      <c r="AG7446">
        <v>-1.112671058244</v>
      </c>
      <c r="AH7446">
        <v>11.264526057141699</v>
      </c>
      <c r="AI7446">
        <v>95.639803035402693</v>
      </c>
      <c r="AJ7446">
        <v>88.729712407688993</v>
      </c>
      <c r="AK7446">
        <v>11.3221012142511</v>
      </c>
      <c r="AL7446">
        <v>77.006201560119806</v>
      </c>
      <c r="AM7446">
        <v>92.138549149966906</v>
      </c>
      <c r="AN7446">
        <v>1.00000004666625</v>
      </c>
    </row>
    <row r="7447" spans="1:40" x14ac:dyDescent="0.25">
      <c r="A7447" t="str">
        <f>"20190304155821598"</f>
        <v>20190304155821598</v>
      </c>
      <c r="B7447" t="str">
        <f>"1551686301592119"</f>
        <v>1551686301592119</v>
      </c>
      <c r="C7447" t="s">
        <v>40</v>
      </c>
      <c r="D7447">
        <v>5.1528900000000002</v>
      </c>
      <c r="E7447">
        <v>0.52071400000000001</v>
      </c>
      <c r="F7447" t="s">
        <v>41</v>
      </c>
      <c r="G7447">
        <v>-111.35129999999999</v>
      </c>
      <c r="H7447" s="1">
        <v>-4.0645410000000003E-6</v>
      </c>
      <c r="I7447">
        <v>137.51939999999999</v>
      </c>
      <c r="J7447">
        <v>-122.72799999999999</v>
      </c>
      <c r="K7447">
        <v>1.11267</v>
      </c>
      <c r="L7447">
        <v>137.50700000000001</v>
      </c>
      <c r="M7447">
        <v>0.99932909999999997</v>
      </c>
      <c r="N7447">
        <v>-2.9467810000000001E-2</v>
      </c>
      <c r="O7447">
        <v>2.1748960000000001E-2</v>
      </c>
      <c r="P7447">
        <v>0.9788327</v>
      </c>
      <c r="Q7447">
        <v>0.19654189999999999</v>
      </c>
      <c r="R7447">
        <v>5.7077820000000001E-2</v>
      </c>
      <c r="S7447">
        <v>3.1255039999999998</v>
      </c>
      <c r="T7447">
        <v>-0.30513430000000002</v>
      </c>
      <c r="U7447">
        <v>3.540039E-3</v>
      </c>
      <c r="V7447">
        <v>-3.5752840000000001E-2</v>
      </c>
      <c r="W7447">
        <v>0.22533249999999999</v>
      </c>
      <c r="X7447">
        <v>0.97362570000000004</v>
      </c>
      <c r="Y7447">
        <v>2.044895E-2</v>
      </c>
      <c r="Z7447">
        <v>-2.7762199999999998E-3</v>
      </c>
      <c r="AA7447">
        <v>0.99978699999999998</v>
      </c>
      <c r="AB7447">
        <v>2</v>
      </c>
      <c r="AC7447">
        <v>11.3767</v>
      </c>
      <c r="AD7447">
        <v>-1.112674064541</v>
      </c>
      <c r="AE7447">
        <v>1.23999999999853E-2</v>
      </c>
      <c r="AF7447">
        <v>0.23291391219895799</v>
      </c>
      <c r="AG7447">
        <v>-1.112674064541</v>
      </c>
      <c r="AH7447">
        <v>11.266507887487901</v>
      </c>
      <c r="AI7447">
        <v>95.639012604237905</v>
      </c>
      <c r="AJ7447">
        <v>88.815685955069299</v>
      </c>
      <c r="AK7447">
        <v>11.323713721355899</v>
      </c>
      <c r="AL7447">
        <v>76.977568909249001</v>
      </c>
      <c r="AM7447">
        <v>92.103032835444495</v>
      </c>
      <c r="AN7447">
        <v>1.0000000024124001</v>
      </c>
    </row>
    <row r="7448" spans="1:40" x14ac:dyDescent="0.25">
      <c r="A7448" t="str">
        <f>"20190304155821621"</f>
        <v>20190304155821621</v>
      </c>
      <c r="B7448" t="str">
        <f>"1551686301611639"</f>
        <v>1551686301611639</v>
      </c>
      <c r="C7448" t="s">
        <v>40</v>
      </c>
      <c r="D7448">
        <v>5.0364449999999996</v>
      </c>
      <c r="E7448">
        <v>0.52072989999999997</v>
      </c>
      <c r="F7448" t="s">
        <v>42</v>
      </c>
      <c r="G7448">
        <v>-121.9752</v>
      </c>
      <c r="H7448">
        <v>1.0376909999999999</v>
      </c>
      <c r="I7448">
        <v>137.50450000000001</v>
      </c>
      <c r="J7448">
        <v>-122.71129999999999</v>
      </c>
      <c r="K7448">
        <v>1.1126799999999999</v>
      </c>
      <c r="L7448">
        <v>137.50739999999999</v>
      </c>
      <c r="M7448">
        <v>0.9993303</v>
      </c>
      <c r="N7448">
        <v>-2.9415980000000001E-2</v>
      </c>
      <c r="O7448">
        <v>2.1765389999999999E-2</v>
      </c>
      <c r="P7448">
        <v>0.97890730000000004</v>
      </c>
      <c r="Q7448">
        <v>0.19626579999999999</v>
      </c>
      <c r="R7448">
        <v>5.6749349999999997E-2</v>
      </c>
      <c r="S7448">
        <v>3.1280519999999998</v>
      </c>
      <c r="T7448">
        <v>-0.31161440000000001</v>
      </c>
      <c r="U7448">
        <v>-1.037598E-2</v>
      </c>
      <c r="V7448">
        <v>-3.5406430000000003E-2</v>
      </c>
      <c r="W7448">
        <v>0.22500819999999999</v>
      </c>
      <c r="X7448">
        <v>0.9737133</v>
      </c>
      <c r="Y7448">
        <v>2.4877779999999999E-2</v>
      </c>
      <c r="Z7448">
        <v>-3.1267259999999998E-3</v>
      </c>
      <c r="AA7448">
        <v>0.99968559999999995</v>
      </c>
      <c r="AB7448">
        <v>2</v>
      </c>
      <c r="AC7448">
        <v>0.73609999999999298</v>
      </c>
      <c r="AD7448">
        <v>-7.4988999999999903E-2</v>
      </c>
      <c r="AE7448">
        <v>-2.8999999999825801E-3</v>
      </c>
      <c r="AF7448">
        <v>1.8733336498398801E-2</v>
      </c>
      <c r="AG7448">
        <v>-7.4988999999999903E-2</v>
      </c>
      <c r="AH7448">
        <v>0.72830396683323895</v>
      </c>
      <c r="AI7448">
        <v>95.876749466469207</v>
      </c>
      <c r="AJ7448">
        <v>88.526570569818006</v>
      </c>
      <c r="AK7448">
        <v>0.73239398968205205</v>
      </c>
      <c r="AL7448">
        <v>76.996638958932394</v>
      </c>
      <c r="AM7448">
        <v>92.082487336166096</v>
      </c>
      <c r="AN7448">
        <v>0.99999994797473601</v>
      </c>
    </row>
    <row r="7449" spans="1:40" x14ac:dyDescent="0.25">
      <c r="A7449" t="str">
        <f>"20190304155821643"</f>
        <v>20190304155821643</v>
      </c>
      <c r="B7449" t="str">
        <f>"1551686301632134"</f>
        <v>1551686301632134</v>
      </c>
      <c r="C7449" t="s">
        <v>40</v>
      </c>
      <c r="D7449">
        <v>4.8899169999999996</v>
      </c>
      <c r="E7449">
        <v>0.52063909999999902</v>
      </c>
      <c r="F7449" t="s">
        <v>42</v>
      </c>
      <c r="G7449">
        <v>-121.96899999999999</v>
      </c>
      <c r="H7449">
        <v>1.0374589999999999</v>
      </c>
      <c r="I7449">
        <v>137.50450000000001</v>
      </c>
      <c r="J7449">
        <v>-122.6974</v>
      </c>
      <c r="K7449">
        <v>1.1126739999999999</v>
      </c>
      <c r="L7449">
        <v>137.5077</v>
      </c>
      <c r="M7449">
        <v>0.99933249999999996</v>
      </c>
      <c r="N7449">
        <v>-2.9334829999999999E-2</v>
      </c>
      <c r="O7449">
        <v>2.177892E-2</v>
      </c>
      <c r="P7449">
        <v>0.97912670000000002</v>
      </c>
      <c r="Q7449">
        <v>0.19525619999999999</v>
      </c>
      <c r="R7449">
        <v>5.6448230000000002E-2</v>
      </c>
      <c r="S7449">
        <v>3.1289220000000002</v>
      </c>
      <c r="T7449">
        <v>-0.31716670000000002</v>
      </c>
      <c r="U7449">
        <v>-1.1810299999999999E-2</v>
      </c>
      <c r="V7449">
        <v>-3.5087149999999998E-2</v>
      </c>
      <c r="W7449">
        <v>0.22392599999999999</v>
      </c>
      <c r="X7449">
        <v>0.97397429999999996</v>
      </c>
      <c r="Y7449">
        <v>2.5337829999999999E-2</v>
      </c>
      <c r="Z7449">
        <v>-3.2178599999999999E-3</v>
      </c>
      <c r="AA7449">
        <v>0.99967379999999995</v>
      </c>
      <c r="AB7449">
        <v>2</v>
      </c>
      <c r="AC7449">
        <v>0.72840000000000704</v>
      </c>
      <c r="AD7449">
        <v>-7.5215000000000004E-2</v>
      </c>
      <c r="AE7449">
        <v>-3.19999999999254E-3</v>
      </c>
      <c r="AF7449">
        <v>1.8868645658989901E-2</v>
      </c>
      <c r="AG7449">
        <v>-7.5215000000000004E-2</v>
      </c>
      <c r="AH7449">
        <v>0.72047526421692898</v>
      </c>
      <c r="AI7449">
        <v>95.957854213650293</v>
      </c>
      <c r="AJ7449">
        <v>88.499814285625106</v>
      </c>
      <c r="AK7449">
        <v>0.72463641114869304</v>
      </c>
      <c r="AL7449">
        <v>77.060268187606098</v>
      </c>
      <c r="AM7449">
        <v>92.063172123078004</v>
      </c>
      <c r="AN7449">
        <v>0.99999994931580405</v>
      </c>
    </row>
    <row r="7450" spans="1:40" x14ac:dyDescent="0.25">
      <c r="A7450" t="str">
        <f>"20190304155821665"</f>
        <v>20190304155821665</v>
      </c>
      <c r="B7450" t="str">
        <f>"1551686301662391"</f>
        <v>1551686301662391</v>
      </c>
      <c r="C7450" t="s">
        <v>40</v>
      </c>
      <c r="D7450">
        <v>5.0272449999999997</v>
      </c>
      <c r="E7450">
        <v>0.52006479999999999</v>
      </c>
      <c r="F7450" t="s">
        <v>42</v>
      </c>
      <c r="G7450">
        <v>-121.9594</v>
      </c>
      <c r="H7450">
        <v>1.035968</v>
      </c>
      <c r="I7450">
        <v>137.50460000000001</v>
      </c>
      <c r="J7450">
        <v>-122.6865</v>
      </c>
      <c r="K7450">
        <v>1.112636</v>
      </c>
      <c r="L7450">
        <v>137.50790000000001</v>
      </c>
      <c r="M7450">
        <v>0.9993379</v>
      </c>
      <c r="N7450">
        <v>-2.914141E-2</v>
      </c>
      <c r="O7450">
        <v>2.1789510000000002E-2</v>
      </c>
      <c r="P7450">
        <v>0.97937490000000005</v>
      </c>
      <c r="Q7450">
        <v>0.19406039999999999</v>
      </c>
      <c r="R7450">
        <v>5.626316E-2</v>
      </c>
      <c r="S7450">
        <v>3.129562</v>
      </c>
      <c r="T7450">
        <v>-0.32531169999999998</v>
      </c>
      <c r="U7450">
        <v>-1.2771609999999999E-2</v>
      </c>
      <c r="V7450">
        <v>-3.4886639999999997E-2</v>
      </c>
      <c r="W7450">
        <v>0.22254969999999999</v>
      </c>
      <c r="X7450">
        <v>0.97429699999999997</v>
      </c>
      <c r="Y7450">
        <v>2.5640650000000001E-2</v>
      </c>
      <c r="Z7450">
        <v>-3.3288910000000001E-3</v>
      </c>
      <c r="AA7450">
        <v>0.99966569999999999</v>
      </c>
      <c r="AB7450">
        <v>2</v>
      </c>
      <c r="AC7450">
        <v>0.72709999999999197</v>
      </c>
      <c r="AD7450">
        <v>-7.6667999999999903E-2</v>
      </c>
      <c r="AE7450">
        <v>-3.2999999999958601E-3</v>
      </c>
      <c r="AF7450">
        <v>1.8938537333222299E-2</v>
      </c>
      <c r="AG7450">
        <v>-7.6667999999999903E-2</v>
      </c>
      <c r="AH7450">
        <v>0.71886289168249395</v>
      </c>
      <c r="AI7450">
        <v>96.085588574924699</v>
      </c>
      <c r="AJ7450">
        <v>88.490884237956195</v>
      </c>
      <c r="AK7450">
        <v>0.72318774011900899</v>
      </c>
      <c r="AL7450">
        <v>77.141167172418307</v>
      </c>
      <c r="AM7450">
        <v>92.050713096882305</v>
      </c>
      <c r="AN7450">
        <v>1.0000000454147799</v>
      </c>
    </row>
    <row r="7451" spans="1:40" x14ac:dyDescent="0.25">
      <c r="A7451" t="str">
        <f>"20190304155821689"</f>
        <v>20190304155821689</v>
      </c>
      <c r="B7451" t="str">
        <f>"1551686301681910"</f>
        <v>1551686301681910</v>
      </c>
      <c r="C7451" t="s">
        <v>40</v>
      </c>
      <c r="D7451">
        <v>5.3693910000000002</v>
      </c>
      <c r="E7451">
        <v>0.52106520000000001</v>
      </c>
      <c r="F7451" t="s">
        <v>42</v>
      </c>
      <c r="G7451">
        <v>-121.9517</v>
      </c>
      <c r="H7451">
        <v>1.0341309999999999</v>
      </c>
      <c r="I7451">
        <v>137.50569999999999</v>
      </c>
      <c r="J7451">
        <v>-122.6771</v>
      </c>
      <c r="K7451">
        <v>1.112549</v>
      </c>
      <c r="L7451">
        <v>137.50810000000001</v>
      </c>
      <c r="M7451">
        <v>0.99934959999999995</v>
      </c>
      <c r="N7451">
        <v>-2.8727539999999999E-2</v>
      </c>
      <c r="O7451">
        <v>2.1799289999999999E-2</v>
      </c>
      <c r="P7451">
        <v>0.97947960000000001</v>
      </c>
      <c r="Q7451">
        <v>0.19342529999999999</v>
      </c>
      <c r="R7451">
        <v>5.6627740000000003E-2</v>
      </c>
      <c r="S7451">
        <v>3.1299899999999998</v>
      </c>
      <c r="T7451">
        <v>-0.33448460000000002</v>
      </c>
      <c r="U7451">
        <v>-9.1094969999999994E-3</v>
      </c>
      <c r="V7451">
        <v>-3.5239880000000001E-2</v>
      </c>
      <c r="W7451">
        <v>0.22151470000000001</v>
      </c>
      <c r="X7451">
        <v>0.9745201</v>
      </c>
      <c r="Y7451">
        <v>2.447452E-2</v>
      </c>
      <c r="Z7451">
        <v>-3.3546299999999999E-3</v>
      </c>
      <c r="AA7451">
        <v>0.99969479999999999</v>
      </c>
      <c r="AB7451">
        <v>1</v>
      </c>
      <c r="AC7451">
        <v>0.72539999999999305</v>
      </c>
      <c r="AD7451">
        <v>-7.8418000000000099E-2</v>
      </c>
      <c r="AE7451">
        <v>-2.4000000000228201E-3</v>
      </c>
      <c r="AF7451">
        <v>1.80087099044168E-2</v>
      </c>
      <c r="AG7451">
        <v>-7.8418000000000099E-2</v>
      </c>
      <c r="AH7451">
        <v>0.71679851984352105</v>
      </c>
      <c r="AI7451">
        <v>96.241394973568404</v>
      </c>
      <c r="AJ7451">
        <v>88.560814471512202</v>
      </c>
      <c r="AK7451">
        <v>0.72130008623754105</v>
      </c>
      <c r="AL7451">
        <v>77.201986041021499</v>
      </c>
      <c r="AM7451">
        <v>92.070985506202902</v>
      </c>
      <c r="AN7451">
        <v>1.0000000183812501</v>
      </c>
    </row>
    <row r="7452" spans="1:40" x14ac:dyDescent="0.25">
      <c r="A7452" t="str">
        <f>"20190304155821711"</f>
        <v>20190304155821711</v>
      </c>
      <c r="B7452" t="str">
        <f>"1551686301702406"</f>
        <v>1551686301702406</v>
      </c>
      <c r="C7452" t="s">
        <v>40</v>
      </c>
      <c r="D7452">
        <v>4.8009550000000001</v>
      </c>
      <c r="E7452">
        <v>0.52024300000000001</v>
      </c>
      <c r="F7452" t="s">
        <v>42</v>
      </c>
      <c r="G7452">
        <v>-121.9447</v>
      </c>
      <c r="H7452">
        <v>1.0337459999999901</v>
      </c>
      <c r="I7452">
        <v>137.5044</v>
      </c>
      <c r="J7452">
        <v>-122.67019999999999</v>
      </c>
      <c r="K7452">
        <v>1.1124229999999999</v>
      </c>
      <c r="L7452">
        <v>137.50829999999999</v>
      </c>
      <c r="M7452">
        <v>0.99936650000000005</v>
      </c>
      <c r="N7452">
        <v>-2.8126310000000002E-2</v>
      </c>
      <c r="O7452">
        <v>2.1807110000000001E-2</v>
      </c>
      <c r="P7452">
        <v>0.97955230000000004</v>
      </c>
      <c r="Q7452">
        <v>0.1929756</v>
      </c>
      <c r="R7452">
        <v>5.6901670000000001E-2</v>
      </c>
      <c r="S7452">
        <v>3.13028</v>
      </c>
      <c r="T7452">
        <v>-0.3368506</v>
      </c>
      <c r="U7452">
        <v>-1.5686039999999998E-2</v>
      </c>
      <c r="V7452">
        <v>-3.5505380000000003E-2</v>
      </c>
      <c r="W7452">
        <v>0.22048100000000001</v>
      </c>
      <c r="X7452">
        <v>0.97474490000000003</v>
      </c>
      <c r="Y7452">
        <v>2.6562929999999998E-2</v>
      </c>
      <c r="Z7452">
        <v>-3.5276940000000001E-3</v>
      </c>
      <c r="AA7452">
        <v>0.99964090000000005</v>
      </c>
      <c r="AB7452">
        <v>1</v>
      </c>
      <c r="AC7452">
        <v>0.72549999999999604</v>
      </c>
      <c r="AD7452">
        <v>-7.8677000000000094E-2</v>
      </c>
      <c r="AE7452">
        <v>-3.8999999999873498E-3</v>
      </c>
      <c r="AF7452">
        <v>1.94971050469912E-2</v>
      </c>
      <c r="AG7452">
        <v>-7.8677000000000094E-2</v>
      </c>
      <c r="AH7452">
        <v>0.716812523394316</v>
      </c>
      <c r="AI7452">
        <v>96.261387155786807</v>
      </c>
      <c r="AJ7452">
        <v>88.441954582251498</v>
      </c>
      <c r="AK7452">
        <v>0.72138089878311895</v>
      </c>
      <c r="AL7452">
        <v>77.262714799178397</v>
      </c>
      <c r="AM7452">
        <v>92.086093941965203</v>
      </c>
      <c r="AN7452">
        <v>1.0000000617229701</v>
      </c>
    </row>
    <row r="7453" spans="1:40" x14ac:dyDescent="0.25">
      <c r="A7453" t="str">
        <f>"20190304155821737"</f>
        <v>20190304155821737</v>
      </c>
      <c r="B7453" t="str">
        <f>"1551686301731686"</f>
        <v>1551686301731686</v>
      </c>
      <c r="C7453" t="s">
        <v>40</v>
      </c>
      <c r="D7453">
        <v>4.9692400000000001</v>
      </c>
      <c r="E7453">
        <v>0.51953629999999995</v>
      </c>
      <c r="F7453" t="s">
        <v>42</v>
      </c>
      <c r="G7453">
        <v>-121.9345</v>
      </c>
      <c r="H7453">
        <v>1.0323719999999901</v>
      </c>
      <c r="I7453">
        <v>137.5061</v>
      </c>
      <c r="J7453">
        <v>-122.6635</v>
      </c>
      <c r="K7453">
        <v>1.112231</v>
      </c>
      <c r="L7453">
        <v>137.50839999999999</v>
      </c>
      <c r="M7453">
        <v>0.99939330000000004</v>
      </c>
      <c r="N7453">
        <v>-2.715383E-2</v>
      </c>
      <c r="O7453">
        <v>2.181489E-2</v>
      </c>
      <c r="P7453">
        <v>0.9795798</v>
      </c>
      <c r="Q7453">
        <v>0.19260459999999999</v>
      </c>
      <c r="R7453">
        <v>5.7681759999999999E-2</v>
      </c>
      <c r="S7453">
        <v>3.1302490000000001</v>
      </c>
      <c r="T7453">
        <v>-0.34072590000000003</v>
      </c>
      <c r="U7453">
        <v>-8.7585449999999995E-3</v>
      </c>
      <c r="V7453">
        <v>-3.6278209999999998E-2</v>
      </c>
      <c r="W7453">
        <v>0.21916260000000001</v>
      </c>
      <c r="X7453">
        <v>0.97501369999999998</v>
      </c>
      <c r="Y7453">
        <v>2.4367590000000001E-2</v>
      </c>
      <c r="Z7453">
        <v>-3.43064E-3</v>
      </c>
      <c r="AA7453">
        <v>0.99969719999999995</v>
      </c>
      <c r="AB7453">
        <v>1</v>
      </c>
      <c r="AC7453">
        <v>0.72899999999999898</v>
      </c>
      <c r="AD7453">
        <v>-7.9859000000000097E-2</v>
      </c>
      <c r="AE7453">
        <v>-2.29999999999108E-3</v>
      </c>
      <c r="AF7453">
        <v>1.7992458680699701E-2</v>
      </c>
      <c r="AG7453">
        <v>-7.9859000000000097E-2</v>
      </c>
      <c r="AH7453">
        <v>0.720134442147492</v>
      </c>
      <c r="AI7453">
        <v>96.325977766830903</v>
      </c>
      <c r="AJ7453">
        <v>88.568770695670196</v>
      </c>
      <c r="AK7453">
        <v>0.72477224230613002</v>
      </c>
      <c r="AL7453">
        <v>77.340147207849796</v>
      </c>
      <c r="AM7453">
        <v>92.130872518920498</v>
      </c>
      <c r="AN7453">
        <v>1.00000003447362</v>
      </c>
    </row>
    <row r="7454" spans="1:40" x14ac:dyDescent="0.25">
      <c r="A7454" t="str">
        <f>"20190304155821761"</f>
        <v>20190304155821761</v>
      </c>
      <c r="B7454" t="str">
        <f>"1551686301752183"</f>
        <v>1551686301752183</v>
      </c>
      <c r="C7454" t="s">
        <v>40</v>
      </c>
      <c r="D7454">
        <v>4.8959409999999997</v>
      </c>
      <c r="E7454">
        <v>0.51973859999999905</v>
      </c>
      <c r="F7454" t="s">
        <v>42</v>
      </c>
      <c r="G7454">
        <v>-121.9307</v>
      </c>
      <c r="H7454">
        <v>1.0318780000000001</v>
      </c>
      <c r="I7454">
        <v>137.50799999999899</v>
      </c>
      <c r="J7454">
        <v>-122.6584</v>
      </c>
      <c r="K7454">
        <v>1.112047</v>
      </c>
      <c r="L7454">
        <v>137.5086</v>
      </c>
      <c r="M7454">
        <v>0.99942059999999999</v>
      </c>
      <c r="N7454">
        <v>-2.6124270000000002E-2</v>
      </c>
      <c r="O7454">
        <v>2.182079E-2</v>
      </c>
      <c r="P7454">
        <v>0.97977179999999997</v>
      </c>
      <c r="Q7454">
        <v>0.1914641</v>
      </c>
      <c r="R7454">
        <v>5.8215610000000001E-2</v>
      </c>
      <c r="S7454">
        <v>3.1301269999999999</v>
      </c>
      <c r="T7454">
        <v>-0.3433059</v>
      </c>
      <c r="U7454">
        <v>-1.5716549999999999E-3</v>
      </c>
      <c r="V7454">
        <v>-3.6802990000000001E-2</v>
      </c>
      <c r="W7454">
        <v>0.21702340000000001</v>
      </c>
      <c r="X7454">
        <v>0.97547240000000002</v>
      </c>
      <c r="Y7454">
        <v>2.2090100000000001E-2</v>
      </c>
      <c r="Z7454">
        <v>-3.314521E-3</v>
      </c>
      <c r="AA7454">
        <v>0.99975049999999999</v>
      </c>
      <c r="AB7454">
        <v>1</v>
      </c>
      <c r="AC7454">
        <v>0.72769999999999802</v>
      </c>
      <c r="AD7454">
        <v>-8.0168999999999893E-2</v>
      </c>
      <c r="AE7454">
        <v>-6.0000000001991696E-4</v>
      </c>
      <c r="AF7454">
        <v>1.62865971012809E-2</v>
      </c>
      <c r="AG7454">
        <v>-8.0168999999999893E-2</v>
      </c>
      <c r="AH7454">
        <v>0.718789637824788</v>
      </c>
      <c r="AI7454">
        <v>96.362467189843201</v>
      </c>
      <c r="AJ7454">
        <v>88.701993486648604</v>
      </c>
      <c r="AK7454">
        <v>0.72342993112700904</v>
      </c>
      <c r="AL7454">
        <v>77.465737259960093</v>
      </c>
      <c r="AM7454">
        <v>92.160651952570404</v>
      </c>
      <c r="AN7454">
        <v>1.0000000096911299</v>
      </c>
    </row>
    <row r="7455" spans="1:40" x14ac:dyDescent="0.25">
      <c r="A7455" t="str">
        <f>"20190304155821783"</f>
        <v>20190304155821783</v>
      </c>
      <c r="B7455" t="str">
        <f>"1551686301772679"</f>
        <v>1551686301772679</v>
      </c>
      <c r="C7455" t="s">
        <v>40</v>
      </c>
      <c r="D7455">
        <v>4.8708109999999998</v>
      </c>
      <c r="E7455">
        <v>0.52045229999999998</v>
      </c>
      <c r="F7455" t="s">
        <v>42</v>
      </c>
      <c r="G7455">
        <v>-121.92870000000001</v>
      </c>
      <c r="H7455">
        <v>1.030305</v>
      </c>
      <c r="I7455">
        <v>137.50810000000001</v>
      </c>
      <c r="J7455">
        <v>-122.65479999999999</v>
      </c>
      <c r="K7455">
        <v>1.1118889999999999</v>
      </c>
      <c r="L7455">
        <v>137.5087</v>
      </c>
      <c r="M7455">
        <v>0.99944569999999999</v>
      </c>
      <c r="N7455">
        <v>-2.514344E-2</v>
      </c>
      <c r="O7455">
        <v>2.182487E-2</v>
      </c>
      <c r="P7455">
        <v>0.97988280000000005</v>
      </c>
      <c r="Q7455">
        <v>0.19082759999999999</v>
      </c>
      <c r="R7455">
        <v>5.8438419999999998E-2</v>
      </c>
      <c r="S7455">
        <v>3.130585</v>
      </c>
      <c r="T7455">
        <v>-0.35075709999999999</v>
      </c>
      <c r="U7455">
        <v>-1.998901E-3</v>
      </c>
      <c r="V7455">
        <v>-3.7020539999999998E-2</v>
      </c>
      <c r="W7455">
        <v>0.2154335</v>
      </c>
      <c r="X7455">
        <v>0.97581649999999998</v>
      </c>
      <c r="Y7455">
        <v>2.2217580000000001E-2</v>
      </c>
      <c r="Z7455">
        <v>-3.411187E-3</v>
      </c>
      <c r="AA7455">
        <v>0.99974730000000001</v>
      </c>
      <c r="AB7455">
        <v>1</v>
      </c>
      <c r="AC7455">
        <v>0.72609999999998798</v>
      </c>
      <c r="AD7455">
        <v>-8.1583999999999796E-2</v>
      </c>
      <c r="AE7455">
        <v>-5.9999999999149601E-4</v>
      </c>
      <c r="AF7455">
        <v>1.6246795966689601E-2</v>
      </c>
      <c r="AG7455">
        <v>-8.1583999999999796E-2</v>
      </c>
      <c r="AH7455">
        <v>0.71686374004210995</v>
      </c>
      <c r="AI7455">
        <v>96.491064198113193</v>
      </c>
      <c r="AJ7455">
        <v>88.701687004754703</v>
      </c>
      <c r="AK7455">
        <v>0.72167411566602901</v>
      </c>
      <c r="AL7455">
        <v>77.559038683719294</v>
      </c>
      <c r="AM7455">
        <v>92.172646124769699</v>
      </c>
      <c r="AN7455">
        <v>0.99999997748819502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2020-05-20T14:50:08Z</dcterms:created>
  <dcterms:modified xsi:type="dcterms:W3CDTF">2020-05-20T14:50:08Z</dcterms:modified>
</cp:coreProperties>
</file>